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IDS" sheetId="2" r:id="rId6"/>
    <sheet state="hidden" name="_IDS" sheetId="3" r:id="rId7"/>
    <sheet state="visible" name="Master Sheet" sheetId="4" r:id="rId8"/>
    <sheet state="visible" name="Desired Ratios" sheetId="5" r:id="rId9"/>
    <sheet state="visible" name="Goldbox Calculator" sheetId="6" r:id="rId10"/>
    <sheet state="visible" name="ELS+ ROI Calculator" sheetId="7" r:id="rId11"/>
    <sheet state="visible" name="Coins+ vs ELS+" sheetId="8" r:id="rId12"/>
    <sheet state="hidden" name="DVT_Workshop" sheetId="9" r:id="rId13"/>
    <sheet state="hidden" name="EXPORT" sheetId="10" r:id="rId14"/>
    <sheet state="visible" name="Workshop Enhancement Prices" sheetId="11" r:id="rId15"/>
  </sheets>
  <definedNames>
    <definedName localSheetId="1" name="RelicID">IDS!$E$9</definedName>
    <definedName localSheetId="1" name="RelicValidation">IDS!$F$7</definedName>
    <definedName name="IDS_BOT_LEVEL">LAMBDA(bot_name, bot_property, LET(
  off, (MATCH(bot_name, '_IDS'!$AS$2:$AS$17, 0) - 1),
  VLOOKUP(bot_property, OFFSET('_IDS'!$AU$2, off, 0, 4, 3), 3, FALSE)
))</definedName>
    <definedName name="WSPATTACK_TOTAL_COINS_INVESTED">LAMBDA(LET(
  DMGPlus, WSPCOST_SINGLE_ADJUSTED_CUMULATIVE("Damage", 'Master Sheet'!$R$3+1
),
  RAMPlus, WSPCOST_SINGLE_ADJUSTED_CUMULATIVE("Rend Armor", 'Master Sheet'!$R$4+1
),
  CFPlus, WSPCOST_SINGLE_ADJUSTED_CUMULATIVE("Critical Factor", 'Master Sheet'!$R$5+1
),
  DPMPlus, WSPCOST_SINGLE_ADJUSTED_CUMULATIVE("Damage/Meter", 'Master Sheet'!$R$6+1
),
  SCMPlus, WSPCOST_SINGLE_ADJUSTED_CUMULATIVE("Super Crit Mult", 'Master Sheet'!$R$7+1
),
  ASPDPlus, WSPCOST_SINGLE_ADJUSTED_CUMULATIVE("Attack Speed", 'Master Sheet'!$R$8+1
),
SUM(DMGPlus, RAMPlus, CFPlus, DPMPlus, SCMPlus, ASPDPlus)))</definedName>
    <definedName name="IDS_WS_LEVEL">LAMBDA(ws_name, MAX(IDS_WS_COIN_LEVEL(ws_name), IDS_WS_CASH_LEVEL(ws_name)))</definedName>
    <definedName name="IDS_MOD_CORE_SUBSTATS">LAMBDA(name, IFERROR(OFFSET('_IDS'!$BQ$31, MATCH(name, '_IDS'!$BQ$27:$BQ, 0)-1, 0, 8, 4)))</definedName>
    <definedName name="IDS_UW_OWN">LAMBDA(uw_name, LET(
  off, (MATCH(uw_name, '_IDS'!$Z$2:$Z$37, 0) - 1),
  OFFSET('_IDS'!$Z$4, off, 0, 1, 1)
))</definedName>
    <definedName name="IDS_MOD_CORE_ASSIST_SUBSTAT_CAP">LAMBDA('_IDS'!$BR$5)</definedName>
    <definedName name="IDS_BOT_VALUE">LAMBDA(bot_name, bot_property, LET(
  off, (MATCH(bot_name, '_IDS'!$AS$2:$AS$17, 0) - 1),
  VLOOKUP(bot_property, OFFSET('_IDS'!$AU$2, off, 0, 4, 2), 2, FALSE)
))</definedName>
    <definedName name="IDS_THEMES_BOOST">LAMBDA('_IDS'!$AY$2)</definedName>
    <definedName name="IDS_MOD_CANNON_ASSIST_LEVEL">LAMBDA('_IDS'!$BD$2)</definedName>
    <definedName name="DVT_WS_VALUE">LAMBDA(ws_stat, ws_level, LET(
  WsOffset, MATCH(ws_stat, DVT_Workshop!$B$1:$G$1, 0),
  IFS(
    ISNUMBER(WsOffset), OFFSET(DVT_Workshop!$B$2, ws_level, WsOffset-1, 1, 1),
    TRUE, SWITCH(ws_stat,
      "Attack Speed", 1+0.05*ws_level,
      "Critical Chance", 1%+(1%* ws_level),
      "Critical Factor", 1.2+(0.1*ws_level),
      "Range", 30+(0.5*ws_level),
      "Multishot Chance", 0.5%*ws_level,
      "Multishot Targets", 2+ws_level,
      "Rapid Fire Chance", 0.4%*ws_level,
      "Rapid Fire Duration", 0.6+0.05*ws_level,
      "Bounce Shot Chance", 0.8%*ws_level,
      "Bounce Shot Targets", 1+ws_level,
      "Bounce Shot Range", "",
      "Super Critical Chance", 0.2%*ws_level,
      "Super Critical Mult", 1.2+(0.1*ws_level),
      "Rend Armor Chance", 0.5%+0.1%*ws_level,
      "Rend Armor Mult", 0.001+0.001*ws_level,
      "Defense %", 0.5%*ws_level,
      "Thorn Damage", 1%*ws_level,
      "Knockback Chance", 1%*ws_level,
      "Knockback Force", 0.4+0.15*ws_level,
      "Orb Speed", 0.4+0.15*ws_level,
      "Orbs", ws_level,
      "Shockwave Size", 0.6+0.05*ws_level,
      "Shockwave Frequency", 17-0.15*ws_level,
      "Land Mine Chance", 12%+6%*ws_level,
      "Land Mine Damage", 100+10*ws_level,
      "Land Mine Radius", 0.5+0.02*ws_level,
      "Death Defy", 0.4%*ws_level,
      "Wall Health", 20%+0.1%*ws_level,
      "Wall Rebuild", 1200%-1%*ws_level,
      "Cash Bonus", 1+0.01%*ws_level,
      "Cash / Wave", 4*ws_level,
      "Coin / Kill Bonus", 1+0.01%*ws_level,
      "Coin / Wave", 1+ws_level,
      "Free Attack Upgrade", 0.5%*ws_level,
      "Free Defense Upgrade", 0.5%*ws_level,
      "Free Utility Upgrade", 0.5%*ws_level,
      "Interest / Wave", 0.06%*ws_level,
      "Recovery Amount", 0.14%+0.004%*ws_level,
      "Max Recovery", 1.5+0.03*ws_level,
      "Package Chance", 6%+0.4%*ws_level,
      "Enemy Attack Level Skip", 0.5%+0.5%*ws_level,
      "Enemy Health Level Skip", 0.5%+0.5%*ws_level,
      0
    )
  )
))</definedName>
    <definedName name="IDS_MOD_GENERATOR_BONUS">LAMBDA(name, OFFSET('_IDS'!$BN$29, MATCH(name, '_IDS'!$BL$27:$BL, 0)-1, 0, 1, 1))</definedName>
    <definedName name="UNFORMAT_NUMBER">LAMBDA(number, IFERROR(LET(
  value1, VALUE(LEFT(number, LEN(number)-1)),
  value2, VALUE(LEFT(number, LEN(number)-2)), 
    SWITCH(RIGHT(number, 2),
    "aa", value2 * 10^36,
    "ab", value2 * 10^39,
    "ac", value2 * 10^42,
    "ad", value2 * 10^45,
    "ae", value2 * 10^48,
    "af", value2 * 10^51,
    "ag", value2 * 10^54,
    "ah", value2 * 10^57,
    "ai", value2 * 10^60,
    "aj", value2 * 10^63,
    "ak", value2 * 10^66,
    "al", value2 * 10^69,
    "am", value2 * 10^72,
    "an", value2 * 10^75,
    "ao", value2 * 10^78,
    "ap", value2 * 10^81,
    "aq", value2 * 10^84,
    "ar", value2 * 10^87,
    "as", value2 * 10^90,
    "at", value2 * 10^93,
    "au", value2 * 10^96,
    "av", value2 * 10^99,
    "aw", value2 * 10^102,
    "ax", value2 * 10^105,
    "ay", value2 * 10^108,
    "az", value2 * 10^111,
    SWITCH(CODE(RIGHT(number, 1)),
        CODE("K"), value1 * 10^3,
        CODE("M"), value1 * 10^6,
        CODE("B"), value1 * 10^9,
        CODE("T"), value1 * 10^12,
        CODE("q"), value1 * 10^15,
        CODE("Q"), value1 * 10^18,
        CODE("s"), value1 * 10^21,
        CODE("S"), value1 * 10^24,
        CODE("O"), value1 * 10^27,
        CODE("N"), value1 * 10^30,
        CODE("D"), value1 * 10^33,
        number)
)), 
    "Invalid input"
))</definedName>
    <definedName name="DVT_WSP_COST">LAMBDA(ws_stat, ws_level, OFFSET(DVT_Workshop!$I$2,
  ws_level, MATCH(SUBSTITUTE(ws_stat, " +", ""), DVT_Workshop!$I$1:$Z$1, 0)-1,
  1, 1))</definedName>
    <definedName name="IDS_MOD_CORE_NAME">LAMBDA(preset, OFFSET('_IDS'!$BR$8, MATCH(preset, '_IDS'!$BQ$7:$BQ$23, 0)-1, 0, 1, 1))</definedName>
    <definedName name="IDS_MOD_CANNON_ASSIST_MULT_CAP">LAMBDA('_IDS'!$BC$4)</definedName>
    <definedName name="IDS_LAB_LEVEL">LAMBDA(lab_name, IF('_IDS'!$C$1="✅", VLOOKUP(lab_name, '_IDS'!$A$2:$B, 2, FALSE), 0))</definedName>
    <definedName name="WSPUTILITY_TOTAL_COINS_INVESTED">LAMBDA(LET(
  CashPlus, WSPCOST_SINGLE_ADJUSTED_CUMULATIVE("Cash Bonus", 'Master Sheet'!$R$15+1),
  CoinPlus, WSPCOST_SINGLE_ADJUSTED_CUMULATIVE("Coin Bonus", 'Master Sheet'!$R$16+1),
  CPKPlus, WSPCOST_SINGLE_ADJUSTED_CUMULATIVE("Cells / Kill Bonus", 'Master Sheet'!$R$17+1
),
  FUPlus, WSPCOST_SINGLE_ADJUSTED_CUMULATIVE("Free Upgrades", 'Master Sheet'!$R$18+1
),
  RPPlus, WSPCOST_SINGLE_ADJUSTED_CUMULATIVE("Recovery Package", 'Master Sheet'!$R$19+1
),
  ELSPlus, WSPCOST_SINGLE_ADJUSTED_CUMULATIVE("Enemy Level Skips", 'Master Sheet'!$R$20+1
),
SUM(CashPlus, CoinPlus, CPKPlus, FUPlus, RPPlus, ELSPlus)))</definedName>
    <definedName name="IDS_MOD_ARMOR_LEVEL">LAMBDA(name, OFFSET('_IDS'!$BH$29, MATCH(name, '_IDS'!$BG$27:$BG, 0)-1, 0, 1, 1))</definedName>
    <definedName name="IDS_MOD_CORE_LEVEL">LAMBDA(name, OFFSET('_IDS'!$BR$29, MATCH(name, '_IDS'!$BQ$27:$BQ, 0)-1, 0, 1, 1))</definedName>
    <definedName name="IDS_MOD_GENERATOR_NAME">LAMBDA(preset, OFFSET('_IDS'!$BM$8, MATCH(preset, '_IDS'!$BL$7:$BL$23, 0)-1, 0, 1, 1))</definedName>
    <definedName name="IDS_MOD_ARMOR_NAME">LAMBDA(preset, OFFSET('_IDS'!$BH$8, MATCH(preset, '_IDS'!$BG$7:$BG$23, 0)-1, 0, 1, 1))</definedName>
    <definedName name="IDS_UW_VALUE">LAMBDA(uw_name, uw_stat, LET(
  off, (MATCH(uw_name, '_IDS'!$Z$2:$Z$37, 0) - 1),
  VLOOKUP(uw_stat, OFFSET('_IDS'!$AB$2, off, 0, 4, 2), 2, FALSE)
))</definedName>
    <definedName name="IDS_CARD_PRESET">LAMBDA(preset, OFFSET('_IDS'!$AH$3, 0, MATCH(preset, '_IDS'!$AH$2:$AL$2, 0)-1, 27, 1))</definedName>
    <definedName name="IDS_MOD_ARMOR_ASSIST_SUBSTAT_CAP">LAMBDA('_IDS'!$BH$5)</definedName>
    <definedName name="DVT_WSP_VALUE">LAMBDA(ws_stat, ws_level, SWITCH(ws_stat,
  "Land Mine Damage", 1+0.06*ws_level,
  1+0.01*ws_level
))</definedName>
    <definedName name="IDS_RELIC_STAT">LAMBDA(relic_stat, IFERROR(IF('_IDS'!$AO$1="✅", VLOOKUP(relic_stat,'_IDS'!$AM$2:$AN,2,FALSE), 0), 0))</definedName>
    <definedName name="IDS_MOD_CANNON_SUBSTATS">LAMBDA(name, IFERROR(OFFSET('_IDS'!$BB$31, MATCH(name, '_IDS'!$BB$27:$BB, 0)-1, 0, 8, 4)))</definedName>
    <definedName name="IDS_MOD_CORE_BONUS">LAMBDA(name, OFFSET('_IDS'!$BS$29, MATCH(name, '_IDS'!$BQ$27:$BQ, 0)-1, 0, 1, 1))</definedName>
    <definedName name="IDS_MOD_GENERATOR_LEVEL">LAMBDA(name, OFFSET('_IDS'!$BM$29, MATCH(name, '_IDS'!$BL$27:$BL, 0)-1, 0, 1, 1))</definedName>
    <definedName name="IDS_MOD_CORE_ASSIST_LEVEL">LAMBDA('_IDS'!$BS$2)</definedName>
    <definedName name="WSPCOST_SINGLE_ADJUSTED_CUMULATIVE">LAMBDA(name, level, SUM(INDEX(DVT_Workshop!$I$2:$Z$402, 1, MATCH(name, DVT_Workshop!$I$1:$Z$1, 0)):INDEX(DVT_Workshop!$I$2:$Z$402, level, MATCH(name, DVT_Workshop!$I$1:$Z$1, 0)))*(1-'Master Sheet'!$Z$18))</definedName>
    <definedName name="IDS_MOD_GENERATOR_ASSIST_SUBSTAT_CAP">LAMBDA('_IDS'!$BM$5)</definedName>
    <definedName name="IDS_MOD_ARMOR_BONUS">LAMBDA(name, OFFSET('_IDS'!$BI$29, MATCH(name, '_IDS'!$BG$27:$BG, 0)-1, 0, 1, 1))</definedName>
    <definedName name="IDS_UW_LEVEL">LAMBDA(uw_name, uw_stat, LET(
  off, (MATCH(uw_name, '_IDS'!$Z$2:$Z$37, 0) - 1),
  VLOOKUP(uw_stat, OFFSET('_IDS'!$AB$2, off, 0, 4, 3), 3, FALSE)
))</definedName>
    <definedName name="IDS_MOD_CORE_RARITY">LAMBDA(name, IFERROR(OFFSET('_IDS'!$BQ$29, MATCH(name, '_IDS'!$BQ$27:$BQ, 0)-1, 0, 1, 1)))</definedName>
    <definedName name="IDS_MOD_CANNON_BONUS">LAMBDA(name, OFFSET('_IDS'!$BD$29, MATCH(name, '_IDS'!$BB$27:$BB, 0)-1, 0, 1, 1))</definedName>
    <definedName name="IDS_MOD_GENERATOR_ASSIST_LEVEL">LAMBDA('_IDS'!$BN$2)</definedName>
    <definedName name="IDS_CARD_MASTERY">LAMBDA(card_name, VLOOKUP(card_name,'_IDS'!$AE$2:$AG$31, 3, FALSE))</definedName>
    <definedName name="IDS_MOD_GENERATOR_SUBSTATS">LAMBDA(name, IFERROR(OFFSET('_IDS'!$BL$31, MATCH(name, '_IDS'!$BL$27:$BL, 0)-1, 0, 8, 4)))</definedName>
    <definedName name="IDS_LAB_TARGET">LAMBDA(lab_name, IF('_IDS'!$C$1="✅", VLOOKUP(lab_name, '_IDS'!$A$2:$C, 3, FALSE), ))</definedName>
    <definedName name="IDS_MOD_GENERATOR_ASSIST_NAME">LAMBDA(preset, OFFSET('_IDS'!$BM$9, MATCH(preset, '_IDS'!$BL$7:$BL$23, 0)-1, 0, 1, 1))</definedName>
    <definedName name="IDS_MOD_ARMOR_SUBSTATS">LAMBDA(name, IFERROR(OFFSET('_IDS'!$BG$31, MATCH(name, '_IDS'!$BG$27:$BG, 0)-1, 0, 8, 4)))</definedName>
    <definedName name="IDS_WSE_LEVEL">LAMBDA(wse_name, IF('_IDS'!$G$1="✅", IFERROR(VLOOKUP(wse_name, '_IDS'!$R$2:$T, 3, FALSE), 0), 0))</definedName>
    <definedName name="IDS_MOD_CANNON_NAME">LAMBDA(preset, OFFSET('_IDS'!$BC$8, MATCH(preset, '_IDS'!$BB$7:$BB$23, 0)-1, 0, 1, 1))</definedName>
    <definedName name="IDS_MOD_CANNON_ASSIST_SUBSTAT_CAP">LAMBDA('_IDS'!$BC$5)</definedName>
    <definedName name="IDS_MOD_ARMOR_ASSIST_MULT_CAP">LAMBDA('_IDS'!$BH$4)</definedName>
    <definedName name="IDS_CARDS_IN_PRESET">LAMBDA(preset, card_name, COUNTIF(OFFSET('_IDS'!$AH$3, 0, MATCH(preset, '_IDS'!$AH$2:$AL$2, 0)-1, 30, 1)
, card_name) &gt; 0)</definedName>
    <definedName name="IDS_MOD_CANNON_ASSIST_NAME">LAMBDA(preset, OFFSET('_IDS'!$BC$9, MATCH(preset, '_IDS'!$BB$7:$BB$23, 0)-1, 0, 1, 1))</definedName>
    <definedName name="IDS_WS_COIN_LEVEL">LAMBDA(ws_name, IF('_IDS'!$G$1="✅", IFERROR(VLOOKUP(ws_name, '_IDS'!$F$2:$Q, 2, FALSE), 0), 0))</definedName>
    <definedName name="IDS_VAULT_STAT">LAMBDA(vault_stat, IFERROR(IF('_IDS'!$AR$1="✅", VLOOKUP(vault_stat,'_IDS'!$AP$2:$AQ,2,FALSE), 0), 0))</definedName>
    <definedName name="FORMAT_TIME">LAMBDA(duration, IF(duration,int(duration)&amp;"d "&amp;if(hour(mod(duration,1))&lt;10,CHAR(8194),)&amp;hour(mod(duration,1))&amp;"h "&amp;if(minute(mod(duration,1))&lt;10,CHAR(8194),)&amp;minute(mod(duration,1))&amp;"m",))</definedName>
    <definedName name="IDS_BOT_OWN">LAMBDA(bot_name, LET(
  off, (MATCH(bot_name, '_IDS'!$AS$2:$AS$17, 0) - 1),
  OFFSET('_IDS'!$AS$5, off, 0, 1, 1)
))</definedName>
    <definedName name="IDS_MOD_CANNON_RARITY">LAMBDA(name, IFERROR(OFFSET('_IDS'!$BB$29, MATCH(name, '_IDS'!$BB$27:$BB, 0)-1, 0, 1, 1)))</definedName>
    <definedName name="IDS_MOD_ARMOR_ASSIST_NAME">LAMBDA(preset, OFFSET('_IDS'!$BH$9, MATCH(preset, '_IDS'!$BG$7:$BG$23, 0)-1, 0, 1, 1))</definedName>
    <definedName name="WSPCOST_SINGLE_ADJUSTED">LAMBDA(name, level, INDEX(
DVT_Workshop!$I$3:$Z$402, 
level, 
MATCH(
  name,
  DVT_Workshop!$I$1:$Z$1, 0))*(1-'Master Sheet'!$Z$18))</definedName>
    <definedName name="IDS_MOD_CORE_ASSIST_NAME">LAMBDA(preset, OFFSET('_IDS'!$BR$9, MATCH(preset, '_IDS'!$BQ$7:$BQ$23, 0)-1, 0, 1, 1))</definedName>
    <definedName name="IDS_MOD_ARMOR_RARITY">LAMBDA(name, IFERROR(OFFSET('_IDS'!$BG$29, MATCH(name, '_IDS'!$BG$27:$BG, 0)-1, 0, 1, 1)))</definedName>
    <definedName name="IDS_MOD_GENERATOR_ASSIST_MULT_CAP">LAMBDA('_IDS'!$BM$4)</definedName>
    <definedName name="IDS_WS_CASH_LEVEL">LAMBDA(ws_name, IF('_IDS'!$G$1="✅", IFERROR(VLOOKUP(ws_name, '_IDS'!$F$2:$Q, 3, FALSE), 0), 0))</definedName>
    <definedName name="FORMAT_NUMBER">LAMBDA(cell, IFS(cell&gt;=1E+33,ROUND(cell/1E+33,2)&amp;" D", cell&gt;=1E+30,ROUND(cell/1E+30,2)&amp;" N", cell&gt;=1E+27,ROUND(cell/1E+27,2)&amp;" O", cell&gt;=1E+24,ROUND(cell/1E+24,2)&amp;" S", cell&gt;=1E+21,ROUND(cell/1E+21,2)&amp;" s", cell&gt;=1000000000000000000,ROUND(cell/1000000000000000000,2)&amp;" Q", cell&gt;1000000000000000,ROUND(cell/1000000000000000,2)&amp;" q", cell&gt;=1000000000000,ROUND(cell/1000000000000,2)&amp;" T",cell&gt;=1000000000,ROUND(cell/1000000000,2)&amp;" B", cell&gt;=1000000,ROUND(cell/1000000,2)&amp;" M", cell&gt;=1000,ROUND(cell/1000,2)&amp;" K",1,cell))</definedName>
    <definedName name="IDS_MOD_CORE_ASSIST_MULT_CAP">LAMBDA('_IDS'!$BR$4)</definedName>
    <definedName name="IDS_CARD_LEVEL">LAMBDA(card_name, IF(VLOOKUP(card_name,'_IDS'!$AE$2:$AG$31, 2, FALSE)="Locked", 1, VLOOKUP(card_name,'_IDS'!$AE$2:$AG$31, 2, FALSE)))</definedName>
    <definedName name="IDS_MOD_CANNON_LEVEL">LAMBDA(name, OFFSET('_IDS'!$BC$29, MATCH(name, '_IDS'!$BB$27:$BB, 0)-1, 0, 1, 1))</definedName>
    <definedName name="IDS_MOD_GENERATOR_RARITY">LAMBDA(name, IFERROR(OFFSET('_IDS'!$BL$29, MATCH(name, '_IDS'!$BL$27:$BL, 0)-1, 0, 1, 1)))</definedName>
    <definedName name="IDS_MOD_ARMOR_ASSIST_LEVEL">LAMBDA('_IDS'!$BI$2)</definedName>
    <definedName name="WSPDEFENSE_TOTAL_COINS_INVESTED">LAMBDA(LET(
  HPPlus, WSPCOST_SINGLE_ADJUSTED_CUMULATIVE("Health", 'Master Sheet'!$R$9+1
),
  HPRegenPlus, WSPCOST_SINGLE_ADJUSTED_CUMULATIVE("Health Regen", 'Master Sheet'!$R$10+1
),
  DABSPlus, WSPCOST_SINGLE_ADJUSTED_CUMULATIVE("Defense Absolute", 'Master Sheet'!$R$11+1
),
  LMDPlus, WSPCOST_SINGLE_ADJUSTED_CUMULATIVE("Land Mine Damage", 'Master Sheet'!$R$12+1
),
  WallPlus, WSPCOST_SINGLE_ADJUSTED_CUMULATIVE("Wall Health", 'Master Sheet'!$R$13+1
),
  OrbPlus, WSPCOST_SINGLE_ADJUSTED_CUMULATIVE("Orb Size", 'Master Sheet'!$R$14+1
),
SUM(HPPlus, HPRegenPlus, DABSPlus, LMDPlus, WallPlus, OrbPlus)))</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6">
      <text>
        <t xml:space="preserve">B9BDCA52E3D8005A</t>
      </text>
    </comment>
    <comment authorId="0" ref="I6">
      <text>
        <t xml:space="preserve">B54B2EAF779842C2</t>
      </text>
    </comment>
    <comment authorId="0" ref="H7">
      <text>
        <t xml:space="preserve">B9BDCA52E3D8005A</t>
      </text>
    </comment>
    <comment authorId="0" ref="H8">
      <text>
        <t xml:space="preserve">8825B798A7D74410</t>
      </text>
    </comment>
    <comment authorId="0" ref="H9">
      <text>
        <t xml:space="preserve">D7856D2E3740A1AE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Workshop (Coins) Level
-&gt; Out of run level</t>
      </text>
    </comment>
    <comment authorId="0" ref="E2">
      <text>
        <t xml:space="preserve">Workshop (Cash) Level
-&gt; In run max level reached</t>
      </text>
    </comment>
    <comment authorId="0" ref="F2">
      <text>
        <t xml:space="preserve">Workshop (Coins) Level
-&gt; Out of run level</t>
      </text>
    </comment>
    <comment authorId="0" ref="G2">
      <text>
        <t xml:space="preserve">Workshop (Cash) Level
-&gt; In run max level reached</t>
      </text>
    </comment>
    <comment authorId="0" ref="H2">
      <text>
        <t xml:space="preserve">Workshop (Coins) Level
-&gt; Out of run level</t>
      </text>
    </comment>
    <comment authorId="0" ref="I2">
      <text>
        <t xml:space="preserve">Workshop (Cash) Level
-&gt; In run max level reached</t>
      </text>
    </comment>
    <comment authorId="0" ref="J2">
      <text>
        <t xml:space="preserve">Workshop (Coins) Level
-&gt; Out of run level</t>
      </text>
    </comment>
    <comment authorId="0" ref="K2">
      <text>
        <t xml:space="preserve">Workshop (Cash) Level
-&gt; In run max level reached</t>
      </text>
    </comment>
    <comment authorId="0" ref="L2">
      <text>
        <t xml:space="preserve">Workshop (Coins) Level
-&gt; Out of run level</t>
      </text>
    </comment>
    <comment authorId="0" ref="M2">
      <text>
        <t xml:space="preserve">Workshop (Cash) Level
-&gt; In run max level reached</t>
      </text>
    </comment>
    <comment authorId="0" ref="AC3">
      <text>
        <t xml:space="preserve">Cards Presets are configured in the Cards IDS sheet -&gt; Check IDS tab bottom left</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7">
      <text>
        <t xml:space="preserve">When calculating for tournaments, remove the Checkbox.</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Workshop (Coins) Level
-&gt; Out of run level</t>
      </text>
    </comment>
    <comment authorId="0" ref="E3">
      <text>
        <t xml:space="preserve">Workshop (Cash) Level
-&gt; In run max level reached</t>
      </text>
    </comment>
    <comment authorId="0" ref="F3">
      <text>
        <t xml:space="preserve">Workshop (Coins) Level
-&gt; Out of run level</t>
      </text>
    </comment>
    <comment authorId="0" ref="G3">
      <text>
        <t xml:space="preserve">Workshop (Cash) Level
-&gt; In run max level reached</t>
      </text>
    </comment>
    <comment authorId="0" ref="H3">
      <text>
        <t xml:space="preserve">Workshop (Coins) Level
-&gt; Out of run level</t>
      </text>
    </comment>
    <comment authorId="0" ref="I3">
      <text>
        <t xml:space="preserve">Workshop (Cash) Level
-&gt; In run max level reached</t>
      </text>
    </comment>
    <comment authorId="0" ref="J3">
      <text>
        <t xml:space="preserve">Workshop (Coins) Level
-&gt; Out of run level</t>
      </text>
    </comment>
    <comment authorId="0" ref="K3">
      <text>
        <t xml:space="preserve">Workshop (Cash) Level
-&gt; In run max level reached</t>
      </text>
    </comment>
    <comment authorId="0" ref="L3">
      <text>
        <t xml:space="preserve">Workshop (Coins) Level
-&gt; Out of run level</t>
      </text>
    </comment>
    <comment authorId="0" ref="M3">
      <text>
        <t xml:space="preserve">Workshop (Cash) Level
-&gt; In run max level reached</t>
      </text>
    </comment>
  </commentList>
</comments>
</file>

<file path=xl/sharedStrings.xml><?xml version="1.0" encoding="utf-8"?>
<sst xmlns="http://schemas.openxmlformats.org/spreadsheetml/2006/main" count="2380" uniqueCount="382">
  <si>
    <t>Workshop</t>
  </si>
  <si>
    <t>Sheet Tab</t>
  </si>
  <si>
    <t>Main Contributor</t>
  </si>
  <si>
    <t>Helpers</t>
  </si>
  <si>
    <t>IDS</t>
  </si>
  <si>
    <t>@Mattew</t>
  </si>
  <si>
    <t>@Bisse</t>
  </si>
  <si>
    <t>Latest remote version :</t>
  </si>
  <si>
    <t>Master Sheet</t>
  </si>
  <si>
    <t>Desired Ratios</t>
  </si>
  <si>
    <t>@Meringue</t>
  </si>
  <si>
    <t>Goldbox Calculator</t>
  </si>
  <si>
    <t>@GodzillasDaddy</t>
  </si>
  <si>
    <t>ELS+ ROI Calculator</t>
  </si>
  <si>
    <t>@Dark &amp; @1410c</t>
  </si>
  <si>
    <t>Version Change :</t>
  </si>
  <si>
    <t>Coins+ vs ELS+</t>
  </si>
  <si>
    <t>@Dark</t>
  </si>
  <si>
    <t>v2.3.1</t>
  </si>
  <si>
    <t>fix: Card #28 format</t>
  </si>
  <si>
    <t>Workshop Enhancement Prices</t>
  </si>
  <si>
    <t>v2.3</t>
  </si>
  <si>
    <t>feat: Desired Ratio works with more fractions (X/XXX)</t>
  </si>
  <si>
    <t>v2.2.9</t>
  </si>
  <si>
    <t>Feat: X's dream fulfilled (better color conditional)</t>
  </si>
  <si>
    <t>Tab colors explanation</t>
  </si>
  <si>
    <t>v2.2.8</t>
  </si>
  <si>
    <t>Feat: presets for Desired Ratios</t>
  </si>
  <si>
    <t>v2.2.7</t>
  </si>
  <si>
    <t>Fix: Coins+ vs ELS+ used wrong EALS/ EHLS stats</t>
  </si>
  <si>
    <t>Home Page</t>
  </si>
  <si>
    <t>Input Tabs</t>
  </si>
  <si>
    <t>Local Tools</t>
  </si>
  <si>
    <t>v2.2.6</t>
  </si>
  <si>
    <t>Feat: Included Vault in ELS+ ROI</t>
  </si>
  <si>
    <t>Static Data</t>
  </si>
  <si>
    <t>v2.2.5</t>
  </si>
  <si>
    <t>Feat: Included Relic + Assist in ELS+ ROI</t>
  </si>
  <si>
    <t>v2.2.4</t>
  </si>
  <si>
    <t>export WS+ coin spent</t>
  </si>
  <si>
    <t>v2.2.3</t>
  </si>
  <si>
    <t>Fix: desired ratios custom order</t>
  </si>
  <si>
    <r>
      <rPr>
        <rFont val="Comfortaa"/>
        <b/>
        <color rgb="FFFCE5CD"/>
        <sz val="11.0"/>
        <u/>
      </rPr>
      <t>Enjoying those sheets?</t>
    </r>
    <r>
      <rPr>
        <rFont val="Comfortaa"/>
        <color rgb="FFFFFFFF"/>
      </rPr>
      <t xml:space="preserve">
You can support me by using my creator code for any </t>
    </r>
    <r>
      <rPr>
        <rFont val="Comfortaa"/>
        <color rgb="FFFFFFFF"/>
        <u/>
      </rPr>
      <t>in game</t>
    </r>
    <r>
      <rPr>
        <rFont val="Comfortaa"/>
        <color rgb="FFFFFFFF"/>
      </rPr>
      <t xml:space="preserve"> or </t>
    </r>
    <r>
      <rPr>
        <rFont val="Comfortaa"/>
        <color rgb="FFFFFFFF"/>
        <u/>
      </rPr>
      <t>webstore</t>
    </r>
    <r>
      <rPr>
        <rFont val="Comfortaa"/>
        <color rgb="FFFFFFFF"/>
      </rPr>
      <t xml:space="preserve"> purchases.
My creator code is : </t>
    </r>
    <r>
      <rPr>
        <rFont val="Comfortaa"/>
        <color rgb="FF5DA282"/>
      </rPr>
      <t>SHEETLORD</t>
    </r>
  </si>
  <si>
    <t>v2.2.2</t>
  </si>
  <si>
    <t>Fix: desired ratios</t>
  </si>
  <si>
    <t>v2.2.1</t>
  </si>
  <si>
    <t>Fix: WS+ cost calculation</t>
  </si>
  <si>
    <t>v2.2</t>
  </si>
  <si>
    <t>Max levels for WS+ updated</t>
  </si>
  <si>
    <t>v2.1</t>
  </si>
  <si>
    <t>New: Desired Ratios</t>
  </si>
  <si>
    <t>v2.0</t>
  </si>
  <si>
    <t>IDS 2.0 + V27</t>
  </si>
  <si>
    <r>
      <rPr>
        <rFont val="Comfortaa"/>
        <color rgb="FF999999"/>
        <sz val="8.0"/>
      </rPr>
      <t xml:space="preserve">Want to support someone else ? Here is the </t>
    </r>
    <r>
      <rPr>
        <rFont val="Comfortaa"/>
        <color rgb="FFB7B7B7"/>
        <sz val="8.0"/>
        <u/>
      </rPr>
      <t>creator code list</t>
    </r>
  </si>
  <si>
    <t>v1.8</t>
  </si>
  <si>
    <t>New: Goldbox Calculator</t>
  </si>
  <si>
    <t>v1.7</t>
  </si>
  <si>
    <t>New: Coins+ vs ELS+</t>
  </si>
  <si>
    <t>v1.6</t>
  </si>
  <si>
    <t>Import url fix</t>
  </si>
  <si>
    <t>v1.5</t>
  </si>
  <si>
    <t>Added Import</t>
  </si>
  <si>
    <t>v1.4</t>
  </si>
  <si>
    <t>Version tracking udpate</t>
  </si>
  <si>
    <t>v1.3</t>
  </si>
  <si>
    <t>Using now IDS Master</t>
  </si>
  <si>
    <t>v1.2</t>
  </si>
  <si>
    <t>Added Modules ID and improved ELS+</t>
  </si>
  <si>
    <t>v1.1</t>
  </si>
  <si>
    <t>Export fix for WS+</t>
  </si>
  <si>
    <t>The IDS System</t>
  </si>
  <si>
    <t>Looking for the Import script ? Just run it as you were doing it before, but from IDS Master.
It will let you import every new versions at once!</t>
  </si>
  <si>
    <t>This Sheet ID is :</t>
  </si>
  <si>
    <t>1huHJMcyg1uRJEeRYqAgWzMc5TodPPplVZEFhwBiIeEs</t>
  </si>
  <si>
    <r>
      <rPr>
        <rFont val="Comfortaa"/>
        <b/>
        <color rgb="FFFFFFFF"/>
        <sz val="11.0"/>
      </rPr>
      <t>IDS Master</t>
    </r>
    <r>
      <rPr>
        <rFont val="Comfortaa"/>
        <b/>
        <i/>
        <color rgb="FFFFFFFF"/>
        <sz val="10.0"/>
      </rPr>
      <t xml:space="preserve">'s </t>
    </r>
    <r>
      <rPr>
        <rFont val="Comfortaa"/>
        <b val="0"/>
        <i/>
        <color rgb="FFFFFFFF"/>
        <sz val="10.0"/>
      </rPr>
      <t>ID</t>
    </r>
    <r>
      <rPr>
        <rFont val="Comfortaa"/>
        <b val="0"/>
        <color rgb="FFFFFFFF"/>
        <sz val="11.0"/>
      </rPr>
      <t xml:space="preserve">       ➡️</t>
    </r>
  </si>
  <si>
    <t>1HOIkxWbbciTIAzVruaahEGADlM8rS0-w86uBXj4PwNQ</t>
  </si>
  <si>
    <t>v2</t>
  </si>
  <si>
    <t>✅</t>
  </si>
  <si>
    <t>Issues</t>
  </si>
  <si>
    <r>
      <rPr>
        <rFont val="Comfortaa"/>
        <b/>
        <color rgb="FFFCE5CD"/>
        <u/>
      </rPr>
      <t>Mobile Users</t>
    </r>
    <r>
      <rPr>
        <rFont val="Comfortaa"/>
        <color rgb="FFFCE5CD"/>
      </rPr>
      <t xml:space="preserve">
If you are on mobile, you will not be able to do </t>
    </r>
    <r>
      <rPr>
        <rFont val="Comfortaa"/>
        <i/>
        <color rgb="FFFCE5CD"/>
      </rPr>
      <t>STEP 3</t>
    </r>
    <r>
      <rPr>
        <rFont val="Comfortaa"/>
        <color rgb="FFFCE5CD"/>
      </rPr>
      <t>. There is a workaround you can do still : You need to edit the viewing permissions to "</t>
    </r>
    <r>
      <rPr>
        <rFont val="Comfortaa"/>
        <i/>
        <color rgb="FFFCE5CD"/>
      </rPr>
      <t>anyone with the link</t>
    </r>
    <r>
      <rPr>
        <rFont val="Comfortaa"/>
        <color rgb="FFFCE5CD"/>
      </rPr>
      <t>" of all your IDs sheets
If you have any other trouble, let us know in the #effective-path Discord's channel.</t>
    </r>
    <r>
      <rPr>
        <rFont val="Comfortaa"/>
        <color rgb="FFFFFFFF"/>
      </rPr>
      <t xml:space="preserve">
</t>
    </r>
    <r>
      <rPr>
        <rFont val="Comfortaa"/>
        <color rgb="FF666666"/>
        <sz val="7.0"/>
      </rPr>
      <t>I say us, but don't ask Fanta. Fanta hates IDS.</t>
    </r>
  </si>
  <si>
    <t>How to use</t>
  </si>
  <si>
    <r>
      <rPr>
        <rFont val="Comfortaa"/>
        <b/>
        <color rgb="FFFFFFFF"/>
        <u/>
      </rPr>
      <t xml:space="preserve">STEP 1:
</t>
    </r>
    <r>
      <rPr>
        <rFont val="Comfortaa"/>
        <color rgb="FFFFFFFF"/>
      </rPr>
      <t xml:space="preserve">Click on the </t>
    </r>
    <r>
      <rPr>
        <rFont val="Comfortaa"/>
        <b/>
        <i/>
        <color rgb="FFFFFFFF"/>
      </rPr>
      <t>Copy Me</t>
    </r>
    <r>
      <rPr>
        <rFont val="Comfortaa"/>
        <color rgb="FFFFFFFF"/>
      </rPr>
      <t xml:space="preserve"> link and create your copy of the IDS Master.
</t>
    </r>
    <r>
      <rPr>
        <rFont val="Comfortaa"/>
        <b/>
        <color rgb="FFFFFFFF"/>
        <u/>
      </rPr>
      <t xml:space="preserve">STEP 2:
</t>
    </r>
    <r>
      <rPr>
        <rFont val="Comfortaa"/>
        <color rgb="FFFFFFFF"/>
      </rPr>
      <t xml:space="preserve">Copy the ID </t>
    </r>
    <r>
      <rPr>
        <rFont val="Comfortaa"/>
        <color rgb="FF999999"/>
        <sz val="8.0"/>
      </rPr>
      <t>(you will find it in the IDS page)</t>
    </r>
    <r>
      <rPr>
        <rFont val="Comfortaa"/>
        <color rgb="FFFFFFFF"/>
      </rPr>
      <t xml:space="preserve"> of your newly created sheet and paste it in the light gray area.
</t>
    </r>
    <r>
      <rPr>
        <rFont val="Comfortaa"/>
        <b/>
        <color rgb="FFFFFFFF"/>
        <u/>
      </rPr>
      <t xml:space="preserve">STEP 3:
</t>
    </r>
    <r>
      <rPr>
        <rFont val="Comfortaa"/>
        <color rgb="FFFFFFFF"/>
      </rPr>
      <t>Wait a little bit, the F5 cell will show "</t>
    </r>
    <r>
      <rPr>
        <rFont val="Comfortaa"/>
        <b/>
        <color rgb="FFFFFFFF"/>
      </rPr>
      <t>Loading...</t>
    </r>
    <r>
      <rPr>
        <rFont val="Comfortaa"/>
        <color rgb="FFFFFFFF"/>
      </rPr>
      <t>", and after few seconds it will display "</t>
    </r>
    <r>
      <rPr>
        <rFont val="Comfortaa"/>
        <b/>
        <color rgb="FFFFFFFF"/>
      </rPr>
      <t>#REF!</t>
    </r>
    <r>
      <rPr>
        <rFont val="Comfortaa"/>
        <color rgb="FFFFFFFF"/>
      </rPr>
      <t>". Click on the cell, and "</t>
    </r>
    <r>
      <rPr>
        <rFont val="Comfortaa"/>
        <b/>
        <color rgb="FF6AA84F"/>
      </rPr>
      <t>Authorize</t>
    </r>
    <r>
      <rPr>
        <rFont val="Comfortaa"/>
        <color rgb="FFFFFFFF"/>
      </rPr>
      <t>" to let this sheet access the other one.</t>
    </r>
  </si>
  <si>
    <r>
      <rPr>
        <rFont val="Comfortaa"/>
        <color rgb="FF999999"/>
        <sz val="9.0"/>
      </rPr>
      <t xml:space="preserve">And that's it! The IDS are setuped. You can now fill sub IDS in the </t>
    </r>
    <r>
      <rPr>
        <rFont val="Comfortaa"/>
        <b/>
        <i/>
        <color rgb="FF999999"/>
        <sz val="9.0"/>
      </rPr>
      <t>IDS Master</t>
    </r>
    <r>
      <rPr>
        <rFont val="Comfortaa"/>
        <color rgb="FF999999"/>
        <sz val="9.0"/>
      </rPr>
      <t xml:space="preserve"> with sub IDS sheets (Laboratory, Workshop, ...) just like you did in here.
Every time you will change a value (let's say, a lab level in Laboratory Sheet) the change will be propagated to every other sheet using the IDS Master automatically.</t>
    </r>
  </si>
  <si>
    <t>Is it mandatory ?</t>
  </si>
  <si>
    <t>No, it is not really mandatory but it is the best practice I would recommend. You should be able to override everything using the Master Sheet. But that's not how this is supposed to be used.</t>
  </si>
  <si>
    <t>Unlock</t>
  </si>
  <si>
    <t>Workshop Upgrade</t>
  </si>
  <si>
    <t>Farming</t>
  </si>
  <si>
    <t>Tourney</t>
  </si>
  <si>
    <t>Preset 3</t>
  </si>
  <si>
    <t>Preset 4</t>
  </si>
  <si>
    <t>Preset 5</t>
  </si>
  <si>
    <t>Max</t>
  </si>
  <si>
    <t>Workshop Enhancement</t>
  </si>
  <si>
    <t>Level</t>
  </si>
  <si>
    <t>Card Preset</t>
  </si>
  <si>
    <t>Substat</t>
  </si>
  <si>
    <t>Value</t>
  </si>
  <si>
    <t>¢ Level</t>
  </si>
  <si>
    <t>$ Level</t>
  </si>
  <si>
    <t>Rarity</t>
  </si>
  <si>
    <t>↓ WORKSHOP ↓</t>
  </si>
  <si>
    <t>Damage</t>
  </si>
  <si>
    <t>↓ WORKSHOP ENHANCEMENTS ↓</t>
  </si>
  <si>
    <t>↓ OTHER ↓</t>
  </si>
  <si>
    <t>Workshop Enhancements</t>
  </si>
  <si>
    <t>↓ CARDS - PRESET ↓</t>
  </si>
  <si>
    <t>↓ MODULES ↓</t>
  </si>
  <si>
    <t>🔵 CANNON</t>
  </si>
  <si>
    <t>Preset</t>
  </si>
  <si>
    <t>Mythic</t>
  </si>
  <si>
    <t>+9%</t>
  </si>
  <si>
    <t>Attack Speed</t>
  </si>
  <si>
    <t>Workshop Utility Discount</t>
  </si>
  <si>
    <t>+3</t>
  </si>
  <si>
    <t>Critical Chance</t>
  </si>
  <si>
    <t>Enemy Attack Level Skip</t>
  </si>
  <si>
    <t>Extra Defense</t>
  </si>
  <si>
    <t>Primary Slot</t>
  </si>
  <si>
    <t>Multishot Targets</t>
  </si>
  <si>
    <t>Ancestral</t>
  </si>
  <si>
    <t>+4</t>
  </si>
  <si>
    <t>Critical Factor</t>
  </si>
  <si>
    <t>Enemy Health Level Skip</t>
  </si>
  <si>
    <t>Health</t>
  </si>
  <si>
    <t>Unique</t>
  </si>
  <si>
    <t>+15x</t>
  </si>
  <si>
    <t>Standard Perks Bonus</t>
  </si>
  <si>
    <t>Coins</t>
  </si>
  <si>
    <t>Super Crit Multi</t>
  </si>
  <si>
    <t>+5x</t>
  </si>
  <si>
    <t>Intro Sprint Mastery</t>
  </si>
  <si>
    <t>Plasma Cannon</t>
  </si>
  <si>
    <t/>
  </si>
  <si>
    <t>Boost</t>
  </si>
  <si>
    <t>Bonus</t>
  </si>
  <si>
    <t>Wave Skip</t>
  </si>
  <si>
    <t>Free Attack Upgrade</t>
  </si>
  <si>
    <t>Health Regen</t>
  </si>
  <si>
    <t>Assist Slot</t>
  </si>
  <si>
    <t>Free Defense Upgrade</t>
  </si>
  <si>
    <t>Wave Accelerator</t>
  </si>
  <si>
    <t>Free Utility Upgrade</t>
  </si>
  <si>
    <t>Critical Coin</t>
  </si>
  <si>
    <t>Second Wind</t>
  </si>
  <si>
    <t>Energy Shield</t>
  </si>
  <si>
    <t>Rar. Cap</t>
  </si>
  <si>
    <t>Recovery Package Chance</t>
  </si>
  <si>
    <t>Mult. Cap</t>
  </si>
  <si>
    <t>Intro Sprint</t>
  </si>
  <si>
    <t>Sub. Cap</t>
  </si>
  <si>
    <t>Discount Enhancements</t>
  </si>
  <si>
    <t>Extra Orb</t>
  </si>
  <si>
    <t>Cash</t>
  </si>
  <si>
    <t>🟥 ARMOR</t>
  </si>
  <si>
    <t>+400%</t>
  </si>
  <si>
    <t xml:space="preserve"> </t>
  </si>
  <si>
    <t>Free Upgrades</t>
  </si>
  <si>
    <t>Knockback Force</t>
  </si>
  <si>
    <t>+0.9</t>
  </si>
  <si>
    <t>Defense %</t>
  </si>
  <si>
    <t>+8%</t>
  </si>
  <si>
    <t>Enemy Attack Skip</t>
  </si>
  <si>
    <t>Wall Health</t>
  </si>
  <si>
    <t>+120%</t>
  </si>
  <si>
    <t>Enemy Health Skip</t>
  </si>
  <si>
    <t>Thorns Damage</t>
  </si>
  <si>
    <t>+10%</t>
  </si>
  <si>
    <t>Orb Speed</t>
  </si>
  <si>
    <t>Epic</t>
  </si>
  <si>
    <t>+1</t>
  </si>
  <si>
    <t>Lvl</t>
  </si>
  <si>
    <t>Mast</t>
  </si>
  <si>
    <t>▲ GENERATOR</t>
  </si>
  <si>
    <t>Coins / Kill Bonus</t>
  </si>
  <si>
    <t>+0.5x</t>
  </si>
  <si>
    <t>+6%</t>
  </si>
  <si>
    <t>Package Chance</t>
  </si>
  <si>
    <t>+11%</t>
  </si>
  <si>
    <t>+12%</t>
  </si>
  <si>
    <t>+0.6x</t>
  </si>
  <si>
    <t>+5%</t>
  </si>
  <si>
    <t>🔶 CORE</t>
  </si>
  <si>
    <t>+4s</t>
  </si>
  <si>
    <t>Black Hole - Cooldown</t>
  </si>
  <si>
    <t>-4s</t>
  </si>
  <si>
    <t>Death Wave - Quantity</t>
  </si>
  <si>
    <t>+2</t>
  </si>
  <si>
    <t>Spotlight - Angle</t>
  </si>
  <si>
    <t>+15°</t>
  </si>
  <si>
    <t>+11°</t>
  </si>
  <si>
    <t>Spotlight - Bonus</t>
  </si>
  <si>
    <t>Chain Lightning - Quantity</t>
  </si>
  <si>
    <t>Chain Lightning - Damage</t>
  </si>
  <si>
    <t>Legendary</t>
  </si>
  <si>
    <t>+50x</t>
  </si>
  <si>
    <t>Chrono Field - Cooldown</t>
  </si>
  <si>
    <t>Chrono Field - Speed Reduction</t>
  </si>
  <si>
    <t>v1.6.0</t>
  </si>
  <si>
    <t>Order</t>
  </si>
  <si>
    <t>CostValue</t>
  </si>
  <si>
    <t>CumulatedCost</t>
  </si>
  <si>
    <t>Cost</t>
  </si>
  <si>
    <t>Desired Fraction</t>
  </si>
  <si>
    <t>Rend Armor</t>
  </si>
  <si>
    <t>Damage/Meter</t>
  </si>
  <si>
    <t>Super Crit Mult</t>
  </si>
  <si>
    <t>Defense Absolute</t>
  </si>
  <si>
    <t>Land Mine Damage</t>
  </si>
  <si>
    <t>Orb Size</t>
  </si>
  <si>
    <t>Cash Bonus</t>
  </si>
  <si>
    <t>Coin Bonus</t>
  </si>
  <si>
    <t>Cells / Kill Bonus</t>
  </si>
  <si>
    <t>Recovery Package</t>
  </si>
  <si>
    <t>Enemy Level Skips</t>
  </si>
  <si>
    <t>1/8</t>
  </si>
  <si>
    <t>1/2</t>
  </si>
  <si>
    <t>Stats/Formulas</t>
  </si>
  <si>
    <t>Workshop preset</t>
  </si>
  <si>
    <t>1/1</t>
  </si>
  <si>
    <t>1/4</t>
  </si>
  <si>
    <t>Base ratio</t>
  </si>
  <si>
    <t>Order in between upgrades</t>
  </si>
  <si>
    <t>custom order</t>
  </si>
  <si>
    <t>minimum cost</t>
  </si>
  <si>
    <t>Calculation</t>
  </si>
  <si>
    <t>Purpose</t>
  </si>
  <si>
    <r>
      <rPr>
        <rFont val="Arial"/>
        <color theme="1"/>
        <sz val="11.0"/>
        <u/>
      </rPr>
      <t>What is the goal of this sheet?</t>
    </r>
    <r>
      <rPr>
        <rFont val="Arial"/>
        <color theme="1"/>
        <sz val="11.0"/>
      </rPr>
      <t xml:space="preserve">
This is not very fancy, all it does is ask you what is your top priority (Base ratio, cell D21) and it will order all the other enhancements so they match the ratio you provide in cells D2 to D19.
For instance, let's say you want to prioritise Coin Bonus, and it costs you 15T for the next upgrade. If you have 1/2 desired ratio for Health Regen, then the sheet will show Health Regen as long as it is less than 7.5T.</t>
    </r>
  </si>
  <si>
    <t>cost</t>
  </si>
  <si>
    <t>level</t>
  </si>
  <si>
    <t>pick cost if ratio less than desired</t>
  </si>
  <si>
    <t>pick the min/max/custom order</t>
  </si>
  <si>
    <t>pick only 1 if there are multiple</t>
  </si>
  <si>
    <r>
      <rPr>
        <rFont val="Arial"/>
        <color theme="1"/>
        <sz val="11.0"/>
        <u/>
      </rPr>
      <t>Disclaimer</t>
    </r>
    <r>
      <rPr>
        <rFont val="Arial"/>
        <color theme="1"/>
        <sz val="11.0"/>
      </rPr>
      <t xml:space="preserve">
This is not a replacement of ePath sheets, follow the order in those sheets!
RoI is not considered in this path. It is only ordering the enhancements based on cost compared to the selected base ratio. Adjust the ratios to your preference. Also, it doesn't take into account if an enhancement is unlocked.</t>
    </r>
  </si>
  <si>
    <r>
      <rPr>
        <rFont val="Arial"/>
        <color theme="1"/>
        <sz val="11.0"/>
        <u/>
      </rPr>
      <t xml:space="preserve">QuietFanta's Ratios
</t>
    </r>
    <r>
      <rPr>
        <rFont val="Arial"/>
        <color theme="1"/>
        <sz val="11.0"/>
      </rPr>
      <t>The sheet defaults to Fanta's order. Follow eEcon Path when a Coin Bonus is top priority and follow eDamage Path
when Critical Factor is top priority.</t>
    </r>
  </si>
  <si>
    <r>
      <rPr>
        <rFont val="Verdana"/>
        <b/>
        <color theme="1"/>
      </rPr>
      <t>Interactive Gold Box Calculator</t>
    </r>
    <r>
      <rPr>
        <rFont val="Verdana"/>
        <color theme="1"/>
      </rPr>
      <t xml:space="preserve">
Calculates, at which wave your WS will be gold boxed, without spending cash</t>
    </r>
  </si>
  <si>
    <t>Override this, if you want to use user
 specific inputs</t>
  </si>
  <si>
    <t>WS Attack Levels needed</t>
  </si>
  <si>
    <t>Lab</t>
  </si>
  <si>
    <t>WS Defense Levels needed</t>
  </si>
  <si>
    <t>Card</t>
  </si>
  <si>
    <t>Free Up Card</t>
  </si>
  <si>
    <t>WS Utility Levels needed</t>
  </si>
  <si>
    <t>Relics</t>
  </si>
  <si>
    <t>Maximum waves</t>
  </si>
  <si>
    <t>Include Perks?</t>
  </si>
  <si>
    <t>This tool can be used to calculate, how many waves are needed to complete the workshop without spending any cash manually.
Also it tells you, how many levels you need to uprade manually in order to reach goldboxed WS at the end of your run.
Please pay attention, which Cards and Modules presets you use on the Master Sheet!</t>
  </si>
  <si>
    <t>Module Substats</t>
  </si>
  <si>
    <t>How many waves are needed to complete the WS.</t>
  </si>
  <si>
    <t>Attack</t>
  </si>
  <si>
    <t>Defense</t>
  </si>
  <si>
    <t>Utility</t>
  </si>
  <si>
    <t>Vault</t>
  </si>
  <si>
    <t>Waves goldboxing</t>
  </si>
  <si>
    <t>Manual Ups</t>
  </si>
  <si>
    <t>Note: It is best to spend most of your early Cash on ELS (specifically EHLS for tournaments). So for the Utility tree this sheet is kinda irrelevant.</t>
  </si>
  <si>
    <t>Actual Sub</t>
  </si>
  <si>
    <r>
      <rPr>
        <rFont val="Verdana"/>
        <b/>
        <color theme="1"/>
      </rPr>
      <t>Interactive ELS vs ELS+ RoI Calculator</t>
    </r>
    <r>
      <rPr>
        <rFont val="Verdana"/>
        <color theme="1"/>
      </rPr>
      <t xml:space="preserve">
Calculates the best Return on Investment for ELS and ELS+ Investments</t>
    </r>
  </si>
  <si>
    <t>ELS+</t>
  </si>
  <si>
    <t>Vault enhancement discount</t>
  </si>
  <si>
    <t>Utility discount lab lvl</t>
  </si>
  <si>
    <t>ELS Vault</t>
  </si>
  <si>
    <t>ELS Relics</t>
  </si>
  <si>
    <t>Cost base</t>
  </si>
  <si>
    <t>ELS Lab Level</t>
  </si>
  <si>
    <t>Can you max ELS in your run?</t>
  </si>
  <si>
    <t>ELS Module Substats</t>
  </si>
  <si>
    <t>Average Wave to max ELS</t>
  </si>
  <si>
    <t>Lab Level Dropdown</t>
  </si>
  <si>
    <t>Enhancement discount</t>
  </si>
  <si>
    <t>Current ELS Workshop-Level</t>
  </si>
  <si>
    <t>Average maximum Wave Count</t>
  </si>
  <si>
    <t>Factor</t>
  </si>
  <si>
    <t>This calculator will dynamically calculate the most cost effective way to upgrade to ELS+
If you can max your ELS during your run (cash or free upgrades), please check the box above and enter the respective values, otherwise it will assume the average amount of upgrades during the run (67%).</t>
  </si>
  <si>
    <t>ELS</t>
  </si>
  <si>
    <t>Cost discounted</t>
  </si>
  <si>
    <t>Enable this checkbox if you are upgrading EHLS &amp; EALS equally</t>
  </si>
  <si>
    <t>ELS+ Level</t>
  </si>
  <si>
    <t>Until ELS Level</t>
  </si>
  <si>
    <r>
      <rPr>
        <rFont val="Verdana"/>
        <color theme="1"/>
        <sz val="9.0"/>
      </rPr>
      <t xml:space="preserve">New update: Now it will highlight what ELS+ lvl to be at before upgrading ELS by reading the current ELS workshop level
</t>
    </r>
    <r>
      <rPr>
        <rFont val="Verdana"/>
        <i/>
        <color theme="1"/>
        <sz val="9.0"/>
      </rPr>
      <t xml:space="preserve">Feel free to share!
</t>
    </r>
    <r>
      <rPr>
        <rFont val="Verdana"/>
        <color theme="1"/>
        <sz val="9.0"/>
      </rPr>
      <t xml:space="preserve">
Created by </t>
    </r>
    <r>
      <rPr>
        <rFont val="Verdana"/>
        <b/>
        <color theme="1"/>
        <sz val="9.0"/>
      </rPr>
      <t xml:space="preserve">Dark </t>
    </r>
    <r>
      <rPr>
        <rFont val="Verdana"/>
        <color theme="1"/>
        <sz val="9.0"/>
      </rPr>
      <t xml:space="preserve">&amp; </t>
    </r>
    <r>
      <rPr>
        <rFont val="Verdana"/>
        <b/>
        <color theme="1"/>
        <sz val="9.0"/>
      </rPr>
      <t>1410c</t>
    </r>
    <r>
      <rPr>
        <rFont val="Verdana"/>
        <color theme="1"/>
        <sz val="9.0"/>
      </rPr>
      <t xml:space="preserve">
</t>
    </r>
    <r>
      <rPr>
        <rFont val="Verdana"/>
        <i/>
        <color theme="1"/>
        <sz val="8.0"/>
      </rPr>
      <t>Thanks to Princess Shion, Cruoton, Subjectivity and many others for all their feedback, input &amp; inspiration!</t>
    </r>
  </si>
  <si>
    <t>ELS Substat Dropdown</t>
  </si>
  <si>
    <t>User inputs</t>
  </si>
  <si>
    <t>Results</t>
  </si>
  <si>
    <t>Next coin price</t>
  </si>
  <si>
    <t>Avg WS ELS</t>
  </si>
  <si>
    <t>Total EHLS -ELS+</t>
  </si>
  <si>
    <t>Can you max ELS mid run?</t>
  </si>
  <si>
    <t>Next els price</t>
  </si>
  <si>
    <t>EHLS</t>
  </si>
  <si>
    <t>At what wave do you die?</t>
  </si>
  <si>
    <t>EALS</t>
  </si>
  <si>
    <t>At what wave do you max ELS?</t>
  </si>
  <si>
    <t>ISm</t>
  </si>
  <si>
    <t>Do you die to enemy damage or enemy hp getting too high? (GC vs ehp strats)</t>
  </si>
  <si>
    <t>Health (GC)</t>
  </si>
  <si>
    <t>ISm waves</t>
  </si>
  <si>
    <t>Real final wave</t>
  </si>
  <si>
    <t>Now for some run-stats to make the calculation. 
This is for a single run</t>
  </si>
  <si>
    <r>
      <rPr>
        <rFont val="Arial"/>
        <color theme="1"/>
        <sz val="9.0"/>
      </rPr>
      <t xml:space="preserve">This calculator will find the expected coin increase in CPW (closely related to CPH) when upgrading either Coins+ or ELS+
If </t>
    </r>
    <r>
      <rPr>
        <rFont val="Arial"/>
        <b/>
        <color theme="1"/>
        <sz val="9.0"/>
      </rPr>
      <t>ELS+ is negative</t>
    </r>
    <r>
      <rPr>
        <rFont val="Arial"/>
        <color theme="1"/>
        <sz val="9.0"/>
      </rPr>
      <t>, it means your inputted values have lower CPW in the end than your average CPW. Check your values or try an earlier sample wave, maybe at 50% max waves</t>
    </r>
  </si>
  <si>
    <t>Real test wave</t>
  </si>
  <si>
    <t>Wave count 500-1000 waves before end</t>
  </si>
  <si>
    <t>Final coins</t>
  </si>
  <si>
    <t>Coins at the same time as above</t>
  </si>
  <si>
    <t>T</t>
  </si>
  <si>
    <t>Test coins</t>
  </si>
  <si>
    <t>End screen wave count</t>
  </si>
  <si>
    <t>End screen coins</t>
  </si>
  <si>
    <t>Final CPW</t>
  </si>
  <si>
    <t>Below are stats read from IDS that is used in the calculation</t>
  </si>
  <si>
    <t>Test CPW</t>
  </si>
  <si>
    <t>ELS+ level</t>
  </si>
  <si>
    <t>Mod EALS substat</t>
  </si>
  <si>
    <t>End-run CPW</t>
  </si>
  <si>
    <t>Coins+ level</t>
  </si>
  <si>
    <t>Mod EHLS substat</t>
  </si>
  <si>
    <t>Raw wave</t>
  </si>
  <si>
    <t>With ELS+ level</t>
  </si>
  <si>
    <t>New real max wave</t>
  </si>
  <si>
    <t>IS mastery level
(if not unlocked then it should be -1)</t>
  </si>
  <si>
    <t>Vault EALS</t>
  </si>
  <si>
    <t>New real max CPW</t>
  </si>
  <si>
    <t>Vault EHLS</t>
  </si>
  <si>
    <t>ws EALS</t>
  </si>
  <si>
    <t>Lab EALS</t>
  </si>
  <si>
    <t>ws EHLS</t>
  </si>
  <si>
    <t>Lab EHLS</t>
  </si>
  <si>
    <t>ws EALS max</t>
  </si>
  <si>
    <t>Relic EALS</t>
  </si>
  <si>
    <t>ws EHLS max</t>
  </si>
  <si>
    <t>Relic EHLS</t>
  </si>
  <si>
    <t>Damage / Meter</t>
  </si>
  <si>
    <t>Lifesteal</t>
  </si>
  <si>
    <t>Workshop +</t>
  </si>
  <si>
    <t>Wv2</t>
  </si>
  <si>
    <t>U</t>
  </si>
  <si>
    <t>WS+</t>
  </si>
  <si>
    <t>WORKSHOP ENHANCEMENTS</t>
  </si>
  <si>
    <t>Damage +</t>
  </si>
  <si>
    <t>Rend Armor Mult +</t>
  </si>
  <si>
    <t>Critical Factor +</t>
  </si>
  <si>
    <t>Damage / Meter +</t>
  </si>
  <si>
    <t>Range</t>
  </si>
  <si>
    <t>Super Crit Multi +</t>
  </si>
  <si>
    <t>Attack Speed +</t>
  </si>
  <si>
    <t>Multishot Chance</t>
  </si>
  <si>
    <t>Health +</t>
  </si>
  <si>
    <t>Health Regen +</t>
  </si>
  <si>
    <t>Rapid Fire Chance</t>
  </si>
  <si>
    <t>Defense Absolute +</t>
  </si>
  <si>
    <t>Rapid Fire Duration</t>
  </si>
  <si>
    <t>Land Mine Damage +</t>
  </si>
  <si>
    <t>Bounce Shot Chance</t>
  </si>
  <si>
    <t>Wall Health +</t>
  </si>
  <si>
    <t>Bounce Shot Targets</t>
  </si>
  <si>
    <t>Orb Size +</t>
  </si>
  <si>
    <t>Bounce Shot Range</t>
  </si>
  <si>
    <t>Cash Bonus +</t>
  </si>
  <si>
    <t>Super Critical Chance</t>
  </si>
  <si>
    <t>Coin Bonus +</t>
  </si>
  <si>
    <t>Super Critical Mult</t>
  </si>
  <si>
    <t>Cells / Kill Bonus +</t>
  </si>
  <si>
    <t>Rend Armor Chance</t>
  </si>
  <si>
    <t>Free Upgrades +</t>
  </si>
  <si>
    <t>Rend Armor Mult</t>
  </si>
  <si>
    <t>Recovery Package +</t>
  </si>
  <si>
    <t>Enemy Level Skips +</t>
  </si>
  <si>
    <t>Thorn Damage</t>
  </si>
  <si>
    <t>Knockback Chance</t>
  </si>
  <si>
    <t>Orbs</t>
  </si>
  <si>
    <t>Shockwave Size</t>
  </si>
  <si>
    <t>Shockwave Frequency</t>
  </si>
  <si>
    <t>Land Mine Chance</t>
  </si>
  <si>
    <t>Land Mine Radius</t>
  </si>
  <si>
    <t>Death Defy</t>
  </si>
  <si>
    <t>Wall Rebuild</t>
  </si>
  <si>
    <t>Cash / Wave</t>
  </si>
  <si>
    <t>Coin / Kill Bonus</t>
  </si>
  <si>
    <t>Coin / Wave</t>
  </si>
  <si>
    <t>Interest / Wave</t>
  </si>
  <si>
    <t>Recovery Amount</t>
  </si>
  <si>
    <t>Max Amount</t>
  </si>
  <si>
    <t>Enemy Level Skip</t>
  </si>
</sst>
</file>

<file path=xl/styles.xml><?xml version="1.0" encoding="utf-8"?>
<styleSheet xmlns="http://schemas.openxmlformats.org/spreadsheetml/2006/main" xmlns:x14ac="http://schemas.microsoft.com/office/spreadsheetml/2009/9/ac" xmlns:mc="http://schemas.openxmlformats.org/markup-compatibility/2006">
  <numFmts count="31">
    <numFmt numFmtId="164" formatCode="&quot;x&quot;#,##0"/>
    <numFmt numFmtId="165" formatCode="0.0%"/>
    <numFmt numFmtId="166" formatCode="&quot;x &quot;0.00"/>
    <numFmt numFmtId="167" formatCode="#,##0[$ keys]"/>
    <numFmt numFmtId="168" formatCode="0&quot;#&quot;"/>
    <numFmt numFmtId="169" formatCode="#&quot;s&quot;"/>
    <numFmt numFmtId="170" formatCode="#[$s]"/>
    <numFmt numFmtId="171" formatCode="[$x]#,#0"/>
    <numFmt numFmtId="172" formatCode="[$x]#,#0.000"/>
    <numFmt numFmtId="173" formatCode="#,##0;-#,##0"/>
    <numFmt numFmtId="174" formatCode="#&quot;m&quot;"/>
    <numFmt numFmtId="175" formatCode="#[$m]"/>
    <numFmt numFmtId="176" formatCode="#.0&quot;s&quot;"/>
    <numFmt numFmtId="177" formatCode="0.0&quot;s&quot;"/>
    <numFmt numFmtId="178" formatCode="#,##0.00;-#,##0.00"/>
    <numFmt numFmtId="179" formatCode="0&quot;s&quot;"/>
    <numFmt numFmtId="180" formatCode="[$x]0.00"/>
    <numFmt numFmtId="181" formatCode="#.0[$s]"/>
    <numFmt numFmtId="182" formatCode="#&quot;#&quot;"/>
    <numFmt numFmtId="183" formatCode="#0&quot;m&quot;"/>
    <numFmt numFmtId="184" formatCode="[$x]#.0"/>
    <numFmt numFmtId="185" formatCode="&quot;x&quot;#0.0"/>
    <numFmt numFmtId="186" formatCode="#0[$s]"/>
    <numFmt numFmtId="187" formatCode="0.00&quot;/s&quot;"/>
    <numFmt numFmtId="188" formatCode="0.0&quot;x&quot;"/>
    <numFmt numFmtId="189" formatCode="[$x]#,#0.0"/>
    <numFmt numFmtId="190" formatCode="0.000"/>
    <numFmt numFmtId="191" formatCode="[$lvl ]###0"/>
    <numFmt numFmtId="192" formatCode="0.0"/>
    <numFmt numFmtId="193" formatCode="0.000000000000000000000000000000"/>
    <numFmt numFmtId="194" formatCode="#,##0.00000"/>
  </numFmts>
  <fonts count="94">
    <font>
      <sz val="10.0"/>
      <color rgb="FF000000"/>
      <name val="Arial"/>
      <scheme val="minor"/>
    </font>
    <font>
      <color rgb="FFFFFFFF"/>
      <name val="Comfortaa"/>
    </font>
    <font>
      <b/>
      <sz val="22.0"/>
      <color theme="1"/>
      <name val="Lobster"/>
    </font>
    <font>
      <u/>
      <sz val="11.0"/>
      <color rgb="FF0000FF"/>
      <name val="Comfortaa"/>
    </font>
    <font>
      <b/>
      <sz val="12.0"/>
      <color rgb="FFFFFFFF"/>
      <name val="Comfortaa"/>
    </font>
    <font>
      <b/>
      <sz val="10.0"/>
      <color rgb="FFFFFFFF"/>
      <name val="Comfortaa"/>
    </font>
    <font>
      <b/>
      <color rgb="FFFFFFFF"/>
      <name val="Comfortaa"/>
    </font>
    <font/>
    <font>
      <color theme="1"/>
      <name val="Comfortaa"/>
    </font>
    <font>
      <color theme="1"/>
      <name val="Arial"/>
    </font>
    <font>
      <u/>
      <sz val="8.0"/>
      <color rgb="FF999999"/>
      <name val="Comfortaa"/>
    </font>
    <font>
      <sz val="8.0"/>
      <color rgb="FF999999"/>
      <name val="Comfortaa"/>
    </font>
    <font>
      <sz val="11.0"/>
      <color rgb="FFFFFFFF"/>
      <name val="Arial"/>
    </font>
    <font>
      <u/>
      <color rgb="FFFFFFFF"/>
      <name val="Arial"/>
    </font>
    <font>
      <color theme="0"/>
      <name val="Comfortaa"/>
    </font>
    <font>
      <sz val="15.0"/>
      <color theme="1"/>
      <name val="Comfortaa"/>
    </font>
    <font>
      <color rgb="FF999999"/>
      <name val="Comfortaa"/>
    </font>
    <font>
      <sz val="8.0"/>
      <color rgb="FFB7B7B7"/>
      <name val="Comfortaa"/>
    </font>
    <font>
      <b/>
      <sz val="11.0"/>
      <color rgb="FFFFFFFF"/>
      <name val="Comfortaa"/>
    </font>
    <font>
      <u/>
      <color rgb="FFFFFFFF"/>
      <name val="Comfortaa"/>
    </font>
    <font>
      <b/>
      <u/>
      <sz val="9.0"/>
      <color rgb="FF3D85C6"/>
      <name val="Comfortaa"/>
    </font>
    <font>
      <u/>
      <color rgb="FF3D85C6"/>
      <name val="Comfortaa"/>
    </font>
    <font>
      <color rgb="FFF6B26B"/>
      <name val="Comfortaa"/>
    </font>
    <font>
      <sz val="9.0"/>
      <color rgb="FF999999"/>
      <name val="Comfortaa"/>
    </font>
    <font>
      <color rgb="FFCCCCCC"/>
      <name val="Comfortaa"/>
    </font>
    <font>
      <b/>
      <color theme="1"/>
      <name val="Arial"/>
    </font>
    <font>
      <u/>
      <color rgb="FF0000FF"/>
      <name val="Arial"/>
    </font>
    <font>
      <u/>
      <color rgb="FF0000FF"/>
      <name val="Arial"/>
    </font>
    <font>
      <u/>
      <color rgb="FF1155CC"/>
      <name val="Arial"/>
    </font>
    <font>
      <u/>
      <color rgb="FF1155CC"/>
      <name val="Arial"/>
    </font>
    <font>
      <b/>
      <sz val="9.0"/>
      <color theme="1"/>
      <name val="Calibri"/>
    </font>
    <font>
      <b/>
      <sz val="11.0"/>
      <color theme="1"/>
      <name val="Calibri"/>
    </font>
    <font>
      <b/>
      <u/>
      <sz val="11.0"/>
      <color rgb="FF0000FF"/>
      <name val="Calibri"/>
    </font>
    <font>
      <b/>
      <sz val="9.0"/>
      <color theme="1"/>
      <name val="Verdana"/>
    </font>
    <font>
      <b/>
      <sz val="14.0"/>
      <color rgb="FFFFFFFF"/>
      <name val="Arial"/>
    </font>
    <font>
      <sz val="9.0"/>
      <color theme="1"/>
      <name val="Comfortaa"/>
    </font>
    <font>
      <b/>
      <sz val="9.0"/>
      <color rgb="FF060606"/>
      <name val="Comfortaa"/>
    </font>
    <font>
      <sz val="9.0"/>
      <color rgb="FF434343"/>
      <name val="Comfortaa"/>
    </font>
    <font>
      <b/>
      <sz val="9.0"/>
      <color rgb="FF666666"/>
      <name val="Comfortaa"/>
    </font>
    <font>
      <b/>
      <sz val="14.0"/>
      <color rgb="FFFFFFFF"/>
      <name val="Verdana"/>
    </font>
    <font>
      <b/>
      <i/>
      <sz val="12.0"/>
      <color theme="1"/>
      <name val="Verdana"/>
    </font>
    <font>
      <b/>
      <sz val="16.0"/>
      <color theme="1"/>
      <name val="Verdana"/>
    </font>
    <font>
      <b/>
      <sz val="13.0"/>
      <color theme="1"/>
      <name val="Verdana"/>
    </font>
    <font>
      <sz val="11.0"/>
      <color theme="1"/>
      <name val="Verdana"/>
    </font>
    <font>
      <sz val="9.0"/>
      <color theme="1"/>
      <name val="Verdana"/>
    </font>
    <font>
      <color rgb="FFFFFFFF"/>
      <name val="Arial"/>
    </font>
    <font>
      <b/>
      <sz val="9.0"/>
      <color theme="1"/>
      <name val="Comfortaa"/>
    </font>
    <font>
      <sz val="10.0"/>
      <color rgb="FF000000"/>
      <name val="Arial"/>
    </font>
    <font>
      <sz val="11.0"/>
      <color theme="1"/>
      <name val="Calibri"/>
    </font>
    <font>
      <b/>
      <i/>
      <color rgb="FFFFFFFF"/>
      <name val="Comfortaa"/>
    </font>
    <font>
      <b/>
      <color theme="1"/>
      <name val="Verdana"/>
    </font>
    <font>
      <color rgb="FF660000"/>
      <name val="Verdana"/>
    </font>
    <font>
      <sz val="9.0"/>
      <color rgb="FF657D94"/>
      <name val="Comfortaa"/>
    </font>
    <font>
      <sz val="9.0"/>
      <color rgb="FF956161"/>
      <name val="Comfortaa"/>
    </font>
    <font>
      <sz val="8.0"/>
      <color theme="1"/>
      <name val="Verdana"/>
    </font>
    <font>
      <sz val="8.0"/>
      <color rgb="FF666666"/>
      <name val="Verdana"/>
    </font>
    <font>
      <b/>
      <i/>
      <sz val="10.0"/>
      <color rgb="FFB7B7B7"/>
      <name val="Comfortaa"/>
    </font>
    <font>
      <b/>
      <sz val="8.0"/>
      <color theme="1"/>
      <name val="Verdana"/>
    </font>
    <font>
      <sz val="9.0"/>
      <color rgb="FF660000"/>
      <name val="Verdana"/>
    </font>
    <font>
      <sz val="9.0"/>
      <color rgb="FFA29261"/>
      <name val="Comfortaa"/>
    </font>
    <font>
      <sz val="8.0"/>
      <color theme="1"/>
      <name val="Comfortaa"/>
    </font>
    <font>
      <b/>
      <sz val="8.0"/>
      <color rgb="FF666666"/>
      <name val="Comfortaa"/>
    </font>
    <font>
      <color rgb="FF0C343D"/>
      <name val="Verdana"/>
    </font>
    <font>
      <b/>
      <sz val="9.0"/>
      <color rgb="FF666666"/>
      <name val="Verdana"/>
    </font>
    <font>
      <sz val="9.0"/>
      <color rgb="FF0C343D"/>
      <name val="Verdana"/>
    </font>
    <font>
      <color rgb="FF7F6000"/>
      <name val="Verdana"/>
    </font>
    <font>
      <sz val="9.0"/>
      <color rgb="FF7F6000"/>
      <name val="Verdana"/>
    </font>
    <font>
      <color rgb="FF073763"/>
      <name val="Verdana"/>
    </font>
    <font>
      <sz val="9.0"/>
      <color rgb="FF073763"/>
      <name val="Verdana"/>
    </font>
    <font>
      <sz val="8.0"/>
      <color theme="1"/>
      <name val="Arial"/>
    </font>
    <font>
      <color rgb="FF23272A"/>
      <name val="Arial"/>
    </font>
    <font>
      <sz val="8.0"/>
      <color rgb="FF666666"/>
      <name val="Arial"/>
    </font>
    <font>
      <sz val="8.0"/>
      <color rgb="FF666666"/>
      <name val="Comfortaa"/>
    </font>
    <font>
      <b/>
      <i/>
      <sz val="14.0"/>
      <color rgb="FFFFFFFF"/>
      <name val="Verdana"/>
    </font>
    <font>
      <sz val="11.0"/>
      <color theme="1"/>
      <name val="Arial"/>
    </font>
    <font>
      <color theme="1"/>
      <name val="Verdana"/>
    </font>
    <font>
      <i/>
      <color rgb="FF000000"/>
      <name val="Verdana"/>
    </font>
    <font>
      <sz val="10.0"/>
      <color rgb="FF666666"/>
      <name val="Verdana"/>
    </font>
    <font>
      <sz val="10.0"/>
      <color theme="1"/>
      <name val="Verdana"/>
    </font>
    <font>
      <u/>
      <sz val="9.0"/>
      <color theme="1"/>
      <name val="Verdana"/>
    </font>
    <font>
      <color rgb="FF666666"/>
      <name val="Verdana"/>
    </font>
    <font>
      <i/>
      <sz val="9.0"/>
      <color rgb="FF666666"/>
      <name val="Verdana"/>
    </font>
    <font>
      <i/>
      <color rgb="FF666666"/>
      <name val="Verdana"/>
    </font>
    <font>
      <sz val="9.0"/>
      <color rgb="FF666666"/>
      <name val="Verdana"/>
    </font>
    <font>
      <sz val="9.0"/>
      <color rgb="FF000000"/>
      <name val="Verdana"/>
    </font>
    <font>
      <b/>
      <sz val="12.0"/>
      <color theme="1"/>
      <name val="Arial"/>
      <scheme val="minor"/>
    </font>
    <font>
      <color theme="1"/>
      <name val="Arial"/>
      <scheme val="minor"/>
    </font>
    <font>
      <sz val="9.0"/>
      <color theme="1"/>
      <name val="Arial"/>
      <scheme val="minor"/>
    </font>
    <font>
      <b/>
      <sz val="11.0"/>
      <color theme="1"/>
      <name val="Arial"/>
      <scheme val="minor"/>
    </font>
    <font>
      <color rgb="FF666666"/>
      <name val="Arial"/>
      <scheme val="minor"/>
    </font>
    <font>
      <color rgb="FF666666"/>
      <name val="Arial"/>
    </font>
    <font>
      <color rgb="FF000000"/>
      <name val="Arial"/>
      <scheme val="minor"/>
    </font>
    <font>
      <color rgb="FF666666"/>
      <name val="Comfortaa"/>
    </font>
    <font>
      <color rgb="FFEFEFEF"/>
      <name val="Arial"/>
    </font>
  </fonts>
  <fills count="41">
    <fill>
      <patternFill patternType="none"/>
    </fill>
    <fill>
      <patternFill patternType="lightGray"/>
    </fill>
    <fill>
      <patternFill patternType="solid">
        <fgColor rgb="FF23272A"/>
        <bgColor rgb="FF23272A"/>
      </patternFill>
    </fill>
    <fill>
      <patternFill patternType="solid">
        <fgColor rgb="FF559E88"/>
        <bgColor rgb="FF559E88"/>
      </patternFill>
    </fill>
    <fill>
      <patternFill patternType="solid">
        <fgColor rgb="FF9FC5E8"/>
        <bgColor rgb="FF9FC5E8"/>
      </patternFill>
    </fill>
    <fill>
      <patternFill patternType="solid">
        <fgColor rgb="FF434343"/>
        <bgColor rgb="FF434343"/>
      </patternFill>
    </fill>
    <fill>
      <patternFill patternType="solid">
        <fgColor rgb="FF93C47D"/>
        <bgColor rgb="FF93C47D"/>
      </patternFill>
    </fill>
    <fill>
      <patternFill patternType="solid">
        <fgColor rgb="FF666666"/>
        <bgColor rgb="FF666666"/>
      </patternFill>
    </fill>
    <fill>
      <patternFill patternType="solid">
        <fgColor rgb="FFFFF2CC"/>
        <bgColor rgb="FFFFF2CC"/>
      </patternFill>
    </fill>
    <fill>
      <patternFill patternType="solid">
        <fgColor rgb="FFF4CCCC"/>
        <bgColor rgb="FFF4CCCC"/>
      </patternFill>
    </fill>
    <fill>
      <patternFill patternType="solid">
        <fgColor rgb="FFEA9999"/>
        <bgColor rgb="FFEA9999"/>
      </patternFill>
    </fill>
    <fill>
      <patternFill patternType="solid">
        <fgColor rgb="FFE6B8AF"/>
        <bgColor rgb="FFE6B8AF"/>
      </patternFill>
    </fill>
    <fill>
      <patternFill patternType="solid">
        <fgColor rgb="FFF9CB9C"/>
        <bgColor rgb="FFF9CB9C"/>
      </patternFill>
    </fill>
    <fill>
      <patternFill patternType="solid">
        <fgColor rgb="FFFCE5CD"/>
        <bgColor rgb="FFFCE5CD"/>
      </patternFill>
    </fill>
    <fill>
      <patternFill patternType="solid">
        <fgColor rgb="FF66CDAA"/>
        <bgColor rgb="FF66CDAA"/>
      </patternFill>
    </fill>
    <fill>
      <patternFill patternType="solid">
        <fgColor rgb="FFE06666"/>
        <bgColor rgb="FFE06666"/>
      </patternFill>
    </fill>
    <fill>
      <patternFill patternType="solid">
        <fgColor rgb="FFB3E6D5"/>
        <bgColor rgb="FFB3E6D5"/>
      </patternFill>
    </fill>
    <fill>
      <patternFill patternType="solid">
        <fgColor rgb="FFFFE599"/>
        <bgColor rgb="FFFFE599"/>
      </patternFill>
    </fill>
    <fill>
      <patternFill patternType="solid">
        <fgColor rgb="FFD5A6BD"/>
        <bgColor rgb="FFD5A6BD"/>
      </patternFill>
    </fill>
    <fill>
      <patternFill patternType="solid">
        <fgColor rgb="FFEAD1DC"/>
        <bgColor rgb="FFEAD1DC"/>
      </patternFill>
    </fill>
    <fill>
      <patternFill patternType="solid">
        <fgColor rgb="FF9BEA78"/>
        <bgColor rgb="FF9BEA78"/>
      </patternFill>
    </fill>
    <fill>
      <patternFill patternType="solid">
        <fgColor rgb="FFCFFEBE"/>
        <bgColor rgb="FFCFFEBE"/>
      </patternFill>
    </fill>
    <fill>
      <patternFill patternType="solid">
        <fgColor rgb="FFB6D7A8"/>
        <bgColor rgb="FFB6D7A8"/>
      </patternFill>
    </fill>
    <fill>
      <patternFill patternType="solid">
        <fgColor rgb="FFD9EAD3"/>
        <bgColor rgb="FFD9EAD3"/>
      </patternFill>
    </fill>
    <fill>
      <patternFill patternType="solid">
        <fgColor rgb="FFD0E0E3"/>
        <bgColor rgb="FFD0E0E3"/>
      </patternFill>
    </fill>
    <fill>
      <patternFill patternType="solid">
        <fgColor rgb="FF6D9EEB"/>
        <bgColor rgb="FF6D9EEB"/>
      </patternFill>
    </fill>
    <fill>
      <patternFill patternType="solid">
        <fgColor rgb="FFC9DAF8"/>
        <bgColor rgb="FFC9DAF8"/>
      </patternFill>
    </fill>
    <fill>
      <patternFill patternType="solid">
        <fgColor rgb="FFFFD966"/>
        <bgColor rgb="FFFFD966"/>
      </patternFill>
    </fill>
    <fill>
      <patternFill patternType="solid">
        <fgColor rgb="FFA4C2F4"/>
        <bgColor rgb="FFA4C2F4"/>
      </patternFill>
    </fill>
    <fill>
      <patternFill patternType="solid">
        <fgColor rgb="FF6FA8DC"/>
        <bgColor rgb="FF6FA8DC"/>
      </patternFill>
    </fill>
    <fill>
      <patternFill patternType="solid">
        <fgColor rgb="FFF3F3F3"/>
        <bgColor rgb="FFF3F3F3"/>
      </patternFill>
    </fill>
    <fill>
      <patternFill patternType="solid">
        <fgColor rgb="FFB4A7D6"/>
        <bgColor rgb="FFB4A7D6"/>
      </patternFill>
    </fill>
    <fill>
      <patternFill patternType="solid">
        <fgColor rgb="FF87CEFA"/>
        <bgColor rgb="FF87CEFA"/>
      </patternFill>
    </fill>
    <fill>
      <patternFill patternType="solid">
        <fgColor rgb="FFC3E6FA"/>
        <bgColor rgb="FFC3E6FA"/>
      </patternFill>
    </fill>
    <fill>
      <patternFill patternType="solid">
        <fgColor rgb="FFD9D9D9"/>
        <bgColor rgb="FFD9D9D9"/>
      </patternFill>
    </fill>
    <fill>
      <patternFill patternType="solid">
        <fgColor rgb="FFFFFFFF"/>
        <bgColor rgb="FFFFFFFF"/>
      </patternFill>
    </fill>
    <fill>
      <patternFill patternType="solid">
        <fgColor rgb="FFDDAAFF"/>
        <bgColor rgb="FFDDAAFF"/>
      </patternFill>
    </fill>
    <fill>
      <patternFill patternType="solid">
        <fgColor rgb="FFC877CF"/>
        <bgColor rgb="FFC877CF"/>
      </patternFill>
    </fill>
    <fill>
      <patternFill patternType="solid">
        <fgColor rgb="FFEDD2FF"/>
        <bgColor rgb="FFEDD2FF"/>
      </patternFill>
    </fill>
    <fill>
      <patternFill patternType="solid">
        <fgColor rgb="FFF2E1FC"/>
        <bgColor rgb="FFF2E1FC"/>
      </patternFill>
    </fill>
    <fill>
      <patternFill patternType="solid">
        <fgColor rgb="FF000000"/>
        <bgColor rgb="FF000000"/>
      </patternFill>
    </fill>
  </fills>
  <borders count="162">
    <border/>
    <border>
      <left style="thin">
        <color rgb="FFFF0000"/>
      </left>
    </border>
    <border>
      <left style="thin">
        <color rgb="FF000000"/>
      </left>
      <right style="thin">
        <color rgb="FF000000"/>
      </right>
      <top style="thin">
        <color rgb="FF000000"/>
      </top>
      <bottom style="thin">
        <color rgb="FF000000"/>
      </bottom>
    </border>
    <border>
      <bottom style="thin">
        <color rgb="FFFFFFFF"/>
      </bottom>
    </border>
    <border>
      <left style="thin">
        <color rgb="FF0000FF"/>
      </left>
    </border>
    <border>
      <left style="thin">
        <color rgb="FF00FF00"/>
      </left>
    </border>
    <border>
      <bottom style="thick">
        <color rgb="FF666666"/>
      </bottom>
    </border>
    <border>
      <bottom style="thick">
        <color rgb="FFFF0000"/>
      </bottom>
    </border>
    <border>
      <bottom style="thick">
        <color rgb="FF0000FF"/>
      </bottom>
    </border>
    <border>
      <bottom style="medium">
        <color rgb="FF00FF00"/>
      </bottom>
    </border>
    <border>
      <left style="dotted">
        <color rgb="FFFCE5CD"/>
      </left>
      <top style="dotted">
        <color rgb="FFFCE5CD"/>
      </top>
    </border>
    <border>
      <top style="dotted">
        <color rgb="FFFCE5CD"/>
      </top>
    </border>
    <border>
      <right style="dotted">
        <color rgb="FFFCE5CD"/>
      </right>
      <top style="dotted">
        <color rgb="FFFCE5CD"/>
      </top>
    </border>
    <border>
      <left style="dotted">
        <color rgb="FFFCE5CD"/>
      </left>
    </border>
    <border>
      <right style="dotted">
        <color rgb="FFFCE5CD"/>
      </right>
    </border>
    <border>
      <left style="dotted">
        <color rgb="FFFCE5CD"/>
      </left>
      <bottom style="dotted">
        <color rgb="FFFCE5CD"/>
      </bottom>
    </border>
    <border>
      <bottom style="dotted">
        <color rgb="FFFCE5CD"/>
      </bottom>
    </border>
    <border>
      <right style="dotted">
        <color rgb="FFFCE5CD"/>
      </right>
      <bottom style="dotted">
        <color rgb="FFFCE5CD"/>
      </bottom>
    </border>
    <border>
      <left style="thin">
        <color rgb="FFFFFFFF"/>
      </left>
    </border>
    <border>
      <left style="thin">
        <color rgb="FF000000"/>
      </left>
      <right style="thin">
        <color rgb="FF666666"/>
      </right>
      <top style="thin">
        <color rgb="FF000000"/>
      </top>
      <bottom style="thin">
        <color rgb="FF000000"/>
      </bottom>
    </border>
    <border>
      <left style="thin">
        <color rgb="FF666666"/>
      </left>
      <right style="thin">
        <color rgb="FF666666"/>
      </right>
      <top style="thin">
        <color rgb="FF000000"/>
      </top>
      <bottom style="thin">
        <color rgb="FF000000"/>
      </bottom>
    </border>
    <border>
      <left style="thin">
        <color rgb="FF666666"/>
      </left>
      <right style="thin">
        <color rgb="FF000000"/>
      </right>
      <top style="thin">
        <color rgb="FF000000"/>
      </top>
      <bottom style="thin">
        <color rgb="FF000000"/>
      </bottom>
    </border>
    <border>
      <right style="thin">
        <color rgb="FF23272A"/>
      </right>
      <top style="thin">
        <color rgb="FF23272A"/>
      </top>
      <bottom style="thin">
        <color rgb="FF23272A"/>
      </bottom>
    </border>
    <border>
      <left style="thin">
        <color rgb="FF000000"/>
      </left>
      <top style="thin">
        <color rgb="FF000000"/>
      </top>
    </border>
    <border>
      <left style="thin">
        <color rgb="FF000000"/>
      </left>
      <right style="thin">
        <color rgb="FF000000"/>
      </right>
      <top style="thin">
        <color rgb="FF000000"/>
      </top>
    </border>
    <border>
      <right style="thin">
        <color rgb="FF000000"/>
      </right>
      <top style="thin">
        <color rgb="FF000000"/>
      </top>
    </border>
    <border>
      <top style="thin">
        <color rgb="FF23272A"/>
      </top>
      <bottom style="thin">
        <color rgb="FF23272A"/>
      </bottom>
    </border>
    <border>
      <left style="thin">
        <color rgb="FF000000"/>
      </left>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F6B26B"/>
      </bottom>
    </border>
    <border>
      <right style="thin">
        <color rgb="FF23272A"/>
      </right>
      <bottom style="thin">
        <color rgb="FF23272A"/>
      </bottom>
    </border>
    <border>
      <right style="medium">
        <color rgb="FF000000"/>
      </right>
    </border>
    <border>
      <left style="thin">
        <color rgb="FF000000"/>
      </left>
      <right style="thin">
        <color rgb="FF000000"/>
      </right>
    </border>
    <border>
      <top style="thin">
        <color rgb="FF000000"/>
      </top>
    </border>
    <border>
      <left style="medium">
        <color rgb="FF000000"/>
      </left>
    </border>
    <border>
      <right style="thin">
        <color rgb="FF000000"/>
      </right>
    </border>
    <border>
      <left style="thin">
        <color rgb="FF000000"/>
      </left>
      <right style="thin">
        <color rgb="FF000000"/>
      </right>
      <bottom style="thin">
        <color rgb="FF23272A"/>
      </bottom>
    </border>
    <border>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border>
    <border>
      <left style="thin">
        <color rgb="FF000000"/>
      </left>
      <right style="thin">
        <color rgb="FF000000"/>
      </right>
      <top style="thin">
        <color rgb="FF23272A"/>
      </top>
    </border>
    <border>
      <left style="medium">
        <color rgb="FF000000"/>
      </left>
      <right style="hair">
        <color rgb="FF000000"/>
      </right>
      <top style="thin">
        <color rgb="FF000000"/>
      </top>
    </border>
    <border>
      <left style="hair">
        <color rgb="FF000000"/>
      </left>
      <right style="medium">
        <color rgb="FF000000"/>
      </right>
      <top style="thin">
        <color rgb="FF000000"/>
      </top>
    </border>
    <border>
      <right style="thin">
        <color rgb="FFEA9999"/>
      </right>
    </border>
    <border>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23272A"/>
      </left>
      <top style="thin">
        <color rgb="FF23272A"/>
      </top>
      <bottom style="thin">
        <color rgb="FF23272A"/>
      </bottom>
    </border>
    <border>
      <left style="medium">
        <color rgb="FF000000"/>
      </left>
      <right style="hair">
        <color rgb="FF000000"/>
      </right>
    </border>
    <border>
      <left style="hair">
        <color rgb="FF000000"/>
      </left>
      <right style="medium">
        <color rgb="FF000000"/>
      </right>
    </border>
    <border>
      <top style="thin">
        <color rgb="FF000000"/>
      </top>
      <bottom style="thin">
        <color rgb="FF000000"/>
      </bottom>
    </border>
    <border>
      <left style="thin">
        <color rgb="FF000000"/>
      </left>
      <right style="thin">
        <color rgb="FF000000"/>
      </right>
      <bottom style="dotted">
        <color rgb="FF000000"/>
      </bottom>
    </border>
    <border>
      <left style="thin">
        <color rgb="FF000000"/>
      </left>
      <top style="thin">
        <color rgb="FF000000"/>
      </top>
      <bottom style="dotted">
        <color rgb="FF000000"/>
      </bottom>
    </border>
    <border>
      <right style="thin">
        <color rgb="FF000000"/>
      </right>
      <top style="thin">
        <color rgb="FF000000"/>
      </top>
      <bottom style="dotted">
        <color rgb="FF000000"/>
      </bottom>
    </border>
    <border>
      <left style="thin">
        <color rgb="FF000000"/>
      </left>
      <right style="thin">
        <color rgb="FF000000"/>
      </right>
      <top style="dotted">
        <color rgb="FF000000"/>
      </top>
    </border>
    <border>
      <top style="dotted">
        <color rgb="FF000000"/>
      </top>
    </border>
    <border>
      <left style="medium">
        <color rgb="FF000000"/>
      </left>
      <right style="hair">
        <color rgb="FF000000"/>
      </right>
      <top style="dotted">
        <color rgb="FF000000"/>
      </top>
    </border>
    <border>
      <left style="hair">
        <color rgb="FF000000"/>
      </left>
      <right style="medium">
        <color rgb="FF000000"/>
      </right>
      <top style="dotted">
        <color rgb="FF000000"/>
      </top>
    </border>
    <border>
      <right style="thin">
        <color rgb="FF000000"/>
      </right>
      <top style="dotted">
        <color rgb="FF000000"/>
      </top>
    </border>
    <border>
      <left style="thin">
        <color rgb="FF000000"/>
      </left>
      <top style="dotted">
        <color rgb="FF000000"/>
      </top>
      <bottom style="dotted">
        <color rgb="FF000000"/>
      </bottom>
    </border>
    <border>
      <right style="thin">
        <color rgb="FF000000"/>
      </right>
      <top style="dotted">
        <color rgb="FF000000"/>
      </top>
      <bottom style="dotted">
        <color rgb="FF000000"/>
      </bottom>
    </border>
    <border>
      <bottom style="dotted">
        <color rgb="FF000000"/>
      </bottom>
    </border>
    <border>
      <left style="medium">
        <color rgb="FF000000"/>
      </left>
      <right style="hair">
        <color rgb="FF000000"/>
      </right>
      <bottom style="dotted">
        <color rgb="FF000000"/>
      </bottom>
    </border>
    <border>
      <left style="hair">
        <color rgb="FF000000"/>
      </left>
      <right style="medium">
        <color rgb="FF000000"/>
      </right>
      <bottom style="dotted">
        <color rgb="FF000000"/>
      </bottom>
    </border>
    <border>
      <right style="thin">
        <color rgb="FF000000"/>
      </right>
      <bottom style="dotted">
        <color rgb="FF000000"/>
      </bottom>
    </border>
    <border>
      <right style="thin">
        <color rgb="FFEA9999"/>
      </right>
      <bottom style="thin">
        <color rgb="FF000000"/>
      </bottom>
    </border>
    <border>
      <right style="thin">
        <color rgb="FFB6D7A8"/>
      </right>
    </border>
    <border>
      <right style="thin">
        <color rgb="FF23272A"/>
      </right>
    </border>
    <border>
      <left style="thin">
        <color rgb="FF000000"/>
      </left>
      <top style="dotted">
        <color rgb="FF000000"/>
      </top>
      <bottom style="thin">
        <color rgb="FF000000"/>
      </bottom>
    </border>
    <border>
      <right style="thin">
        <color rgb="FF000000"/>
      </right>
      <top style="dotted">
        <color rgb="FF000000"/>
      </top>
      <bottom style="thin">
        <color rgb="FF000000"/>
      </bottom>
    </border>
    <border>
      <left style="thin">
        <color rgb="FF000000"/>
      </left>
      <top style="thin">
        <color rgb="FF000000"/>
      </top>
      <bottom style="thin">
        <color rgb="FF000000"/>
      </bottom>
    </border>
    <border>
      <bottom style="thick">
        <color rgb="FF34A853"/>
      </bottom>
    </border>
    <border>
      <top style="thin">
        <color rgb="FF000000"/>
      </top>
      <bottom style="thick">
        <color rgb="FF34A853"/>
      </bottom>
    </border>
    <border>
      <left style="thin">
        <color rgb="FF000000"/>
      </left>
      <right style="thin">
        <color rgb="FF000000"/>
      </right>
      <top style="thin">
        <color rgb="FF000000"/>
      </top>
      <bottom style="thick">
        <color rgb="FF34A853"/>
      </bottom>
    </border>
    <border>
      <right style="thin">
        <color rgb="FFB6D7A8"/>
      </right>
      <bottom style="thin">
        <color rgb="FF000000"/>
      </bottom>
    </border>
    <border>
      <left style="thin">
        <color rgb="FFFFE599"/>
      </left>
      <right style="thin">
        <color rgb="FF000000"/>
      </right>
      <top style="thin">
        <color rgb="FF000000"/>
      </top>
    </border>
    <border>
      <left style="thin">
        <color rgb="FF000000"/>
      </left>
      <top style="dotted">
        <color rgb="FF000000"/>
      </top>
    </border>
    <border>
      <left style="thin">
        <color rgb="FFFFE599"/>
      </left>
      <right style="thin">
        <color rgb="FF000000"/>
      </right>
    </border>
    <border>
      <left style="thin">
        <color rgb="FF23272A"/>
      </left>
      <right style="thin">
        <color rgb="FF23272A"/>
      </right>
    </border>
    <border>
      <left style="medium">
        <color rgb="FF000000"/>
      </left>
      <right style="hair">
        <color rgb="FF000000"/>
      </right>
      <bottom style="thin">
        <color rgb="FF000000"/>
      </bottom>
    </border>
    <border>
      <left style="hair">
        <color rgb="FF000000"/>
      </left>
      <right style="medium">
        <color rgb="FF000000"/>
      </right>
      <bottom style="thin">
        <color rgb="FF000000"/>
      </bottom>
    </border>
    <border>
      <left style="thin">
        <color rgb="FF000000"/>
      </left>
      <right style="thin">
        <color rgb="FF000000"/>
      </right>
      <top style="thick">
        <color rgb="FF34A853"/>
      </top>
    </border>
    <border>
      <left style="thin">
        <color rgb="FF000000"/>
      </left>
      <top style="thick">
        <color rgb="FF34A853"/>
      </top>
    </border>
    <border>
      <right style="thin">
        <color rgb="FF000000"/>
      </right>
      <top style="thick">
        <color rgb="FF34A853"/>
      </top>
    </border>
    <border>
      <left style="thin">
        <color rgb="FFFFE599"/>
      </left>
      <right style="thin">
        <color rgb="FF000000"/>
      </right>
      <bottom style="thin">
        <color rgb="FF000000"/>
      </bottom>
    </border>
    <border>
      <top style="dotted">
        <color rgb="FF000000"/>
      </top>
      <bottom style="dotted">
        <color rgb="FF000000"/>
      </bottom>
    </border>
    <border>
      <left style="thin">
        <color rgb="FF000000"/>
      </left>
      <right style="thin">
        <color rgb="FF000000"/>
      </right>
      <top style="dotted">
        <color rgb="FF000000"/>
      </top>
      <bottom style="dotted">
        <color rgb="FF000000"/>
      </bottom>
    </border>
    <border>
      <top style="thin">
        <color rgb="FF23272A"/>
      </top>
      <bottom style="thick">
        <color rgb="FF34A853"/>
      </bottom>
    </border>
    <border>
      <right style="thin">
        <color rgb="FF000000"/>
      </right>
      <bottom style="thin">
        <color rgb="FF23272A"/>
      </bottom>
    </border>
    <border>
      <left style="thin">
        <color rgb="FF000000"/>
      </left>
      <bottom style="thin">
        <color rgb="FF23272A"/>
      </bottom>
    </border>
    <border>
      <bottom style="thin">
        <color rgb="FF23272A"/>
      </bottom>
    </border>
    <border>
      <left style="thin">
        <color rgb="FF000000"/>
      </left>
      <right style="thin">
        <color rgb="FF000000"/>
      </right>
      <top style="thin">
        <color rgb="FF23272A"/>
      </top>
      <bottom style="thin">
        <color rgb="FF23272A"/>
      </bottom>
    </border>
    <border>
      <left style="thin">
        <color rgb="FF000000"/>
      </left>
      <top style="thin">
        <color rgb="FF23272A"/>
      </top>
      <bottom style="thin">
        <color rgb="FF23272A"/>
      </bottom>
    </border>
    <border>
      <right style="thin">
        <color rgb="FF000000"/>
      </right>
      <top style="thin">
        <color rgb="FF23272A"/>
      </top>
      <bottom style="thin">
        <color rgb="FF23272A"/>
      </bottom>
    </border>
    <border>
      <right style="thin">
        <color rgb="FF000000"/>
      </right>
      <top style="thin">
        <color rgb="FF23272A"/>
      </top>
    </border>
    <border>
      <left style="thin">
        <color rgb="FF000000"/>
      </left>
      <top style="thin">
        <color rgb="FF23272A"/>
      </top>
    </border>
    <border>
      <top style="thin">
        <color rgb="FF23272A"/>
      </top>
    </border>
    <border>
      <left style="thin">
        <color rgb="FF23272A"/>
      </left>
      <right style="thin">
        <color rgb="FF23272A"/>
      </right>
      <bottom style="thin">
        <color rgb="FF23272A"/>
      </bottom>
    </border>
    <border>
      <left style="thin">
        <color rgb="FF23272A"/>
      </left>
      <bottom style="thin">
        <color rgb="FF23272A"/>
      </bottom>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medium">
        <color rgb="FF000000"/>
      </right>
      <top style="thin">
        <color rgb="FF000000"/>
      </top>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rder>
    <border>
      <left style="medium">
        <color rgb="FF000000"/>
      </left>
      <right style="medium">
        <color rgb="FF000000"/>
      </right>
    </border>
    <border>
      <left style="medium">
        <color rgb="FF000000"/>
      </left>
      <right style="thin">
        <color rgb="FF000000"/>
      </right>
    </border>
    <border>
      <left style="thin">
        <color rgb="FF000000"/>
      </left>
      <right style="medium">
        <color rgb="FF000000"/>
      </right>
    </border>
    <border>
      <left style="medium">
        <color rgb="FF000000"/>
      </left>
      <right style="medium">
        <color rgb="FF000000"/>
      </right>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bottom style="thin">
        <color rgb="FF000000"/>
      </bottom>
    </border>
    <border>
      <left style="medium">
        <color rgb="FF000000"/>
      </left>
      <right style="medium">
        <color rgb="FF000000"/>
      </right>
      <bottom style="medium">
        <color rgb="FF000000"/>
      </bottom>
    </border>
    <border>
      <left style="medium">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bottom style="medium">
        <color rgb="FF000000"/>
      </bottom>
    </border>
    <border>
      <left style="thin">
        <color rgb="FF23272A"/>
      </left>
      <right style="thin">
        <color rgb="FF23272A"/>
      </right>
      <top style="thin">
        <color rgb="FF23272A"/>
      </top>
    </border>
    <border>
      <left style="thin">
        <color rgb="FF23272A"/>
      </left>
    </border>
    <border>
      <left style="medium">
        <color rgb="FF000000"/>
      </left>
      <right style="thin">
        <color rgb="FFF3F3F3"/>
      </right>
      <top style="medium">
        <color rgb="FF000000"/>
      </top>
      <bottom style="thin">
        <color rgb="FFF3F3F3"/>
      </bottom>
    </border>
    <border>
      <left style="thin">
        <color rgb="FFF3F3F3"/>
      </left>
      <top style="medium">
        <color rgb="FF000000"/>
      </top>
      <bottom style="medium">
        <color rgb="FFF3F3F3"/>
      </bottom>
    </border>
    <border>
      <top style="medium">
        <color rgb="FF000000"/>
      </top>
      <bottom style="medium">
        <color rgb="FFF3F3F3"/>
      </bottom>
    </border>
    <border>
      <right style="medium">
        <color rgb="FF000000"/>
      </right>
      <top style="medium">
        <color rgb="FF000000"/>
      </top>
      <bottom style="medium">
        <color rgb="FFF3F3F3"/>
      </bottom>
    </border>
    <border>
      <left style="medium">
        <color rgb="FF000000"/>
      </left>
      <right style="thin">
        <color rgb="FFF3F3F3"/>
      </right>
      <top style="thin">
        <color rgb="FFF3F3F3"/>
      </top>
      <bottom style="thin">
        <color rgb="FFF3F3F3"/>
      </bottom>
    </border>
    <border>
      <left style="thin">
        <color rgb="FFF3F3F3"/>
      </left>
      <top style="medium">
        <color rgb="FFF3F3F3"/>
      </top>
      <bottom style="medium">
        <color rgb="FFF3F3F3"/>
      </bottom>
    </border>
    <border>
      <top style="medium">
        <color rgb="FFF3F3F3"/>
      </top>
      <bottom style="medium">
        <color rgb="FFF3F3F3"/>
      </bottom>
    </border>
    <border>
      <right style="medium">
        <color rgb="FF000000"/>
      </right>
      <top style="medium">
        <color rgb="FFF3F3F3"/>
      </top>
      <bottom style="medium">
        <color rgb="FFF3F3F3"/>
      </bottom>
    </border>
    <border>
      <left style="medium">
        <color rgb="FF000000"/>
      </left>
      <right style="thin">
        <color rgb="FFF3F3F3"/>
      </right>
      <top style="thin">
        <color rgb="FFF3F3F3"/>
      </top>
      <bottom style="medium">
        <color rgb="FF000000"/>
      </bottom>
    </border>
    <border>
      <left style="thin">
        <color rgb="FFF3F3F3"/>
      </left>
      <top style="medium">
        <color rgb="FFF3F3F3"/>
      </top>
      <bottom style="medium">
        <color rgb="FF000000"/>
      </bottom>
    </border>
    <border>
      <top style="medium">
        <color rgb="FFF3F3F3"/>
      </top>
      <bottom style="medium">
        <color rgb="FF000000"/>
      </bottom>
    </border>
    <border>
      <right style="medium">
        <color rgb="FF000000"/>
      </right>
      <top style="medium">
        <color rgb="FFF3F3F3"/>
      </top>
      <bottom style="medium">
        <color rgb="FF000000"/>
      </bottom>
    </border>
    <border>
      <left style="thin">
        <color rgb="FF23272A"/>
      </left>
      <right style="thin">
        <color rgb="FF23272A"/>
      </right>
      <top style="thin">
        <color rgb="FF23272A"/>
      </top>
      <bottom style="thin">
        <color rgb="FF23272A"/>
      </bottom>
    </border>
    <border>
      <left style="thin">
        <color rgb="FF23272A"/>
      </left>
      <top style="thin">
        <color rgb="FF23272A"/>
      </top>
    </border>
    <border>
      <left style="thin">
        <color rgb="FF000000"/>
      </left>
      <bottom style="dotted">
        <color rgb="FF000000"/>
      </bottom>
    </border>
    <border>
      <top style="thin">
        <color rgb="FF000000"/>
      </top>
      <bottom style="dotted">
        <color rgb="FF000000"/>
      </bottom>
    </border>
    <border>
      <left style="hair">
        <color rgb="FF000000"/>
      </left>
      <bottom style="thin">
        <color rgb="FF000000"/>
      </bottom>
    </border>
    <border>
      <left style="medium">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left style="hair">
        <color rgb="FF000000"/>
      </left>
      <right style="thin">
        <color rgb="FF000000"/>
      </right>
    </border>
    <border>
      <left style="hair">
        <color rgb="FF000000"/>
      </left>
      <right style="thin">
        <color rgb="FF000000"/>
      </right>
      <bottom style="thin">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n">
        <color rgb="FFFFFFFF"/>
      </left>
      <top style="thin">
        <color rgb="FFFFFFFF"/>
      </top>
    </border>
    <border>
      <top style="thin">
        <color rgb="FFFFFFFF"/>
      </top>
    </border>
    <border>
      <right style="thin">
        <color rgb="FFFFFFFF"/>
      </right>
      <top style="thin">
        <color rgb="FFFFFFFF"/>
      </top>
    </border>
    <border>
      <left style="thick">
        <color rgb="FF000000"/>
      </left>
    </border>
    <border>
      <right style="thick">
        <color rgb="FF000000"/>
      </right>
    </border>
    <border>
      <top style="medium">
        <color rgb="FF000000"/>
      </top>
    </border>
    <border>
      <right style="thick">
        <color rgb="FF000000"/>
      </right>
      <top style="medium">
        <color rgb="FF000000"/>
      </top>
    </border>
    <border>
      <right style="thin">
        <color rgb="FFFFFFFF"/>
      </right>
    </border>
    <border>
      <bottom style="medium">
        <color rgb="FF000000"/>
      </bottom>
    </border>
    <border>
      <right style="thick">
        <color rgb="FF000000"/>
      </right>
      <bottom style="medium">
        <color rgb="FF000000"/>
      </bottom>
    </border>
    <border>
      <left style="thin">
        <color rgb="FFFFFFFF"/>
      </left>
      <bottom style="thin">
        <color rgb="FFFFFFFF"/>
      </bottom>
    </border>
    <border>
      <right style="thin">
        <color rgb="FFFFFFFF"/>
      </right>
      <bottom style="thin">
        <color rgb="FFFFFFFF"/>
      </bottom>
    </border>
    <border>
      <left style="thick">
        <color rgb="FF000000"/>
      </left>
      <top style="thin">
        <color rgb="FF000000"/>
      </top>
    </border>
    <border>
      <right style="thick">
        <color rgb="FF000000"/>
      </right>
      <top style="thin">
        <color rgb="FF000000"/>
      </top>
    </border>
    <border>
      <bottom style="thick">
        <color rgb="FF000000"/>
      </bottom>
    </border>
    <border>
      <right style="thick">
        <color rgb="FF000000"/>
      </right>
      <bottom style="thick">
        <color rgb="FF000000"/>
      </bottom>
    </border>
    <border>
      <left style="thick">
        <color rgb="FF000000"/>
      </left>
      <bottom style="thick">
        <color rgb="FF000000"/>
      </bottom>
    </border>
  </borders>
  <cellStyleXfs count="1">
    <xf borderId="0" fillId="0" fontId="0" numFmtId="0" applyAlignment="1" applyFont="1"/>
  </cellStyleXfs>
  <cellXfs count="1002">
    <xf borderId="0" fillId="0" fontId="0" numFmtId="0" xfId="0" applyAlignment="1" applyFont="1">
      <alignment readingOrder="0" shrinkToFit="0" vertical="bottom" wrapText="0"/>
    </xf>
    <xf borderId="0" fillId="2" fontId="1" numFmtId="0" xfId="0" applyAlignment="1" applyFill="1" applyFont="1">
      <alignment vertical="bottom"/>
    </xf>
    <xf borderId="0" fillId="3" fontId="2" numFmtId="0" xfId="0" applyAlignment="1" applyFill="1" applyFont="1">
      <alignment horizontal="center" readingOrder="0"/>
    </xf>
    <xf borderId="0" fillId="4" fontId="3" numFmtId="0" xfId="0" applyAlignment="1" applyFill="1" applyFont="1">
      <alignment horizontal="center" vertical="center"/>
    </xf>
    <xf borderId="0" fillId="5" fontId="4" numFmtId="0" xfId="0" applyAlignment="1" applyFill="1" applyFont="1">
      <alignment horizontal="center"/>
    </xf>
    <xf borderId="1" fillId="5" fontId="5" numFmtId="0" xfId="0" applyAlignment="1" applyBorder="1" applyFont="1">
      <alignment horizontal="center"/>
    </xf>
    <xf borderId="2" fillId="2" fontId="1" numFmtId="0" xfId="0" applyAlignment="1" applyBorder="1" applyFont="1">
      <alignment readingOrder="0"/>
    </xf>
    <xf borderId="3" fillId="2" fontId="6" numFmtId="0" xfId="0" applyAlignment="1" applyBorder="1" applyFont="1">
      <alignment vertical="bottom"/>
    </xf>
    <xf borderId="3" fillId="0" fontId="7" numFmtId="0" xfId="0" applyBorder="1" applyFont="1"/>
    <xf borderId="2" fillId="2" fontId="8" numFmtId="0" xfId="0" applyBorder="1" applyFont="1"/>
    <xf borderId="0" fillId="2" fontId="9" numFmtId="0" xfId="0" applyAlignment="1" applyFont="1">
      <alignment vertical="bottom"/>
    </xf>
    <xf borderId="4" fillId="5" fontId="5" numFmtId="0" xfId="0" applyAlignment="1" applyBorder="1" applyFont="1">
      <alignment horizontal="center" readingOrder="0"/>
    </xf>
    <xf borderId="4" fillId="5" fontId="5" numFmtId="0" xfId="0" applyAlignment="1" applyBorder="1" applyFont="1">
      <alignment horizontal="center"/>
    </xf>
    <xf borderId="2" fillId="2" fontId="1" numFmtId="0" xfId="0" applyBorder="1" applyFont="1"/>
    <xf borderId="3" fillId="2" fontId="6" numFmtId="0" xfId="0" applyAlignment="1" applyBorder="1" applyFont="1">
      <alignment readingOrder="0" vertical="bottom"/>
    </xf>
    <xf borderId="0" fillId="2" fontId="1" numFmtId="0" xfId="0" applyAlignment="1" applyFont="1">
      <alignment readingOrder="0" vertical="bottom"/>
    </xf>
    <xf borderId="5" fillId="5" fontId="5" numFmtId="0" xfId="0" applyAlignment="1" applyBorder="1" applyFont="1">
      <alignment horizontal="left" readingOrder="0" shrinkToFit="0" wrapText="0"/>
    </xf>
    <xf borderId="3" fillId="2" fontId="1" numFmtId="0" xfId="0" applyAlignment="1" applyBorder="1" applyFont="1">
      <alignment horizontal="center" vertical="bottom"/>
    </xf>
    <xf borderId="6" fillId="2" fontId="1" numFmtId="0" xfId="0" applyAlignment="1" applyBorder="1" applyFont="1">
      <alignment horizontal="center" vertical="bottom"/>
    </xf>
    <xf borderId="7" fillId="2" fontId="1" numFmtId="0" xfId="0" applyAlignment="1" applyBorder="1" applyFont="1">
      <alignment horizontal="center" vertical="bottom"/>
    </xf>
    <xf borderId="8" fillId="2" fontId="1" numFmtId="0" xfId="0" applyAlignment="1" applyBorder="1" applyFont="1">
      <alignment horizontal="center" vertical="bottom"/>
    </xf>
    <xf borderId="9" fillId="2" fontId="1" numFmtId="0" xfId="0" applyAlignment="1" applyBorder="1" applyFont="1">
      <alignment horizontal="center" readingOrder="0" vertical="bottom"/>
    </xf>
    <xf borderId="0" fillId="2" fontId="1" numFmtId="0" xfId="0" applyAlignment="1" applyFont="1">
      <alignment horizontal="center" readingOrder="0" vertical="bottom"/>
    </xf>
    <xf borderId="0" fillId="2" fontId="1" numFmtId="0" xfId="0" applyAlignment="1" applyFont="1">
      <alignment vertical="bottom"/>
    </xf>
    <xf borderId="10" fillId="2" fontId="1" numFmtId="0" xfId="0" applyAlignment="1" applyBorder="1" applyFont="1">
      <alignment horizontal="center" readingOrder="0" shrinkToFit="0" vertical="center" wrapText="1"/>
    </xf>
    <xf borderId="11" fillId="0" fontId="7" numFmtId="0" xfId="0" applyBorder="1" applyFont="1"/>
    <xf borderId="12" fillId="0" fontId="7" numFmtId="0" xfId="0" applyBorder="1" applyFont="1"/>
    <xf borderId="13" fillId="0" fontId="7" numFmtId="0" xfId="0" applyBorder="1" applyFont="1"/>
    <xf borderId="14" fillId="0" fontId="7" numFmtId="0" xfId="0" applyBorder="1" applyFont="1"/>
    <xf borderId="15" fillId="0" fontId="7" numFmtId="0" xfId="0" applyBorder="1" applyFont="1"/>
    <xf borderId="16" fillId="0" fontId="7" numFmtId="0" xfId="0" applyBorder="1" applyFont="1"/>
    <xf borderId="17" fillId="0" fontId="7" numFmtId="0" xfId="0" applyBorder="1" applyFont="1"/>
    <xf borderId="0" fillId="2" fontId="10" numFmtId="0" xfId="0" applyAlignment="1" applyFont="1">
      <alignment horizontal="right" readingOrder="0" vertical="bottom"/>
    </xf>
    <xf borderId="0" fillId="2" fontId="11" numFmtId="0" xfId="0" applyAlignment="1" applyFont="1">
      <alignment horizontal="right" readingOrder="0" vertical="bottom"/>
    </xf>
    <xf borderId="3" fillId="2" fontId="12" numFmtId="0" xfId="0" applyAlignment="1" applyBorder="1" applyFont="1">
      <alignment horizontal="center" vertical="bottom"/>
    </xf>
    <xf borderId="0" fillId="2" fontId="13" numFmtId="0" xfId="0" applyAlignment="1" applyFont="1">
      <alignment horizontal="center" vertical="top"/>
    </xf>
    <xf borderId="0" fillId="2" fontId="14" numFmtId="0" xfId="0" applyAlignment="1" applyFont="1">
      <alignment vertical="bottom"/>
    </xf>
    <xf borderId="0" fillId="2" fontId="8" numFmtId="0" xfId="0" applyAlignment="1" applyFont="1">
      <alignment vertical="bottom"/>
    </xf>
    <xf borderId="0" fillId="6" fontId="15" numFmtId="0" xfId="0" applyAlignment="1" applyFill="1" applyFont="1">
      <alignment horizontal="center" readingOrder="0" vertical="center"/>
    </xf>
    <xf borderId="18" fillId="2" fontId="14" numFmtId="0" xfId="0" applyAlignment="1" applyBorder="1" applyFont="1">
      <alignment vertical="bottom"/>
    </xf>
    <xf borderId="0" fillId="2" fontId="16" numFmtId="0" xfId="0" applyAlignment="1" applyFont="1">
      <alignment shrinkToFit="0" vertical="bottom" wrapText="1"/>
    </xf>
    <xf borderId="0" fillId="2" fontId="1" numFmtId="0" xfId="0" applyAlignment="1" applyFont="1">
      <alignment horizontal="right" vertical="bottom"/>
    </xf>
    <xf borderId="19" fillId="7" fontId="17" numFmtId="0" xfId="0" applyAlignment="1" applyBorder="1" applyFill="1" applyFont="1">
      <alignment readingOrder="0" vertical="bottom"/>
    </xf>
    <xf borderId="20" fillId="7" fontId="9" numFmtId="0" xfId="0" applyAlignment="1" applyBorder="1" applyFont="1">
      <alignment vertical="bottom"/>
    </xf>
    <xf borderId="21" fillId="7" fontId="9" numFmtId="0" xfId="0" applyAlignment="1" applyBorder="1" applyFont="1">
      <alignment vertical="bottom"/>
    </xf>
    <xf borderId="0" fillId="2" fontId="16" numFmtId="0" xfId="0" applyAlignment="1" applyFont="1">
      <alignment vertical="bottom"/>
    </xf>
    <xf borderId="22" fillId="2" fontId="14" numFmtId="0" xfId="0" applyAlignment="1" applyBorder="1" applyFont="1">
      <alignment vertical="bottom"/>
    </xf>
    <xf borderId="23" fillId="5" fontId="18" numFmtId="0" xfId="0" applyAlignment="1" applyBorder="1" applyFont="1">
      <alignment horizontal="center" readingOrder="0" vertical="bottom"/>
    </xf>
    <xf borderId="24" fillId="7" fontId="17" numFmtId="0" xfId="0" applyAlignment="1" applyBorder="1" applyFont="1">
      <alignment horizontal="center" readingOrder="0" vertical="bottom"/>
    </xf>
    <xf borderId="25" fillId="5" fontId="19" numFmtId="0" xfId="0" applyAlignment="1" applyBorder="1" applyFont="1">
      <alignment horizontal="right" vertical="bottom"/>
    </xf>
    <xf borderId="25" fillId="5" fontId="1" numFmtId="0" xfId="0" applyAlignment="1" applyBorder="1" applyFont="1">
      <alignment horizontal="right" vertical="bottom"/>
    </xf>
    <xf borderId="25" fillId="7" fontId="17" numFmtId="0" xfId="0" applyAlignment="1" applyBorder="1" applyFont="1">
      <alignment horizontal="center" readingOrder="0" vertical="bottom"/>
    </xf>
    <xf borderId="26" fillId="2" fontId="14" numFmtId="0" xfId="0" applyAlignment="1" applyBorder="1" applyFont="1">
      <alignment vertical="bottom"/>
    </xf>
    <xf borderId="27" fillId="5" fontId="20" numFmtId="0" xfId="0" applyAlignment="1" applyBorder="1" applyFont="1">
      <alignment horizontal="center" vertical="bottom"/>
    </xf>
    <xf borderId="28" fillId="5" fontId="21" numFmtId="0" xfId="0" applyAlignment="1" applyBorder="1" applyFont="1">
      <alignment horizontal="center" vertical="bottom"/>
    </xf>
    <xf borderId="29" fillId="5" fontId="9" numFmtId="0" xfId="0" applyAlignment="1" applyBorder="1" applyFont="1">
      <alignment readingOrder="0" vertical="bottom"/>
    </xf>
    <xf borderId="29" fillId="5" fontId="9" numFmtId="0" xfId="0" applyAlignment="1" applyBorder="1" applyFont="1">
      <alignment horizontal="right" readingOrder="0" vertical="bottom"/>
    </xf>
    <xf borderId="0" fillId="2" fontId="8" numFmtId="0" xfId="0" applyAlignment="1" applyFont="1">
      <alignment vertical="bottom"/>
    </xf>
    <xf borderId="18" fillId="2" fontId="1" numFmtId="0" xfId="0" applyAlignment="1" applyBorder="1" applyFont="1">
      <alignment readingOrder="0" vertical="bottom"/>
    </xf>
    <xf borderId="30" fillId="2" fontId="22" numFmtId="0" xfId="0" applyAlignment="1" applyBorder="1" applyFont="1">
      <alignment horizontal="center" readingOrder="0" vertical="bottom"/>
    </xf>
    <xf borderId="31" fillId="2" fontId="14" numFmtId="0" xfId="0" applyAlignment="1" applyBorder="1" applyFont="1">
      <alignment vertical="bottom"/>
    </xf>
    <xf borderId="0" fillId="2" fontId="1" numFmtId="0" xfId="0" applyAlignment="1" applyFont="1">
      <alignment readingOrder="0" vertical="center"/>
    </xf>
    <xf borderId="18" fillId="2" fontId="1" numFmtId="0" xfId="0" applyAlignment="1" applyBorder="1" applyFont="1">
      <alignment readingOrder="0" vertical="center"/>
    </xf>
    <xf borderId="0" fillId="2" fontId="1" numFmtId="0" xfId="0" applyAlignment="1" applyFont="1">
      <alignment readingOrder="0" shrinkToFit="0" vertical="top" wrapText="1"/>
    </xf>
    <xf borderId="3" fillId="2" fontId="1" numFmtId="0" xfId="0" applyAlignment="1" applyBorder="1" applyFont="1">
      <alignment horizontal="center" readingOrder="0" vertical="bottom"/>
    </xf>
    <xf borderId="0" fillId="2" fontId="1" numFmtId="0" xfId="0" applyAlignment="1" applyFont="1">
      <alignment shrinkToFit="0" vertical="top" wrapText="1"/>
    </xf>
    <xf borderId="0" fillId="2" fontId="1" numFmtId="0" xfId="0" applyAlignment="1" applyFont="1">
      <alignment horizontal="center" shrinkToFit="0" vertical="center" wrapText="1"/>
    </xf>
    <xf borderId="0" fillId="2" fontId="14" numFmtId="0" xfId="0" applyAlignment="1" applyFont="1">
      <alignment horizontal="center" vertical="center"/>
    </xf>
    <xf borderId="0" fillId="2" fontId="23" numFmtId="0" xfId="0" applyAlignment="1" applyFont="1">
      <alignment readingOrder="0" shrinkToFit="0" vertical="top" wrapText="1"/>
    </xf>
    <xf borderId="3" fillId="2" fontId="24" numFmtId="0" xfId="0" applyAlignment="1" applyBorder="1" applyFont="1">
      <alignment horizontal="center" readingOrder="0" vertical="bottom"/>
    </xf>
    <xf borderId="0" fillId="2" fontId="24" numFmtId="0" xfId="0" applyAlignment="1" applyFont="1">
      <alignment shrinkToFit="0" vertical="top" wrapText="1"/>
    </xf>
    <xf borderId="0" fillId="0" fontId="25" numFmtId="0" xfId="0" applyAlignment="1" applyFont="1">
      <alignment shrinkToFit="0" vertical="bottom" wrapText="0"/>
    </xf>
    <xf borderId="0" fillId="0" fontId="26" numFmtId="0" xfId="0" applyAlignment="1" applyFont="1">
      <alignment vertical="bottom"/>
    </xf>
    <xf borderId="0" fillId="0" fontId="9" numFmtId="0" xfId="0" applyAlignment="1" applyFont="1">
      <alignment vertical="bottom"/>
    </xf>
    <xf borderId="32" fillId="0" fontId="9" numFmtId="0" xfId="0" applyAlignment="1" applyBorder="1" applyFont="1">
      <alignment vertical="bottom"/>
    </xf>
    <xf borderId="32" fillId="0" fontId="9" numFmtId="49" xfId="0" applyAlignment="1" applyBorder="1" applyFont="1" applyNumberFormat="1">
      <alignment vertical="bottom"/>
    </xf>
    <xf borderId="0" fillId="0" fontId="25" numFmtId="1" xfId="0" applyAlignment="1" applyFont="1" applyNumberFormat="1">
      <alignment shrinkToFit="0" vertical="bottom" wrapText="0"/>
    </xf>
    <xf borderId="32" fillId="0" fontId="9" numFmtId="3" xfId="0" applyAlignment="1" applyBorder="1" applyFont="1" applyNumberFormat="1">
      <alignment vertical="bottom"/>
    </xf>
    <xf borderId="0" fillId="0" fontId="9" numFmtId="164" xfId="0" applyAlignment="1" applyFont="1" applyNumberFormat="1">
      <alignment vertical="bottom"/>
    </xf>
    <xf borderId="0" fillId="0" fontId="27" numFmtId="0" xfId="0" applyAlignment="1" applyFont="1">
      <alignment vertical="bottom"/>
    </xf>
    <xf borderId="32" fillId="0" fontId="9" numFmtId="165" xfId="0" applyAlignment="1" applyBorder="1" applyFont="1" applyNumberFormat="1">
      <alignment vertical="bottom"/>
    </xf>
    <xf borderId="0" fillId="0" fontId="25" numFmtId="164" xfId="0" applyAlignment="1" applyFont="1" applyNumberFormat="1">
      <alignment shrinkToFit="0" vertical="bottom" wrapText="0"/>
    </xf>
    <xf borderId="0" fillId="0" fontId="9" numFmtId="1" xfId="0" applyAlignment="1" applyFont="1" applyNumberFormat="1">
      <alignment vertical="bottom"/>
    </xf>
    <xf borderId="0" fillId="0" fontId="28" numFmtId="1" xfId="0" applyAlignment="1" applyFont="1" applyNumberFormat="1">
      <alignment vertical="bottom"/>
    </xf>
    <xf borderId="0" fillId="0" fontId="29" numFmtId="0" xfId="0" applyAlignment="1" applyFont="1">
      <alignment vertical="bottom"/>
    </xf>
    <xf borderId="0" fillId="0" fontId="25" numFmtId="0" xfId="0" applyAlignment="1" applyFont="1">
      <alignment vertical="bottom"/>
    </xf>
    <xf borderId="0" fillId="0" fontId="9" numFmtId="0" xfId="0" applyAlignment="1" applyFont="1">
      <alignment shrinkToFit="0" vertical="bottom" wrapText="0"/>
    </xf>
    <xf borderId="0" fillId="0" fontId="9" numFmtId="0" xfId="0" applyAlignment="1" applyFont="1">
      <alignment horizontal="right" shrinkToFit="0" vertical="bottom" wrapText="0"/>
    </xf>
    <xf borderId="32" fillId="0" fontId="9" numFmtId="0" xfId="0" applyAlignment="1" applyBorder="1" applyFont="1">
      <alignment horizontal="right" shrinkToFit="0" vertical="bottom" wrapText="0"/>
    </xf>
    <xf borderId="0" fillId="0" fontId="9" numFmtId="0" xfId="0" applyAlignment="1" applyFont="1">
      <alignment horizontal="center" shrinkToFit="0" vertical="bottom" wrapText="0"/>
    </xf>
    <xf borderId="0" fillId="0" fontId="9" numFmtId="166" xfId="0" applyAlignment="1" applyFont="1" applyNumberFormat="1">
      <alignment horizontal="center" shrinkToFit="0" vertical="bottom" wrapText="0"/>
    </xf>
    <xf borderId="32" fillId="0" fontId="9" numFmtId="164" xfId="0" applyAlignment="1" applyBorder="1" applyFont="1" applyNumberFormat="1">
      <alignment vertical="bottom"/>
    </xf>
    <xf borderId="0" fillId="0" fontId="9" numFmtId="166" xfId="0" applyAlignment="1" applyFont="1" applyNumberFormat="1">
      <alignment vertical="bottom"/>
    </xf>
    <xf borderId="0" fillId="0" fontId="9" numFmtId="165" xfId="0" applyAlignment="1" applyFont="1" applyNumberFormat="1">
      <alignment shrinkToFit="0" vertical="bottom" wrapText="0"/>
    </xf>
    <xf borderId="0" fillId="0" fontId="9" numFmtId="164" xfId="0" applyAlignment="1" applyFont="1" applyNumberFormat="1">
      <alignment horizontal="right" shrinkToFit="0" vertical="bottom" wrapText="0"/>
    </xf>
    <xf borderId="32" fillId="0" fontId="9" numFmtId="1" xfId="0" applyAlignment="1" applyBorder="1" applyFont="1" applyNumberFormat="1">
      <alignment shrinkToFit="0" vertical="bottom" wrapText="0"/>
    </xf>
    <xf borderId="0" fillId="0" fontId="9" numFmtId="167" xfId="0" applyAlignment="1" applyFont="1" applyNumberFormat="1">
      <alignment shrinkToFit="0" vertical="bottom" wrapText="0"/>
    </xf>
    <xf borderId="0" fillId="0" fontId="9" numFmtId="0" xfId="0" applyAlignment="1" applyFont="1">
      <alignment horizontal="right" vertical="bottom"/>
    </xf>
    <xf borderId="32" fillId="0" fontId="9" numFmtId="165" xfId="0" applyAlignment="1" applyBorder="1" applyFont="1" applyNumberFormat="1">
      <alignment horizontal="right" shrinkToFit="0" vertical="bottom" wrapText="0"/>
    </xf>
    <xf borderId="0" fillId="0" fontId="9" numFmtId="1" xfId="0" applyAlignment="1" applyFont="1" applyNumberFormat="1">
      <alignment shrinkToFit="0" vertical="bottom" wrapText="0"/>
    </xf>
    <xf borderId="0" fillId="0" fontId="9" numFmtId="9" xfId="0" applyAlignment="1" applyFont="1" applyNumberFormat="1">
      <alignment shrinkToFit="0" vertical="bottom" wrapText="0"/>
    </xf>
    <xf borderId="32" fillId="0" fontId="9" numFmtId="165" xfId="0" applyAlignment="1" applyBorder="1" applyFont="1" applyNumberFormat="1">
      <alignment shrinkToFit="0" vertical="bottom" wrapText="0"/>
    </xf>
    <xf borderId="32" fillId="0" fontId="9" numFmtId="9" xfId="0" applyAlignment="1" applyBorder="1" applyFont="1" applyNumberFormat="1">
      <alignment vertical="bottom"/>
    </xf>
    <xf borderId="0" fillId="0" fontId="9" numFmtId="167" xfId="0" applyAlignment="1" applyFont="1" applyNumberFormat="1">
      <alignment horizontal="right" shrinkToFit="0" vertical="bottom" wrapText="0"/>
    </xf>
    <xf borderId="0" fillId="0" fontId="9" numFmtId="165" xfId="0" applyAlignment="1" applyFont="1" applyNumberFormat="1">
      <alignment vertical="bottom"/>
    </xf>
    <xf borderId="0" fillId="0" fontId="9" numFmtId="9" xfId="0" applyAlignment="1" applyFont="1" applyNumberFormat="1">
      <alignment horizontal="right" vertical="bottom"/>
    </xf>
    <xf borderId="0" fillId="0" fontId="9" numFmtId="167" xfId="0" applyAlignment="1" applyFont="1" applyNumberFormat="1">
      <alignment vertical="bottom"/>
    </xf>
    <xf borderId="0" fillId="0" fontId="9" numFmtId="0" xfId="0" applyAlignment="1" applyFont="1">
      <alignment horizontal="right" vertical="bottom"/>
    </xf>
    <xf borderId="0" fillId="0" fontId="9" numFmtId="0" xfId="0" applyAlignment="1" applyFont="1">
      <alignment horizontal="center" vertical="bottom"/>
    </xf>
    <xf borderId="0" fillId="0" fontId="9" numFmtId="49" xfId="0" applyAlignment="1" applyFont="1" applyNumberFormat="1">
      <alignment horizontal="right" vertical="bottom"/>
    </xf>
    <xf borderId="32" fillId="0" fontId="9" numFmtId="164" xfId="0" applyAlignment="1" applyBorder="1" applyFont="1" applyNumberFormat="1">
      <alignment horizontal="center" shrinkToFit="0" vertical="bottom" wrapText="0"/>
    </xf>
    <xf borderId="32" fillId="0" fontId="9" numFmtId="168" xfId="0" applyAlignment="1" applyBorder="1" applyFont="1" applyNumberFormat="1">
      <alignment horizontal="center" shrinkToFit="0" vertical="bottom" wrapText="0"/>
    </xf>
    <xf borderId="0" fillId="0" fontId="9" numFmtId="168" xfId="0" applyAlignment="1" applyFont="1" applyNumberFormat="1">
      <alignment horizontal="right" shrinkToFit="0" vertical="bottom" wrapText="0"/>
    </xf>
    <xf borderId="0" fillId="0" fontId="9" numFmtId="168" xfId="0" applyAlignment="1" applyFont="1" applyNumberFormat="1">
      <alignment vertical="bottom"/>
    </xf>
    <xf borderId="0" fillId="0" fontId="9" numFmtId="9" xfId="0" applyAlignment="1" applyFont="1" applyNumberFormat="1">
      <alignment vertical="bottom"/>
    </xf>
    <xf borderId="0" fillId="0" fontId="9" numFmtId="3" xfId="0" applyAlignment="1" applyFont="1" applyNumberFormat="1">
      <alignment horizontal="right" shrinkToFit="0" vertical="bottom" wrapText="0"/>
    </xf>
    <xf borderId="0" fillId="0" fontId="9" numFmtId="3" xfId="0" applyAlignment="1" applyFont="1" applyNumberFormat="1">
      <alignment vertical="bottom"/>
    </xf>
    <xf borderId="0" fillId="0" fontId="9" numFmtId="169" xfId="0" applyAlignment="1" applyFont="1" applyNumberFormat="1">
      <alignment horizontal="right" vertical="bottom"/>
    </xf>
    <xf borderId="0" fillId="0" fontId="9" numFmtId="169" xfId="0" applyAlignment="1" applyFont="1" applyNumberFormat="1">
      <alignment vertical="bottom"/>
    </xf>
    <xf borderId="32" fillId="0" fontId="9" numFmtId="169" xfId="0" applyAlignment="1" applyBorder="1" applyFont="1" applyNumberFormat="1">
      <alignment vertical="bottom"/>
    </xf>
    <xf borderId="0" fillId="0" fontId="9" numFmtId="170" xfId="0" applyAlignment="1" applyFont="1" applyNumberFormat="1">
      <alignment horizontal="right" vertical="bottom"/>
    </xf>
    <xf borderId="32" fillId="0" fontId="9" numFmtId="49" xfId="0" applyAlignment="1" applyBorder="1" applyFont="1" applyNumberFormat="1">
      <alignment horizontal="right" shrinkToFit="0" vertical="bottom" wrapText="0"/>
    </xf>
    <xf borderId="0" fillId="0" fontId="9" numFmtId="166" xfId="0" applyAlignment="1" applyFont="1" applyNumberFormat="1">
      <alignment horizontal="right" shrinkToFit="0" vertical="bottom" wrapText="0"/>
    </xf>
    <xf borderId="32" fillId="0" fontId="9" numFmtId="3" xfId="0" applyAlignment="1" applyBorder="1" applyFont="1" applyNumberFormat="1">
      <alignment horizontal="right" shrinkToFit="0" vertical="bottom" wrapText="0"/>
    </xf>
    <xf borderId="0" fillId="0" fontId="9" numFmtId="165" xfId="0" applyAlignment="1" applyFont="1" applyNumberFormat="1">
      <alignment horizontal="center" shrinkToFit="0" vertical="bottom" wrapText="0"/>
    </xf>
    <xf borderId="0" fillId="0" fontId="9" numFmtId="165" xfId="0" applyAlignment="1" applyFont="1" applyNumberFormat="1">
      <alignment horizontal="right" shrinkToFit="0" vertical="bottom" wrapText="0"/>
    </xf>
    <xf borderId="0" fillId="0" fontId="9" numFmtId="3" xfId="0" applyAlignment="1" applyFont="1" applyNumberFormat="1">
      <alignment shrinkToFit="0" vertical="bottom" wrapText="0"/>
    </xf>
    <xf borderId="0" fillId="0" fontId="9" numFmtId="164" xfId="0" applyAlignment="1" applyFont="1" applyNumberFormat="1">
      <alignment horizontal="right" vertical="bottom"/>
    </xf>
    <xf borderId="0" fillId="0" fontId="9" numFmtId="171" xfId="0" applyAlignment="1" applyFont="1" applyNumberFormat="1">
      <alignment vertical="bottom"/>
    </xf>
    <xf borderId="0" fillId="0" fontId="9" numFmtId="172" xfId="0" applyAlignment="1" applyFont="1" applyNumberFormat="1">
      <alignment vertical="bottom"/>
    </xf>
    <xf borderId="32" fillId="0" fontId="9" numFmtId="172" xfId="0" applyAlignment="1" applyBorder="1" applyFont="1" applyNumberFormat="1">
      <alignment vertical="bottom"/>
    </xf>
    <xf borderId="0" fillId="0" fontId="9" numFmtId="49" xfId="0" applyAlignment="1" applyFont="1" applyNumberFormat="1">
      <alignment vertical="bottom"/>
    </xf>
    <xf borderId="0" fillId="0" fontId="9" numFmtId="172" xfId="0" applyAlignment="1" applyFont="1" applyNumberFormat="1">
      <alignment horizontal="right" vertical="bottom"/>
    </xf>
    <xf borderId="0" fillId="0" fontId="9" numFmtId="173" xfId="0" applyAlignment="1" applyFont="1" applyNumberFormat="1">
      <alignment vertical="bottom"/>
    </xf>
    <xf borderId="0" fillId="0" fontId="9" numFmtId="10" xfId="0" applyAlignment="1" applyFont="1" applyNumberFormat="1">
      <alignment shrinkToFit="0" vertical="bottom" wrapText="0"/>
    </xf>
    <xf borderId="0" fillId="0" fontId="9" numFmtId="10" xfId="0" applyAlignment="1" applyFont="1" applyNumberFormat="1">
      <alignment vertical="bottom"/>
    </xf>
    <xf borderId="0" fillId="0" fontId="9" numFmtId="49" xfId="0" applyAlignment="1" applyFont="1" applyNumberFormat="1">
      <alignment shrinkToFit="0" vertical="bottom" wrapText="0"/>
    </xf>
    <xf borderId="0" fillId="0" fontId="9" numFmtId="174" xfId="0" applyAlignment="1" applyFont="1" applyNumberFormat="1">
      <alignment horizontal="center" vertical="bottom"/>
    </xf>
    <xf borderId="0" fillId="0" fontId="9" numFmtId="175" xfId="0" applyAlignment="1" applyFont="1" applyNumberFormat="1">
      <alignment horizontal="right" vertical="bottom"/>
    </xf>
    <xf borderId="0" fillId="0" fontId="9" numFmtId="174" xfId="0" applyAlignment="1" applyFont="1" applyNumberFormat="1">
      <alignment vertical="bottom"/>
    </xf>
    <xf borderId="32" fillId="0" fontId="9" numFmtId="175" xfId="0" applyAlignment="1" applyBorder="1" applyFont="1" applyNumberFormat="1">
      <alignment vertical="bottom"/>
    </xf>
    <xf borderId="0" fillId="0" fontId="9" numFmtId="164" xfId="0" applyAlignment="1" applyFont="1" applyNumberFormat="1">
      <alignment horizontal="right" shrinkToFit="0" vertical="bottom" wrapText="0"/>
    </xf>
    <xf borderId="0" fillId="0" fontId="9" numFmtId="174" xfId="0" applyAlignment="1" applyFont="1" applyNumberFormat="1">
      <alignment shrinkToFit="0" vertical="bottom" wrapText="0"/>
    </xf>
    <xf borderId="0" fillId="0" fontId="9" numFmtId="164" xfId="0" applyAlignment="1" applyFont="1" applyNumberFormat="1">
      <alignment vertical="bottom"/>
    </xf>
    <xf borderId="0" fillId="0" fontId="9" numFmtId="174" xfId="0" applyAlignment="1" applyFont="1" applyNumberFormat="1">
      <alignment horizontal="right" shrinkToFit="0" vertical="bottom" wrapText="0"/>
    </xf>
    <xf borderId="0" fillId="0" fontId="9" numFmtId="176" xfId="0" applyAlignment="1" applyFont="1" applyNumberFormat="1">
      <alignment vertical="bottom"/>
    </xf>
    <xf borderId="0" fillId="0" fontId="9" numFmtId="177" xfId="0" applyAlignment="1" applyFont="1" applyNumberFormat="1">
      <alignment horizontal="right" vertical="bottom"/>
    </xf>
    <xf borderId="32" fillId="0" fontId="9" numFmtId="177" xfId="0" applyAlignment="1" applyBorder="1" applyFont="1" applyNumberFormat="1">
      <alignment vertical="bottom"/>
    </xf>
    <xf borderId="0" fillId="0" fontId="9" numFmtId="178" xfId="0" applyAlignment="1" applyFont="1" applyNumberFormat="1">
      <alignment vertical="bottom"/>
    </xf>
    <xf borderId="32" fillId="0" fontId="9" numFmtId="0" xfId="0" applyAlignment="1" applyBorder="1" applyFont="1">
      <alignment shrinkToFit="0" vertical="bottom" wrapText="0"/>
    </xf>
    <xf borderId="0" fillId="0" fontId="9" numFmtId="169" xfId="0" applyAlignment="1" applyFont="1" applyNumberFormat="1">
      <alignment vertical="bottom"/>
    </xf>
    <xf borderId="32" fillId="0" fontId="9" numFmtId="170" xfId="0" applyAlignment="1" applyBorder="1" applyFont="1" applyNumberFormat="1">
      <alignment vertical="bottom"/>
    </xf>
    <xf borderId="0" fillId="0" fontId="9" numFmtId="179" xfId="0" applyAlignment="1" applyFont="1" applyNumberFormat="1">
      <alignment horizontal="right" shrinkToFit="0" vertical="bottom" wrapText="0"/>
    </xf>
    <xf borderId="0" fillId="0" fontId="9" numFmtId="179" xfId="0" applyAlignment="1" applyFont="1" applyNumberFormat="1">
      <alignment vertical="bottom"/>
    </xf>
    <xf borderId="0" fillId="0" fontId="9" numFmtId="180" xfId="0" applyAlignment="1" applyFont="1" applyNumberFormat="1">
      <alignment horizontal="right" vertical="bottom"/>
    </xf>
    <xf borderId="0" fillId="0" fontId="9" numFmtId="1" xfId="0" applyAlignment="1" applyFont="1" applyNumberFormat="1">
      <alignment horizontal="right" vertical="bottom"/>
    </xf>
    <xf borderId="0" fillId="0" fontId="9" numFmtId="179" xfId="0" applyAlignment="1" applyFont="1" applyNumberFormat="1">
      <alignment shrinkToFit="0" vertical="bottom" wrapText="0"/>
    </xf>
    <xf borderId="0" fillId="0" fontId="9" numFmtId="1" xfId="0" applyAlignment="1" applyFont="1" applyNumberFormat="1">
      <alignment horizontal="right" shrinkToFit="0" vertical="bottom" wrapText="0"/>
    </xf>
    <xf borderId="0" fillId="0" fontId="9" numFmtId="175" xfId="0" applyAlignment="1" applyFont="1" applyNumberFormat="1">
      <alignment horizontal="right" vertical="bottom"/>
    </xf>
    <xf borderId="32" fillId="0" fontId="9" numFmtId="175" xfId="0" applyAlignment="1" applyBorder="1" applyFont="1" applyNumberFormat="1">
      <alignment vertical="bottom"/>
    </xf>
    <xf borderId="0" fillId="0" fontId="9" numFmtId="181" xfId="0" applyAlignment="1" applyFont="1" applyNumberFormat="1">
      <alignment horizontal="right" vertical="bottom"/>
    </xf>
    <xf borderId="32" fillId="0" fontId="9" numFmtId="181" xfId="0" applyAlignment="1" applyBorder="1" applyFont="1" applyNumberFormat="1">
      <alignment vertical="bottom"/>
    </xf>
    <xf borderId="0" fillId="0" fontId="9" numFmtId="182" xfId="0" applyAlignment="1" applyFont="1" applyNumberFormat="1">
      <alignment horizontal="right" shrinkToFit="0" vertical="bottom" wrapText="0"/>
    </xf>
    <xf borderId="0" fillId="0" fontId="9" numFmtId="182" xfId="0" applyAlignment="1" applyFont="1" applyNumberFormat="1">
      <alignment vertical="bottom"/>
    </xf>
    <xf borderId="0" fillId="0" fontId="9" numFmtId="183" xfId="0" applyAlignment="1" applyFont="1" applyNumberFormat="1">
      <alignment horizontal="right" shrinkToFit="0" vertical="bottom" wrapText="0"/>
    </xf>
    <xf borderId="0" fillId="0" fontId="9" numFmtId="183" xfId="0" applyAlignment="1" applyFont="1" applyNumberFormat="1">
      <alignment vertical="bottom"/>
    </xf>
    <xf borderId="0" fillId="0" fontId="9" numFmtId="179" xfId="0" applyAlignment="1" applyFont="1" applyNumberFormat="1">
      <alignment horizontal="right" vertical="bottom"/>
    </xf>
    <xf borderId="32" fillId="0" fontId="9" numFmtId="179" xfId="0" applyAlignment="1" applyBorder="1" applyFont="1" applyNumberFormat="1">
      <alignment vertical="bottom"/>
    </xf>
    <xf borderId="0" fillId="0" fontId="9" numFmtId="49" xfId="0" applyAlignment="1" applyFont="1" applyNumberFormat="1">
      <alignment horizontal="center" shrinkToFit="0" vertical="bottom" wrapText="0"/>
    </xf>
    <xf borderId="0" fillId="0" fontId="9" numFmtId="169" xfId="0" applyAlignment="1" applyFont="1" applyNumberFormat="1">
      <alignment horizontal="right" shrinkToFit="0" vertical="bottom" wrapText="0"/>
    </xf>
    <xf borderId="0" fillId="0" fontId="9" numFmtId="184" xfId="0" applyAlignment="1" applyFont="1" applyNumberFormat="1">
      <alignment horizontal="right" vertical="bottom"/>
    </xf>
    <xf borderId="32" fillId="0" fontId="9" numFmtId="184" xfId="0" applyAlignment="1" applyBorder="1" applyFont="1" applyNumberFormat="1">
      <alignment vertical="bottom"/>
    </xf>
    <xf borderId="0" fillId="0" fontId="9" numFmtId="168" xfId="0" applyAlignment="1" applyFont="1" applyNumberFormat="1">
      <alignment shrinkToFit="0" vertical="bottom" wrapText="0"/>
    </xf>
    <xf borderId="0" fillId="0" fontId="9" numFmtId="168" xfId="0" applyAlignment="1" applyFont="1" applyNumberFormat="1">
      <alignment vertical="bottom"/>
    </xf>
    <xf borderId="0" fillId="0" fontId="9" numFmtId="9" xfId="0" applyAlignment="1" applyFont="1" applyNumberFormat="1">
      <alignment horizontal="right" shrinkToFit="0" vertical="bottom" wrapText="0"/>
    </xf>
    <xf borderId="0" fillId="0" fontId="9" numFmtId="1" xfId="0" applyAlignment="1" applyFont="1" applyNumberFormat="1">
      <alignment horizontal="center" vertical="bottom"/>
    </xf>
    <xf borderId="0" fillId="0" fontId="9" numFmtId="170" xfId="0" applyAlignment="1" applyFont="1" applyNumberFormat="1">
      <alignment vertical="bottom"/>
    </xf>
    <xf borderId="0" fillId="0" fontId="9" numFmtId="179" xfId="0" applyAlignment="1" applyFont="1" applyNumberFormat="1">
      <alignment horizontal="right" vertical="bottom"/>
    </xf>
    <xf borderId="32" fillId="0" fontId="9" numFmtId="179" xfId="0" applyAlignment="1" applyBorder="1" applyFont="1" applyNumberFormat="1">
      <alignment vertical="bottom"/>
    </xf>
    <xf borderId="0" fillId="0" fontId="9" numFmtId="185" xfId="0" applyAlignment="1" applyFont="1" applyNumberFormat="1">
      <alignment vertical="bottom"/>
    </xf>
    <xf borderId="0" fillId="0" fontId="9" numFmtId="186" xfId="0" applyAlignment="1" applyFont="1" applyNumberFormat="1">
      <alignment vertical="bottom"/>
    </xf>
    <xf borderId="0" fillId="0" fontId="9" numFmtId="166" xfId="0" applyAlignment="1" applyFont="1" applyNumberFormat="1">
      <alignment horizontal="right" vertical="bottom"/>
    </xf>
    <xf borderId="0" fillId="0" fontId="9" numFmtId="187" xfId="0" applyAlignment="1" applyFont="1" applyNumberFormat="1">
      <alignment shrinkToFit="0" vertical="bottom" wrapText="0"/>
    </xf>
    <xf borderId="0" fillId="0" fontId="9" numFmtId="187" xfId="0" applyAlignment="1" applyFont="1" applyNumberFormat="1">
      <alignment vertical="bottom"/>
    </xf>
    <xf borderId="0" fillId="0" fontId="9" numFmtId="188" xfId="0" applyAlignment="1" applyFont="1" applyNumberFormat="1">
      <alignment horizontal="right" shrinkToFit="0" vertical="bottom" wrapText="0"/>
    </xf>
    <xf borderId="0" fillId="0" fontId="9" numFmtId="188" xfId="0" applyAlignment="1" applyFont="1" applyNumberFormat="1">
      <alignment vertical="bottom"/>
    </xf>
    <xf borderId="0" fillId="0" fontId="9" numFmtId="179" xfId="0" applyAlignment="1" applyFont="1" applyNumberFormat="1">
      <alignment horizontal="right" shrinkToFit="0" vertical="bottom" wrapText="0"/>
    </xf>
    <xf borderId="0" fillId="0" fontId="9" numFmtId="179" xfId="0" applyAlignment="1" applyFont="1" applyNumberFormat="1">
      <alignment vertical="bottom"/>
    </xf>
    <xf borderId="0" fillId="0" fontId="9" numFmtId="10" xfId="0" applyAlignment="1" applyFont="1" applyNumberFormat="1">
      <alignment horizontal="right" shrinkToFit="0" vertical="bottom" wrapText="0"/>
    </xf>
    <xf borderId="0" fillId="0" fontId="9" numFmtId="189" xfId="0" applyAlignment="1" applyFont="1" applyNumberFormat="1">
      <alignment horizontal="right" shrinkToFit="0" vertical="bottom" wrapText="0"/>
    </xf>
    <xf borderId="0" fillId="0" fontId="9" numFmtId="189" xfId="0" applyAlignment="1" applyFont="1" applyNumberFormat="1">
      <alignment vertical="bottom"/>
    </xf>
    <xf borderId="0" fillId="0" fontId="9" numFmtId="186" xfId="0" applyAlignment="1" applyFont="1" applyNumberFormat="1">
      <alignment horizontal="right" shrinkToFit="0" vertical="bottom" wrapText="0"/>
    </xf>
    <xf borderId="0" fillId="0" fontId="9" numFmtId="186" xfId="0" applyAlignment="1" applyFont="1" applyNumberFormat="1">
      <alignment vertical="bottom"/>
    </xf>
    <xf borderId="32" fillId="0" fontId="9" numFmtId="0" xfId="0" applyAlignment="1" applyBorder="1" applyFont="1">
      <alignment horizontal="right" vertical="bottom"/>
    </xf>
    <xf borderId="0" fillId="0" fontId="9" numFmtId="165" xfId="0" applyAlignment="1" applyFont="1" applyNumberFormat="1">
      <alignment horizontal="right" vertical="bottom"/>
    </xf>
    <xf borderId="0" fillId="0" fontId="9" numFmtId="0" xfId="0" applyAlignment="1" applyFont="1">
      <alignment vertical="bottom"/>
    </xf>
    <xf borderId="0" fillId="0" fontId="9" numFmtId="2" xfId="0" applyAlignment="1" applyFont="1" applyNumberFormat="1">
      <alignment vertical="bottom"/>
    </xf>
    <xf borderId="33" fillId="8" fontId="30" numFmtId="0" xfId="0" applyAlignment="1" applyBorder="1" applyFill="1" applyFont="1">
      <alignment horizontal="center" readingOrder="0" textRotation="75" vertical="bottom"/>
    </xf>
    <xf borderId="34" fillId="8" fontId="31" numFmtId="0" xfId="0" applyAlignment="1" applyBorder="1" applyFont="1">
      <alignment horizontal="center" vertical="bottom"/>
    </xf>
    <xf borderId="35" fillId="8" fontId="31" numFmtId="0" xfId="0" applyAlignment="1" applyBorder="1" applyFont="1">
      <alignment horizontal="center" readingOrder="0" vertical="bottom"/>
    </xf>
    <xf borderId="32" fillId="0" fontId="7" numFmtId="0" xfId="0" applyBorder="1" applyFont="1"/>
    <xf borderId="0" fillId="8" fontId="31" numFmtId="0" xfId="0" applyAlignment="1" applyFont="1">
      <alignment horizontal="center" readingOrder="0" vertical="bottom"/>
    </xf>
    <xf borderId="25" fillId="8" fontId="31" numFmtId="0" xfId="0" applyAlignment="1" applyBorder="1" applyFont="1">
      <alignment horizontal="center" vertical="bottom"/>
    </xf>
    <xf borderId="23" fillId="8" fontId="31" numFmtId="0" xfId="0" applyAlignment="1" applyBorder="1" applyFont="1">
      <alignment horizontal="center" vertical="bottom"/>
    </xf>
    <xf borderId="25" fillId="0" fontId="7" numFmtId="0" xfId="0" applyBorder="1" applyFont="1"/>
    <xf borderId="0" fillId="8" fontId="31" numFmtId="0" xfId="0" applyAlignment="1" applyFont="1">
      <alignment horizontal="center" vertical="bottom"/>
    </xf>
    <xf borderId="33" fillId="8" fontId="32" numFmtId="0" xfId="0" applyAlignment="1" applyBorder="1" applyFont="1">
      <alignment horizontal="center" vertical="bottom"/>
    </xf>
    <xf borderId="33" fillId="8" fontId="31" numFmtId="0" xfId="0" applyAlignment="1" applyBorder="1" applyFont="1">
      <alignment horizontal="center" vertical="bottom"/>
    </xf>
    <xf borderId="36" fillId="8" fontId="31" numFmtId="0" xfId="0" applyAlignment="1" applyBorder="1" applyFont="1">
      <alignment horizontal="center" vertical="bottom"/>
    </xf>
    <xf borderId="33" fillId="9" fontId="33" numFmtId="0" xfId="0" applyAlignment="1" applyBorder="1" applyFill="1" applyFont="1">
      <alignment horizontal="center" vertical="bottom"/>
    </xf>
    <xf borderId="23" fillId="8" fontId="31" numFmtId="0" xfId="0" applyAlignment="1" applyBorder="1" applyFont="1">
      <alignment horizontal="center" readingOrder="0" vertical="bottom"/>
    </xf>
    <xf borderId="34" fillId="0" fontId="7" numFmtId="0" xfId="0" applyBorder="1" applyFont="1"/>
    <xf borderId="36" fillId="8" fontId="31" numFmtId="0" xfId="0" applyAlignment="1" applyBorder="1" applyFont="1">
      <alignment horizontal="center" readingOrder="0" vertical="bottom"/>
    </xf>
    <xf borderId="37" fillId="2" fontId="9" numFmtId="0" xfId="0" applyAlignment="1" applyBorder="1" applyFont="1">
      <alignment vertical="bottom"/>
    </xf>
    <xf borderId="33" fillId="0" fontId="7" numFmtId="0" xfId="0" applyBorder="1" applyFont="1"/>
    <xf borderId="38" fillId="0" fontId="7" numFmtId="0" xfId="0" applyBorder="1" applyFont="1"/>
    <xf borderId="39" fillId="8" fontId="31" numFmtId="0" xfId="0" applyAlignment="1" applyBorder="1" applyFont="1">
      <alignment horizontal="center" vertical="bottom"/>
    </xf>
    <xf borderId="40" fillId="8" fontId="31" numFmtId="0" xfId="0" applyAlignment="1" applyBorder="1" applyFont="1">
      <alignment horizontal="center" vertical="bottom"/>
    </xf>
    <xf borderId="41" fillId="8" fontId="31" numFmtId="0" xfId="0" applyAlignment="1" applyBorder="1" applyFont="1">
      <alignment horizontal="center" vertical="bottom"/>
    </xf>
    <xf borderId="29" fillId="0" fontId="7" numFmtId="0" xfId="0" applyBorder="1" applyFont="1"/>
    <xf borderId="27" fillId="0" fontId="7" numFmtId="0" xfId="0" applyBorder="1" applyFont="1"/>
    <xf borderId="42" fillId="2" fontId="9" numFmtId="0" xfId="0" applyAlignment="1" applyBorder="1" applyFont="1">
      <alignment vertical="bottom"/>
    </xf>
    <xf borderId="28" fillId="0" fontId="7" numFmtId="0" xfId="0" applyBorder="1" applyFont="1"/>
    <xf borderId="36" fillId="2" fontId="9" numFmtId="0" xfId="0" applyAlignment="1" applyBorder="1" applyFont="1">
      <alignment vertical="bottom"/>
    </xf>
    <xf borderId="36" fillId="0" fontId="7" numFmtId="0" xfId="0" applyBorder="1" applyFont="1"/>
    <xf borderId="36" fillId="8" fontId="31" numFmtId="0" xfId="0" applyAlignment="1" applyBorder="1" applyFont="1">
      <alignment horizontal="center" vertical="bottom"/>
    </xf>
    <xf borderId="43" fillId="2" fontId="34" numFmtId="0" xfId="0" applyAlignment="1" applyBorder="1" applyFont="1">
      <alignment horizontal="right" readingOrder="0" textRotation="90" vertical="top"/>
    </xf>
    <xf borderId="24" fillId="10" fontId="35" numFmtId="0" xfId="0" applyAlignment="1" applyBorder="1" applyFill="1" applyFont="1">
      <alignment vertical="bottom"/>
    </xf>
    <xf borderId="34" fillId="10" fontId="35" numFmtId="0" xfId="0" applyAlignment="1" applyBorder="1" applyFont="1">
      <alignment vertical="bottom"/>
    </xf>
    <xf borderId="44" fillId="9" fontId="36" numFmtId="0" xfId="0" applyAlignment="1" applyBorder="1" applyFont="1">
      <alignment horizontal="center" readingOrder="0" vertical="bottom"/>
    </xf>
    <xf borderId="45" fillId="9" fontId="36" numFmtId="0" xfId="0" applyAlignment="1" applyBorder="1" applyFont="1">
      <alignment horizontal="center" readingOrder="0" vertical="bottom"/>
    </xf>
    <xf borderId="44" fillId="11" fontId="36" numFmtId="0" xfId="0" applyAlignment="1" applyBorder="1" applyFill="1" applyFont="1">
      <alignment horizontal="center" readingOrder="0" vertical="bottom"/>
    </xf>
    <xf borderId="45" fillId="11" fontId="36" numFmtId="0" xfId="0" applyAlignment="1" applyBorder="1" applyFont="1">
      <alignment horizontal="center" readingOrder="0" vertical="bottom"/>
    </xf>
    <xf borderId="25" fillId="10" fontId="35" numFmtId="0" xfId="0" applyAlignment="1" applyBorder="1" applyFont="1">
      <alignment horizontal="center" vertical="bottom"/>
    </xf>
    <xf borderId="46" fillId="10" fontId="35" numFmtId="0" xfId="0" applyAlignment="1" applyBorder="1" applyFont="1">
      <alignment vertical="bottom"/>
    </xf>
    <xf borderId="36" fillId="10" fontId="37" numFmtId="166" xfId="0" applyAlignment="1" applyBorder="1" applyFont="1" applyNumberFormat="1">
      <alignment horizontal="right" vertical="bottom"/>
    </xf>
    <xf borderId="24" fillId="9" fontId="36" numFmtId="0" xfId="0" applyAlignment="1" applyBorder="1" applyFont="1">
      <alignment horizontal="center" readingOrder="0" vertical="bottom"/>
    </xf>
    <xf borderId="25" fillId="9" fontId="36" numFmtId="0" xfId="0" applyAlignment="1" applyBorder="1" applyFont="1">
      <alignment horizontal="center" readingOrder="0" vertical="bottom"/>
    </xf>
    <xf borderId="23" fillId="10" fontId="35" numFmtId="0" xfId="0" applyAlignment="1" applyBorder="1" applyFont="1">
      <alignment horizontal="center" readingOrder="0" vertical="bottom"/>
    </xf>
    <xf borderId="0" fillId="2" fontId="34" numFmtId="0" xfId="0" applyAlignment="1" applyFont="1">
      <alignment horizontal="right" readingOrder="0" textRotation="90" vertical="top"/>
    </xf>
    <xf borderId="24" fillId="12" fontId="35" numFmtId="0" xfId="0" applyAlignment="1" applyBorder="1" applyFill="1" applyFont="1">
      <alignment vertical="bottom"/>
    </xf>
    <xf borderId="24" fillId="13" fontId="38" numFmtId="0" xfId="0" applyAlignment="1" applyBorder="1" applyFill="1" applyFont="1">
      <alignment horizontal="center" vertical="bottom"/>
    </xf>
    <xf borderId="24" fillId="12" fontId="35" numFmtId="0" xfId="0" applyAlignment="1" applyBorder="1" applyFont="1">
      <alignment horizontal="center" readingOrder="0" vertical="bottom"/>
    </xf>
    <xf borderId="36" fillId="2" fontId="39" numFmtId="0" xfId="0" applyAlignment="1" applyBorder="1" applyFont="1">
      <alignment horizontal="right" readingOrder="0" textRotation="90" vertical="top"/>
    </xf>
    <xf borderId="24" fillId="14" fontId="40" numFmtId="0" xfId="0" applyAlignment="1" applyBorder="1" applyFill="1" applyFont="1">
      <alignment horizontal="center" textRotation="0" vertical="top"/>
    </xf>
    <xf borderId="24" fillId="10" fontId="41" numFmtId="0" xfId="0" applyAlignment="1" applyBorder="1" applyFont="1">
      <alignment horizontal="center" textRotation="90" vertical="center"/>
    </xf>
    <xf borderId="23" fillId="15" fontId="42" numFmtId="190" xfId="0" applyAlignment="1" applyBorder="1" applyFill="1" applyFont="1" applyNumberFormat="1">
      <alignment horizontal="center"/>
    </xf>
    <xf borderId="25" fillId="15" fontId="43" numFmtId="0" xfId="0" applyAlignment="1" applyBorder="1" applyFont="1">
      <alignment horizontal="center" vertical="center"/>
    </xf>
    <xf borderId="47" fillId="16" fontId="44" numFmtId="0" xfId="0" applyAlignment="1" applyBorder="1" applyFill="1" applyFont="1">
      <alignment vertical="bottom"/>
    </xf>
    <xf borderId="48" fillId="2" fontId="9" numFmtId="0" xfId="0" applyAlignment="1" applyBorder="1" applyFont="1">
      <alignment vertical="bottom"/>
    </xf>
    <xf borderId="48" fillId="6" fontId="33" numFmtId="0" xfId="0" applyAlignment="1" applyBorder="1" applyFont="1">
      <alignment horizontal="center" vertical="bottom"/>
    </xf>
    <xf borderId="49" fillId="2" fontId="45" numFmtId="0" xfId="0" applyAlignment="1" applyBorder="1" applyFont="1">
      <alignment horizontal="right" vertical="bottom"/>
    </xf>
    <xf borderId="0" fillId="10" fontId="35" numFmtId="0" xfId="0" applyAlignment="1" applyFont="1">
      <alignment vertical="bottom"/>
    </xf>
    <xf borderId="50" fillId="9" fontId="46" numFmtId="0" xfId="0" applyAlignment="1" applyBorder="1" applyFont="1">
      <alignment horizontal="center" readingOrder="0" vertical="bottom"/>
    </xf>
    <xf borderId="51" fillId="9" fontId="36" numFmtId="0" xfId="0" applyAlignment="1" applyBorder="1" applyFont="1">
      <alignment horizontal="center" readingOrder="0" vertical="bottom"/>
    </xf>
    <xf borderId="50" fillId="11" fontId="46" numFmtId="0" xfId="0" applyAlignment="1" applyBorder="1" applyFont="1">
      <alignment horizontal="center" readingOrder="0" vertical="bottom"/>
    </xf>
    <xf borderId="51" fillId="11" fontId="36" numFmtId="0" xfId="0" applyAlignment="1" applyBorder="1" applyFont="1">
      <alignment horizontal="center" readingOrder="0" vertical="bottom"/>
    </xf>
    <xf borderId="36" fillId="10" fontId="35" numFmtId="0" xfId="0" applyAlignment="1" applyBorder="1" applyFont="1">
      <alignment horizontal="center" vertical="bottom"/>
    </xf>
    <xf borderId="33" fillId="9" fontId="36" numFmtId="0" xfId="0" applyAlignment="1" applyBorder="1" applyFont="1">
      <alignment horizontal="center" readingOrder="0" vertical="bottom"/>
    </xf>
    <xf borderId="36" fillId="9" fontId="36" numFmtId="0" xfId="0" applyAlignment="1" applyBorder="1" applyFont="1">
      <alignment horizontal="center" readingOrder="0" vertical="bottom"/>
    </xf>
    <xf borderId="42" fillId="10" fontId="35" numFmtId="0" xfId="0" applyAlignment="1" applyBorder="1" applyFont="1">
      <alignment horizontal="center" readingOrder="0" vertical="bottom"/>
    </xf>
    <xf borderId="28" fillId="12" fontId="35" numFmtId="0" xfId="0" applyAlignment="1" applyBorder="1" applyFont="1">
      <alignment readingOrder="0" vertical="bottom"/>
    </xf>
    <xf borderId="28" fillId="13" fontId="38" numFmtId="0" xfId="0" applyAlignment="1" applyBorder="1" applyFont="1">
      <alignment horizontal="center" vertical="bottom"/>
    </xf>
    <xf borderId="28" fillId="12" fontId="35" numFmtId="0" xfId="0" applyAlignment="1" applyBorder="1" applyFont="1">
      <alignment horizontal="center" readingOrder="0" vertical="bottom"/>
    </xf>
    <xf borderId="2" fillId="2" fontId="47" numFmtId="168" xfId="0" applyAlignment="1" applyBorder="1" applyFont="1" applyNumberFormat="1">
      <alignment horizontal="left" textRotation="0" vertical="bottom"/>
    </xf>
    <xf borderId="52" fillId="16" fontId="44" numFmtId="0" xfId="0" applyAlignment="1" applyBorder="1" applyFont="1">
      <alignment vertical="bottom"/>
    </xf>
    <xf borderId="2" fillId="2" fontId="9" numFmtId="0" xfId="0" applyAlignment="1" applyBorder="1" applyFont="1">
      <alignment vertical="bottom"/>
    </xf>
    <xf borderId="2" fillId="6" fontId="33" numFmtId="0" xfId="0" applyAlignment="1" applyBorder="1" applyFont="1">
      <alignment horizontal="center" vertical="bottom"/>
    </xf>
    <xf borderId="33" fillId="17" fontId="48" numFmtId="0" xfId="0" applyAlignment="1" applyBorder="1" applyFill="1" applyFont="1">
      <alignment vertical="bottom"/>
    </xf>
    <xf borderId="33" fillId="8" fontId="38" numFmtId="0" xfId="0" applyAlignment="1" applyBorder="1" applyFont="1">
      <alignment horizontal="center" vertical="bottom"/>
    </xf>
    <xf borderId="33" fillId="17" fontId="48" numFmtId="0" xfId="0" applyAlignment="1" applyBorder="1" applyFont="1">
      <alignment horizontal="center" vertical="bottom"/>
    </xf>
    <xf borderId="2" fillId="2" fontId="47" numFmtId="165" xfId="0" applyAlignment="1" applyBorder="1" applyFont="1" applyNumberFormat="1">
      <alignment horizontal="left" textRotation="0" vertical="bottom"/>
    </xf>
    <xf borderId="0" fillId="2" fontId="49" numFmtId="0" xfId="0" applyAlignment="1" applyFont="1">
      <alignment horizontal="center" readingOrder="0" vertical="bottom"/>
    </xf>
    <xf borderId="2" fillId="16" fontId="44" numFmtId="0" xfId="0" applyAlignment="1" applyBorder="1" applyFont="1">
      <alignment vertical="bottom"/>
    </xf>
    <xf borderId="53" fillId="0" fontId="7" numFmtId="0" xfId="0" applyBorder="1" applyFont="1"/>
    <xf borderId="28" fillId="17" fontId="48" numFmtId="0" xfId="0" applyAlignment="1" applyBorder="1" applyFont="1">
      <alignment vertical="bottom"/>
    </xf>
    <xf borderId="28" fillId="8" fontId="38" numFmtId="0" xfId="0" applyAlignment="1" applyBorder="1" applyFont="1">
      <alignment horizontal="center" vertical="bottom"/>
    </xf>
    <xf borderId="28" fillId="17" fontId="48" numFmtId="0" xfId="0" applyAlignment="1" applyBorder="1" applyFont="1">
      <alignment horizontal="center" vertical="bottom"/>
    </xf>
    <xf borderId="2" fillId="2" fontId="47" numFmtId="10" xfId="0" applyAlignment="1" applyBorder="1" applyFont="1" applyNumberFormat="1">
      <alignment horizontal="left" textRotation="0" vertical="bottom"/>
    </xf>
    <xf borderId="54" fillId="15" fontId="50" numFmtId="190" xfId="0" applyAlignment="1" applyBorder="1" applyFont="1" applyNumberFormat="1">
      <alignment horizontal="right" vertical="bottom"/>
    </xf>
    <xf borderId="55" fillId="15" fontId="51" numFmtId="0" xfId="0" applyAlignment="1" applyBorder="1" applyFont="1">
      <alignment horizontal="center" vertical="bottom"/>
    </xf>
    <xf borderId="56" fillId="10" fontId="35" numFmtId="0" xfId="0" applyAlignment="1" applyBorder="1" applyFont="1">
      <alignment horizontal="center" readingOrder="0"/>
    </xf>
    <xf borderId="57" fillId="10" fontId="35" numFmtId="0" xfId="0" applyAlignment="1" applyBorder="1" applyFont="1">
      <alignment vertical="bottom"/>
    </xf>
    <xf borderId="58" fillId="9" fontId="46" numFmtId="0" xfId="0" applyAlignment="1" applyBorder="1" applyFont="1">
      <alignment horizontal="center" readingOrder="0" vertical="bottom"/>
    </xf>
    <xf borderId="59" fillId="9" fontId="36" numFmtId="0" xfId="0" applyAlignment="1" applyBorder="1" applyFont="1">
      <alignment horizontal="center" readingOrder="0" vertical="bottom"/>
    </xf>
    <xf borderId="58" fillId="11" fontId="46" numFmtId="0" xfId="0" applyAlignment="1" applyBorder="1" applyFont="1">
      <alignment horizontal="center" readingOrder="0" vertical="bottom"/>
    </xf>
    <xf borderId="59" fillId="11" fontId="36" numFmtId="0" xfId="0" applyAlignment="1" applyBorder="1" applyFont="1">
      <alignment horizontal="center" readingOrder="0" vertical="bottom"/>
    </xf>
    <xf borderId="60" fillId="10" fontId="35" numFmtId="0" xfId="0" applyAlignment="1" applyBorder="1" applyFont="1">
      <alignment horizontal="center" vertical="bottom"/>
    </xf>
    <xf borderId="33" fillId="18" fontId="44" numFmtId="0" xfId="0" applyAlignment="1" applyBorder="1" applyFill="1" applyFont="1">
      <alignment vertical="bottom"/>
    </xf>
    <xf borderId="33" fillId="19" fontId="38" numFmtId="0" xfId="0" applyAlignment="1" applyBorder="1" applyFill="1" applyFont="1">
      <alignment horizontal="center" vertical="bottom"/>
    </xf>
    <xf borderId="33" fillId="18" fontId="44" numFmtId="0" xfId="0" applyAlignment="1" applyBorder="1" applyFont="1">
      <alignment horizontal="center" vertical="bottom"/>
    </xf>
    <xf borderId="2" fillId="2" fontId="47" numFmtId="164" xfId="0" applyAlignment="1" applyBorder="1" applyFont="1" applyNumberFormat="1">
      <alignment horizontal="left" textRotation="0" vertical="bottom"/>
    </xf>
    <xf borderId="61" fillId="15" fontId="50" numFmtId="190" xfId="0" applyAlignment="1" applyBorder="1" applyFont="1" applyNumberFormat="1">
      <alignment horizontal="right" vertical="bottom"/>
    </xf>
    <xf borderId="62" fillId="15" fontId="51" numFmtId="0" xfId="0" applyAlignment="1" applyBorder="1" applyFont="1">
      <alignment horizontal="center" vertical="bottom"/>
    </xf>
    <xf borderId="63" fillId="10" fontId="35" numFmtId="0" xfId="0" applyAlignment="1" applyBorder="1" applyFont="1">
      <alignment vertical="bottom"/>
    </xf>
    <xf borderId="64" fillId="9" fontId="46" numFmtId="0" xfId="0" applyAlignment="1" applyBorder="1" applyFont="1">
      <alignment horizontal="center" readingOrder="0" vertical="bottom"/>
    </xf>
    <xf borderId="65" fillId="9" fontId="36" numFmtId="0" xfId="0" applyAlignment="1" applyBorder="1" applyFont="1">
      <alignment horizontal="center" readingOrder="0" vertical="bottom"/>
    </xf>
    <xf borderId="64" fillId="11" fontId="46" numFmtId="0" xfId="0" applyAlignment="1" applyBorder="1" applyFont="1">
      <alignment horizontal="center" readingOrder="0" vertical="bottom"/>
    </xf>
    <xf borderId="65" fillId="11" fontId="36" numFmtId="0" xfId="0" applyAlignment="1" applyBorder="1" applyFont="1">
      <alignment horizontal="center" readingOrder="0" vertical="bottom"/>
    </xf>
    <xf borderId="66" fillId="10" fontId="35" numFmtId="0" xfId="0" applyAlignment="1" applyBorder="1" applyFont="1">
      <alignment horizontal="center" vertical="bottom"/>
    </xf>
    <xf borderId="67" fillId="10" fontId="35" numFmtId="0" xfId="0" applyAlignment="1" applyBorder="1" applyFont="1">
      <alignment vertical="bottom"/>
    </xf>
    <xf borderId="29" fillId="10" fontId="37" numFmtId="166" xfId="0" applyAlignment="1" applyBorder="1" applyFont="1" applyNumberFormat="1">
      <alignment horizontal="right" vertical="bottom"/>
    </xf>
    <xf borderId="28" fillId="9" fontId="46" numFmtId="0" xfId="0" applyAlignment="1" applyBorder="1" applyFont="1">
      <alignment horizontal="center" readingOrder="0" vertical="bottom"/>
    </xf>
    <xf borderId="29" fillId="9" fontId="46" numFmtId="0" xfId="0" applyAlignment="1" applyBorder="1" applyFont="1">
      <alignment horizontal="center" readingOrder="0" vertical="bottom"/>
    </xf>
    <xf borderId="27" fillId="10" fontId="35" numFmtId="0" xfId="0" applyAlignment="1" applyBorder="1" applyFont="1">
      <alignment horizontal="center" readingOrder="0" vertical="bottom"/>
    </xf>
    <xf borderId="2" fillId="20" fontId="48" numFmtId="0" xfId="0" applyAlignment="1" applyBorder="1" applyFill="1" applyFont="1">
      <alignment horizontal="left" vertical="bottom"/>
    </xf>
    <xf borderId="2" fillId="21" fontId="38" numFmtId="0" xfId="0" applyAlignment="1" applyBorder="1" applyFill="1" applyFont="1">
      <alignment horizontal="center" vertical="bottom"/>
    </xf>
    <xf borderId="2" fillId="20" fontId="48" numFmtId="0" xfId="0" applyAlignment="1" applyBorder="1" applyFont="1">
      <alignment horizontal="center" vertical="bottom"/>
    </xf>
    <xf borderId="26" fillId="2" fontId="45" numFmtId="0" xfId="0" applyAlignment="1" applyBorder="1" applyFont="1">
      <alignment horizontal="right" vertical="bottom"/>
    </xf>
    <xf borderId="68" fillId="22" fontId="35" numFmtId="0" xfId="0" applyAlignment="1" applyBorder="1" applyFill="1" applyFont="1">
      <alignment vertical="bottom"/>
    </xf>
    <xf borderId="36" fillId="22" fontId="52" numFmtId="166" xfId="0" applyAlignment="1" applyBorder="1" applyFont="1" applyNumberFormat="1">
      <alignment horizontal="right" vertical="bottom"/>
    </xf>
    <xf borderId="24" fillId="23" fontId="36" numFmtId="0" xfId="0" applyAlignment="1" applyBorder="1" applyFill="1" applyFont="1">
      <alignment horizontal="center" readingOrder="0" vertical="bottom"/>
    </xf>
    <xf borderId="25" fillId="23" fontId="36" numFmtId="0" xfId="0" applyAlignment="1" applyBorder="1" applyFont="1">
      <alignment horizontal="center" readingOrder="0" vertical="bottom"/>
    </xf>
    <xf borderId="23" fillId="22" fontId="35" numFmtId="0" xfId="0" applyAlignment="1" applyBorder="1" applyFont="1">
      <alignment horizontal="center" readingOrder="0" vertical="bottom"/>
    </xf>
    <xf borderId="69" fillId="2" fontId="9" numFmtId="0" xfId="0" applyAlignment="1" applyBorder="1" applyFont="1">
      <alignment vertical="bottom"/>
    </xf>
    <xf borderId="0" fillId="2" fontId="9" numFmtId="0" xfId="0" applyAlignment="1" applyFont="1">
      <alignment vertical="bottom"/>
    </xf>
    <xf borderId="2" fillId="2" fontId="47" numFmtId="179" xfId="0" applyAlignment="1" applyBorder="1" applyFont="1" applyNumberFormat="1">
      <alignment horizontal="left" textRotation="0" vertical="bottom"/>
    </xf>
    <xf borderId="70" fillId="15" fontId="50" numFmtId="190" xfId="0" applyAlignment="1" applyBorder="1" applyFont="1" applyNumberFormat="1">
      <alignment horizontal="right" vertical="bottom"/>
    </xf>
    <xf borderId="71" fillId="15" fontId="51" numFmtId="172" xfId="0" applyAlignment="1" applyBorder="1" applyFont="1" applyNumberFormat="1">
      <alignment horizontal="center" vertical="bottom"/>
    </xf>
    <xf borderId="36" fillId="22" fontId="53" numFmtId="166" xfId="0" applyAlignment="1" applyBorder="1" applyFont="1" applyNumberFormat="1">
      <alignment horizontal="right" vertical="bottom"/>
    </xf>
    <xf borderId="33" fillId="23" fontId="36" numFmtId="0" xfId="0" applyAlignment="1" applyBorder="1" applyFont="1">
      <alignment horizontal="center" readingOrder="0" vertical="bottom"/>
    </xf>
    <xf borderId="36" fillId="23" fontId="36" numFmtId="0" xfId="0" applyAlignment="1" applyBorder="1" applyFont="1">
      <alignment horizontal="center" readingOrder="0" vertical="bottom"/>
    </xf>
    <xf borderId="42" fillId="22" fontId="35" numFmtId="0" xfId="0" applyAlignment="1" applyBorder="1" applyFont="1">
      <alignment horizontal="center" readingOrder="0" vertical="bottom"/>
    </xf>
    <xf borderId="2" fillId="8" fontId="31" numFmtId="0" xfId="0" applyAlignment="1" applyBorder="1" applyFont="1">
      <alignment horizontal="center" readingOrder="0" vertical="bottom"/>
    </xf>
    <xf borderId="72" fillId="8" fontId="31" numFmtId="0" xfId="0" applyAlignment="1" applyBorder="1" applyFont="1">
      <alignment horizontal="center" vertical="bottom"/>
    </xf>
    <xf borderId="41" fillId="0" fontId="7" numFmtId="0" xfId="0" applyBorder="1" applyFont="1"/>
    <xf borderId="73" fillId="2" fontId="9" numFmtId="0" xfId="0" applyAlignment="1" applyBorder="1" applyFont="1">
      <alignment vertical="bottom"/>
    </xf>
    <xf borderId="74" fillId="16" fontId="44" numFmtId="0" xfId="0" applyAlignment="1" applyBorder="1" applyFont="1">
      <alignment vertical="bottom"/>
    </xf>
    <xf borderId="75" fillId="2" fontId="9" numFmtId="0" xfId="0" applyAlignment="1" applyBorder="1" applyFont="1">
      <alignment vertical="bottom"/>
    </xf>
    <xf borderId="75" fillId="6" fontId="33" numFmtId="0" xfId="0" applyAlignment="1" applyBorder="1" applyFont="1">
      <alignment horizontal="center" vertical="bottom"/>
    </xf>
    <xf borderId="24" fillId="17" fontId="54" numFmtId="0" xfId="0" applyAlignment="1" applyBorder="1" applyFont="1">
      <alignment readingOrder="0" vertical="bottom"/>
    </xf>
    <xf borderId="34" fillId="8" fontId="55" numFmtId="9" xfId="0" applyAlignment="1" applyBorder="1" applyFont="1" applyNumberFormat="1">
      <alignment horizontal="center" vertical="bottom"/>
    </xf>
    <xf borderId="2" fillId="2" fontId="47" numFmtId="164" xfId="0" applyAlignment="1" applyBorder="1" applyFont="1" applyNumberFormat="1">
      <alignment horizontal="left" textRotation="0" vertical="bottom"/>
    </xf>
    <xf borderId="0" fillId="2" fontId="56" numFmtId="0" xfId="0" applyAlignment="1" applyFont="1">
      <alignment horizontal="center" readingOrder="0" vertical="bottom"/>
    </xf>
    <xf borderId="47" fillId="16" fontId="54" numFmtId="0" xfId="0" applyAlignment="1" applyBorder="1" applyFont="1">
      <alignment vertical="bottom"/>
    </xf>
    <xf borderId="48" fillId="6" fontId="57" numFmtId="0" xfId="0" applyAlignment="1" applyBorder="1" applyFont="1">
      <alignment horizontal="center" vertical="bottom"/>
    </xf>
    <xf borderId="33" fillId="23" fontId="46" numFmtId="0" xfId="0" applyAlignment="1" applyBorder="1" applyFont="1">
      <alignment horizontal="center" readingOrder="0" vertical="bottom"/>
    </xf>
    <xf borderId="36" fillId="23" fontId="46" numFmtId="0" xfId="0" applyAlignment="1" applyBorder="1" applyFont="1">
      <alignment horizontal="center" readingOrder="0" vertical="bottom"/>
    </xf>
    <xf borderId="33" fillId="17" fontId="54" numFmtId="0" xfId="0" applyAlignment="1" applyBorder="1" applyFont="1">
      <alignment readingOrder="0" vertical="bottom"/>
    </xf>
    <xf borderId="0" fillId="8" fontId="55" numFmtId="9" xfId="0" applyAlignment="1" applyFont="1" applyNumberFormat="1">
      <alignment horizontal="center" vertical="bottom"/>
    </xf>
    <xf borderId="2" fillId="2" fontId="47" numFmtId="182" xfId="0" applyAlignment="1" applyBorder="1" applyFont="1" applyNumberFormat="1">
      <alignment horizontal="left" textRotation="0" vertical="bottom"/>
    </xf>
    <xf borderId="54" fillId="10" fontId="33" numFmtId="190" xfId="0" applyAlignment="1" applyBorder="1" applyFont="1" applyNumberFormat="1">
      <alignment horizontal="right" vertical="bottom"/>
    </xf>
    <xf borderId="55" fillId="10" fontId="58" numFmtId="0" xfId="0" applyAlignment="1" applyBorder="1" applyFont="1">
      <alignment horizontal="center" vertical="bottom"/>
    </xf>
    <xf borderId="52" fillId="16" fontId="54" numFmtId="0" xfId="0" applyAlignment="1" applyBorder="1" applyFont="1">
      <alignment vertical="bottom"/>
    </xf>
    <xf borderId="2" fillId="6" fontId="57" numFmtId="0" xfId="0" applyAlignment="1" applyBorder="1" applyFont="1">
      <alignment horizontal="center" vertical="bottom"/>
    </xf>
    <xf borderId="2" fillId="2" fontId="47" numFmtId="169" xfId="0" applyAlignment="1" applyBorder="1" applyFont="1" applyNumberFormat="1">
      <alignment horizontal="left" textRotation="0" vertical="bottom"/>
    </xf>
    <xf borderId="61" fillId="10" fontId="33" numFmtId="190" xfId="0" applyAlignment="1" applyBorder="1" applyFont="1" applyNumberFormat="1">
      <alignment horizontal="right" vertical="bottom"/>
    </xf>
    <xf borderId="62" fillId="10" fontId="58" numFmtId="0" xfId="0" applyAlignment="1" applyBorder="1" applyFont="1">
      <alignment horizontal="center" vertical="bottom"/>
    </xf>
    <xf borderId="76" fillId="22" fontId="35" numFmtId="0" xfId="0" applyAlignment="1" applyBorder="1" applyFont="1">
      <alignment vertical="bottom"/>
    </xf>
    <xf borderId="29" fillId="22" fontId="53" numFmtId="166" xfId="0" applyAlignment="1" applyBorder="1" applyFont="1" applyNumberFormat="1">
      <alignment horizontal="right" vertical="bottom"/>
    </xf>
    <xf borderId="28" fillId="23" fontId="46" numFmtId="0" xfId="0" applyAlignment="1" applyBorder="1" applyFont="1">
      <alignment horizontal="center" readingOrder="0" vertical="bottom"/>
    </xf>
    <xf borderId="29" fillId="23" fontId="46" numFmtId="0" xfId="0" applyAlignment="1" applyBorder="1" applyFont="1">
      <alignment horizontal="center" readingOrder="0" vertical="bottom"/>
    </xf>
    <xf borderId="27" fillId="22" fontId="35" numFmtId="0" xfId="0" applyAlignment="1" applyBorder="1" applyFont="1">
      <alignment horizontal="center" readingOrder="0" vertical="bottom"/>
    </xf>
    <xf borderId="2" fillId="2" fontId="47" numFmtId="168" xfId="0" applyAlignment="1" applyBorder="1" applyFont="1" applyNumberFormat="1">
      <alignment horizontal="left" textRotation="0" vertical="bottom"/>
    </xf>
    <xf borderId="51" fillId="11" fontId="36" numFmtId="0" xfId="0" applyAlignment="1" applyBorder="1" applyFont="1">
      <alignment horizontal="center" vertical="bottom"/>
    </xf>
    <xf borderId="23" fillId="17" fontId="35" numFmtId="0" xfId="0" applyAlignment="1" applyBorder="1" applyFont="1">
      <alignment vertical="bottom"/>
    </xf>
    <xf borderId="77" fillId="17" fontId="59" numFmtId="166" xfId="0" applyAlignment="1" applyBorder="1" applyFont="1" applyNumberFormat="1">
      <alignment horizontal="right" vertical="bottom"/>
    </xf>
    <xf borderId="24" fillId="8" fontId="46" numFmtId="0" xfId="0" applyAlignment="1" applyBorder="1" applyFont="1">
      <alignment horizontal="center" readingOrder="0" vertical="bottom"/>
    </xf>
    <xf borderId="25" fillId="8" fontId="46" numFmtId="0" xfId="0" applyAlignment="1" applyBorder="1" applyFont="1">
      <alignment horizontal="center" readingOrder="0" vertical="bottom"/>
    </xf>
    <xf borderId="23" fillId="17" fontId="35" numFmtId="0" xfId="0" applyAlignment="1" applyBorder="1" applyFont="1">
      <alignment horizontal="center" readingOrder="0" vertical="bottom"/>
    </xf>
    <xf borderId="28" fillId="17" fontId="54" numFmtId="0" xfId="0" applyAlignment="1" applyBorder="1" applyFont="1">
      <alignment readingOrder="0" vertical="bottom"/>
    </xf>
    <xf borderId="38" fillId="8" fontId="55" numFmtId="9" xfId="0" applyAlignment="1" applyBorder="1" applyFont="1" applyNumberFormat="1">
      <alignment horizontal="center" vertical="bottom"/>
    </xf>
    <xf borderId="78" fillId="10" fontId="33" numFmtId="190" xfId="0" applyAlignment="1" applyBorder="1" applyFont="1" applyNumberFormat="1">
      <alignment horizontal="right" readingOrder="0" vertical="bottom"/>
    </xf>
    <xf borderId="60" fillId="10" fontId="58" numFmtId="0" xfId="0" applyAlignment="1" applyBorder="1" applyFont="1">
      <alignment horizontal="center" vertical="bottom"/>
    </xf>
    <xf borderId="42" fillId="17" fontId="35" numFmtId="0" xfId="0" applyAlignment="1" applyBorder="1" applyFont="1">
      <alignment vertical="bottom"/>
    </xf>
    <xf borderId="79" fillId="17" fontId="59" numFmtId="166" xfId="0" applyAlignment="1" applyBorder="1" applyFont="1" applyNumberFormat="1">
      <alignment horizontal="right" vertical="bottom"/>
    </xf>
    <xf borderId="33" fillId="8" fontId="36" numFmtId="0" xfId="0" applyAlignment="1" applyBorder="1" applyFont="1">
      <alignment horizontal="center" readingOrder="0" vertical="bottom"/>
    </xf>
    <xf borderId="36" fillId="8" fontId="36" numFmtId="0" xfId="0" applyAlignment="1" applyBorder="1" applyFont="1">
      <alignment horizontal="center" readingOrder="0" vertical="bottom"/>
    </xf>
    <xf borderId="42" fillId="17" fontId="35" numFmtId="0" xfId="0" applyAlignment="1" applyBorder="1" applyFont="1">
      <alignment horizontal="center" readingOrder="0" vertical="bottom"/>
    </xf>
    <xf borderId="80" fillId="2" fontId="31" numFmtId="0" xfId="0" applyAlignment="1" applyBorder="1" applyFont="1">
      <alignment horizontal="center" vertical="bottom"/>
    </xf>
    <xf borderId="2" fillId="2" fontId="47" numFmtId="9" xfId="0" applyAlignment="1" applyBorder="1" applyFont="1" applyNumberFormat="1">
      <alignment horizontal="left" textRotation="0" vertical="bottom"/>
    </xf>
    <xf borderId="60" fillId="10" fontId="58" numFmtId="9" xfId="0" applyAlignment="1" applyBorder="1" applyFont="1" applyNumberFormat="1">
      <alignment horizontal="center" shrinkToFit="0" vertical="bottom" wrapText="0"/>
    </xf>
    <xf borderId="33" fillId="8" fontId="46" numFmtId="0" xfId="0" applyAlignment="1" applyBorder="1" applyFont="1">
      <alignment horizontal="center" readingOrder="0" vertical="bottom"/>
    </xf>
    <xf borderId="36" fillId="8" fontId="46" numFmtId="0" xfId="0" applyAlignment="1" applyBorder="1" applyFont="1">
      <alignment horizontal="center" readingOrder="0" vertical="bottom"/>
    </xf>
    <xf borderId="70" fillId="10" fontId="33" numFmtId="190" xfId="0" applyAlignment="1" applyBorder="1" applyFont="1" applyNumberFormat="1">
      <alignment horizontal="right" readingOrder="0" vertical="bottom"/>
    </xf>
    <xf borderId="71" fillId="10" fontId="58" numFmtId="9" xfId="0" applyAlignment="1" applyBorder="1" applyFont="1" applyNumberFormat="1">
      <alignment horizontal="center" shrinkToFit="0" vertical="bottom" wrapText="0"/>
    </xf>
    <xf borderId="33" fillId="12" fontId="60" numFmtId="0" xfId="0" applyAlignment="1" applyBorder="1" applyFont="1">
      <alignment vertical="bottom"/>
    </xf>
    <xf borderId="42" fillId="13" fontId="61" numFmtId="165" xfId="0" applyAlignment="1" applyBorder="1" applyFont="1" applyNumberFormat="1">
      <alignment horizontal="center" vertical="bottom"/>
    </xf>
    <xf borderId="74" fillId="16" fontId="54" numFmtId="0" xfId="0" applyAlignment="1" applyBorder="1" applyFont="1">
      <alignment vertical="bottom"/>
    </xf>
    <xf borderId="75" fillId="6" fontId="57" numFmtId="0" xfId="0" applyAlignment="1" applyBorder="1" applyFont="1">
      <alignment horizontal="center" vertical="bottom"/>
    </xf>
    <xf borderId="38" fillId="10" fontId="35" numFmtId="0" xfId="0" applyAlignment="1" applyBorder="1" applyFont="1">
      <alignment vertical="bottom"/>
    </xf>
    <xf borderId="81" fillId="9" fontId="46" numFmtId="0" xfId="0" applyAlignment="1" applyBorder="1" applyFont="1">
      <alignment horizontal="center" readingOrder="0" vertical="bottom"/>
    </xf>
    <xf borderId="82" fillId="9" fontId="36" numFmtId="0" xfId="0" applyAlignment="1" applyBorder="1" applyFont="1">
      <alignment horizontal="center" readingOrder="0" vertical="bottom"/>
    </xf>
    <xf borderId="81" fillId="11" fontId="46" numFmtId="0" xfId="0" applyAlignment="1" applyBorder="1" applyFont="1">
      <alignment horizontal="center" readingOrder="0" vertical="bottom"/>
    </xf>
    <xf borderId="82" fillId="11" fontId="36" numFmtId="0" xfId="0" applyAlignment="1" applyBorder="1" applyFont="1">
      <alignment horizontal="center" readingOrder="0" vertical="bottom"/>
    </xf>
    <xf borderId="29" fillId="10" fontId="35" numFmtId="0" xfId="0" applyAlignment="1" applyBorder="1" applyFont="1">
      <alignment horizontal="center" vertical="bottom"/>
    </xf>
    <xf borderId="83" fillId="22" fontId="41" numFmtId="0" xfId="0" applyAlignment="1" applyBorder="1" applyFont="1">
      <alignment horizontal="center" textRotation="90" vertical="center"/>
    </xf>
    <xf borderId="84" fillId="6" fontId="42" numFmtId="190" xfId="0" applyAlignment="1" applyBorder="1" applyFont="1" applyNumberFormat="1">
      <alignment horizontal="center"/>
    </xf>
    <xf borderId="85" fillId="6" fontId="43" numFmtId="0" xfId="0" applyAlignment="1" applyBorder="1" applyFont="1">
      <alignment horizontal="center" vertical="center"/>
    </xf>
    <xf borderId="33" fillId="22" fontId="35" numFmtId="0" xfId="0" applyAlignment="1" applyBorder="1" applyFont="1">
      <alignment readingOrder="0" vertical="bottom"/>
    </xf>
    <xf borderId="0" fillId="22" fontId="35" numFmtId="0" xfId="0" applyAlignment="1" applyFont="1">
      <alignment vertical="bottom"/>
    </xf>
    <xf borderId="50" fillId="23" fontId="36" numFmtId="0" xfId="0" applyAlignment="1" applyBorder="1" applyFont="1">
      <alignment horizontal="center" readingOrder="0" vertical="bottom"/>
    </xf>
    <xf borderId="51" fillId="23" fontId="36" numFmtId="0" xfId="0" applyAlignment="1" applyBorder="1" applyFont="1">
      <alignment horizontal="center" readingOrder="0" vertical="bottom"/>
    </xf>
    <xf borderId="50" fillId="24" fontId="36" numFmtId="0" xfId="0" applyAlignment="1" applyBorder="1" applyFill="1" applyFont="1">
      <alignment horizontal="center" readingOrder="0" vertical="bottom"/>
    </xf>
    <xf borderId="51" fillId="24" fontId="36" numFmtId="0" xfId="0" applyAlignment="1" applyBorder="1" applyFont="1">
      <alignment horizontal="center" readingOrder="0" vertical="bottom"/>
    </xf>
    <xf borderId="36" fillId="22" fontId="35" numFmtId="0" xfId="0" applyAlignment="1" applyBorder="1" applyFont="1">
      <alignment horizontal="center" vertical="bottom"/>
    </xf>
    <xf borderId="27" fillId="17" fontId="35" numFmtId="0" xfId="0" applyAlignment="1" applyBorder="1" applyFont="1">
      <alignment vertical="bottom"/>
    </xf>
    <xf borderId="86" fillId="17" fontId="59" numFmtId="166" xfId="0" applyAlignment="1" applyBorder="1" applyFont="1" applyNumberFormat="1">
      <alignment horizontal="right" vertical="bottom"/>
    </xf>
    <xf borderId="28" fillId="8" fontId="46" numFmtId="0" xfId="0" applyAlignment="1" applyBorder="1" applyFont="1">
      <alignment horizontal="center" readingOrder="0" vertical="bottom"/>
    </xf>
    <xf borderId="29" fillId="8" fontId="46" numFmtId="0" xfId="0" applyAlignment="1" applyBorder="1" applyFont="1">
      <alignment horizontal="center" readingOrder="0" vertical="bottom"/>
    </xf>
    <xf borderId="27" fillId="17" fontId="35" numFmtId="0" xfId="0" applyAlignment="1" applyBorder="1" applyFont="1">
      <alignment horizontal="center" readingOrder="0" vertical="bottom"/>
    </xf>
    <xf borderId="42" fillId="2" fontId="34" numFmtId="0" xfId="0" applyAlignment="1" applyBorder="1" applyFont="1">
      <alignment horizontal="right" textRotation="90" vertical="top"/>
    </xf>
    <xf borderId="0" fillId="2" fontId="31" numFmtId="0" xfId="0" applyAlignment="1" applyFont="1">
      <alignment horizontal="center" vertical="bottom"/>
    </xf>
    <xf borderId="56" fillId="22" fontId="35" numFmtId="0" xfId="0" applyAlignment="1" applyBorder="1" applyFont="1">
      <alignment horizontal="center" readingOrder="0"/>
    </xf>
    <xf borderId="57" fillId="22" fontId="35" numFmtId="0" xfId="0" applyAlignment="1" applyBorder="1" applyFont="1">
      <alignment vertical="bottom"/>
    </xf>
    <xf borderId="58" fillId="23" fontId="46" numFmtId="0" xfId="0" applyAlignment="1" applyBorder="1" applyFont="1">
      <alignment horizontal="center" readingOrder="0" vertical="bottom"/>
    </xf>
    <xf borderId="59" fillId="23" fontId="46" numFmtId="0" xfId="0" applyAlignment="1" applyBorder="1" applyFont="1">
      <alignment horizontal="center" readingOrder="0" vertical="bottom"/>
    </xf>
    <xf borderId="58" fillId="24" fontId="46" numFmtId="0" xfId="0" applyAlignment="1" applyBorder="1" applyFont="1">
      <alignment horizontal="center" readingOrder="0" vertical="bottom"/>
    </xf>
    <xf borderId="59" fillId="24" fontId="46" numFmtId="0" xfId="0" applyAlignment="1" applyBorder="1" applyFont="1">
      <alignment horizontal="center" readingOrder="0" vertical="bottom"/>
    </xf>
    <xf borderId="60" fillId="22" fontId="35" numFmtId="0" xfId="0" applyAlignment="1" applyBorder="1" applyFont="1">
      <alignment horizontal="center" vertical="bottom"/>
    </xf>
    <xf borderId="0" fillId="8" fontId="55" numFmtId="165" xfId="0" applyAlignment="1" applyFont="1" applyNumberFormat="1">
      <alignment horizontal="center" vertical="bottom"/>
    </xf>
    <xf borderId="2" fillId="2" fontId="47" numFmtId="187" xfId="0" applyAlignment="1" applyBorder="1" applyFont="1" applyNumberFormat="1">
      <alignment horizontal="left" textRotation="0" vertical="bottom"/>
    </xf>
    <xf borderId="63" fillId="6" fontId="50" numFmtId="190" xfId="0" applyAlignment="1" applyBorder="1" applyFont="1" applyNumberFormat="1">
      <alignment horizontal="right" vertical="bottom"/>
    </xf>
    <xf borderId="66" fillId="6" fontId="62" numFmtId="0" xfId="0" applyAlignment="1" applyBorder="1" applyFont="1">
      <alignment horizontal="center" vertical="bottom"/>
    </xf>
    <xf borderId="63" fillId="22" fontId="35" numFmtId="0" xfId="0" applyAlignment="1" applyBorder="1" applyFont="1">
      <alignment vertical="bottom"/>
    </xf>
    <xf borderId="64" fillId="23" fontId="36" numFmtId="0" xfId="0" applyAlignment="1" applyBorder="1" applyFont="1">
      <alignment horizontal="center" readingOrder="0" vertical="bottom"/>
    </xf>
    <xf borderId="65" fillId="23" fontId="36" numFmtId="0" xfId="0" applyAlignment="1" applyBorder="1" applyFont="1">
      <alignment horizontal="center" readingOrder="0" vertical="bottom"/>
    </xf>
    <xf borderId="64" fillId="24" fontId="36" numFmtId="0" xfId="0" applyAlignment="1" applyBorder="1" applyFont="1">
      <alignment horizontal="center" readingOrder="0" vertical="bottom"/>
    </xf>
    <xf borderId="65" fillId="24" fontId="36" numFmtId="0" xfId="0" applyAlignment="1" applyBorder="1" applyFont="1">
      <alignment horizontal="center" readingOrder="0" vertical="bottom"/>
    </xf>
    <xf borderId="66" fillId="22" fontId="35" numFmtId="0" xfId="0" applyAlignment="1" applyBorder="1" applyFont="1">
      <alignment horizontal="center" vertical="bottom"/>
    </xf>
    <xf borderId="38" fillId="8" fontId="55" numFmtId="165" xfId="0" applyAlignment="1" applyBorder="1" applyFont="1" applyNumberFormat="1">
      <alignment horizontal="center" vertical="bottom"/>
    </xf>
    <xf borderId="2" fillId="2" fontId="47" numFmtId="188" xfId="0" applyAlignment="1" applyBorder="1" applyFont="1" applyNumberFormat="1">
      <alignment horizontal="left" textRotation="0" vertical="bottom"/>
    </xf>
    <xf borderId="87" fillId="6" fontId="50" numFmtId="190" xfId="0" applyAlignment="1" applyBorder="1" applyFont="1" applyNumberFormat="1">
      <alignment horizontal="right" vertical="bottom"/>
    </xf>
    <xf borderId="62" fillId="6" fontId="62" numFmtId="0" xfId="0" applyAlignment="1" applyBorder="1" applyFont="1">
      <alignment horizontal="center" vertical="bottom"/>
    </xf>
    <xf borderId="88" fillId="22" fontId="35" numFmtId="0" xfId="0" applyAlignment="1" applyBorder="1" applyFont="1">
      <alignment horizontal="center" readingOrder="0"/>
    </xf>
    <xf borderId="0" fillId="2" fontId="31" numFmtId="0" xfId="0" applyAlignment="1" applyFont="1">
      <alignment horizontal="center" vertical="bottom"/>
    </xf>
    <xf borderId="2" fillId="2" fontId="47" numFmtId="179" xfId="0" applyAlignment="1" applyBorder="1" applyFont="1" applyNumberFormat="1">
      <alignment horizontal="left" textRotation="0" vertical="bottom"/>
    </xf>
    <xf borderId="2" fillId="8" fontId="33" numFmtId="0" xfId="0" applyAlignment="1" applyBorder="1" applyFont="1">
      <alignment horizontal="center" vertical="bottom"/>
    </xf>
    <xf borderId="25" fillId="8" fontId="31" numFmtId="0" xfId="0" applyAlignment="1" applyBorder="1" applyFont="1">
      <alignment horizontal="center" readingOrder="0" vertical="bottom"/>
    </xf>
    <xf borderId="57" fillId="6" fontId="50" numFmtId="190" xfId="0" applyAlignment="1" applyBorder="1" applyFont="1" applyNumberFormat="1">
      <alignment horizontal="right" vertical="bottom"/>
    </xf>
    <xf borderId="62" fillId="6" fontId="62" numFmtId="172" xfId="0" applyAlignment="1" applyBorder="1" applyFont="1" applyNumberFormat="1">
      <alignment horizontal="center" vertical="bottom"/>
    </xf>
    <xf borderId="33" fillId="25" fontId="44" numFmtId="0" xfId="0" applyAlignment="1" applyBorder="1" applyFill="1" applyFont="1">
      <alignment vertical="bottom"/>
    </xf>
    <xf borderId="23" fillId="26" fontId="63" numFmtId="0" xfId="0" applyAlignment="1" applyBorder="1" applyFill="1" applyFont="1">
      <alignment horizontal="center" vertical="bottom"/>
    </xf>
    <xf borderId="24" fillId="26" fontId="31" numFmtId="165" xfId="0" applyAlignment="1" applyBorder="1" applyFont="1" applyNumberFormat="1">
      <alignment horizontal="center" vertical="bottom"/>
    </xf>
    <xf borderId="89" fillId="2" fontId="9" numFmtId="0" xfId="0" applyAlignment="1" applyBorder="1" applyFont="1">
      <alignment vertical="bottom"/>
    </xf>
    <xf borderId="65" fillId="24" fontId="36" numFmtId="0" xfId="0" applyAlignment="1" applyBorder="1" applyFont="1">
      <alignment horizontal="center" vertical="bottom"/>
    </xf>
    <xf borderId="28" fillId="25" fontId="35" numFmtId="0" xfId="0" applyAlignment="1" applyBorder="1" applyFont="1">
      <alignment vertical="bottom"/>
    </xf>
    <xf borderId="28" fillId="26" fontId="63" numFmtId="0" xfId="0" applyAlignment="1" applyBorder="1" applyFont="1">
      <alignment horizontal="center" vertical="bottom"/>
    </xf>
    <xf borderId="28" fillId="26" fontId="31" numFmtId="165" xfId="0" applyAlignment="1" applyBorder="1" applyFont="1" applyNumberFormat="1">
      <alignment horizontal="center" vertical="bottom"/>
    </xf>
    <xf borderId="2" fillId="2" fontId="47" numFmtId="189" xfId="0" applyAlignment="1" applyBorder="1" applyFont="1" applyNumberFormat="1">
      <alignment horizontal="left" textRotation="0" vertical="bottom"/>
    </xf>
    <xf borderId="59" fillId="24" fontId="46" numFmtId="0" xfId="0" applyAlignment="1" applyBorder="1" applyFont="1">
      <alignment horizontal="center" vertical="bottom"/>
    </xf>
    <xf borderId="54" fillId="22" fontId="33" numFmtId="190" xfId="0" applyAlignment="1" applyBorder="1" applyFont="1" applyNumberFormat="1">
      <alignment horizontal="right" vertical="bottom"/>
    </xf>
    <xf borderId="55" fillId="22" fontId="64" numFmtId="0" xfId="0" applyAlignment="1" applyBorder="1" applyFont="1">
      <alignment horizontal="center" vertical="bottom"/>
    </xf>
    <xf borderId="51" fillId="24" fontId="36" numFmtId="0" xfId="0" applyAlignment="1" applyBorder="1" applyFont="1">
      <alignment horizontal="center" vertical="bottom"/>
    </xf>
    <xf borderId="61" fillId="22" fontId="33" numFmtId="190" xfId="0" applyAlignment="1" applyBorder="1" applyFont="1" applyNumberFormat="1">
      <alignment horizontal="right" vertical="bottom"/>
    </xf>
    <xf borderId="62" fillId="22" fontId="64" numFmtId="0" xfId="0" applyAlignment="1" applyBorder="1" applyFont="1">
      <alignment horizontal="center" vertical="bottom"/>
    </xf>
    <xf borderId="90" fillId="0" fontId="7" numFmtId="0" xfId="0" applyBorder="1" applyFont="1"/>
    <xf borderId="2" fillId="2" fontId="47" numFmtId="9" xfId="0" applyAlignment="1" applyBorder="1" applyFont="1" applyNumberFormat="1">
      <alignment horizontal="left" readingOrder="0" textRotation="0" vertical="bottom"/>
    </xf>
    <xf borderId="26" fillId="2" fontId="9" numFmtId="0" xfId="0" applyAlignment="1" applyBorder="1" applyFont="1">
      <alignment vertical="top"/>
    </xf>
    <xf borderId="78" fillId="22" fontId="33" numFmtId="190" xfId="0" applyAlignment="1" applyBorder="1" applyFont="1" applyNumberFormat="1">
      <alignment horizontal="right" readingOrder="0" vertical="bottom"/>
    </xf>
    <xf borderId="62" fillId="22" fontId="64" numFmtId="0" xfId="0" applyAlignment="1" applyBorder="1" applyFont="1">
      <alignment horizontal="center" readingOrder="0" vertical="bottom"/>
    </xf>
    <xf borderId="62" fillId="22" fontId="64" numFmtId="9" xfId="0" applyAlignment="1" applyBorder="1" applyFont="1" applyNumberFormat="1">
      <alignment horizontal="center" vertical="bottom"/>
    </xf>
    <xf borderId="50" fillId="23" fontId="46" numFmtId="0" xfId="0" applyAlignment="1" applyBorder="1" applyFont="1">
      <alignment horizontal="center" readingOrder="0" vertical="bottom"/>
    </xf>
    <xf borderId="51" fillId="23" fontId="46" numFmtId="0" xfId="0" applyAlignment="1" applyBorder="1" applyFont="1">
      <alignment horizontal="center" readingOrder="0" vertical="bottom"/>
    </xf>
    <xf borderId="50" fillId="24" fontId="46" numFmtId="0" xfId="0" applyAlignment="1" applyBorder="1" applyFont="1">
      <alignment horizontal="center" readingOrder="0" vertical="bottom"/>
    </xf>
    <xf borderId="51" fillId="24" fontId="46" numFmtId="0" xfId="0" applyAlignment="1" applyBorder="1" applyFont="1">
      <alignment horizontal="center" readingOrder="0" vertical="bottom"/>
    </xf>
    <xf borderId="70" fillId="22" fontId="33" numFmtId="190" xfId="0" applyAlignment="1" applyBorder="1" applyFont="1" applyNumberFormat="1">
      <alignment horizontal="right" readingOrder="0" vertical="bottom"/>
    </xf>
    <xf borderId="71" fillId="22" fontId="64" numFmtId="9" xfId="0" applyAlignment="1" applyBorder="1" applyFont="1" applyNumberFormat="1">
      <alignment horizontal="center" vertical="bottom"/>
    </xf>
    <xf borderId="83" fillId="17" fontId="41" numFmtId="0" xfId="0" applyAlignment="1" applyBorder="1" applyFont="1">
      <alignment horizontal="center" readingOrder="0" textRotation="90" vertical="center"/>
    </xf>
    <xf borderId="84" fillId="27" fontId="42" numFmtId="190" xfId="0" applyAlignment="1" applyBorder="1" applyFill="1" applyFont="1" applyNumberFormat="1">
      <alignment horizontal="center"/>
    </xf>
    <xf borderId="85" fillId="27" fontId="43" numFmtId="0" xfId="0" applyAlignment="1" applyBorder="1" applyFont="1">
      <alignment horizontal="center" vertical="center"/>
    </xf>
    <xf borderId="26" fillId="2" fontId="9" numFmtId="0" xfId="0" applyAlignment="1" applyBorder="1" applyFont="1">
      <alignment vertical="bottom"/>
    </xf>
    <xf borderId="38" fillId="22" fontId="35" numFmtId="0" xfId="0" applyAlignment="1" applyBorder="1" applyFont="1">
      <alignment vertical="bottom"/>
    </xf>
    <xf borderId="81" fillId="23" fontId="36" numFmtId="0" xfId="0" applyAlignment="1" applyBorder="1" applyFont="1">
      <alignment horizontal="center" readingOrder="0" vertical="bottom"/>
    </xf>
    <xf borderId="82" fillId="23" fontId="36" numFmtId="0" xfId="0" applyAlignment="1" applyBorder="1" applyFont="1">
      <alignment horizontal="center" readingOrder="0" vertical="bottom"/>
    </xf>
    <xf borderId="81" fillId="24" fontId="36" numFmtId="0" xfId="0" applyAlignment="1" applyBorder="1" applyFont="1">
      <alignment horizontal="center" readingOrder="0" vertical="bottom"/>
    </xf>
    <xf borderId="82" fillId="24" fontId="36" numFmtId="0" xfId="0" applyAlignment="1" applyBorder="1" applyFont="1">
      <alignment horizontal="center" readingOrder="0" vertical="bottom"/>
    </xf>
    <xf borderId="29" fillId="22" fontId="35" numFmtId="0" xfId="0" applyAlignment="1" applyBorder="1" applyFont="1">
      <alignment horizontal="center" vertical="bottom"/>
    </xf>
    <xf borderId="33" fillId="17" fontId="35" numFmtId="0" xfId="0" applyAlignment="1" applyBorder="1" applyFont="1">
      <alignment horizontal="center" readingOrder="0"/>
    </xf>
    <xf borderId="0" fillId="17" fontId="35" numFmtId="0" xfId="0" applyAlignment="1" applyFont="1">
      <alignment vertical="bottom"/>
    </xf>
    <xf borderId="58" fillId="8" fontId="46" numFmtId="0" xfId="0" applyAlignment="1" applyBorder="1" applyFont="1">
      <alignment horizontal="center" readingOrder="0" vertical="bottom"/>
    </xf>
    <xf borderId="59" fillId="8" fontId="46" numFmtId="0" xfId="0" applyAlignment="1" applyBorder="1" applyFont="1">
      <alignment horizontal="center" readingOrder="0" vertical="bottom"/>
    </xf>
    <xf borderId="58" fillId="13" fontId="46" numFmtId="0" xfId="0" applyAlignment="1" applyBorder="1" applyFont="1">
      <alignment horizontal="center" readingOrder="0" vertical="bottom"/>
    </xf>
    <xf borderId="59" fillId="13" fontId="46" numFmtId="0" xfId="0" applyAlignment="1" applyBorder="1" applyFont="1">
      <alignment horizontal="center" vertical="bottom"/>
    </xf>
    <xf borderId="36" fillId="17" fontId="35" numFmtId="0" xfId="0" applyAlignment="1" applyBorder="1" applyFont="1">
      <alignment horizontal="center" vertical="bottom"/>
    </xf>
    <xf borderId="54" fillId="27" fontId="50" numFmtId="190" xfId="0" applyAlignment="1" applyBorder="1" applyFont="1" applyNumberFormat="1">
      <alignment horizontal="right" vertical="bottom"/>
    </xf>
    <xf borderId="55" fillId="27" fontId="65" numFmtId="0" xfId="0" applyAlignment="1" applyBorder="1" applyFont="1">
      <alignment horizontal="center" vertical="bottom"/>
    </xf>
    <xf borderId="50" fillId="8" fontId="46" numFmtId="0" xfId="0" applyAlignment="1" applyBorder="1" applyFont="1">
      <alignment horizontal="center" readingOrder="0" vertical="bottom"/>
    </xf>
    <xf borderId="51" fillId="8" fontId="46" numFmtId="0" xfId="0" applyAlignment="1" applyBorder="1" applyFont="1">
      <alignment horizontal="center" readingOrder="0" vertical="bottom"/>
    </xf>
    <xf borderId="50" fillId="13" fontId="46" numFmtId="0" xfId="0" applyAlignment="1" applyBorder="1" applyFont="1">
      <alignment horizontal="center" readingOrder="0" vertical="bottom"/>
    </xf>
    <xf borderId="51" fillId="13" fontId="46" numFmtId="0" xfId="0" applyAlignment="1" applyBorder="1" applyFont="1">
      <alignment horizontal="center" vertical="bottom"/>
    </xf>
    <xf borderId="61" fillId="27" fontId="50" numFmtId="190" xfId="0" applyAlignment="1" applyBorder="1" applyFont="1" applyNumberFormat="1">
      <alignment horizontal="right" vertical="bottom"/>
    </xf>
    <xf borderId="62" fillId="27" fontId="65" numFmtId="0" xfId="0" applyAlignment="1" applyBorder="1" applyFont="1">
      <alignment horizontal="center" vertical="bottom"/>
    </xf>
    <xf borderId="37" fillId="0" fontId="7" numFmtId="0" xfId="0" applyBorder="1" applyFont="1"/>
    <xf borderId="56" fillId="17" fontId="35" numFmtId="0" xfId="0" applyAlignment="1" applyBorder="1" applyFont="1">
      <alignment horizontal="center" readingOrder="0"/>
    </xf>
    <xf borderId="57" fillId="17" fontId="35" numFmtId="0" xfId="0" applyAlignment="1" applyBorder="1" applyFont="1">
      <alignment vertical="bottom"/>
    </xf>
    <xf borderId="60" fillId="17" fontId="35" numFmtId="0" xfId="0" applyAlignment="1" applyBorder="1" applyFont="1">
      <alignment horizontal="center" vertical="bottom"/>
    </xf>
    <xf borderId="91" fillId="2" fontId="34" numFmtId="0" xfId="0" applyAlignment="1" applyBorder="1" applyFont="1">
      <alignment horizontal="right" textRotation="90" vertical="top"/>
    </xf>
    <xf borderId="92" fillId="2" fontId="34" numFmtId="0" xfId="0" applyAlignment="1" applyBorder="1" applyFont="1">
      <alignment horizontal="right" readingOrder="0" textRotation="90" vertical="top"/>
    </xf>
    <xf borderId="93" fillId="2" fontId="9" numFmtId="0" xfId="0" applyAlignment="1" applyBorder="1" applyFont="1">
      <alignment vertical="top"/>
    </xf>
    <xf borderId="94" fillId="2" fontId="9" numFmtId="0" xfId="0" applyAlignment="1" applyBorder="1" applyFont="1">
      <alignment vertical="top"/>
    </xf>
    <xf borderId="0" fillId="2" fontId="9" numFmtId="0" xfId="0" applyAlignment="1" applyFont="1">
      <alignment vertical="top"/>
    </xf>
    <xf borderId="70" fillId="27" fontId="50" numFmtId="190" xfId="0" applyAlignment="1" applyBorder="1" applyFont="1" applyNumberFormat="1">
      <alignment horizontal="right" vertical="bottom"/>
    </xf>
    <xf borderId="71" fillId="27" fontId="65" numFmtId="172" xfId="0" applyAlignment="1" applyBorder="1" applyFont="1" applyNumberFormat="1">
      <alignment horizontal="center" vertical="bottom"/>
    </xf>
    <xf borderId="59" fillId="13" fontId="46" numFmtId="0" xfId="0" applyAlignment="1" applyBorder="1" applyFont="1">
      <alignment horizontal="center" readingOrder="0" vertical="bottom"/>
    </xf>
    <xf borderId="95" fillId="2" fontId="9" numFmtId="0" xfId="0" applyAlignment="1" applyBorder="1" applyFont="1">
      <alignment vertical="top"/>
    </xf>
    <xf borderId="51" fillId="13" fontId="46" numFmtId="0" xfId="0" applyAlignment="1" applyBorder="1" applyFont="1">
      <alignment horizontal="center" readingOrder="0" vertical="bottom"/>
    </xf>
    <xf borderId="54" fillId="17" fontId="33" numFmtId="190" xfId="0" applyAlignment="1" applyBorder="1" applyFont="1" applyNumberFormat="1">
      <alignment horizontal="right" vertical="bottom"/>
    </xf>
    <xf borderId="55" fillId="17" fontId="66" numFmtId="0" xfId="0" applyAlignment="1" applyBorder="1" applyFont="1">
      <alignment horizontal="center" vertical="bottom"/>
    </xf>
    <xf borderId="53" fillId="17" fontId="35" numFmtId="0" xfId="0" applyAlignment="1" applyBorder="1" applyFont="1">
      <alignment horizontal="center" readingOrder="0"/>
    </xf>
    <xf borderId="61" fillId="17" fontId="33" numFmtId="190" xfId="0" applyAlignment="1" applyBorder="1" applyFont="1" applyNumberFormat="1">
      <alignment horizontal="right" vertical="bottom"/>
    </xf>
    <xf borderId="62" fillId="17" fontId="66" numFmtId="0" xfId="0" applyAlignment="1" applyBorder="1" applyFont="1">
      <alignment horizontal="center" vertical="bottom"/>
    </xf>
    <xf borderId="26" fillId="2" fontId="45" numFmtId="0" xfId="0" applyAlignment="1" applyBorder="1" applyFont="1">
      <alignment vertical="bottom"/>
    </xf>
    <xf borderId="50" fillId="8" fontId="36" numFmtId="0" xfId="0" applyAlignment="1" applyBorder="1" applyFont="1">
      <alignment horizontal="center" readingOrder="0" vertical="bottom"/>
    </xf>
    <xf borderId="51" fillId="8" fontId="36" numFmtId="0" xfId="0" applyAlignment="1" applyBorder="1" applyFont="1">
      <alignment horizontal="center" readingOrder="0" vertical="bottom"/>
    </xf>
    <xf borderId="50" fillId="13" fontId="36" numFmtId="0" xfId="0" applyAlignment="1" applyBorder="1" applyFont="1">
      <alignment horizontal="center" readingOrder="0" vertical="bottom"/>
    </xf>
    <xf borderId="51" fillId="13" fontId="36" numFmtId="0" xfId="0" applyAlignment="1" applyBorder="1" applyFont="1">
      <alignment horizontal="center" readingOrder="0" vertical="bottom"/>
    </xf>
    <xf borderId="78" fillId="17" fontId="33" numFmtId="190" xfId="0" applyAlignment="1" applyBorder="1" applyFont="1" applyNumberFormat="1">
      <alignment horizontal="right" readingOrder="0" vertical="bottom"/>
    </xf>
    <xf borderId="60" fillId="17" fontId="66" numFmtId="0" xfId="0" applyAlignment="1" applyBorder="1" applyFont="1">
      <alignment horizontal="center" vertical="bottom"/>
    </xf>
    <xf borderId="60" fillId="17" fontId="66" numFmtId="9" xfId="0" applyAlignment="1" applyBorder="1" applyFont="1" applyNumberFormat="1">
      <alignment horizontal="center" shrinkToFit="0" vertical="bottom" wrapText="0"/>
    </xf>
    <xf borderId="70" fillId="17" fontId="33" numFmtId="190" xfId="0" applyAlignment="1" applyBorder="1" applyFont="1" applyNumberFormat="1">
      <alignment horizontal="right" readingOrder="0" vertical="bottom"/>
    </xf>
    <xf borderId="71" fillId="17" fontId="66" numFmtId="9" xfId="0" applyAlignment="1" applyBorder="1" applyFont="1" applyNumberFormat="1">
      <alignment horizontal="center" shrinkToFit="0" vertical="bottom" wrapText="0"/>
    </xf>
    <xf borderId="96" fillId="2" fontId="9" numFmtId="0" xfId="0" applyAlignment="1" applyBorder="1" applyFont="1">
      <alignment vertical="top"/>
    </xf>
    <xf borderId="38" fillId="17" fontId="35" numFmtId="0" xfId="0" applyAlignment="1" applyBorder="1" applyFont="1">
      <alignment vertical="bottom"/>
    </xf>
    <xf borderId="81" fillId="8" fontId="46" numFmtId="0" xfId="0" applyAlignment="1" applyBorder="1" applyFont="1">
      <alignment horizontal="center" readingOrder="0" vertical="bottom"/>
    </xf>
    <xf borderId="82" fillId="8" fontId="46" numFmtId="0" xfId="0" applyAlignment="1" applyBorder="1" applyFont="1">
      <alignment horizontal="center" readingOrder="0" vertical="bottom"/>
    </xf>
    <xf borderId="81" fillId="13" fontId="46" numFmtId="0" xfId="0" applyAlignment="1" applyBorder="1" applyFont="1">
      <alignment horizontal="center" readingOrder="0" vertical="bottom"/>
    </xf>
    <xf borderId="82" fillId="13" fontId="46" numFmtId="0" xfId="0" applyAlignment="1" applyBorder="1" applyFont="1">
      <alignment horizontal="center" readingOrder="0" vertical="bottom"/>
    </xf>
    <xf borderId="29" fillId="17" fontId="35" numFmtId="0" xfId="0" applyAlignment="1" applyBorder="1" applyFont="1">
      <alignment horizontal="center" vertical="bottom"/>
    </xf>
    <xf borderId="97" fillId="2" fontId="9" numFmtId="0" xfId="0" applyAlignment="1" applyBorder="1" applyFont="1">
      <alignment vertical="top"/>
    </xf>
    <xf borderId="98" fillId="2" fontId="9" numFmtId="0" xfId="0" applyAlignment="1" applyBorder="1" applyFont="1">
      <alignment vertical="top"/>
    </xf>
    <xf borderId="92" fillId="2" fontId="9" numFmtId="0" xfId="0" applyAlignment="1" applyBorder="1" applyFont="1">
      <alignment vertical="bottom"/>
    </xf>
    <xf borderId="31" fillId="2" fontId="9" numFmtId="0" xfId="0" applyAlignment="1" applyBorder="1" applyFont="1">
      <alignment vertical="bottom"/>
    </xf>
    <xf borderId="99" fillId="2" fontId="9" numFmtId="0" xfId="0" applyAlignment="1" applyBorder="1" applyFont="1">
      <alignment vertical="bottom"/>
    </xf>
    <xf borderId="100" fillId="2" fontId="9" numFmtId="0" xfId="0" applyAlignment="1" applyBorder="1" applyFont="1">
      <alignment vertical="bottom"/>
    </xf>
    <xf borderId="83" fillId="28" fontId="41" numFmtId="0" xfId="0" applyAlignment="1" applyBorder="1" applyFill="1" applyFont="1">
      <alignment horizontal="center" textRotation="90" vertical="center"/>
    </xf>
    <xf borderId="84" fillId="29" fontId="42" numFmtId="190" xfId="0" applyAlignment="1" applyBorder="1" applyFill="1" applyFont="1" applyNumberFormat="1">
      <alignment horizontal="center"/>
    </xf>
    <xf borderId="85" fillId="25" fontId="43" numFmtId="0" xfId="0" applyAlignment="1" applyBorder="1" applyFont="1">
      <alignment horizontal="center" vertical="center"/>
    </xf>
    <xf borderId="54" fillId="29" fontId="50" numFmtId="190" xfId="0" applyAlignment="1" applyBorder="1" applyFont="1" applyNumberFormat="1">
      <alignment horizontal="right" vertical="bottom"/>
    </xf>
    <xf borderId="55" fillId="29" fontId="67" numFmtId="0" xfId="0" applyAlignment="1" applyBorder="1" applyFont="1">
      <alignment horizontal="center" vertical="bottom"/>
    </xf>
    <xf borderId="61" fillId="29" fontId="50" numFmtId="190" xfId="0" applyAlignment="1" applyBorder="1" applyFont="1" applyNumberFormat="1">
      <alignment horizontal="right" vertical="bottom"/>
    </xf>
    <xf borderId="62" fillId="29" fontId="67" numFmtId="0" xfId="0" applyAlignment="1" applyBorder="1" applyFont="1">
      <alignment horizontal="center" vertical="bottom"/>
    </xf>
    <xf borderId="70" fillId="29" fontId="50" numFmtId="190" xfId="0" applyAlignment="1" applyBorder="1" applyFont="1" applyNumberFormat="1">
      <alignment horizontal="right" vertical="bottom"/>
    </xf>
    <xf borderId="71" fillId="29" fontId="67" numFmtId="172" xfId="0" applyAlignment="1" applyBorder="1" applyFont="1" applyNumberFormat="1">
      <alignment horizontal="center" vertical="bottom"/>
    </xf>
    <xf borderId="54" fillId="4" fontId="33" numFmtId="190" xfId="0" applyAlignment="1" applyBorder="1" applyFont="1" applyNumberFormat="1">
      <alignment horizontal="right" vertical="bottom"/>
    </xf>
    <xf borderId="55" fillId="4" fontId="68" numFmtId="0" xfId="0" applyAlignment="1" applyBorder="1" applyFont="1">
      <alignment horizontal="center" vertical="bottom"/>
    </xf>
    <xf borderId="0" fillId="2" fontId="45" numFmtId="0" xfId="0" applyAlignment="1" applyFont="1">
      <alignment vertical="bottom"/>
    </xf>
    <xf borderId="61" fillId="4" fontId="33" numFmtId="190" xfId="0" applyAlignment="1" applyBorder="1" applyFont="1" applyNumberFormat="1">
      <alignment horizontal="right" vertical="bottom"/>
    </xf>
    <xf borderId="62" fillId="4" fontId="68" numFmtId="0" xfId="0" applyAlignment="1" applyBorder="1" applyFont="1">
      <alignment horizontal="center" vertical="bottom"/>
    </xf>
    <xf borderId="78" fillId="4" fontId="33" numFmtId="190" xfId="0" applyAlignment="1" applyBorder="1" applyFont="1" applyNumberFormat="1">
      <alignment horizontal="right" readingOrder="0" vertical="bottom"/>
    </xf>
    <xf borderId="60" fillId="4" fontId="68" numFmtId="172" xfId="0" applyAlignment="1" applyBorder="1" applyFont="1" applyNumberFormat="1">
      <alignment horizontal="center" vertical="bottom"/>
    </xf>
    <xf borderId="60" fillId="4" fontId="68" numFmtId="9" xfId="0" applyAlignment="1" applyBorder="1" applyFont="1" applyNumberFormat="1">
      <alignment horizontal="center" shrinkToFit="0" vertical="bottom" wrapText="0"/>
    </xf>
    <xf borderId="70" fillId="4" fontId="33" numFmtId="190" xfId="0" applyAlignment="1" applyBorder="1" applyFont="1" applyNumberFormat="1">
      <alignment horizontal="right" readingOrder="0" vertical="bottom"/>
    </xf>
    <xf borderId="71" fillId="4" fontId="68" numFmtId="9" xfId="0" applyAlignment="1" applyBorder="1" applyFont="1" applyNumberFormat="1">
      <alignment horizontal="center" shrinkToFit="0" vertical="bottom" wrapText="0"/>
    </xf>
    <xf borderId="72" fillId="2" fontId="69" numFmtId="0" xfId="0" applyAlignment="1" applyBorder="1" applyFont="1">
      <alignment vertical="bottom"/>
    </xf>
    <xf borderId="52" fillId="2" fontId="69" numFmtId="0" xfId="0" applyAlignment="1" applyBorder="1" applyFont="1">
      <alignment vertical="bottom"/>
    </xf>
    <xf borderId="92" fillId="2" fontId="70" numFmtId="0" xfId="0" applyAlignment="1" applyBorder="1" applyFont="1">
      <alignment readingOrder="0" vertical="bottom"/>
    </xf>
    <xf borderId="101" fillId="8" fontId="31" numFmtId="0" xfId="0" applyAlignment="1" applyBorder="1" applyFont="1">
      <alignment horizontal="center" vertical="bottom"/>
    </xf>
    <xf borderId="102" fillId="8" fontId="31" numFmtId="0" xfId="0" applyAlignment="1" applyBorder="1" applyFont="1">
      <alignment horizontal="center" vertical="bottom"/>
    </xf>
    <xf borderId="103" fillId="8" fontId="31" numFmtId="0" xfId="0" applyAlignment="1" applyBorder="1" applyFont="1">
      <alignment horizontal="center" readingOrder="0" vertical="bottom"/>
    </xf>
    <xf borderId="2" fillId="8" fontId="31" numFmtId="0" xfId="0" applyAlignment="1" applyBorder="1" applyFont="1">
      <alignment horizontal="center" vertical="bottom"/>
    </xf>
    <xf borderId="2" fillId="8" fontId="31" numFmtId="0" xfId="0" applyAlignment="1" applyBorder="1" applyFont="1">
      <alignment horizontal="center" readingOrder="0" vertical="bottom"/>
    </xf>
    <xf borderId="2" fillId="8" fontId="31" numFmtId="0" xfId="0" applyAlignment="1" applyBorder="1" applyFont="1">
      <alignment horizontal="center" vertical="bottom"/>
    </xf>
    <xf borderId="22" fillId="2" fontId="71" numFmtId="0" xfId="0" applyAlignment="1" applyBorder="1" applyFont="1">
      <alignment vertical="bottom"/>
    </xf>
    <xf borderId="41" fillId="8" fontId="31" numFmtId="0" xfId="0" applyAlignment="1" applyBorder="1" applyFont="1">
      <alignment horizontal="left" vertical="bottom"/>
    </xf>
    <xf borderId="2" fillId="8" fontId="31" numFmtId="0" xfId="0" applyAlignment="1" applyBorder="1" applyFont="1">
      <alignment horizontal="center" readingOrder="0" vertical="bottom"/>
    </xf>
    <xf borderId="24" fillId="8" fontId="31" numFmtId="0" xfId="0" applyAlignment="1" applyBorder="1" applyFont="1">
      <alignment horizontal="center" readingOrder="0" vertical="bottom"/>
    </xf>
    <xf borderId="41" fillId="8" fontId="31" numFmtId="0" xfId="0" applyAlignment="1" applyBorder="1" applyFont="1">
      <alignment horizontal="center" vertical="bottom"/>
    </xf>
    <xf borderId="23" fillId="10" fontId="35" numFmtId="0" xfId="0" applyAlignment="1" applyBorder="1" applyFont="1">
      <alignment vertical="bottom"/>
    </xf>
    <xf borderId="34" fillId="22" fontId="35" numFmtId="0" xfId="0" applyAlignment="1" applyBorder="1" applyFont="1">
      <alignment vertical="bottom"/>
    </xf>
    <xf borderId="34" fillId="17" fontId="35" numFmtId="0" xfId="0" applyAlignment="1" applyBorder="1" applyFont="1">
      <alignment vertical="bottom"/>
    </xf>
    <xf borderId="25" fillId="17" fontId="35" numFmtId="0" xfId="0" applyAlignment="1" applyBorder="1" applyFont="1">
      <alignment vertical="bottom"/>
    </xf>
    <xf borderId="92" fillId="2" fontId="9" numFmtId="0" xfId="0" applyAlignment="1" applyBorder="1" applyFont="1">
      <alignment vertical="bottom"/>
    </xf>
    <xf borderId="26" fillId="2" fontId="9" numFmtId="0" xfId="0" applyAlignment="1" applyBorder="1" applyFont="1">
      <alignment vertical="bottom"/>
    </xf>
    <xf borderId="104" fillId="10" fontId="35" numFmtId="0" xfId="0" applyAlignment="1" applyBorder="1" applyFont="1">
      <alignment horizontal="left" readingOrder="0" vertical="bottom"/>
    </xf>
    <xf borderId="105" fillId="9" fontId="9" numFmtId="49" xfId="0" applyAlignment="1" applyBorder="1" applyFont="1" applyNumberFormat="1">
      <alignment horizontal="center" readingOrder="0" vertical="bottom"/>
    </xf>
    <xf borderId="106" fillId="10" fontId="9" numFmtId="0" xfId="0" applyAlignment="1" applyBorder="1" applyFont="1">
      <alignment horizontal="center" vertical="bottom"/>
    </xf>
    <xf borderId="107" fillId="9" fontId="9" numFmtId="49" xfId="0" applyAlignment="1" applyBorder="1" applyFont="1" applyNumberFormat="1">
      <alignment horizontal="center" readingOrder="0" vertical="bottom"/>
    </xf>
    <xf borderId="107" fillId="9" fontId="35" numFmtId="49" xfId="0" applyAlignment="1" applyBorder="1" applyFont="1" applyNumberFormat="1">
      <alignment horizontal="center" readingOrder="0" vertical="bottom"/>
    </xf>
    <xf borderId="106" fillId="10" fontId="35" numFmtId="0" xfId="0" applyAlignment="1" applyBorder="1" applyFont="1">
      <alignment horizontal="center" readingOrder="0" vertical="bottom"/>
    </xf>
    <xf borderId="42" fillId="0" fontId="35" numFmtId="0" xfId="0" applyBorder="1" applyFont="1"/>
    <xf borderId="0" fillId="0" fontId="35" numFmtId="191" xfId="0" applyAlignment="1" applyFont="1" applyNumberFormat="1">
      <alignment horizontal="center"/>
    </xf>
    <xf borderId="0" fillId="0" fontId="35" numFmtId="0" xfId="0" applyFont="1"/>
    <xf borderId="36" fillId="0" fontId="35" numFmtId="0" xfId="0" applyAlignment="1" applyBorder="1" applyFont="1">
      <alignment horizontal="right"/>
    </xf>
    <xf borderId="22" fillId="2" fontId="72" numFmtId="0" xfId="0" applyAlignment="1" applyBorder="1" applyFont="1">
      <alignment vertical="bottom"/>
    </xf>
    <xf borderId="0" fillId="2" fontId="73" numFmtId="0" xfId="0" applyAlignment="1" applyFont="1">
      <alignment textRotation="90" vertical="top"/>
    </xf>
    <xf borderId="24" fillId="10" fontId="35" numFmtId="0" xfId="0" applyAlignment="1" applyBorder="1" applyFont="1">
      <alignment horizontal="left" vertical="bottom"/>
    </xf>
    <xf borderId="23" fillId="10" fontId="35" numFmtId="0" xfId="0" applyAlignment="1" applyBorder="1" applyFont="1">
      <alignment horizontal="center" vertical="bottom"/>
    </xf>
    <xf borderId="24" fillId="10" fontId="35" numFmtId="0" xfId="0" applyAlignment="1" applyBorder="1" applyFont="1">
      <alignment horizontal="center" vertical="bottom"/>
    </xf>
    <xf borderId="25" fillId="10" fontId="35" numFmtId="0" xfId="0" applyAlignment="1" applyBorder="1" applyFont="1">
      <alignment horizontal="center" vertical="bottom"/>
    </xf>
    <xf borderId="42" fillId="10" fontId="35" numFmtId="0" xfId="0" applyAlignment="1" applyBorder="1" applyFont="1">
      <alignment vertical="bottom"/>
    </xf>
    <xf borderId="36" fillId="17" fontId="35" numFmtId="0" xfId="0" applyAlignment="1" applyBorder="1" applyFont="1">
      <alignment vertical="bottom"/>
    </xf>
    <xf borderId="108" fillId="10" fontId="35" numFmtId="0" xfId="0" applyAlignment="1" applyBorder="1" applyFont="1">
      <alignment horizontal="left" vertical="bottom"/>
    </xf>
    <xf borderId="109" fillId="9" fontId="9" numFmtId="49" xfId="0" applyAlignment="1" applyBorder="1" applyFont="1" applyNumberFormat="1">
      <alignment horizontal="center" vertical="bottom"/>
    </xf>
    <xf borderId="110" fillId="10" fontId="9" numFmtId="0" xfId="0" applyAlignment="1" applyBorder="1" applyFont="1">
      <alignment horizontal="center" vertical="bottom"/>
    </xf>
    <xf borderId="35" fillId="9" fontId="9" numFmtId="49" xfId="0" applyAlignment="1" applyBorder="1" applyFont="1" applyNumberFormat="1">
      <alignment horizontal="center" vertical="bottom"/>
    </xf>
    <xf borderId="35" fillId="9" fontId="35" numFmtId="49" xfId="0" applyAlignment="1" applyBorder="1" applyFont="1" applyNumberFormat="1">
      <alignment horizontal="center" vertical="bottom"/>
    </xf>
    <xf borderId="110" fillId="10" fontId="35" numFmtId="0" xfId="0" applyAlignment="1" applyBorder="1" applyFont="1">
      <alignment horizontal="center" vertical="bottom"/>
    </xf>
    <xf borderId="2" fillId="8" fontId="31" numFmtId="0" xfId="0" applyAlignment="1" applyBorder="1" applyFont="1">
      <alignment horizontal="left" vertical="bottom"/>
    </xf>
    <xf borderId="72" fillId="8" fontId="46" numFmtId="0" xfId="0" applyAlignment="1" applyBorder="1" applyFont="1">
      <alignment horizontal="center" readingOrder="0" vertical="center"/>
    </xf>
    <xf borderId="33" fillId="10" fontId="35" numFmtId="0" xfId="0" applyAlignment="1" applyBorder="1" applyFont="1">
      <alignment horizontal="left" vertical="bottom"/>
    </xf>
    <xf borderId="42" fillId="10" fontId="35" numFmtId="0" xfId="0" applyAlignment="1" applyBorder="1" applyFont="1">
      <alignment horizontal="center" vertical="bottom"/>
    </xf>
    <xf borderId="33" fillId="10" fontId="35" numFmtId="0" xfId="0" applyAlignment="1" applyBorder="1" applyFont="1">
      <alignment horizontal="center" vertical="bottom"/>
    </xf>
    <xf borderId="36" fillId="10" fontId="35" numFmtId="0" xfId="0" applyAlignment="1" applyBorder="1" applyFont="1">
      <alignment horizontal="center" vertical="bottom"/>
    </xf>
    <xf borderId="108" fillId="10" fontId="35" numFmtId="0" xfId="0" applyAlignment="1" applyBorder="1" applyFont="1">
      <alignment horizontal="left" readingOrder="0" vertical="bottom"/>
    </xf>
    <xf borderId="109" fillId="9" fontId="35" numFmtId="49" xfId="0" applyAlignment="1" applyBorder="1" applyFont="1" applyNumberFormat="1">
      <alignment horizontal="center" readingOrder="0" vertical="bottom"/>
    </xf>
    <xf borderId="35" fillId="9" fontId="35" numFmtId="49" xfId="0" applyAlignment="1" applyBorder="1" applyFont="1" applyNumberFormat="1">
      <alignment horizontal="center" readingOrder="0" vertical="bottom"/>
    </xf>
    <xf borderId="110" fillId="10" fontId="35" numFmtId="0" xfId="0" applyAlignment="1" applyBorder="1" applyFont="1">
      <alignment horizontal="center" readingOrder="0" vertical="bottom"/>
    </xf>
    <xf borderId="35" fillId="9" fontId="9" numFmtId="49" xfId="0" applyAlignment="1" applyBorder="1" applyFont="1" applyNumberFormat="1">
      <alignment horizontal="center" readingOrder="0" vertical="bottom"/>
    </xf>
    <xf borderId="111" fillId="10" fontId="35" numFmtId="0" xfId="0" applyAlignment="1" applyBorder="1" applyFont="1">
      <alignment horizontal="left" vertical="bottom"/>
    </xf>
    <xf borderId="112" fillId="9" fontId="9" numFmtId="49" xfId="0" applyAlignment="1" applyBorder="1" applyFont="1" applyNumberFormat="1">
      <alignment horizontal="center" readingOrder="0" vertical="bottom"/>
    </xf>
    <xf borderId="113" fillId="10" fontId="9" numFmtId="0" xfId="0" applyAlignment="1" applyBorder="1" applyFont="1">
      <alignment horizontal="center" vertical="bottom"/>
    </xf>
    <xf borderId="114" fillId="9" fontId="9" numFmtId="49" xfId="0" applyAlignment="1" applyBorder="1" applyFont="1" applyNumberFormat="1">
      <alignment horizontal="center" readingOrder="0" vertical="bottom"/>
    </xf>
    <xf borderId="114" fillId="9" fontId="35" numFmtId="49" xfId="0" applyAlignment="1" applyBorder="1" applyFont="1" applyNumberFormat="1">
      <alignment horizontal="center" vertical="bottom"/>
    </xf>
    <xf borderId="113" fillId="10" fontId="35" numFmtId="0" xfId="0" applyAlignment="1" applyBorder="1" applyFont="1">
      <alignment horizontal="center" vertical="bottom"/>
    </xf>
    <xf borderId="28" fillId="10" fontId="35" numFmtId="0" xfId="0" applyAlignment="1" applyBorder="1" applyFont="1">
      <alignment horizontal="left" vertical="bottom"/>
    </xf>
    <xf borderId="27" fillId="10" fontId="35" numFmtId="0" xfId="0" applyAlignment="1" applyBorder="1" applyFont="1">
      <alignment horizontal="center" vertical="bottom"/>
    </xf>
    <xf borderId="28" fillId="10" fontId="35" numFmtId="0" xfId="0" applyAlignment="1" applyBorder="1" applyFont="1">
      <alignment horizontal="center" vertical="bottom"/>
    </xf>
    <xf borderId="29" fillId="10" fontId="35" numFmtId="0" xfId="0" applyAlignment="1" applyBorder="1" applyFont="1">
      <alignment horizontal="center" vertical="bottom"/>
    </xf>
    <xf borderId="104" fillId="22" fontId="35" numFmtId="0" xfId="0" applyAlignment="1" applyBorder="1" applyFont="1">
      <alignment horizontal="left" readingOrder="0" vertical="bottom"/>
    </xf>
    <xf borderId="105" fillId="23" fontId="9" numFmtId="49" xfId="0" applyAlignment="1" applyBorder="1" applyFont="1" applyNumberFormat="1">
      <alignment horizontal="center" readingOrder="0" vertical="bottom"/>
    </xf>
    <xf borderId="106" fillId="22" fontId="9" numFmtId="0" xfId="0" applyAlignment="1" applyBorder="1" applyFont="1">
      <alignment horizontal="center" readingOrder="0" vertical="bottom"/>
    </xf>
    <xf borderId="107" fillId="23" fontId="9" numFmtId="49" xfId="0" applyAlignment="1" applyBorder="1" applyFont="1" applyNumberFormat="1">
      <alignment horizontal="center" vertical="bottom"/>
    </xf>
    <xf borderId="106" fillId="22" fontId="9" numFmtId="0" xfId="0" applyAlignment="1" applyBorder="1" applyFont="1">
      <alignment horizontal="center" vertical="bottom"/>
    </xf>
    <xf borderId="107" fillId="23" fontId="36" numFmtId="49" xfId="0" applyAlignment="1" applyBorder="1" applyFont="1" applyNumberFormat="1">
      <alignment horizontal="center" readingOrder="0" vertical="bottom"/>
    </xf>
    <xf borderId="106" fillId="22" fontId="35" numFmtId="0" xfId="0" applyAlignment="1" applyBorder="1" applyFont="1">
      <alignment horizontal="center" readingOrder="0" vertical="bottom"/>
    </xf>
    <xf borderId="33" fillId="22" fontId="35" numFmtId="0" xfId="0" applyAlignment="1" applyBorder="1" applyFont="1">
      <alignment horizontal="left" vertical="bottom"/>
    </xf>
    <xf borderId="42" fillId="22" fontId="35" numFmtId="0" xfId="0" applyAlignment="1" applyBorder="1" applyFont="1">
      <alignment horizontal="center" vertical="bottom"/>
    </xf>
    <xf borderId="33" fillId="22" fontId="35" numFmtId="0" xfId="0" applyAlignment="1" applyBorder="1" applyFont="1">
      <alignment horizontal="center" vertical="bottom"/>
    </xf>
    <xf borderId="36" fillId="22" fontId="35" numFmtId="0" xfId="0" applyAlignment="1" applyBorder="1" applyFont="1">
      <alignment horizontal="center" vertical="bottom"/>
    </xf>
    <xf borderId="108" fillId="22" fontId="35" numFmtId="0" xfId="0" applyAlignment="1" applyBorder="1" applyFont="1">
      <alignment horizontal="left" readingOrder="0" vertical="bottom"/>
    </xf>
    <xf borderId="109" fillId="23" fontId="9" numFmtId="49" xfId="0" applyAlignment="1" applyBorder="1" applyFont="1" applyNumberFormat="1">
      <alignment horizontal="center" readingOrder="0" vertical="bottom"/>
    </xf>
    <xf borderId="110" fillId="22" fontId="9" numFmtId="0" xfId="0" applyAlignment="1" applyBorder="1" applyFont="1">
      <alignment horizontal="center" readingOrder="0" vertical="bottom"/>
    </xf>
    <xf borderId="35" fillId="23" fontId="9" numFmtId="49" xfId="0" applyAlignment="1" applyBorder="1" applyFont="1" applyNumberFormat="1">
      <alignment horizontal="center" vertical="bottom"/>
    </xf>
    <xf borderId="110" fillId="22" fontId="9" numFmtId="0" xfId="0" applyAlignment="1" applyBorder="1" applyFont="1">
      <alignment horizontal="center" vertical="bottom"/>
    </xf>
    <xf borderId="35" fillId="23" fontId="36" numFmtId="49" xfId="0" applyAlignment="1" applyBorder="1" applyFont="1" applyNumberFormat="1">
      <alignment horizontal="center" readingOrder="0" vertical="bottom"/>
    </xf>
    <xf borderId="110" fillId="22" fontId="35" numFmtId="0" xfId="0" applyAlignment="1" applyBorder="1" applyFont="1">
      <alignment horizontal="center" readingOrder="0" vertical="bottom"/>
    </xf>
    <xf borderId="108" fillId="22" fontId="35" numFmtId="0" xfId="0" applyAlignment="1" applyBorder="1" applyFont="1">
      <alignment horizontal="left" vertical="bottom"/>
    </xf>
    <xf borderId="109" fillId="23" fontId="9" numFmtId="49" xfId="0" applyAlignment="1" applyBorder="1" applyFont="1" applyNumberFormat="1">
      <alignment horizontal="center" vertical="bottom"/>
    </xf>
    <xf borderId="35" fillId="23" fontId="35" numFmtId="49" xfId="0" applyAlignment="1" applyBorder="1" applyFont="1" applyNumberFormat="1">
      <alignment horizontal="center" vertical="bottom"/>
    </xf>
    <xf borderId="110" fillId="22" fontId="35" numFmtId="0" xfId="0" applyAlignment="1" applyBorder="1" applyFont="1">
      <alignment horizontal="center" vertical="bottom"/>
    </xf>
    <xf borderId="35" fillId="23" fontId="35" numFmtId="49" xfId="0" applyAlignment="1" applyBorder="1" applyFont="1" applyNumberFormat="1">
      <alignment horizontal="center" readingOrder="0" vertical="bottom"/>
    </xf>
    <xf borderId="111" fillId="22" fontId="35" numFmtId="0" xfId="0" applyAlignment="1" applyBorder="1" applyFont="1">
      <alignment horizontal="left" readingOrder="0" vertical="bottom"/>
    </xf>
    <xf borderId="112" fillId="23" fontId="35" numFmtId="49" xfId="0" applyAlignment="1" applyBorder="1" applyFont="1" applyNumberFormat="1">
      <alignment horizontal="center" readingOrder="0" vertical="bottom"/>
    </xf>
    <xf borderId="113" fillId="22" fontId="35" numFmtId="0" xfId="0" applyAlignment="1" applyBorder="1" applyFont="1">
      <alignment horizontal="center" readingOrder="0" vertical="bottom"/>
    </xf>
    <xf borderId="114" fillId="23" fontId="35" numFmtId="49" xfId="0" applyAlignment="1" applyBorder="1" applyFont="1" applyNumberFormat="1">
      <alignment horizontal="center" vertical="bottom"/>
    </xf>
    <xf borderId="113" fillId="22" fontId="35" numFmtId="0" xfId="0" applyAlignment="1" applyBorder="1" applyFont="1">
      <alignment horizontal="center" vertical="bottom"/>
    </xf>
    <xf borderId="114" fillId="23" fontId="35" numFmtId="49" xfId="0" applyAlignment="1" applyBorder="1" applyFont="1" applyNumberFormat="1">
      <alignment horizontal="center" readingOrder="0" vertical="bottom"/>
    </xf>
    <xf borderId="28" fillId="22" fontId="35" numFmtId="0" xfId="0" applyAlignment="1" applyBorder="1" applyFont="1">
      <alignment horizontal="left" vertical="bottom"/>
    </xf>
    <xf borderId="27" fillId="22" fontId="35" numFmtId="0" xfId="0" applyAlignment="1" applyBorder="1" applyFont="1">
      <alignment horizontal="center" vertical="bottom"/>
    </xf>
    <xf borderId="28" fillId="22" fontId="35" numFmtId="0" xfId="0" applyAlignment="1" applyBorder="1" applyFont="1">
      <alignment horizontal="center" vertical="bottom"/>
    </xf>
    <xf borderId="29" fillId="22" fontId="35" numFmtId="0" xfId="0" applyAlignment="1" applyBorder="1" applyFont="1">
      <alignment horizontal="center" vertical="bottom"/>
    </xf>
    <xf borderId="104" fillId="17" fontId="35" numFmtId="0" xfId="0" applyAlignment="1" applyBorder="1" applyFont="1">
      <alignment horizontal="left" readingOrder="0" vertical="bottom"/>
    </xf>
    <xf borderId="105" fillId="8" fontId="9" numFmtId="49" xfId="0" applyAlignment="1" applyBorder="1" applyFont="1" applyNumberFormat="1">
      <alignment horizontal="center" readingOrder="0" vertical="bottom"/>
    </xf>
    <xf borderId="106" fillId="17" fontId="9" numFmtId="0" xfId="0" applyAlignment="1" applyBorder="1" applyFont="1">
      <alignment horizontal="center" readingOrder="0" vertical="bottom"/>
    </xf>
    <xf borderId="107" fillId="8" fontId="9" numFmtId="49" xfId="0" applyAlignment="1" applyBorder="1" applyFont="1" applyNumberFormat="1">
      <alignment horizontal="center" readingOrder="0" vertical="bottom"/>
    </xf>
    <xf borderId="106" fillId="17" fontId="9" numFmtId="0" xfId="0" applyAlignment="1" applyBorder="1" applyFont="1">
      <alignment horizontal="center" vertical="bottom"/>
    </xf>
    <xf borderId="107" fillId="8" fontId="46" numFmtId="49" xfId="0" applyAlignment="1" applyBorder="1" applyFont="1" applyNumberFormat="1">
      <alignment horizontal="center" readingOrder="0" vertical="bottom"/>
    </xf>
    <xf borderId="106" fillId="17" fontId="35" numFmtId="0" xfId="0" applyAlignment="1" applyBorder="1" applyFont="1">
      <alignment horizontal="center" readingOrder="0" vertical="bottom"/>
    </xf>
    <xf borderId="33" fillId="17" fontId="35" numFmtId="0" xfId="0" applyAlignment="1" applyBorder="1" applyFont="1">
      <alignment horizontal="left" vertical="bottom"/>
    </xf>
    <xf borderId="33" fillId="17" fontId="35" numFmtId="0" xfId="0" applyAlignment="1" applyBorder="1" applyFont="1">
      <alignment horizontal="center" vertical="bottom"/>
    </xf>
    <xf borderId="108" fillId="17" fontId="35" numFmtId="0" xfId="0" applyAlignment="1" applyBorder="1" applyFont="1">
      <alignment horizontal="left" readingOrder="0" vertical="bottom"/>
    </xf>
    <xf borderId="109" fillId="17" fontId="9" numFmtId="49" xfId="0" applyAlignment="1" applyBorder="1" applyFont="1" applyNumberFormat="1">
      <alignment horizontal="center" readingOrder="0" vertical="bottom"/>
    </xf>
    <xf borderId="110" fillId="17" fontId="35" numFmtId="0" xfId="0" applyAlignment="1" applyBorder="1" applyFont="1">
      <alignment horizontal="center" readingOrder="0" vertical="bottom"/>
    </xf>
    <xf borderId="35" fillId="8" fontId="9" numFmtId="49" xfId="0" applyAlignment="1" applyBorder="1" applyFont="1" applyNumberFormat="1">
      <alignment horizontal="center" vertical="bottom"/>
    </xf>
    <xf borderId="110" fillId="17" fontId="9" numFmtId="0" xfId="0" applyAlignment="1" applyBorder="1" applyFont="1">
      <alignment horizontal="center" vertical="bottom"/>
    </xf>
    <xf borderId="35" fillId="8" fontId="46" numFmtId="49" xfId="0" applyAlignment="1" applyBorder="1" applyFont="1" applyNumberFormat="1">
      <alignment horizontal="center" readingOrder="0" vertical="bottom"/>
    </xf>
    <xf borderId="109" fillId="8" fontId="46" numFmtId="49" xfId="0" applyAlignment="1" applyBorder="1" applyFont="1" applyNumberFormat="1">
      <alignment horizontal="center" readingOrder="0" vertical="bottom"/>
    </xf>
    <xf borderId="109" fillId="8" fontId="9" numFmtId="49" xfId="0" applyAlignment="1" applyBorder="1" applyFont="1" applyNumberFormat="1">
      <alignment horizontal="center" readingOrder="0" vertical="bottom"/>
    </xf>
    <xf borderId="110" fillId="17" fontId="9" numFmtId="0" xfId="0" applyAlignment="1" applyBorder="1" applyFont="1">
      <alignment horizontal="center" readingOrder="0" vertical="bottom"/>
    </xf>
    <xf borderId="35" fillId="8" fontId="36" numFmtId="49" xfId="0" applyAlignment="1" applyBorder="1" applyFont="1" applyNumberFormat="1">
      <alignment horizontal="center" readingOrder="0" vertical="bottom"/>
    </xf>
    <xf borderId="108" fillId="17" fontId="35" numFmtId="0" xfId="0" applyAlignment="1" applyBorder="1" applyFont="1">
      <alignment horizontal="left" vertical="bottom"/>
    </xf>
    <xf borderId="109" fillId="8" fontId="9" numFmtId="49" xfId="0" applyAlignment="1" applyBorder="1" applyFont="1" applyNumberFormat="1">
      <alignment horizontal="center" vertical="bottom"/>
    </xf>
    <xf borderId="35" fillId="8" fontId="35" numFmtId="49" xfId="0" applyAlignment="1" applyBorder="1" applyFont="1" applyNumberFormat="1">
      <alignment horizontal="center" vertical="bottom"/>
    </xf>
    <xf borderId="110" fillId="17" fontId="35" numFmtId="0" xfId="0" applyAlignment="1" applyBorder="1" applyFont="1">
      <alignment horizontal="center" vertical="bottom"/>
    </xf>
    <xf borderId="115" fillId="17" fontId="35" numFmtId="0" xfId="0" applyAlignment="1" applyBorder="1" applyFont="1">
      <alignment horizontal="left" readingOrder="0" vertical="bottom"/>
    </xf>
    <xf borderId="116" fillId="8" fontId="35" numFmtId="49" xfId="0" applyAlignment="1" applyBorder="1" applyFont="1" applyNumberFormat="1">
      <alignment horizontal="center" readingOrder="0" vertical="bottom"/>
    </xf>
    <xf borderId="117" fillId="17" fontId="35" numFmtId="0" xfId="0" applyAlignment="1" applyBorder="1" applyFont="1">
      <alignment horizontal="center" readingOrder="0" vertical="bottom"/>
    </xf>
    <xf borderId="118" fillId="17" fontId="9" numFmtId="49" xfId="0" applyAlignment="1" applyBorder="1" applyFont="1" applyNumberFormat="1">
      <alignment horizontal="center" vertical="bottom"/>
    </xf>
    <xf borderId="117" fillId="17" fontId="35" numFmtId="0" xfId="0" applyAlignment="1" applyBorder="1" applyFont="1">
      <alignment horizontal="center" vertical="bottom"/>
    </xf>
    <xf borderId="118" fillId="8" fontId="35" numFmtId="49" xfId="0" applyAlignment="1" applyBorder="1" applyFont="1" applyNumberFormat="1">
      <alignment horizontal="center" readingOrder="0" vertical="bottom"/>
    </xf>
    <xf borderId="28" fillId="17" fontId="35" numFmtId="0" xfId="0" applyAlignment="1" applyBorder="1" applyFont="1">
      <alignment horizontal="left" vertical="bottom"/>
    </xf>
    <xf borderId="28" fillId="17" fontId="35" numFmtId="0" xfId="0" applyAlignment="1" applyBorder="1" applyFont="1">
      <alignment horizontal="center" vertical="bottom"/>
    </xf>
    <xf borderId="22" fillId="2" fontId="9" numFmtId="0" xfId="0" applyAlignment="1" applyBorder="1" applyFont="1">
      <alignment vertical="bottom"/>
    </xf>
    <xf borderId="80" fillId="2" fontId="9" numFmtId="0" xfId="0" applyAlignment="1" applyBorder="1" applyFont="1">
      <alignment vertical="bottom"/>
    </xf>
    <xf borderId="69" fillId="2" fontId="9" numFmtId="0" xfId="0" applyAlignment="1" applyBorder="1" applyFont="1">
      <alignment vertical="bottom"/>
    </xf>
    <xf borderId="49" fillId="2" fontId="9" numFmtId="0" xfId="0" applyAlignment="1" applyBorder="1" applyFont="1">
      <alignment vertical="bottom"/>
    </xf>
    <xf borderId="22" fillId="2" fontId="9" numFmtId="0" xfId="0" applyAlignment="1" applyBorder="1" applyFont="1">
      <alignment vertical="bottom"/>
    </xf>
    <xf borderId="80" fillId="2" fontId="9" numFmtId="0" xfId="0" applyAlignment="1" applyBorder="1" applyFont="1">
      <alignment vertical="bottom"/>
    </xf>
    <xf borderId="119" fillId="2" fontId="9" numFmtId="0" xfId="0" applyAlignment="1" applyBorder="1" applyFont="1">
      <alignment vertical="bottom"/>
    </xf>
    <xf borderId="72" fillId="8" fontId="31" numFmtId="0" xfId="0" applyAlignment="1" applyBorder="1" applyFont="1">
      <alignment horizontal="left" vertical="bottom"/>
    </xf>
    <xf borderId="72" fillId="8" fontId="46" numFmtId="0" xfId="0" applyAlignment="1" applyBorder="1" applyFont="1">
      <alignment horizontal="center" readingOrder="0" vertical="center"/>
    </xf>
    <xf borderId="41" fillId="0" fontId="7" numFmtId="0" xfId="0" applyBorder="1" applyFont="1"/>
    <xf borderId="52" fillId="8" fontId="46" numFmtId="0" xfId="0" applyAlignment="1" applyBorder="1" applyFont="1">
      <alignment horizontal="center" readingOrder="0" vertical="center"/>
    </xf>
    <xf borderId="41" fillId="0" fontId="7" numFmtId="0" xfId="0" applyBorder="1" applyFont="1"/>
    <xf borderId="72" fillId="8" fontId="31" numFmtId="0" xfId="0" applyAlignment="1" applyBorder="1" applyFont="1">
      <alignment horizontal="left" vertical="bottom"/>
    </xf>
    <xf borderId="52" fillId="0" fontId="7" numFmtId="0" xfId="0" applyBorder="1" applyFont="1"/>
    <xf borderId="23" fillId="8" fontId="46" numFmtId="0" xfId="0" applyAlignment="1" applyBorder="1" applyFont="1">
      <alignment horizontal="center" readingOrder="0" vertical="center"/>
    </xf>
    <xf borderId="72" fillId="8" fontId="46" numFmtId="0" xfId="0" applyAlignment="1" applyBorder="1" applyFont="1">
      <alignment horizontal="center" readingOrder="0" vertical="center"/>
    </xf>
    <xf borderId="41" fillId="0" fontId="7" numFmtId="0" xfId="0" applyBorder="1" applyFont="1"/>
    <xf borderId="52" fillId="8" fontId="46" numFmtId="0" xfId="0" applyAlignment="1" applyBorder="1" applyFont="1">
      <alignment horizontal="center" readingOrder="0" vertical="center"/>
    </xf>
    <xf borderId="41" fillId="0" fontId="7" numFmtId="0" xfId="0" applyBorder="1" applyFont="1"/>
    <xf borderId="120" fillId="2" fontId="9" numFmtId="0" xfId="0" applyAlignment="1" applyBorder="1" applyFont="1">
      <alignment vertical="bottom"/>
    </xf>
    <xf borderId="121" fillId="30" fontId="9" numFmtId="0" xfId="0" applyAlignment="1" applyBorder="1" applyFill="1" applyFont="1">
      <alignment horizontal="center" readingOrder="0" vertical="bottom"/>
    </xf>
    <xf borderId="122" fillId="30" fontId="9" numFmtId="0" xfId="0" applyAlignment="1" applyBorder="1" applyFont="1">
      <alignment readingOrder="0" vertical="bottom"/>
    </xf>
    <xf borderId="123" fillId="0" fontId="7" numFmtId="0" xfId="0" applyBorder="1" applyFont="1"/>
    <xf borderId="124" fillId="0" fontId="7" numFmtId="0" xfId="0" applyBorder="1" applyFont="1"/>
    <xf borderId="23" fillId="31" fontId="74" numFmtId="0" xfId="0" applyAlignment="1" applyBorder="1" applyFill="1" applyFont="1">
      <alignment readingOrder="0" shrinkToFit="0" vertical="top" wrapText="1"/>
    </xf>
    <xf borderId="125" fillId="30" fontId="9" numFmtId="0" xfId="0" applyAlignment="1" applyBorder="1" applyFont="1">
      <alignment readingOrder="0" vertical="bottom"/>
    </xf>
    <xf borderId="126" fillId="30" fontId="9" numFmtId="0" xfId="0" applyAlignment="1" applyBorder="1" applyFont="1">
      <alignment readingOrder="0" vertical="bottom"/>
    </xf>
    <xf borderId="127" fillId="0" fontId="7" numFmtId="0" xfId="0" applyBorder="1" applyFont="1"/>
    <xf borderId="128" fillId="0" fontId="7" numFmtId="0" xfId="0" applyBorder="1" applyFont="1"/>
    <xf borderId="42" fillId="0" fontId="7" numFmtId="0" xfId="0" applyBorder="1" applyFont="1"/>
    <xf borderId="49" fillId="2" fontId="9" numFmtId="0" xfId="0" applyAlignment="1" applyBorder="1" applyFont="1">
      <alignment vertical="bottom"/>
    </xf>
    <xf borderId="49" fillId="2" fontId="9" numFmtId="0" xfId="0" applyAlignment="1" applyBorder="1" applyFont="1">
      <alignment vertical="bottom"/>
    </xf>
    <xf borderId="129" fillId="30" fontId="9" numFmtId="0" xfId="0" applyAlignment="1" applyBorder="1" applyFont="1">
      <alignment readingOrder="0" vertical="bottom"/>
    </xf>
    <xf borderId="130" fillId="30" fontId="9" numFmtId="0" xfId="0" applyAlignment="1" applyBorder="1" applyFont="1">
      <alignment readingOrder="0" vertical="bottom"/>
    </xf>
    <xf borderId="131" fillId="0" fontId="7" numFmtId="0" xfId="0" applyBorder="1" applyFont="1"/>
    <xf borderId="132" fillId="0" fontId="7" numFmtId="0" xfId="0" applyBorder="1" applyFont="1"/>
    <xf borderId="133" fillId="2" fontId="9" numFmtId="0" xfId="0" applyAlignment="1" applyBorder="1" applyFont="1">
      <alignment vertical="bottom"/>
    </xf>
    <xf borderId="99" fillId="2" fontId="9" numFmtId="0" xfId="0" applyAlignment="1" applyBorder="1" applyFont="1">
      <alignment vertical="bottom"/>
    </xf>
    <xf borderId="99" fillId="2" fontId="9" numFmtId="0" xfId="0" applyAlignment="1" applyBorder="1" applyFont="1">
      <alignment vertical="bottom"/>
    </xf>
    <xf borderId="133" fillId="2" fontId="9" numFmtId="0" xfId="0" applyAlignment="1" applyBorder="1" applyFont="1">
      <alignment vertical="bottom"/>
    </xf>
    <xf borderId="80" fillId="2" fontId="9" numFmtId="0" xfId="0" applyAlignment="1" applyBorder="1" applyFont="1">
      <alignment vertical="bottom"/>
    </xf>
    <xf borderId="23" fillId="31" fontId="74" numFmtId="0" xfId="0" applyAlignment="1" applyBorder="1" applyFont="1">
      <alignment readingOrder="0" shrinkToFit="0" vertical="top" wrapText="1"/>
    </xf>
    <xf borderId="34" fillId="0" fontId="7" numFmtId="0" xfId="0" applyBorder="1" applyFont="1"/>
    <xf borderId="42" fillId="0" fontId="7" numFmtId="0" xfId="0" applyBorder="1" applyFont="1"/>
    <xf borderId="27" fillId="0" fontId="7" numFmtId="0" xfId="0" applyBorder="1" applyFont="1"/>
    <xf borderId="38" fillId="0" fontId="7" numFmtId="0" xfId="0" applyBorder="1" applyFont="1"/>
    <xf borderId="27" fillId="0" fontId="35" numFmtId="0" xfId="0" applyBorder="1" applyFont="1"/>
    <xf borderId="38" fillId="0" fontId="35" numFmtId="191" xfId="0" applyAlignment="1" applyBorder="1" applyFont="1" applyNumberFormat="1">
      <alignment horizontal="center"/>
    </xf>
    <xf borderId="38" fillId="0" fontId="35" numFmtId="0" xfId="0" applyBorder="1" applyFont="1"/>
    <xf borderId="29" fillId="0" fontId="35" numFmtId="0" xfId="0" applyAlignment="1" applyBorder="1" applyFont="1">
      <alignment horizontal="right"/>
    </xf>
    <xf borderId="27" fillId="10" fontId="35" numFmtId="0" xfId="0" applyAlignment="1" applyBorder="1" applyFont="1">
      <alignment vertical="bottom"/>
    </xf>
    <xf borderId="29" fillId="17" fontId="35" numFmtId="0" xfId="0" applyAlignment="1" applyBorder="1" applyFont="1">
      <alignment vertical="bottom"/>
    </xf>
    <xf borderId="98" fillId="2" fontId="9" numFmtId="0" xfId="0" applyAlignment="1" applyBorder="1" applyFont="1">
      <alignment vertical="bottom"/>
    </xf>
    <xf borderId="80" fillId="2" fontId="9" numFmtId="0" xfId="0" applyAlignment="1" applyBorder="1" applyFont="1">
      <alignment horizontal="center" vertical="bottom"/>
    </xf>
    <xf borderId="80" fillId="2" fontId="9" numFmtId="0" xfId="0" applyAlignment="1" applyBorder="1" applyFont="1">
      <alignment horizontal="right" vertical="bottom"/>
    </xf>
    <xf borderId="80" fillId="2" fontId="71" numFmtId="0" xfId="0" applyAlignment="1" applyBorder="1" applyFont="1">
      <alignment vertical="bottom"/>
    </xf>
    <xf borderId="134" fillId="2" fontId="9" numFmtId="0" xfId="0" applyAlignment="1" applyBorder="1" applyFont="1">
      <alignment vertical="bottom"/>
    </xf>
    <xf borderId="23" fillId="32" fontId="75" numFmtId="0" xfId="0" applyAlignment="1" applyBorder="1" applyFill="1" applyFont="1">
      <alignment horizontal="center" readingOrder="0" vertical="center"/>
    </xf>
    <xf borderId="72" fillId="33" fontId="44" numFmtId="0" xfId="0" applyAlignment="1" applyBorder="1" applyFill="1" applyFont="1">
      <alignment horizontal="left" readingOrder="0" vertical="center"/>
    </xf>
    <xf borderId="135" fillId="34" fontId="75" numFmtId="10" xfId="0" applyAlignment="1" applyBorder="1" applyFill="1" applyFont="1" applyNumberFormat="1">
      <alignment horizontal="center"/>
    </xf>
    <xf borderId="136" fillId="34" fontId="76" numFmtId="0" xfId="0" applyAlignment="1" applyBorder="1" applyFont="1">
      <alignment horizontal="center" readingOrder="0" vertical="center"/>
    </xf>
    <xf borderId="55" fillId="0" fontId="7" numFmtId="0" xfId="0" applyBorder="1" applyFont="1"/>
    <xf borderId="42" fillId="33" fontId="44" numFmtId="0" xfId="0" applyAlignment="1" applyBorder="1" applyFont="1">
      <alignment horizontal="left" readingOrder="0" vertical="center"/>
    </xf>
    <xf borderId="24" fillId="33" fontId="44" numFmtId="0" xfId="0" applyAlignment="1" applyBorder="1" applyFont="1">
      <alignment horizontal="left" readingOrder="0" vertical="center"/>
    </xf>
    <xf borderId="135" fillId="35" fontId="77" numFmtId="0" xfId="0" applyAlignment="1" applyBorder="1" applyFill="1" applyFont="1">
      <alignment horizontal="center" readingOrder="0" vertical="center"/>
    </xf>
    <xf borderId="54" fillId="34" fontId="76" numFmtId="0" xfId="0" applyAlignment="1" applyBorder="1" applyFont="1">
      <alignment horizontal="center" readingOrder="0" vertical="center"/>
    </xf>
    <xf borderId="33" fillId="33" fontId="44" numFmtId="0" xfId="0" applyAlignment="1" applyBorder="1" applyFont="1">
      <alignment horizontal="left" readingOrder="0" vertical="center"/>
    </xf>
    <xf borderId="63" fillId="35" fontId="77" numFmtId="0" xfId="0" applyAlignment="1" applyBorder="1" applyFont="1">
      <alignment horizontal="center" readingOrder="0" vertical="center"/>
    </xf>
    <xf borderId="23" fillId="33" fontId="44" numFmtId="0" xfId="0" applyAlignment="1" applyBorder="1" applyFont="1">
      <alignment horizontal="left" readingOrder="0" vertical="center"/>
    </xf>
    <xf borderId="135" fillId="35" fontId="77" numFmtId="165" xfId="0" applyAlignment="1" applyBorder="1" applyFont="1" applyNumberFormat="1">
      <alignment horizontal="center" readingOrder="0" vertical="center"/>
    </xf>
    <xf borderId="72" fillId="33" fontId="44" numFmtId="0" xfId="0" applyAlignment="1" applyBorder="1" applyFont="1">
      <alignment readingOrder="0" vertical="center"/>
    </xf>
    <xf borderId="52" fillId="0" fontId="7" numFmtId="0" xfId="0" applyBorder="1" applyFont="1"/>
    <xf borderId="135" fillId="35" fontId="78" numFmtId="0" xfId="0" applyAlignment="1" applyBorder="1" applyFont="1">
      <alignment horizontal="center" readingOrder="0" vertical="center"/>
    </xf>
    <xf borderId="27" fillId="35" fontId="79" numFmtId="0" xfId="0" applyAlignment="1" applyBorder="1" applyFont="1">
      <alignment horizontal="center" readingOrder="0"/>
    </xf>
    <xf borderId="2" fillId="0" fontId="44" numFmtId="1" xfId="0" applyAlignment="1" applyBorder="1" applyFont="1" applyNumberFormat="1">
      <alignment horizontal="center" vertical="bottom"/>
    </xf>
    <xf borderId="23" fillId="0" fontId="54" numFmtId="0" xfId="0" applyAlignment="1" applyBorder="1" applyFont="1">
      <alignment horizontal="center" readingOrder="0" shrinkToFit="0" vertical="center" wrapText="1"/>
    </xf>
    <xf borderId="2" fillId="33" fontId="44" numFmtId="0" xfId="0" applyBorder="1" applyFont="1"/>
    <xf borderId="42" fillId="33" fontId="44" numFmtId="0" xfId="0" applyBorder="1" applyFont="1"/>
    <xf borderId="135" fillId="35" fontId="80" numFmtId="165" xfId="0" applyAlignment="1" applyBorder="1" applyFont="1" applyNumberFormat="1">
      <alignment horizontal="center" vertical="bottom"/>
    </xf>
    <xf borderId="72" fillId="33" fontId="75" numFmtId="0" xfId="0" applyAlignment="1" applyBorder="1" applyFont="1">
      <alignment horizontal="center" readingOrder="0" shrinkToFit="0" vertical="center" wrapText="1"/>
    </xf>
    <xf borderId="27" fillId="32" fontId="44" numFmtId="0" xfId="0" applyAlignment="1" applyBorder="1" applyFont="1">
      <alignment horizontal="center" readingOrder="0" vertical="center"/>
    </xf>
    <xf borderId="38" fillId="32" fontId="44" numFmtId="0" xfId="0" applyAlignment="1" applyBorder="1" applyFont="1">
      <alignment horizontal="center" readingOrder="0" vertical="center"/>
    </xf>
    <xf borderId="52" fillId="32" fontId="44" numFmtId="0" xfId="0" applyAlignment="1" applyBorder="1" applyFont="1">
      <alignment horizontal="center" readingOrder="0" vertical="center"/>
    </xf>
    <xf borderId="2" fillId="33" fontId="44" numFmtId="0" xfId="0" applyAlignment="1" applyBorder="1" applyFont="1">
      <alignment horizontal="left" readingOrder="0" vertical="center"/>
    </xf>
    <xf borderId="28" fillId="32" fontId="44" numFmtId="0" xfId="0" applyAlignment="1" applyBorder="1" applyFont="1">
      <alignment horizontal="center" readingOrder="0" vertical="center"/>
    </xf>
    <xf borderId="113" fillId="32" fontId="44" numFmtId="0" xfId="0" applyAlignment="1" applyBorder="1" applyFont="1">
      <alignment horizontal="center" readingOrder="0" vertical="center"/>
    </xf>
    <xf borderId="27" fillId="0" fontId="44" numFmtId="1" xfId="0" applyAlignment="1" applyBorder="1" applyFont="1" applyNumberFormat="1">
      <alignment horizontal="center" readingOrder="0" vertical="center"/>
    </xf>
    <xf borderId="82" fillId="0" fontId="44" numFmtId="1" xfId="0" applyAlignment="1" applyBorder="1" applyFont="1" applyNumberFormat="1">
      <alignment horizontal="center" readingOrder="0" vertical="center"/>
    </xf>
    <xf borderId="137" fillId="0" fontId="44" numFmtId="1" xfId="0" applyAlignment="1" applyBorder="1" applyFont="1" applyNumberFormat="1">
      <alignment horizontal="center" readingOrder="0" vertical="center"/>
    </xf>
    <xf borderId="23" fillId="33" fontId="44" numFmtId="0" xfId="0" applyAlignment="1" applyBorder="1" applyFont="1">
      <alignment horizontal="center" readingOrder="0" shrinkToFit="0" vertical="center" wrapText="1"/>
    </xf>
    <xf borderId="0" fillId="0" fontId="44" numFmtId="0" xfId="0" applyAlignment="1" applyFont="1">
      <alignment readingOrder="0"/>
    </xf>
    <xf borderId="0" fillId="0" fontId="44" numFmtId="0" xfId="0" applyAlignment="1" applyFont="1">
      <alignment horizontal="right" vertical="bottom"/>
    </xf>
    <xf borderId="0" fillId="0" fontId="44" numFmtId="0" xfId="0" applyFont="1"/>
    <xf borderId="0" fillId="0" fontId="44" numFmtId="4" xfId="0" applyFont="1" applyNumberFormat="1"/>
    <xf borderId="0" fillId="0" fontId="44" numFmtId="192" xfId="0" applyFont="1" applyNumberFormat="1"/>
    <xf borderId="0" fillId="0" fontId="44" numFmtId="192" xfId="0" applyAlignment="1" applyFont="1" applyNumberFormat="1">
      <alignment readingOrder="0"/>
    </xf>
    <xf borderId="0" fillId="0" fontId="44" numFmtId="0" xfId="0" applyAlignment="1" applyFont="1">
      <alignment horizontal="center" readingOrder="0"/>
    </xf>
    <xf borderId="0" fillId="0" fontId="75" numFmtId="0" xfId="0" applyFont="1"/>
    <xf borderId="0" fillId="0" fontId="75" numFmtId="0" xfId="0" applyAlignment="1" applyFont="1">
      <alignment readingOrder="0"/>
    </xf>
    <xf borderId="54" fillId="0" fontId="81" numFmtId="165" xfId="0" applyAlignment="1" applyBorder="1" applyFont="1" applyNumberFormat="1">
      <alignment horizontal="center" readingOrder="0" vertical="center"/>
    </xf>
    <xf borderId="138" fillId="33" fontId="75" numFmtId="0" xfId="0" applyAlignment="1" applyBorder="1" applyFont="1">
      <alignment horizontal="left" readingOrder="0" vertical="center"/>
    </xf>
    <xf borderId="55" fillId="0" fontId="82" numFmtId="0" xfId="0" applyAlignment="1" applyBorder="1" applyFont="1">
      <alignment horizontal="center" readingOrder="0" vertical="center"/>
    </xf>
    <xf borderId="0" fillId="0" fontId="44" numFmtId="4" xfId="0" applyAlignment="1" applyFont="1" applyNumberFormat="1">
      <alignment readingOrder="0"/>
    </xf>
    <xf borderId="0" fillId="0" fontId="44" numFmtId="1" xfId="0" applyAlignment="1" applyFont="1" applyNumberFormat="1">
      <alignment readingOrder="0"/>
    </xf>
    <xf borderId="0" fillId="0" fontId="44" numFmtId="1" xfId="0" applyFont="1" applyNumberFormat="1"/>
    <xf borderId="0" fillId="0" fontId="44" numFmtId="4" xfId="0" applyAlignment="1" applyFont="1" applyNumberFormat="1">
      <alignment horizontal="center" readingOrder="0"/>
    </xf>
    <xf borderId="63" fillId="0" fontId="83" numFmtId="9" xfId="0" applyAlignment="1" applyBorder="1" applyFont="1" applyNumberFormat="1">
      <alignment horizontal="center" readingOrder="0" vertical="center"/>
    </xf>
    <xf borderId="138" fillId="33" fontId="44" numFmtId="0" xfId="0" applyAlignment="1" applyBorder="1" applyFont="1">
      <alignment readingOrder="0" vertical="center"/>
    </xf>
    <xf borderId="63" fillId="0" fontId="81" numFmtId="0" xfId="0" applyAlignment="1" applyBorder="1" applyFont="1">
      <alignment horizontal="center" readingOrder="0" vertical="center"/>
    </xf>
    <xf borderId="53" fillId="35" fontId="44" numFmtId="0" xfId="0" applyAlignment="1" applyBorder="1" applyFont="1">
      <alignment horizontal="center" readingOrder="0" vertical="center"/>
    </xf>
    <xf borderId="0" fillId="0" fontId="84" numFmtId="4" xfId="0" applyAlignment="1" applyFont="1" applyNumberFormat="1">
      <alignment readingOrder="0" shrinkToFit="0" vertical="bottom" wrapText="0"/>
    </xf>
    <xf borderId="0" fillId="0" fontId="44" numFmtId="192" xfId="0" applyAlignment="1" applyFont="1" applyNumberFormat="1">
      <alignment horizontal="left" readingOrder="0" shrinkToFit="0" wrapText="0"/>
    </xf>
    <xf borderId="63" fillId="0" fontId="83" numFmtId="3" xfId="0" applyAlignment="1" applyBorder="1" applyFont="1" applyNumberFormat="1">
      <alignment horizontal="center" readingOrder="0" vertical="center"/>
    </xf>
    <xf borderId="114" fillId="33" fontId="44" numFmtId="0" xfId="0" applyAlignment="1" applyBorder="1" applyFont="1">
      <alignment horizontal="left" readingOrder="0" vertical="center"/>
    </xf>
    <xf borderId="0" fillId="0" fontId="44" numFmtId="2" xfId="0" applyAlignment="1" applyFont="1" applyNumberFormat="1">
      <alignment readingOrder="0"/>
    </xf>
    <xf borderId="0" fillId="0" fontId="44" numFmtId="0" xfId="0" applyAlignment="1" applyFont="1">
      <alignment horizontal="left" readingOrder="0" shrinkToFit="0" wrapText="0"/>
    </xf>
    <xf borderId="0" fillId="0" fontId="44" numFmtId="165" xfId="0" applyAlignment="1" applyFont="1" applyNumberFormat="1">
      <alignment horizontal="left" readingOrder="0" shrinkToFit="0" wrapText="0"/>
    </xf>
    <xf borderId="0" fillId="0" fontId="44" numFmtId="1" xfId="0" applyAlignment="1" applyFont="1" applyNumberFormat="1">
      <alignment horizontal="left" readingOrder="0" shrinkToFit="0" wrapText="0"/>
    </xf>
    <xf borderId="0" fillId="0" fontId="44" numFmtId="193" xfId="0" applyAlignment="1" applyFont="1" applyNumberFormat="1">
      <alignment readingOrder="0"/>
    </xf>
    <xf borderId="0" fillId="0" fontId="84" numFmtId="0" xfId="0" applyAlignment="1" applyFont="1">
      <alignment readingOrder="0" shrinkToFit="0" vertical="bottom" wrapText="0"/>
    </xf>
    <xf borderId="0" fillId="0" fontId="84" numFmtId="194" xfId="0" applyAlignment="1" applyFont="1" applyNumberFormat="1">
      <alignment readingOrder="0" shrinkToFit="0" vertical="bottom" wrapText="0"/>
    </xf>
    <xf borderId="2" fillId="0" fontId="75" numFmtId="0" xfId="0" applyAlignment="1" applyBorder="1" applyFont="1">
      <alignment horizontal="center" readingOrder="0" shrinkToFit="0" vertical="center" wrapText="1"/>
    </xf>
    <xf borderId="0" fillId="19" fontId="84" numFmtId="194" xfId="0" applyAlignment="1" applyFont="1" applyNumberFormat="1">
      <alignment horizontal="right" readingOrder="0" shrinkToFit="0" vertical="bottom" wrapText="0"/>
    </xf>
    <xf borderId="0" fillId="0" fontId="84" numFmtId="194" xfId="0" applyAlignment="1" applyFont="1" applyNumberFormat="1">
      <alignment horizontal="right" readingOrder="0" shrinkToFit="0" vertical="bottom" wrapText="0"/>
    </xf>
    <xf borderId="0" fillId="0" fontId="75" numFmtId="3" xfId="0" applyFont="1" applyNumberFormat="1"/>
    <xf borderId="0" fillId="0" fontId="84" numFmtId="3" xfId="0" applyAlignment="1" applyFont="1" applyNumberFormat="1">
      <alignment readingOrder="0" shrinkToFit="0" vertical="bottom" wrapText="0"/>
    </xf>
    <xf borderId="29" fillId="32" fontId="44" numFmtId="0" xfId="0" applyAlignment="1" applyBorder="1" applyFont="1">
      <alignment horizontal="center" readingOrder="0" vertical="center"/>
    </xf>
    <xf borderId="139" fillId="32" fontId="44" numFmtId="0" xfId="0" applyAlignment="1" applyBorder="1" applyFont="1">
      <alignment horizontal="center" readingOrder="0" vertical="center"/>
    </xf>
    <xf borderId="41" fillId="32" fontId="44" numFmtId="0" xfId="0" applyAlignment="1" applyBorder="1" applyFont="1">
      <alignment horizontal="center" readingOrder="0" vertical="center"/>
    </xf>
    <xf borderId="2" fillId="32" fontId="44" numFmtId="0" xfId="0" applyAlignment="1" applyBorder="1" applyFont="1">
      <alignment horizontal="center" readingOrder="0" vertical="center"/>
    </xf>
    <xf borderId="42" fillId="0" fontId="44" numFmtId="0" xfId="0" applyAlignment="1" applyBorder="1" applyFont="1">
      <alignment horizontal="center" readingOrder="0" vertical="center"/>
    </xf>
    <xf borderId="51" fillId="0" fontId="44" numFmtId="1" xfId="0" applyAlignment="1" applyBorder="1" applyFont="1" applyNumberFormat="1">
      <alignment horizontal="center" readingOrder="0" vertical="center"/>
    </xf>
    <xf borderId="0" fillId="0" fontId="44" numFmtId="0" xfId="0" applyAlignment="1" applyFont="1">
      <alignment horizontal="center" readingOrder="0" vertical="center"/>
    </xf>
    <xf borderId="45" fillId="0" fontId="44" numFmtId="1" xfId="0" applyAlignment="1" applyBorder="1" applyFont="1" applyNumberFormat="1">
      <alignment horizontal="center" readingOrder="0" vertical="center"/>
    </xf>
    <xf borderId="140" fillId="0" fontId="44" numFmtId="1" xfId="0" applyAlignment="1" applyBorder="1" applyFont="1" applyNumberFormat="1">
      <alignment horizontal="center" readingOrder="0" vertical="center"/>
    </xf>
    <xf borderId="38" fillId="0" fontId="44" numFmtId="0" xfId="0" applyAlignment="1" applyBorder="1" applyFont="1">
      <alignment horizontal="center" readingOrder="0" vertical="center"/>
    </xf>
    <xf borderId="141" fillId="0" fontId="44" numFmtId="1" xfId="0" applyAlignment="1" applyBorder="1" applyFont="1" applyNumberFormat="1">
      <alignment horizontal="center" readingOrder="0" vertical="center"/>
    </xf>
    <xf borderId="0" fillId="33" fontId="44" numFmtId="0" xfId="0" applyAlignment="1" applyFont="1">
      <alignment horizontal="center" readingOrder="0" shrinkToFit="0" vertical="center" wrapText="1"/>
    </xf>
    <xf borderId="0" fillId="0" fontId="44" numFmtId="192" xfId="0" applyAlignment="1" applyFont="1" applyNumberFormat="1">
      <alignment horizontal="left" readingOrder="0" shrinkToFit="0" wrapText="0"/>
    </xf>
    <xf borderId="0" fillId="0" fontId="44" numFmtId="9" xfId="0" applyAlignment="1" applyFont="1" applyNumberFormat="1">
      <alignment horizontal="left" readingOrder="0" shrinkToFit="0" wrapText="0"/>
    </xf>
    <xf borderId="27" fillId="0" fontId="44" numFmtId="0" xfId="0" applyAlignment="1" applyBorder="1" applyFont="1">
      <alignment horizontal="center" readingOrder="0" vertical="center"/>
    </xf>
    <xf borderId="0" fillId="30" fontId="44" numFmtId="0" xfId="0" applyFont="1"/>
    <xf borderId="0" fillId="30" fontId="75" numFmtId="0" xfId="0" applyFont="1"/>
    <xf borderId="0" fillId="0" fontId="44" numFmtId="192" xfId="0" applyAlignment="1" applyFont="1" applyNumberFormat="1">
      <alignment horizontal="center" readingOrder="0"/>
    </xf>
    <xf borderId="0" fillId="0" fontId="44" numFmtId="0" xfId="0" applyAlignment="1" applyFont="1">
      <alignment horizontal="center"/>
    </xf>
    <xf borderId="0" fillId="0" fontId="84" numFmtId="4" xfId="0" applyAlignment="1" applyFont="1" applyNumberFormat="1">
      <alignment horizontal="right" readingOrder="0" shrinkToFit="0" vertical="bottom" wrapText="0"/>
    </xf>
    <xf borderId="142" fillId="36" fontId="85" numFmtId="0" xfId="0" applyAlignment="1" applyBorder="1" applyFill="1" applyFont="1">
      <alignment horizontal="center" readingOrder="0"/>
    </xf>
    <xf borderId="143" fillId="0" fontId="7" numFmtId="0" xfId="0" applyBorder="1" applyFont="1"/>
    <xf borderId="144" fillId="0" fontId="7" numFmtId="0" xfId="0" applyBorder="1" applyFont="1"/>
    <xf borderId="143" fillId="37" fontId="85" numFmtId="0" xfId="0" applyAlignment="1" applyBorder="1" applyFill="1" applyFont="1">
      <alignment horizontal="center" readingOrder="0"/>
    </xf>
    <xf borderId="0" fillId="2" fontId="14" numFmtId="11" xfId="0" applyAlignment="1" applyFont="1" applyNumberFormat="1">
      <alignment vertical="bottom"/>
    </xf>
    <xf borderId="145" fillId="2" fontId="14" numFmtId="0" xfId="0" applyAlignment="1" applyBorder="1" applyFont="1">
      <alignment vertical="bottom"/>
    </xf>
    <xf borderId="146" fillId="2" fontId="14" numFmtId="0" xfId="0" applyAlignment="1" applyBorder="1" applyFont="1">
      <alignment vertical="bottom"/>
    </xf>
    <xf borderId="147" fillId="2" fontId="14" numFmtId="0" xfId="0" applyAlignment="1" applyBorder="1" applyFont="1">
      <alignment vertical="bottom"/>
    </xf>
    <xf borderId="148" fillId="38" fontId="86" numFmtId="0" xfId="0" applyAlignment="1" applyBorder="1" applyFill="1" applyFont="1">
      <alignment readingOrder="0"/>
    </xf>
    <xf borderId="0" fillId="38" fontId="9" numFmtId="0" xfId="0" applyAlignment="1" applyFont="1">
      <alignment horizontal="center" readingOrder="0"/>
    </xf>
    <xf borderId="149" fillId="0" fontId="7" numFmtId="0" xfId="0" applyBorder="1" applyFont="1"/>
    <xf borderId="150" fillId="36" fontId="86" numFmtId="0" xfId="0" applyAlignment="1" applyBorder="1" applyFont="1">
      <alignment horizontal="center" readingOrder="0"/>
    </xf>
    <xf borderId="151" fillId="0" fontId="7" numFmtId="0" xfId="0" applyBorder="1" applyFont="1"/>
    <xf borderId="152" fillId="2" fontId="14" numFmtId="165" xfId="0" applyAlignment="1" applyBorder="1" applyFont="1" applyNumberFormat="1">
      <alignment vertical="bottom"/>
    </xf>
    <xf borderId="0" fillId="2" fontId="14" numFmtId="10" xfId="0" applyAlignment="1" applyFont="1" applyNumberFormat="1">
      <alignment vertical="bottom"/>
    </xf>
    <xf borderId="0" fillId="38" fontId="9" numFmtId="0" xfId="0" applyAlignment="1" applyFont="1">
      <alignment horizontal="center" readingOrder="0" vertical="bottom"/>
    </xf>
    <xf borderId="153" fillId="36" fontId="86" numFmtId="10" xfId="0" applyAlignment="1" applyBorder="1" applyFont="1" applyNumberFormat="1">
      <alignment horizontal="center"/>
    </xf>
    <xf borderId="154" fillId="0" fontId="7" numFmtId="0" xfId="0" applyBorder="1" applyFont="1"/>
    <xf borderId="155" fillId="2" fontId="14" numFmtId="0" xfId="0" applyAlignment="1" applyBorder="1" applyFont="1">
      <alignment vertical="bottom"/>
    </xf>
    <xf borderId="3" fillId="2" fontId="14" numFmtId="0" xfId="0" applyAlignment="1" applyBorder="1" applyFont="1">
      <alignment vertical="bottom"/>
    </xf>
    <xf borderId="156" fillId="2" fontId="14" numFmtId="0" xfId="0" applyAlignment="1" applyBorder="1" applyFont="1">
      <alignment vertical="bottom"/>
    </xf>
    <xf borderId="0" fillId="38" fontId="86" numFmtId="0" xfId="0" applyFont="1"/>
    <xf borderId="148" fillId="38" fontId="86" numFmtId="0" xfId="0" applyAlignment="1" applyBorder="1" applyFont="1">
      <alignment horizontal="center" readingOrder="0" shrinkToFit="0" wrapText="1"/>
    </xf>
    <xf borderId="0" fillId="38" fontId="86" numFmtId="0" xfId="0" applyAlignment="1" applyFont="1">
      <alignment readingOrder="0" vertical="center"/>
    </xf>
    <xf borderId="148" fillId="0" fontId="7" numFmtId="0" xfId="0" applyBorder="1" applyFont="1"/>
    <xf borderId="0" fillId="36" fontId="86" numFmtId="10" xfId="0" applyAlignment="1" applyFont="1" applyNumberFormat="1">
      <alignment horizontal="center"/>
    </xf>
    <xf borderId="157" fillId="36" fontId="86" numFmtId="0" xfId="0" applyAlignment="1" applyBorder="1" applyFont="1">
      <alignment horizontal="center" readingOrder="0"/>
    </xf>
    <xf borderId="158" fillId="0" fontId="7" numFmtId="0" xfId="0" applyBorder="1" applyFont="1"/>
    <xf borderId="143" fillId="38" fontId="87" numFmtId="0" xfId="0" applyAlignment="1" applyBorder="1" applyFont="1">
      <alignment readingOrder="0" shrinkToFit="0" vertical="center" wrapText="1"/>
    </xf>
    <xf borderId="0" fillId="38" fontId="86" numFmtId="0" xfId="0" applyAlignment="1" applyFont="1">
      <alignment horizontal="center" readingOrder="0"/>
    </xf>
    <xf borderId="149" fillId="38" fontId="86" numFmtId="0" xfId="0" applyAlignment="1" applyBorder="1" applyFont="1">
      <alignment horizontal="center" readingOrder="0"/>
    </xf>
    <xf borderId="159" fillId="0" fontId="7" numFmtId="0" xfId="0" applyBorder="1" applyFont="1"/>
    <xf borderId="160" fillId="0" fontId="7" numFmtId="0" xfId="0" applyBorder="1" applyFont="1"/>
    <xf borderId="142" fillId="39" fontId="88" numFmtId="0" xfId="0" applyAlignment="1" applyBorder="1" applyFill="1" applyFont="1">
      <alignment horizontal="center" readingOrder="0"/>
    </xf>
    <xf borderId="148" fillId="39" fontId="86" numFmtId="0" xfId="0" applyAlignment="1" applyBorder="1" applyFont="1">
      <alignment horizontal="center" readingOrder="0"/>
    </xf>
    <xf borderId="0" fillId="39" fontId="89" numFmtId="0" xfId="0" applyAlignment="1" applyFont="1">
      <alignment horizontal="center"/>
    </xf>
    <xf borderId="0" fillId="39" fontId="86" numFmtId="0" xfId="0" applyAlignment="1" applyFont="1">
      <alignment horizontal="center"/>
    </xf>
    <xf borderId="0" fillId="39" fontId="86" numFmtId="0" xfId="0" applyAlignment="1" applyFont="1">
      <alignment horizontal="center" readingOrder="0"/>
    </xf>
    <xf borderId="149" fillId="39" fontId="90" numFmtId="0" xfId="0" applyAlignment="1" applyBorder="1" applyFont="1">
      <alignment horizontal="center" vertical="bottom"/>
    </xf>
    <xf borderId="148" fillId="39" fontId="86" numFmtId="0" xfId="0" applyAlignment="1" applyBorder="1" applyFont="1">
      <alignment horizontal="center" readingOrder="0" shrinkToFit="0" wrapText="1"/>
    </xf>
    <xf borderId="0" fillId="39" fontId="89" numFmtId="0" xfId="0" applyAlignment="1" applyFont="1">
      <alignment horizontal="center" vertical="center"/>
    </xf>
    <xf borderId="149" fillId="39" fontId="89" numFmtId="165" xfId="0" applyAlignment="1" applyBorder="1" applyFont="1" applyNumberFormat="1">
      <alignment horizontal="center"/>
    </xf>
    <xf borderId="149" fillId="39" fontId="89" numFmtId="0" xfId="0" applyAlignment="1" applyBorder="1" applyFont="1">
      <alignment horizontal="center"/>
    </xf>
    <xf borderId="149" fillId="39" fontId="89" numFmtId="9" xfId="0" applyAlignment="1" applyBorder="1" applyFont="1" applyNumberFormat="1">
      <alignment horizontal="center"/>
    </xf>
    <xf borderId="161" fillId="39" fontId="86" numFmtId="0" xfId="0" applyAlignment="1" applyBorder="1" applyFont="1">
      <alignment horizontal="center" readingOrder="0"/>
    </xf>
    <xf borderId="159" fillId="39" fontId="89" numFmtId="0" xfId="0" applyAlignment="1" applyBorder="1" applyFont="1">
      <alignment horizontal="center" readingOrder="0"/>
    </xf>
    <xf borderId="159" fillId="39" fontId="91" numFmtId="0" xfId="0" applyAlignment="1" applyBorder="1" applyFont="1">
      <alignment horizontal="center" readingOrder="0" vertical="bottom"/>
    </xf>
    <xf borderId="160" fillId="39" fontId="92" numFmtId="9" xfId="0" applyAlignment="1" applyBorder="1" applyFont="1" applyNumberFormat="1">
      <alignment horizontal="center" vertical="bottom"/>
    </xf>
    <xf borderId="0" fillId="2" fontId="14" numFmtId="0" xfId="0" applyAlignment="1" applyFont="1">
      <alignment readingOrder="0" vertical="bottom"/>
    </xf>
    <xf borderId="0" fillId="40" fontId="9" numFmtId="0" xfId="0" applyAlignment="1" applyFill="1" applyFont="1">
      <alignment vertical="bottom"/>
    </xf>
    <xf borderId="0" fillId="0" fontId="9" numFmtId="0" xfId="0" applyAlignment="1" applyFont="1">
      <alignment readingOrder="0" vertical="bottom"/>
    </xf>
    <xf borderId="33" fillId="40" fontId="45" numFmtId="0" xfId="0" applyAlignment="1" applyBorder="1" applyFont="1">
      <alignment vertical="bottom"/>
    </xf>
    <xf borderId="36" fillId="40" fontId="34" numFmtId="0" xfId="0" applyAlignment="1" applyBorder="1" applyFont="1">
      <alignment horizontal="right" readingOrder="0" textRotation="90" vertical="top"/>
    </xf>
    <xf borderId="0" fillId="0" fontId="9" numFmtId="11" xfId="0" applyAlignment="1" applyFont="1" applyNumberFormat="1">
      <alignment horizontal="right" vertical="bottom"/>
    </xf>
    <xf borderId="36" fillId="40" fontId="34" numFmtId="0" xfId="0" applyAlignment="1" applyBorder="1" applyFont="1">
      <alignment horizontal="right" textRotation="90" vertical="top"/>
    </xf>
    <xf borderId="0" fillId="0" fontId="9" numFmtId="11" xfId="0" applyAlignment="1" applyFont="1" applyNumberFormat="1">
      <alignment horizontal="right" readingOrder="0" vertical="bottom"/>
    </xf>
    <xf borderId="0" fillId="0" fontId="9" numFmtId="11" xfId="0" applyAlignment="1" applyFont="1" applyNumberFormat="1">
      <alignment vertical="bottom"/>
    </xf>
    <xf borderId="0" fillId="40" fontId="9" numFmtId="0" xfId="0" applyAlignment="1" applyFont="1">
      <alignment vertical="top"/>
    </xf>
    <xf borderId="36" fillId="40" fontId="9" numFmtId="0" xfId="0" applyAlignment="1" applyBorder="1" applyFont="1">
      <alignment vertical="top"/>
    </xf>
    <xf borderId="0" fillId="0" fontId="9" numFmtId="11" xfId="0" applyAlignment="1" applyFont="1" applyNumberFormat="1">
      <alignment readingOrder="0" vertical="bottom"/>
    </xf>
    <xf borderId="0" fillId="2" fontId="45" numFmtId="0" xfId="0" applyAlignment="1" applyFont="1">
      <alignment readingOrder="0" vertical="bottom"/>
    </xf>
    <xf borderId="0" fillId="8" fontId="9" numFmtId="0" xfId="0" applyAlignment="1" applyFont="1">
      <alignment vertical="bottom"/>
    </xf>
    <xf borderId="33" fillId="8" fontId="30" numFmtId="0" xfId="0" applyAlignment="1" applyBorder="1" applyFont="1">
      <alignment horizontal="center" textRotation="75" vertical="bottom"/>
    </xf>
    <xf borderId="40" fillId="8" fontId="31" numFmtId="0" xfId="0" applyAlignment="1" applyBorder="1" applyFont="1">
      <alignment horizontal="center" vertical="bottom"/>
    </xf>
    <xf borderId="40" fillId="8" fontId="31" numFmtId="166" xfId="0" applyAlignment="1" applyBorder="1" applyFont="1" applyNumberFormat="1">
      <alignment horizontal="center" vertical="bottom"/>
    </xf>
    <xf borderId="37" fillId="2" fontId="9" numFmtId="0" xfId="0" applyAlignment="1" applyBorder="1" applyFont="1">
      <alignment vertical="bottom"/>
    </xf>
    <xf borderId="0" fillId="8" fontId="31" numFmtId="0" xfId="0" applyAlignment="1" applyFont="1">
      <alignment horizontal="center" vertical="bottom"/>
    </xf>
    <xf borderId="36" fillId="10" fontId="9" numFmtId="0" xfId="0" applyAlignment="1" applyBorder="1" applyFont="1">
      <alignment vertical="bottom"/>
    </xf>
    <xf borderId="0" fillId="15" fontId="35" numFmtId="0" xfId="0" applyAlignment="1" applyFont="1">
      <alignment vertical="bottom"/>
    </xf>
    <xf borderId="50" fillId="9" fontId="36" numFmtId="0" xfId="0" applyAlignment="1" applyBorder="1" applyFont="1">
      <alignment horizontal="center" vertical="bottom"/>
    </xf>
    <xf borderId="51" fillId="9" fontId="9" numFmtId="0" xfId="0" applyAlignment="1" applyBorder="1" applyFont="1">
      <alignment vertical="bottom"/>
    </xf>
    <xf borderId="50" fillId="11" fontId="9" numFmtId="0" xfId="0" applyAlignment="1" applyBorder="1" applyFont="1">
      <alignment vertical="bottom"/>
    </xf>
    <xf borderId="51" fillId="11" fontId="9" numFmtId="0" xfId="0" applyAlignment="1" applyBorder="1" applyFont="1">
      <alignment vertical="bottom"/>
    </xf>
    <xf borderId="51" fillId="11" fontId="9" numFmtId="166" xfId="0" applyAlignment="1" applyBorder="1" applyFont="1" applyNumberFormat="1">
      <alignment vertical="bottom"/>
    </xf>
    <xf borderId="51" fillId="11" fontId="9" numFmtId="0" xfId="0" applyAlignment="1" applyBorder="1" applyFont="1">
      <alignment vertical="bottom"/>
    </xf>
    <xf borderId="43" fillId="2" fontId="34" numFmtId="0" xfId="0" applyAlignment="1" applyBorder="1" applyFont="1">
      <alignment horizontal="right" textRotation="90" vertical="top"/>
    </xf>
    <xf borderId="36" fillId="10" fontId="52" numFmtId="166" xfId="0" applyAlignment="1" applyBorder="1" applyFont="1" applyNumberFormat="1">
      <alignment horizontal="right" vertical="bottom"/>
    </xf>
    <xf borderId="24" fillId="9" fontId="36" numFmtId="0" xfId="0" applyAlignment="1" applyBorder="1" applyFont="1">
      <alignment horizontal="center" vertical="bottom"/>
    </xf>
    <xf borderId="25" fillId="9" fontId="9" numFmtId="0" xfId="0" applyAlignment="1" applyBorder="1" applyFont="1">
      <alignment vertical="bottom"/>
    </xf>
    <xf borderId="50" fillId="9" fontId="46" numFmtId="0" xfId="0" applyAlignment="1" applyBorder="1" applyFont="1">
      <alignment horizontal="center" vertical="bottom"/>
    </xf>
    <xf borderId="33" fillId="9" fontId="36" numFmtId="0" xfId="0" applyAlignment="1" applyBorder="1" applyFont="1">
      <alignment horizontal="center" vertical="bottom"/>
    </xf>
    <xf borderId="36" fillId="9" fontId="9" numFmtId="0" xfId="0" applyAlignment="1" applyBorder="1" applyFont="1">
      <alignment vertical="bottom"/>
    </xf>
    <xf borderId="66" fillId="0" fontId="7" numFmtId="0" xfId="0" applyBorder="1" applyFont="1"/>
    <xf borderId="60" fillId="10" fontId="35" numFmtId="0" xfId="0" applyAlignment="1" applyBorder="1" applyFont="1">
      <alignment horizontal="center"/>
    </xf>
    <xf borderId="57" fillId="15" fontId="35" numFmtId="0" xfId="0" applyAlignment="1" applyBorder="1" applyFont="1">
      <alignment vertical="bottom"/>
    </xf>
    <xf borderId="58" fillId="9" fontId="46" numFmtId="0" xfId="0" applyAlignment="1" applyBorder="1" applyFont="1">
      <alignment horizontal="center" vertical="bottom"/>
    </xf>
    <xf borderId="59" fillId="9" fontId="9" numFmtId="0" xfId="0" applyAlignment="1" applyBorder="1" applyFont="1">
      <alignment vertical="bottom"/>
    </xf>
    <xf borderId="58" fillId="11" fontId="9" numFmtId="0" xfId="0" applyAlignment="1" applyBorder="1" applyFont="1">
      <alignment vertical="bottom"/>
    </xf>
    <xf borderId="59" fillId="11" fontId="9" numFmtId="0" xfId="0" applyAlignment="1" applyBorder="1" applyFont="1">
      <alignment vertical="bottom"/>
    </xf>
    <xf borderId="59" fillId="11" fontId="9" numFmtId="166" xfId="0" applyAlignment="1" applyBorder="1" applyFont="1" applyNumberFormat="1">
      <alignment vertical="bottom"/>
    </xf>
    <xf borderId="59" fillId="11" fontId="9" numFmtId="0" xfId="0" applyAlignment="1" applyBorder="1" applyFont="1">
      <alignment vertical="bottom"/>
    </xf>
    <xf borderId="63" fillId="15" fontId="35" numFmtId="0" xfId="0" applyAlignment="1" applyBorder="1" applyFont="1">
      <alignment vertical="bottom"/>
    </xf>
    <xf borderId="64" fillId="9" fontId="46" numFmtId="0" xfId="0" applyAlignment="1" applyBorder="1" applyFont="1">
      <alignment horizontal="center" vertical="bottom"/>
    </xf>
    <xf borderId="65" fillId="9" fontId="9" numFmtId="0" xfId="0" applyAlignment="1" applyBorder="1" applyFont="1">
      <alignment vertical="bottom"/>
    </xf>
    <xf borderId="64" fillId="11" fontId="9" numFmtId="0" xfId="0" applyAlignment="1" applyBorder="1" applyFont="1">
      <alignment vertical="bottom"/>
    </xf>
    <xf borderId="65" fillId="11" fontId="9" numFmtId="0" xfId="0" applyAlignment="1" applyBorder="1" applyFont="1">
      <alignment vertical="bottom"/>
    </xf>
    <xf borderId="65" fillId="11" fontId="9" numFmtId="166" xfId="0" applyAlignment="1" applyBorder="1" applyFont="1" applyNumberFormat="1">
      <alignment vertical="bottom"/>
    </xf>
    <xf borderId="65" fillId="11" fontId="9" numFmtId="0" xfId="0" applyAlignment="1" applyBorder="1" applyFont="1">
      <alignment vertical="bottom"/>
    </xf>
    <xf borderId="29" fillId="10" fontId="52" numFmtId="166" xfId="0" applyAlignment="1" applyBorder="1" applyFont="1" applyNumberFormat="1">
      <alignment horizontal="right" vertical="bottom"/>
    </xf>
    <xf borderId="28" fillId="9" fontId="46" numFmtId="0" xfId="0" applyAlignment="1" applyBorder="1" applyFont="1">
      <alignment horizontal="center" vertical="bottom"/>
    </xf>
    <xf borderId="29" fillId="9" fontId="9" numFmtId="0" xfId="0" applyAlignment="1" applyBorder="1" applyFont="1">
      <alignment vertical="bottom"/>
    </xf>
    <xf borderId="24" fillId="23" fontId="36" numFmtId="0" xfId="0" applyAlignment="1" applyBorder="1" applyFont="1">
      <alignment horizontal="center" vertical="bottom"/>
    </xf>
    <xf borderId="25" fillId="23" fontId="9" numFmtId="0" xfId="0" applyAlignment="1" applyBorder="1" applyFont="1">
      <alignment vertical="bottom"/>
    </xf>
    <xf borderId="25" fillId="22" fontId="35" numFmtId="0" xfId="0" applyAlignment="1" applyBorder="1" applyFont="1">
      <alignment horizontal="center" vertical="bottom"/>
    </xf>
    <xf borderId="33" fillId="23" fontId="36" numFmtId="0" xfId="0" applyAlignment="1" applyBorder="1" applyFont="1">
      <alignment horizontal="center" vertical="bottom"/>
    </xf>
    <xf borderId="36" fillId="23" fontId="9" numFmtId="0" xfId="0" applyAlignment="1" applyBorder="1" applyFont="1">
      <alignment vertical="bottom"/>
    </xf>
    <xf borderId="33" fillId="23" fontId="46" numFmtId="0" xfId="0" applyAlignment="1" applyBorder="1" applyFont="1">
      <alignment horizontal="center" vertical="bottom"/>
    </xf>
    <xf borderId="28" fillId="23" fontId="46" numFmtId="0" xfId="0" applyAlignment="1" applyBorder="1" applyFont="1">
      <alignment horizontal="center" vertical="bottom"/>
    </xf>
    <xf borderId="29" fillId="23" fontId="9" numFmtId="0" xfId="0" applyAlignment="1" applyBorder="1" applyFont="1">
      <alignment vertical="bottom"/>
    </xf>
    <xf borderId="24" fillId="8" fontId="46" numFmtId="0" xfId="0" applyAlignment="1" applyBorder="1" applyFont="1">
      <alignment horizontal="center" vertical="bottom"/>
    </xf>
    <xf borderId="25" fillId="8" fontId="9" numFmtId="0" xfId="0" applyAlignment="1" applyBorder="1" applyFont="1">
      <alignment vertical="bottom"/>
    </xf>
    <xf borderId="25" fillId="17" fontId="35" numFmtId="0" xfId="0" applyAlignment="1" applyBorder="1" applyFont="1">
      <alignment horizontal="center" vertical="bottom"/>
    </xf>
    <xf borderId="33" fillId="8" fontId="36" numFmtId="0" xfId="0" applyAlignment="1" applyBorder="1" applyFont="1">
      <alignment horizontal="center" vertical="bottom"/>
    </xf>
    <xf borderId="36" fillId="8" fontId="9" numFmtId="0" xfId="0" applyAlignment="1" applyBorder="1" applyFont="1">
      <alignment vertical="bottom"/>
    </xf>
    <xf borderId="33" fillId="8" fontId="46" numFmtId="0" xfId="0" applyAlignment="1" applyBorder="1" applyFont="1">
      <alignment horizontal="center" vertical="bottom"/>
    </xf>
    <xf borderId="51" fillId="9" fontId="36" numFmtId="0" xfId="0" applyAlignment="1" applyBorder="1" applyFont="1">
      <alignment horizontal="center" vertical="bottom"/>
    </xf>
    <xf borderId="38" fillId="15" fontId="35" numFmtId="0" xfId="0" applyAlignment="1" applyBorder="1" applyFont="1">
      <alignment vertical="bottom"/>
    </xf>
    <xf borderId="81" fillId="9" fontId="46" numFmtId="0" xfId="0" applyAlignment="1" applyBorder="1" applyFont="1">
      <alignment horizontal="center" vertical="bottom"/>
    </xf>
    <xf borderId="82" fillId="9" fontId="36" numFmtId="0" xfId="0" applyAlignment="1" applyBorder="1" applyFont="1">
      <alignment horizontal="center" vertical="bottom"/>
    </xf>
    <xf borderId="81" fillId="11" fontId="9" numFmtId="0" xfId="0" applyAlignment="1" applyBorder="1" applyFont="1">
      <alignment vertical="bottom"/>
    </xf>
    <xf borderId="82" fillId="11" fontId="9" numFmtId="0" xfId="0" applyAlignment="1" applyBorder="1" applyFont="1">
      <alignment vertical="bottom"/>
    </xf>
    <xf borderId="82" fillId="11" fontId="9" numFmtId="166" xfId="0" applyAlignment="1" applyBorder="1" applyFont="1" applyNumberFormat="1">
      <alignment vertical="bottom"/>
    </xf>
    <xf borderId="82" fillId="11" fontId="9" numFmtId="0" xfId="0" applyAlignment="1" applyBorder="1" applyFont="1">
      <alignment vertical="bottom"/>
    </xf>
    <xf borderId="36" fillId="22" fontId="35" numFmtId="0" xfId="0" applyAlignment="1" applyBorder="1" applyFont="1">
      <alignment vertical="bottom"/>
    </xf>
    <xf borderId="0" fillId="6" fontId="35" numFmtId="0" xfId="0" applyAlignment="1" applyFont="1">
      <alignment vertical="bottom"/>
    </xf>
    <xf borderId="50" fillId="23" fontId="36" numFmtId="0" xfId="0" applyAlignment="1" applyBorder="1" applyFont="1">
      <alignment horizontal="center" vertical="bottom"/>
    </xf>
    <xf borderId="51" fillId="23" fontId="9" numFmtId="0" xfId="0" applyAlignment="1" applyBorder="1" applyFont="1">
      <alignment vertical="bottom"/>
    </xf>
    <xf borderId="50" fillId="24" fontId="9" numFmtId="0" xfId="0" applyAlignment="1" applyBorder="1" applyFont="1">
      <alignment vertical="bottom"/>
    </xf>
    <xf borderId="51" fillId="24" fontId="9" numFmtId="0" xfId="0" applyAlignment="1" applyBorder="1" applyFont="1">
      <alignment vertical="bottom"/>
    </xf>
    <xf borderId="51" fillId="24" fontId="9" numFmtId="0" xfId="0" applyAlignment="1" applyBorder="1" applyFont="1">
      <alignment vertical="bottom"/>
    </xf>
    <xf borderId="28" fillId="8" fontId="46" numFmtId="0" xfId="0" applyAlignment="1" applyBorder="1" applyFont="1">
      <alignment horizontal="center" vertical="bottom"/>
    </xf>
    <xf borderId="29" fillId="8" fontId="9" numFmtId="0" xfId="0" applyAlignment="1" applyBorder="1" applyFont="1">
      <alignment vertical="bottom"/>
    </xf>
    <xf borderId="60" fillId="22" fontId="35" numFmtId="0" xfId="0" applyAlignment="1" applyBorder="1" applyFont="1">
      <alignment horizontal="center"/>
    </xf>
    <xf borderId="57" fillId="6" fontId="35" numFmtId="0" xfId="0" applyAlignment="1" applyBorder="1" applyFont="1">
      <alignment vertical="bottom"/>
    </xf>
    <xf borderId="58" fillId="23" fontId="46" numFmtId="0" xfId="0" applyAlignment="1" applyBorder="1" applyFont="1">
      <alignment horizontal="center" vertical="bottom"/>
    </xf>
    <xf borderId="59" fillId="23" fontId="9" numFmtId="0" xfId="0" applyAlignment="1" applyBorder="1" applyFont="1">
      <alignment vertical="bottom"/>
    </xf>
    <xf borderId="58" fillId="24" fontId="9" numFmtId="0" xfId="0" applyAlignment="1" applyBorder="1" applyFont="1">
      <alignment vertical="bottom"/>
    </xf>
    <xf borderId="59" fillId="24" fontId="9" numFmtId="0" xfId="0" applyAlignment="1" applyBorder="1" applyFont="1">
      <alignment vertical="bottom"/>
    </xf>
    <xf borderId="59" fillId="24" fontId="9" numFmtId="0" xfId="0" applyAlignment="1" applyBorder="1" applyFont="1">
      <alignment vertical="bottom"/>
    </xf>
    <xf borderId="63" fillId="6" fontId="35" numFmtId="0" xfId="0" applyAlignment="1" applyBorder="1" applyFont="1">
      <alignment vertical="bottom"/>
    </xf>
    <xf borderId="64" fillId="23" fontId="36" numFmtId="0" xfId="0" applyAlignment="1" applyBorder="1" applyFont="1">
      <alignment horizontal="center" vertical="bottom"/>
    </xf>
    <xf borderId="65" fillId="23" fontId="9" numFmtId="0" xfId="0" applyAlignment="1" applyBorder="1" applyFont="1">
      <alignment vertical="bottom"/>
    </xf>
    <xf borderId="64" fillId="24" fontId="9" numFmtId="0" xfId="0" applyAlignment="1" applyBorder="1" applyFont="1">
      <alignment vertical="bottom"/>
    </xf>
    <xf borderId="65" fillId="24" fontId="9" numFmtId="0" xfId="0" applyAlignment="1" applyBorder="1" applyFont="1">
      <alignment vertical="bottom"/>
    </xf>
    <xf borderId="65" fillId="24" fontId="9" numFmtId="0" xfId="0" applyAlignment="1" applyBorder="1" applyFont="1">
      <alignment vertical="bottom"/>
    </xf>
    <xf borderId="62" fillId="22" fontId="35" numFmtId="0" xfId="0" applyAlignment="1" applyBorder="1" applyFont="1">
      <alignment horizontal="center"/>
    </xf>
    <xf borderId="51" fillId="23" fontId="36" numFmtId="0" xfId="0" applyAlignment="1" applyBorder="1" applyFont="1">
      <alignment horizontal="center" vertical="bottom"/>
    </xf>
    <xf borderId="50" fillId="23" fontId="46" numFmtId="0" xfId="0" applyAlignment="1" applyBorder="1" applyFont="1">
      <alignment horizontal="center" vertical="bottom"/>
    </xf>
    <xf borderId="51" fillId="23" fontId="46" numFmtId="0" xfId="0" applyAlignment="1" applyBorder="1" applyFont="1">
      <alignment horizontal="center" vertical="bottom"/>
    </xf>
    <xf borderId="59" fillId="23" fontId="46" numFmtId="0" xfId="0" applyAlignment="1" applyBorder="1" applyFont="1">
      <alignment horizontal="center" vertical="bottom"/>
    </xf>
    <xf borderId="38" fillId="6" fontId="35" numFmtId="0" xfId="0" applyAlignment="1" applyBorder="1" applyFont="1">
      <alignment vertical="bottom"/>
    </xf>
    <xf borderId="81" fillId="23" fontId="36" numFmtId="0" xfId="0" applyAlignment="1" applyBorder="1" applyFont="1">
      <alignment horizontal="center" vertical="bottom"/>
    </xf>
    <xf borderId="82" fillId="23" fontId="9" numFmtId="0" xfId="0" applyAlignment="1" applyBorder="1" applyFont="1">
      <alignment vertical="bottom"/>
    </xf>
    <xf borderId="81" fillId="24" fontId="9" numFmtId="0" xfId="0" applyAlignment="1" applyBorder="1" applyFont="1">
      <alignment vertical="bottom"/>
    </xf>
    <xf borderId="82" fillId="24" fontId="9" numFmtId="0" xfId="0" applyAlignment="1" applyBorder="1" applyFont="1">
      <alignment vertical="bottom"/>
    </xf>
    <xf borderId="82" fillId="24" fontId="9" numFmtId="0" xfId="0" applyAlignment="1" applyBorder="1" applyFont="1">
      <alignment vertical="bottom"/>
    </xf>
    <xf borderId="36" fillId="17" fontId="35" numFmtId="0" xfId="0" applyAlignment="1" applyBorder="1" applyFont="1">
      <alignment horizontal="center"/>
    </xf>
    <xf borderId="0" fillId="27" fontId="35" numFmtId="0" xfId="0" applyAlignment="1" applyFont="1">
      <alignment vertical="bottom"/>
    </xf>
    <xf borderId="58" fillId="8" fontId="46" numFmtId="0" xfId="0" applyAlignment="1" applyBorder="1" applyFont="1">
      <alignment horizontal="center" vertical="bottom"/>
    </xf>
    <xf borderId="59" fillId="8" fontId="9" numFmtId="0" xfId="0" applyAlignment="1" applyBorder="1" applyFont="1">
      <alignment vertical="bottom"/>
    </xf>
    <xf borderId="58" fillId="13" fontId="9" numFmtId="0" xfId="0" applyAlignment="1" applyBorder="1" applyFont="1">
      <alignment vertical="bottom"/>
    </xf>
    <xf borderId="59" fillId="13" fontId="9" numFmtId="0" xfId="0" applyAlignment="1" applyBorder="1" applyFont="1">
      <alignment vertical="bottom"/>
    </xf>
    <xf borderId="59" fillId="13" fontId="9" numFmtId="0" xfId="0" applyAlignment="1" applyBorder="1" applyFont="1">
      <alignment vertical="bottom"/>
    </xf>
    <xf borderId="50" fillId="8" fontId="46" numFmtId="0" xfId="0" applyAlignment="1" applyBorder="1" applyFont="1">
      <alignment horizontal="center" vertical="bottom"/>
    </xf>
    <xf borderId="51" fillId="8" fontId="9" numFmtId="0" xfId="0" applyAlignment="1" applyBorder="1" applyFont="1">
      <alignment vertical="bottom"/>
    </xf>
    <xf borderId="50" fillId="13" fontId="9" numFmtId="0" xfId="0" applyAlignment="1" applyBorder="1" applyFont="1">
      <alignment vertical="bottom"/>
    </xf>
    <xf borderId="51" fillId="13" fontId="9" numFmtId="0" xfId="0" applyAlignment="1" applyBorder="1" applyFont="1">
      <alignment vertical="bottom"/>
    </xf>
    <xf borderId="51" fillId="13" fontId="9" numFmtId="0" xfId="0" applyAlignment="1" applyBorder="1" applyFont="1">
      <alignment vertical="bottom"/>
    </xf>
    <xf borderId="60" fillId="17" fontId="35" numFmtId="0" xfId="0" applyAlignment="1" applyBorder="1" applyFont="1">
      <alignment horizontal="center"/>
    </xf>
    <xf borderId="57" fillId="27" fontId="35" numFmtId="0" xfId="0" applyAlignment="1" applyBorder="1" applyFont="1">
      <alignment vertical="bottom"/>
    </xf>
    <xf borderId="93" fillId="2" fontId="9" numFmtId="0" xfId="0" applyAlignment="1" applyBorder="1" applyFont="1">
      <alignment vertical="top"/>
    </xf>
    <xf borderId="59" fillId="8" fontId="46" numFmtId="0" xfId="0" applyAlignment="1" applyBorder="1" applyFont="1">
      <alignment horizontal="center" vertical="bottom"/>
    </xf>
    <xf borderId="51" fillId="8" fontId="46" numFmtId="0" xfId="0" applyAlignment="1" applyBorder="1" applyFont="1">
      <alignment horizontal="center" vertical="bottom"/>
    </xf>
    <xf borderId="66" fillId="17" fontId="35" numFmtId="0" xfId="0" applyAlignment="1" applyBorder="1" applyFont="1">
      <alignment horizontal="center"/>
    </xf>
    <xf borderId="50" fillId="8" fontId="36" numFmtId="0" xfId="0" applyAlignment="1" applyBorder="1" applyFont="1">
      <alignment horizontal="center" vertical="bottom"/>
    </xf>
    <xf borderId="38" fillId="27" fontId="35" numFmtId="0" xfId="0" applyAlignment="1" applyBorder="1" applyFont="1">
      <alignment vertical="bottom"/>
    </xf>
    <xf borderId="33" fillId="40" fontId="9" numFmtId="0" xfId="0" applyAlignment="1" applyBorder="1" applyFont="1">
      <alignment vertical="bottom"/>
    </xf>
    <xf borderId="0" fillId="2" fontId="93" numFmtId="0" xfId="0" applyAlignment="1" applyFont="1">
      <alignment vertical="bottom"/>
    </xf>
    <xf borderId="36" fillId="40" fontId="34" numFmtId="0" xfId="0" applyAlignment="1" applyBorder="1" applyFont="1">
      <alignment horizontal="right" textRotation="90" vertical="top"/>
    </xf>
    <xf borderId="0" fillId="2" fontId="93" numFmtId="11" xfId="0" applyAlignment="1" applyFont="1" applyNumberFormat="1">
      <alignment horizontal="right" readingOrder="0" vertical="bottom"/>
    </xf>
    <xf borderId="0" fillId="2" fontId="93" numFmtId="11" xfId="0" applyAlignment="1" applyFont="1" applyNumberFormat="1">
      <alignment readingOrder="0" vertical="bottom"/>
    </xf>
    <xf borderId="0" fillId="2" fontId="93" numFmtId="11" xfId="0" applyAlignment="1" applyFont="1" applyNumberFormat="1">
      <alignment vertical="bottom"/>
    </xf>
    <xf borderId="0" fillId="40" fontId="34" numFmtId="0" xfId="0" applyAlignment="1" applyFont="1">
      <alignment horizontal="right" textRotation="90" vertical="top"/>
    </xf>
  </cellXfs>
  <cellStyles count="1">
    <cellStyle xfId="0" name="Normal" builtinId="0"/>
  </cellStyles>
  <dxfs count="31">
    <dxf>
      <font/>
      <fill>
        <patternFill patternType="solid">
          <fgColor rgb="FF93C47D"/>
          <bgColor rgb="FF93C47D"/>
        </patternFill>
      </fill>
      <border/>
    </dxf>
    <dxf>
      <font/>
      <fill>
        <patternFill patternType="solid">
          <fgColor rgb="FFE06666"/>
          <bgColor rgb="FFE06666"/>
        </patternFill>
      </fill>
      <border/>
    </dxf>
    <dxf>
      <font/>
      <fill>
        <patternFill patternType="solid">
          <fgColor rgb="FFFFD966"/>
          <bgColor rgb="FFFFD966"/>
        </patternFill>
      </fill>
      <border/>
    </dxf>
    <dxf>
      <font/>
      <fill>
        <patternFill patternType="solid">
          <fgColor rgb="FF8E7CC3"/>
          <bgColor rgb="FF8E7CC3"/>
        </patternFill>
      </fill>
      <border/>
    </dxf>
    <dxf>
      <font/>
      <fill>
        <patternFill patternType="solid">
          <fgColor rgb="FF6D9EEB"/>
          <bgColor rgb="FF6D9EEB"/>
        </patternFill>
      </fill>
      <border/>
    </dxf>
    <dxf>
      <font/>
      <fill>
        <patternFill patternType="solid">
          <fgColor rgb="FFD9D9D9"/>
          <bgColor rgb="FFD9D9D9"/>
        </patternFill>
      </fill>
      <border/>
    </dxf>
    <dxf>
      <font/>
      <fill>
        <patternFill patternType="solid">
          <fgColor rgb="FF23272A"/>
          <bgColor rgb="FF23272A"/>
        </patternFill>
      </fill>
      <border/>
    </dxf>
    <dxf>
      <font>
        <u/>
        <color rgb="FF000000"/>
      </font>
      <fill>
        <patternFill patternType="none"/>
      </fill>
      <border/>
    </dxf>
    <dxf>
      <font/>
      <fill>
        <patternFill patternType="solid">
          <fgColor rgb="FFF6B26B"/>
          <bgColor rgb="FFF6B26B"/>
        </patternFill>
      </fill>
      <border/>
    </dxf>
    <dxf>
      <font>
        <i/>
        <color rgb="FF666666"/>
      </font>
      <fill>
        <patternFill patternType="none"/>
      </fill>
      <border/>
    </dxf>
    <dxf>
      <font/>
      <fill>
        <patternFill patternType="solid">
          <fgColor rgb="FF6AA84F"/>
          <bgColor rgb="FF6AA84F"/>
        </patternFill>
      </fill>
      <border/>
    </dxf>
    <dxf>
      <font/>
      <fill>
        <patternFill patternType="solid">
          <fgColor rgb="FFF1C232"/>
          <bgColor rgb="FFF1C232"/>
        </patternFill>
      </fill>
      <border/>
    </dxf>
    <dxf>
      <font/>
      <fill>
        <patternFill patternType="solid">
          <fgColor rgb="FFC27BA0"/>
          <bgColor rgb="FFC27BA0"/>
        </patternFill>
      </fill>
      <border/>
    </dxf>
    <dxf>
      <font/>
      <fill>
        <patternFill patternType="solid">
          <fgColor rgb="FFA7D9D9"/>
          <bgColor rgb="FFA7D9D9"/>
        </patternFill>
      </fill>
      <border/>
    </dxf>
    <dxf>
      <font>
        <b/>
        <u/>
      </font>
      <fill>
        <patternFill patternType="none"/>
      </fill>
      <border/>
    </dxf>
    <dxf>
      <font/>
      <fill>
        <patternFill patternType="solid">
          <fgColor rgb="FFDD7E6B"/>
          <bgColor rgb="FFDD7E6B"/>
        </patternFill>
      </fill>
      <border/>
    </dxf>
    <dxf>
      <font>
        <b/>
      </font>
      <fill>
        <patternFill patternType="solid">
          <fgColor rgb="FFEA9999"/>
          <bgColor rgb="FFEA9999"/>
        </patternFill>
      </fill>
      <border/>
    </dxf>
    <dxf>
      <font/>
      <fill>
        <patternFill patternType="solid">
          <fgColor rgb="FFEA9999"/>
          <bgColor rgb="FFEA9999"/>
        </patternFill>
      </fill>
      <border/>
    </dxf>
    <dxf>
      <font>
        <b/>
      </font>
      <fill>
        <patternFill patternType="solid">
          <fgColor rgb="FFB6D7A8"/>
          <bgColor rgb="FFB6D7A8"/>
        </patternFill>
      </fill>
      <border/>
    </dxf>
    <dxf>
      <font/>
      <fill>
        <patternFill patternType="solid">
          <fgColor rgb="FFB6D7A8"/>
          <bgColor rgb="FFB6D7A8"/>
        </patternFill>
      </fill>
      <border/>
    </dxf>
    <dxf>
      <font>
        <b/>
      </font>
      <fill>
        <patternFill patternType="solid">
          <fgColor rgb="FFFFE599"/>
          <bgColor rgb="FFFFE599"/>
        </patternFill>
      </fill>
      <border/>
    </dxf>
    <dxf>
      <font/>
      <fill>
        <patternFill patternType="solid">
          <fgColor rgb="FFFFE599"/>
          <bgColor rgb="FFFFE599"/>
        </patternFill>
      </fill>
      <border/>
    </dxf>
    <dxf>
      <font>
        <b/>
        <color rgb="FFFFFFFF"/>
      </font>
      <fill>
        <patternFill patternType="none"/>
      </fill>
      <border/>
    </dxf>
    <dxf>
      <font>
        <color rgb="FFEA9999"/>
      </font>
      <fill>
        <patternFill patternType="solid">
          <fgColor rgb="FFEA9999"/>
          <bgColor rgb="FFEA9999"/>
        </patternFill>
      </fill>
      <border/>
    </dxf>
    <dxf>
      <font>
        <color rgb="FFB6D7A8"/>
      </font>
      <fill>
        <patternFill patternType="solid">
          <fgColor rgb="FFB6D7A8"/>
          <bgColor rgb="FFB6D7A8"/>
        </patternFill>
      </fill>
      <border/>
    </dxf>
    <dxf>
      <font>
        <color rgb="FFFFE599"/>
      </font>
      <fill>
        <patternFill patternType="solid">
          <fgColor rgb="FFFFE599"/>
          <bgColor rgb="FFFFE599"/>
        </patternFill>
      </fill>
      <border/>
    </dxf>
    <dxf>
      <font/>
      <fill>
        <patternFill patternType="solid">
          <fgColor rgb="FFC3E6FA"/>
          <bgColor rgb="FFC3E6FA"/>
        </patternFill>
      </fill>
      <border/>
    </dxf>
    <dxf>
      <font/>
      <fill>
        <patternFill patternType="solid">
          <fgColor rgb="FFCFE2F3"/>
          <bgColor rgb="FFCFE2F3"/>
        </patternFill>
      </fill>
      <border/>
    </dxf>
    <dxf>
      <font/>
      <fill>
        <patternFill patternType="solid">
          <fgColor rgb="FF87CEFA"/>
          <bgColor rgb="FF87CEFA"/>
        </patternFill>
      </fill>
      <border/>
    </dxf>
    <dxf>
      <font/>
      <fill>
        <patternFill patternType="solid">
          <fgColor rgb="FFB7E1CD"/>
          <bgColor rgb="FFB7E1CD"/>
        </patternFill>
      </fill>
      <border/>
    </dxf>
    <dxf>
      <font>
        <color rgb="FFEDD2FF"/>
      </font>
      <fill>
        <patternFill patternType="solid">
          <fgColor rgb="FFEDD2FF"/>
          <bgColor rgb="FFEDD2FF"/>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9</xdr:row>
      <xdr:rowOff>0</xdr:rowOff>
    </xdr:from>
    <xdr:ext cx="685800"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11</xdr:row>
      <xdr:rowOff>0</xdr:rowOff>
    </xdr:from>
    <xdr:ext cx="157162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14</xdr:row>
      <xdr:rowOff>0</xdr:rowOff>
    </xdr:from>
    <xdr:ext cx="400050" cy="2000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r8p3rO6RD7KEepG_8HmQNQlVRl89Ot_Mkao3QwcF7sA/edit?gid=0" TargetMode="External"/><Relationship Id="rId3" Type="http://schemas.openxmlformats.org/officeDocument/2006/relationships/hyperlink" Target="https://docs.google.com/spreadsheets/d/1eCPPuQOE3Pyh8HhnApEMK3RFIutkUjWd61ppVImwWk8/edit?gid=234968364"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jojOg_XIJCzm1LCYWu2F4KCtErjUIdKuFL1PiKzA0OE/edit" TargetMode="External"/><Relationship Id="rId2" Type="http://schemas.openxmlformats.org/officeDocument/2006/relationships/hyperlink" Target="https://docs.google.com/spreadsheets/d/1huHJMcyg1uRJEeRYqAgWzMc5TodPPplVZEFhwBiIeEs/edit" TargetMode="External"/><Relationship Id="rId3" Type="http://schemas.openxmlformats.org/officeDocument/2006/relationships/hyperlink" Target="https://docs.google.com/spreadsheets/d/1VTRhVyt28cxrjCRcgVkQr2R_u4g9irfJTHy1cfftlIE/edit" TargetMode="External"/><Relationship Id="rId4" Type="http://schemas.openxmlformats.org/officeDocument/2006/relationships/hyperlink" Target="https://docs.google.com/spreadsheets/d/1HMQwNLTvcw7aXmjjL7cXmZSdjAF_62ehWpwDIdjqEGs/edit" TargetMode="External"/><Relationship Id="rId11" Type="http://schemas.openxmlformats.org/officeDocument/2006/relationships/drawing" Target="../drawings/drawing3.xml"/><Relationship Id="rId10" Type="http://schemas.openxmlformats.org/officeDocument/2006/relationships/hyperlink" Target="https://docs.google.com/spreadsheets/d/1NpLNfHLQFsJ_WyMnxP9jMtzg3gVaMfOxydrTUG0YsuM/edit" TargetMode="External"/><Relationship Id="rId9" Type="http://schemas.openxmlformats.org/officeDocument/2006/relationships/hyperlink" Target="https://docs.google.com/spreadsheets/d/1J4UPKzR9MLY_zzM7u7SzmyclgTEYX_PUvBcua4EbsSU/edit" TargetMode="External"/><Relationship Id="rId5" Type="http://schemas.openxmlformats.org/officeDocument/2006/relationships/hyperlink" Target="https://docs.google.com/spreadsheets/d/1Dll0IofJTWYkzhzhRWx1aA-_xtO3i_1iD65nAP6R_Ec/edit" TargetMode="External"/><Relationship Id="rId6" Type="http://schemas.openxmlformats.org/officeDocument/2006/relationships/hyperlink" Target="https://docs.google.com/spreadsheets/d/1H3PYvtIH7kId6WswEeMmrx7u5_g1GlkNPJtJhkASrbs/edit" TargetMode="External"/><Relationship Id="rId7" Type="http://schemas.openxmlformats.org/officeDocument/2006/relationships/hyperlink" Target="https://docs.google.com/spreadsheets/d/19KliigQhAeXztRPa9cSGZ7n9Q-REp4dyqMNI9d-UB0k/edit" TargetMode="External"/><Relationship Id="rId8" Type="http://schemas.openxmlformats.org/officeDocument/2006/relationships/hyperlink" Target="https://docs.google.com/spreadsheets/d/1rOoSY6TK918myJ6Mn6zO4rmUaFbPu6qJnGI17kc9DzQ/edit"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0.xml"/><Relationship Id="rId3"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sheetViews>
  <sheetFormatPr customHeight="1" defaultColWidth="12.63" defaultRowHeight="15.75"/>
  <cols>
    <col customWidth="1" min="1" max="1" width="3.25"/>
    <col customWidth="1" min="2" max="2" width="6.25"/>
    <col customWidth="1" min="3" max="3" width="10.13"/>
    <col customWidth="1" min="4" max="5" width="16.88"/>
    <col customWidth="1" min="6" max="6" width="3.25"/>
    <col customWidth="1" min="7" max="7" width="28.0"/>
    <col customWidth="1" min="8" max="8" width="19.38"/>
    <col customWidth="1" min="9" max="9" width="17.38"/>
    <col customWidth="1" min="10" max="10" width="3.25"/>
    <col customWidth="1" min="11" max="11" width="87.5"/>
  </cols>
  <sheetData>
    <row r="1">
      <c r="A1" s="1"/>
      <c r="B1" s="1"/>
      <c r="C1" s="1"/>
      <c r="D1" s="1"/>
      <c r="E1" s="1"/>
      <c r="F1" s="1"/>
      <c r="G1" s="1"/>
      <c r="H1" s="1"/>
      <c r="I1" s="1"/>
      <c r="J1" s="1"/>
      <c r="K1" s="1"/>
    </row>
    <row r="2" ht="33.0" customHeight="1">
      <c r="A2" s="1"/>
      <c r="B2" s="2" t="s">
        <v>0</v>
      </c>
      <c r="J2" s="1"/>
      <c r="K2" s="1"/>
    </row>
    <row r="3" ht="14.25" customHeight="1">
      <c r="A3" s="1"/>
      <c r="B3" s="1"/>
      <c r="C3" s="1"/>
      <c r="D3" s="1"/>
      <c r="E3" s="1"/>
      <c r="F3" s="1"/>
      <c r="G3" s="1"/>
      <c r="H3" s="1"/>
      <c r="I3" s="1"/>
      <c r="J3" s="1"/>
      <c r="K3" s="1"/>
    </row>
    <row r="4">
      <c r="A4" s="1"/>
      <c r="B4" s="3" t="str">
        <f>HYPERLINK("https://docs.google.com/spreadsheets/d/1GRVlWERQmvfHgsWytiY6gJn8-7oDDnGbg1Bsb5x4TS8/copy", "Workshop Initial Link")</f>
        <v>Workshop Initial Link</v>
      </c>
      <c r="F4" s="1"/>
      <c r="G4" s="4" t="s">
        <v>1</v>
      </c>
      <c r="H4" s="4" t="s">
        <v>2</v>
      </c>
      <c r="I4" s="4" t="s">
        <v>3</v>
      </c>
      <c r="J4" s="1"/>
      <c r="K4" s="1"/>
    </row>
    <row r="5">
      <c r="A5" s="1"/>
      <c r="F5" s="1"/>
      <c r="J5" s="1"/>
      <c r="K5" s="1"/>
    </row>
    <row r="6">
      <c r="A6" s="1"/>
      <c r="B6" s="1"/>
      <c r="C6" s="1"/>
      <c r="D6" s="1"/>
      <c r="E6" s="1"/>
      <c r="F6" s="1"/>
      <c r="G6" s="5" t="s">
        <v>4</v>
      </c>
      <c r="H6" s="6" t="s">
        <v>5</v>
      </c>
      <c r="I6" s="6" t="s">
        <v>6</v>
      </c>
      <c r="J6" s="1"/>
      <c r="K6" s="1"/>
    </row>
    <row r="7">
      <c r="A7" s="1"/>
      <c r="B7" s="7" t="s">
        <v>7</v>
      </c>
      <c r="C7" s="8"/>
      <c r="D7" s="8"/>
      <c r="E7" s="8"/>
      <c r="F7" s="1"/>
      <c r="G7" s="5" t="s">
        <v>8</v>
      </c>
      <c r="H7" s="6" t="s">
        <v>5</v>
      </c>
      <c r="I7" s="9"/>
      <c r="J7" s="1"/>
      <c r="K7" s="1"/>
    </row>
    <row r="8">
      <c r="A8" s="1"/>
      <c r="B8" s="1" t="str">
        <f>IFERROR(__xludf.DUMMYFUNCTION("IMPORTRANGE(""1GRVlWERQmvfHgsWytiY6gJn8-7oDDnGbg1Bsb5x4TS8"", ""'Home Page'!B12:C13"")"),"v2.3.1")</f>
        <v>v2.3.1</v>
      </c>
      <c r="C8" s="1" t="str">
        <f>IFERROR(__xludf.DUMMYFUNCTION("""COMPUTED_VALUE"""),"fix: Card #28 format")</f>
        <v>fix: Card #28 format</v>
      </c>
      <c r="D8" s="10"/>
      <c r="E8" s="10"/>
      <c r="F8" s="1"/>
      <c r="G8" s="11" t="s">
        <v>9</v>
      </c>
      <c r="H8" s="6" t="s">
        <v>10</v>
      </c>
      <c r="I8" s="9"/>
      <c r="J8" s="1"/>
      <c r="K8" s="1"/>
    </row>
    <row r="9">
      <c r="A9" s="1"/>
      <c r="B9" s="1" t="str">
        <f>IFERROR(__xludf.DUMMYFUNCTION("""COMPUTED_VALUE"""),"v2.3")</f>
        <v>v2.3</v>
      </c>
      <c r="C9" s="1" t="str">
        <f>IFERROR(__xludf.DUMMYFUNCTION("""COMPUTED_VALUE"""),"feat: Desired Ratio works with more fractions (X/XXX)")</f>
        <v>feat: Desired Ratio works with more fractions (X/XXX)</v>
      </c>
      <c r="D9" s="10"/>
      <c r="E9" s="10"/>
      <c r="F9" s="1"/>
      <c r="G9" s="11" t="s">
        <v>11</v>
      </c>
      <c r="H9" s="6" t="s">
        <v>12</v>
      </c>
      <c r="I9" s="9"/>
      <c r="J9" s="1"/>
      <c r="K9" s="1"/>
    </row>
    <row r="10">
      <c r="A10" s="1"/>
      <c r="B10" s="1"/>
      <c r="C10" s="1"/>
      <c r="D10" s="1"/>
      <c r="E10" s="1"/>
      <c r="F10" s="1"/>
      <c r="G10" s="12" t="s">
        <v>13</v>
      </c>
      <c r="H10" s="13" t="s">
        <v>14</v>
      </c>
      <c r="I10" s="9"/>
      <c r="J10" s="1"/>
      <c r="K10" s="1"/>
    </row>
    <row r="11">
      <c r="A11" s="1"/>
      <c r="B11" s="14" t="s">
        <v>15</v>
      </c>
      <c r="C11" s="8"/>
      <c r="D11" s="8"/>
      <c r="E11" s="8"/>
      <c r="F11" s="1"/>
      <c r="G11" s="11" t="s">
        <v>16</v>
      </c>
      <c r="H11" s="6" t="s">
        <v>17</v>
      </c>
      <c r="I11" s="9"/>
      <c r="J11" s="1"/>
      <c r="K11" s="1"/>
    </row>
    <row r="12">
      <c r="A12" s="1"/>
      <c r="B12" s="15" t="s">
        <v>18</v>
      </c>
      <c r="C12" s="15" t="s">
        <v>19</v>
      </c>
      <c r="D12" s="15"/>
      <c r="E12" s="1"/>
      <c r="F12" s="1"/>
      <c r="G12" s="16" t="s">
        <v>20</v>
      </c>
      <c r="H12" s="13"/>
      <c r="I12" s="9"/>
      <c r="J12" s="1"/>
      <c r="K12" s="1"/>
    </row>
    <row r="13">
      <c r="A13" s="1"/>
      <c r="B13" s="15" t="s">
        <v>21</v>
      </c>
      <c r="C13" s="15" t="s">
        <v>22</v>
      </c>
      <c r="D13" s="15"/>
      <c r="E13" s="1"/>
      <c r="F13" s="1"/>
      <c r="G13" s="1"/>
      <c r="J13" s="1"/>
      <c r="K13" s="1"/>
    </row>
    <row r="14">
      <c r="A14" s="1"/>
      <c r="B14" s="15" t="s">
        <v>23</v>
      </c>
      <c r="C14" s="15" t="s">
        <v>24</v>
      </c>
      <c r="D14" s="15"/>
      <c r="E14" s="1"/>
      <c r="F14" s="1"/>
      <c r="G14" s="17" t="s">
        <v>25</v>
      </c>
      <c r="H14" s="8"/>
      <c r="I14" s="8"/>
      <c r="J14" s="1"/>
      <c r="K14" s="1"/>
    </row>
    <row r="15">
      <c r="A15" s="1"/>
      <c r="B15" s="15" t="s">
        <v>26</v>
      </c>
      <c r="C15" s="15" t="s">
        <v>27</v>
      </c>
      <c r="D15" s="15"/>
      <c r="E15" s="1"/>
      <c r="F15" s="1"/>
      <c r="G15" s="10"/>
      <c r="H15" s="10"/>
      <c r="I15" s="10"/>
      <c r="J15" s="1"/>
      <c r="K15" s="1"/>
    </row>
    <row r="16">
      <c r="A16" s="1"/>
      <c r="B16" s="15" t="s">
        <v>28</v>
      </c>
      <c r="C16" s="15" t="s">
        <v>29</v>
      </c>
      <c r="D16" s="15"/>
      <c r="E16" s="1"/>
      <c r="F16" s="1"/>
      <c r="G16" s="18" t="s">
        <v>30</v>
      </c>
      <c r="H16" s="19" t="s">
        <v>31</v>
      </c>
      <c r="I16" s="20" t="s">
        <v>32</v>
      </c>
      <c r="J16" s="1"/>
      <c r="K16" s="1"/>
    </row>
    <row r="17">
      <c r="A17" s="1"/>
      <c r="B17" s="15" t="s">
        <v>33</v>
      </c>
      <c r="C17" s="15" t="s">
        <v>34</v>
      </c>
      <c r="D17" s="1"/>
      <c r="E17" s="1"/>
      <c r="F17" s="1"/>
      <c r="G17" s="10"/>
      <c r="H17" s="21" t="s">
        <v>35</v>
      </c>
      <c r="I17" s="10"/>
      <c r="J17" s="1"/>
      <c r="K17" s="1"/>
    </row>
    <row r="18">
      <c r="A18" s="1"/>
      <c r="B18" s="15" t="s">
        <v>36</v>
      </c>
      <c r="C18" s="15" t="s">
        <v>37</v>
      </c>
      <c r="D18" s="1"/>
      <c r="E18" s="1"/>
      <c r="F18" s="1"/>
      <c r="G18" s="10"/>
      <c r="H18" s="22"/>
      <c r="I18" s="10"/>
      <c r="J18" s="1"/>
      <c r="K18" s="1"/>
    </row>
    <row r="19">
      <c r="A19" s="1"/>
      <c r="B19" s="15" t="s">
        <v>38</v>
      </c>
      <c r="C19" s="15" t="s">
        <v>39</v>
      </c>
      <c r="D19" s="1"/>
      <c r="E19" s="1"/>
      <c r="F19" s="1"/>
      <c r="G19" s="10"/>
      <c r="H19" s="22"/>
      <c r="I19" s="10"/>
      <c r="J19" s="1"/>
      <c r="K19" s="1"/>
    </row>
    <row r="20">
      <c r="A20" s="1"/>
      <c r="B20" s="23" t="s">
        <v>40</v>
      </c>
      <c r="C20" s="23" t="s">
        <v>41</v>
      </c>
      <c r="D20" s="1"/>
      <c r="E20" s="1"/>
      <c r="F20" s="1"/>
      <c r="G20" s="24" t="s">
        <v>42</v>
      </c>
      <c r="H20" s="25"/>
      <c r="I20" s="26"/>
      <c r="J20" s="1"/>
      <c r="K20" s="1"/>
    </row>
    <row r="21">
      <c r="A21" s="1"/>
      <c r="B21" s="23" t="s">
        <v>43</v>
      </c>
      <c r="C21" s="23" t="s">
        <v>44</v>
      </c>
      <c r="D21" s="1"/>
      <c r="E21" s="1"/>
      <c r="F21" s="1"/>
      <c r="G21" s="27"/>
      <c r="I21" s="28"/>
      <c r="J21" s="1"/>
      <c r="K21" s="1"/>
    </row>
    <row r="22">
      <c r="A22" s="1"/>
      <c r="B22" s="23" t="s">
        <v>45</v>
      </c>
      <c r="C22" s="23" t="s">
        <v>46</v>
      </c>
      <c r="D22" s="1"/>
      <c r="E22" s="1"/>
      <c r="F22" s="1"/>
      <c r="G22" s="27"/>
      <c r="I22" s="28"/>
      <c r="J22" s="1"/>
      <c r="K22" s="1"/>
    </row>
    <row r="23">
      <c r="A23" s="1"/>
      <c r="B23" s="23" t="s">
        <v>47</v>
      </c>
      <c r="C23" s="23" t="s">
        <v>48</v>
      </c>
      <c r="D23" s="1"/>
      <c r="E23" s="1"/>
      <c r="F23" s="1"/>
      <c r="G23" s="27"/>
      <c r="I23" s="28"/>
      <c r="J23" s="1"/>
      <c r="K23" s="1"/>
    </row>
    <row r="24">
      <c r="A24" s="1"/>
      <c r="B24" s="23" t="s">
        <v>49</v>
      </c>
      <c r="C24" s="23" t="s">
        <v>50</v>
      </c>
      <c r="D24" s="1"/>
      <c r="E24" s="1"/>
      <c r="F24" s="1"/>
      <c r="G24" s="29"/>
      <c r="H24" s="30"/>
      <c r="I24" s="31"/>
      <c r="J24" s="1"/>
      <c r="K24" s="1"/>
    </row>
    <row r="25">
      <c r="A25" s="1"/>
      <c r="B25" s="23" t="s">
        <v>51</v>
      </c>
      <c r="C25" s="23" t="s">
        <v>52</v>
      </c>
      <c r="D25" s="1"/>
      <c r="E25" s="1"/>
      <c r="F25" s="1"/>
      <c r="G25" s="32" t="s">
        <v>53</v>
      </c>
      <c r="J25" s="1"/>
      <c r="K25" s="1"/>
    </row>
    <row r="26">
      <c r="A26" s="1"/>
      <c r="B26" s="23" t="s">
        <v>54</v>
      </c>
      <c r="C26" s="23" t="s">
        <v>55</v>
      </c>
      <c r="D26" s="1"/>
      <c r="E26" s="1"/>
      <c r="F26" s="1"/>
      <c r="G26" s="33"/>
      <c r="H26" s="33"/>
      <c r="I26" s="33"/>
      <c r="J26" s="1"/>
      <c r="K26" s="1"/>
    </row>
    <row r="27">
      <c r="A27" s="1"/>
      <c r="B27" s="23" t="s">
        <v>56</v>
      </c>
      <c r="C27" s="23" t="s">
        <v>57</v>
      </c>
      <c r="D27" s="1"/>
      <c r="E27" s="1"/>
      <c r="F27" s="1"/>
      <c r="G27" s="34" t="str">
        <f>IFERROR(__xludf.DUMMYFUNCTION("IMPORTRANGE(""1eCPPuQOE3Pyh8HhnApEMK3RFIutkUjWd61ppVImwWk8"", ""_Giveaway_summary!A1:A2"")"),"⚠️ 1 Giveaway(s) running - 22 Mar")</f>
        <v>⚠️ 1 Giveaway(s) running - 22 Mar</v>
      </c>
      <c r="H27" s="8"/>
      <c r="I27" s="8"/>
      <c r="J27" s="1"/>
      <c r="K27" s="1"/>
    </row>
    <row r="28">
      <c r="A28" s="1"/>
      <c r="B28" s="23" t="s">
        <v>58</v>
      </c>
      <c r="C28" s="23" t="s">
        <v>59</v>
      </c>
      <c r="D28" s="1"/>
      <c r="E28" s="1"/>
      <c r="F28" s="1"/>
      <c r="G28" s="35" t="str">
        <f>IFERROR(__xludf.DUMMYFUNCTION("""COMPUTED_VALUE"""),"Giveaway Details")</f>
        <v>Giveaway Details</v>
      </c>
      <c r="J28" s="1"/>
      <c r="K28" s="1"/>
    </row>
    <row r="29">
      <c r="A29" s="1"/>
      <c r="B29" s="23" t="s">
        <v>60</v>
      </c>
      <c r="C29" s="23" t="s">
        <v>61</v>
      </c>
      <c r="D29" s="1"/>
      <c r="E29" s="1"/>
      <c r="F29" s="1"/>
      <c r="G29" s="33"/>
      <c r="H29" s="33"/>
      <c r="I29" s="33"/>
      <c r="J29" s="1"/>
      <c r="K29" s="1"/>
    </row>
    <row r="30">
      <c r="A30" s="1"/>
      <c r="B30" s="23" t="s">
        <v>62</v>
      </c>
      <c r="C30" s="23" t="s">
        <v>63</v>
      </c>
      <c r="D30" s="1"/>
      <c r="E30" s="1"/>
      <c r="F30" s="1"/>
      <c r="G30" s="33"/>
      <c r="H30" s="33"/>
      <c r="I30" s="33"/>
      <c r="J30" s="1"/>
      <c r="K30" s="1"/>
    </row>
    <row r="31">
      <c r="A31" s="1"/>
      <c r="B31" s="23" t="s">
        <v>64</v>
      </c>
      <c r="C31" s="23" t="s">
        <v>65</v>
      </c>
      <c r="D31" s="1"/>
      <c r="E31" s="1"/>
      <c r="F31" s="1"/>
      <c r="G31" s="33"/>
      <c r="H31" s="33"/>
      <c r="I31" s="33"/>
      <c r="J31" s="1"/>
      <c r="K31" s="1"/>
    </row>
    <row r="32" ht="304.5" customHeight="1">
      <c r="A32" s="1"/>
      <c r="B32" s="23" t="s">
        <v>66</v>
      </c>
      <c r="C32" s="23" t="s">
        <v>67</v>
      </c>
      <c r="D32" s="1"/>
      <c r="E32" s="1"/>
      <c r="F32" s="1"/>
      <c r="G32" s="33"/>
      <c r="H32" s="33"/>
      <c r="I32" s="33"/>
      <c r="J32" s="1"/>
      <c r="K32" s="1"/>
    </row>
    <row r="33" ht="304.5" customHeight="1">
      <c r="A33" s="1"/>
      <c r="B33" s="23" t="s">
        <v>68</v>
      </c>
      <c r="C33" s="23" t="s">
        <v>69</v>
      </c>
      <c r="D33" s="1"/>
      <c r="E33" s="1"/>
      <c r="F33" s="1"/>
      <c r="G33" s="33"/>
      <c r="H33" s="33"/>
      <c r="I33" s="33"/>
      <c r="J33" s="1"/>
      <c r="K33" s="1"/>
    </row>
    <row r="34" ht="304.5" customHeight="1">
      <c r="A34" s="1"/>
      <c r="B34" s="15"/>
      <c r="C34" s="15"/>
      <c r="D34" s="1"/>
      <c r="E34" s="1"/>
      <c r="F34" s="1"/>
      <c r="G34" s="33"/>
      <c r="H34" s="33"/>
      <c r="I34" s="33"/>
      <c r="J34" s="1"/>
      <c r="K34" s="1"/>
    </row>
  </sheetData>
  <mergeCells count="13">
    <mergeCell ref="G13:I13"/>
    <mergeCell ref="G14:I14"/>
    <mergeCell ref="G20:I24"/>
    <mergeCell ref="G25:I25"/>
    <mergeCell ref="G27:I27"/>
    <mergeCell ref="G28:I28"/>
    <mergeCell ref="B2:I2"/>
    <mergeCell ref="B4:E5"/>
    <mergeCell ref="G4:G5"/>
    <mergeCell ref="H4:H5"/>
    <mergeCell ref="I4:I5"/>
    <mergeCell ref="B7:E7"/>
    <mergeCell ref="B11:E11"/>
  </mergeCells>
  <hyperlinks>
    <hyperlink r:id="rId2" location="gid=0" ref="G25"/>
    <hyperlink r:id="rId3" location="gid=234968364" ref="G28"/>
  </hyperlink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outlineLevelCol="1"/>
  <cols>
    <col customWidth="1" min="1" max="1" width="3.13"/>
    <col customWidth="1" min="2" max="2" width="21.88"/>
    <col customWidth="1" min="3" max="3" width="43.38"/>
    <col customWidth="1" hidden="1" min="4" max="4" width="15.88"/>
    <col collapsed="1" customWidth="1" min="5" max="5" width="21.25"/>
    <col customWidth="1" hidden="1" min="6" max="6" width="5.0" outlineLevel="1"/>
    <col customWidth="1" min="7" max="8" width="3.0"/>
    <col customWidth="1" min="9" max="9" width="56.38"/>
    <col customWidth="1" min="10" max="10" width="3.0"/>
  </cols>
  <sheetData>
    <row r="1">
      <c r="A1" s="36"/>
      <c r="B1" s="36"/>
      <c r="C1" s="36"/>
      <c r="D1" s="36"/>
      <c r="E1" s="36"/>
      <c r="F1" s="37"/>
      <c r="G1" s="36"/>
      <c r="H1" s="36"/>
      <c r="I1" s="36"/>
      <c r="J1" s="36"/>
    </row>
    <row r="2" ht="30.75" customHeight="1">
      <c r="A2" s="36"/>
      <c r="B2" s="38" t="s">
        <v>70</v>
      </c>
      <c r="F2" s="37"/>
      <c r="G2" s="36"/>
      <c r="H2" s="39"/>
      <c r="I2" s="40" t="s">
        <v>71</v>
      </c>
      <c r="J2" s="36"/>
    </row>
    <row r="3">
      <c r="A3" s="36"/>
      <c r="B3" s="36"/>
      <c r="C3" s="36"/>
      <c r="D3" s="36"/>
      <c r="E3" s="36"/>
      <c r="F3" s="37"/>
      <c r="G3" s="36"/>
      <c r="H3" s="39"/>
    </row>
    <row r="4">
      <c r="A4" s="36"/>
      <c r="B4" s="41" t="s">
        <v>72</v>
      </c>
      <c r="C4" s="42" t="s">
        <v>73</v>
      </c>
      <c r="D4" s="43"/>
      <c r="E4" s="44"/>
      <c r="F4" s="10"/>
      <c r="G4" s="36"/>
      <c r="H4" s="39"/>
      <c r="J4" s="36"/>
    </row>
    <row r="5">
      <c r="A5" s="36"/>
      <c r="B5" s="10"/>
      <c r="C5" s="10"/>
      <c r="D5" s="10"/>
      <c r="E5" s="10"/>
      <c r="F5" s="10"/>
      <c r="G5" s="36"/>
      <c r="H5" s="39"/>
      <c r="I5" s="45"/>
      <c r="J5" s="36"/>
    </row>
    <row r="6">
      <c r="A6" s="46"/>
      <c r="B6" s="47" t="s">
        <v>74</v>
      </c>
      <c r="C6" s="48" t="s">
        <v>75</v>
      </c>
      <c r="D6" s="49" t="str">
        <f>IFERROR(__xludf.DUMMYFUNCTION("IFERROR(C6.url, IFS(LEFT(C6,8)=""https://"", C6, LEN(C6)=44, ""https://docs.google.com/spreadsheets/d/"" &amp; C6 &amp; ""/edit"", TRUE, C6))"),"https://docs.google.com/spreadsheets/d/1HOIkxWbbciTIAzVruaahEGADlM8rS0-w86uBXj4PwNQ/edit")</f>
        <v>https://docs.google.com/spreadsheets/d/1HOIkxWbbciTIAzVruaahEGADlM8rS0-w86uBXj4PwNQ/edit</v>
      </c>
      <c r="E6" s="50" t="str">
        <f>IFERROR(__xludf.DUMMYFUNCTION("IF(D6&lt;&gt;"""", IF(IMPORTRANGE(D6,""EXPORT!A1"") = F6, ""✅"", ""Wrong ID or Version""), """")"),"✅")</f>
        <v>✅</v>
      </c>
      <c r="F6" s="51" t="s">
        <v>76</v>
      </c>
      <c r="G6" s="52"/>
      <c r="H6" s="39"/>
      <c r="I6" s="36"/>
      <c r="J6" s="36"/>
    </row>
    <row r="7">
      <c r="A7" s="36"/>
      <c r="B7" s="53" t="str">
        <f>HYPERLINK("https://docs.google.com/spreadsheets/d/1osjoqKmMwtOWs7Up3e21-3ofN1RHOjsgKV6y3dc6rgE/copy", "1️⃣ Copy Me")</f>
        <v>1️⃣ Copy Me</v>
      </c>
      <c r="C7" s="54" t="str">
        <f>IFS(
  ISERROR(E6), "3️⃣ Click on #REF! and then AUTHORISE ↗",
  E6="", "2️⃣ Please input your IDS Master's ID here ⤴️",
  E6="✅", HYPERLINK(D6, "Go to my IDS Master Sheet"),
  TRUE, "")</f>
        <v>Go to my IDS Master Sheet</v>
      </c>
      <c r="D7" s="55"/>
      <c r="E7" s="56" t="s">
        <v>77</v>
      </c>
      <c r="F7" s="57"/>
      <c r="G7" s="15"/>
      <c r="H7" s="58"/>
      <c r="I7" s="59" t="s">
        <v>78</v>
      </c>
      <c r="J7" s="15"/>
    </row>
    <row r="8">
      <c r="A8" s="36"/>
      <c r="B8" s="60"/>
      <c r="C8" s="60"/>
      <c r="D8" s="60"/>
      <c r="E8" s="60"/>
      <c r="F8" s="37"/>
      <c r="G8" s="61"/>
      <c r="H8" s="62"/>
      <c r="I8" s="63" t="s">
        <v>79</v>
      </c>
      <c r="J8" s="61"/>
    </row>
    <row r="9">
      <c r="A9" s="36"/>
      <c r="B9" s="64" t="s">
        <v>80</v>
      </c>
      <c r="C9" s="8"/>
      <c r="D9" s="8"/>
      <c r="E9" s="8"/>
      <c r="F9" s="37"/>
      <c r="H9" s="62"/>
      <c r="J9" s="61"/>
    </row>
    <row r="10">
      <c r="A10" s="36"/>
      <c r="B10" s="65" t="s">
        <v>81</v>
      </c>
      <c r="D10" s="63"/>
      <c r="E10" s="66"/>
      <c r="F10" s="37"/>
      <c r="G10" s="61"/>
      <c r="H10" s="62"/>
      <c r="J10" s="61"/>
    </row>
    <row r="11">
      <c r="A11" s="36"/>
      <c r="D11" s="63"/>
      <c r="F11" s="37"/>
      <c r="H11" s="62"/>
      <c r="J11" s="61"/>
    </row>
    <row r="12">
      <c r="A12" s="36"/>
      <c r="D12" s="63"/>
      <c r="E12" s="66"/>
      <c r="F12" s="37"/>
      <c r="G12" s="36"/>
      <c r="H12" s="39"/>
      <c r="J12" s="36"/>
    </row>
    <row r="13">
      <c r="A13" s="36"/>
      <c r="D13" s="63"/>
      <c r="F13" s="37"/>
      <c r="G13" s="61"/>
      <c r="H13" s="62"/>
      <c r="J13" s="61"/>
    </row>
    <row r="14">
      <c r="A14" s="36"/>
      <c r="D14" s="63"/>
      <c r="F14" s="37"/>
      <c r="H14" s="62"/>
      <c r="J14" s="61"/>
    </row>
    <row r="15">
      <c r="A15" s="36"/>
      <c r="D15" s="63"/>
      <c r="E15" s="67"/>
      <c r="F15" s="37"/>
      <c r="G15" s="36"/>
      <c r="H15" s="39"/>
      <c r="J15" s="36"/>
    </row>
    <row r="16">
      <c r="A16" s="36"/>
      <c r="D16" s="63"/>
      <c r="F16" s="37"/>
      <c r="G16" s="36"/>
      <c r="H16" s="39"/>
      <c r="I16" s="36"/>
      <c r="J16" s="36"/>
    </row>
    <row r="17">
      <c r="A17" s="36"/>
      <c r="D17" s="63"/>
      <c r="F17" s="37"/>
      <c r="G17" s="36"/>
      <c r="H17" s="39"/>
      <c r="I17" s="36"/>
      <c r="J17" s="36"/>
    </row>
    <row r="18">
      <c r="A18" s="36"/>
      <c r="D18" s="63"/>
      <c r="F18" s="37"/>
      <c r="G18" s="36"/>
      <c r="H18" s="39"/>
      <c r="I18" s="36"/>
      <c r="J18" s="36"/>
    </row>
    <row r="19">
      <c r="A19" s="36"/>
      <c r="B19" s="68" t="s">
        <v>82</v>
      </c>
      <c r="F19" s="37"/>
      <c r="G19" s="36"/>
      <c r="H19" s="39"/>
      <c r="I19" s="36"/>
      <c r="J19" s="36"/>
    </row>
    <row r="20">
      <c r="A20" s="36"/>
      <c r="F20" s="37"/>
      <c r="G20" s="36"/>
      <c r="H20" s="39"/>
      <c r="I20" s="36"/>
      <c r="J20" s="36"/>
    </row>
    <row r="21">
      <c r="A21" s="36"/>
      <c r="F21" s="37"/>
      <c r="G21" s="36"/>
      <c r="H21" s="39"/>
      <c r="I21" s="36"/>
      <c r="J21" s="36"/>
    </row>
    <row r="22">
      <c r="A22" s="36"/>
      <c r="B22" s="63"/>
      <c r="C22" s="63"/>
      <c r="D22" s="63"/>
      <c r="E22" s="63"/>
      <c r="F22" s="37"/>
      <c r="G22" s="36"/>
      <c r="H22" s="39"/>
      <c r="I22" s="36"/>
      <c r="J22" s="36"/>
    </row>
    <row r="23">
      <c r="A23" s="36"/>
      <c r="B23" s="69" t="s">
        <v>83</v>
      </c>
      <c r="C23" s="8"/>
      <c r="D23" s="8"/>
      <c r="E23" s="8"/>
      <c r="F23" s="37"/>
      <c r="G23" s="36"/>
      <c r="H23" s="39"/>
      <c r="I23" s="36"/>
      <c r="J23" s="36"/>
    </row>
    <row r="24">
      <c r="A24" s="36"/>
      <c r="B24" s="70" t="s">
        <v>84</v>
      </c>
      <c r="F24" s="37"/>
      <c r="G24" s="36"/>
      <c r="H24" s="39"/>
      <c r="I24" s="36"/>
      <c r="J24" s="36"/>
    </row>
    <row r="25">
      <c r="A25" s="36"/>
      <c r="F25" s="37"/>
      <c r="G25" s="36"/>
      <c r="H25" s="36"/>
      <c r="I25" s="36"/>
      <c r="J25" s="36"/>
    </row>
    <row r="26">
      <c r="A26" s="36"/>
      <c r="F26" s="37"/>
      <c r="G26" s="36"/>
      <c r="H26" s="36"/>
      <c r="I26" s="36"/>
      <c r="J26" s="36"/>
    </row>
    <row r="27">
      <c r="A27" s="36"/>
      <c r="B27" s="63"/>
      <c r="C27" s="63"/>
      <c r="D27" s="63"/>
      <c r="E27" s="63"/>
      <c r="F27" s="37"/>
      <c r="G27" s="36"/>
      <c r="H27" s="36"/>
      <c r="I27" s="36"/>
      <c r="J27" s="36"/>
    </row>
  </sheetData>
  <mergeCells count="15">
    <mergeCell ref="G8:G9"/>
    <mergeCell ref="G10:G11"/>
    <mergeCell ref="E12:E14"/>
    <mergeCell ref="G13:G14"/>
    <mergeCell ref="E15:E18"/>
    <mergeCell ref="B19:E21"/>
    <mergeCell ref="B23:E23"/>
    <mergeCell ref="B24:E26"/>
    <mergeCell ref="B2:E2"/>
    <mergeCell ref="I2:I4"/>
    <mergeCell ref="J2:J3"/>
    <mergeCell ref="I8:I15"/>
    <mergeCell ref="B9:E9"/>
    <mergeCell ref="B10:C18"/>
    <mergeCell ref="E10:E11"/>
  </mergeCells>
  <dataValidations>
    <dataValidation type="custom" allowBlank="1" showDropDown="1" showInputMessage="1" showErrorMessage="1" prompt="Value should start with http or be 44 characters long." sqref="C6">
      <formula1>OR(IFERROR(ISURL(C6.url), FALSE), ISURL(C6), LEN(C6)=44)</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1" t="str">
        <f>IFERROR(__xludf.DUMMYFUNCTION("IMPORTRANGE(IF(IDS!E6=""✅"", IDS!D6, ""1osjoqKmMwtOWs7Up3e21-3ofN1RHOjsgKV6y3dc6rgE""), ""_IDS!A1:CE212"")"),"Labs")</f>
        <v>Labs</v>
      </c>
      <c r="B1" s="72" t="str">
        <f>IFERROR(__xludf.DUMMYFUNCTION("""COMPUTED_VALUE"""),"https://docs.google.com/spreadsheets/d/1jojOg_XIJCzm1LCYWu2F4KCtErjUIdKuFL1PiKzA0OE/edit")</f>
        <v>https://docs.google.com/spreadsheets/d/1jojOg_XIJCzm1LCYWu2F4KCtErjUIdKuFL1PiKzA0OE/edit</v>
      </c>
      <c r="C1" s="73" t="str">
        <f>IFERROR(__xludf.DUMMYFUNCTION("""COMPUTED_VALUE"""),"✅")</f>
        <v>✅</v>
      </c>
      <c r="D1" s="74" t="str">
        <f>IFERROR(__xludf.DUMMYFUNCTION("""COMPUTED_VALUE"""),"v2.5.7")</f>
        <v>v2.5.7</v>
      </c>
      <c r="E1" s="71" t="str">
        <f>IFERROR(__xludf.DUMMYFUNCTION("""COMPUTED_VALUE"""),"WS")</f>
        <v>WS</v>
      </c>
      <c r="F1" s="72" t="str">
        <f>IFERROR(__xludf.DUMMYFUNCTION("""COMPUTED_VALUE"""),"https://docs.google.com/spreadsheets/d/1huHJMcyg1uRJEeRYqAgWzMc5TodPPplVZEFhwBiIeEs/edit")</f>
        <v>https://docs.google.com/spreadsheets/d/1huHJMcyg1uRJEeRYqAgWzMc5TodPPplVZEFhwBiIeEs/edit</v>
      </c>
      <c r="G1" s="73" t="str">
        <f>IFERROR(__xludf.DUMMYFUNCTION("""COMPUTED_VALUE"""),"✅")</f>
        <v>✅</v>
      </c>
      <c r="H1" s="73" t="str">
        <f>IFERROR(__xludf.DUMMYFUNCTION("""COMPUTED_VALUE"""),"v2.3.1")</f>
        <v>v2.3.1</v>
      </c>
      <c r="I1" s="73"/>
      <c r="J1" s="73"/>
      <c r="K1" s="73"/>
      <c r="L1" s="73"/>
      <c r="M1" s="73"/>
      <c r="N1" s="73"/>
      <c r="O1" s="73"/>
      <c r="P1" s="73"/>
      <c r="Q1" s="75"/>
      <c r="R1" s="76" t="str">
        <f>IFERROR(__xludf.DUMMYFUNCTION("""COMPUTED_VALUE"""),"WS+")</f>
        <v>WS+</v>
      </c>
      <c r="S1" s="73"/>
      <c r="T1" s="73"/>
      <c r="U1" s="73"/>
      <c r="V1" s="73"/>
      <c r="W1" s="73"/>
      <c r="X1" s="73"/>
      <c r="Y1" s="77"/>
      <c r="Z1" s="76" t="str">
        <f>IFERROR(__xludf.DUMMYFUNCTION("""COMPUTED_VALUE"""),"UWs")</f>
        <v>UWs</v>
      </c>
      <c r="AA1" s="72" t="str">
        <f>IFERROR(__xludf.DUMMYFUNCTION("""COMPUTED_VALUE"""),"https://docs.google.com/spreadsheets/d/1VTRhVyt28cxrjCRcgVkQr2R_u4g9irfJTHy1cfftlIE/edit")</f>
        <v>https://docs.google.com/spreadsheets/d/1VTRhVyt28cxrjCRcgVkQr2R_u4g9irfJTHy1cfftlIE/edit</v>
      </c>
      <c r="AB1" s="73" t="str">
        <f>IFERROR(__xludf.DUMMYFUNCTION("""COMPUTED_VALUE"""),"✅")</f>
        <v>✅</v>
      </c>
      <c r="AC1" s="78" t="str">
        <f>IFERROR(__xludf.DUMMYFUNCTION("""COMPUTED_VALUE"""),"v2.1.3")</f>
        <v>v2.1.3</v>
      </c>
      <c r="AD1" s="74"/>
      <c r="AE1" s="76" t="str">
        <f>IFERROR(__xludf.DUMMYFUNCTION("""COMPUTED_VALUE"""),"Cards")</f>
        <v>Cards</v>
      </c>
      <c r="AF1" s="79" t="str">
        <f>IFERROR(__xludf.DUMMYFUNCTION("""COMPUTED_VALUE"""),"https://docs.google.com/spreadsheets/d/1HMQwNLTvcw7aXmjjL7cXmZSdjAF_62ehWpwDIdjqEGs/edit")</f>
        <v>https://docs.google.com/spreadsheets/d/1HMQwNLTvcw7aXmjjL7cXmZSdjAF_62ehWpwDIdjqEGs/edit</v>
      </c>
      <c r="AG1" s="80" t="str">
        <f>IFERROR(__xludf.DUMMYFUNCTION("""COMPUTED_VALUE"""),"✅")</f>
        <v>✅</v>
      </c>
      <c r="AH1" s="81" t="str">
        <f>IFERROR(__xludf.DUMMYFUNCTION("""COMPUTED_VALUE"""),"Cards Presets")</f>
        <v>Cards Presets</v>
      </c>
      <c r="AI1" s="82" t="str">
        <f>IFERROR(__xludf.DUMMYFUNCTION("""COMPUTED_VALUE"""),"v2.2.3")</f>
        <v>v2.2.3</v>
      </c>
      <c r="AJ1" s="73">
        <f>IFERROR(__xludf.DUMMYFUNCTION("""COMPUTED_VALUE"""),17.0)</f>
        <v>17</v>
      </c>
      <c r="AK1" s="73"/>
      <c r="AL1" s="74"/>
      <c r="AM1" s="71" t="str">
        <f>IFERROR(__xludf.DUMMYFUNCTION("""COMPUTED_VALUE"""),"Relics")</f>
        <v>Relics</v>
      </c>
      <c r="AN1" s="72" t="str">
        <f>IFERROR(__xludf.DUMMYFUNCTION("""COMPUTED_VALUE"""),"https://docs.google.com/spreadsheets/d/1Dll0IofJTWYkzhzhRWx1aA-_xtO3i_1iD65nAP6R_Ec/edit")</f>
        <v>https://docs.google.com/spreadsheets/d/1Dll0IofJTWYkzhzhRWx1aA-_xtO3i_1iD65nAP6R_Ec/edit</v>
      </c>
      <c r="AO1" s="74" t="str">
        <f>IFERROR(__xludf.DUMMYFUNCTION("""COMPUTED_VALUE"""),"✅")</f>
        <v>✅</v>
      </c>
      <c r="AP1" s="71" t="str">
        <f>IFERROR(__xludf.DUMMYFUNCTION("""COMPUTED_VALUE"""),"Vault")</f>
        <v>Vault</v>
      </c>
      <c r="AQ1" s="83"/>
      <c r="AR1" s="74" t="str">
        <f>IFERROR(__xludf.DUMMYFUNCTION("""COMPUTED_VALUE"""),"")</f>
        <v/>
      </c>
      <c r="AS1" s="71" t="str">
        <f>IFERROR(__xludf.DUMMYFUNCTION("""COMPUTED_VALUE"""),"Bots")</f>
        <v>Bots</v>
      </c>
      <c r="AT1" s="84" t="str">
        <f>IFERROR(__xludf.DUMMYFUNCTION("""COMPUTED_VALUE"""),"https://docs.google.com/spreadsheets/d/1H3PYvtIH7kId6WswEeMmrx7u5_g1GlkNPJtJhkASrbs/edit")</f>
        <v>https://docs.google.com/spreadsheets/d/1H3PYvtIH7kId6WswEeMmrx7u5_g1GlkNPJtJhkASrbs/edit</v>
      </c>
      <c r="AU1" s="73" t="str">
        <f>IFERROR(__xludf.DUMMYFUNCTION("""COMPUTED_VALUE"""),"✅")</f>
        <v>✅</v>
      </c>
      <c r="AV1" s="73" t="str">
        <f>IFERROR(__xludf.DUMMYFUNCTION("""COMPUTED_VALUE"""),"v2.2.1")</f>
        <v>v2.2.1</v>
      </c>
      <c r="AW1" s="73"/>
      <c r="AX1" s="74"/>
      <c r="AY1" s="71" t="str">
        <f>IFERROR(__xludf.DUMMYFUNCTION("""COMPUTED_VALUE"""),"Themes &amp; Songs")</f>
        <v>Themes &amp; Songs</v>
      </c>
      <c r="AZ1" s="84" t="str">
        <f>IFERROR(__xludf.DUMMYFUNCTION("""COMPUTED_VALUE"""),"https://docs.google.com/spreadsheets/d/19KliigQhAeXztRPa9cSGZ7n9Q-REp4dyqMNI9d-UB0k/edit")</f>
        <v>https://docs.google.com/spreadsheets/d/19KliigQhAeXztRPa9cSGZ7n9Q-REp4dyqMNI9d-UB0k/edit</v>
      </c>
      <c r="BA1" s="74" t="str">
        <f>IFERROR(__xludf.DUMMYFUNCTION("""COMPUTED_VALUE"""),"✅")</f>
        <v>✅</v>
      </c>
      <c r="BB1" s="85" t="str">
        <f>IFERROR(__xludf.DUMMYFUNCTION("""COMPUTED_VALUE"""),"Modules")</f>
        <v>Modules</v>
      </c>
      <c r="BC1" s="84" t="str">
        <f>IFERROR(__xludf.DUMMYFUNCTION("""COMPUTED_VALUE"""),"https://docs.google.com/spreadsheets/d/1rOoSY6TK918myJ6Mn6zO4rmUaFbPu6qJnGI17kc9DzQ/edit")</f>
        <v>https://docs.google.com/spreadsheets/d/1rOoSY6TK918myJ6Mn6zO4rmUaFbPu6qJnGI17kc9DzQ/edit</v>
      </c>
      <c r="BD1" s="73" t="str">
        <f>IFERROR(__xludf.DUMMYFUNCTION("""COMPUTED_VALUE"""),"✅")</f>
        <v>✅</v>
      </c>
      <c r="BE1" s="73" t="str">
        <f>IFERROR(__xludf.DUMMYFUNCTION("""COMPUTED_VALUE"""),"v5.13")</f>
        <v>v5.13</v>
      </c>
      <c r="BF1" s="73"/>
      <c r="BG1" s="73"/>
      <c r="BH1" s="73"/>
      <c r="BI1" s="73"/>
      <c r="BJ1" s="73"/>
      <c r="BK1" s="73"/>
      <c r="BL1" s="73"/>
      <c r="BM1" s="73"/>
      <c r="BN1" s="73"/>
      <c r="BO1" s="73"/>
      <c r="BP1" s="73"/>
      <c r="BQ1" s="73"/>
      <c r="BR1" s="73"/>
      <c r="BS1" s="73"/>
      <c r="BT1" s="74"/>
      <c r="BU1" s="85" t="str">
        <f>IFERROR(__xludf.DUMMYFUNCTION("""COMPUTED_VALUE"""),"Guardians")</f>
        <v>Guardians</v>
      </c>
      <c r="BV1" s="84" t="str">
        <f>IFERROR(__xludf.DUMMYFUNCTION("""COMPUTED_VALUE"""),"https://docs.google.com/spreadsheets/d/1J4UPKzR9MLY_zzM7u7SzmyclgTEYX_PUvBcua4EbsSU/edit")</f>
        <v>https://docs.google.com/spreadsheets/d/1J4UPKzR9MLY_zzM7u7SzmyclgTEYX_PUvBcua4EbsSU/edit</v>
      </c>
      <c r="BW1" s="73" t="str">
        <f>IFERROR(__xludf.DUMMYFUNCTION("""COMPUTED_VALUE"""),"✅")</f>
        <v>✅</v>
      </c>
      <c r="BX1" s="73" t="str">
        <f>IFERROR(__xludf.DUMMYFUNCTION("""COMPUTED_VALUE"""),"v2.3.6")</f>
        <v>v2.3.6</v>
      </c>
      <c r="BY1" s="73"/>
      <c r="BZ1" s="73" t="str">
        <f>IFERROR(__xludf.DUMMYFUNCTION("""COMPUTED_VALUE"""),"Player &amp; Stuff")</f>
        <v>Player &amp; Stuff</v>
      </c>
      <c r="CA1" s="72" t="str">
        <f>IFERROR(__xludf.DUMMYFUNCTION("""COMPUTED_VALUE"""),"https://docs.google.com/spreadsheets/d/1NpLNfHLQFsJ_WyMnxP9jMtzg3gVaMfOxydrTUG0YsuM/edit")</f>
        <v>https://docs.google.com/spreadsheets/d/1NpLNfHLQFsJ_WyMnxP9jMtzg3gVaMfOxydrTUG0YsuM/edit</v>
      </c>
      <c r="CB1" s="73" t="str">
        <f>IFERROR(__xludf.DUMMYFUNCTION("""COMPUTED_VALUE"""),"✅")</f>
        <v>✅</v>
      </c>
      <c r="CC1" s="73" t="str">
        <f>IFERROR(__xludf.DUMMYFUNCTION("""COMPUTED_VALUE"""),"v3.5.3")</f>
        <v>v3.5.3</v>
      </c>
      <c r="CD1" s="73"/>
      <c r="CE1" s="73"/>
    </row>
    <row r="2">
      <c r="A2" s="86" t="str">
        <f>IFERROR(__xludf.DUMMYFUNCTION("""COMPUTED_VALUE"""),"Game Speed")</f>
        <v>Game Speed</v>
      </c>
      <c r="B2" s="87">
        <f>IFERROR(__xludf.DUMMYFUNCTION("""COMPUTED_VALUE"""),7.0)</f>
        <v>7</v>
      </c>
      <c r="C2" s="73">
        <f>IFERROR(__xludf.DUMMYFUNCTION("""COMPUTED_VALUE"""),7.0)</f>
        <v>7</v>
      </c>
      <c r="D2" s="88">
        <f>IFERROR(__xludf.DUMMYFUNCTION("""COMPUTED_VALUE"""),7.0)</f>
        <v>7</v>
      </c>
      <c r="E2" s="73" t="str">
        <f>IFERROR(__xludf.DUMMYFUNCTION("""COMPUTED_VALUE"""),"U")</f>
        <v>U</v>
      </c>
      <c r="F2" s="73" t="str">
        <f>IFERROR(__xludf.DUMMYFUNCTION("""COMPUTED_VALUE"""),"Workshop Upgrade")</f>
        <v>Workshop Upgrade</v>
      </c>
      <c r="G2" s="89" t="str">
        <f>IFERROR(__xludf.DUMMYFUNCTION("""COMPUTED_VALUE"""),"Farming")</f>
        <v>Farming</v>
      </c>
      <c r="H2" s="73"/>
      <c r="I2" s="89" t="str">
        <f>IFERROR(__xludf.DUMMYFUNCTION("""COMPUTED_VALUE"""),"Tourney")</f>
        <v>Tourney</v>
      </c>
      <c r="J2" s="73"/>
      <c r="K2" s="90" t="str">
        <f>IFERROR(__xludf.DUMMYFUNCTION("""COMPUTED_VALUE"""),"Preset 3")</f>
        <v>Preset 3</v>
      </c>
      <c r="L2" s="73"/>
      <c r="M2" s="89" t="str">
        <f>IFERROR(__xludf.DUMMYFUNCTION("""COMPUTED_VALUE"""),"Preset 4")</f>
        <v>Preset 4</v>
      </c>
      <c r="N2" s="73"/>
      <c r="O2" s="89" t="str">
        <f>IFERROR(__xludf.DUMMYFUNCTION("""COMPUTED_VALUE"""),"Preset 5")</f>
        <v>Preset 5</v>
      </c>
      <c r="P2" s="73"/>
      <c r="Q2" s="91"/>
      <c r="R2" s="82" t="str">
        <f>IFERROR(__xludf.DUMMYFUNCTION("""COMPUTED_VALUE"""),"Workshop Enhancement")</f>
        <v>Workshop Enhancement</v>
      </c>
      <c r="S2" s="92"/>
      <c r="T2" s="89" t="str">
        <f>IFERROR(__xludf.DUMMYFUNCTION("""COMPUTED_VALUE"""),"Farming")</f>
        <v>Farming</v>
      </c>
      <c r="U2" s="89" t="str">
        <f>IFERROR(__xludf.DUMMYFUNCTION("""COMPUTED_VALUE"""),"Tourney")</f>
        <v>Tourney</v>
      </c>
      <c r="V2" s="89" t="str">
        <f>IFERROR(__xludf.DUMMYFUNCTION("""COMPUTED_VALUE"""),"Preset 3")</f>
        <v>Preset 3</v>
      </c>
      <c r="W2" s="89" t="str">
        <f>IFERROR(__xludf.DUMMYFUNCTION("""COMPUTED_VALUE"""),"Preset 4")</f>
        <v>Preset 4</v>
      </c>
      <c r="X2" s="89" t="str">
        <f>IFERROR(__xludf.DUMMYFUNCTION("""COMPUTED_VALUE"""),"Preset 5")</f>
        <v>Preset 5</v>
      </c>
      <c r="Y2" s="91" t="str">
        <f>IFERROR(__xludf.DUMMYFUNCTION("""COMPUTED_VALUE"""),"7 q")</f>
        <v>7 q</v>
      </c>
      <c r="Z2" s="93" t="str">
        <f>IFERROR(__xludf.DUMMYFUNCTION("""COMPUTED_VALUE"""),"Chain Lightning")</f>
        <v>Chain Lightning</v>
      </c>
      <c r="AA2" s="73"/>
      <c r="AB2" s="93" t="str">
        <f>IFERROR(__xludf.DUMMYFUNCTION("""COMPUTED_VALUE"""),"Damage")</f>
        <v>Damage</v>
      </c>
      <c r="AC2" s="94">
        <f>IFERROR(__xludf.DUMMYFUNCTION("""COMPUTED_VALUE"""),898.0)</f>
        <v>898</v>
      </c>
      <c r="AD2" s="95" t="str">
        <f>IFERROR(__xludf.DUMMYFUNCTION("""COMPUTED_VALUE"""),"19 | x898 | Cost 302 ⧌ | Next 362 ⧌")</f>
        <v>19 | x898 | Cost 302 ⧌ | Next 362 ⧌</v>
      </c>
      <c r="AE2" s="96" t="str">
        <f>IFERROR(__xludf.DUMMYFUNCTION("""COMPUTED_VALUE"""),"Damage")</f>
        <v>Damage</v>
      </c>
      <c r="AF2" s="97">
        <f>IFERROR(__xludf.DUMMYFUNCTION("""COMPUTED_VALUE"""),7.0)</f>
        <v>7</v>
      </c>
      <c r="AG2" s="98" t="b">
        <f>IFERROR(__xludf.DUMMYFUNCTION("""COMPUTED_VALUE"""),FALSE)</f>
        <v>0</v>
      </c>
      <c r="AH2" s="93" t="str">
        <f>IFERROR(__xludf.DUMMYFUNCTION("""COMPUTED_VALUE"""),"Farming")</f>
        <v>Farming</v>
      </c>
      <c r="AI2" s="99" t="str">
        <f>IFERROR(__xludf.DUMMYFUNCTION("""COMPUTED_VALUE"""),"Tourney")</f>
        <v>Tourney</v>
      </c>
      <c r="AJ2" s="100" t="str">
        <f>IFERROR(__xludf.DUMMYFUNCTION("""COMPUTED_VALUE"""),"Preset 3")</f>
        <v>Preset 3</v>
      </c>
      <c r="AK2" s="93" t="str">
        <f>IFERROR(__xludf.DUMMYFUNCTION("""COMPUTED_VALUE"""),"Preset 4")</f>
        <v>Preset 4</v>
      </c>
      <c r="AL2" s="101" t="str">
        <f>IFERROR(__xludf.DUMMYFUNCTION("""COMPUTED_VALUE"""),"Preset 5")</f>
        <v>Preset 5</v>
      </c>
      <c r="AM2" s="86" t="str">
        <f>IFERROR(__xludf.DUMMYFUNCTION("""COMPUTED_VALUE"""),"Relics")</f>
        <v>Relics</v>
      </c>
      <c r="AN2" s="93" t="str">
        <f>IFERROR(__xludf.DUMMYFUNCTION("""COMPUTED_VALUE"""),"Owned")</f>
        <v>Owned</v>
      </c>
      <c r="AO2" s="102" t="str">
        <f>IFERROR(__xludf.DUMMYFUNCTION("""COMPUTED_VALUE"""),"v2.3.7")</f>
        <v>v2.3.7</v>
      </c>
      <c r="AP2" s="86" t="str">
        <f>IFERROR(__xludf.DUMMYFUNCTION("""COMPUTED_VALUE"""),"Keys spent")</f>
        <v>Keys spent</v>
      </c>
      <c r="AQ2" s="103">
        <f>IFERROR(__xludf.DUMMYFUNCTION("""COMPUTED_VALUE"""),0.0)</f>
        <v>0</v>
      </c>
      <c r="AR2" s="74"/>
      <c r="AS2" s="104" t="str">
        <f>IFERROR(__xludf.DUMMYFUNCTION("""COMPUTED_VALUE"""),"Flame Bot")</f>
        <v>Flame Bot</v>
      </c>
      <c r="AT2" s="104"/>
      <c r="AU2" s="73" t="str">
        <f>IFERROR(__xludf.DUMMYFUNCTION("""COMPUTED_VALUE"""),"Damage R.")</f>
        <v>Damage R.</v>
      </c>
      <c r="AV2" s="105">
        <f>IFERROR(__xludf.DUMMYFUNCTION("""COMPUTED_VALUE"""),0.3500000000000001)</f>
        <v>0.35</v>
      </c>
      <c r="AW2" s="106" t="str">
        <f>IFERROR(__xludf.DUMMYFUNCTION("""COMPUTED_VALUE"""),"05 | 35% | Cost 260 ⧓ | Next 300 ⧓")</f>
        <v>05 | 35% | Cost 260 ⧓ | Next 300 ⧓</v>
      </c>
      <c r="AX2" s="74"/>
      <c r="AY2" s="107">
        <f>IFERROR(__xludf.DUMMYFUNCTION("""COMPUTED_VALUE"""),1.682)</f>
        <v>1.682</v>
      </c>
      <c r="AZ2" s="73"/>
      <c r="BA2" s="102" t="str">
        <f>IFERROR(__xludf.DUMMYFUNCTION("""COMPUTED_VALUE"""),"v2.2.3")</f>
        <v>v2.2.3</v>
      </c>
      <c r="BB2" s="73" t="str">
        <f>IFERROR(__xludf.DUMMYFUNCTION("""COMPUTED_VALUE"""),"Assist Slot")</f>
        <v>Assist Slot</v>
      </c>
      <c r="BC2" s="108" t="b">
        <f>IFERROR(__xludf.DUMMYFUNCTION("""COMPUTED_VALUE"""),FALSE)</f>
        <v>0</v>
      </c>
      <c r="BD2" s="107">
        <f>IFERROR(__xludf.DUMMYFUNCTION("""COMPUTED_VALUE"""),0.0)</f>
        <v>0</v>
      </c>
      <c r="BE2" s="73"/>
      <c r="BF2" s="73"/>
      <c r="BG2" s="73" t="str">
        <f>IFERROR(__xludf.DUMMYFUNCTION("""COMPUTED_VALUE"""),"Assist Slot")</f>
        <v>Assist Slot</v>
      </c>
      <c r="BH2" s="108" t="b">
        <f>IFERROR(__xludf.DUMMYFUNCTION("""COMPUTED_VALUE"""),TRUE)</f>
        <v>1</v>
      </c>
      <c r="BI2" s="107">
        <f>IFERROR(__xludf.DUMMYFUNCTION("""COMPUTED_VALUE"""),41.0)</f>
        <v>41</v>
      </c>
      <c r="BJ2" s="73"/>
      <c r="BK2" s="73"/>
      <c r="BL2" s="73" t="str">
        <f>IFERROR(__xludf.DUMMYFUNCTION("""COMPUTED_VALUE"""),"Assist Slot")</f>
        <v>Assist Slot</v>
      </c>
      <c r="BM2" s="108" t="b">
        <f>IFERROR(__xludf.DUMMYFUNCTION("""COMPUTED_VALUE"""),TRUE)</f>
        <v>1</v>
      </c>
      <c r="BN2" s="107">
        <f>IFERROR(__xludf.DUMMYFUNCTION("""COMPUTED_VALUE"""),97.0)</f>
        <v>97</v>
      </c>
      <c r="BO2" s="73"/>
      <c r="BP2" s="73"/>
      <c r="BQ2" s="73" t="str">
        <f>IFERROR(__xludf.DUMMYFUNCTION("""COMPUTED_VALUE"""),"Assist Slot")</f>
        <v>Assist Slot</v>
      </c>
      <c r="BR2" s="108" t="b">
        <f>IFERROR(__xludf.DUMMYFUNCTION("""COMPUTED_VALUE"""),TRUE)</f>
        <v>1</v>
      </c>
      <c r="BS2" s="107">
        <f>IFERROR(__xludf.DUMMYFUNCTION("""COMPUTED_VALUE"""),101.0)</f>
        <v>101</v>
      </c>
      <c r="BT2" s="74"/>
      <c r="BU2" s="73" t="str">
        <f>IFERROR(__xludf.DUMMYFUNCTION("""COMPUTED_VALUE"""),"Attack")</f>
        <v>Attack</v>
      </c>
      <c r="BV2" s="73"/>
      <c r="BW2" s="73" t="str">
        <f>IFERROR(__xludf.DUMMYFUNCTION("""COMPUTED_VALUE"""),"Percentage")</f>
        <v>Percentage</v>
      </c>
      <c r="BX2" s="105">
        <f>IFERROR(__xludf.DUMMYFUNCTION("""COMPUTED_VALUE"""),0.01)</f>
        <v>0.01</v>
      </c>
      <c r="BY2" s="109" t="str">
        <f>IFERROR(__xludf.DUMMYFUNCTION("""COMPUTED_VALUE"""),"00 | 1% | Cost 0 ⧈ | Next 25 ⧈")</f>
        <v>00 | 1% | Cost 0 ⧈ | Next 25 ⧈</v>
      </c>
      <c r="BZ2" s="73" t="str">
        <f>IFERROR(__xludf.DUMMYFUNCTION("""COMPUTED_VALUE"""),"Tier")</f>
        <v>Tier</v>
      </c>
      <c r="CA2" s="73" t="str">
        <f>IFERROR(__xludf.DUMMYFUNCTION("""COMPUTED_VALUE"""),"Wave")</f>
        <v>Wave</v>
      </c>
      <c r="CB2" s="73" t="str">
        <f>IFERROR(__xludf.DUMMYFUNCTION("""COMPUTED_VALUE"""),"P")</f>
        <v>P</v>
      </c>
      <c r="CC2" s="73"/>
      <c r="CD2" s="73" t="str">
        <f>IFERROR(__xludf.DUMMYFUNCTION("""COMPUTED_VALUE"""),"Stat")</f>
        <v>Stat</v>
      </c>
      <c r="CE2" s="73" t="str">
        <f>IFERROR(__xludf.DUMMYFUNCTION("""COMPUTED_VALUE"""),"Value")</f>
        <v>Value</v>
      </c>
    </row>
    <row r="3">
      <c r="A3" s="86" t="str">
        <f>IFERROR(__xludf.DUMMYFUNCTION("""COMPUTED_VALUE"""),"Starting Cash")</f>
        <v>Starting Cash</v>
      </c>
      <c r="B3" s="87">
        <f>IFERROR(__xludf.DUMMYFUNCTION("""COMPUTED_VALUE"""),6.0)</f>
        <v>6</v>
      </c>
      <c r="C3" s="73"/>
      <c r="D3" s="88">
        <f>IFERROR(__xludf.DUMMYFUNCTION("""COMPUTED_VALUE"""),99.0)</f>
        <v>99</v>
      </c>
      <c r="E3" s="73"/>
      <c r="F3" s="73"/>
      <c r="G3" s="89" t="str">
        <f>IFERROR(__xludf.DUMMYFUNCTION("""COMPUTED_VALUE"""),"¢ Level")</f>
        <v>¢ Level</v>
      </c>
      <c r="H3" s="89" t="str">
        <f>IFERROR(__xludf.DUMMYFUNCTION("""COMPUTED_VALUE"""),"$ Level")</f>
        <v>$ Level</v>
      </c>
      <c r="I3" s="89" t="str">
        <f>IFERROR(__xludf.DUMMYFUNCTION("""COMPUTED_VALUE"""),"¢ Level")</f>
        <v>¢ Level</v>
      </c>
      <c r="J3" s="89" t="str">
        <f>IFERROR(__xludf.DUMMYFUNCTION("""COMPUTED_VALUE"""),"$ Level")</f>
        <v>$ Level</v>
      </c>
      <c r="K3" s="90" t="str">
        <f>IFERROR(__xludf.DUMMYFUNCTION("""COMPUTED_VALUE"""),"¢ Level")</f>
        <v>¢ Level</v>
      </c>
      <c r="L3" s="90" t="str">
        <f>IFERROR(__xludf.DUMMYFUNCTION("""COMPUTED_VALUE"""),"$ Level")</f>
        <v>$ Level</v>
      </c>
      <c r="M3" s="89" t="str">
        <f>IFERROR(__xludf.DUMMYFUNCTION("""COMPUTED_VALUE"""),"¢ Level")</f>
        <v>¢ Level</v>
      </c>
      <c r="N3" s="89" t="str">
        <f>IFERROR(__xludf.DUMMYFUNCTION("""COMPUTED_VALUE"""),"$ Level")</f>
        <v>$ Level</v>
      </c>
      <c r="O3" s="89" t="str">
        <f>IFERROR(__xludf.DUMMYFUNCTION("""COMPUTED_VALUE"""),"¢ Level")</f>
        <v>¢ Level</v>
      </c>
      <c r="P3" s="89" t="str">
        <f>IFERROR(__xludf.DUMMYFUNCTION("""COMPUTED_VALUE"""),"$ Level")</f>
        <v>$ Level</v>
      </c>
      <c r="Q3" s="110" t="str">
        <f>IFERROR(__xludf.DUMMYFUNCTION("""COMPUTED_VALUE"""),"Max")</f>
        <v>Max</v>
      </c>
      <c r="R3" s="82"/>
      <c r="S3" s="92"/>
      <c r="T3" s="89" t="str">
        <f>IFERROR(__xludf.DUMMYFUNCTION("""COMPUTED_VALUE"""),"WS+")</f>
        <v>WS+</v>
      </c>
      <c r="U3" s="89" t="str">
        <f>IFERROR(__xludf.DUMMYFUNCTION("""COMPUTED_VALUE"""),"WS+")</f>
        <v>WS+</v>
      </c>
      <c r="V3" s="89" t="str">
        <f>IFERROR(__xludf.DUMMYFUNCTION("""COMPUTED_VALUE"""),"WS+")</f>
        <v>WS+</v>
      </c>
      <c r="W3" s="89" t="str">
        <f>IFERROR(__xludf.DUMMYFUNCTION("""COMPUTED_VALUE"""),"WS+")</f>
        <v>WS+</v>
      </c>
      <c r="X3" s="89" t="str">
        <f>IFERROR(__xludf.DUMMYFUNCTION("""COMPUTED_VALUE"""),"WS+")</f>
        <v>WS+</v>
      </c>
      <c r="Y3" s="111" t="str">
        <f>IFERROR(__xludf.DUMMYFUNCTION("""COMPUTED_VALUE"""),"Max")</f>
        <v>Max</v>
      </c>
      <c r="Z3" s="104"/>
      <c r="AA3" s="73"/>
      <c r="AB3" s="93" t="str">
        <f>IFERROR(__xludf.DUMMYFUNCTION("""COMPUTED_VALUE"""),"Quantity")</f>
        <v>Quantity</v>
      </c>
      <c r="AC3" s="112">
        <f>IFERROR(__xludf.DUMMYFUNCTION("""COMPUTED_VALUE"""),4.0)</f>
        <v>4</v>
      </c>
      <c r="AD3" s="95" t="str">
        <f>IFERROR(__xludf.DUMMYFUNCTION("""COMPUTED_VALUE"""),"03 | #4 | Cost 150 ⧌ | Next 400 ⧌")</f>
        <v>03 | #4 | Cost 150 ⧌ | Next 400 ⧌</v>
      </c>
      <c r="AE3" s="96" t="str">
        <f>IFERROR(__xludf.DUMMYFUNCTION("""COMPUTED_VALUE"""),"Attack Speed")</f>
        <v>Attack Speed</v>
      </c>
      <c r="AF3" s="97">
        <f>IFERROR(__xludf.DUMMYFUNCTION("""COMPUTED_VALUE"""),7.0)</f>
        <v>7</v>
      </c>
      <c r="AG3" s="98" t="b">
        <f>IFERROR(__xludf.DUMMYFUNCTION("""COMPUTED_VALUE"""),FALSE)</f>
        <v>0</v>
      </c>
      <c r="AH3" s="113" t="str">
        <f>IFERROR(__xludf.DUMMYFUNCTION("""COMPUTED_VALUE"""),"Enemy Balance")</f>
        <v>Enemy Balance</v>
      </c>
      <c r="AI3" s="82" t="str">
        <f>IFERROR(__xludf.DUMMYFUNCTION("""COMPUTED_VALUE"""),"Attack Speed")</f>
        <v>Attack Speed</v>
      </c>
      <c r="AJ3" s="114"/>
      <c r="AK3" s="106"/>
      <c r="AL3" s="74"/>
      <c r="AM3" s="86" t="str">
        <f>IFERROR(__xludf.DUMMYFUNCTION("""COMPUTED_VALUE"""),"Event Relics")</f>
        <v>Event Relics</v>
      </c>
      <c r="AN3" s="115">
        <f>IFERROR(__xludf.DUMMYFUNCTION("""COMPUTED_VALUE"""),112.0)</f>
        <v>112</v>
      </c>
      <c r="AO3" s="102"/>
      <c r="AP3" s="73"/>
      <c r="AQ3" s="116"/>
      <c r="AR3" s="74"/>
      <c r="AS3" s="116"/>
      <c r="AT3" s="116"/>
      <c r="AU3" s="73" t="str">
        <f>IFERROR(__xludf.DUMMYFUNCTION("""COMPUTED_VALUE"""),"Cooldown")</f>
        <v>Cooldown</v>
      </c>
      <c r="AV3" s="117">
        <f>IFERROR(__xludf.DUMMYFUNCTION("""COMPUTED_VALUE"""),51.0)</f>
        <v>51</v>
      </c>
      <c r="AW3" s="118" t="str">
        <f>IFERROR(__xludf.DUMMYFUNCTION("""COMPUTED_VALUE"""),"08 | 51s | Cost 380 ⧓ | Next 420 ⧓")</f>
        <v>08 | 51s | Cost 380 ⧓ | Next 420 ⧓</v>
      </c>
      <c r="AX3" s="74"/>
      <c r="AY3" s="73"/>
      <c r="AZ3" s="73"/>
      <c r="BA3" s="119"/>
      <c r="BB3" s="118" t="str">
        <f>IFERROR(__xludf.DUMMYFUNCTION("""COMPUTED_VALUE"""),"Rarity Cap")</f>
        <v>Rarity Cap</v>
      </c>
      <c r="BC3" s="73" t="str">
        <f>IFERROR(__xludf.DUMMYFUNCTION("""COMPUTED_VALUE"""),"Epic")</f>
        <v>Epic</v>
      </c>
      <c r="BD3" s="73"/>
      <c r="BE3" s="73"/>
      <c r="BF3" s="73"/>
      <c r="BG3" s="73" t="str">
        <f>IFERROR(__xludf.DUMMYFUNCTION("""COMPUTED_VALUE"""),"Rarity Cap")</f>
        <v>Rarity Cap</v>
      </c>
      <c r="BH3" s="73" t="str">
        <f>IFERROR(__xludf.DUMMYFUNCTION("""COMPUTED_VALUE"""),"Epic")</f>
        <v>Epic</v>
      </c>
      <c r="BI3" s="73"/>
      <c r="BJ3" s="73"/>
      <c r="BK3" s="73"/>
      <c r="BL3" s="73" t="str">
        <f>IFERROR(__xludf.DUMMYFUNCTION("""COMPUTED_VALUE"""),"Rarity Cap")</f>
        <v>Rarity Cap</v>
      </c>
      <c r="BM3" s="73" t="str">
        <f>IFERROR(__xludf.DUMMYFUNCTION("""COMPUTED_VALUE"""),"Epic")</f>
        <v>Epic</v>
      </c>
      <c r="BN3" s="73"/>
      <c r="BO3" s="73"/>
      <c r="BP3" s="73"/>
      <c r="BQ3" s="73" t="str">
        <f>IFERROR(__xludf.DUMMYFUNCTION("""COMPUTED_VALUE"""),"Rarity Cap")</f>
        <v>Rarity Cap</v>
      </c>
      <c r="BR3" s="73" t="str">
        <f>IFERROR(__xludf.DUMMYFUNCTION("""COMPUTED_VALUE"""),"Epic")</f>
        <v>Epic</v>
      </c>
      <c r="BS3" s="73"/>
      <c r="BT3" s="74"/>
      <c r="BU3" s="73"/>
      <c r="BV3" s="73"/>
      <c r="BW3" s="73" t="str">
        <f>IFERROR(__xludf.DUMMYFUNCTION("""COMPUTED_VALUE"""),"Cooldown")</f>
        <v>Cooldown</v>
      </c>
      <c r="BX3" s="120">
        <f>IFERROR(__xludf.DUMMYFUNCTION("""COMPUTED_VALUE"""),120.0)</f>
        <v>120</v>
      </c>
      <c r="BY3" s="107" t="str">
        <f>IFERROR(__xludf.DUMMYFUNCTION("""COMPUTED_VALUE"""),"00 | 120s | Cost 0 ⧈ | Next 1 ⧈")</f>
        <v>00 | 120s | Cost 0 ⧈ | Next 1 ⧈</v>
      </c>
      <c r="BZ3" s="73" t="str">
        <f>IFERROR(__xludf.DUMMYFUNCTION("""COMPUTED_VALUE"""),"Tier 1")</f>
        <v>Tier 1</v>
      </c>
      <c r="CA3" s="73">
        <f>IFERROR(__xludf.DUMMYFUNCTION("""COMPUTED_VALUE"""),10210.0)</f>
        <v>10210</v>
      </c>
      <c r="CB3" s="73" t="b">
        <f>IFERROR(__xludf.DUMMYFUNCTION("""COMPUTED_VALUE"""),TRUE)</f>
        <v>1</v>
      </c>
      <c r="CC3" s="73"/>
      <c r="CD3" s="73" t="str">
        <f>IFERROR(__xludf.DUMMYFUNCTION("""COMPUTED_VALUE"""),"Player ID")</f>
        <v>Player ID</v>
      </c>
      <c r="CE3" s="73" t="str">
        <f>IFERROR(__xludf.DUMMYFUNCTION("""COMPUTED_VALUE"""),"4C64DCF66976FD33")</f>
        <v>4C64DCF66976FD33</v>
      </c>
    </row>
    <row r="4">
      <c r="A4" s="86" t="str">
        <f>IFERROR(__xludf.DUMMYFUNCTION("""COMPUTED_VALUE"""),"Workshop Attack Discount")</f>
        <v>Workshop Attack Discount</v>
      </c>
      <c r="B4" s="87">
        <f>IFERROR(__xludf.DUMMYFUNCTION("""COMPUTED_VALUE"""),27.0)</f>
        <v>27</v>
      </c>
      <c r="C4" s="73"/>
      <c r="D4" s="88">
        <f>IFERROR(__xludf.DUMMYFUNCTION("""COMPUTED_VALUE"""),99.0)</f>
        <v>99</v>
      </c>
      <c r="E4" s="73"/>
      <c r="F4" s="86" t="str">
        <f>IFERROR(__xludf.DUMMYFUNCTION("""COMPUTED_VALUE"""),"Damage")</f>
        <v>Damage</v>
      </c>
      <c r="G4" s="87">
        <f>IFERROR(__xludf.DUMMYFUNCTION("""COMPUTED_VALUE"""),5750.0)</f>
        <v>5750</v>
      </c>
      <c r="H4" s="73">
        <f>IFERROR(__xludf.DUMMYFUNCTION("""COMPUTED_VALUE"""),6000.0)</f>
        <v>6000</v>
      </c>
      <c r="I4" s="73">
        <f>IFERROR(__xludf.DUMMYFUNCTION("""COMPUTED_VALUE"""),5750.0)</f>
        <v>5750</v>
      </c>
      <c r="J4" s="73">
        <f>IFERROR(__xludf.DUMMYFUNCTION("""COMPUTED_VALUE"""),6000.0)</f>
        <v>6000</v>
      </c>
      <c r="K4" s="92"/>
      <c r="L4" s="73"/>
      <c r="M4" s="73"/>
      <c r="N4" s="73"/>
      <c r="O4" s="73"/>
      <c r="P4" s="73"/>
      <c r="Q4" s="121">
        <f>IFERROR(__xludf.DUMMYFUNCTION("""COMPUTED_VALUE"""),6000.0)</f>
        <v>6000</v>
      </c>
      <c r="R4" s="99" t="str">
        <f>IFERROR(__xludf.DUMMYFUNCTION("""COMPUTED_VALUE"""),"Damage +")</f>
        <v>Damage +</v>
      </c>
      <c r="S4" s="122">
        <f>IFERROR(__xludf.DUMMYFUNCTION("""COMPUTED_VALUE"""),1.56)</f>
        <v>1.56</v>
      </c>
      <c r="T4" s="87">
        <f>IFERROR(__xludf.DUMMYFUNCTION("""COMPUTED_VALUE"""),56.0)</f>
        <v>56</v>
      </c>
      <c r="U4" s="73">
        <f>IFERROR(__xludf.DUMMYFUNCTION("""COMPUTED_VALUE"""),56.0)</f>
        <v>56</v>
      </c>
      <c r="V4" s="73"/>
      <c r="W4" s="73"/>
      <c r="X4" s="73"/>
      <c r="Y4" s="123">
        <f>IFERROR(__xludf.DUMMYFUNCTION("""COMPUTED_VALUE"""),400.0)</f>
        <v>400</v>
      </c>
      <c r="Z4" s="124" t="b">
        <f>IFERROR(__xludf.DUMMYFUNCTION("""COMPUTED_VALUE"""),TRUE)</f>
        <v>1</v>
      </c>
      <c r="AA4" s="86" t="str">
        <f>IFERROR(__xludf.DUMMYFUNCTION("""COMPUTED_VALUE"""),"UW Unlocked")</f>
        <v>UW Unlocked</v>
      </c>
      <c r="AB4" s="93" t="str">
        <f>IFERROR(__xludf.DUMMYFUNCTION("""COMPUTED_VALUE"""),"Chance")</f>
        <v>Chance</v>
      </c>
      <c r="AC4" s="125">
        <f>IFERROR(__xludf.DUMMYFUNCTION("""COMPUTED_VALUE"""),0.17)</f>
        <v>0.17</v>
      </c>
      <c r="AD4" s="95" t="str">
        <f>IFERROR(__xludf.DUMMYFUNCTION("""COMPUTED_VALUE"""),"08 | 17.0% | Cost 134 ⧌ | Next 152 ⧌")</f>
        <v>08 | 17.0% | Cost 134 ⧌ | Next 152 ⧌</v>
      </c>
      <c r="AE4" s="96" t="str">
        <f>IFERROR(__xludf.DUMMYFUNCTION("""COMPUTED_VALUE"""),"Health")</f>
        <v>Health</v>
      </c>
      <c r="AF4" s="97">
        <f>IFERROR(__xludf.DUMMYFUNCTION("""COMPUTED_VALUE"""),7.0)</f>
        <v>7</v>
      </c>
      <c r="AG4" s="98" t="b">
        <f>IFERROR(__xludf.DUMMYFUNCTION("""COMPUTED_VALUE"""),FALSE)</f>
        <v>0</v>
      </c>
      <c r="AH4" s="104" t="str">
        <f>IFERROR(__xludf.DUMMYFUNCTION("""COMPUTED_VALUE"""),"Extra Defense")</f>
        <v>Extra Defense</v>
      </c>
      <c r="AI4" s="82" t="str">
        <f>IFERROR(__xludf.DUMMYFUNCTION("""COMPUTED_VALUE"""),"Damage")</f>
        <v>Damage</v>
      </c>
      <c r="AJ4" s="114"/>
      <c r="AK4" s="106"/>
      <c r="AL4" s="74"/>
      <c r="AM4" s="86" t="str">
        <f>IFERROR(__xludf.DUMMYFUNCTION("""COMPUTED_VALUE"""),"Guild Relics")</f>
        <v>Guild Relics</v>
      </c>
      <c r="AN4" s="115">
        <f>IFERROR(__xludf.DUMMYFUNCTION("""COMPUTED_VALUE"""),13.0)</f>
        <v>13</v>
      </c>
      <c r="AO4" s="102"/>
      <c r="AP4" s="86" t="str">
        <f>IFERROR(__xludf.DUMMYFUNCTION("""COMPUTED_VALUE"""),"Total Bonuses")</f>
        <v>Total Bonuses</v>
      </c>
      <c r="AQ4" s="126" t="str">
        <f>IFERROR(__xludf.DUMMYFUNCTION("""COMPUTED_VALUE"""),"Active")</f>
        <v>Active</v>
      </c>
      <c r="AR4" s="74"/>
      <c r="AS4" s="116"/>
      <c r="AT4" s="116"/>
      <c r="AU4" s="73" t="str">
        <f>IFERROR(__xludf.DUMMYFUNCTION("""COMPUTED_VALUE"""),"Damage")</f>
        <v>Damage</v>
      </c>
      <c r="AV4" s="127">
        <f>IFERROR(__xludf.DUMMYFUNCTION("""COMPUTED_VALUE"""),50.0)</f>
        <v>50</v>
      </c>
      <c r="AW4" s="128" t="str">
        <f>IFERROR(__xludf.DUMMYFUNCTION("""COMPUTED_VALUE"""),"00 | x50 | Cost 0 ⧓ | Next 100 ⧓")</f>
        <v>00 | x50 | Cost 0 ⧓ | Next 100 ⧓</v>
      </c>
      <c r="AX4" s="74"/>
      <c r="AY4" s="73"/>
      <c r="AZ4" s="73"/>
      <c r="BA4" s="91"/>
      <c r="BB4" s="128" t="str">
        <f>IFERROR(__xludf.DUMMYFUNCTION("""COMPUTED_VALUE"""),"Multiplier Cap")</f>
        <v>Multiplier Cap</v>
      </c>
      <c r="BC4" s="105">
        <f>IFERROR(__xludf.DUMMYFUNCTION("""COMPUTED_VALUE"""),0.01)</f>
        <v>0.01</v>
      </c>
      <c r="BD4" s="73" t="str">
        <f>IFERROR(__xludf.DUMMYFUNCTION("""COMPUTED_VALUE"""),"00 | 1% | Cost 0 ⧌ | Next 15 ⧌")</f>
        <v>00 | 1% | Cost 0 ⧌ | Next 15 ⧌</v>
      </c>
      <c r="BE4" s="73"/>
      <c r="BF4" s="73"/>
      <c r="BG4" s="73" t="str">
        <f>IFERROR(__xludf.DUMMYFUNCTION("""COMPUTED_VALUE"""),"Multiplier Cap")</f>
        <v>Multiplier Cap</v>
      </c>
      <c r="BH4" s="105">
        <f>IFERROR(__xludf.DUMMYFUNCTION("""COMPUTED_VALUE"""),0.01)</f>
        <v>0.01</v>
      </c>
      <c r="BI4" s="73" t="str">
        <f>IFERROR(__xludf.DUMMYFUNCTION("""COMPUTED_VALUE"""),"00 | 1% | Cost 0 ⧌ | Next 15 ⧌")</f>
        <v>00 | 1% | Cost 0 ⧌ | Next 15 ⧌</v>
      </c>
      <c r="BJ4" s="129"/>
      <c r="BK4" s="73"/>
      <c r="BL4" s="73" t="str">
        <f>IFERROR(__xludf.DUMMYFUNCTION("""COMPUTED_VALUE"""),"Multiplier Cap")</f>
        <v>Multiplier Cap</v>
      </c>
      <c r="BM4" s="105">
        <f>IFERROR(__xludf.DUMMYFUNCTION("""COMPUTED_VALUE"""),0.1)</f>
        <v>0.1</v>
      </c>
      <c r="BN4" s="73" t="str">
        <f>IFERROR(__xludf.DUMMYFUNCTION("""COMPUTED_VALUE"""),"09 | 10% | Cost 39 ⧌ | Next 42 ⧌")</f>
        <v>09 | 10% | Cost 39 ⧌ | Next 42 ⧌</v>
      </c>
      <c r="BO4" s="129"/>
      <c r="BP4" s="73"/>
      <c r="BQ4" s="73" t="str">
        <f>IFERROR(__xludf.DUMMYFUNCTION("""COMPUTED_VALUE"""),"Multiplier Cap")</f>
        <v>Multiplier Cap</v>
      </c>
      <c r="BR4" s="105">
        <f>IFERROR(__xludf.DUMMYFUNCTION("""COMPUTED_VALUE"""),0.1)</f>
        <v>0.1</v>
      </c>
      <c r="BS4" s="73" t="str">
        <f>IFERROR(__xludf.DUMMYFUNCTION("""COMPUTED_VALUE"""),"09 | 10% | Cost 39 ⧌ | Next 42 ⧌")</f>
        <v>09 | 10% | Cost 39 ⧌ | Next 42 ⧌</v>
      </c>
      <c r="BT4" s="130"/>
      <c r="BU4" s="73" t="b">
        <f>IFERROR(__xludf.DUMMYFUNCTION("""COMPUTED_VALUE"""),TRUE)</f>
        <v>1</v>
      </c>
      <c r="BV4" s="131" t="str">
        <f>IFERROR(__xludf.DUMMYFUNCTION("""COMPUTED_VALUE"""),"Unlocked")</f>
        <v>Unlocked</v>
      </c>
      <c r="BW4" s="73" t="str">
        <f>IFERROR(__xludf.DUMMYFUNCTION("""COMPUTED_VALUE"""),"Targets")</f>
        <v>Targets</v>
      </c>
      <c r="BX4" s="107">
        <f>IFERROR(__xludf.DUMMYFUNCTION("""COMPUTED_VALUE"""),1.0)</f>
        <v>1</v>
      </c>
      <c r="BY4" s="132" t="str">
        <f>IFERROR(__xludf.DUMMYFUNCTION("""COMPUTED_VALUE"""),"00 | 1 | Cost 0 ⧈ | Next 100 ⧈")</f>
        <v>00 | 1 | Cost 0 ⧈ | Next 100 ⧈</v>
      </c>
      <c r="BZ4" s="73" t="str">
        <f>IFERROR(__xludf.DUMMYFUNCTION("""COMPUTED_VALUE"""),"Tier 2")</f>
        <v>Tier 2</v>
      </c>
      <c r="CA4" s="73">
        <f>IFERROR(__xludf.DUMMYFUNCTION("""COMPUTED_VALUE"""),5628.0)</f>
        <v>5628</v>
      </c>
      <c r="CB4" s="73"/>
      <c r="CC4" s="73"/>
      <c r="CD4" s="73" t="str">
        <f>IFERROR(__xludf.DUMMYFUNCTION("""COMPUTED_VALUE"""),"Farming Tier")</f>
        <v>Farming Tier</v>
      </c>
      <c r="CE4" s="133" t="str">
        <f>IFERROR(__xludf.DUMMYFUNCTION("""COMPUTED_VALUE"""),"Tier 14")</f>
        <v>Tier 14</v>
      </c>
    </row>
    <row r="5">
      <c r="A5" s="86" t="str">
        <f>IFERROR(__xludf.DUMMYFUNCTION("""COMPUTED_VALUE"""),"Workshop Defense Discount")</f>
        <v>Workshop Defense Discount</v>
      </c>
      <c r="B5" s="87">
        <f>IFERROR(__xludf.DUMMYFUNCTION("""COMPUTED_VALUE"""),28.0)</f>
        <v>28</v>
      </c>
      <c r="C5" s="73"/>
      <c r="D5" s="88">
        <f>IFERROR(__xludf.DUMMYFUNCTION("""COMPUTED_VALUE"""),99.0)</f>
        <v>99</v>
      </c>
      <c r="E5" s="73"/>
      <c r="F5" s="86" t="str">
        <f>IFERROR(__xludf.DUMMYFUNCTION("""COMPUTED_VALUE"""),"Attack Speed")</f>
        <v>Attack Speed</v>
      </c>
      <c r="G5" s="87">
        <f>IFERROR(__xludf.DUMMYFUNCTION("""COMPUTED_VALUE"""),99.0)</f>
        <v>99</v>
      </c>
      <c r="H5" s="73">
        <f>IFERROR(__xludf.DUMMYFUNCTION("""COMPUTED_VALUE"""),99.0)</f>
        <v>99</v>
      </c>
      <c r="I5" s="73">
        <f>IFERROR(__xludf.DUMMYFUNCTION("""COMPUTED_VALUE"""),99.0)</f>
        <v>99</v>
      </c>
      <c r="J5" s="73">
        <f>IFERROR(__xludf.DUMMYFUNCTION("""COMPUTED_VALUE"""),99.0)</f>
        <v>99</v>
      </c>
      <c r="K5" s="92"/>
      <c r="L5" s="73"/>
      <c r="M5" s="73"/>
      <c r="N5" s="73"/>
      <c r="O5" s="73"/>
      <c r="P5" s="73"/>
      <c r="Q5" s="121">
        <f>IFERROR(__xludf.DUMMYFUNCTION("""COMPUTED_VALUE"""),99.0)</f>
        <v>99</v>
      </c>
      <c r="R5" s="99" t="str">
        <f>IFERROR(__xludf.DUMMYFUNCTION("""COMPUTED_VALUE"""),"Rend Armor Mult +")</f>
        <v>Rend Armor Mult +</v>
      </c>
      <c r="S5" s="122">
        <f>IFERROR(__xludf.DUMMYFUNCTION("""COMPUTED_VALUE"""),1.21)</f>
        <v>1.21</v>
      </c>
      <c r="T5" s="87">
        <f>IFERROR(__xludf.DUMMYFUNCTION("""COMPUTED_VALUE"""),21.0)</f>
        <v>21</v>
      </c>
      <c r="U5" s="73">
        <f>IFERROR(__xludf.DUMMYFUNCTION("""COMPUTED_VALUE"""),21.0)</f>
        <v>21</v>
      </c>
      <c r="V5" s="73"/>
      <c r="W5" s="73"/>
      <c r="X5" s="73"/>
      <c r="Y5" s="123">
        <f>IFERROR(__xludf.DUMMYFUNCTION("""COMPUTED_VALUE"""),400.0)</f>
        <v>400</v>
      </c>
      <c r="Z5" s="93" t="str">
        <f>IFERROR(__xludf.DUMMYFUNCTION("""COMPUTED_VALUE"""),"UW+")</f>
        <v>UW+</v>
      </c>
      <c r="AA5" s="73"/>
      <c r="AB5" s="93" t="str">
        <f>IFERROR(__xludf.DUMMYFUNCTION("""COMPUTED_VALUE"""),"Smite")</f>
        <v>Smite</v>
      </c>
      <c r="AC5" s="134" t="str">
        <f>IFERROR(__xludf.DUMMYFUNCTION("""COMPUTED_VALUE"""),"Locked")</f>
        <v>Locked</v>
      </c>
      <c r="AD5" s="95" t="str">
        <f>IFERROR(__xludf.DUMMYFUNCTION("""COMPUTED_VALUE"""),"Lo | Locked")</f>
        <v>Lo | Locked</v>
      </c>
      <c r="AE5" s="96" t="str">
        <f>IFERROR(__xludf.DUMMYFUNCTION("""COMPUTED_VALUE"""),"Health Regen")</f>
        <v>Health Regen</v>
      </c>
      <c r="AF5" s="97">
        <f>IFERROR(__xludf.DUMMYFUNCTION("""COMPUTED_VALUE"""),7.0)</f>
        <v>7</v>
      </c>
      <c r="AG5" s="98" t="b">
        <f>IFERROR(__xludf.DUMMYFUNCTION("""COMPUTED_VALUE"""),FALSE)</f>
        <v>0</v>
      </c>
      <c r="AH5" s="135" t="str">
        <f>IFERROR(__xludf.DUMMYFUNCTION("""COMPUTED_VALUE"""),"Health")</f>
        <v>Health</v>
      </c>
      <c r="AI5" s="82" t="str">
        <f>IFERROR(__xludf.DUMMYFUNCTION("""COMPUTED_VALUE"""),"Berserker")</f>
        <v>Berserker</v>
      </c>
      <c r="AJ5" s="114"/>
      <c r="AK5" s="106"/>
      <c r="AL5" s="74"/>
      <c r="AM5" s="86" t="str">
        <f>IFERROR(__xludf.DUMMYFUNCTION("""COMPUTED_VALUE"""),"Other Relics")</f>
        <v>Other Relics</v>
      </c>
      <c r="AN5" s="115">
        <f>IFERROR(__xludf.DUMMYFUNCTION("""COMPUTED_VALUE"""),22.0)</f>
        <v>22</v>
      </c>
      <c r="AO5" s="102"/>
      <c r="AP5" s="136" t="str">
        <f>IFERROR(__xludf.DUMMYFUNCTION("""COMPUTED_VALUE"""),"Misc.")</f>
        <v>Misc.</v>
      </c>
      <c r="AQ5" s="116"/>
      <c r="AR5" s="74"/>
      <c r="AS5" s="137" t="b">
        <f>IFERROR(__xludf.DUMMYFUNCTION("""COMPUTED_VALUE"""),TRUE)</f>
        <v>1</v>
      </c>
      <c r="AT5" s="131" t="str">
        <f>IFERROR(__xludf.DUMMYFUNCTION("""COMPUTED_VALUE"""),"Unlocked")</f>
        <v>Unlocked</v>
      </c>
      <c r="AU5" s="73" t="str">
        <f>IFERROR(__xludf.DUMMYFUNCTION("""COMPUTED_VALUE"""),"Range")</f>
        <v>Range</v>
      </c>
      <c r="AV5" s="138">
        <f>IFERROR(__xludf.DUMMYFUNCTION("""COMPUTED_VALUE"""),46.0)</f>
        <v>46</v>
      </c>
      <c r="AW5" s="139" t="str">
        <f>IFERROR(__xludf.DUMMYFUNCTION("""COMPUTED_VALUE"""),"04 | 46m | Cost 220 ⧓ | Next 260 ⧓")</f>
        <v>04 | 46m | Cost 220 ⧓ | Next 260 ⧓</v>
      </c>
      <c r="AX5" s="74"/>
      <c r="AY5" s="131"/>
      <c r="AZ5" s="73"/>
      <c r="BA5" s="140"/>
      <c r="BB5" s="139" t="str">
        <f>IFERROR(__xludf.DUMMYFUNCTION("""COMPUTED_VALUE"""),"Substat Cap")</f>
        <v>Substat Cap</v>
      </c>
      <c r="BC5" s="105">
        <f>IFERROR(__xludf.DUMMYFUNCTION("""COMPUTED_VALUE"""),0.01)</f>
        <v>0.01</v>
      </c>
      <c r="BD5" s="73" t="str">
        <f>IFERROR(__xludf.DUMMYFUNCTION("""COMPUTED_VALUE"""),"00 | 1% | Cost 0 ⧌ | Next 15 ⧌")</f>
        <v>00 | 1% | Cost 0 ⧌ | Next 15 ⧌</v>
      </c>
      <c r="BE5" s="73"/>
      <c r="BF5" s="73"/>
      <c r="BG5" s="73" t="str">
        <f>IFERROR(__xludf.DUMMYFUNCTION("""COMPUTED_VALUE"""),"Substat Cap")</f>
        <v>Substat Cap</v>
      </c>
      <c r="BH5" s="105">
        <f>IFERROR(__xludf.DUMMYFUNCTION("""COMPUTED_VALUE"""),0.1)</f>
        <v>0.1</v>
      </c>
      <c r="BI5" s="73" t="str">
        <f>IFERROR(__xludf.DUMMYFUNCTION("""COMPUTED_VALUE"""),"09 | 10% | Cost 39 ⧌ | Next 42 ⧌")</f>
        <v>09 | 10% | Cost 39 ⧌ | Next 42 ⧌</v>
      </c>
      <c r="BJ5" s="73"/>
      <c r="BK5" s="73"/>
      <c r="BL5" s="73" t="str">
        <f>IFERROR(__xludf.DUMMYFUNCTION("""COMPUTED_VALUE"""),"Substat Cap")</f>
        <v>Substat Cap</v>
      </c>
      <c r="BM5" s="105">
        <f>IFERROR(__xludf.DUMMYFUNCTION("""COMPUTED_VALUE"""),0.1)</f>
        <v>0.1</v>
      </c>
      <c r="BN5" s="73" t="str">
        <f>IFERROR(__xludf.DUMMYFUNCTION("""COMPUTED_VALUE"""),"09 | 10% | Cost 39 ⧌ | Next 42 ⧌")</f>
        <v>09 | 10% | Cost 39 ⧌ | Next 42 ⧌</v>
      </c>
      <c r="BO5" s="73"/>
      <c r="BP5" s="73"/>
      <c r="BQ5" s="73" t="str">
        <f>IFERROR(__xludf.DUMMYFUNCTION("""COMPUTED_VALUE"""),"Substat Cap")</f>
        <v>Substat Cap</v>
      </c>
      <c r="BR5" s="105">
        <f>IFERROR(__xludf.DUMMYFUNCTION("""COMPUTED_VALUE"""),0.1)</f>
        <v>0.1</v>
      </c>
      <c r="BS5" s="73" t="str">
        <f>IFERROR(__xludf.DUMMYFUNCTION("""COMPUTED_VALUE"""),"09 | 10% | Cost 39 ⧌ | Next 42 ⧌")</f>
        <v>09 | 10% | Cost 39 ⧌ | Next 42 ⧌</v>
      </c>
      <c r="BT5" s="74"/>
      <c r="BU5" s="73" t="str">
        <f>IFERROR(__xludf.DUMMYFUNCTION("""COMPUTED_VALUE"""),"Ally")</f>
        <v>Ally</v>
      </c>
      <c r="BV5" s="73"/>
      <c r="BW5" s="73" t="str">
        <f>IFERROR(__xludf.DUMMYFUNCTION("""COMPUTED_VALUE"""),"Recovery Amount")</f>
        <v>Recovery Amount</v>
      </c>
      <c r="BX5" s="105">
        <f>IFERROR(__xludf.DUMMYFUNCTION("""COMPUTED_VALUE"""),0.01)</f>
        <v>0.01</v>
      </c>
      <c r="BY5" s="107" t="str">
        <f>IFERROR(__xludf.DUMMYFUNCTION("""COMPUTED_VALUE"""),"00 | 1% | Cost 0 ⧈ | Next 10 ⧈")</f>
        <v>00 | 1% | Cost 0 ⧈ | Next 10 ⧈</v>
      </c>
      <c r="BZ5" s="73" t="str">
        <f>IFERROR(__xludf.DUMMYFUNCTION("""COMPUTED_VALUE"""),"Tier 3")</f>
        <v>Tier 3</v>
      </c>
      <c r="CA5" s="73">
        <f>IFERROR(__xludf.DUMMYFUNCTION("""COMPUTED_VALUE"""),5402.0)</f>
        <v>5402</v>
      </c>
      <c r="CB5" s="73"/>
      <c r="CC5" s="73"/>
      <c r="CD5" s="73" t="str">
        <f>IFERROR(__xludf.DUMMYFUNCTION("""COMPUTED_VALUE"""),"Tourney League")</f>
        <v>Tourney League</v>
      </c>
      <c r="CE5" s="73" t="str">
        <f>IFERROR(__xludf.DUMMYFUNCTION("""COMPUTED_VALUE"""),"Legends")</f>
        <v>Legends</v>
      </c>
    </row>
    <row r="6">
      <c r="A6" s="86" t="str">
        <f>IFERROR(__xludf.DUMMYFUNCTION("""COMPUTED_VALUE"""),"Workshop Utility Discount")</f>
        <v>Workshop Utility Discount</v>
      </c>
      <c r="B6" s="87">
        <f>IFERROR(__xludf.DUMMYFUNCTION("""COMPUTED_VALUE"""),41.0)</f>
        <v>41</v>
      </c>
      <c r="C6" s="73"/>
      <c r="D6" s="88">
        <f>IFERROR(__xludf.DUMMYFUNCTION("""COMPUTED_VALUE"""),99.0)</f>
        <v>99</v>
      </c>
      <c r="E6" s="73"/>
      <c r="F6" s="86" t="str">
        <f>IFERROR(__xludf.DUMMYFUNCTION("""COMPUTED_VALUE"""),"Critical Chance")</f>
        <v>Critical Chance</v>
      </c>
      <c r="G6" s="87">
        <f>IFERROR(__xludf.DUMMYFUNCTION("""COMPUTED_VALUE"""),79.0)</f>
        <v>79</v>
      </c>
      <c r="H6" s="73">
        <f>IFERROR(__xludf.DUMMYFUNCTION("""COMPUTED_VALUE"""),79.0)</f>
        <v>79</v>
      </c>
      <c r="I6" s="73">
        <f>IFERROR(__xludf.DUMMYFUNCTION("""COMPUTED_VALUE"""),79.0)</f>
        <v>79</v>
      </c>
      <c r="J6" s="73">
        <f>IFERROR(__xludf.DUMMYFUNCTION("""COMPUTED_VALUE"""),79.0)</f>
        <v>79</v>
      </c>
      <c r="K6" s="92"/>
      <c r="L6" s="73"/>
      <c r="M6" s="73"/>
      <c r="N6" s="73"/>
      <c r="O6" s="73"/>
      <c r="P6" s="73"/>
      <c r="Q6" s="121">
        <f>IFERROR(__xludf.DUMMYFUNCTION("""COMPUTED_VALUE"""),79.0)</f>
        <v>79</v>
      </c>
      <c r="R6" s="99" t="str">
        <f>IFERROR(__xludf.DUMMYFUNCTION("""COMPUTED_VALUE"""),"Critical Factor +")</f>
        <v>Critical Factor +</v>
      </c>
      <c r="S6" s="122">
        <f>IFERROR(__xludf.DUMMYFUNCTION("""COMPUTED_VALUE"""),1.6)</f>
        <v>1.6</v>
      </c>
      <c r="T6" s="87">
        <f>IFERROR(__xludf.DUMMYFUNCTION("""COMPUTED_VALUE"""),60.0)</f>
        <v>60</v>
      </c>
      <c r="U6" s="73">
        <f>IFERROR(__xludf.DUMMYFUNCTION("""COMPUTED_VALUE"""),60.0)</f>
        <v>60</v>
      </c>
      <c r="V6" s="73"/>
      <c r="W6" s="73"/>
      <c r="X6" s="73"/>
      <c r="Y6" s="123">
        <f>IFERROR(__xludf.DUMMYFUNCTION("""COMPUTED_VALUE"""),400.0)</f>
        <v>400</v>
      </c>
      <c r="Z6" s="93" t="str">
        <f>IFERROR(__xludf.DUMMYFUNCTION("""COMPUTED_VALUE"""),"Smart Missiles")</f>
        <v>Smart Missiles</v>
      </c>
      <c r="AA6" s="73"/>
      <c r="AB6" s="93" t="str">
        <f>IFERROR(__xludf.DUMMYFUNCTION("""COMPUTED_VALUE"""),"Damage")</f>
        <v>Damage</v>
      </c>
      <c r="AC6" s="141">
        <f>IFERROR(__xludf.DUMMYFUNCTION("""COMPUTED_VALUE"""),10.0)</f>
        <v>10</v>
      </c>
      <c r="AD6" s="95" t="str">
        <f>IFERROR(__xludf.DUMMYFUNCTION("""COMPUTED_VALUE"""),"00 | x10 | Cost 0 ⧌ | Next 5 ⧌")</f>
        <v>00 | x10 | Cost 0 ⧌ | Next 5 ⧌</v>
      </c>
      <c r="AE6" s="142" t="str">
        <f>IFERROR(__xludf.DUMMYFUNCTION("""COMPUTED_VALUE"""),"Range")</f>
        <v>Range</v>
      </c>
      <c r="AF6" s="97">
        <f>IFERROR(__xludf.DUMMYFUNCTION("""COMPUTED_VALUE"""),7.0)</f>
        <v>7</v>
      </c>
      <c r="AG6" s="98" t="b">
        <f>IFERROR(__xludf.DUMMYFUNCTION("""COMPUTED_VALUE"""),FALSE)</f>
        <v>0</v>
      </c>
      <c r="AH6" s="143" t="str">
        <f>IFERROR(__xludf.DUMMYFUNCTION("""COMPUTED_VALUE"""),"Coins")</f>
        <v>Coins</v>
      </c>
      <c r="AI6" s="82" t="str">
        <f>IFERROR(__xludf.DUMMYFUNCTION("""COMPUTED_VALUE"""),"Critical Chance")</f>
        <v>Critical Chance</v>
      </c>
      <c r="AJ6" s="114"/>
      <c r="AK6" s="106"/>
      <c r="AL6" s="74"/>
      <c r="AM6" s="86" t="str">
        <f>IFERROR(__xludf.DUMMYFUNCTION("""COMPUTED_VALUE"""),"Total Relics")</f>
        <v>Total Relics</v>
      </c>
      <c r="AN6" s="115">
        <f>IFERROR(__xludf.DUMMYFUNCTION("""COMPUTED_VALUE"""),147.0)</f>
        <v>147</v>
      </c>
      <c r="AO6" s="102"/>
      <c r="AP6" s="86" t="str">
        <f>IFERROR(__xludf.DUMMYFUNCTION("""COMPUTED_VALUE"""),"Bot Range")</f>
        <v>Bot Range</v>
      </c>
      <c r="AQ6" s="144">
        <f>IFERROR(__xludf.DUMMYFUNCTION("""COMPUTED_VALUE"""),0.0)</f>
        <v>0</v>
      </c>
      <c r="AR6" s="74"/>
      <c r="AS6" s="145" t="str">
        <f>IFERROR(__xludf.DUMMYFUNCTION("""COMPUTED_VALUE"""),"Thunder Bot")</f>
        <v>Thunder Bot</v>
      </c>
      <c r="AT6" s="116"/>
      <c r="AU6" s="73" t="str">
        <f>IFERROR(__xludf.DUMMYFUNCTION("""COMPUTED_VALUE"""),"Duration")</f>
        <v>Duration</v>
      </c>
      <c r="AV6" s="146">
        <f>IFERROR(__xludf.DUMMYFUNCTION("""COMPUTED_VALUE"""),5.0)</f>
        <v>5</v>
      </c>
      <c r="AW6" s="145" t="str">
        <f>IFERROR(__xludf.DUMMYFUNCTION("""COMPUTED_VALUE"""),"00 | 5.0s | Cost 0 ⧓ | Next 100 ⧓")</f>
        <v>00 | 5.0s | Cost 0 ⧓ | Next 100 ⧓</v>
      </c>
      <c r="AX6" s="74"/>
      <c r="AY6" s="73"/>
      <c r="AZ6" s="73"/>
      <c r="BA6" s="147"/>
      <c r="BB6" s="145"/>
      <c r="BC6" s="73"/>
      <c r="BD6" s="73"/>
      <c r="BE6" s="73">
        <f>IFERROR(__xludf.DUMMYFUNCTION("""COMPUTED_VALUE"""),0.4444444444444444)</f>
        <v>0.4444444444</v>
      </c>
      <c r="BF6" s="73"/>
      <c r="BG6" s="73"/>
      <c r="BH6" s="73"/>
      <c r="BI6" s="73"/>
      <c r="BJ6" s="73"/>
      <c r="BK6" s="73"/>
      <c r="BL6" s="73"/>
      <c r="BM6" s="73"/>
      <c r="BN6" s="73"/>
      <c r="BO6" s="73"/>
      <c r="BP6" s="73"/>
      <c r="BQ6" s="73"/>
      <c r="BR6" s="73"/>
      <c r="BS6" s="73"/>
      <c r="BT6" s="74"/>
      <c r="BU6" s="73"/>
      <c r="BV6" s="73"/>
      <c r="BW6" s="73" t="str">
        <f>IFERROR(__xludf.DUMMYFUNCTION("""COMPUTED_VALUE"""),"Max Recovery")</f>
        <v>Max Recovery</v>
      </c>
      <c r="BX6" s="120">
        <f>IFERROR(__xludf.DUMMYFUNCTION("""COMPUTED_VALUE"""),1.1)</f>
        <v>1.1</v>
      </c>
      <c r="BY6" s="107" t="str">
        <f>IFERROR(__xludf.DUMMYFUNCTION("""COMPUTED_VALUE"""),"00 | 1.1x | Cost 0 ⧈ | Next 1 ⧈")</f>
        <v>00 | 1.1x | Cost 0 ⧈ | Next 1 ⧈</v>
      </c>
      <c r="BZ6" s="73" t="str">
        <f>IFERROR(__xludf.DUMMYFUNCTION("""COMPUTED_VALUE"""),"Tier 4")</f>
        <v>Tier 4</v>
      </c>
      <c r="CA6" s="73">
        <f>IFERROR(__xludf.DUMMYFUNCTION("""COMPUTED_VALUE"""),6310.0)</f>
        <v>6310</v>
      </c>
      <c r="CB6" s="73" t="b">
        <f>IFERROR(__xludf.DUMMYFUNCTION("""COMPUTED_VALUE"""),TRUE)</f>
        <v>1</v>
      </c>
      <c r="CC6" s="73"/>
      <c r="CD6" s="73" t="str">
        <f>IFERROR(__xludf.DUMMYFUNCTION("""COMPUTED_VALUE"""),"Lifetime Coins")</f>
        <v>Lifetime Coins</v>
      </c>
      <c r="CE6" s="148">
        <f>IFERROR(__xludf.DUMMYFUNCTION("""COMPUTED_VALUE"""),3.57E12)</f>
        <v>3570000000000</v>
      </c>
    </row>
    <row r="7">
      <c r="A7" s="86" t="str">
        <f>IFERROR(__xludf.DUMMYFUNCTION("""COMPUTED_VALUE"""),"Labs Coin Discount")</f>
        <v>Labs Coin Discount</v>
      </c>
      <c r="B7" s="87">
        <f>IFERROR(__xludf.DUMMYFUNCTION("""COMPUTED_VALUE"""),68.0)</f>
        <v>68</v>
      </c>
      <c r="C7" s="73"/>
      <c r="D7" s="88">
        <f>IFERROR(__xludf.DUMMYFUNCTION("""COMPUTED_VALUE"""),99.0)</f>
        <v>99</v>
      </c>
      <c r="E7" s="73"/>
      <c r="F7" s="86" t="str">
        <f>IFERROR(__xludf.DUMMYFUNCTION("""COMPUTED_VALUE"""),"Critical Factor")</f>
        <v>Critical Factor</v>
      </c>
      <c r="G7" s="87">
        <f>IFERROR(__xludf.DUMMYFUNCTION("""COMPUTED_VALUE"""),150.0)</f>
        <v>150</v>
      </c>
      <c r="H7" s="73">
        <f>IFERROR(__xludf.DUMMYFUNCTION("""COMPUTED_VALUE"""),150.0)</f>
        <v>150</v>
      </c>
      <c r="I7" s="73">
        <f>IFERROR(__xludf.DUMMYFUNCTION("""COMPUTED_VALUE"""),150.0)</f>
        <v>150</v>
      </c>
      <c r="J7" s="73">
        <f>IFERROR(__xludf.DUMMYFUNCTION("""COMPUTED_VALUE"""),150.0)</f>
        <v>150</v>
      </c>
      <c r="K7" s="92"/>
      <c r="L7" s="73"/>
      <c r="M7" s="73"/>
      <c r="N7" s="73"/>
      <c r="O7" s="73"/>
      <c r="P7" s="73"/>
      <c r="Q7" s="121">
        <f>IFERROR(__xludf.DUMMYFUNCTION("""COMPUTED_VALUE"""),150.0)</f>
        <v>150</v>
      </c>
      <c r="R7" s="99" t="str">
        <f>IFERROR(__xludf.DUMMYFUNCTION("""COMPUTED_VALUE"""),"Damage / Meter +")</f>
        <v>Damage / Meter +</v>
      </c>
      <c r="S7" s="122">
        <f>IFERROR(__xludf.DUMMYFUNCTION("""COMPUTED_VALUE"""),1.17)</f>
        <v>1.17</v>
      </c>
      <c r="T7" s="87">
        <f>IFERROR(__xludf.DUMMYFUNCTION("""COMPUTED_VALUE"""),17.0)</f>
        <v>17</v>
      </c>
      <c r="U7" s="73">
        <f>IFERROR(__xludf.DUMMYFUNCTION("""COMPUTED_VALUE"""),17.0)</f>
        <v>17</v>
      </c>
      <c r="V7" s="73"/>
      <c r="W7" s="73"/>
      <c r="X7" s="73"/>
      <c r="Y7" s="123">
        <f>IFERROR(__xludf.DUMMYFUNCTION("""COMPUTED_VALUE"""),400.0)</f>
        <v>400</v>
      </c>
      <c r="Z7" s="104"/>
      <c r="AA7" s="73"/>
      <c r="AB7" s="93" t="str">
        <f>IFERROR(__xludf.DUMMYFUNCTION("""COMPUTED_VALUE"""),"Quantity")</f>
        <v>Quantity</v>
      </c>
      <c r="AC7" s="112">
        <f>IFERROR(__xludf.DUMMYFUNCTION("""COMPUTED_VALUE"""),5.0)</f>
        <v>5</v>
      </c>
      <c r="AD7" s="149" t="str">
        <f>IFERROR(__xludf.DUMMYFUNCTION("""COMPUTED_VALUE"""),"00 | #5 | Cost 0 ⧌ | Next 4 ⧌")</f>
        <v>00 | #5 | Cost 0 ⧌ | Next 4 ⧌</v>
      </c>
      <c r="AE7" s="104" t="str">
        <f>IFERROR(__xludf.DUMMYFUNCTION("""COMPUTED_VALUE"""),"Cash")</f>
        <v>Cash</v>
      </c>
      <c r="AF7" s="97">
        <f>IFERROR(__xludf.DUMMYFUNCTION("""COMPUTED_VALUE"""),7.0)</f>
        <v>7</v>
      </c>
      <c r="AG7" s="98" t="b">
        <f>IFERROR(__xludf.DUMMYFUNCTION("""COMPUTED_VALUE"""),TRUE)</f>
        <v>1</v>
      </c>
      <c r="AH7" s="113" t="str">
        <f>IFERROR(__xludf.DUMMYFUNCTION("""COMPUTED_VALUE"""),"Plasma Cannon")</f>
        <v>Plasma Cannon</v>
      </c>
      <c r="AI7" s="73" t="str">
        <f>IFERROR(__xludf.DUMMYFUNCTION("""COMPUTED_VALUE"""),"Health")</f>
        <v>Health</v>
      </c>
      <c r="AJ7" s="114"/>
      <c r="AK7" s="106"/>
      <c r="AL7" s="74"/>
      <c r="AM7" s="73"/>
      <c r="AN7" s="73"/>
      <c r="AO7" s="102"/>
      <c r="AP7" s="86" t="str">
        <f>IFERROR(__xludf.DUMMYFUNCTION("""COMPUTED_VALUE"""),"Discount Enhancements")</f>
        <v>Discount Enhancements</v>
      </c>
      <c r="AQ7" s="125">
        <f>IFERROR(__xludf.DUMMYFUNCTION("""COMPUTED_VALUE"""),0.0)</f>
        <v>0</v>
      </c>
      <c r="AR7" s="74"/>
      <c r="AS7" s="73"/>
      <c r="AT7" s="73"/>
      <c r="AU7" s="73" t="str">
        <f>IFERROR(__xludf.DUMMYFUNCTION("""COMPUTED_VALUE"""),"Cooldown")</f>
        <v>Cooldown</v>
      </c>
      <c r="AV7" s="120">
        <f>IFERROR(__xludf.DUMMYFUNCTION("""COMPUTED_VALUE"""),120.0)</f>
        <v>120</v>
      </c>
      <c r="AW7" s="150" t="str">
        <f>IFERROR(__xludf.DUMMYFUNCTION("""COMPUTED_VALUE"""),"00 | 120s | Cost 0 ⧓ | Next 100 ⧓")</f>
        <v>00 | 120s | Cost 0 ⧓ | Next 100 ⧓</v>
      </c>
      <c r="AX7" s="74"/>
      <c r="AY7" s="73"/>
      <c r="AZ7" s="73"/>
      <c r="BA7" s="151"/>
      <c r="BB7" s="150" t="str">
        <f>IFERROR(__xludf.DUMMYFUNCTION("""COMPUTED_VALUE"""),"Farming")</f>
        <v>Farming</v>
      </c>
      <c r="BC7" s="73"/>
      <c r="BD7" s="73"/>
      <c r="BE7" s="73"/>
      <c r="BF7" s="73"/>
      <c r="BG7" s="73" t="str">
        <f>IFERROR(__xludf.DUMMYFUNCTION("""COMPUTED_VALUE"""),"Farming")</f>
        <v>Farming</v>
      </c>
      <c r="BH7" s="73"/>
      <c r="BI7" s="73"/>
      <c r="BJ7" s="73"/>
      <c r="BK7" s="73"/>
      <c r="BL7" s="73" t="str">
        <f>IFERROR(__xludf.DUMMYFUNCTION("""COMPUTED_VALUE"""),"Farming")</f>
        <v>Farming</v>
      </c>
      <c r="BM7" s="73"/>
      <c r="BN7" s="73"/>
      <c r="BO7" s="73"/>
      <c r="BP7" s="73"/>
      <c r="BQ7" s="73" t="str">
        <f>IFERROR(__xludf.DUMMYFUNCTION("""COMPUTED_VALUE"""),"Farming")</f>
        <v>Farming</v>
      </c>
      <c r="BR7" s="73"/>
      <c r="BS7" s="73"/>
      <c r="BT7" s="74"/>
      <c r="BU7" s="73" t="b">
        <f>IFERROR(__xludf.DUMMYFUNCTION("""COMPUTED_VALUE"""),TRUE)</f>
        <v>1</v>
      </c>
      <c r="BV7" s="73" t="str">
        <f>IFERROR(__xludf.DUMMYFUNCTION("""COMPUTED_VALUE"""),"Unlocked")</f>
        <v>Unlocked</v>
      </c>
      <c r="BW7" s="73" t="str">
        <f>IFERROR(__xludf.DUMMYFUNCTION("""COMPUTED_VALUE"""),"Cooldown")</f>
        <v>Cooldown</v>
      </c>
      <c r="BX7" s="120">
        <f>IFERROR(__xludf.DUMMYFUNCTION("""COMPUTED_VALUE"""),120.0)</f>
        <v>120</v>
      </c>
      <c r="BY7" s="107" t="str">
        <f>IFERROR(__xludf.DUMMYFUNCTION("""COMPUTED_VALUE"""),"00 | 120s | Cost 0 ⧈ | Next 1 ⧈")</f>
        <v>00 | 120s | Cost 0 ⧈ | Next 1 ⧈</v>
      </c>
      <c r="BZ7" s="73" t="str">
        <f>IFERROR(__xludf.DUMMYFUNCTION("""COMPUTED_VALUE"""),"Tier 5")</f>
        <v>Tier 5</v>
      </c>
      <c r="CA7" s="73">
        <f>IFERROR(__xludf.DUMMYFUNCTION("""COMPUTED_VALUE"""),7593.0)</f>
        <v>7593</v>
      </c>
      <c r="CB7" s="73"/>
      <c r="CC7" s="73"/>
      <c r="CD7" s="73" t="str">
        <f>IFERROR(__xludf.DUMMYFUNCTION("""COMPUTED_VALUE"""),"Stones")</f>
        <v>Stones</v>
      </c>
      <c r="CE7" s="133">
        <f>IFERROR(__xludf.DUMMYFUNCTION("""COMPUTED_VALUE"""),200.0)</f>
        <v>200</v>
      </c>
    </row>
    <row r="8">
      <c r="A8" s="86" t="str">
        <f>IFERROR(__xludf.DUMMYFUNCTION("""COMPUTED_VALUE"""),"Labs Speed")</f>
        <v>Labs Speed</v>
      </c>
      <c r="B8" s="87">
        <f>IFERROR(__xludf.DUMMYFUNCTION("""COMPUTED_VALUE"""),91.0)</f>
        <v>91</v>
      </c>
      <c r="C8" s="73"/>
      <c r="D8" s="88">
        <f>IFERROR(__xludf.DUMMYFUNCTION("""COMPUTED_VALUE"""),99.0)</f>
        <v>99</v>
      </c>
      <c r="E8" s="108" t="b">
        <f>IFERROR(__xludf.DUMMYFUNCTION("""COMPUTED_VALUE"""),TRUE)</f>
        <v>1</v>
      </c>
      <c r="F8" s="86" t="str">
        <f>IFERROR(__xludf.DUMMYFUNCTION("""COMPUTED_VALUE"""),"Range")</f>
        <v>Range</v>
      </c>
      <c r="G8" s="87">
        <f>IFERROR(__xludf.DUMMYFUNCTION("""COMPUTED_VALUE"""),79.0)</f>
        <v>79</v>
      </c>
      <c r="H8" s="73">
        <f>IFERROR(__xludf.DUMMYFUNCTION("""COMPUTED_VALUE"""),79.0)</f>
        <v>79</v>
      </c>
      <c r="I8" s="73">
        <f>IFERROR(__xludf.DUMMYFUNCTION("""COMPUTED_VALUE"""),79.0)</f>
        <v>79</v>
      </c>
      <c r="J8" s="73">
        <f>IFERROR(__xludf.DUMMYFUNCTION("""COMPUTED_VALUE"""),79.0)</f>
        <v>79</v>
      </c>
      <c r="K8" s="92"/>
      <c r="L8" s="73"/>
      <c r="M8" s="73"/>
      <c r="N8" s="73"/>
      <c r="O8" s="73"/>
      <c r="P8" s="73"/>
      <c r="Q8" s="121">
        <f>IFERROR(__xludf.DUMMYFUNCTION("""COMPUTED_VALUE"""),79.0)</f>
        <v>79</v>
      </c>
      <c r="R8" s="99" t="str">
        <f>IFERROR(__xludf.DUMMYFUNCTION("""COMPUTED_VALUE"""),"Super Crit Multi +")</f>
        <v>Super Crit Multi +</v>
      </c>
      <c r="S8" s="122">
        <f>IFERROR(__xludf.DUMMYFUNCTION("""COMPUTED_VALUE"""),1.57)</f>
        <v>1.57</v>
      </c>
      <c r="T8" s="87">
        <f>IFERROR(__xludf.DUMMYFUNCTION("""COMPUTED_VALUE"""),57.0)</f>
        <v>57</v>
      </c>
      <c r="U8" s="73">
        <f>IFERROR(__xludf.DUMMYFUNCTION("""COMPUTED_VALUE"""),57.0)</f>
        <v>57</v>
      </c>
      <c r="V8" s="73"/>
      <c r="W8" s="73"/>
      <c r="X8" s="73"/>
      <c r="Y8" s="123">
        <f>IFERROR(__xludf.DUMMYFUNCTION("""COMPUTED_VALUE"""),400.0)</f>
        <v>400</v>
      </c>
      <c r="Z8" s="124" t="b">
        <f>IFERROR(__xludf.DUMMYFUNCTION("""COMPUTED_VALUE"""),FALSE)</f>
        <v>0</v>
      </c>
      <c r="AA8" s="86" t="str">
        <f>IFERROR(__xludf.DUMMYFUNCTION("""COMPUTED_VALUE"""),"UW Locked")</f>
        <v>UW Locked</v>
      </c>
      <c r="AB8" s="93" t="str">
        <f>IFERROR(__xludf.DUMMYFUNCTION("""COMPUTED_VALUE"""),"Cooldown")</f>
        <v>Cooldown</v>
      </c>
      <c r="AC8" s="152">
        <f>IFERROR(__xludf.DUMMYFUNCTION("""COMPUTED_VALUE"""),180.0)</f>
        <v>180</v>
      </c>
      <c r="AD8" s="95" t="str">
        <f>IFERROR(__xludf.DUMMYFUNCTION("""COMPUTED_VALUE"""),"00 | 180s | Cost 0 ⧌ | Next 8 ⧌")</f>
        <v>00 | 180s | Cost 0 ⧌ | Next 8 ⧌</v>
      </c>
      <c r="AE8" s="93" t="str">
        <f>IFERROR(__xludf.DUMMYFUNCTION("""COMPUTED_VALUE"""),"Coins")</f>
        <v>Coins</v>
      </c>
      <c r="AF8" s="97">
        <f>IFERROR(__xludf.DUMMYFUNCTION("""COMPUTED_VALUE"""),7.0)</f>
        <v>7</v>
      </c>
      <c r="AG8" s="98" t="b">
        <f>IFERROR(__xludf.DUMMYFUNCTION("""COMPUTED_VALUE"""),FALSE)</f>
        <v>0</v>
      </c>
      <c r="AH8" s="153" t="str">
        <f>IFERROR(__xludf.DUMMYFUNCTION("""COMPUTED_VALUE"""),"Attack Speed")</f>
        <v>Attack Speed</v>
      </c>
      <c r="AI8" s="82" t="str">
        <f>IFERROR(__xludf.DUMMYFUNCTION("""COMPUTED_VALUE"""),"Health Regen")</f>
        <v>Health Regen</v>
      </c>
      <c r="AJ8" s="114"/>
      <c r="AK8" s="106"/>
      <c r="AL8" s="74"/>
      <c r="AM8" s="86" t="str">
        <f>IFERROR(__xludf.DUMMYFUNCTION("""COMPUTED_VALUE"""),"Total Bonuses")</f>
        <v>Total Bonuses</v>
      </c>
      <c r="AN8" s="93" t="str">
        <f>IFERROR(__xludf.DUMMYFUNCTION("""COMPUTED_VALUE"""),"Active")</f>
        <v>Active</v>
      </c>
      <c r="AO8" s="102"/>
      <c r="AP8" s="86" t="str">
        <f>IFERROR(__xludf.DUMMYFUNCTION("""COMPUTED_VALUE"""),"Discount Rerolls")</f>
        <v>Discount Rerolls</v>
      </c>
      <c r="AQ8" s="125">
        <f>IFERROR(__xludf.DUMMYFUNCTION("""COMPUTED_VALUE"""),0.0)</f>
        <v>0</v>
      </c>
      <c r="AR8" s="74"/>
      <c r="AS8" s="104"/>
      <c r="AT8" s="104"/>
      <c r="AU8" s="73" t="str">
        <f>IFERROR(__xludf.DUMMYFUNCTION("""COMPUTED_VALUE"""),"Linger")</f>
        <v>Linger</v>
      </c>
      <c r="AV8" s="105">
        <f>IFERROR(__xludf.DUMMYFUNCTION("""COMPUTED_VALUE"""),0.2)</f>
        <v>0.2</v>
      </c>
      <c r="AW8" s="104" t="str">
        <f>IFERROR(__xludf.DUMMYFUNCTION("""COMPUTED_VALUE"""),"00 | 20% | Cost 0 ⧓ | Next 100 ⧓")</f>
        <v>00 | 20% | Cost 0 ⧓ | Next 100 ⧓</v>
      </c>
      <c r="AX8" s="74"/>
      <c r="AY8" s="73"/>
      <c r="AZ8" s="73"/>
      <c r="BA8" s="102"/>
      <c r="BB8" s="73" t="str">
        <f>IFERROR(__xludf.DUMMYFUNCTION("""COMPUTED_VALUE"""),"Primary Slot")</f>
        <v>Primary Slot</v>
      </c>
      <c r="BC8" s="73" t="str">
        <f>IFERROR(__xludf.DUMMYFUNCTION("""COMPUTED_VALUE"""),"Amplifying Strike")</f>
        <v>Amplifying Strike</v>
      </c>
      <c r="BD8" s="73"/>
      <c r="BE8" s="73"/>
      <c r="BF8" s="73"/>
      <c r="BG8" s="73" t="str">
        <f>IFERROR(__xludf.DUMMYFUNCTION("""COMPUTED_VALUE"""),"Primary Slot")</f>
        <v>Primary Slot</v>
      </c>
      <c r="BH8" s="73" t="str">
        <f>IFERROR(__xludf.DUMMYFUNCTION("""COMPUTED_VALUE"""),"Sharp Fortitude")</f>
        <v>Sharp Fortitude</v>
      </c>
      <c r="BI8" s="73"/>
      <c r="BJ8" s="73"/>
      <c r="BK8" s="73"/>
      <c r="BL8" s="73" t="str">
        <f>IFERROR(__xludf.DUMMYFUNCTION("""COMPUTED_VALUE"""),"Primary Slot")</f>
        <v>Primary Slot</v>
      </c>
      <c r="BM8" s="73" t="str">
        <f>IFERROR(__xludf.DUMMYFUNCTION("""COMPUTED_VALUE"""),"Singularity Harness")</f>
        <v>Singularity Harness</v>
      </c>
      <c r="BN8" s="73"/>
      <c r="BO8" s="73"/>
      <c r="BP8" s="73"/>
      <c r="BQ8" s="73" t="str">
        <f>IFERROR(__xludf.DUMMYFUNCTION("""COMPUTED_VALUE"""),"Primary Slot")</f>
        <v>Primary Slot</v>
      </c>
      <c r="BR8" s="73" t="str">
        <f>IFERROR(__xludf.DUMMYFUNCTION("""COMPUTED_VALUE"""),"Primordial Collapse")</f>
        <v>Primordial Collapse</v>
      </c>
      <c r="BS8" s="73"/>
      <c r="BT8" s="74"/>
      <c r="BU8" s="73" t="str">
        <f>IFERROR(__xludf.DUMMYFUNCTION("""COMPUTED_VALUE"""),"Bounty")</f>
        <v>Bounty</v>
      </c>
      <c r="BV8" s="73"/>
      <c r="BW8" s="73" t="str">
        <f>IFERROR(__xludf.DUMMYFUNCTION("""COMPUTED_VALUE"""),"Multiplier")</f>
        <v>Multiplier</v>
      </c>
      <c r="BX8" s="154">
        <f>IFERROR(__xludf.DUMMYFUNCTION("""COMPUTED_VALUE"""),0.01)</f>
        <v>0.01</v>
      </c>
      <c r="BY8" s="155" t="str">
        <f>IFERROR(__xludf.DUMMYFUNCTION("""COMPUTED_VALUE"""),"00 | 0.01x | Cost 0 ⧈ | Next 1 ⧈")</f>
        <v>00 | 0.01x | Cost 0 ⧈ | Next 1 ⧈</v>
      </c>
      <c r="BZ8" s="73" t="str">
        <f>IFERROR(__xludf.DUMMYFUNCTION("""COMPUTED_VALUE"""),"Tier 6")</f>
        <v>Tier 6</v>
      </c>
      <c r="CA8" s="73">
        <f>IFERROR(__xludf.DUMMYFUNCTION("""COMPUTED_VALUE"""),8252.0)</f>
        <v>8252</v>
      </c>
      <c r="CB8" s="73"/>
      <c r="CC8" s="73"/>
      <c r="CD8" s="73" t="str">
        <f>IFERROR(__xludf.DUMMYFUNCTION("""COMPUTED_VALUE"""),"Gems")</f>
        <v>Gems</v>
      </c>
      <c r="CE8" s="73">
        <f>IFERROR(__xludf.DUMMYFUNCTION("""COMPUTED_VALUE"""),326.0)</f>
        <v>326</v>
      </c>
    </row>
    <row r="9">
      <c r="A9" s="86" t="str">
        <f>IFERROR(__xludf.DUMMYFUNCTION("""COMPUTED_VALUE"""),"Buy Multiplier")</f>
        <v>Buy Multiplier</v>
      </c>
      <c r="B9" s="87">
        <f>IFERROR(__xludf.DUMMYFUNCTION("""COMPUTED_VALUE"""),4.0)</f>
        <v>4</v>
      </c>
      <c r="C9" s="73"/>
      <c r="D9" s="88">
        <f>IFERROR(__xludf.DUMMYFUNCTION("""COMPUTED_VALUE"""),4.0)</f>
        <v>4</v>
      </c>
      <c r="E9" s="73"/>
      <c r="F9" s="86" t="str">
        <f>IFERROR(__xludf.DUMMYFUNCTION("""COMPUTED_VALUE"""),"Damage / Meter")</f>
        <v>Damage / Meter</v>
      </c>
      <c r="G9" s="87">
        <f>IFERROR(__xludf.DUMMYFUNCTION("""COMPUTED_VALUE"""),180.0)</f>
        <v>180</v>
      </c>
      <c r="H9" s="73">
        <f>IFERROR(__xludf.DUMMYFUNCTION("""COMPUTED_VALUE"""),200.0)</f>
        <v>200</v>
      </c>
      <c r="I9" s="73">
        <f>IFERROR(__xludf.DUMMYFUNCTION("""COMPUTED_VALUE"""),180.0)</f>
        <v>180</v>
      </c>
      <c r="J9" s="73">
        <f>IFERROR(__xludf.DUMMYFUNCTION("""COMPUTED_VALUE"""),200.0)</f>
        <v>200</v>
      </c>
      <c r="K9" s="92"/>
      <c r="L9" s="73"/>
      <c r="M9" s="73"/>
      <c r="N9" s="73"/>
      <c r="O9" s="73"/>
      <c r="P9" s="73"/>
      <c r="Q9" s="121">
        <f>IFERROR(__xludf.DUMMYFUNCTION("""COMPUTED_VALUE"""),200.0)</f>
        <v>200</v>
      </c>
      <c r="R9" s="99" t="str">
        <f>IFERROR(__xludf.DUMMYFUNCTION("""COMPUTED_VALUE"""),"Attack Speed +")</f>
        <v>Attack Speed +</v>
      </c>
      <c r="S9" s="122">
        <f>IFERROR(__xludf.DUMMYFUNCTION("""COMPUTED_VALUE"""),1.13)</f>
        <v>1.13</v>
      </c>
      <c r="T9" s="87">
        <f>IFERROR(__xludf.DUMMYFUNCTION("""COMPUTED_VALUE"""),13.0)</f>
        <v>13</v>
      </c>
      <c r="U9" s="73">
        <f>IFERROR(__xludf.DUMMYFUNCTION("""COMPUTED_VALUE"""),13.0)</f>
        <v>13</v>
      </c>
      <c r="V9" s="73"/>
      <c r="W9" s="73"/>
      <c r="X9" s="73"/>
      <c r="Y9" s="123">
        <f>IFERROR(__xludf.DUMMYFUNCTION("""COMPUTED_VALUE"""),75.0)</f>
        <v>75</v>
      </c>
      <c r="Z9" s="93" t="str">
        <f>IFERROR(__xludf.DUMMYFUNCTION("""COMPUTED_VALUE"""),"UW+")</f>
        <v>UW+</v>
      </c>
      <c r="AA9" s="73"/>
      <c r="AB9" s="93" t="str">
        <f>IFERROR(__xludf.DUMMYFUNCTION("""COMPUTED_VALUE"""),"Cover Fire")</f>
        <v>Cover Fire</v>
      </c>
      <c r="AC9" s="156" t="str">
        <f>IFERROR(__xludf.DUMMYFUNCTION("""COMPUTED_VALUE"""),"Locked")</f>
        <v>Locked</v>
      </c>
      <c r="AD9" s="95" t="str">
        <f>IFERROR(__xludf.DUMMYFUNCTION("""COMPUTED_VALUE"""),"Lo | Locked")</f>
        <v>Lo | Locked</v>
      </c>
      <c r="AE9" s="96" t="str">
        <f>IFERROR(__xludf.DUMMYFUNCTION("""COMPUTED_VALUE"""),"Slow Aura")</f>
        <v>Slow Aura</v>
      </c>
      <c r="AF9" s="97">
        <f>IFERROR(__xludf.DUMMYFUNCTION("""COMPUTED_VALUE"""),7.0)</f>
        <v>7</v>
      </c>
      <c r="AG9" s="98" t="b">
        <f>IFERROR(__xludf.DUMMYFUNCTION("""COMPUTED_VALUE"""),FALSE)</f>
        <v>0</v>
      </c>
      <c r="AH9" s="153" t="str">
        <f>IFERROR(__xludf.DUMMYFUNCTION("""COMPUTED_VALUE"""),"Wave Skip")</f>
        <v>Wave Skip</v>
      </c>
      <c r="AI9" s="82" t="str">
        <f>IFERROR(__xludf.DUMMYFUNCTION("""COMPUTED_VALUE"""),"Plasma Cannon")</f>
        <v>Plasma Cannon</v>
      </c>
      <c r="AJ9" s="114"/>
      <c r="AK9" s="106"/>
      <c r="AL9" s="74"/>
      <c r="AM9" s="86" t="str">
        <f>IFERROR(__xludf.DUMMYFUNCTION("""COMPUTED_VALUE"""),"Misc.")</f>
        <v>Misc.</v>
      </c>
      <c r="AN9" s="73"/>
      <c r="AO9" s="102"/>
      <c r="AP9" s="86" t="str">
        <f>IFERROR(__xludf.DUMMYFUNCTION("""COMPUTED_VALUE"""),"Additional Card Slot")</f>
        <v>Additional Card Slot</v>
      </c>
      <c r="AQ9" s="157">
        <f>IFERROR(__xludf.DUMMYFUNCTION("""COMPUTED_VALUE"""),0.0)</f>
        <v>0</v>
      </c>
      <c r="AR9" s="74"/>
      <c r="AS9" s="137" t="b">
        <f>IFERROR(__xludf.DUMMYFUNCTION("""COMPUTED_VALUE"""),FALSE)</f>
        <v>0</v>
      </c>
      <c r="AT9" s="73" t="str">
        <f>IFERROR(__xludf.DUMMYFUNCTION("""COMPUTED_VALUE"""),"Locked")</f>
        <v>Locked</v>
      </c>
      <c r="AU9" s="73" t="str">
        <f>IFERROR(__xludf.DUMMYFUNCTION("""COMPUTED_VALUE"""),"Range")</f>
        <v>Range</v>
      </c>
      <c r="AV9" s="158">
        <f>IFERROR(__xludf.DUMMYFUNCTION("""COMPUTED_VALUE"""),25.0)</f>
        <v>25</v>
      </c>
      <c r="AW9" s="139" t="str">
        <f>IFERROR(__xludf.DUMMYFUNCTION("""COMPUTED_VALUE"""),"00 | 25m | Cost 0 ⧓ | Next 100 ⧓")</f>
        <v>00 | 25m | Cost 0 ⧓ | Next 100 ⧓</v>
      </c>
      <c r="AX9" s="74"/>
      <c r="AY9" s="73"/>
      <c r="AZ9" s="73"/>
      <c r="BA9" s="159"/>
      <c r="BB9" s="139" t="str">
        <f>IFERROR(__xludf.DUMMYFUNCTION("""COMPUTED_VALUE"""),"Assist Slot")</f>
        <v>Assist Slot</v>
      </c>
      <c r="BC9" s="73"/>
      <c r="BD9" s="73"/>
      <c r="BE9" s="73"/>
      <c r="BF9" s="73"/>
      <c r="BG9" s="73" t="str">
        <f>IFERROR(__xludf.DUMMYFUNCTION("""COMPUTED_VALUE"""),"Assist Slot")</f>
        <v>Assist Slot</v>
      </c>
      <c r="BH9" s="73" t="str">
        <f>IFERROR(__xludf.DUMMYFUNCTION("""COMPUTED_VALUE"""),"Orbital Augment")</f>
        <v>Orbital Augment</v>
      </c>
      <c r="BI9" s="73"/>
      <c r="BJ9" s="73"/>
      <c r="BK9" s="73"/>
      <c r="BL9" s="73" t="str">
        <f>IFERROR(__xludf.DUMMYFUNCTION("""COMPUTED_VALUE"""),"Assist Slot")</f>
        <v>Assist Slot</v>
      </c>
      <c r="BM9" s="73" t="str">
        <f>IFERROR(__xludf.DUMMYFUNCTION("""COMPUTED_VALUE"""),"Pulsar Harvester")</f>
        <v>Pulsar Harvester</v>
      </c>
      <c r="BN9" s="73"/>
      <c r="BO9" s="73"/>
      <c r="BP9" s="73"/>
      <c r="BQ9" s="73" t="str">
        <f>IFERROR(__xludf.DUMMYFUNCTION("""COMPUTED_VALUE"""),"Assist Slot")</f>
        <v>Assist Slot</v>
      </c>
      <c r="BR9" s="73" t="str">
        <f>IFERROR(__xludf.DUMMYFUNCTION("""COMPUTED_VALUE"""),"Dimension Core")</f>
        <v>Dimension Core</v>
      </c>
      <c r="BS9" s="73"/>
      <c r="BT9" s="74"/>
      <c r="BU9" s="73"/>
      <c r="BV9" s="73"/>
      <c r="BW9" s="73" t="str">
        <f>IFERROR(__xludf.DUMMYFUNCTION("""COMPUTED_VALUE"""),"Cooldown")</f>
        <v>Cooldown</v>
      </c>
      <c r="BX9" s="120">
        <f>IFERROR(__xludf.DUMMYFUNCTION("""COMPUTED_VALUE"""),120.0)</f>
        <v>120</v>
      </c>
      <c r="BY9" s="155" t="str">
        <f>IFERROR(__xludf.DUMMYFUNCTION("""COMPUTED_VALUE"""),"00 | 120s | Cost 0 ⧈ | Next 2 ⧈")</f>
        <v>00 | 120s | Cost 0 ⧈ | Next 2 ⧈</v>
      </c>
      <c r="BZ9" s="73" t="str">
        <f>IFERROR(__xludf.DUMMYFUNCTION("""COMPUTED_VALUE"""),"Tier 7")</f>
        <v>Tier 7</v>
      </c>
      <c r="CA9" s="73">
        <f>IFERROR(__xludf.DUMMYFUNCTION("""COMPUTED_VALUE"""),7854.0)</f>
        <v>7854</v>
      </c>
      <c r="CB9" s="73" t="b">
        <f>IFERROR(__xludf.DUMMYFUNCTION("""COMPUTED_VALUE"""),TRUE)</f>
        <v>1</v>
      </c>
      <c r="CC9" s="73"/>
      <c r="CD9" s="73"/>
      <c r="CE9" s="73"/>
    </row>
    <row r="10">
      <c r="A10" s="86" t="str">
        <f>IFERROR(__xludf.DUMMYFUNCTION("""COMPUTED_VALUE"""),"More Round Stats")</f>
        <v>More Round Stats</v>
      </c>
      <c r="B10" s="87">
        <f>IFERROR(__xludf.DUMMYFUNCTION("""COMPUTED_VALUE"""),1.0)</f>
        <v>1</v>
      </c>
      <c r="C10" s="73"/>
      <c r="D10" s="88">
        <f>IFERROR(__xludf.DUMMYFUNCTION("""COMPUTED_VALUE"""),1.0)</f>
        <v>1</v>
      </c>
      <c r="E10" s="108" t="b">
        <f>IFERROR(__xludf.DUMMYFUNCTION("""COMPUTED_VALUE"""),TRUE)</f>
        <v>1</v>
      </c>
      <c r="F10" s="86" t="str">
        <f>IFERROR(__xludf.DUMMYFUNCTION("""COMPUTED_VALUE"""),"Multishot Chance")</f>
        <v>Multishot Chance</v>
      </c>
      <c r="G10" s="87">
        <f>IFERROR(__xludf.DUMMYFUNCTION("""COMPUTED_VALUE"""),99.0)</f>
        <v>99</v>
      </c>
      <c r="H10" s="73">
        <f>IFERROR(__xludf.DUMMYFUNCTION("""COMPUTED_VALUE"""),99.0)</f>
        <v>99</v>
      </c>
      <c r="I10" s="73">
        <f>IFERROR(__xludf.DUMMYFUNCTION("""COMPUTED_VALUE"""),99.0)</f>
        <v>99</v>
      </c>
      <c r="J10" s="73">
        <f>IFERROR(__xludf.DUMMYFUNCTION("""COMPUTED_VALUE"""),99.0)</f>
        <v>99</v>
      </c>
      <c r="K10" s="92"/>
      <c r="L10" s="73"/>
      <c r="M10" s="73"/>
      <c r="N10" s="73"/>
      <c r="O10" s="73"/>
      <c r="P10" s="73"/>
      <c r="Q10" s="121">
        <f>IFERROR(__xludf.DUMMYFUNCTION("""COMPUTED_VALUE"""),99.0)</f>
        <v>99</v>
      </c>
      <c r="R10" s="99" t="str">
        <f>IFERROR(__xludf.DUMMYFUNCTION("""COMPUTED_VALUE"""),"Health +")</f>
        <v>Health +</v>
      </c>
      <c r="S10" s="122">
        <f>IFERROR(__xludf.DUMMYFUNCTION("""COMPUTED_VALUE"""),1.62)</f>
        <v>1.62</v>
      </c>
      <c r="T10" s="87">
        <f>IFERROR(__xludf.DUMMYFUNCTION("""COMPUTED_VALUE"""),62.0)</f>
        <v>62</v>
      </c>
      <c r="U10" s="73">
        <f>IFERROR(__xludf.DUMMYFUNCTION("""COMPUTED_VALUE"""),62.0)</f>
        <v>62</v>
      </c>
      <c r="V10" s="73"/>
      <c r="W10" s="73"/>
      <c r="X10" s="73"/>
      <c r="Y10" s="123">
        <f>IFERROR(__xludf.DUMMYFUNCTION("""COMPUTED_VALUE"""),400.0)</f>
        <v>400</v>
      </c>
      <c r="Z10" s="93" t="str">
        <f>IFERROR(__xludf.DUMMYFUNCTION("""COMPUTED_VALUE"""),"Death Wave")</f>
        <v>Death Wave</v>
      </c>
      <c r="AA10" s="73"/>
      <c r="AB10" s="93" t="str">
        <f>IFERROR(__xludf.DUMMYFUNCTION("""COMPUTED_VALUE"""),"Damage")</f>
        <v>Damage</v>
      </c>
      <c r="AC10" s="94">
        <f>IFERROR(__xludf.DUMMYFUNCTION("""COMPUTED_VALUE"""),63.0)</f>
        <v>63</v>
      </c>
      <c r="AD10" s="101" t="str">
        <f>IFERROR(__xludf.DUMMYFUNCTION("""COMPUTED_VALUE"""),"08 | x63 | Cost 47 ⧌ | Next 53 ⧌")</f>
        <v>08 | x63 | Cost 47 ⧌ | Next 53 ⧌</v>
      </c>
      <c r="AE10" s="93" t="str">
        <f>IFERROR(__xludf.DUMMYFUNCTION("""COMPUTED_VALUE"""),"Critical Chance")</f>
        <v>Critical Chance</v>
      </c>
      <c r="AF10" s="97">
        <f>IFERROR(__xludf.DUMMYFUNCTION("""COMPUTED_VALUE"""),7.0)</f>
        <v>7</v>
      </c>
      <c r="AG10" s="98" t="b">
        <f>IFERROR(__xludf.DUMMYFUNCTION("""COMPUTED_VALUE"""),FALSE)</f>
        <v>0</v>
      </c>
      <c r="AH10" s="78" t="str">
        <f>IFERROR(__xludf.DUMMYFUNCTION("""COMPUTED_VALUE"""),"Health Regen")</f>
        <v>Health Regen</v>
      </c>
      <c r="AI10" s="73" t="str">
        <f>IFERROR(__xludf.DUMMYFUNCTION("""COMPUTED_VALUE"""),"Wave Skip")</f>
        <v>Wave Skip</v>
      </c>
      <c r="AJ10" s="114"/>
      <c r="AK10" s="106"/>
      <c r="AL10" s="74"/>
      <c r="AM10" s="93" t="str">
        <f>IFERROR(__xludf.DUMMYFUNCTION("""COMPUTED_VALUE"""),"Lab Speed")</f>
        <v>Lab Speed</v>
      </c>
      <c r="AN10" s="125">
        <f>IFERROR(__xludf.DUMMYFUNCTION("""COMPUTED_VALUE"""),0.395)</f>
        <v>0.395</v>
      </c>
      <c r="AO10" s="102"/>
      <c r="AP10" s="93" t="str">
        <f>IFERROR(__xludf.DUMMYFUNCTION("""COMPUTED_VALUE"""),"Workshop Respec Discount")</f>
        <v>Workshop Respec Discount</v>
      </c>
      <c r="AQ10" s="125">
        <f>IFERROR(__xludf.DUMMYFUNCTION("""COMPUTED_VALUE"""),0.0)</f>
        <v>0</v>
      </c>
      <c r="AR10" s="74"/>
      <c r="AS10" s="82" t="str">
        <f>IFERROR(__xludf.DUMMYFUNCTION("""COMPUTED_VALUE"""),"Golden Bot")</f>
        <v>Golden Bot</v>
      </c>
      <c r="AT10" s="104"/>
      <c r="AU10" s="104" t="str">
        <f>IFERROR(__xludf.DUMMYFUNCTION("""COMPUTED_VALUE"""),"Duration")</f>
        <v>Duration</v>
      </c>
      <c r="AV10" s="160">
        <f>IFERROR(__xludf.DUMMYFUNCTION("""COMPUTED_VALUE"""),26.0)</f>
        <v>26</v>
      </c>
      <c r="AW10" s="82" t="str">
        <f>IFERROR(__xludf.DUMMYFUNCTION("""COMPUTED_VALUE"""),"12 | 26.0s | Cost 540 ⧓ | Next 580 ⧓")</f>
        <v>12 | 26.0s | Cost 540 ⧓ | Next 580 ⧓</v>
      </c>
      <c r="AX10" s="74"/>
      <c r="AY10" s="73"/>
      <c r="AZ10" s="73"/>
      <c r="BA10" s="161"/>
      <c r="BB10" s="82"/>
      <c r="BC10" s="73"/>
      <c r="BD10" s="73"/>
      <c r="BE10" s="73"/>
      <c r="BF10" s="73"/>
      <c r="BG10" s="73"/>
      <c r="BH10" s="73"/>
      <c r="BI10" s="73"/>
      <c r="BJ10" s="73"/>
      <c r="BK10" s="73"/>
      <c r="BL10" s="73"/>
      <c r="BM10" s="73"/>
      <c r="BN10" s="73"/>
      <c r="BO10" s="73"/>
      <c r="BP10" s="73"/>
      <c r="BQ10" s="73"/>
      <c r="BR10" s="73"/>
      <c r="BS10" s="73"/>
      <c r="BT10" s="74"/>
      <c r="BU10" s="108" t="b">
        <f>IFERROR(__xludf.DUMMYFUNCTION("""COMPUTED_VALUE"""),FALSE)</f>
        <v>0</v>
      </c>
      <c r="BV10" s="131" t="str">
        <f>IFERROR(__xludf.DUMMYFUNCTION("""COMPUTED_VALUE"""),"Locked")</f>
        <v>Locked</v>
      </c>
      <c r="BW10" s="73" t="str">
        <f>IFERROR(__xludf.DUMMYFUNCTION("""COMPUTED_VALUE"""),"Targets")</f>
        <v>Targets</v>
      </c>
      <c r="BX10" s="155">
        <f>IFERROR(__xludf.DUMMYFUNCTION("""COMPUTED_VALUE"""),1.0)</f>
        <v>1</v>
      </c>
      <c r="BY10" s="155" t="str">
        <f>IFERROR(__xludf.DUMMYFUNCTION("""COMPUTED_VALUE"""),"00 | 1 | Cost 0 ⧈ | Next 100 ⧈")</f>
        <v>00 | 1 | Cost 0 ⧈ | Next 100 ⧈</v>
      </c>
      <c r="BZ10" s="73" t="str">
        <f>IFERROR(__xludf.DUMMYFUNCTION("""COMPUTED_VALUE"""),"Tier 8")</f>
        <v>Tier 8</v>
      </c>
      <c r="CA10" s="73">
        <f>IFERROR(__xludf.DUMMYFUNCTION("""COMPUTED_VALUE"""),8119.0)</f>
        <v>8119</v>
      </c>
      <c r="CB10" s="73"/>
      <c r="CC10" s="73"/>
      <c r="CD10" s="73" t="str">
        <f>IFERROR(__xludf.DUMMYFUNCTION("""COMPUTED_VALUE"""),"Premium Packs")</f>
        <v>Premium Packs</v>
      </c>
      <c r="CE10" s="73" t="str">
        <f>IFERROR(__xludf.DUMMYFUNCTION("""COMPUTED_VALUE"""),"Unlocked")</f>
        <v>Unlocked</v>
      </c>
    </row>
    <row r="11">
      <c r="A11" s="86" t="str">
        <f>IFERROR(__xludf.DUMMYFUNCTION("""COMPUTED_VALUE"""),"Target Priority")</f>
        <v>Target Priority</v>
      </c>
      <c r="B11" s="87">
        <f>IFERROR(__xludf.DUMMYFUNCTION("""COMPUTED_VALUE"""),2.0)</f>
        <v>2</v>
      </c>
      <c r="C11" s="73"/>
      <c r="D11" s="88">
        <f>IFERROR(__xludf.DUMMYFUNCTION("""COMPUTED_VALUE"""),2.0)</f>
        <v>2</v>
      </c>
      <c r="E11" s="73"/>
      <c r="F11" s="86" t="str">
        <f>IFERROR(__xludf.DUMMYFUNCTION("""COMPUTED_VALUE"""),"Multishot Targets")</f>
        <v>Multishot Targets</v>
      </c>
      <c r="G11" s="87">
        <f>IFERROR(__xludf.DUMMYFUNCTION("""COMPUTED_VALUE"""),7.0)</f>
        <v>7</v>
      </c>
      <c r="H11" s="73">
        <f>IFERROR(__xludf.DUMMYFUNCTION("""COMPUTED_VALUE"""),7.0)</f>
        <v>7</v>
      </c>
      <c r="I11" s="73">
        <f>IFERROR(__xludf.DUMMYFUNCTION("""COMPUTED_VALUE"""),7.0)</f>
        <v>7</v>
      </c>
      <c r="J11" s="73">
        <f>IFERROR(__xludf.DUMMYFUNCTION("""COMPUTED_VALUE"""),7.0)</f>
        <v>7</v>
      </c>
      <c r="K11" s="92"/>
      <c r="L11" s="73"/>
      <c r="M11" s="73"/>
      <c r="N11" s="73"/>
      <c r="O11" s="73"/>
      <c r="P11" s="73"/>
      <c r="Q11" s="121">
        <f>IFERROR(__xludf.DUMMYFUNCTION("""COMPUTED_VALUE"""),7.0)</f>
        <v>7</v>
      </c>
      <c r="R11" s="99" t="str">
        <f>IFERROR(__xludf.DUMMYFUNCTION("""COMPUTED_VALUE"""),"Health Regen +")</f>
        <v>Health Regen +</v>
      </c>
      <c r="S11" s="122">
        <f>IFERROR(__xludf.DUMMYFUNCTION("""COMPUTED_VALUE"""),1.6)</f>
        <v>1.6</v>
      </c>
      <c r="T11" s="87">
        <f>IFERROR(__xludf.DUMMYFUNCTION("""COMPUTED_VALUE"""),60.0)</f>
        <v>60</v>
      </c>
      <c r="U11" s="73">
        <f>IFERROR(__xludf.DUMMYFUNCTION("""COMPUTED_VALUE"""),60.0)</f>
        <v>60</v>
      </c>
      <c r="V11" s="73"/>
      <c r="W11" s="73"/>
      <c r="X11" s="73"/>
      <c r="Y11" s="123">
        <f>IFERROR(__xludf.DUMMYFUNCTION("""COMPUTED_VALUE"""),400.0)</f>
        <v>400</v>
      </c>
      <c r="Z11" s="104"/>
      <c r="AA11" s="73"/>
      <c r="AB11" s="93" t="str">
        <f>IFERROR(__xludf.DUMMYFUNCTION("""COMPUTED_VALUE"""),"Quantity")</f>
        <v>Quantity</v>
      </c>
      <c r="AC11" s="162">
        <f>IFERROR(__xludf.DUMMYFUNCTION("""COMPUTED_VALUE"""),3.0)</f>
        <v>3</v>
      </c>
      <c r="AD11" s="149" t="str">
        <f>IFERROR(__xludf.DUMMYFUNCTION("""COMPUTED_VALUE"""),"02 | #3 | Cost 500 ⧌ | Next 850 ⧌")</f>
        <v>02 | #3 | Cost 500 ⧌ | Next 850 ⧌</v>
      </c>
      <c r="AE11" s="96" t="str">
        <f>IFERROR(__xludf.DUMMYFUNCTION("""COMPUTED_VALUE"""),"Enemy Balance")</f>
        <v>Enemy Balance</v>
      </c>
      <c r="AF11" s="97">
        <f>IFERROR(__xludf.DUMMYFUNCTION("""COMPUTED_VALUE"""),7.0)</f>
        <v>7</v>
      </c>
      <c r="AG11" s="98" t="b">
        <f>IFERROR(__xludf.DUMMYFUNCTION("""COMPUTED_VALUE"""),FALSE)</f>
        <v>0</v>
      </c>
      <c r="AH11" s="163" t="str">
        <f>IFERROR(__xludf.DUMMYFUNCTION("""COMPUTED_VALUE"""),"Wave Accelerator")</f>
        <v>Wave Accelerator</v>
      </c>
      <c r="AI11" s="73" t="str">
        <f>IFERROR(__xludf.DUMMYFUNCTION("""COMPUTED_VALUE"""),"Energy Shield")</f>
        <v>Energy Shield</v>
      </c>
      <c r="AJ11" s="114"/>
      <c r="AK11" s="106"/>
      <c r="AL11" s="74"/>
      <c r="AM11" s="86" t="str">
        <f>IFERROR(__xludf.DUMMYFUNCTION("""COMPUTED_VALUE"""),"Bot Range")</f>
        <v>Bot Range</v>
      </c>
      <c r="AN11" s="164">
        <f>IFERROR(__xludf.DUMMYFUNCTION("""COMPUTED_VALUE"""),9.0)</f>
        <v>9</v>
      </c>
      <c r="AO11" s="102"/>
      <c r="AP11" s="93" t="str">
        <f>IFERROR(__xludf.DUMMYFUNCTION("""COMPUTED_VALUE"""),"Bot Respec Discount")</f>
        <v>Bot Respec Discount</v>
      </c>
      <c r="AQ11" s="144">
        <f>IFERROR(__xludf.DUMMYFUNCTION("""COMPUTED_VALUE"""),0.0)</f>
        <v>0</v>
      </c>
      <c r="AR11" s="74"/>
      <c r="AS11" s="165"/>
      <c r="AT11" s="139"/>
      <c r="AU11" s="73" t="str">
        <f>IFERROR(__xludf.DUMMYFUNCTION("""COMPUTED_VALUE"""),"Cooldown")</f>
        <v>Cooldown</v>
      </c>
      <c r="AV11" s="166">
        <f>IFERROR(__xludf.DUMMYFUNCTION("""COMPUTED_VALUE"""),111.0)</f>
        <v>111</v>
      </c>
      <c r="AW11" s="82" t="str">
        <f>IFERROR(__xludf.DUMMYFUNCTION("""COMPUTED_VALUE"""),"03 | 111s | Cost 180 ⧓ | Next 220 ⧓")</f>
        <v>03 | 111s | Cost 180 ⧓ | Next 220 ⧓</v>
      </c>
      <c r="AX11" s="74"/>
      <c r="AY11" s="73"/>
      <c r="AZ11" s="73"/>
      <c r="BA11" s="167"/>
      <c r="BB11" s="82" t="str">
        <f>IFERROR(__xludf.DUMMYFUNCTION("""COMPUTED_VALUE"""),"Tourney")</f>
        <v>Tourney</v>
      </c>
      <c r="BC11" s="73"/>
      <c r="BD11" s="73"/>
      <c r="BE11" s="73"/>
      <c r="BF11" s="73"/>
      <c r="BG11" s="73" t="str">
        <f>IFERROR(__xludf.DUMMYFUNCTION("""COMPUTED_VALUE"""),"Tourney")</f>
        <v>Tourney</v>
      </c>
      <c r="BH11" s="73"/>
      <c r="BI11" s="73"/>
      <c r="BJ11" s="73"/>
      <c r="BK11" s="73"/>
      <c r="BL11" s="73" t="str">
        <f>IFERROR(__xludf.DUMMYFUNCTION("""COMPUTED_VALUE"""),"Tourney")</f>
        <v>Tourney</v>
      </c>
      <c r="BM11" s="73"/>
      <c r="BN11" s="73"/>
      <c r="BO11" s="73"/>
      <c r="BP11" s="73"/>
      <c r="BQ11" s="73" t="str">
        <f>IFERROR(__xludf.DUMMYFUNCTION("""COMPUTED_VALUE"""),"Tourney")</f>
        <v>Tourney</v>
      </c>
      <c r="BR11" s="73"/>
      <c r="BS11" s="73"/>
      <c r="BT11" s="74"/>
      <c r="BU11" s="73" t="str">
        <f>IFERROR(__xludf.DUMMYFUNCTION("""COMPUTED_VALUE"""),"Fetch")</f>
        <v>Fetch</v>
      </c>
      <c r="BV11" s="73"/>
      <c r="BW11" s="73" t="str">
        <f>IFERROR(__xludf.DUMMYFUNCTION("""COMPUTED_VALUE"""),"Cooldown")</f>
        <v>Cooldown</v>
      </c>
      <c r="BX11" s="120">
        <f>IFERROR(__xludf.DUMMYFUNCTION("""COMPUTED_VALUE"""),88.0)</f>
        <v>88</v>
      </c>
      <c r="BY11" s="155" t="str">
        <f>IFERROR(__xludf.DUMMYFUNCTION("""COMPUTED_VALUE"""),"32 | 88.0s | Cost 64 ⧈ | Next 66 ⧈")</f>
        <v>32 | 88.0s | Cost 64 ⧈ | Next 66 ⧈</v>
      </c>
      <c r="BZ11" s="73" t="str">
        <f>IFERROR(__xludf.DUMMYFUNCTION("""COMPUTED_VALUE"""),"Tier 9")</f>
        <v>Tier 9</v>
      </c>
      <c r="CA11" s="73">
        <f>IFERROR(__xludf.DUMMYFUNCTION("""COMPUTED_VALUE"""),6985.0)</f>
        <v>6985</v>
      </c>
      <c r="CB11" s="73"/>
      <c r="CC11" s="73"/>
      <c r="CD11" s="73" t="str">
        <f>IFERROR(__xludf.DUMMYFUNCTION("""COMPUTED_VALUE"""),"Disable Ads")</f>
        <v>Disable Ads</v>
      </c>
      <c r="CE11" s="73" t="b">
        <f>IFERROR(__xludf.DUMMYFUNCTION("""COMPUTED_VALUE"""),TRUE)</f>
        <v>1</v>
      </c>
    </row>
    <row r="12">
      <c r="A12" s="86" t="str">
        <f>IFERROR(__xludf.DUMMYFUNCTION("""COMPUTED_VALUE"""),"Card Presets")</f>
        <v>Card Presets</v>
      </c>
      <c r="B12" s="87">
        <f>IFERROR(__xludf.DUMMYFUNCTION("""COMPUTED_VALUE"""),1.0)</f>
        <v>1</v>
      </c>
      <c r="C12" s="73"/>
      <c r="D12" s="88">
        <f>IFERROR(__xludf.DUMMYFUNCTION("""COMPUTED_VALUE"""),1.0)</f>
        <v>1</v>
      </c>
      <c r="E12" s="108" t="b">
        <f>IFERROR(__xludf.DUMMYFUNCTION("""COMPUTED_VALUE"""),TRUE)</f>
        <v>1</v>
      </c>
      <c r="F12" s="86" t="str">
        <f>IFERROR(__xludf.DUMMYFUNCTION("""COMPUTED_VALUE"""),"Rapid Fire Chance")</f>
        <v>Rapid Fire Chance</v>
      </c>
      <c r="G12" s="87">
        <f>IFERROR(__xludf.DUMMYFUNCTION("""COMPUTED_VALUE"""),85.0)</f>
        <v>85</v>
      </c>
      <c r="H12" s="73">
        <f>IFERROR(__xludf.DUMMYFUNCTION("""COMPUTED_VALUE"""),85.0)</f>
        <v>85</v>
      </c>
      <c r="I12" s="73">
        <f>IFERROR(__xludf.DUMMYFUNCTION("""COMPUTED_VALUE"""),85.0)</f>
        <v>85</v>
      </c>
      <c r="J12" s="73">
        <f>IFERROR(__xludf.DUMMYFUNCTION("""COMPUTED_VALUE"""),85.0)</f>
        <v>85</v>
      </c>
      <c r="K12" s="92"/>
      <c r="L12" s="73"/>
      <c r="M12" s="73"/>
      <c r="N12" s="73"/>
      <c r="O12" s="73"/>
      <c r="P12" s="73"/>
      <c r="Q12" s="121">
        <f>IFERROR(__xludf.DUMMYFUNCTION("""COMPUTED_VALUE"""),85.0)</f>
        <v>85</v>
      </c>
      <c r="R12" s="99" t="str">
        <f>IFERROR(__xludf.DUMMYFUNCTION("""COMPUTED_VALUE"""),"Defense Absolute +")</f>
        <v>Defense Absolute +</v>
      </c>
      <c r="S12" s="122">
        <f>IFERROR(__xludf.DUMMYFUNCTION("""COMPUTED_VALUE"""),1.0)</f>
        <v>1</v>
      </c>
      <c r="T12" s="87">
        <f>IFERROR(__xludf.DUMMYFUNCTION("""COMPUTED_VALUE"""),0.0)</f>
        <v>0</v>
      </c>
      <c r="U12" s="73">
        <f>IFERROR(__xludf.DUMMYFUNCTION("""COMPUTED_VALUE"""),0.0)</f>
        <v>0</v>
      </c>
      <c r="V12" s="73"/>
      <c r="W12" s="73"/>
      <c r="X12" s="73"/>
      <c r="Y12" s="123">
        <f>IFERROR(__xludf.DUMMYFUNCTION("""COMPUTED_VALUE"""),400.0)</f>
        <v>400</v>
      </c>
      <c r="Z12" s="168" t="b">
        <f>IFERROR(__xludf.DUMMYFUNCTION("""COMPUTED_VALUE"""),TRUE)</f>
        <v>1</v>
      </c>
      <c r="AA12" s="136" t="str">
        <f>IFERROR(__xludf.DUMMYFUNCTION("""COMPUTED_VALUE"""),"UW Unlocked")</f>
        <v>UW Unlocked</v>
      </c>
      <c r="AB12" s="93" t="str">
        <f>IFERROR(__xludf.DUMMYFUNCTION("""COMPUTED_VALUE"""),"Cooldown")</f>
        <v>Cooldown</v>
      </c>
      <c r="AC12" s="169">
        <f>IFERROR(__xludf.DUMMYFUNCTION("""COMPUTED_VALUE"""),180.0)</f>
        <v>180</v>
      </c>
      <c r="AD12" s="149" t="str">
        <f>IFERROR(__xludf.DUMMYFUNCTION("""COMPUTED_VALUE"""),"12 | 180s | Cost 184 ⧌ | Next 200 ⧌")</f>
        <v>12 | 180s | Cost 184 ⧌ | Next 200 ⧌</v>
      </c>
      <c r="AE12" s="96" t="str">
        <f>IFERROR(__xludf.DUMMYFUNCTION("""COMPUTED_VALUE"""),"Extra Defense")</f>
        <v>Extra Defense</v>
      </c>
      <c r="AF12" s="97">
        <f>IFERROR(__xludf.DUMMYFUNCTION("""COMPUTED_VALUE"""),7.0)</f>
        <v>7</v>
      </c>
      <c r="AG12" s="98" t="b">
        <f>IFERROR(__xludf.DUMMYFUNCTION("""COMPUTED_VALUE"""),FALSE)</f>
        <v>0</v>
      </c>
      <c r="AH12" s="118" t="str">
        <f>IFERROR(__xludf.DUMMYFUNCTION("""COMPUTED_VALUE"""),"Critical Coin")</f>
        <v>Critical Coin</v>
      </c>
      <c r="AI12" s="73" t="str">
        <f>IFERROR(__xludf.DUMMYFUNCTION("""COMPUTED_VALUE"""),"Ultimate Crit")</f>
        <v>Ultimate Crit</v>
      </c>
      <c r="AJ12" s="114"/>
      <c r="AK12" s="106"/>
      <c r="AL12" s="74"/>
      <c r="AM12" s="86" t="str">
        <f>IFERROR(__xludf.DUMMYFUNCTION("""COMPUTED_VALUE"""),"Damage‎ ")</f>
        <v>Damage‎ </v>
      </c>
      <c r="AN12" s="73"/>
      <c r="AO12" s="102"/>
      <c r="AP12" s="86" t="str">
        <f>IFERROR(__xludf.DUMMYFUNCTION("""COMPUTED_VALUE"""),"Ad Gems Stack")</f>
        <v>Ad Gems Stack</v>
      </c>
      <c r="AQ12" s="73">
        <f>IFERROR(__xludf.DUMMYFUNCTION("""COMPUTED_VALUE"""),1.0)</f>
        <v>1</v>
      </c>
      <c r="AR12" s="74"/>
      <c r="AS12" s="73"/>
      <c r="AT12" s="73"/>
      <c r="AU12" s="73" t="str">
        <f>IFERROR(__xludf.DUMMYFUNCTION("""COMPUTED_VALUE"""),"Bonus")</f>
        <v>Bonus</v>
      </c>
      <c r="AV12" s="170">
        <f>IFERROR(__xludf.DUMMYFUNCTION("""COMPUTED_VALUE"""),6.200000000000004)</f>
        <v>6.2</v>
      </c>
      <c r="AW12" s="82" t="str">
        <f>IFERROR(__xludf.DUMMYFUNCTION("""COMPUTED_VALUE"""),"21 | x6.2 | Cost 900 ⧓ | Next 940 ⧓")</f>
        <v>21 | x6.2 | Cost 900 ⧓ | Next 940 ⧓</v>
      </c>
      <c r="AX12" s="74"/>
      <c r="AY12" s="73"/>
      <c r="AZ12" s="73"/>
      <c r="BA12" s="171"/>
      <c r="BB12" s="82" t="str">
        <f>IFERROR(__xludf.DUMMYFUNCTION("""COMPUTED_VALUE"""),"Primary Slot")</f>
        <v>Primary Slot</v>
      </c>
      <c r="BC12" s="73" t="str">
        <f>IFERROR(__xludf.DUMMYFUNCTION("""COMPUTED_VALUE"""),"Amplifying Strike")</f>
        <v>Amplifying Strike</v>
      </c>
      <c r="BD12" s="73"/>
      <c r="BE12" s="73"/>
      <c r="BF12" s="73"/>
      <c r="BG12" s="73" t="str">
        <f>IFERROR(__xludf.DUMMYFUNCTION("""COMPUTED_VALUE"""),"Primary Slot")</f>
        <v>Primary Slot</v>
      </c>
      <c r="BH12" s="73" t="str">
        <f>IFERROR(__xludf.DUMMYFUNCTION("""COMPUTED_VALUE"""),"Sharp Fortitude")</f>
        <v>Sharp Fortitude</v>
      </c>
      <c r="BI12" s="73"/>
      <c r="BJ12" s="73"/>
      <c r="BK12" s="73"/>
      <c r="BL12" s="73" t="str">
        <f>IFERROR(__xludf.DUMMYFUNCTION("""COMPUTED_VALUE"""),"Primary Slot")</f>
        <v>Primary Slot</v>
      </c>
      <c r="BM12" s="73" t="str">
        <f>IFERROR(__xludf.DUMMYFUNCTION("""COMPUTED_VALUE"""),"Project Funding")</f>
        <v>Project Funding</v>
      </c>
      <c r="BN12" s="73"/>
      <c r="BO12" s="73"/>
      <c r="BP12" s="73"/>
      <c r="BQ12" s="73" t="str">
        <f>IFERROR(__xludf.DUMMYFUNCTION("""COMPUTED_VALUE"""),"Primary Slot")</f>
        <v>Primary Slot</v>
      </c>
      <c r="BR12" s="73" t="str">
        <f>IFERROR(__xludf.DUMMYFUNCTION("""COMPUTED_VALUE"""),"Primordial Collapse")</f>
        <v>Primordial Collapse</v>
      </c>
      <c r="BS12" s="73"/>
      <c r="BT12" s="74"/>
      <c r="BU12" s="73"/>
      <c r="BV12" s="73"/>
      <c r="BW12" s="73" t="str">
        <f>IFERROR(__xludf.DUMMYFUNCTION("""COMPUTED_VALUE"""),"Find Chance")</f>
        <v>Find Chance</v>
      </c>
      <c r="BX12" s="105">
        <f>IFERROR(__xludf.DUMMYFUNCTION("""COMPUTED_VALUE"""),0.3700000000000002)</f>
        <v>0.37</v>
      </c>
      <c r="BY12" s="155" t="str">
        <f>IFERROR(__xludf.DUMMYFUNCTION("""COMPUTED_VALUE"""),"27 | 37% | Cost 150 ⧈ | Next 155 ⧈")</f>
        <v>27 | 37% | Cost 150 ⧈ | Next 155 ⧈</v>
      </c>
      <c r="BZ12" s="73" t="str">
        <f>IFERROR(__xludf.DUMMYFUNCTION("""COMPUTED_VALUE"""),"Tier 10")</f>
        <v>Tier 10</v>
      </c>
      <c r="CA12" s="73">
        <f>IFERROR(__xludf.DUMMYFUNCTION("""COMPUTED_VALUE"""),11300.0)</f>
        <v>11300</v>
      </c>
      <c r="CB12" s="73" t="b">
        <f>IFERROR(__xludf.DUMMYFUNCTION("""COMPUTED_VALUE"""),TRUE)</f>
        <v>1</v>
      </c>
      <c r="CC12" s="73"/>
      <c r="CD12" s="73" t="str">
        <f>IFERROR(__xludf.DUMMYFUNCTION("""COMPUTED_VALUE"""),"Starter Pack")</f>
        <v>Starter Pack</v>
      </c>
      <c r="CE12" s="73" t="b">
        <f>IFERROR(__xludf.DUMMYFUNCTION("""COMPUTED_VALUE"""),TRUE)</f>
        <v>1</v>
      </c>
    </row>
    <row r="13">
      <c r="A13" s="86" t="str">
        <f>IFERROR(__xludf.DUMMYFUNCTION("""COMPUTED_VALUE"""),"Workshop Respec")</f>
        <v>Workshop Respec</v>
      </c>
      <c r="B13" s="87">
        <f>IFERROR(__xludf.DUMMYFUNCTION("""COMPUTED_VALUE"""),1.0)</f>
        <v>1</v>
      </c>
      <c r="C13" s="73"/>
      <c r="D13" s="88">
        <f>IFERROR(__xludf.DUMMYFUNCTION("""COMPUTED_VALUE"""),1.0)</f>
        <v>1</v>
      </c>
      <c r="E13" s="73"/>
      <c r="F13" s="86" t="str">
        <f>IFERROR(__xludf.DUMMYFUNCTION("""COMPUTED_VALUE"""),"Rapid Fire Duration")</f>
        <v>Rapid Fire Duration</v>
      </c>
      <c r="G13" s="87">
        <f>IFERROR(__xludf.DUMMYFUNCTION("""COMPUTED_VALUE"""),99.0)</f>
        <v>99</v>
      </c>
      <c r="H13" s="73">
        <f>IFERROR(__xludf.DUMMYFUNCTION("""COMPUTED_VALUE"""),99.0)</f>
        <v>99</v>
      </c>
      <c r="I13" s="73">
        <f>IFERROR(__xludf.DUMMYFUNCTION("""COMPUTED_VALUE"""),99.0)</f>
        <v>99</v>
      </c>
      <c r="J13" s="73">
        <f>IFERROR(__xludf.DUMMYFUNCTION("""COMPUTED_VALUE"""),99.0)</f>
        <v>99</v>
      </c>
      <c r="K13" s="92"/>
      <c r="L13" s="73"/>
      <c r="M13" s="73"/>
      <c r="N13" s="73"/>
      <c r="O13" s="73"/>
      <c r="P13" s="73"/>
      <c r="Q13" s="121">
        <f>IFERROR(__xludf.DUMMYFUNCTION("""COMPUTED_VALUE"""),99.0)</f>
        <v>99</v>
      </c>
      <c r="R13" s="99" t="str">
        <f>IFERROR(__xludf.DUMMYFUNCTION("""COMPUTED_VALUE"""),"Land Mine Damage +")</f>
        <v>Land Mine Damage +</v>
      </c>
      <c r="S13" s="122">
        <f>IFERROR(__xludf.DUMMYFUNCTION("""COMPUTED_VALUE"""),2.08)</f>
        <v>2.08</v>
      </c>
      <c r="T13" s="87">
        <f>IFERROR(__xludf.DUMMYFUNCTION("""COMPUTED_VALUE"""),18.0)</f>
        <v>18</v>
      </c>
      <c r="U13" s="73">
        <f>IFERROR(__xludf.DUMMYFUNCTION("""COMPUTED_VALUE"""),18.0)</f>
        <v>18</v>
      </c>
      <c r="V13" s="73"/>
      <c r="W13" s="73"/>
      <c r="X13" s="73"/>
      <c r="Y13" s="123">
        <f>IFERROR(__xludf.DUMMYFUNCTION("""COMPUTED_VALUE"""),400.0)</f>
        <v>400</v>
      </c>
      <c r="Z13" s="93" t="str">
        <f>IFERROR(__xludf.DUMMYFUNCTION("""COMPUTED_VALUE"""),"UW+")</f>
        <v>UW+</v>
      </c>
      <c r="AA13" s="73"/>
      <c r="AB13" s="93" t="str">
        <f>IFERROR(__xludf.DUMMYFUNCTION("""COMPUTED_VALUE"""),"Kill Wall")</f>
        <v>Kill Wall</v>
      </c>
      <c r="AC13" s="172" t="str">
        <f>IFERROR(__xludf.DUMMYFUNCTION("""COMPUTED_VALUE"""),"Locked")</f>
        <v>Locked</v>
      </c>
      <c r="AD13" s="149" t="str">
        <f>IFERROR(__xludf.DUMMYFUNCTION("""COMPUTED_VALUE"""),"Lo | Locked")</f>
        <v>Lo | Locked</v>
      </c>
      <c r="AE13" s="100" t="str">
        <f>IFERROR(__xludf.DUMMYFUNCTION("""COMPUTED_VALUE"""),"Fortress")</f>
        <v>Fortress</v>
      </c>
      <c r="AF13" s="97">
        <f>IFERROR(__xludf.DUMMYFUNCTION("""COMPUTED_VALUE"""),7.0)</f>
        <v>7</v>
      </c>
      <c r="AG13" s="98" t="b">
        <f>IFERROR(__xludf.DUMMYFUNCTION("""COMPUTED_VALUE"""),FALSE)</f>
        <v>0</v>
      </c>
      <c r="AH13" s="173" t="str">
        <f>IFERROR(__xludf.DUMMYFUNCTION("""COMPUTED_VALUE"""),"Second Wind")</f>
        <v>Second Wind</v>
      </c>
      <c r="AI13" s="73" t="str">
        <f>IFERROR(__xludf.DUMMYFUNCTION("""COMPUTED_VALUE"""),"Extra Orb")</f>
        <v>Extra Orb</v>
      </c>
      <c r="AJ13" s="114"/>
      <c r="AK13" s="106"/>
      <c r="AL13" s="74"/>
      <c r="AM13" s="86" t="str">
        <f>IFERROR(__xludf.DUMMYFUNCTION("""COMPUTED_VALUE"""),"Damage")</f>
        <v>Damage</v>
      </c>
      <c r="AN13" s="125">
        <f>IFERROR(__xludf.DUMMYFUNCTION("""COMPUTED_VALUE"""),0.5399999999999999)</f>
        <v>0.54</v>
      </c>
      <c r="AO13" s="102"/>
      <c r="AP13" s="136" t="str">
        <f>IFERROR(__xludf.DUMMYFUNCTION("""COMPUTED_VALUE"""),"Attack")</f>
        <v>Attack</v>
      </c>
      <c r="AQ13" s="174"/>
      <c r="AR13" s="74"/>
      <c r="AS13" s="175" t="b">
        <f>IFERROR(__xludf.DUMMYFUNCTION("""COMPUTED_VALUE"""),TRUE)</f>
        <v>1</v>
      </c>
      <c r="AT13" s="131" t="str">
        <f>IFERROR(__xludf.DUMMYFUNCTION("""COMPUTED_VALUE"""),"Unlocked")</f>
        <v>Unlocked</v>
      </c>
      <c r="AU13" s="73" t="str">
        <f>IFERROR(__xludf.DUMMYFUNCTION("""COMPUTED_VALUE"""),"Range")</f>
        <v>Range</v>
      </c>
      <c r="AV13" s="158">
        <f>IFERROR(__xludf.DUMMYFUNCTION("""COMPUTED_VALUE"""),50.0)</f>
        <v>50</v>
      </c>
      <c r="AW13" s="82" t="str">
        <f>IFERROR(__xludf.DUMMYFUNCTION("""COMPUTED_VALUE"""),"15 | 50m | Cost 660 ⧓ | Maxed")</f>
        <v>15 | 50m | Cost 660 ⧓ | Maxed</v>
      </c>
      <c r="AX13" s="74"/>
      <c r="AY13" s="131"/>
      <c r="AZ13" s="73"/>
      <c r="BA13" s="159"/>
      <c r="BB13" s="82" t="str">
        <f>IFERROR(__xludf.DUMMYFUNCTION("""COMPUTED_VALUE"""),"Assist Slot")</f>
        <v>Assist Slot</v>
      </c>
      <c r="BC13" s="73"/>
      <c r="BD13" s="73"/>
      <c r="BE13" s="73"/>
      <c r="BF13" s="73"/>
      <c r="BG13" s="73" t="str">
        <f>IFERROR(__xludf.DUMMYFUNCTION("""COMPUTED_VALUE"""),"Assist Slot")</f>
        <v>Assist Slot</v>
      </c>
      <c r="BH13" s="73" t="str">
        <f>IFERROR(__xludf.DUMMYFUNCTION("""COMPUTED_VALUE"""),"Anti-Cube Portal")</f>
        <v>Anti-Cube Portal</v>
      </c>
      <c r="BI13" s="73"/>
      <c r="BJ13" s="73"/>
      <c r="BK13" s="73"/>
      <c r="BL13" s="73" t="str">
        <f>IFERROR(__xludf.DUMMYFUNCTION("""COMPUTED_VALUE"""),"Assist Slot")</f>
        <v>Assist Slot</v>
      </c>
      <c r="BM13" s="73" t="str">
        <f>IFERROR(__xludf.DUMMYFUNCTION("""COMPUTED_VALUE"""),"Galaxy Compressor")</f>
        <v>Galaxy Compressor</v>
      </c>
      <c r="BN13" s="73"/>
      <c r="BO13" s="73"/>
      <c r="BP13" s="73"/>
      <c r="BQ13" s="73" t="str">
        <f>IFERROR(__xludf.DUMMYFUNCTION("""COMPUTED_VALUE"""),"Assist Slot")</f>
        <v>Assist Slot</v>
      </c>
      <c r="BR13" s="73" t="str">
        <f>IFERROR(__xludf.DUMMYFUNCTION("""COMPUTED_VALUE"""),"Dimension Core")</f>
        <v>Dimension Core</v>
      </c>
      <c r="BS13" s="73"/>
      <c r="BT13" s="74"/>
      <c r="BU13" s="108" t="b">
        <f>IFERROR(__xludf.DUMMYFUNCTION("""COMPUTED_VALUE"""),TRUE)</f>
        <v>1</v>
      </c>
      <c r="BV13" s="131" t="str">
        <f>IFERROR(__xludf.DUMMYFUNCTION("""COMPUTED_VALUE"""),"Unlocked")</f>
        <v>Unlocked</v>
      </c>
      <c r="BW13" s="73" t="str">
        <f>IFERROR(__xludf.DUMMYFUNCTION("""COMPUTED_VALUE"""),"Double Find Chance")</f>
        <v>Double Find Chance</v>
      </c>
      <c r="BX13" s="105">
        <f>IFERROR(__xludf.DUMMYFUNCTION("""COMPUTED_VALUE"""),0.10999999999999999)</f>
        <v>0.11</v>
      </c>
      <c r="BY13" s="155" t="str">
        <f>IFERROR(__xludf.DUMMYFUNCTION("""COMPUTED_VALUE"""),"09 | 11% | Cost 50 ⧈ | Next 55 ⧈")</f>
        <v>09 | 11% | Cost 50 ⧈ | Next 55 ⧈</v>
      </c>
      <c r="BZ13" s="73" t="str">
        <f>IFERROR(__xludf.DUMMYFUNCTION("""COMPUTED_VALUE"""),"Tier 11")</f>
        <v>Tier 11</v>
      </c>
      <c r="CA13" s="73">
        <f>IFERROR(__xludf.DUMMYFUNCTION("""COMPUTED_VALUE"""),11538.0)</f>
        <v>11538</v>
      </c>
      <c r="CB13" s="73"/>
      <c r="CC13" s="73"/>
      <c r="CD13" s="73" t="str">
        <f>IFERROR(__xludf.DUMMYFUNCTION("""COMPUTED_VALUE"""),"Epic Pack")</f>
        <v>Epic Pack</v>
      </c>
      <c r="CE13" s="73" t="b">
        <f>IFERROR(__xludf.DUMMYFUNCTION("""COMPUTED_VALUE"""),TRUE)</f>
        <v>1</v>
      </c>
    </row>
    <row r="14">
      <c r="A14" s="86" t="str">
        <f>IFERROR(__xludf.DUMMYFUNCTION("""COMPUTED_VALUE"""),"Reroll Daily Mission")</f>
        <v>Reroll Daily Mission</v>
      </c>
      <c r="B14" s="87">
        <f>IFERROR(__xludf.DUMMYFUNCTION("""COMPUTED_VALUE"""),1.0)</f>
        <v>1</v>
      </c>
      <c r="C14" s="73"/>
      <c r="D14" s="88">
        <f>IFERROR(__xludf.DUMMYFUNCTION("""COMPUTED_VALUE"""),1.0)</f>
        <v>1</v>
      </c>
      <c r="E14" s="108" t="b">
        <f>IFERROR(__xludf.DUMMYFUNCTION("""COMPUTED_VALUE"""),TRUE)</f>
        <v>1</v>
      </c>
      <c r="F14" s="86" t="str">
        <f>IFERROR(__xludf.DUMMYFUNCTION("""COMPUTED_VALUE"""),"Bounce Shot Chance")</f>
        <v>Bounce Shot Chance</v>
      </c>
      <c r="G14" s="87">
        <f>IFERROR(__xludf.DUMMYFUNCTION("""COMPUTED_VALUE"""),85.0)</f>
        <v>85</v>
      </c>
      <c r="H14" s="73">
        <f>IFERROR(__xludf.DUMMYFUNCTION("""COMPUTED_VALUE"""),85.0)</f>
        <v>85</v>
      </c>
      <c r="I14" s="73">
        <f>IFERROR(__xludf.DUMMYFUNCTION("""COMPUTED_VALUE"""),85.0)</f>
        <v>85</v>
      </c>
      <c r="J14" s="73">
        <f>IFERROR(__xludf.DUMMYFUNCTION("""COMPUTED_VALUE"""),85.0)</f>
        <v>85</v>
      </c>
      <c r="K14" s="92"/>
      <c r="L14" s="73"/>
      <c r="M14" s="73"/>
      <c r="N14" s="73"/>
      <c r="O14" s="73"/>
      <c r="P14" s="73"/>
      <c r="Q14" s="121">
        <f>IFERROR(__xludf.DUMMYFUNCTION("""COMPUTED_VALUE"""),85.0)</f>
        <v>85</v>
      </c>
      <c r="R14" s="99" t="str">
        <f>IFERROR(__xludf.DUMMYFUNCTION("""COMPUTED_VALUE"""),"Wall Health +")</f>
        <v>Wall Health +</v>
      </c>
      <c r="S14" s="122">
        <f>IFERROR(__xludf.DUMMYFUNCTION("""COMPUTED_VALUE"""),1.5899999999999999)</f>
        <v>1.59</v>
      </c>
      <c r="T14" s="87">
        <f>IFERROR(__xludf.DUMMYFUNCTION("""COMPUTED_VALUE"""),59.0)</f>
        <v>59</v>
      </c>
      <c r="U14" s="73">
        <f>IFERROR(__xludf.DUMMYFUNCTION("""COMPUTED_VALUE"""),59.0)</f>
        <v>59</v>
      </c>
      <c r="V14" s="73"/>
      <c r="W14" s="73"/>
      <c r="X14" s="73"/>
      <c r="Y14" s="123">
        <f>IFERROR(__xludf.DUMMYFUNCTION("""COMPUTED_VALUE"""),400.0)</f>
        <v>400</v>
      </c>
      <c r="Z14" s="93" t="str">
        <f>IFERROR(__xludf.DUMMYFUNCTION("""COMPUTED_VALUE"""),"Chrono Field")</f>
        <v>Chrono Field</v>
      </c>
      <c r="AA14" s="73"/>
      <c r="AB14" s="93" t="str">
        <f>IFERROR(__xludf.DUMMYFUNCTION("""COMPUTED_VALUE"""),"Duration")</f>
        <v>Duration</v>
      </c>
      <c r="AC14" s="152">
        <f>IFERROR(__xludf.DUMMYFUNCTION("""COMPUTED_VALUE"""),20.0)</f>
        <v>20</v>
      </c>
      <c r="AD14" s="95" t="str">
        <f>IFERROR(__xludf.DUMMYFUNCTION("""COMPUTED_VALUE"""),"15 | 20s | Cost 131 ⧌ | Next 140 ⧌")</f>
        <v>15 | 20s | Cost 131 ⧌ | Next 140 ⧌</v>
      </c>
      <c r="AE14" s="100" t="str">
        <f>IFERROR(__xludf.DUMMYFUNCTION("""COMPUTED_VALUE"""),"Free Upgrades")</f>
        <v>Free Upgrades</v>
      </c>
      <c r="AF14" s="97">
        <f>IFERROR(__xludf.DUMMYFUNCTION("""COMPUTED_VALUE"""),7.0)</f>
        <v>7</v>
      </c>
      <c r="AG14" s="98" t="b">
        <f>IFERROR(__xludf.DUMMYFUNCTION("""COMPUTED_VALUE"""),FALSE)</f>
        <v>0</v>
      </c>
      <c r="AH14" s="153" t="str">
        <f>IFERROR(__xludf.DUMMYFUNCTION("""COMPUTED_VALUE"""),"Energy Shield")</f>
        <v>Energy Shield</v>
      </c>
      <c r="AI14" s="82" t="str">
        <f>IFERROR(__xludf.DUMMYFUNCTION("""COMPUTED_VALUE"""),"Recovery Package Chance")</f>
        <v>Recovery Package Chance</v>
      </c>
      <c r="AJ14" s="114"/>
      <c r="AK14" s="106"/>
      <c r="AL14" s="74"/>
      <c r="AM14" s="86" t="str">
        <f>IFERROR(__xludf.DUMMYFUNCTION("""COMPUTED_VALUE"""),"Ultimate Damage")</f>
        <v>Ultimate Damage</v>
      </c>
      <c r="AN14" s="125">
        <f>IFERROR(__xludf.DUMMYFUNCTION("""COMPUTED_VALUE"""),0.22000000000000003)</f>
        <v>0.22</v>
      </c>
      <c r="AO14" s="102"/>
      <c r="AP14" s="86" t="str">
        <f>IFERROR(__xludf.DUMMYFUNCTION("""COMPUTED_VALUE"""),"Damage")</f>
        <v>Damage</v>
      </c>
      <c r="AQ14" s="174">
        <f>IFERROR(__xludf.DUMMYFUNCTION("""COMPUTED_VALUE"""),0.0)</f>
        <v>0</v>
      </c>
      <c r="AR14" s="74"/>
      <c r="AS14" s="82" t="str">
        <f>IFERROR(__xludf.DUMMYFUNCTION("""COMPUTED_VALUE"""),"Amplify Bot")</f>
        <v>Amplify Bot</v>
      </c>
      <c r="AT14" s="104"/>
      <c r="AU14" s="73" t="str">
        <f>IFERROR(__xludf.DUMMYFUNCTION("""COMPUTED_VALUE"""),"Duration")</f>
        <v>Duration</v>
      </c>
      <c r="AV14" s="160">
        <f>IFERROR(__xludf.DUMMYFUNCTION("""COMPUTED_VALUE"""),20.0)</f>
        <v>20</v>
      </c>
      <c r="AW14" s="82" t="str">
        <f>IFERROR(__xludf.DUMMYFUNCTION("""COMPUTED_VALUE"""),"00 | 20.0s | Cost 0 ⧓ | Next 100 ⧓")</f>
        <v>00 | 20.0s | Cost 0 ⧓ | Next 100 ⧓</v>
      </c>
      <c r="AX14" s="74"/>
      <c r="AY14" s="73"/>
      <c r="AZ14" s="73"/>
      <c r="BA14" s="161"/>
      <c r="BB14" s="82"/>
      <c r="BC14" s="73"/>
      <c r="BD14" s="73"/>
      <c r="BE14" s="73"/>
      <c r="BF14" s="73"/>
      <c r="BG14" s="73"/>
      <c r="BH14" s="73"/>
      <c r="BI14" s="73"/>
      <c r="BJ14" s="73"/>
      <c r="BK14" s="73"/>
      <c r="BL14" s="73"/>
      <c r="BM14" s="73"/>
      <c r="BN14" s="73"/>
      <c r="BO14" s="73"/>
      <c r="BP14" s="73"/>
      <c r="BQ14" s="73"/>
      <c r="BR14" s="73"/>
      <c r="BS14" s="73"/>
      <c r="BT14" s="74"/>
      <c r="BU14" s="73" t="str">
        <f>IFERROR(__xludf.DUMMYFUNCTION("""COMPUTED_VALUE"""),"Summon")</f>
        <v>Summon</v>
      </c>
      <c r="BV14" s="73"/>
      <c r="BW14" s="73" t="str">
        <f>IFERROR(__xludf.DUMMYFUNCTION("""COMPUTED_VALUE"""),"Cooldown")</f>
        <v>Cooldown</v>
      </c>
      <c r="BX14" s="176">
        <f>IFERROR(__xludf.DUMMYFUNCTION("""COMPUTED_VALUE"""),90.0)</f>
        <v>90</v>
      </c>
      <c r="BY14" s="82" t="str">
        <f>IFERROR(__xludf.DUMMYFUNCTION("""COMPUTED_VALUE"""),"50 | 90s | Cost 99 ⧈ | Next 101 ⧈")</f>
        <v>50 | 90s | Cost 99 ⧈ | Next 101 ⧈</v>
      </c>
      <c r="BZ14" s="73" t="str">
        <f>IFERROR(__xludf.DUMMYFUNCTION("""COMPUTED_VALUE"""),"Tier 12")</f>
        <v>Tier 12</v>
      </c>
      <c r="CA14" s="73">
        <f>IFERROR(__xludf.DUMMYFUNCTION("""COMPUTED_VALUE"""),10006.0)</f>
        <v>10006</v>
      </c>
      <c r="CB14" s="73"/>
      <c r="CC14" s="73"/>
      <c r="CD14" s="73" t="str">
        <f>IFERROR(__xludf.DUMMYFUNCTION("""COMPUTED_VALUE"""),"Coin Multiplier")</f>
        <v>Coin Multiplier</v>
      </c>
      <c r="CE14" s="73" t="str">
        <f>IFERROR(__xludf.DUMMYFUNCTION("""COMPUTED_VALUE"""),"x9")</f>
        <v>x9</v>
      </c>
    </row>
    <row r="15">
      <c r="A15" s="86" t="str">
        <f>IFERROR(__xludf.DUMMYFUNCTION("""COMPUTED_VALUE"""),"Workshop Enhancements")</f>
        <v>Workshop Enhancements</v>
      </c>
      <c r="B15" s="87">
        <f>IFERROR(__xludf.DUMMYFUNCTION("""COMPUTED_VALUE"""),1.0)</f>
        <v>1</v>
      </c>
      <c r="C15" s="73"/>
      <c r="D15" s="88">
        <f>IFERROR(__xludf.DUMMYFUNCTION("""COMPUTED_VALUE"""),1.0)</f>
        <v>1</v>
      </c>
      <c r="E15" s="73"/>
      <c r="F15" s="86" t="str">
        <f>IFERROR(__xludf.DUMMYFUNCTION("""COMPUTED_VALUE"""),"Bounce Shot Targets")</f>
        <v>Bounce Shot Targets</v>
      </c>
      <c r="G15" s="87">
        <f>IFERROR(__xludf.DUMMYFUNCTION("""COMPUTED_VALUE"""),5.0)</f>
        <v>5</v>
      </c>
      <c r="H15" s="73">
        <f>IFERROR(__xludf.DUMMYFUNCTION("""COMPUTED_VALUE"""),7.0)</f>
        <v>7</v>
      </c>
      <c r="I15" s="73">
        <f>IFERROR(__xludf.DUMMYFUNCTION("""COMPUTED_VALUE"""),5.0)</f>
        <v>5</v>
      </c>
      <c r="J15" s="73">
        <f>IFERROR(__xludf.DUMMYFUNCTION("""COMPUTED_VALUE"""),7.0)</f>
        <v>7</v>
      </c>
      <c r="K15" s="92"/>
      <c r="L15" s="73"/>
      <c r="M15" s="73"/>
      <c r="N15" s="73"/>
      <c r="O15" s="73"/>
      <c r="P15" s="73"/>
      <c r="Q15" s="121">
        <f>IFERROR(__xludf.DUMMYFUNCTION("""COMPUTED_VALUE"""),7.0)</f>
        <v>7</v>
      </c>
      <c r="R15" s="99" t="str">
        <f>IFERROR(__xludf.DUMMYFUNCTION("""COMPUTED_VALUE"""),"Orb Size +")</f>
        <v>Orb Size +</v>
      </c>
      <c r="S15" s="122">
        <f>IFERROR(__xludf.DUMMYFUNCTION("""COMPUTED_VALUE"""),1.2)</f>
        <v>1.2</v>
      </c>
      <c r="T15" s="87">
        <f>IFERROR(__xludf.DUMMYFUNCTION("""COMPUTED_VALUE"""),20.0)</f>
        <v>20</v>
      </c>
      <c r="U15" s="73">
        <f>IFERROR(__xludf.DUMMYFUNCTION("""COMPUTED_VALUE"""),20.0)</f>
        <v>20</v>
      </c>
      <c r="V15" s="73"/>
      <c r="W15" s="73"/>
      <c r="X15" s="73"/>
      <c r="Y15" s="123">
        <f>IFERROR(__xludf.DUMMYFUNCTION("""COMPUTED_VALUE"""),200.0)</f>
        <v>200</v>
      </c>
      <c r="Z15" s="104"/>
      <c r="AA15" s="73"/>
      <c r="AB15" s="93" t="str">
        <f>IFERROR(__xludf.DUMMYFUNCTION("""COMPUTED_VALUE"""),"Speed Reduction")</f>
        <v>Speed Reduction</v>
      </c>
      <c r="AC15" s="174">
        <f>IFERROR(__xludf.DUMMYFUNCTION("""COMPUTED_VALUE"""),0.5)</f>
        <v>0.5</v>
      </c>
      <c r="AD15" s="95" t="str">
        <f>IFERROR(__xludf.DUMMYFUNCTION("""COMPUTED_VALUE"""),"06 | 50% | Cost 150 ⧌ | Next 200 ⧌")</f>
        <v>06 | 50% | Cost 150 ⧌ | Next 200 ⧌</v>
      </c>
      <c r="AE15" s="100" t="str">
        <f>IFERROR(__xludf.DUMMYFUNCTION("""COMPUTED_VALUE"""),"Extra Orb")</f>
        <v>Extra Orb</v>
      </c>
      <c r="AF15" s="97">
        <f>IFERROR(__xludf.DUMMYFUNCTION("""COMPUTED_VALUE"""),7.0)</f>
        <v>7</v>
      </c>
      <c r="AG15" s="98" t="b">
        <f>IFERROR(__xludf.DUMMYFUNCTION("""COMPUTED_VALUE"""),FALSE)</f>
        <v>0</v>
      </c>
      <c r="AH15" s="114" t="str">
        <f>IFERROR(__xludf.DUMMYFUNCTION("""COMPUTED_VALUE"""),"Recovery Package Chance")</f>
        <v>Recovery Package Chance</v>
      </c>
      <c r="AI15" s="82" t="str">
        <f>IFERROR(__xludf.DUMMYFUNCTION("""COMPUTED_VALUE"""),"Extra Defense")</f>
        <v>Extra Defense</v>
      </c>
      <c r="AJ15" s="114"/>
      <c r="AK15" s="106"/>
      <c r="AL15" s="74"/>
      <c r="AM15" s="86" t="str">
        <f>IFERROR(__xludf.DUMMYFUNCTION("""COMPUTED_VALUE"""),"Attack Speed")</f>
        <v>Attack Speed</v>
      </c>
      <c r="AN15" s="125">
        <f>IFERROR(__xludf.DUMMYFUNCTION("""COMPUTED_VALUE"""),0.05)</f>
        <v>0.05</v>
      </c>
      <c r="AO15" s="102"/>
      <c r="AP15" s="86" t="str">
        <f>IFERROR(__xludf.DUMMYFUNCTION("""COMPUTED_VALUE"""),"Ultimate Weapon Damage")</f>
        <v>Ultimate Weapon Damage</v>
      </c>
      <c r="AQ15" s="174">
        <f>IFERROR(__xludf.DUMMYFUNCTION("""COMPUTED_VALUE"""),0.0)</f>
        <v>0</v>
      </c>
      <c r="AR15" s="74"/>
      <c r="AS15" s="104"/>
      <c r="AT15" s="104"/>
      <c r="AU15" s="73" t="str">
        <f>IFERROR(__xludf.DUMMYFUNCTION("""COMPUTED_VALUE"""),"Cooldown")</f>
        <v>Cooldown</v>
      </c>
      <c r="AV15" s="177">
        <f>IFERROR(__xludf.DUMMYFUNCTION("""COMPUTED_VALUE"""),120.0)</f>
        <v>120</v>
      </c>
      <c r="AW15" s="82" t="str">
        <f>IFERROR(__xludf.DUMMYFUNCTION("""COMPUTED_VALUE"""),"00 | 120s | Cost 0 ⧓ | Next 100 ⧓")</f>
        <v>00 | 120s | Cost 0 ⧓ | Next 100 ⧓</v>
      </c>
      <c r="AX15" s="74"/>
      <c r="AY15" s="73"/>
      <c r="AZ15" s="73"/>
      <c r="BA15" s="178"/>
      <c r="BB15" s="82" t="str">
        <f>IFERROR(__xludf.DUMMYFUNCTION("""COMPUTED_VALUE"""),"Testing")</f>
        <v>Testing</v>
      </c>
      <c r="BC15" s="73"/>
      <c r="BD15" s="73"/>
      <c r="BE15" s="73"/>
      <c r="BF15" s="73"/>
      <c r="BG15" s="73" t="str">
        <f>IFERROR(__xludf.DUMMYFUNCTION("""COMPUTED_VALUE"""),"Testing")</f>
        <v>Testing</v>
      </c>
      <c r="BH15" s="73"/>
      <c r="BI15" s="73"/>
      <c r="BJ15" s="73"/>
      <c r="BK15" s="73"/>
      <c r="BL15" s="73" t="str">
        <f>IFERROR(__xludf.DUMMYFUNCTION("""COMPUTED_VALUE"""),"Testing")</f>
        <v>Testing</v>
      </c>
      <c r="BM15" s="73"/>
      <c r="BN15" s="73"/>
      <c r="BO15" s="73"/>
      <c r="BP15" s="73"/>
      <c r="BQ15" s="73" t="str">
        <f>IFERROR(__xludf.DUMMYFUNCTION("""COMPUTED_VALUE"""),"Testing")</f>
        <v>Testing</v>
      </c>
      <c r="BR15" s="73"/>
      <c r="BS15" s="73"/>
      <c r="BT15" s="74"/>
      <c r="BU15" s="73"/>
      <c r="BV15" s="73"/>
      <c r="BW15" s="73" t="str">
        <f>IFERROR(__xludf.DUMMYFUNCTION("""COMPUTED_VALUE"""),"Duration")</f>
        <v>Duration</v>
      </c>
      <c r="BX15" s="176">
        <f>IFERROR(__xludf.DUMMYFUNCTION("""COMPUTED_VALUE"""),24.0)</f>
        <v>24</v>
      </c>
      <c r="BY15" s="82" t="str">
        <f>IFERROR(__xludf.DUMMYFUNCTION("""COMPUTED_VALUE"""),"19 | 24s| Cost 195 ⧈ | Next 205 ⧈")</f>
        <v>19 | 24s| Cost 195 ⧈ | Next 205 ⧈</v>
      </c>
      <c r="BZ15" s="73" t="str">
        <f>IFERROR(__xludf.DUMMYFUNCTION("""COMPUTED_VALUE"""),"Tier 13")</f>
        <v>Tier 13</v>
      </c>
      <c r="CA15" s="73">
        <f>IFERROR(__xludf.DUMMYFUNCTION("""COMPUTED_VALUE"""),6908.0)</f>
        <v>6908</v>
      </c>
      <c r="CB15" s="73" t="b">
        <f>IFERROR(__xludf.DUMMYFUNCTION("""COMPUTED_VALUE"""),TRUE)</f>
        <v>1</v>
      </c>
      <c r="CC15" s="73"/>
      <c r="CD15" s="73"/>
      <c r="CE15" s="73"/>
    </row>
    <row r="16">
      <c r="A16" s="136" t="str">
        <f>IFERROR(__xludf.DUMMYFUNCTION("""COMPUTED_VALUE"""),"Enhancement Attack - Coin Discount")</f>
        <v>Enhancement Attack - Coin Discount</v>
      </c>
      <c r="B16" s="87">
        <f>IFERROR(__xludf.DUMMYFUNCTION("""COMPUTED_VALUE"""),0.0)</f>
        <v>0</v>
      </c>
      <c r="C16" s="73"/>
      <c r="D16" s="88">
        <f>IFERROR(__xludf.DUMMYFUNCTION("""COMPUTED_VALUE"""),100.0)</f>
        <v>100</v>
      </c>
      <c r="E16" s="73"/>
      <c r="F16" s="86" t="str">
        <f>IFERROR(__xludf.DUMMYFUNCTION("""COMPUTED_VALUE"""),"Bounce Shot Range")</f>
        <v>Bounce Shot Range</v>
      </c>
      <c r="G16" s="87">
        <f>IFERROR(__xludf.DUMMYFUNCTION("""COMPUTED_VALUE"""),60.0)</f>
        <v>60</v>
      </c>
      <c r="H16" s="73">
        <f>IFERROR(__xludf.DUMMYFUNCTION("""COMPUTED_VALUE"""),60.0)</f>
        <v>60</v>
      </c>
      <c r="I16" s="73">
        <f>IFERROR(__xludf.DUMMYFUNCTION("""COMPUTED_VALUE"""),60.0)</f>
        <v>60</v>
      </c>
      <c r="J16" s="73">
        <f>IFERROR(__xludf.DUMMYFUNCTION("""COMPUTED_VALUE"""),60.0)</f>
        <v>60</v>
      </c>
      <c r="K16" s="92"/>
      <c r="L16" s="73"/>
      <c r="M16" s="73"/>
      <c r="N16" s="73"/>
      <c r="O16" s="73"/>
      <c r="P16" s="73"/>
      <c r="Q16" s="121">
        <f>IFERROR(__xludf.DUMMYFUNCTION("""COMPUTED_VALUE"""),60.0)</f>
        <v>60</v>
      </c>
      <c r="R16" s="99" t="str">
        <f>IFERROR(__xludf.DUMMYFUNCTION("""COMPUTED_VALUE"""),"Cash Bonus +")</f>
        <v>Cash Bonus +</v>
      </c>
      <c r="S16" s="122">
        <f>IFERROR(__xludf.DUMMYFUNCTION("""COMPUTED_VALUE"""),1.44)</f>
        <v>1.44</v>
      </c>
      <c r="T16" s="87">
        <f>IFERROR(__xludf.DUMMYFUNCTION("""COMPUTED_VALUE"""),44.0)</f>
        <v>44</v>
      </c>
      <c r="U16" s="73">
        <f>IFERROR(__xludf.DUMMYFUNCTION("""COMPUTED_VALUE"""),44.0)</f>
        <v>44</v>
      </c>
      <c r="V16" s="73"/>
      <c r="W16" s="73"/>
      <c r="X16" s="73"/>
      <c r="Y16" s="123">
        <f>IFERROR(__xludf.DUMMYFUNCTION("""COMPUTED_VALUE"""),400.0)</f>
        <v>400</v>
      </c>
      <c r="Z16" s="124" t="b">
        <f>IFERROR(__xludf.DUMMYFUNCTION("""COMPUTED_VALUE"""),TRUE)</f>
        <v>1</v>
      </c>
      <c r="AA16" s="86" t="str">
        <f>IFERROR(__xludf.DUMMYFUNCTION("""COMPUTED_VALUE"""),"UW Unlocked")</f>
        <v>UW Unlocked</v>
      </c>
      <c r="AB16" s="93" t="str">
        <f>IFERROR(__xludf.DUMMYFUNCTION("""COMPUTED_VALUE"""),"Cooldown")</f>
        <v>Cooldown</v>
      </c>
      <c r="AC16" s="152">
        <f>IFERROR(__xludf.DUMMYFUNCTION("""COMPUTED_VALUE"""),60.0)</f>
        <v>60</v>
      </c>
      <c r="AD16" s="95" t="str">
        <f>IFERROR(__xludf.DUMMYFUNCTION("""COMPUTED_VALUE"""),"12 | 60s | Cost 241 ⧌ | Maxed")</f>
        <v>12 | 60s | Cost 241 ⧌ | Maxed</v>
      </c>
      <c r="AE16" s="100" t="str">
        <f>IFERROR(__xludf.DUMMYFUNCTION("""COMPUTED_VALUE"""),"Plasma Cannon")</f>
        <v>Plasma Cannon</v>
      </c>
      <c r="AF16" s="97">
        <f>IFERROR(__xludf.DUMMYFUNCTION("""COMPUTED_VALUE"""),7.0)</f>
        <v>7</v>
      </c>
      <c r="AG16" s="98" t="b">
        <f>IFERROR(__xludf.DUMMYFUNCTION("""COMPUTED_VALUE"""),FALSE)</f>
        <v>0</v>
      </c>
      <c r="AH16" s="153" t="str">
        <f>IFERROR(__xludf.DUMMYFUNCTION("""COMPUTED_VALUE"""),"Intro Sprint")</f>
        <v>Intro Sprint</v>
      </c>
      <c r="AI16" s="82" t="str">
        <f>IFERROR(__xludf.DUMMYFUNCTION("""COMPUTED_VALUE"""),"Slow Aura")</f>
        <v>Slow Aura</v>
      </c>
      <c r="AJ16" s="114"/>
      <c r="AK16" s="106"/>
      <c r="AL16" s="74"/>
      <c r="AM16" s="86" t="str">
        <f>IFERROR(__xludf.DUMMYFUNCTION("""COMPUTED_VALUE"""),"Crit Chance")</f>
        <v>Crit Chance</v>
      </c>
      <c r="AN16" s="125">
        <f>IFERROR(__xludf.DUMMYFUNCTION("""COMPUTED_VALUE"""),0.06)</f>
        <v>0.06</v>
      </c>
      <c r="AO16" s="102"/>
      <c r="AP16" s="86" t="str">
        <f>IFERROR(__xludf.DUMMYFUNCTION("""COMPUTED_VALUE"""),"Attack Speed")</f>
        <v>Attack Speed</v>
      </c>
      <c r="AQ16" s="174">
        <f>IFERROR(__xludf.DUMMYFUNCTION("""COMPUTED_VALUE"""),0.0)</f>
        <v>0</v>
      </c>
      <c r="AR16" s="74"/>
      <c r="AS16" s="104"/>
      <c r="AT16" s="104"/>
      <c r="AU16" s="73" t="str">
        <f>IFERROR(__xludf.DUMMYFUNCTION("""COMPUTED_VALUE"""),"Bonus")</f>
        <v>Bonus</v>
      </c>
      <c r="AV16" s="170">
        <f>IFERROR(__xludf.DUMMYFUNCTION("""COMPUTED_VALUE"""),3.5)</f>
        <v>3.5</v>
      </c>
      <c r="AW16" s="82" t="str">
        <f>IFERROR(__xludf.DUMMYFUNCTION("""COMPUTED_VALUE"""),"00 | x3.5 | Cost 0 ⧓ | Next 100 ⧓")</f>
        <v>00 | x3.5 | Cost 0 ⧓ | Next 100 ⧓</v>
      </c>
      <c r="AX16" s="74"/>
      <c r="AY16" s="73"/>
      <c r="AZ16" s="73"/>
      <c r="BA16" s="171"/>
      <c r="BB16" s="82" t="str">
        <f>IFERROR(__xludf.DUMMYFUNCTION("""COMPUTED_VALUE"""),"Primary Slot")</f>
        <v>Primary Slot</v>
      </c>
      <c r="BC16" s="73" t="str">
        <f>IFERROR(__xludf.DUMMYFUNCTION("""COMPUTED_VALUE"""),"Being Annihilator")</f>
        <v>Being Annihilator</v>
      </c>
      <c r="BD16" s="73"/>
      <c r="BE16" s="73"/>
      <c r="BF16" s="73"/>
      <c r="BG16" s="73" t="str">
        <f>IFERROR(__xludf.DUMMYFUNCTION("""COMPUTED_VALUE"""),"Primary Slot")</f>
        <v>Primary Slot</v>
      </c>
      <c r="BH16" s="73" t="str">
        <f>IFERROR(__xludf.DUMMYFUNCTION("""COMPUTED_VALUE"""),"Sharp Fortitude")</f>
        <v>Sharp Fortitude</v>
      </c>
      <c r="BI16" s="73"/>
      <c r="BJ16" s="73"/>
      <c r="BK16" s="73"/>
      <c r="BL16" s="73" t="str">
        <f>IFERROR(__xludf.DUMMYFUNCTION("""COMPUTED_VALUE"""),"Primary Slot")</f>
        <v>Primary Slot</v>
      </c>
      <c r="BM16" s="73" t="str">
        <f>IFERROR(__xludf.DUMMYFUNCTION("""COMPUTED_VALUE"""),"Galaxy Compressor")</f>
        <v>Galaxy Compressor</v>
      </c>
      <c r="BN16" s="73"/>
      <c r="BO16" s="73"/>
      <c r="BP16" s="73"/>
      <c r="BQ16" s="73" t="str">
        <f>IFERROR(__xludf.DUMMYFUNCTION("""COMPUTED_VALUE"""),"Primary Slot")</f>
        <v>Primary Slot</v>
      </c>
      <c r="BR16" s="73" t="str">
        <f>IFERROR(__xludf.DUMMYFUNCTION("""COMPUTED_VALUE"""),"Dimension Core")</f>
        <v>Dimension Core</v>
      </c>
      <c r="BS16" s="73"/>
      <c r="BT16" s="74"/>
      <c r="BU16" s="73" t="b">
        <f>IFERROR(__xludf.DUMMYFUNCTION("""COMPUTED_VALUE"""),TRUE)</f>
        <v>1</v>
      </c>
      <c r="BV16" s="131" t="str">
        <f>IFERROR(__xludf.DUMMYFUNCTION("""COMPUTED_VALUE"""),"Unlocked")</f>
        <v>Unlocked</v>
      </c>
      <c r="BW16" s="73" t="str">
        <f>IFERROR(__xludf.DUMMYFUNCTION("""COMPUTED_VALUE"""),"Cash Bonus")</f>
        <v>Cash Bonus</v>
      </c>
      <c r="BX16" s="179">
        <f>IFERROR(__xludf.DUMMYFUNCTION("""COMPUTED_VALUE"""),1.0)</f>
        <v>1</v>
      </c>
      <c r="BY16" s="82" t="str">
        <f>IFERROR(__xludf.DUMMYFUNCTION("""COMPUTED_VALUE"""),"00 | 1.0x | Cost 0 ⧈ | Next 100 ⧈")</f>
        <v>00 | 1.0x | Cost 0 ⧈ | Next 100 ⧈</v>
      </c>
      <c r="BZ16" s="73" t="str">
        <f>IFERROR(__xludf.DUMMYFUNCTION("""COMPUTED_VALUE"""),"Tier 14")</f>
        <v>Tier 14</v>
      </c>
      <c r="CA16" s="73">
        <f>IFERROR(__xludf.DUMMYFUNCTION("""COMPUTED_VALUE"""),5761.0)</f>
        <v>5761</v>
      </c>
      <c r="CB16" s="73"/>
      <c r="CC16" s="73"/>
      <c r="CD16" s="73"/>
      <c r="CE16" s="73"/>
    </row>
    <row r="17">
      <c r="A17" s="86" t="str">
        <f>IFERROR(__xludf.DUMMYFUNCTION("""COMPUTED_VALUE"""),"Enhancement Defense - Coin Discount")</f>
        <v>Enhancement Defense - Coin Discount</v>
      </c>
      <c r="B17" s="87">
        <f>IFERROR(__xludf.DUMMYFUNCTION("""COMPUTED_VALUE"""),0.0)</f>
        <v>0</v>
      </c>
      <c r="C17" s="73"/>
      <c r="D17" s="88">
        <f>IFERROR(__xludf.DUMMYFUNCTION("""COMPUTED_VALUE"""),100.0)</f>
        <v>100</v>
      </c>
      <c r="E17" s="108" t="b">
        <f>IFERROR(__xludf.DUMMYFUNCTION("""COMPUTED_VALUE"""),TRUE)</f>
        <v>1</v>
      </c>
      <c r="F17" s="86" t="str">
        <f>IFERROR(__xludf.DUMMYFUNCTION("""COMPUTED_VALUE"""),"Super Critical Chance")</f>
        <v>Super Critical Chance</v>
      </c>
      <c r="G17" s="87">
        <f>IFERROR(__xludf.DUMMYFUNCTION("""COMPUTED_VALUE"""),100.0)</f>
        <v>100</v>
      </c>
      <c r="H17" s="73">
        <f>IFERROR(__xludf.DUMMYFUNCTION("""COMPUTED_VALUE"""),100.0)</f>
        <v>100</v>
      </c>
      <c r="I17" s="73">
        <f>IFERROR(__xludf.DUMMYFUNCTION("""COMPUTED_VALUE"""),100.0)</f>
        <v>100</v>
      </c>
      <c r="J17" s="73">
        <f>IFERROR(__xludf.DUMMYFUNCTION("""COMPUTED_VALUE"""),100.0)</f>
        <v>100</v>
      </c>
      <c r="K17" s="92"/>
      <c r="L17" s="73"/>
      <c r="M17" s="73"/>
      <c r="N17" s="73"/>
      <c r="O17" s="73"/>
      <c r="P17" s="73"/>
      <c r="Q17" s="121">
        <f>IFERROR(__xludf.DUMMYFUNCTION("""COMPUTED_VALUE"""),100.0)</f>
        <v>100</v>
      </c>
      <c r="R17" s="99" t="str">
        <f>IFERROR(__xludf.DUMMYFUNCTION("""COMPUTED_VALUE"""),"Coin Bonus +")</f>
        <v>Coin Bonus +</v>
      </c>
      <c r="S17" s="122">
        <f>IFERROR(__xludf.DUMMYFUNCTION("""COMPUTED_VALUE"""),1.33)</f>
        <v>1.33</v>
      </c>
      <c r="T17" s="87">
        <f>IFERROR(__xludf.DUMMYFUNCTION("""COMPUTED_VALUE"""),33.0)</f>
        <v>33</v>
      </c>
      <c r="U17" s="73">
        <f>IFERROR(__xludf.DUMMYFUNCTION("""COMPUTED_VALUE"""),33.0)</f>
        <v>33</v>
      </c>
      <c r="V17" s="73"/>
      <c r="W17" s="73"/>
      <c r="X17" s="73"/>
      <c r="Y17" s="123">
        <f>IFERROR(__xludf.DUMMYFUNCTION("""COMPUTED_VALUE"""),200.0)</f>
        <v>200</v>
      </c>
      <c r="Z17" s="93" t="str">
        <f>IFERROR(__xludf.DUMMYFUNCTION("""COMPUTED_VALUE"""),"UW+")</f>
        <v>UW+</v>
      </c>
      <c r="AA17" s="73"/>
      <c r="AB17" s="93" t="str">
        <f>IFERROR(__xludf.DUMMYFUNCTION("""COMPUTED_VALUE"""),"Chrono Loop")</f>
        <v>Chrono Loop</v>
      </c>
      <c r="AC17" s="174" t="str">
        <f>IFERROR(__xludf.DUMMYFUNCTION("""COMPUTED_VALUE"""),"Locked")</f>
        <v>Locked</v>
      </c>
      <c r="AD17" s="95" t="str">
        <f>IFERROR(__xludf.DUMMYFUNCTION("""COMPUTED_VALUE"""),"Lo | Locked")</f>
        <v>Lo | Locked</v>
      </c>
      <c r="AE17" s="100" t="str">
        <f>IFERROR(__xludf.DUMMYFUNCTION("""COMPUTED_VALUE"""),"Critical Coin")</f>
        <v>Critical Coin</v>
      </c>
      <c r="AF17" s="97">
        <f>IFERROR(__xludf.DUMMYFUNCTION("""COMPUTED_VALUE"""),7.0)</f>
        <v>7</v>
      </c>
      <c r="AG17" s="98" t="b">
        <f>IFERROR(__xludf.DUMMYFUNCTION("""COMPUTED_VALUE"""),FALSE)</f>
        <v>0</v>
      </c>
      <c r="AH17" s="114" t="str">
        <f>IFERROR(__xludf.DUMMYFUNCTION("""COMPUTED_VALUE"""),"Extra Orb")</f>
        <v>Extra Orb</v>
      </c>
      <c r="AI17" s="82" t="str">
        <f>IFERROR(__xludf.DUMMYFUNCTION("""COMPUTED_VALUE"""),"Energy Net")</f>
        <v>Energy Net</v>
      </c>
      <c r="AJ17" s="114"/>
      <c r="AK17" s="106"/>
      <c r="AL17" s="74"/>
      <c r="AM17" s="86" t="str">
        <f>IFERROR(__xludf.DUMMYFUNCTION("""COMPUTED_VALUE"""),"Crit Factor")</f>
        <v>Crit Factor</v>
      </c>
      <c r="AN17" s="125">
        <f>IFERROR(__xludf.DUMMYFUNCTION("""COMPUTED_VALUE"""),0.5)</f>
        <v>0.5</v>
      </c>
      <c r="AO17" s="102"/>
      <c r="AP17" s="86" t="str">
        <f>IFERROR(__xludf.DUMMYFUNCTION("""COMPUTED_VALUE"""),"Critical Chance")</f>
        <v>Critical Chance</v>
      </c>
      <c r="AQ17" s="174">
        <f>IFERROR(__xludf.DUMMYFUNCTION("""COMPUTED_VALUE"""),0.0)</f>
        <v>0</v>
      </c>
      <c r="AR17" s="74"/>
      <c r="AS17" s="175" t="b">
        <f>IFERROR(__xludf.DUMMYFUNCTION("""COMPUTED_VALUE"""),FALSE)</f>
        <v>0</v>
      </c>
      <c r="AT17" s="104" t="str">
        <f>IFERROR(__xludf.DUMMYFUNCTION("""COMPUTED_VALUE"""),"Locked")</f>
        <v>Locked</v>
      </c>
      <c r="AU17" s="73" t="str">
        <f>IFERROR(__xludf.DUMMYFUNCTION("""COMPUTED_VALUE"""),"Range")</f>
        <v>Range</v>
      </c>
      <c r="AV17" s="158">
        <f>IFERROR(__xludf.DUMMYFUNCTION("""COMPUTED_VALUE"""),25.0)</f>
        <v>25</v>
      </c>
      <c r="AW17" s="82" t="str">
        <f>IFERROR(__xludf.DUMMYFUNCTION("""COMPUTED_VALUE"""),"00 | 25m | Cost 0 ⧓ | Next 100 ⧓")</f>
        <v>00 | 25m | Cost 0 ⧓ | Next 100 ⧓</v>
      </c>
      <c r="AX17" s="74"/>
      <c r="AY17" s="73"/>
      <c r="AZ17" s="73"/>
      <c r="BA17" s="159"/>
      <c r="BB17" s="82" t="str">
        <f>IFERROR(__xludf.DUMMYFUNCTION("""COMPUTED_VALUE"""),"Assist Slot")</f>
        <v>Assist Slot</v>
      </c>
      <c r="BC17" s="73"/>
      <c r="BD17" s="73"/>
      <c r="BE17" s="73"/>
      <c r="BF17" s="73"/>
      <c r="BG17" s="73" t="str">
        <f>IFERROR(__xludf.DUMMYFUNCTION("""COMPUTED_VALUE"""),"Assist Slot")</f>
        <v>Assist Slot</v>
      </c>
      <c r="BH17" s="73"/>
      <c r="BI17" s="73"/>
      <c r="BJ17" s="129"/>
      <c r="BK17" s="73"/>
      <c r="BL17" s="73" t="str">
        <f>IFERROR(__xludf.DUMMYFUNCTION("""COMPUTED_VALUE"""),"Assist Slot")</f>
        <v>Assist Slot</v>
      </c>
      <c r="BM17" s="73" t="str">
        <f>IFERROR(__xludf.DUMMYFUNCTION("""COMPUTED_VALUE"""),"Restorative Bonus")</f>
        <v>Restorative Bonus</v>
      </c>
      <c r="BN17" s="73"/>
      <c r="BO17" s="129"/>
      <c r="BP17" s="73"/>
      <c r="BQ17" s="73" t="str">
        <f>IFERROR(__xludf.DUMMYFUNCTION("""COMPUTED_VALUE"""),"Assist Slot")</f>
        <v>Assist Slot</v>
      </c>
      <c r="BR17" s="73" t="str">
        <f>IFERROR(__xludf.DUMMYFUNCTION("""COMPUTED_VALUE"""),"Om Chip")</f>
        <v>Om Chip</v>
      </c>
      <c r="BS17" s="73"/>
      <c r="BT17" s="130"/>
      <c r="BU17" s="73" t="str">
        <f>IFERROR(__xludf.DUMMYFUNCTION("""COMPUTED_VALUE"""),"Scout")</f>
        <v>Scout</v>
      </c>
      <c r="BV17" s="73"/>
      <c r="BW17" s="73" t="str">
        <f>IFERROR(__xludf.DUMMYFUNCTION("""COMPUTED_VALUE"""),"Cooldown")</f>
        <v>Cooldown</v>
      </c>
      <c r="BX17" s="176">
        <f>IFERROR(__xludf.DUMMYFUNCTION("""COMPUTED_VALUE"""),105.0)</f>
        <v>105</v>
      </c>
      <c r="BY17" s="129" t="str">
        <f>IFERROR(__xludf.DUMMYFUNCTION("""COMPUTED_VALUE"""),"00 | 105s | Cost 0 ⧈ | Next 1 ⧈")</f>
        <v>00 | 105s | Cost 0 ⧈ | Next 1 ⧈</v>
      </c>
      <c r="BZ17" s="133" t="str">
        <f>IFERROR(__xludf.DUMMYFUNCTION("""COMPUTED_VALUE"""),"Tier 15")</f>
        <v>Tier 15</v>
      </c>
      <c r="CA17" s="73">
        <f>IFERROR(__xludf.DUMMYFUNCTION("""COMPUTED_VALUE"""),4859.0)</f>
        <v>4859</v>
      </c>
      <c r="CB17" s="73"/>
      <c r="CC17" s="73"/>
      <c r="CD17" s="73"/>
      <c r="CE17" s="73"/>
    </row>
    <row r="18">
      <c r="A18" s="136" t="str">
        <f>IFERROR(__xludf.DUMMYFUNCTION("""COMPUTED_VALUE"""),"Enhancement Utility - Coin Discount")</f>
        <v>Enhancement Utility - Coin Discount</v>
      </c>
      <c r="B18" s="87">
        <f>IFERROR(__xludf.DUMMYFUNCTION("""COMPUTED_VALUE"""),0.0)</f>
        <v>0</v>
      </c>
      <c r="C18" s="73"/>
      <c r="D18" s="88">
        <f>IFERROR(__xludf.DUMMYFUNCTION("""COMPUTED_VALUE"""),100.0)</f>
        <v>100</v>
      </c>
      <c r="E18" s="73"/>
      <c r="F18" s="86" t="str">
        <f>IFERROR(__xludf.DUMMYFUNCTION("""COMPUTED_VALUE"""),"Super Critical Mult")</f>
        <v>Super Critical Mult</v>
      </c>
      <c r="G18" s="87">
        <f>IFERROR(__xludf.DUMMYFUNCTION("""COMPUTED_VALUE"""),100.0)</f>
        <v>100</v>
      </c>
      <c r="H18" s="73">
        <f>IFERROR(__xludf.DUMMYFUNCTION("""COMPUTED_VALUE"""),120.0)</f>
        <v>120</v>
      </c>
      <c r="I18" s="73">
        <f>IFERROR(__xludf.DUMMYFUNCTION("""COMPUTED_VALUE"""),100.0)</f>
        <v>100</v>
      </c>
      <c r="J18" s="73">
        <f>IFERROR(__xludf.DUMMYFUNCTION("""COMPUTED_VALUE"""),120.0)</f>
        <v>120</v>
      </c>
      <c r="K18" s="92"/>
      <c r="L18" s="73"/>
      <c r="M18" s="73"/>
      <c r="N18" s="73"/>
      <c r="O18" s="73"/>
      <c r="P18" s="73"/>
      <c r="Q18" s="121">
        <f>IFERROR(__xludf.DUMMYFUNCTION("""COMPUTED_VALUE"""),120.0)</f>
        <v>120</v>
      </c>
      <c r="R18" s="99" t="str">
        <f>IFERROR(__xludf.DUMMYFUNCTION("""COMPUTED_VALUE"""),"Cells / Kill Bonus +")</f>
        <v>Cells / Kill Bonus +</v>
      </c>
      <c r="S18" s="122">
        <f>IFERROR(__xludf.DUMMYFUNCTION("""COMPUTED_VALUE"""),1.25)</f>
        <v>1.25</v>
      </c>
      <c r="T18" s="87">
        <f>IFERROR(__xludf.DUMMYFUNCTION("""COMPUTED_VALUE"""),25.0)</f>
        <v>25</v>
      </c>
      <c r="U18" s="73">
        <f>IFERROR(__xludf.DUMMYFUNCTION("""COMPUTED_VALUE"""),25.0)</f>
        <v>25</v>
      </c>
      <c r="V18" s="73"/>
      <c r="W18" s="73"/>
      <c r="X18" s="73"/>
      <c r="Y18" s="123">
        <f>IFERROR(__xludf.DUMMYFUNCTION("""COMPUTED_VALUE"""),200.0)</f>
        <v>200</v>
      </c>
      <c r="Z18" s="93" t="str">
        <f>IFERROR(__xludf.DUMMYFUNCTION("""COMPUTED_VALUE"""),"Inner Land Mines")</f>
        <v>Inner Land Mines</v>
      </c>
      <c r="AA18" s="73"/>
      <c r="AB18" s="93" t="str">
        <f>IFERROR(__xludf.DUMMYFUNCTION("""COMPUTED_VALUE"""),"Damage")</f>
        <v>Damage</v>
      </c>
      <c r="AC18" s="141">
        <f>IFERROR(__xludf.DUMMYFUNCTION("""COMPUTED_VALUE"""),10.0)</f>
        <v>10</v>
      </c>
      <c r="AD18" s="95" t="str">
        <f>IFERROR(__xludf.DUMMYFUNCTION("""COMPUTED_VALUE"""),"00 | x10 | Cost 0 ⧌ | Next 5 ⧌")</f>
        <v>00 | x10 | Cost 0 ⧌ | Next 5 ⧌</v>
      </c>
      <c r="AE18" s="100" t="str">
        <f>IFERROR(__xludf.DUMMYFUNCTION("""COMPUTED_VALUE"""),"Wave Skip")</f>
        <v>Wave Skip</v>
      </c>
      <c r="AF18" s="97">
        <f>IFERROR(__xludf.DUMMYFUNCTION("""COMPUTED_VALUE"""),7.0)</f>
        <v>7</v>
      </c>
      <c r="AG18" s="98" t="b">
        <f>IFERROR(__xludf.DUMMYFUNCTION("""COMPUTED_VALUE"""),FALSE)</f>
        <v>0</v>
      </c>
      <c r="AH18" s="143" t="str">
        <f>IFERROR(__xludf.DUMMYFUNCTION("""COMPUTED_VALUE"""),"Cash")</f>
        <v>Cash</v>
      </c>
      <c r="AI18" s="82" t="str">
        <f>IFERROR(__xludf.DUMMYFUNCTION("""COMPUTED_VALUE"""),"Land Mine Stun")</f>
        <v>Land Mine Stun</v>
      </c>
      <c r="AJ18" s="114"/>
      <c r="AK18" s="106"/>
      <c r="AL18" s="74"/>
      <c r="AM18" s="86" t="str">
        <f>IFERROR(__xludf.DUMMYFUNCTION("""COMPUTED_VALUE"""),"Damage / Meter")</f>
        <v>Damage / Meter</v>
      </c>
      <c r="AN18" s="125">
        <f>IFERROR(__xludf.DUMMYFUNCTION("""COMPUTED_VALUE"""),0.42999999999999994)</f>
        <v>0.43</v>
      </c>
      <c r="AO18" s="102"/>
      <c r="AP18" s="86" t="str">
        <f>IFERROR(__xludf.DUMMYFUNCTION("""COMPUTED_VALUE"""),"Critical Factor")</f>
        <v>Critical Factor</v>
      </c>
      <c r="AQ18" s="174">
        <f>IFERROR(__xludf.DUMMYFUNCTION("""COMPUTED_VALUE"""),0.0)</f>
        <v>0</v>
      </c>
      <c r="AR18" s="74"/>
      <c r="AS18" s="104"/>
      <c r="AT18" s="104"/>
      <c r="AU18" s="73"/>
      <c r="AV18" s="114"/>
      <c r="AW18" s="114"/>
      <c r="AX18" s="74"/>
      <c r="AY18" s="73"/>
      <c r="AZ18" s="73"/>
      <c r="BA18" s="74"/>
      <c r="BB18" s="73"/>
      <c r="BC18" s="73"/>
      <c r="BD18" s="73"/>
      <c r="BE18" s="73"/>
      <c r="BF18" s="73"/>
      <c r="BG18" s="73"/>
      <c r="BH18" s="73"/>
      <c r="BI18" s="73"/>
      <c r="BJ18" s="73"/>
      <c r="BK18" s="73"/>
      <c r="BL18" s="73"/>
      <c r="BM18" s="73"/>
      <c r="BN18" s="73"/>
      <c r="BO18" s="73"/>
      <c r="BP18" s="73"/>
      <c r="BQ18" s="73"/>
      <c r="BR18" s="73"/>
      <c r="BS18" s="73"/>
      <c r="BT18" s="74"/>
      <c r="BU18" s="73"/>
      <c r="BV18" s="73"/>
      <c r="BW18" s="73" t="str">
        <f>IFERROR(__xludf.DUMMYFUNCTION("""COMPUTED_VALUE"""),"Range Bonus")</f>
        <v>Range Bonus</v>
      </c>
      <c r="BX18" s="179">
        <f>IFERROR(__xludf.DUMMYFUNCTION("""COMPUTED_VALUE"""),2.0)</f>
        <v>2</v>
      </c>
      <c r="BY18" s="82" t="str">
        <f>IFERROR(__xludf.DUMMYFUNCTION("""COMPUTED_VALUE"""),"00 | 2.0x | Cost 0 ⧈ | Next 10 ⧈")</f>
        <v>00 | 2.0x | Cost 0 ⧈ | Next 10 ⧈</v>
      </c>
      <c r="BZ18" s="133" t="str">
        <f>IFERROR(__xludf.DUMMYFUNCTION("""COMPUTED_VALUE"""),"Tier 16")</f>
        <v>Tier 16</v>
      </c>
      <c r="CA18" s="73">
        <f>IFERROR(__xludf.DUMMYFUNCTION("""COMPUTED_VALUE"""),3578.0)</f>
        <v>3578</v>
      </c>
      <c r="CB18" s="73" t="b">
        <f>IFERROR(__xludf.DUMMYFUNCTION("""COMPUTED_VALUE"""),TRUE)</f>
        <v>1</v>
      </c>
      <c r="CC18" s="73"/>
      <c r="CD18" s="73"/>
      <c r="CE18" s="73"/>
    </row>
    <row r="19">
      <c r="A19" s="86" t="str">
        <f>IFERROR(__xludf.DUMMYFUNCTION("""COMPUTED_VALUE"""),"Damage")</f>
        <v>Damage</v>
      </c>
      <c r="B19" s="87">
        <f>IFERROR(__xludf.DUMMYFUNCTION("""COMPUTED_VALUE"""),69.0)</f>
        <v>69</v>
      </c>
      <c r="C19" s="73"/>
      <c r="D19" s="88">
        <f>IFERROR(__xludf.DUMMYFUNCTION("""COMPUTED_VALUE"""),100.0)</f>
        <v>100</v>
      </c>
      <c r="E19" s="108" t="b">
        <f>IFERROR(__xludf.DUMMYFUNCTION("""COMPUTED_VALUE"""),TRUE)</f>
        <v>1</v>
      </c>
      <c r="F19" s="86" t="str">
        <f>IFERROR(__xludf.DUMMYFUNCTION("""COMPUTED_VALUE"""),"Rend Armor Chance")</f>
        <v>Rend Armor Chance</v>
      </c>
      <c r="G19" s="87">
        <f>IFERROR(__xludf.DUMMYFUNCTION("""COMPUTED_VALUE"""),80.0)</f>
        <v>80</v>
      </c>
      <c r="H19" s="73">
        <f>IFERROR(__xludf.DUMMYFUNCTION("""COMPUTED_VALUE"""),299.0)</f>
        <v>299</v>
      </c>
      <c r="I19" s="73">
        <f>IFERROR(__xludf.DUMMYFUNCTION("""COMPUTED_VALUE"""),80.0)</f>
        <v>80</v>
      </c>
      <c r="J19" s="73">
        <f>IFERROR(__xludf.DUMMYFUNCTION("""COMPUTED_VALUE"""),299.0)</f>
        <v>299</v>
      </c>
      <c r="K19" s="92"/>
      <c r="L19" s="73"/>
      <c r="M19" s="73"/>
      <c r="N19" s="73"/>
      <c r="O19" s="73"/>
      <c r="P19" s="73"/>
      <c r="Q19" s="121">
        <f>IFERROR(__xludf.DUMMYFUNCTION("""COMPUTED_VALUE"""),299.0)</f>
        <v>299</v>
      </c>
      <c r="R19" s="99" t="str">
        <f>IFERROR(__xludf.DUMMYFUNCTION("""COMPUTED_VALUE"""),"Free Upgrades +")</f>
        <v>Free Upgrades +</v>
      </c>
      <c r="S19" s="122">
        <f>IFERROR(__xludf.DUMMYFUNCTION("""COMPUTED_VALUE"""),1.12)</f>
        <v>1.12</v>
      </c>
      <c r="T19" s="87">
        <f>IFERROR(__xludf.DUMMYFUNCTION("""COMPUTED_VALUE"""),12.0)</f>
        <v>12</v>
      </c>
      <c r="U19" s="73">
        <f>IFERROR(__xludf.DUMMYFUNCTION("""COMPUTED_VALUE"""),12.0)</f>
        <v>12</v>
      </c>
      <c r="V19" s="73"/>
      <c r="W19" s="73"/>
      <c r="X19" s="73"/>
      <c r="Y19" s="123">
        <f>IFERROR(__xludf.DUMMYFUNCTION("""COMPUTED_VALUE"""),100.0)</f>
        <v>100</v>
      </c>
      <c r="Z19" s="104"/>
      <c r="AA19" s="73"/>
      <c r="AB19" s="93" t="str">
        <f>IFERROR(__xludf.DUMMYFUNCTION("""COMPUTED_VALUE"""),"Quantity")</f>
        <v>Quantity</v>
      </c>
      <c r="AC19" s="112">
        <f>IFERROR(__xludf.DUMMYFUNCTION("""COMPUTED_VALUE"""),3.0)</f>
        <v>3</v>
      </c>
      <c r="AD19" s="95" t="str">
        <f>IFERROR(__xludf.DUMMYFUNCTION("""COMPUTED_VALUE"""),"00 | #3 | Cost 0 ⧌ | Next 50 ⧌")</f>
        <v>00 | #3 | Cost 0 ⧌ | Next 50 ⧌</v>
      </c>
      <c r="AE19" s="100" t="str">
        <f>IFERROR(__xludf.DUMMYFUNCTION("""COMPUTED_VALUE"""),"Intro Sprint")</f>
        <v>Intro Sprint</v>
      </c>
      <c r="AF19" s="97">
        <f>IFERROR(__xludf.DUMMYFUNCTION("""COMPUTED_VALUE"""),7.0)</f>
        <v>7</v>
      </c>
      <c r="AG19" s="98" t="b">
        <f>IFERROR(__xludf.DUMMYFUNCTION("""COMPUTED_VALUE"""),TRUE)</f>
        <v>1</v>
      </c>
      <c r="AH19" s="113" t="str">
        <f>IFERROR(__xludf.DUMMYFUNCTION("""COMPUTED_VALUE"""),"Free Upgrades")</f>
        <v>Free Upgrades</v>
      </c>
      <c r="AI19" s="82" t="str">
        <f>IFERROR(__xludf.DUMMYFUNCTION("""COMPUTED_VALUE"""),"Second Wind")</f>
        <v>Second Wind</v>
      </c>
      <c r="AJ19" s="114"/>
      <c r="AK19" s="106"/>
      <c r="AL19" s="74"/>
      <c r="AM19" s="86" t="str">
        <f>IFERROR(__xludf.DUMMYFUNCTION("""COMPUTED_VALUE"""),"Super Critical Chance")</f>
        <v>Super Critical Chance</v>
      </c>
      <c r="AN19" s="125">
        <f>IFERROR(__xludf.DUMMYFUNCTION("""COMPUTED_VALUE"""),0.04)</f>
        <v>0.04</v>
      </c>
      <c r="AO19" s="102"/>
      <c r="AP19" s="86" t="str">
        <f>IFERROR(__xludf.DUMMYFUNCTION("""COMPUTED_VALUE"""),"Damage / Meter")</f>
        <v>Damage / Meter</v>
      </c>
      <c r="AQ19" s="174">
        <f>IFERROR(__xludf.DUMMYFUNCTION("""COMPUTED_VALUE"""),0.0)</f>
        <v>0</v>
      </c>
      <c r="AR19" s="74"/>
      <c r="AS19" s="104"/>
      <c r="AT19" s="104"/>
      <c r="AU19" s="73"/>
      <c r="AV19" s="114"/>
      <c r="AW19" s="114"/>
      <c r="AX19" s="74"/>
      <c r="AY19" s="73"/>
      <c r="AZ19" s="73"/>
      <c r="BA19" s="74"/>
      <c r="BB19" s="73" t="str">
        <f>IFERROR(__xludf.DUMMYFUNCTION("""COMPUTED_VALUE"""),"Placeholder 4th preset")</f>
        <v>Placeholder 4th preset</v>
      </c>
      <c r="BC19" s="73"/>
      <c r="BD19" s="73"/>
      <c r="BE19" s="73"/>
      <c r="BF19" s="73"/>
      <c r="BG19" s="73" t="str">
        <f>IFERROR(__xludf.DUMMYFUNCTION("""COMPUTED_VALUE"""),"Placeholder 4th preset")</f>
        <v>Placeholder 4th preset</v>
      </c>
      <c r="BH19" s="73"/>
      <c r="BI19" s="73"/>
      <c r="BJ19" s="73"/>
      <c r="BK19" s="73"/>
      <c r="BL19" s="73" t="str">
        <f>IFERROR(__xludf.DUMMYFUNCTION("""COMPUTED_VALUE"""),"Placeholder 4th preset")</f>
        <v>Placeholder 4th preset</v>
      </c>
      <c r="BM19" s="73"/>
      <c r="BN19" s="73"/>
      <c r="BO19" s="73"/>
      <c r="BP19" s="73"/>
      <c r="BQ19" s="73" t="str">
        <f>IFERROR(__xludf.DUMMYFUNCTION("""COMPUTED_VALUE"""),"Placeholder 4th preset")</f>
        <v>Placeholder 4th preset</v>
      </c>
      <c r="BR19" s="73"/>
      <c r="BS19" s="73"/>
      <c r="BT19" s="74"/>
      <c r="BU19" s="73" t="b">
        <f>IFERROR(__xludf.DUMMYFUNCTION("""COMPUTED_VALUE"""),FALSE)</f>
        <v>0</v>
      </c>
      <c r="BV19" s="131" t="str">
        <f>IFERROR(__xludf.DUMMYFUNCTION("""COMPUTED_VALUE"""),"Locked")</f>
        <v>Locked</v>
      </c>
      <c r="BW19" s="73" t="str">
        <f>IFERROR(__xludf.DUMMYFUNCTION("""COMPUTED_VALUE"""),"Duration")</f>
        <v>Duration</v>
      </c>
      <c r="BX19" s="180">
        <f>IFERROR(__xludf.DUMMYFUNCTION("""COMPUTED_VALUE"""),5.0)</f>
        <v>5</v>
      </c>
      <c r="BY19" s="82" t="str">
        <f>IFERROR(__xludf.DUMMYFUNCTION("""COMPUTED_VALUE"""),"00 | 5s | Cost 0 ⧈ | Next 10 ⧈")</f>
        <v>00 | 5s | Cost 0 ⧈ | Next 10 ⧈</v>
      </c>
      <c r="BZ19" s="73" t="str">
        <f>IFERROR(__xludf.DUMMYFUNCTION("""COMPUTED_VALUE"""),"Tier 17")</f>
        <v>Tier 17</v>
      </c>
      <c r="CA19" s="73">
        <f>IFERROR(__xludf.DUMMYFUNCTION("""COMPUTED_VALUE"""),2010.0)</f>
        <v>2010</v>
      </c>
      <c r="CB19" s="73"/>
      <c r="CC19" s="73"/>
      <c r="CD19" s="73"/>
      <c r="CE19" s="73"/>
    </row>
    <row r="20">
      <c r="A20" s="86" t="str">
        <f>IFERROR(__xludf.DUMMYFUNCTION("""COMPUTED_VALUE"""),"Attack Speed")</f>
        <v>Attack Speed</v>
      </c>
      <c r="B20" s="87">
        <f>IFERROR(__xludf.DUMMYFUNCTION("""COMPUTED_VALUE"""),75.0)</f>
        <v>75</v>
      </c>
      <c r="C20" s="73"/>
      <c r="D20" s="88">
        <f>IFERROR(__xludf.DUMMYFUNCTION("""COMPUTED_VALUE"""),99.0)</f>
        <v>99</v>
      </c>
      <c r="E20" s="73"/>
      <c r="F20" s="86" t="str">
        <f>IFERROR(__xludf.DUMMYFUNCTION("""COMPUTED_VALUE"""),"Rend Armor Mult")</f>
        <v>Rend Armor Mult</v>
      </c>
      <c r="G20" s="87">
        <f>IFERROR(__xludf.DUMMYFUNCTION("""COMPUTED_VALUE"""),70.0)</f>
        <v>70</v>
      </c>
      <c r="H20" s="73">
        <f>IFERROR(__xludf.DUMMYFUNCTION("""COMPUTED_VALUE"""),299.0)</f>
        <v>299</v>
      </c>
      <c r="I20" s="73">
        <f>IFERROR(__xludf.DUMMYFUNCTION("""COMPUTED_VALUE"""),70.0)</f>
        <v>70</v>
      </c>
      <c r="J20" s="73">
        <f>IFERROR(__xludf.DUMMYFUNCTION("""COMPUTED_VALUE"""),299.0)</f>
        <v>299</v>
      </c>
      <c r="K20" s="92"/>
      <c r="L20" s="73"/>
      <c r="M20" s="73"/>
      <c r="N20" s="73"/>
      <c r="O20" s="73"/>
      <c r="P20" s="73"/>
      <c r="Q20" s="121">
        <f>IFERROR(__xludf.DUMMYFUNCTION("""COMPUTED_VALUE"""),299.0)</f>
        <v>299</v>
      </c>
      <c r="R20" s="82" t="str">
        <f>IFERROR(__xludf.DUMMYFUNCTION("""COMPUTED_VALUE"""),"Recovery Package +")</f>
        <v>Recovery Package +</v>
      </c>
      <c r="S20" s="181">
        <f>IFERROR(__xludf.DUMMYFUNCTION("""COMPUTED_VALUE"""),1.42)</f>
        <v>1.42</v>
      </c>
      <c r="T20" s="87">
        <f>IFERROR(__xludf.DUMMYFUNCTION("""COMPUTED_VALUE"""),42.0)</f>
        <v>42</v>
      </c>
      <c r="U20" s="73">
        <f>IFERROR(__xludf.DUMMYFUNCTION("""COMPUTED_VALUE"""),42.0)</f>
        <v>42</v>
      </c>
      <c r="V20" s="73"/>
      <c r="W20" s="73"/>
      <c r="X20" s="73"/>
      <c r="Y20" s="123">
        <f>IFERROR(__xludf.DUMMYFUNCTION("""COMPUTED_VALUE"""),300.0)</f>
        <v>300</v>
      </c>
      <c r="Z20" s="124" t="b">
        <f>IFERROR(__xludf.DUMMYFUNCTION("""COMPUTED_VALUE"""),FALSE)</f>
        <v>0</v>
      </c>
      <c r="AA20" s="86" t="str">
        <f>IFERROR(__xludf.DUMMYFUNCTION("""COMPUTED_VALUE"""),"UW Locked")</f>
        <v>UW Locked</v>
      </c>
      <c r="AB20" s="93" t="str">
        <f>IFERROR(__xludf.DUMMYFUNCTION("""COMPUTED_VALUE"""),"Cooldown")</f>
        <v>Cooldown</v>
      </c>
      <c r="AC20" s="152">
        <f>IFERROR(__xludf.DUMMYFUNCTION("""COMPUTED_VALUE"""),200.0)</f>
        <v>200</v>
      </c>
      <c r="AD20" s="95" t="str">
        <f>IFERROR(__xludf.DUMMYFUNCTION("""COMPUTED_VALUE"""),"00 | 200s | Cost 0 ⧌ | Next 8 ⧌")</f>
        <v>00 | 200s | Cost 0 ⧌ | Next 8 ⧌</v>
      </c>
      <c r="AE20" s="100" t="str">
        <f>IFERROR(__xludf.DUMMYFUNCTION("""COMPUTED_VALUE"""),"Land Mine Stun")</f>
        <v>Land Mine Stun</v>
      </c>
      <c r="AF20" s="97">
        <f>IFERROR(__xludf.DUMMYFUNCTION("""COMPUTED_VALUE"""),7.0)</f>
        <v>7</v>
      </c>
      <c r="AG20" s="98" t="b">
        <f>IFERROR(__xludf.DUMMYFUNCTION("""COMPUTED_VALUE"""),FALSE)</f>
        <v>0</v>
      </c>
      <c r="AH20" s="153"/>
      <c r="AI20" s="82"/>
      <c r="AJ20" s="114"/>
      <c r="AK20" s="106"/>
      <c r="AL20" s="74"/>
      <c r="AM20" s="86" t="str">
        <f>IFERROR(__xludf.DUMMYFUNCTION("""COMPUTED_VALUE"""),"Super Critical Mult")</f>
        <v>Super Critical Mult</v>
      </c>
      <c r="AN20" s="125">
        <f>IFERROR(__xludf.DUMMYFUNCTION("""COMPUTED_VALUE"""),0.05)</f>
        <v>0.05</v>
      </c>
      <c r="AO20" s="102"/>
      <c r="AP20" s="86" t="str">
        <f>IFERROR(__xludf.DUMMYFUNCTION("""COMPUTED_VALUE"""),"Multishot Chance")</f>
        <v>Multishot Chance</v>
      </c>
      <c r="AQ20" s="174">
        <f>IFERROR(__xludf.DUMMYFUNCTION("""COMPUTED_VALUE"""),0.0)</f>
        <v>0</v>
      </c>
      <c r="AR20" s="74"/>
      <c r="AS20" s="104"/>
      <c r="AT20" s="104"/>
      <c r="AU20" s="73"/>
      <c r="AV20" s="114"/>
      <c r="AW20" s="114"/>
      <c r="AX20" s="74"/>
      <c r="AY20" s="73"/>
      <c r="AZ20" s="73"/>
      <c r="BA20" s="74"/>
      <c r="BB20" s="73"/>
      <c r="BC20" s="73"/>
      <c r="BD20" s="73"/>
      <c r="BE20" s="73"/>
      <c r="BF20" s="73"/>
      <c r="BG20" s="73"/>
      <c r="BH20" s="73"/>
      <c r="BI20" s="73"/>
      <c r="BJ20" s="73"/>
      <c r="BK20" s="73"/>
      <c r="BL20" s="73"/>
      <c r="BM20" s="73"/>
      <c r="BN20" s="73"/>
      <c r="BO20" s="73"/>
      <c r="BP20" s="73"/>
      <c r="BQ20" s="73"/>
      <c r="BR20" s="73"/>
      <c r="BS20" s="73"/>
      <c r="BT20" s="74"/>
      <c r="BU20" s="73"/>
      <c r="BV20" s="73"/>
      <c r="BW20" s="73"/>
      <c r="BX20" s="73"/>
      <c r="BY20" s="73"/>
      <c r="BZ20" s="73" t="str">
        <f>IFERROR(__xludf.DUMMYFUNCTION("""COMPUTED_VALUE"""),"Tier 18")</f>
        <v>Tier 18</v>
      </c>
      <c r="CA20" s="73">
        <f>IFERROR(__xludf.DUMMYFUNCTION("""COMPUTED_VALUE"""),348.0)</f>
        <v>348</v>
      </c>
      <c r="CB20" s="73"/>
      <c r="CC20" s="73"/>
      <c r="CD20" s="73"/>
      <c r="CE20" s="73"/>
    </row>
    <row r="21">
      <c r="A21" s="86" t="str">
        <f>IFERROR(__xludf.DUMMYFUNCTION("""COMPUTED_VALUE"""),"Critical Factor")</f>
        <v>Critical Factor</v>
      </c>
      <c r="B21" s="87">
        <f>IFERROR(__xludf.DUMMYFUNCTION("""COMPUTED_VALUE"""),83.0)</f>
        <v>83</v>
      </c>
      <c r="C21" s="73"/>
      <c r="D21" s="88">
        <f>IFERROR(__xludf.DUMMYFUNCTION("""COMPUTED_VALUE"""),99.0)</f>
        <v>99</v>
      </c>
      <c r="E21" s="73" t="str">
        <f>IFERROR(__xludf.DUMMYFUNCTION("""COMPUTED_VALUE""")," ")</f>
        <v> </v>
      </c>
      <c r="F21" s="86" t="str">
        <f>IFERROR(__xludf.DUMMYFUNCTION("""COMPUTED_VALUE"""),"Health")</f>
        <v>Health</v>
      </c>
      <c r="G21" s="87">
        <f>IFERROR(__xludf.DUMMYFUNCTION("""COMPUTED_VALUE"""),5700.0)</f>
        <v>5700</v>
      </c>
      <c r="H21" s="73">
        <f>IFERROR(__xludf.DUMMYFUNCTION("""COMPUTED_VALUE"""),6000.0)</f>
        <v>6000</v>
      </c>
      <c r="I21" s="73">
        <f>IFERROR(__xludf.DUMMYFUNCTION("""COMPUTED_VALUE"""),5700.0)</f>
        <v>5700</v>
      </c>
      <c r="J21" s="73">
        <f>IFERROR(__xludf.DUMMYFUNCTION("""COMPUTED_VALUE"""),6000.0)</f>
        <v>6000</v>
      </c>
      <c r="K21" s="92"/>
      <c r="L21" s="73"/>
      <c r="M21" s="73"/>
      <c r="N21" s="73"/>
      <c r="O21" s="73"/>
      <c r="P21" s="73"/>
      <c r="Q21" s="121">
        <f>IFERROR(__xludf.DUMMYFUNCTION("""COMPUTED_VALUE"""),6000.0)</f>
        <v>6000</v>
      </c>
      <c r="R21" s="82" t="str">
        <f>IFERROR(__xludf.DUMMYFUNCTION("""COMPUTED_VALUE"""),"Enemy Level Skips +")</f>
        <v>Enemy Level Skips +</v>
      </c>
      <c r="S21" s="181">
        <f>IFERROR(__xludf.DUMMYFUNCTION("""COMPUTED_VALUE"""),1.15)</f>
        <v>1.15</v>
      </c>
      <c r="T21" s="87">
        <f>IFERROR(__xludf.DUMMYFUNCTION("""COMPUTED_VALUE"""),15.0)</f>
        <v>15</v>
      </c>
      <c r="U21" s="73">
        <f>IFERROR(__xludf.DUMMYFUNCTION("""COMPUTED_VALUE"""),15.0)</f>
        <v>15</v>
      </c>
      <c r="V21" s="73"/>
      <c r="W21" s="73"/>
      <c r="X21" s="73"/>
      <c r="Y21" s="123">
        <f>IFERROR(__xludf.DUMMYFUNCTION("""COMPUTED_VALUE"""),60.0)</f>
        <v>60</v>
      </c>
      <c r="Z21" s="93" t="str">
        <f>IFERROR(__xludf.DUMMYFUNCTION("""COMPUTED_VALUE"""),"UW+")</f>
        <v>UW+</v>
      </c>
      <c r="AA21" s="73"/>
      <c r="AB21" s="93" t="str">
        <f>IFERROR(__xludf.DUMMYFUNCTION("""COMPUTED_VALUE"""),"Charged Mines")</f>
        <v>Charged Mines</v>
      </c>
      <c r="AC21" s="182" t="str">
        <f>IFERROR(__xludf.DUMMYFUNCTION("""COMPUTED_VALUE"""),"Locked")</f>
        <v>Locked</v>
      </c>
      <c r="AD21" s="95" t="str">
        <f>IFERROR(__xludf.DUMMYFUNCTION("""COMPUTED_VALUE"""),"Lo | Locked")</f>
        <v>Lo | Locked</v>
      </c>
      <c r="AE21" s="100" t="str">
        <f>IFERROR(__xludf.DUMMYFUNCTION("""COMPUTED_VALUE"""),"Recovery Package Chance")</f>
        <v>Recovery Package Chance</v>
      </c>
      <c r="AF21" s="97">
        <f>IFERROR(__xludf.DUMMYFUNCTION("""COMPUTED_VALUE"""),7.0)</f>
        <v>7</v>
      </c>
      <c r="AG21" s="98" t="b">
        <f>IFERROR(__xludf.DUMMYFUNCTION("""COMPUTED_VALUE"""),TRUE)</f>
        <v>1</v>
      </c>
      <c r="AH21" s="183"/>
      <c r="AI21" s="82"/>
      <c r="AJ21" s="114"/>
      <c r="AK21" s="106"/>
      <c r="AL21" s="74"/>
      <c r="AM21" s="86" t="str">
        <f>IFERROR(__xludf.DUMMYFUNCTION("""COMPUTED_VALUE"""),"Rend Armor Mult")</f>
        <v>Rend Armor Mult</v>
      </c>
      <c r="AN21" s="114">
        <f>IFERROR(__xludf.DUMMYFUNCTION("""COMPUTED_VALUE"""),0.0)</f>
        <v>0</v>
      </c>
      <c r="AO21" s="102"/>
      <c r="AP21" s="86" t="str">
        <f>IFERROR(__xludf.DUMMYFUNCTION("""COMPUTED_VALUE"""),"Rapid Fire Chance")</f>
        <v>Rapid Fire Chance</v>
      </c>
      <c r="AQ21" s="174">
        <f>IFERROR(__xludf.DUMMYFUNCTION("""COMPUTED_VALUE"""),0.0)</f>
        <v>0</v>
      </c>
      <c r="AR21" s="74"/>
      <c r="AS21" s="104"/>
      <c r="AT21" s="104"/>
      <c r="AU21" s="73"/>
      <c r="AV21" s="114"/>
      <c r="AW21" s="114"/>
      <c r="AX21" s="74"/>
      <c r="AY21" s="73"/>
      <c r="AZ21" s="73"/>
      <c r="BA21" s="74"/>
      <c r="BB21" s="73"/>
      <c r="BC21" s="73"/>
      <c r="BD21" s="73"/>
      <c r="BE21" s="73"/>
      <c r="BF21" s="73"/>
      <c r="BG21" s="73"/>
      <c r="BH21" s="73"/>
      <c r="BI21" s="73"/>
      <c r="BJ21" s="73"/>
      <c r="BK21" s="73"/>
      <c r="BL21" s="73"/>
      <c r="BM21" s="73"/>
      <c r="BN21" s="73"/>
      <c r="BO21" s="73"/>
      <c r="BP21" s="73"/>
      <c r="BQ21" s="73"/>
      <c r="BR21" s="73"/>
      <c r="BS21" s="73"/>
      <c r="BT21" s="74"/>
      <c r="BU21" s="73"/>
      <c r="BV21" s="73"/>
      <c r="BW21" s="73"/>
      <c r="BX21" s="73"/>
      <c r="BY21" s="73"/>
      <c r="BZ21" s="133" t="str">
        <f>IFERROR(__xludf.DUMMYFUNCTION("""COMPUTED_VALUE"""),"Tier 19")</f>
        <v>Tier 19</v>
      </c>
      <c r="CA21" s="73">
        <f>IFERROR(__xludf.DUMMYFUNCTION("""COMPUTED_VALUE"""),52.0)</f>
        <v>52</v>
      </c>
      <c r="CB21" s="73" t="b">
        <f>IFERROR(__xludf.DUMMYFUNCTION("""COMPUTED_VALUE"""),FALSE)</f>
        <v>0</v>
      </c>
      <c r="CC21" s="73"/>
      <c r="CD21" s="73"/>
      <c r="CE21" s="73"/>
    </row>
    <row r="22">
      <c r="A22" s="86" t="str">
        <f>IFERROR(__xludf.DUMMYFUNCTION("""COMPUTED_VALUE"""),"Range")</f>
        <v>Range</v>
      </c>
      <c r="B22" s="87">
        <f>IFERROR(__xludf.DUMMYFUNCTION("""COMPUTED_VALUE"""),33.0)</f>
        <v>33</v>
      </c>
      <c r="C22" s="73"/>
      <c r="D22" s="88">
        <f>IFERROR(__xludf.DUMMYFUNCTION("""COMPUTED_VALUE"""),80.0)</f>
        <v>80</v>
      </c>
      <c r="E22" s="73"/>
      <c r="F22" s="86" t="str">
        <f>IFERROR(__xludf.DUMMYFUNCTION("""COMPUTED_VALUE"""),"Health Regen")</f>
        <v>Health Regen</v>
      </c>
      <c r="G22" s="87">
        <f>IFERROR(__xludf.DUMMYFUNCTION("""COMPUTED_VALUE"""),6000.0)</f>
        <v>6000</v>
      </c>
      <c r="H22" s="73">
        <f>IFERROR(__xludf.DUMMYFUNCTION("""COMPUTED_VALUE"""),6000.0)</f>
        <v>6000</v>
      </c>
      <c r="I22" s="73">
        <f>IFERROR(__xludf.DUMMYFUNCTION("""COMPUTED_VALUE"""),6000.0)</f>
        <v>6000</v>
      </c>
      <c r="J22" s="73">
        <f>IFERROR(__xludf.DUMMYFUNCTION("""COMPUTED_VALUE"""),6000.0)</f>
        <v>6000</v>
      </c>
      <c r="K22" s="92"/>
      <c r="L22" s="73"/>
      <c r="M22" s="73"/>
      <c r="N22" s="73"/>
      <c r="O22" s="73"/>
      <c r="P22" s="73"/>
      <c r="Q22" s="121">
        <f>IFERROR(__xludf.DUMMYFUNCTION("""COMPUTED_VALUE"""),6000.0)</f>
        <v>6000</v>
      </c>
      <c r="R22" s="82"/>
      <c r="S22" s="73"/>
      <c r="T22" s="73"/>
      <c r="U22" s="73"/>
      <c r="V22" s="73"/>
      <c r="W22" s="73"/>
      <c r="X22" s="73"/>
      <c r="Y22" s="77"/>
      <c r="Z22" s="93" t="str">
        <f>IFERROR(__xludf.DUMMYFUNCTION("""COMPUTED_VALUE"""),"Golden Tower")</f>
        <v>Golden Tower</v>
      </c>
      <c r="AA22" s="73"/>
      <c r="AB22" s="93" t="str">
        <f>IFERROR(__xludf.DUMMYFUNCTION("""COMPUTED_VALUE"""),"Multiplier")</f>
        <v>Multiplier</v>
      </c>
      <c r="AC22" s="184">
        <f>IFERROR(__xludf.DUMMYFUNCTION("""COMPUTED_VALUE"""),14.600000000000005)</f>
        <v>14.6</v>
      </c>
      <c r="AD22" s="95" t="str">
        <f>IFERROR(__xludf.DUMMYFUNCTION("""COMPUTED_VALUE"""),"12 | x14.6 | Cost 162 ⧌ | Next 250 ⧌")</f>
        <v>12 | x14.6 | Cost 162 ⧌ | Next 250 ⧌</v>
      </c>
      <c r="AE22" s="100" t="str">
        <f>IFERROR(__xludf.DUMMYFUNCTION("""COMPUTED_VALUE"""),"Death Ray")</f>
        <v>Death Ray</v>
      </c>
      <c r="AF22" s="97">
        <f>IFERROR(__xludf.DUMMYFUNCTION("""COMPUTED_VALUE"""),7.0)</f>
        <v>7</v>
      </c>
      <c r="AG22" s="98" t="b">
        <f>IFERROR(__xludf.DUMMYFUNCTION("""COMPUTED_VALUE"""),FALSE)</f>
        <v>0</v>
      </c>
      <c r="AH22" s="185"/>
      <c r="AI22" s="82"/>
      <c r="AJ22" s="114"/>
      <c r="AK22" s="106"/>
      <c r="AL22" s="74"/>
      <c r="AM22" s="86" t="str">
        <f>IFERROR(__xludf.DUMMYFUNCTION("""COMPUTED_VALUE"""),"Defense")</f>
        <v>Defense</v>
      </c>
      <c r="AN22" s="125"/>
      <c r="AO22" s="102"/>
      <c r="AP22" s="86" t="str">
        <f>IFERROR(__xludf.DUMMYFUNCTION("""COMPUTED_VALUE"""),"Bounce Shot Chance")</f>
        <v>Bounce Shot Chance</v>
      </c>
      <c r="AQ22" s="174">
        <f>IFERROR(__xludf.DUMMYFUNCTION("""COMPUTED_VALUE"""),0.0)</f>
        <v>0</v>
      </c>
      <c r="AR22" s="74"/>
      <c r="AS22" s="104"/>
      <c r="AT22" s="104"/>
      <c r="AU22" s="73"/>
      <c r="AV22" s="114"/>
      <c r="AW22" s="114"/>
      <c r="AX22" s="74"/>
      <c r="AY22" s="73"/>
      <c r="AZ22" s="73"/>
      <c r="BA22" s="74"/>
      <c r="BB22" s="73"/>
      <c r="BC22" s="73"/>
      <c r="BD22" s="73"/>
      <c r="BE22" s="73"/>
      <c r="BF22" s="73"/>
      <c r="BG22" s="73"/>
      <c r="BH22" s="73"/>
      <c r="BI22" s="73"/>
      <c r="BJ22" s="73"/>
      <c r="BK22" s="73"/>
      <c r="BL22" s="73"/>
      <c r="BM22" s="73"/>
      <c r="BN22" s="73"/>
      <c r="BO22" s="73"/>
      <c r="BP22" s="73"/>
      <c r="BQ22" s="73"/>
      <c r="BR22" s="73"/>
      <c r="BS22" s="73"/>
      <c r="BT22" s="74"/>
      <c r="BU22" s="73"/>
      <c r="BV22" s="73"/>
      <c r="BW22" s="73"/>
      <c r="BX22" s="73"/>
      <c r="BY22" s="73"/>
      <c r="BZ22" s="73" t="str">
        <f>IFERROR(__xludf.DUMMYFUNCTION("""COMPUTED_VALUE"""),"Tier 20")</f>
        <v>Tier 20</v>
      </c>
      <c r="CA22" s="73">
        <f>IFERROR(__xludf.DUMMYFUNCTION("""COMPUTED_VALUE"""),0.0)</f>
        <v>0</v>
      </c>
      <c r="CB22" s="73"/>
      <c r="CC22" s="73"/>
      <c r="CD22" s="73"/>
      <c r="CE22" s="73"/>
    </row>
    <row r="23">
      <c r="A23" s="86" t="str">
        <f>IFERROR(__xludf.DUMMYFUNCTION("""COMPUTED_VALUE"""),"Damage / Meter")</f>
        <v>Damage / Meter</v>
      </c>
      <c r="B23" s="87">
        <f>IFERROR(__xludf.DUMMYFUNCTION("""COMPUTED_VALUE"""),16.0)</f>
        <v>16</v>
      </c>
      <c r="C23" s="73"/>
      <c r="D23" s="88">
        <f>IFERROR(__xludf.DUMMYFUNCTION("""COMPUTED_VALUE"""),99.0)</f>
        <v>99</v>
      </c>
      <c r="E23" s="108" t="b">
        <f>IFERROR(__xludf.DUMMYFUNCTION("""COMPUTED_VALUE"""),TRUE)</f>
        <v>1</v>
      </c>
      <c r="F23" s="86" t="str">
        <f>IFERROR(__xludf.DUMMYFUNCTION("""COMPUTED_VALUE"""),"Defense %")</f>
        <v>Defense %</v>
      </c>
      <c r="G23" s="87">
        <f>IFERROR(__xludf.DUMMYFUNCTION("""COMPUTED_VALUE"""),99.0)</f>
        <v>99</v>
      </c>
      <c r="H23" s="73">
        <f>IFERROR(__xludf.DUMMYFUNCTION("""COMPUTED_VALUE"""),99.0)</f>
        <v>99</v>
      </c>
      <c r="I23" s="73">
        <f>IFERROR(__xludf.DUMMYFUNCTION("""COMPUTED_VALUE"""),99.0)</f>
        <v>99</v>
      </c>
      <c r="J23" s="73">
        <f>IFERROR(__xludf.DUMMYFUNCTION("""COMPUTED_VALUE"""),99.0)</f>
        <v>99</v>
      </c>
      <c r="K23" s="92"/>
      <c r="L23" s="73"/>
      <c r="M23" s="73"/>
      <c r="N23" s="73"/>
      <c r="O23" s="73"/>
      <c r="P23" s="73"/>
      <c r="Q23" s="121">
        <f>IFERROR(__xludf.DUMMYFUNCTION("""COMPUTED_VALUE"""),99.0)</f>
        <v>99</v>
      </c>
      <c r="R23" s="82"/>
      <c r="S23" s="73"/>
      <c r="T23" s="73"/>
      <c r="U23" s="73"/>
      <c r="V23" s="73"/>
      <c r="W23" s="73"/>
      <c r="X23" s="73"/>
      <c r="Y23" s="77"/>
      <c r="Z23" s="104"/>
      <c r="AA23" s="73"/>
      <c r="AB23" s="93" t="str">
        <f>IFERROR(__xludf.DUMMYFUNCTION("""COMPUTED_VALUE"""),"Duration")</f>
        <v>Duration</v>
      </c>
      <c r="AC23" s="186">
        <f>IFERROR(__xludf.DUMMYFUNCTION("""COMPUTED_VALUE"""),22.0)</f>
        <v>22</v>
      </c>
      <c r="AD23" s="95" t="str">
        <f>IFERROR(__xludf.DUMMYFUNCTION("""COMPUTED_VALUE"""),"07 | 22s | Cost 59 ⧌ | Next 68 ⧌")</f>
        <v>07 | 22s | Cost 59 ⧌ | Next 68 ⧌</v>
      </c>
      <c r="AE23" s="100" t="str">
        <f>IFERROR(__xludf.DUMMYFUNCTION("""COMPUTED_VALUE"""),"Energy Net")</f>
        <v>Energy Net</v>
      </c>
      <c r="AF23" s="97">
        <f>IFERROR(__xludf.DUMMYFUNCTION("""COMPUTED_VALUE"""),7.0)</f>
        <v>7</v>
      </c>
      <c r="AG23" s="98" t="b">
        <f>IFERROR(__xludf.DUMMYFUNCTION("""COMPUTED_VALUE"""),FALSE)</f>
        <v>0</v>
      </c>
      <c r="AH23" s="187"/>
      <c r="AI23" s="82"/>
      <c r="AJ23" s="114"/>
      <c r="AK23" s="106"/>
      <c r="AL23" s="74"/>
      <c r="AM23" s="86" t="str">
        <f>IFERROR(__xludf.DUMMYFUNCTION("""COMPUTED_VALUE"""),"Health")</f>
        <v>Health</v>
      </c>
      <c r="AN23" s="125">
        <f>IFERROR(__xludf.DUMMYFUNCTION("""COMPUTED_VALUE"""),0.51)</f>
        <v>0.51</v>
      </c>
      <c r="AO23" s="102"/>
      <c r="AP23" s="86" t="str">
        <f>IFERROR(__xludf.DUMMYFUNCTION("""COMPUTED_VALUE"""),"Super Crit Chance")</f>
        <v>Super Crit Chance</v>
      </c>
      <c r="AQ23" s="174">
        <f>IFERROR(__xludf.DUMMYFUNCTION("""COMPUTED_VALUE"""),0.0)</f>
        <v>0</v>
      </c>
      <c r="AR23" s="74"/>
      <c r="AS23" s="104"/>
      <c r="AT23" s="104"/>
      <c r="AU23" s="73"/>
      <c r="AV23" s="114"/>
      <c r="AW23" s="114"/>
      <c r="AX23" s="74"/>
      <c r="AY23" s="73"/>
      <c r="AZ23" s="73"/>
      <c r="BA23" s="74"/>
      <c r="BB23" s="73" t="str">
        <f>IFERROR(__xludf.DUMMYFUNCTION("""COMPUTED_VALUE"""),"Placeholder 5th preset")</f>
        <v>Placeholder 5th preset</v>
      </c>
      <c r="BC23" s="73"/>
      <c r="BD23" s="73"/>
      <c r="BE23" s="73"/>
      <c r="BF23" s="73"/>
      <c r="BG23" s="73" t="str">
        <f>IFERROR(__xludf.DUMMYFUNCTION("""COMPUTED_VALUE"""),"Placeholder 5th preset")</f>
        <v>Placeholder 5th preset</v>
      </c>
      <c r="BH23" s="73"/>
      <c r="BI23" s="73"/>
      <c r="BJ23" s="73"/>
      <c r="BK23" s="73"/>
      <c r="BL23" s="73" t="str">
        <f>IFERROR(__xludf.DUMMYFUNCTION("""COMPUTED_VALUE"""),"Placeholder 5th preset")</f>
        <v>Placeholder 5th preset</v>
      </c>
      <c r="BM23" s="73"/>
      <c r="BN23" s="73"/>
      <c r="BO23" s="73"/>
      <c r="BP23" s="73"/>
      <c r="BQ23" s="73" t="str">
        <f>IFERROR(__xludf.DUMMYFUNCTION("""COMPUTED_VALUE"""),"Placeholder 5th preset")</f>
        <v>Placeholder 5th preset</v>
      </c>
      <c r="BR23" s="73"/>
      <c r="BS23" s="73"/>
      <c r="BT23" s="74"/>
      <c r="BU23" s="73"/>
      <c r="BV23" s="73"/>
      <c r="BW23" s="73"/>
      <c r="BX23" s="73"/>
      <c r="BY23" s="73"/>
      <c r="BZ23" s="73" t="str">
        <f>IFERROR(__xludf.DUMMYFUNCTION("""COMPUTED_VALUE"""),"Tier 21")</f>
        <v>Tier 21</v>
      </c>
      <c r="CA23" s="73">
        <f>IFERROR(__xludf.DUMMYFUNCTION("""COMPUTED_VALUE"""),0.0)</f>
        <v>0</v>
      </c>
      <c r="CB23" s="73"/>
      <c r="CC23" s="73"/>
      <c r="CD23" s="73"/>
      <c r="CE23" s="73"/>
    </row>
    <row r="24">
      <c r="A24" s="86" t="str">
        <f>IFERROR(__xludf.DUMMYFUNCTION("""COMPUTED_VALUE"""),"Super Crit Chance")</f>
        <v>Super Crit Chance</v>
      </c>
      <c r="B24" s="87">
        <f>IFERROR(__xludf.DUMMYFUNCTION("""COMPUTED_VALUE"""),9.0)</f>
        <v>9</v>
      </c>
      <c r="C24" s="73"/>
      <c r="D24" s="88">
        <f>IFERROR(__xludf.DUMMYFUNCTION("""COMPUTED_VALUE"""),50.0)</f>
        <v>50</v>
      </c>
      <c r="E24" s="73"/>
      <c r="F24" s="86" t="str">
        <f>IFERROR(__xludf.DUMMYFUNCTION("""COMPUTED_VALUE"""),"Defense Absolute")</f>
        <v>Defense Absolute</v>
      </c>
      <c r="G24" s="87">
        <f>IFERROR(__xludf.DUMMYFUNCTION("""COMPUTED_VALUE"""),5000.0)</f>
        <v>5000</v>
      </c>
      <c r="H24" s="73">
        <f>IFERROR(__xludf.DUMMYFUNCTION("""COMPUTED_VALUE"""),5000.0)</f>
        <v>5000</v>
      </c>
      <c r="I24" s="73">
        <f>IFERROR(__xludf.DUMMYFUNCTION("""COMPUTED_VALUE"""),5000.0)</f>
        <v>5000</v>
      </c>
      <c r="J24" s="73">
        <f>IFERROR(__xludf.DUMMYFUNCTION("""COMPUTED_VALUE"""),5000.0)</f>
        <v>5000</v>
      </c>
      <c r="K24" s="92"/>
      <c r="L24" s="73"/>
      <c r="M24" s="73"/>
      <c r="N24" s="73"/>
      <c r="O24" s="73"/>
      <c r="P24" s="73"/>
      <c r="Q24" s="121">
        <f>IFERROR(__xludf.DUMMYFUNCTION("""COMPUTED_VALUE"""),5000.0)</f>
        <v>5000</v>
      </c>
      <c r="R24" s="82"/>
      <c r="S24" s="73"/>
      <c r="T24" s="73"/>
      <c r="U24" s="73"/>
      <c r="V24" s="73"/>
      <c r="W24" s="73"/>
      <c r="X24" s="73"/>
      <c r="Y24" s="77"/>
      <c r="Z24" s="168" t="b">
        <f>IFERROR(__xludf.DUMMYFUNCTION("""COMPUTED_VALUE"""),TRUE)</f>
        <v>1</v>
      </c>
      <c r="AA24" s="136" t="str">
        <f>IFERROR(__xludf.DUMMYFUNCTION("""COMPUTED_VALUE"""),"UW Unlocked")</f>
        <v>UW Unlocked</v>
      </c>
      <c r="AB24" s="93" t="str">
        <f>IFERROR(__xludf.DUMMYFUNCTION("""COMPUTED_VALUE"""),"Cooldown")</f>
        <v>Cooldown</v>
      </c>
      <c r="AC24" s="152">
        <f>IFERROR(__xludf.DUMMYFUNCTION("""COMPUTED_VALUE"""),180.0)</f>
        <v>180</v>
      </c>
      <c r="AD24" s="95" t="str">
        <f>IFERROR(__xludf.DUMMYFUNCTION("""COMPUTED_VALUE"""),"12 | 180s | Cost 208 ⧌ | Next 226 ⧌")</f>
        <v>12 | 180s | Cost 208 ⧌ | Next 226 ⧌</v>
      </c>
      <c r="AE24" s="100" t="str">
        <f>IFERROR(__xludf.DUMMYFUNCTION("""COMPUTED_VALUE"""),"Super Tower")</f>
        <v>Super Tower</v>
      </c>
      <c r="AF24" s="97">
        <f>IFERROR(__xludf.DUMMYFUNCTION("""COMPUTED_VALUE"""),7.0)</f>
        <v>7</v>
      </c>
      <c r="AG24" s="98" t="b">
        <f>IFERROR(__xludf.DUMMYFUNCTION("""COMPUTED_VALUE"""),FALSE)</f>
        <v>0</v>
      </c>
      <c r="AH24" s="153"/>
      <c r="AI24" s="82"/>
      <c r="AJ24" s="114"/>
      <c r="AK24" s="106"/>
      <c r="AL24" s="74"/>
      <c r="AM24" s="86" t="str">
        <f>IFERROR(__xludf.DUMMYFUNCTION("""COMPUTED_VALUE"""),"Health Regen")</f>
        <v>Health Regen</v>
      </c>
      <c r="AN24" s="125">
        <f>IFERROR(__xludf.DUMMYFUNCTION("""COMPUTED_VALUE"""),0.22999999999999998)</f>
        <v>0.23</v>
      </c>
      <c r="AO24" s="102"/>
      <c r="AP24" s="86" t="str">
        <f>IFERROR(__xludf.DUMMYFUNCTION("""COMPUTED_VALUE"""),"Super Crit Mult")</f>
        <v>Super Crit Mult</v>
      </c>
      <c r="AQ24" s="174">
        <f>IFERROR(__xludf.DUMMYFUNCTION("""COMPUTED_VALUE"""),0.0)</f>
        <v>0</v>
      </c>
      <c r="AR24" s="74"/>
      <c r="AS24" s="104"/>
      <c r="AT24" s="104"/>
      <c r="AU24" s="73"/>
      <c r="AV24" s="114"/>
      <c r="AW24" s="114"/>
      <c r="AX24" s="74"/>
      <c r="AY24" s="73"/>
      <c r="AZ24" s="73"/>
      <c r="BA24" s="74"/>
      <c r="BB24" s="73"/>
      <c r="BC24" s="73"/>
      <c r="BD24" s="73"/>
      <c r="BE24" s="73"/>
      <c r="BF24" s="73"/>
      <c r="BG24" s="73"/>
      <c r="BH24" s="73"/>
      <c r="BI24" s="73"/>
      <c r="BJ24" s="73"/>
      <c r="BK24" s="73"/>
      <c r="BL24" s="73"/>
      <c r="BM24" s="73"/>
      <c r="BN24" s="73"/>
      <c r="BO24" s="73"/>
      <c r="BP24" s="73"/>
      <c r="BQ24" s="73"/>
      <c r="BR24" s="73"/>
      <c r="BS24" s="73"/>
      <c r="BT24" s="74"/>
      <c r="BU24" s="73"/>
      <c r="BV24" s="73"/>
      <c r="BW24" s="73"/>
      <c r="BX24" s="73"/>
      <c r="BY24" s="73"/>
      <c r="BZ24" s="73"/>
      <c r="CA24" s="73"/>
      <c r="CB24" s="73"/>
      <c r="CC24" s="73"/>
      <c r="CD24" s="73"/>
      <c r="CE24" s="73"/>
    </row>
    <row r="25">
      <c r="A25" s="86" t="str">
        <f>IFERROR(__xludf.DUMMYFUNCTION("""COMPUTED_VALUE"""),"Super Crit Multi")</f>
        <v>Super Crit Multi</v>
      </c>
      <c r="B25" s="87">
        <f>IFERROR(__xludf.DUMMYFUNCTION("""COMPUTED_VALUE"""),13.0)</f>
        <v>13</v>
      </c>
      <c r="C25" s="73"/>
      <c r="D25" s="88">
        <f>IFERROR(__xludf.DUMMYFUNCTION("""COMPUTED_VALUE"""),40.0)</f>
        <v>40</v>
      </c>
      <c r="E25" s="89" t="b">
        <f>IFERROR(__xludf.DUMMYFUNCTION("""COMPUTED_VALUE"""),TRUE)</f>
        <v>1</v>
      </c>
      <c r="F25" s="86" t="str">
        <f>IFERROR(__xludf.DUMMYFUNCTION("""COMPUTED_VALUE"""),"Thorn Damage")</f>
        <v>Thorn Damage</v>
      </c>
      <c r="G25" s="87">
        <f>IFERROR(__xludf.DUMMYFUNCTION("""COMPUTED_VALUE"""),99.0)</f>
        <v>99</v>
      </c>
      <c r="H25" s="73">
        <f>IFERROR(__xludf.DUMMYFUNCTION("""COMPUTED_VALUE"""),99.0)</f>
        <v>99</v>
      </c>
      <c r="I25" s="73">
        <f>IFERROR(__xludf.DUMMYFUNCTION("""COMPUTED_VALUE"""),99.0)</f>
        <v>99</v>
      </c>
      <c r="J25" s="73">
        <f>IFERROR(__xludf.DUMMYFUNCTION("""COMPUTED_VALUE"""),99.0)</f>
        <v>99</v>
      </c>
      <c r="K25" s="92"/>
      <c r="L25" s="73"/>
      <c r="M25" s="73"/>
      <c r="N25" s="73"/>
      <c r="O25" s="73"/>
      <c r="P25" s="73"/>
      <c r="Q25" s="121">
        <f>IFERROR(__xludf.DUMMYFUNCTION("""COMPUTED_VALUE"""),99.0)</f>
        <v>99</v>
      </c>
      <c r="R25" s="82"/>
      <c r="S25" s="73"/>
      <c r="T25" s="73"/>
      <c r="U25" s="73"/>
      <c r="V25" s="73"/>
      <c r="W25" s="73"/>
      <c r="X25" s="73"/>
      <c r="Y25" s="77"/>
      <c r="Z25" s="93" t="str">
        <f>IFERROR(__xludf.DUMMYFUNCTION("""COMPUTED_VALUE"""),"UW+")</f>
        <v>UW+</v>
      </c>
      <c r="AA25" s="73"/>
      <c r="AB25" s="93" t="str">
        <f>IFERROR(__xludf.DUMMYFUNCTION("""COMPUTED_VALUE"""),"Golden Combo")</f>
        <v>Golden Combo</v>
      </c>
      <c r="AC25" s="188" t="str">
        <f>IFERROR(__xludf.DUMMYFUNCTION("""COMPUTED_VALUE"""),"Locked")</f>
        <v>Locked</v>
      </c>
      <c r="AD25" s="95" t="str">
        <f>IFERROR(__xludf.DUMMYFUNCTION("""COMPUTED_VALUE"""),"Lo | Locked")</f>
        <v>Lo | Locked</v>
      </c>
      <c r="AE25" s="100" t="str">
        <f>IFERROR(__xludf.DUMMYFUNCTION("""COMPUTED_VALUE"""),"Second Wind")</f>
        <v>Second Wind</v>
      </c>
      <c r="AF25" s="97">
        <f>IFERROR(__xludf.DUMMYFUNCTION("""COMPUTED_VALUE"""),7.0)</f>
        <v>7</v>
      </c>
      <c r="AG25" s="98" t="b">
        <f>IFERROR(__xludf.DUMMYFUNCTION("""COMPUTED_VALUE"""),FALSE)</f>
        <v>0</v>
      </c>
      <c r="AH25" s="135"/>
      <c r="AI25" s="82"/>
      <c r="AJ25" s="114"/>
      <c r="AK25" s="106"/>
      <c r="AL25" s="74"/>
      <c r="AM25" s="86" t="str">
        <f>IFERROR(__xludf.DUMMYFUNCTION("""COMPUTED_VALUE"""),"Defense %")</f>
        <v>Defense %</v>
      </c>
      <c r="AN25" s="125">
        <f>IFERROR(__xludf.DUMMYFUNCTION("""COMPUTED_VALUE"""),0.04)</f>
        <v>0.04</v>
      </c>
      <c r="AO25" s="102"/>
      <c r="AP25" s="86" t="str">
        <f>IFERROR(__xludf.DUMMYFUNCTION("""COMPUTED_VALUE"""),"Rend Armor Chance")</f>
        <v>Rend Armor Chance</v>
      </c>
      <c r="AQ25" s="174">
        <f>IFERROR(__xludf.DUMMYFUNCTION("""COMPUTED_VALUE"""),0.0)</f>
        <v>0</v>
      </c>
      <c r="AR25" s="74"/>
      <c r="AS25" s="104"/>
      <c r="AT25" s="104"/>
      <c r="AU25" s="73"/>
      <c r="AV25" s="114"/>
      <c r="AW25" s="114"/>
      <c r="AX25" s="74"/>
      <c r="AY25" s="73"/>
      <c r="AZ25" s="73"/>
      <c r="BA25" s="74"/>
      <c r="BB25" s="73"/>
      <c r="BC25" s="73"/>
      <c r="BD25" s="73"/>
      <c r="BE25" s="73"/>
      <c r="BF25" s="73"/>
      <c r="BG25" s="73"/>
      <c r="BH25" s="73"/>
      <c r="BI25" s="73"/>
      <c r="BJ25" s="73"/>
      <c r="BK25" s="73"/>
      <c r="BL25" s="73"/>
      <c r="BM25" s="73"/>
      <c r="BN25" s="73"/>
      <c r="BO25" s="73"/>
      <c r="BP25" s="73"/>
      <c r="BQ25" s="73"/>
      <c r="BR25" s="73"/>
      <c r="BS25" s="73"/>
      <c r="BT25" s="74"/>
      <c r="BU25" s="73"/>
      <c r="BV25" s="73"/>
      <c r="BW25" s="73"/>
      <c r="BX25" s="73"/>
      <c r="BY25" s="73"/>
      <c r="BZ25" s="73"/>
      <c r="CA25" s="73"/>
      <c r="CB25" s="73"/>
      <c r="CC25" s="73"/>
      <c r="CD25" s="73"/>
      <c r="CE25" s="73"/>
    </row>
    <row r="26">
      <c r="A26" s="86" t="str">
        <f>IFERROR(__xludf.DUMMYFUNCTION("""COMPUTED_VALUE"""),"Max Rend Armor Multiplier")</f>
        <v>Max Rend Armor Multiplier</v>
      </c>
      <c r="B26" s="87">
        <f>IFERROR(__xludf.DUMMYFUNCTION("""COMPUTED_VALUE"""),0.0)</f>
        <v>0</v>
      </c>
      <c r="C26" s="73"/>
      <c r="D26" s="88">
        <f>IFERROR(__xludf.DUMMYFUNCTION("""COMPUTED_VALUE"""),30.0)</f>
        <v>30</v>
      </c>
      <c r="E26" s="108" t="b">
        <f>IFERROR(__xludf.DUMMYFUNCTION("""COMPUTED_VALUE"""),TRUE)</f>
        <v>1</v>
      </c>
      <c r="F26" s="86" t="str">
        <f>IFERROR(__xludf.DUMMYFUNCTION("""COMPUTED_VALUE"""),"Lifesteal")</f>
        <v>Lifesteal</v>
      </c>
      <c r="G26" s="87">
        <f>IFERROR(__xludf.DUMMYFUNCTION("""COMPUTED_VALUE"""),80.0)</f>
        <v>80</v>
      </c>
      <c r="H26" s="73">
        <f>IFERROR(__xludf.DUMMYFUNCTION("""COMPUTED_VALUE"""),80.0)</f>
        <v>80</v>
      </c>
      <c r="I26" s="73">
        <f>IFERROR(__xludf.DUMMYFUNCTION("""COMPUTED_VALUE"""),80.0)</f>
        <v>80</v>
      </c>
      <c r="J26" s="73">
        <f>IFERROR(__xludf.DUMMYFUNCTION("""COMPUTED_VALUE"""),80.0)</f>
        <v>80</v>
      </c>
      <c r="K26" s="92"/>
      <c r="L26" s="73"/>
      <c r="M26" s="73"/>
      <c r="N26" s="73"/>
      <c r="O26" s="73"/>
      <c r="P26" s="73"/>
      <c r="Q26" s="121">
        <f>IFERROR(__xludf.DUMMYFUNCTION("""COMPUTED_VALUE"""),80.0)</f>
        <v>80</v>
      </c>
      <c r="R26" s="82"/>
      <c r="S26" s="73"/>
      <c r="T26" s="73"/>
      <c r="U26" s="73"/>
      <c r="V26" s="73"/>
      <c r="W26" s="73"/>
      <c r="X26" s="73"/>
      <c r="Y26" s="77"/>
      <c r="Z26" s="93" t="str">
        <f>IFERROR(__xludf.DUMMYFUNCTION("""COMPUTED_VALUE"""),"Poison Swamp")</f>
        <v>Poison Swamp</v>
      </c>
      <c r="AA26" s="73"/>
      <c r="AB26" s="93" t="str">
        <f>IFERROR(__xludf.DUMMYFUNCTION("""COMPUTED_VALUE"""),"Damage")</f>
        <v>Damage</v>
      </c>
      <c r="AC26" s="189">
        <f>IFERROR(__xludf.DUMMYFUNCTION("""COMPUTED_VALUE"""),10.0)</f>
        <v>10</v>
      </c>
      <c r="AD26" s="95" t="str">
        <f>IFERROR(__xludf.DUMMYFUNCTION("""COMPUTED_VALUE"""),"00 | x10 | Cost 0 ⧌ | Next 5 ⧌")</f>
        <v>00 | x10 | Cost 0 ⧌ | Next 5 ⧌</v>
      </c>
      <c r="AE26" s="96" t="str">
        <f>IFERROR(__xludf.DUMMYFUNCTION("""COMPUTED_VALUE"""),"Demon Mode")</f>
        <v>Demon Mode</v>
      </c>
      <c r="AF26" s="97">
        <f>IFERROR(__xludf.DUMMYFUNCTION("""COMPUTED_VALUE"""),7.0)</f>
        <v>7</v>
      </c>
      <c r="AG26" s="98" t="b">
        <f>IFERROR(__xludf.DUMMYFUNCTION("""COMPUTED_VALUE"""),FALSE)</f>
        <v>0</v>
      </c>
      <c r="AH26" s="190"/>
      <c r="AI26" s="82"/>
      <c r="AJ26" s="114"/>
      <c r="AK26" s="106"/>
      <c r="AL26" s="74"/>
      <c r="AM26" s="86" t="str">
        <f>IFERROR(__xludf.DUMMYFUNCTION("""COMPUTED_VALUE"""),"Defense Absolute")</f>
        <v>Defense Absolute</v>
      </c>
      <c r="AN26" s="125">
        <f>IFERROR(__xludf.DUMMYFUNCTION("""COMPUTED_VALUE"""),0.28)</f>
        <v>0.28</v>
      </c>
      <c r="AO26" s="102"/>
      <c r="AP26" s="86" t="str">
        <f>IFERROR(__xludf.DUMMYFUNCTION("""COMPUTED_VALUE"""),"Rend Armor Mult")</f>
        <v>Rend Armor Mult</v>
      </c>
      <c r="AQ26" s="82">
        <f>IFERROR(__xludf.DUMMYFUNCTION("""COMPUTED_VALUE"""),0.0)</f>
        <v>0</v>
      </c>
      <c r="AR26" s="74"/>
      <c r="AS26" s="104"/>
      <c r="AT26" s="104"/>
      <c r="AU26" s="73"/>
      <c r="AV26" s="73"/>
      <c r="AW26" s="73"/>
      <c r="AX26" s="74"/>
      <c r="AY26" s="73"/>
      <c r="AZ26" s="73"/>
      <c r="BA26" s="74"/>
      <c r="BB26" s="73"/>
      <c r="BC26" s="73"/>
      <c r="BD26" s="73"/>
      <c r="BE26" s="73"/>
      <c r="BF26" s="73"/>
      <c r="BG26" s="73"/>
      <c r="BH26" s="73"/>
      <c r="BI26" s="73"/>
      <c r="BJ26" s="73"/>
      <c r="BK26" s="73"/>
      <c r="BL26" s="73"/>
      <c r="BM26" s="73"/>
      <c r="BN26" s="73"/>
      <c r="BO26" s="73"/>
      <c r="BP26" s="73"/>
      <c r="BQ26" s="73"/>
      <c r="BR26" s="73"/>
      <c r="BS26" s="73"/>
      <c r="BT26" s="74"/>
      <c r="BU26" s="73"/>
      <c r="BV26" s="73"/>
      <c r="BW26" s="73"/>
      <c r="BX26" s="73"/>
      <c r="BY26" s="73"/>
      <c r="BZ26" s="73"/>
      <c r="CA26" s="73"/>
      <c r="CB26" s="73"/>
      <c r="CC26" s="73"/>
      <c r="CD26" s="73"/>
      <c r="CE26" s="73"/>
    </row>
    <row r="27">
      <c r="A27" s="86" t="str">
        <f>IFERROR(__xludf.DUMMYFUNCTION("""COMPUTED_VALUE"""),"Light Speed Shots")</f>
        <v>Light Speed Shots</v>
      </c>
      <c r="B27" s="87">
        <f>IFERROR(__xludf.DUMMYFUNCTION("""COMPUTED_VALUE"""),1.0)</f>
        <v>1</v>
      </c>
      <c r="C27" s="73"/>
      <c r="D27" s="88">
        <f>IFERROR(__xludf.DUMMYFUNCTION("""COMPUTED_VALUE"""),1.0)</f>
        <v>1</v>
      </c>
      <c r="E27" s="108" t="b">
        <f>IFERROR(__xludf.DUMMYFUNCTION("""COMPUTED_VALUE"""),TRUE)</f>
        <v>1</v>
      </c>
      <c r="F27" s="86" t="str">
        <f>IFERROR(__xludf.DUMMYFUNCTION("""COMPUTED_VALUE"""),"Knockback Chance")</f>
        <v>Knockback Chance</v>
      </c>
      <c r="G27" s="87">
        <f>IFERROR(__xludf.DUMMYFUNCTION("""COMPUTED_VALUE"""),80.0)</f>
        <v>80</v>
      </c>
      <c r="H27" s="73">
        <f>IFERROR(__xludf.DUMMYFUNCTION("""COMPUTED_VALUE"""),80.0)</f>
        <v>80</v>
      </c>
      <c r="I27" s="73">
        <f>IFERROR(__xludf.DUMMYFUNCTION("""COMPUTED_VALUE"""),80.0)</f>
        <v>80</v>
      </c>
      <c r="J27" s="73">
        <f>IFERROR(__xludf.DUMMYFUNCTION("""COMPUTED_VALUE"""),80.0)</f>
        <v>80</v>
      </c>
      <c r="K27" s="92"/>
      <c r="L27" s="73"/>
      <c r="M27" s="73"/>
      <c r="N27" s="73"/>
      <c r="O27" s="73"/>
      <c r="P27" s="73"/>
      <c r="Q27" s="121">
        <f>IFERROR(__xludf.DUMMYFUNCTION("""COMPUTED_VALUE"""),80.0)</f>
        <v>80</v>
      </c>
      <c r="R27" s="82"/>
      <c r="S27" s="73"/>
      <c r="T27" s="73"/>
      <c r="U27" s="73"/>
      <c r="V27" s="73"/>
      <c r="W27" s="73"/>
      <c r="X27" s="73"/>
      <c r="Y27" s="77"/>
      <c r="Z27" s="104"/>
      <c r="AA27" s="73"/>
      <c r="AB27" s="93" t="str">
        <f>IFERROR(__xludf.DUMMYFUNCTION("""COMPUTED_VALUE"""),"Duration")</f>
        <v>Duration</v>
      </c>
      <c r="AC27" s="152">
        <f>IFERROR(__xludf.DUMMYFUNCTION("""COMPUTED_VALUE"""),30.0)</f>
        <v>30</v>
      </c>
      <c r="AD27" s="95" t="str">
        <f>IFERROR(__xludf.DUMMYFUNCTION("""COMPUTED_VALUE"""),"00 | 30s | Cost 0 ⧌ | Next 10 ⧌")</f>
        <v>00 | 30s | Cost 0 ⧌ | Next 10 ⧌</v>
      </c>
      <c r="AE27" s="100" t="str">
        <f>IFERROR(__xludf.DUMMYFUNCTION("""COMPUTED_VALUE"""),"Energy Shield")</f>
        <v>Energy Shield</v>
      </c>
      <c r="AF27" s="97">
        <f>IFERROR(__xludf.DUMMYFUNCTION("""COMPUTED_VALUE"""),7.0)</f>
        <v>7</v>
      </c>
      <c r="AG27" s="98" t="b">
        <f>IFERROR(__xludf.DUMMYFUNCTION("""COMPUTED_VALUE"""),FALSE)</f>
        <v>0</v>
      </c>
      <c r="AH27" s="153"/>
      <c r="AI27" s="82"/>
      <c r="AJ27" s="114"/>
      <c r="AK27" s="106"/>
      <c r="AL27" s="74"/>
      <c r="AM27" s="86" t="str">
        <f>IFERROR(__xludf.DUMMYFUNCTION("""COMPUTED_VALUE"""),"Thorns")</f>
        <v>Thorns</v>
      </c>
      <c r="AN27" s="125">
        <f>IFERROR(__xludf.DUMMYFUNCTION("""COMPUTED_VALUE"""),0.09000000000000001)</f>
        <v>0.09</v>
      </c>
      <c r="AO27" s="102"/>
      <c r="AP27" s="86" t="str">
        <f>IFERROR(__xludf.DUMMYFUNCTION("""COMPUTED_VALUE"""),"Defense")</f>
        <v>Defense</v>
      </c>
      <c r="AQ27" s="174"/>
      <c r="AR27" s="74"/>
      <c r="AS27" s="104"/>
      <c r="AT27" s="104"/>
      <c r="AU27" s="73"/>
      <c r="AV27" s="114"/>
      <c r="AW27" s="114"/>
      <c r="AX27" s="74"/>
      <c r="AY27" s="73"/>
      <c r="AZ27" s="73"/>
      <c r="BA27" s="74"/>
      <c r="BB27" s="73" t="str">
        <f>IFERROR(__xludf.DUMMYFUNCTION("""COMPUTED_VALUE"""),"Astral Deliverance")</f>
        <v>Astral Deliverance</v>
      </c>
      <c r="BC27" s="73"/>
      <c r="BD27" s="73"/>
      <c r="BE27" s="73"/>
      <c r="BF27" s="73"/>
      <c r="BG27" s="73" t="str">
        <f>IFERROR(__xludf.DUMMYFUNCTION("""COMPUTED_VALUE"""),"Anti-Cube Portal")</f>
        <v>Anti-Cube Portal</v>
      </c>
      <c r="BH27" s="73"/>
      <c r="BI27" s="73"/>
      <c r="BJ27" s="73"/>
      <c r="BK27" s="73"/>
      <c r="BL27" s="73" t="str">
        <f>IFERROR(__xludf.DUMMYFUNCTION("""COMPUTED_VALUE"""),"Black Hole Digestor")</f>
        <v>Black Hole Digestor</v>
      </c>
      <c r="BM27" s="73"/>
      <c r="BN27" s="73"/>
      <c r="BO27" s="73"/>
      <c r="BP27" s="73"/>
      <c r="BQ27" s="73" t="str">
        <f>IFERROR(__xludf.DUMMYFUNCTION("""COMPUTED_VALUE"""),"Multiverse Nexus")</f>
        <v>Multiverse Nexus</v>
      </c>
      <c r="BR27" s="73"/>
      <c r="BS27" s="73"/>
      <c r="BT27" s="74"/>
      <c r="BU27" s="73"/>
      <c r="BV27" s="73"/>
      <c r="BW27" s="73"/>
      <c r="BX27" s="73"/>
      <c r="BY27" s="73"/>
      <c r="BZ27" s="73"/>
      <c r="CA27" s="73"/>
      <c r="CB27" s="73"/>
      <c r="CC27" s="73"/>
      <c r="CD27" s="73"/>
      <c r="CE27" s="73"/>
    </row>
    <row r="28">
      <c r="A28" s="86" t="str">
        <f>IFERROR(__xludf.DUMMYFUNCTION("""COMPUTED_VALUE"""),"Health")</f>
        <v>Health</v>
      </c>
      <c r="B28" s="87">
        <f>IFERROR(__xludf.DUMMYFUNCTION("""COMPUTED_VALUE"""),68.0)</f>
        <v>68</v>
      </c>
      <c r="C28" s="73"/>
      <c r="D28" s="88">
        <f>IFERROR(__xludf.DUMMYFUNCTION("""COMPUTED_VALUE"""),100.0)</f>
        <v>100</v>
      </c>
      <c r="E28" s="73"/>
      <c r="F28" s="86" t="str">
        <f>IFERROR(__xludf.DUMMYFUNCTION("""COMPUTED_VALUE"""),"Knockback Force")</f>
        <v>Knockback Force</v>
      </c>
      <c r="G28" s="87">
        <f>IFERROR(__xludf.DUMMYFUNCTION("""COMPUTED_VALUE"""),40.0)</f>
        <v>40</v>
      </c>
      <c r="H28" s="73">
        <f>IFERROR(__xludf.DUMMYFUNCTION("""COMPUTED_VALUE"""),40.0)</f>
        <v>40</v>
      </c>
      <c r="I28" s="73">
        <f>IFERROR(__xludf.DUMMYFUNCTION("""COMPUTED_VALUE"""),40.0)</f>
        <v>40</v>
      </c>
      <c r="J28" s="73">
        <f>IFERROR(__xludf.DUMMYFUNCTION("""COMPUTED_VALUE"""),40.0)</f>
        <v>40</v>
      </c>
      <c r="K28" s="92"/>
      <c r="L28" s="73"/>
      <c r="M28" s="73"/>
      <c r="N28" s="73"/>
      <c r="O28" s="73"/>
      <c r="P28" s="73"/>
      <c r="Q28" s="121">
        <f>IFERROR(__xludf.DUMMYFUNCTION("""COMPUTED_VALUE"""),40.0)</f>
        <v>40</v>
      </c>
      <c r="R28" s="82"/>
      <c r="S28" s="73"/>
      <c r="T28" s="73"/>
      <c r="U28" s="73"/>
      <c r="V28" s="73"/>
      <c r="W28" s="73"/>
      <c r="X28" s="73"/>
      <c r="Y28" s="77"/>
      <c r="Z28" s="124" t="b">
        <f>IFERROR(__xludf.DUMMYFUNCTION("""COMPUTED_VALUE"""),FALSE)</f>
        <v>0</v>
      </c>
      <c r="AA28" s="86" t="str">
        <f>IFERROR(__xludf.DUMMYFUNCTION("""COMPUTED_VALUE"""),"UW Locked")</f>
        <v>UW Locked</v>
      </c>
      <c r="AB28" s="93" t="str">
        <f>IFERROR(__xludf.DUMMYFUNCTION("""COMPUTED_VALUE"""),"Cooldown")</f>
        <v>Cooldown</v>
      </c>
      <c r="AC28" s="152">
        <f>IFERROR(__xludf.DUMMYFUNCTION("""COMPUTED_VALUE"""),125.0)</f>
        <v>125</v>
      </c>
      <c r="AD28" s="95" t="str">
        <f>IFERROR(__xludf.DUMMYFUNCTION("""COMPUTED_VALUE"""),"00 | 125s | Cost 0 ⧌ | Next 8 ⧌")</f>
        <v>00 | 125s | Cost 0 ⧌ | Next 8 ⧌</v>
      </c>
      <c r="AE28" s="100" t="str">
        <f>IFERROR(__xludf.DUMMYFUNCTION("""COMPUTED_VALUE"""),"Wave Accelerator")</f>
        <v>Wave Accelerator</v>
      </c>
      <c r="AF28" s="97">
        <f>IFERROR(__xludf.DUMMYFUNCTION("""COMPUTED_VALUE"""),7.0)</f>
        <v>7</v>
      </c>
      <c r="AG28" s="98" t="b">
        <f>IFERROR(__xludf.DUMMYFUNCTION("""COMPUTED_VALUE"""),FALSE)</f>
        <v>0</v>
      </c>
      <c r="AH28" s="153"/>
      <c r="AI28" s="82"/>
      <c r="AJ28" s="114"/>
      <c r="AK28" s="106"/>
      <c r="AL28" s="74"/>
      <c r="AM28" s="86" t="str">
        <f>IFERROR(__xludf.DUMMYFUNCTION("""COMPUTED_VALUE"""),"Knockback Force")</f>
        <v>Knockback Force</v>
      </c>
      <c r="AN28" s="191">
        <f>IFERROR(__xludf.DUMMYFUNCTION("""COMPUTED_VALUE"""),0.24)</f>
        <v>0.24</v>
      </c>
      <c r="AO28" s="102"/>
      <c r="AP28" s="86" t="str">
        <f>IFERROR(__xludf.DUMMYFUNCTION("""COMPUTED_VALUE"""),"Health")</f>
        <v>Health</v>
      </c>
      <c r="AQ28" s="174">
        <f>IFERROR(__xludf.DUMMYFUNCTION("""COMPUTED_VALUE"""),0.0)</f>
        <v>0</v>
      </c>
      <c r="AR28" s="74"/>
      <c r="AS28" s="192"/>
      <c r="AT28" s="104"/>
      <c r="AU28" s="73"/>
      <c r="AV28" s="114"/>
      <c r="AW28" s="114"/>
      <c r="AX28" s="74"/>
      <c r="AY28" s="73"/>
      <c r="AZ28" s="73"/>
      <c r="BA28" s="74"/>
      <c r="BB28" s="73" t="str">
        <f>IFERROR(__xludf.DUMMYFUNCTION("""COMPUTED_VALUE"""),"Rarity")</f>
        <v>Rarity</v>
      </c>
      <c r="BC28" s="73" t="str">
        <f>IFERROR(__xludf.DUMMYFUNCTION("""COMPUTED_VALUE"""),"Level")</f>
        <v>Level</v>
      </c>
      <c r="BD28" s="73" t="str">
        <f>IFERROR(__xludf.DUMMYFUNCTION("""COMPUTED_VALUE"""),"Stat")</f>
        <v>Stat</v>
      </c>
      <c r="BE28" s="73"/>
      <c r="BF28" s="73"/>
      <c r="BG28" s="73" t="str">
        <f>IFERROR(__xludf.DUMMYFUNCTION("""COMPUTED_VALUE"""),"Rarity")</f>
        <v>Rarity</v>
      </c>
      <c r="BH28" s="73" t="str">
        <f>IFERROR(__xludf.DUMMYFUNCTION("""COMPUTED_VALUE"""),"Level")</f>
        <v>Level</v>
      </c>
      <c r="BI28" s="73" t="str">
        <f>IFERROR(__xludf.DUMMYFUNCTION("""COMPUTED_VALUE"""),"Stat")</f>
        <v>Stat</v>
      </c>
      <c r="BJ28" s="73"/>
      <c r="BK28" s="73"/>
      <c r="BL28" s="73" t="str">
        <f>IFERROR(__xludf.DUMMYFUNCTION("""COMPUTED_VALUE"""),"Rarity")</f>
        <v>Rarity</v>
      </c>
      <c r="BM28" s="73" t="str">
        <f>IFERROR(__xludf.DUMMYFUNCTION("""COMPUTED_VALUE"""),"Level")</f>
        <v>Level</v>
      </c>
      <c r="BN28" s="73" t="str">
        <f>IFERROR(__xludf.DUMMYFUNCTION("""COMPUTED_VALUE"""),"Stat")</f>
        <v>Stat</v>
      </c>
      <c r="BO28" s="73"/>
      <c r="BP28" s="73"/>
      <c r="BQ28" s="73" t="str">
        <f>IFERROR(__xludf.DUMMYFUNCTION("""COMPUTED_VALUE"""),"Rarity")</f>
        <v>Rarity</v>
      </c>
      <c r="BR28" s="73" t="str">
        <f>IFERROR(__xludf.DUMMYFUNCTION("""COMPUTED_VALUE"""),"Level")</f>
        <v>Level</v>
      </c>
      <c r="BS28" s="73" t="str">
        <f>IFERROR(__xludf.DUMMYFUNCTION("""COMPUTED_VALUE"""),"Stat")</f>
        <v>Stat</v>
      </c>
      <c r="BT28" s="74"/>
      <c r="BU28" s="73"/>
      <c r="BV28" s="73"/>
      <c r="BW28" s="73"/>
      <c r="BX28" s="73"/>
      <c r="BY28" s="73"/>
      <c r="BZ28" s="73"/>
      <c r="CA28" s="73"/>
      <c r="CB28" s="73"/>
      <c r="CC28" s="73"/>
      <c r="CD28" s="73"/>
      <c r="CE28" s="73"/>
    </row>
    <row r="29">
      <c r="A29" s="86" t="str">
        <f>IFERROR(__xludf.DUMMYFUNCTION("""COMPUTED_VALUE"""),"Health Regen")</f>
        <v>Health Regen</v>
      </c>
      <c r="B29" s="87">
        <f>IFERROR(__xludf.DUMMYFUNCTION("""COMPUTED_VALUE"""),68.0)</f>
        <v>68</v>
      </c>
      <c r="C29" s="73"/>
      <c r="D29" s="88">
        <f>IFERROR(__xludf.DUMMYFUNCTION("""COMPUTED_VALUE"""),100.0)</f>
        <v>100</v>
      </c>
      <c r="E29" s="108" t="b">
        <f>IFERROR(__xludf.DUMMYFUNCTION("""COMPUTED_VALUE"""),TRUE)</f>
        <v>1</v>
      </c>
      <c r="F29" s="86" t="str">
        <f>IFERROR(__xludf.DUMMYFUNCTION("""COMPUTED_VALUE"""),"Orb Speed")</f>
        <v>Orb Speed</v>
      </c>
      <c r="G29" s="87">
        <f>IFERROR(__xludf.DUMMYFUNCTION("""COMPUTED_VALUE"""),38.0)</f>
        <v>38</v>
      </c>
      <c r="H29" s="73">
        <f>IFERROR(__xludf.DUMMYFUNCTION("""COMPUTED_VALUE"""),38.0)</f>
        <v>38</v>
      </c>
      <c r="I29" s="73">
        <f>IFERROR(__xludf.DUMMYFUNCTION("""COMPUTED_VALUE"""),38.0)</f>
        <v>38</v>
      </c>
      <c r="J29" s="73">
        <f>IFERROR(__xludf.DUMMYFUNCTION("""COMPUTED_VALUE"""),38.0)</f>
        <v>38</v>
      </c>
      <c r="K29" s="92"/>
      <c r="L29" s="73"/>
      <c r="M29" s="73"/>
      <c r="N29" s="73"/>
      <c r="O29" s="73"/>
      <c r="P29" s="73"/>
      <c r="Q29" s="121">
        <f>IFERROR(__xludf.DUMMYFUNCTION("""COMPUTED_VALUE"""),38.0)</f>
        <v>38</v>
      </c>
      <c r="R29" s="82"/>
      <c r="S29" s="73"/>
      <c r="T29" s="73"/>
      <c r="U29" s="73"/>
      <c r="V29" s="73"/>
      <c r="W29" s="73"/>
      <c r="X29" s="73"/>
      <c r="Y29" s="77"/>
      <c r="Z29" s="93" t="str">
        <f>IFERROR(__xludf.DUMMYFUNCTION("""COMPUTED_VALUE"""),"UW+")</f>
        <v>UW+</v>
      </c>
      <c r="AA29" s="73"/>
      <c r="AB29" s="93" t="str">
        <f>IFERROR(__xludf.DUMMYFUNCTION("""COMPUTED_VALUE"""),"Death Creep")</f>
        <v>Death Creep</v>
      </c>
      <c r="AC29" s="100" t="str">
        <f>IFERROR(__xludf.DUMMYFUNCTION("""COMPUTED_VALUE"""),"Locked")</f>
        <v>Locked</v>
      </c>
      <c r="AD29" s="95" t="str">
        <f>IFERROR(__xludf.DUMMYFUNCTION("""COMPUTED_VALUE"""),"Lo | Locked")</f>
        <v>Lo | Locked</v>
      </c>
      <c r="AE29" s="93" t="str">
        <f>IFERROR(__xludf.DUMMYFUNCTION("""COMPUTED_VALUE"""),"Berserker")</f>
        <v>Berserker</v>
      </c>
      <c r="AF29" s="97">
        <f>IFERROR(__xludf.DUMMYFUNCTION("""COMPUTED_VALUE"""),7.0)</f>
        <v>7</v>
      </c>
      <c r="AG29" s="98" t="b">
        <f>IFERROR(__xludf.DUMMYFUNCTION("""COMPUTED_VALUE"""),FALSE)</f>
        <v>0</v>
      </c>
      <c r="AH29" s="114"/>
      <c r="AI29" s="82"/>
      <c r="AJ29" s="114"/>
      <c r="AK29" s="106"/>
      <c r="AL29" s="74"/>
      <c r="AM29" s="86" t="str">
        <f>IFERROR(__xludf.DUMMYFUNCTION("""COMPUTED_VALUE"""),"Orb Speed")</f>
        <v>Orb Speed</v>
      </c>
      <c r="AN29" s="104">
        <f>IFERROR(__xludf.DUMMYFUNCTION("""COMPUTED_VALUE"""),0.12000000000000001)</f>
        <v>0.12</v>
      </c>
      <c r="AO29" s="102"/>
      <c r="AP29" s="86" t="str">
        <f>IFERROR(__xludf.DUMMYFUNCTION("""COMPUTED_VALUE"""),"Health Regen")</f>
        <v>Health Regen</v>
      </c>
      <c r="AQ29" s="125">
        <f>IFERROR(__xludf.DUMMYFUNCTION("""COMPUTED_VALUE"""),0.0)</f>
        <v>0</v>
      </c>
      <c r="AR29" s="74"/>
      <c r="AS29" s="104"/>
      <c r="AT29" s="104"/>
      <c r="AU29" s="73"/>
      <c r="AV29" s="104"/>
      <c r="AW29" s="104"/>
      <c r="AX29" s="74"/>
      <c r="AY29" s="73"/>
      <c r="AZ29" s="73"/>
      <c r="BA29" s="74"/>
      <c r="BB29" s="73" t="str">
        <f>IFERROR(__xludf.DUMMYFUNCTION("""COMPUTED_VALUE"""),"Mythic+")</f>
        <v>Mythic+</v>
      </c>
      <c r="BC29" s="107">
        <f>IFERROR(__xludf.DUMMYFUNCTION("""COMPUTED_VALUE"""),160.0)</f>
        <v>160</v>
      </c>
      <c r="BD29" s="132">
        <f>IFERROR(__xludf.DUMMYFUNCTION("""COMPUTED_VALUE"""),8.19)</f>
        <v>8.19</v>
      </c>
      <c r="BE29" s="73"/>
      <c r="BF29" s="73"/>
      <c r="BG29" s="73" t="str">
        <f>IFERROR(__xludf.DUMMYFUNCTION("""COMPUTED_VALUE"""),"Mythic+")</f>
        <v>Mythic+</v>
      </c>
      <c r="BH29" s="107">
        <f>IFERROR(__xludf.DUMMYFUNCTION("""COMPUTED_VALUE"""),160.0)</f>
        <v>160</v>
      </c>
      <c r="BI29" s="132">
        <f>IFERROR(__xludf.DUMMYFUNCTION("""COMPUTED_VALUE"""),8.19)</f>
        <v>8.19</v>
      </c>
      <c r="BJ29" s="73"/>
      <c r="BK29" s="73"/>
      <c r="BL29" s="73" t="str">
        <f>IFERROR(__xludf.DUMMYFUNCTION("""COMPUTED_VALUE"""),"Legendary")</f>
        <v>Legendary</v>
      </c>
      <c r="BM29" s="107">
        <f>IFERROR(__xludf.DUMMYFUNCTION("""COMPUTED_VALUE"""),100.0)</f>
        <v>100</v>
      </c>
      <c r="BN29" s="132">
        <f>IFERROR(__xludf.DUMMYFUNCTION("""COMPUTED_VALUE"""),1.275)</f>
        <v>1.275</v>
      </c>
      <c r="BO29" s="73"/>
      <c r="BP29" s="73"/>
      <c r="BQ29" s="73" t="str">
        <f>IFERROR(__xludf.DUMMYFUNCTION("""COMPUTED_VALUE"""),"Ancestral 2*")</f>
        <v>Ancestral 2*</v>
      </c>
      <c r="BR29" s="107">
        <f>IFERROR(__xludf.DUMMYFUNCTION("""COMPUTED_VALUE"""),159.0)</f>
        <v>159</v>
      </c>
      <c r="BS29" s="132">
        <f>IFERROR(__xludf.DUMMYFUNCTION("""COMPUTED_VALUE"""),11.692)</f>
        <v>11.692</v>
      </c>
      <c r="BT29" s="74"/>
      <c r="BU29" s="73"/>
      <c r="BV29" s="73"/>
      <c r="BW29" s="73"/>
      <c r="BX29" s="73"/>
      <c r="BY29" s="73"/>
      <c r="BZ29" s="73"/>
      <c r="CA29" s="73"/>
      <c r="CB29" s="73"/>
      <c r="CC29" s="73"/>
      <c r="CD29" s="73"/>
      <c r="CE29" s="73"/>
    </row>
    <row r="30">
      <c r="A30" s="86" t="str">
        <f>IFERROR(__xludf.DUMMYFUNCTION("""COMPUTED_VALUE"""),"Defense Absolute")</f>
        <v>Defense Absolute</v>
      </c>
      <c r="B30" s="87">
        <f>IFERROR(__xludf.DUMMYFUNCTION("""COMPUTED_VALUE"""),14.0)</f>
        <v>14</v>
      </c>
      <c r="C30" s="107">
        <f>IFERROR(__xludf.DUMMYFUNCTION("""COMPUTED_VALUE"""),14.0)</f>
        <v>14</v>
      </c>
      <c r="D30" s="88">
        <f>IFERROR(__xludf.DUMMYFUNCTION("""COMPUTED_VALUE"""),100.0)</f>
        <v>100</v>
      </c>
      <c r="E30" s="73"/>
      <c r="F30" s="86" t="str">
        <f>IFERROR(__xludf.DUMMYFUNCTION("""COMPUTED_VALUE"""),"Orbs")</f>
        <v>Orbs</v>
      </c>
      <c r="G30" s="87">
        <f>IFERROR(__xludf.DUMMYFUNCTION("""COMPUTED_VALUE"""),4.0)</f>
        <v>4</v>
      </c>
      <c r="H30" s="73">
        <f>IFERROR(__xludf.DUMMYFUNCTION("""COMPUTED_VALUE"""),4.0)</f>
        <v>4</v>
      </c>
      <c r="I30" s="73">
        <f>IFERROR(__xludf.DUMMYFUNCTION("""COMPUTED_VALUE"""),4.0)</f>
        <v>4</v>
      </c>
      <c r="J30" s="73">
        <f>IFERROR(__xludf.DUMMYFUNCTION("""COMPUTED_VALUE"""),4.0)</f>
        <v>4</v>
      </c>
      <c r="K30" s="92"/>
      <c r="L30" s="73"/>
      <c r="M30" s="73"/>
      <c r="N30" s="73"/>
      <c r="O30" s="73"/>
      <c r="P30" s="73"/>
      <c r="Q30" s="121">
        <f>IFERROR(__xludf.DUMMYFUNCTION("""COMPUTED_VALUE"""),4.0)</f>
        <v>4</v>
      </c>
      <c r="R30" s="82"/>
      <c r="S30" s="73"/>
      <c r="T30" s="73"/>
      <c r="U30" s="73"/>
      <c r="V30" s="73"/>
      <c r="W30" s="73"/>
      <c r="X30" s="73"/>
      <c r="Y30" s="77"/>
      <c r="Z30" s="93" t="str">
        <f>IFERROR(__xludf.DUMMYFUNCTION("""COMPUTED_VALUE"""),"Black Hole")</f>
        <v>Black Hole</v>
      </c>
      <c r="AA30" s="73"/>
      <c r="AB30" s="93" t="str">
        <f>IFERROR(__xludf.DUMMYFUNCTION("""COMPUTED_VALUE"""),"Size")</f>
        <v>Size</v>
      </c>
      <c r="AC30" s="144">
        <f>IFERROR(__xludf.DUMMYFUNCTION("""COMPUTED_VALUE"""),48.0)</f>
        <v>48</v>
      </c>
      <c r="AD30" s="95" t="str">
        <f>IFERROR(__xludf.DUMMYFUNCTION("""COMPUTED_VALUE"""),"09 | 48m | Cost 76 ⧌ | Next 89 ⧌")</f>
        <v>09 | 48m | Cost 76 ⧌ | Next 89 ⧌</v>
      </c>
      <c r="AE30" s="100" t="str">
        <f>IFERROR(__xludf.DUMMYFUNCTION("""COMPUTED_VALUE"""),"Ultimate Crit")</f>
        <v>Ultimate Crit</v>
      </c>
      <c r="AF30" s="97">
        <f>IFERROR(__xludf.DUMMYFUNCTION("""COMPUTED_VALUE"""),7.0)</f>
        <v>7</v>
      </c>
      <c r="AG30" s="98" t="b">
        <f>IFERROR(__xludf.DUMMYFUNCTION("""COMPUTED_VALUE"""),FALSE)</f>
        <v>0</v>
      </c>
      <c r="AH30" s="139"/>
      <c r="AI30" s="82"/>
      <c r="AJ30" s="114"/>
      <c r="AK30" s="106"/>
      <c r="AL30" s="74"/>
      <c r="AM30" s="86" t="str">
        <f>IFERROR(__xludf.DUMMYFUNCTION("""COMPUTED_VALUE"""),"Wall Rebuild")</f>
        <v>Wall Rebuild</v>
      </c>
      <c r="AN30" s="125">
        <f>IFERROR(__xludf.DUMMYFUNCTION("""COMPUTED_VALUE"""),2.0)</f>
        <v>2</v>
      </c>
      <c r="AO30" s="102"/>
      <c r="AP30" s="86" t="str">
        <f>IFERROR(__xludf.DUMMYFUNCTION("""COMPUTED_VALUE"""),"Defense %")</f>
        <v>Defense %</v>
      </c>
      <c r="AQ30" s="174">
        <f>IFERROR(__xludf.DUMMYFUNCTION("""COMPUTED_VALUE"""),0.0)</f>
        <v>0</v>
      </c>
      <c r="AR30" s="74"/>
      <c r="AS30" s="104"/>
      <c r="AT30" s="104"/>
      <c r="AU30" s="73"/>
      <c r="AV30" s="114"/>
      <c r="AW30" s="114"/>
      <c r="AX30" s="74"/>
      <c r="AY30" s="73"/>
      <c r="AZ30" s="73"/>
      <c r="BA30" s="74"/>
      <c r="BB30" s="73"/>
      <c r="BC30" s="73"/>
      <c r="BD30" s="73"/>
      <c r="BE30" s="73"/>
      <c r="BF30" s="73"/>
      <c r="BG30" s="73"/>
      <c r="BH30" s="73"/>
      <c r="BI30" s="73"/>
      <c r="BJ30" s="129"/>
      <c r="BK30" s="73"/>
      <c r="BL30" s="73"/>
      <c r="BM30" s="73"/>
      <c r="BN30" s="73"/>
      <c r="BO30" s="129"/>
      <c r="BP30" s="73"/>
      <c r="BQ30" s="73"/>
      <c r="BR30" s="73"/>
      <c r="BS30" s="73"/>
      <c r="BT30" s="130"/>
      <c r="BU30" s="73"/>
      <c r="BV30" s="73"/>
      <c r="BW30" s="73"/>
      <c r="BX30" s="73"/>
      <c r="BY30" s="73"/>
      <c r="BZ30" s="73"/>
      <c r="CA30" s="73"/>
      <c r="CB30" s="73"/>
      <c r="CC30" s="73"/>
      <c r="CD30" s="73"/>
      <c r="CE30" s="73"/>
    </row>
    <row r="31">
      <c r="A31" s="86" t="str">
        <f>IFERROR(__xludf.DUMMYFUNCTION("""COMPUTED_VALUE"""),"Defense %")</f>
        <v>Defense %</v>
      </c>
      <c r="B31" s="87">
        <f>IFERROR(__xludf.DUMMYFUNCTION("""COMPUTED_VALUE"""),28.0)</f>
        <v>28</v>
      </c>
      <c r="C31" s="107">
        <f>IFERROR(__xludf.DUMMYFUNCTION("""COMPUTED_VALUE"""),28.0)</f>
        <v>28</v>
      </c>
      <c r="D31" s="88">
        <f>IFERROR(__xludf.DUMMYFUNCTION("""COMPUTED_VALUE"""),50.0)</f>
        <v>50</v>
      </c>
      <c r="E31" s="108" t="b">
        <f>IFERROR(__xludf.DUMMYFUNCTION("""COMPUTED_VALUE"""),TRUE)</f>
        <v>1</v>
      </c>
      <c r="F31" s="86" t="str">
        <f>IFERROR(__xludf.DUMMYFUNCTION("""COMPUTED_VALUE"""),"Shockwave Size")</f>
        <v>Shockwave Size</v>
      </c>
      <c r="G31" s="87">
        <f>IFERROR(__xludf.DUMMYFUNCTION("""COMPUTED_VALUE"""),35.0)</f>
        <v>35</v>
      </c>
      <c r="H31" s="73">
        <f>IFERROR(__xludf.DUMMYFUNCTION("""COMPUTED_VALUE"""),35.0)</f>
        <v>35</v>
      </c>
      <c r="I31" s="73">
        <f>IFERROR(__xludf.DUMMYFUNCTION("""COMPUTED_VALUE"""),35.0)</f>
        <v>35</v>
      </c>
      <c r="J31" s="73">
        <f>IFERROR(__xludf.DUMMYFUNCTION("""COMPUTED_VALUE"""),35.0)</f>
        <v>35</v>
      </c>
      <c r="K31" s="92"/>
      <c r="L31" s="73"/>
      <c r="M31" s="73"/>
      <c r="N31" s="73"/>
      <c r="O31" s="73"/>
      <c r="P31" s="73"/>
      <c r="Q31" s="121">
        <f>IFERROR(__xludf.DUMMYFUNCTION("""COMPUTED_VALUE"""),35.0)</f>
        <v>35</v>
      </c>
      <c r="R31" s="82"/>
      <c r="S31" s="73"/>
      <c r="T31" s="73"/>
      <c r="U31" s="73"/>
      <c r="V31" s="73"/>
      <c r="W31" s="73"/>
      <c r="X31" s="73"/>
      <c r="Y31" s="77"/>
      <c r="Z31" s="104"/>
      <c r="AA31" s="73"/>
      <c r="AB31" s="93" t="str">
        <f>IFERROR(__xludf.DUMMYFUNCTION("""COMPUTED_VALUE"""),"Duration")</f>
        <v>Duration</v>
      </c>
      <c r="AC31" s="169">
        <f>IFERROR(__xludf.DUMMYFUNCTION("""COMPUTED_VALUE"""),32.0)</f>
        <v>32</v>
      </c>
      <c r="AD31" s="95" t="str">
        <f>IFERROR(__xludf.DUMMYFUNCTION("""COMPUTED_VALUE"""),"17 | 32s | Cost 224 ⧌ | Next 308 ⧌")</f>
        <v>17 | 32s | Cost 224 ⧌ | Next 308 ⧌</v>
      </c>
      <c r="AE31" s="100" t="str">
        <f>IFERROR(__xludf.DUMMYFUNCTION("""COMPUTED_VALUE"""),"Nuke")</f>
        <v>Nuke</v>
      </c>
      <c r="AF31" s="97">
        <f>IFERROR(__xludf.DUMMYFUNCTION("""COMPUTED_VALUE"""),7.0)</f>
        <v>7</v>
      </c>
      <c r="AG31" s="98" t="b">
        <f>IFERROR(__xludf.DUMMYFUNCTION("""COMPUTED_VALUE"""),FALSE)</f>
        <v>0</v>
      </c>
      <c r="AH31" s="118"/>
      <c r="AI31" s="82"/>
      <c r="AJ31" s="114"/>
      <c r="AK31" s="106"/>
      <c r="AL31" s="74"/>
      <c r="AM31" s="86" t="str">
        <f>IFERROR(__xludf.DUMMYFUNCTION("""COMPUTED_VALUE"""),"Utility")</f>
        <v>Utility</v>
      </c>
      <c r="AN31" s="125"/>
      <c r="AO31" s="102"/>
      <c r="AP31" s="86" t="str">
        <f>IFERROR(__xludf.DUMMYFUNCTION("""COMPUTED_VALUE"""),"Defense Absolute")</f>
        <v>Defense Absolute</v>
      </c>
      <c r="AQ31" s="174">
        <f>IFERROR(__xludf.DUMMYFUNCTION("""COMPUTED_VALUE"""),0.0)</f>
        <v>0</v>
      </c>
      <c r="AR31" s="74"/>
      <c r="AS31" s="104"/>
      <c r="AT31" s="104"/>
      <c r="AU31" s="73"/>
      <c r="AV31" s="114"/>
      <c r="AW31" s="114"/>
      <c r="AX31" s="74"/>
      <c r="AY31" s="73"/>
      <c r="AZ31" s="73"/>
      <c r="BA31" s="74"/>
      <c r="BB31" s="73"/>
      <c r="BC31" s="73"/>
      <c r="BD31" s="73"/>
      <c r="BE31" s="107" t="str">
        <f>IFERROR(__xludf.DUMMYFUNCTION("""COMPUTED_VALUE"""),"")</f>
        <v/>
      </c>
      <c r="BF31" s="73"/>
      <c r="BG31" s="73" t="str">
        <f>IFERROR(__xludf.DUMMYFUNCTION("""COMPUTED_VALUE"""),"Orb Speed")</f>
        <v>Orb Speed</v>
      </c>
      <c r="BH31" s="73" t="str">
        <f>IFERROR(__xludf.DUMMYFUNCTION("""COMPUTED_VALUE"""),"Legendary")</f>
        <v>Legendary</v>
      </c>
      <c r="BI31" s="73" t="str">
        <f>IFERROR(__xludf.DUMMYFUNCTION("""COMPUTED_VALUE"""),"+1.5")</f>
        <v>+1.5</v>
      </c>
      <c r="BJ31" s="107">
        <f>IFERROR(__xludf.DUMMYFUNCTION("""COMPUTED_VALUE"""),1.5)</f>
        <v>1.5</v>
      </c>
      <c r="BK31" s="73"/>
      <c r="BL31" s="73" t="str">
        <f>IFERROR(__xludf.DUMMYFUNCTION("""COMPUTED_VALUE"""),"Coins / Kill Bonus")</f>
        <v>Coins / Kill Bonus</v>
      </c>
      <c r="BM31" s="73" t="str">
        <f>IFERROR(__xludf.DUMMYFUNCTION("""COMPUTED_VALUE"""),"Legendary")</f>
        <v>Legendary</v>
      </c>
      <c r="BN31" s="73" t="str">
        <f>IFERROR(__xludf.DUMMYFUNCTION("""COMPUTED_VALUE"""),"+0.4x")</f>
        <v>+0.4x</v>
      </c>
      <c r="BO31" s="107">
        <f>IFERROR(__xludf.DUMMYFUNCTION("""COMPUTED_VALUE"""),0.4)</f>
        <v>0.4</v>
      </c>
      <c r="BP31" s="73"/>
      <c r="BQ31" s="73" t="str">
        <f>IFERROR(__xludf.DUMMYFUNCTION("""COMPUTED_VALUE"""),"Death Wave - Quantity")</f>
        <v>Death Wave - Quantity</v>
      </c>
      <c r="BR31" s="73" t="str">
        <f>IFERROR(__xludf.DUMMYFUNCTION("""COMPUTED_VALUE"""),"Legendary")</f>
        <v>Legendary</v>
      </c>
      <c r="BS31" s="73" t="str">
        <f>IFERROR(__xludf.DUMMYFUNCTION("""COMPUTED_VALUE"""),"+1")</f>
        <v>+1</v>
      </c>
      <c r="BT31" s="193">
        <f>IFERROR(__xludf.DUMMYFUNCTION("""COMPUTED_VALUE"""),1.0)</f>
        <v>1</v>
      </c>
      <c r="BU31" s="73"/>
      <c r="BV31" s="73"/>
      <c r="BW31" s="73"/>
      <c r="BX31" s="73"/>
      <c r="BY31" s="73"/>
      <c r="BZ31" s="73"/>
      <c r="CA31" s="73"/>
      <c r="CB31" s="73"/>
      <c r="CC31" s="73"/>
      <c r="CD31" s="73"/>
      <c r="CE31" s="73"/>
    </row>
    <row r="32">
      <c r="A32" s="86" t="str">
        <f>IFERROR(__xludf.DUMMYFUNCTION("""COMPUTED_VALUE"""),"Orbs Speed")</f>
        <v>Orbs Speed</v>
      </c>
      <c r="B32" s="87">
        <f>IFERROR(__xludf.DUMMYFUNCTION("""COMPUTED_VALUE"""),20.0)</f>
        <v>20</v>
      </c>
      <c r="C32" s="73"/>
      <c r="D32" s="88">
        <f>IFERROR(__xludf.DUMMYFUNCTION("""COMPUTED_VALUE"""),20.0)</f>
        <v>20</v>
      </c>
      <c r="E32" s="73"/>
      <c r="F32" s="86" t="str">
        <f>IFERROR(__xludf.DUMMYFUNCTION("""COMPUTED_VALUE"""),"Shockwave Frequency")</f>
        <v>Shockwave Frequency</v>
      </c>
      <c r="G32" s="87">
        <f>IFERROR(__xludf.DUMMYFUNCTION("""COMPUTED_VALUE"""),40.0)</f>
        <v>40</v>
      </c>
      <c r="H32" s="73">
        <f>IFERROR(__xludf.DUMMYFUNCTION("""COMPUTED_VALUE"""),40.0)</f>
        <v>40</v>
      </c>
      <c r="I32" s="73">
        <f>IFERROR(__xludf.DUMMYFUNCTION("""COMPUTED_VALUE"""),40.0)</f>
        <v>40</v>
      </c>
      <c r="J32" s="73">
        <f>IFERROR(__xludf.DUMMYFUNCTION("""COMPUTED_VALUE"""),40.0)</f>
        <v>40</v>
      </c>
      <c r="K32" s="92"/>
      <c r="L32" s="73"/>
      <c r="M32" s="73"/>
      <c r="N32" s="73"/>
      <c r="O32" s="73"/>
      <c r="P32" s="73"/>
      <c r="Q32" s="121">
        <f>IFERROR(__xludf.DUMMYFUNCTION("""COMPUTED_VALUE"""),40.0)</f>
        <v>40</v>
      </c>
      <c r="R32" s="82"/>
      <c r="S32" s="73"/>
      <c r="T32" s="73"/>
      <c r="U32" s="73"/>
      <c r="V32" s="73"/>
      <c r="W32" s="73"/>
      <c r="X32" s="73"/>
      <c r="Y32" s="77"/>
      <c r="Z32" s="168" t="b">
        <f>IFERROR(__xludf.DUMMYFUNCTION("""COMPUTED_VALUE"""),TRUE)</f>
        <v>1</v>
      </c>
      <c r="AA32" s="136" t="str">
        <f>IFERROR(__xludf.DUMMYFUNCTION("""COMPUTED_VALUE"""),"UW Unlocked")</f>
        <v>UW Unlocked</v>
      </c>
      <c r="AB32" s="93" t="str">
        <f>IFERROR(__xludf.DUMMYFUNCTION("""COMPUTED_VALUE"""),"Cooldown")</f>
        <v>Cooldown</v>
      </c>
      <c r="AC32" s="169">
        <f>IFERROR(__xludf.DUMMYFUNCTION("""COMPUTED_VALUE"""),50.0)</f>
        <v>50</v>
      </c>
      <c r="AD32" s="95" t="str">
        <f>IFERROR(__xludf.DUMMYFUNCTION("""COMPUTED_VALUE"""),"15 | 50s | Cost 262 ⧌ | Maxed")</f>
        <v>15 | 50s | Cost 262 ⧌ | Maxed</v>
      </c>
      <c r="AE32" s="114" t="str">
        <f>IFERROR(__xludf.DUMMYFUNCTION("""COMPUTED_VALUE"""),"Area of Effect")</f>
        <v>Area of Effect</v>
      </c>
      <c r="AF32" s="97" t="str">
        <f>IFERROR(__xludf.DUMMYFUNCTION("""COMPUTED_VALUE"""),"Locked")</f>
        <v>Locked</v>
      </c>
      <c r="AG32" s="98" t="b">
        <f>IFERROR(__xludf.DUMMYFUNCTION("""COMPUTED_VALUE"""),FALSE)</f>
        <v>0</v>
      </c>
      <c r="AH32" s="118"/>
      <c r="AI32" s="82"/>
      <c r="AJ32" s="114"/>
      <c r="AK32" s="106"/>
      <c r="AL32" s="74"/>
      <c r="AM32" s="73" t="str">
        <f>IFERROR(__xludf.DUMMYFUNCTION("""COMPUTED_VALUE"""),"Cash")</f>
        <v>Cash</v>
      </c>
      <c r="AN32" s="194">
        <f>IFERROR(__xludf.DUMMYFUNCTION("""COMPUTED_VALUE"""),0.06)</f>
        <v>0.06</v>
      </c>
      <c r="AO32" s="102"/>
      <c r="AP32" s="86" t="str">
        <f>IFERROR(__xludf.DUMMYFUNCTION("""COMPUTED_VALUE"""),"Thorn Damage")</f>
        <v>Thorn Damage</v>
      </c>
      <c r="AQ32" s="174">
        <f>IFERROR(__xludf.DUMMYFUNCTION("""COMPUTED_VALUE"""),0.0)</f>
        <v>0</v>
      </c>
      <c r="AR32" s="74"/>
      <c r="AS32" s="104"/>
      <c r="AT32" s="104"/>
      <c r="AU32" s="73"/>
      <c r="AV32" s="114"/>
      <c r="AW32" s="114"/>
      <c r="AX32" s="74"/>
      <c r="AY32" s="73"/>
      <c r="AZ32" s="73"/>
      <c r="BA32" s="74"/>
      <c r="BB32" s="73"/>
      <c r="BC32" s="73"/>
      <c r="BD32" s="73"/>
      <c r="BE32" s="107" t="str">
        <f>IFERROR(__xludf.DUMMYFUNCTION("""COMPUTED_VALUE"""),"")</f>
        <v/>
      </c>
      <c r="BF32" s="73"/>
      <c r="BG32" s="73" t="str">
        <f>IFERROR(__xludf.DUMMYFUNCTION("""COMPUTED_VALUE"""),"Shockwave Size")</f>
        <v>Shockwave Size</v>
      </c>
      <c r="BH32" s="73" t="str">
        <f>IFERROR(__xludf.DUMMYFUNCTION("""COMPUTED_VALUE"""),"Legendary")</f>
        <v>Legendary</v>
      </c>
      <c r="BI32" s="73" t="str">
        <f>IFERROR(__xludf.DUMMYFUNCTION("""COMPUTED_VALUE"""),"+0.3")</f>
        <v>+0.3</v>
      </c>
      <c r="BJ32" s="107">
        <f>IFERROR(__xludf.DUMMYFUNCTION("""COMPUTED_VALUE"""),0.3)</f>
        <v>0.3</v>
      </c>
      <c r="BK32" s="73"/>
      <c r="BL32" s="73" t="str">
        <f>IFERROR(__xludf.DUMMYFUNCTION("""COMPUTED_VALUE"""),"Enemy Attack Level Skip")</f>
        <v>Enemy Attack Level Skip</v>
      </c>
      <c r="BM32" s="73" t="str">
        <f>IFERROR(__xludf.DUMMYFUNCTION("""COMPUTED_VALUE"""),"Legendary")</f>
        <v>Legendary</v>
      </c>
      <c r="BN32" s="73" t="str">
        <f>IFERROR(__xludf.DUMMYFUNCTION("""COMPUTED_VALUE"""),"+4%")</f>
        <v>+4%</v>
      </c>
      <c r="BO32" s="107">
        <f>IFERROR(__xludf.DUMMYFUNCTION("""COMPUTED_VALUE"""),0.04)</f>
        <v>0.04</v>
      </c>
      <c r="BP32" s="73"/>
      <c r="BQ32" s="73" t="str">
        <f>IFERROR(__xludf.DUMMYFUNCTION("""COMPUTED_VALUE"""),"Golden Tower - Bonus")</f>
        <v>Golden Tower - Bonus</v>
      </c>
      <c r="BR32" s="73" t="str">
        <f>IFERROR(__xludf.DUMMYFUNCTION("""COMPUTED_VALUE"""),"Legendary")</f>
        <v>Legendary</v>
      </c>
      <c r="BS32" s="73" t="str">
        <f>IFERROR(__xludf.DUMMYFUNCTION("""COMPUTED_VALUE"""),"+2x")</f>
        <v>+2x</v>
      </c>
      <c r="BT32" s="193">
        <f>IFERROR(__xludf.DUMMYFUNCTION("""COMPUTED_VALUE"""),2.0)</f>
        <v>2</v>
      </c>
      <c r="BU32" s="73"/>
      <c r="BV32" s="73"/>
      <c r="BW32" s="73"/>
      <c r="BX32" s="73"/>
      <c r="BY32" s="73"/>
      <c r="BZ32" s="73"/>
      <c r="CA32" s="73"/>
      <c r="CB32" s="73"/>
      <c r="CC32" s="73"/>
      <c r="CD32" s="73"/>
      <c r="CE32" s="73"/>
    </row>
    <row r="33">
      <c r="A33" s="86" t="str">
        <f>IFERROR(__xludf.DUMMYFUNCTION("""COMPUTED_VALUE"""),"Land Mine Damage")</f>
        <v>Land Mine Damage</v>
      </c>
      <c r="B33" s="87">
        <f>IFERROR(__xludf.DUMMYFUNCTION("""COMPUTED_VALUE"""),0.0)</f>
        <v>0</v>
      </c>
      <c r="C33" s="73"/>
      <c r="D33" s="88">
        <f>IFERROR(__xludf.DUMMYFUNCTION("""COMPUTED_VALUE"""),20.0)</f>
        <v>20</v>
      </c>
      <c r="E33" s="108" t="b">
        <f>IFERROR(__xludf.DUMMYFUNCTION("""COMPUTED_VALUE"""),TRUE)</f>
        <v>1</v>
      </c>
      <c r="F33" s="86" t="str">
        <f>IFERROR(__xludf.DUMMYFUNCTION("""COMPUTED_VALUE"""),"Land Mine Chance")</f>
        <v>Land Mine Chance</v>
      </c>
      <c r="G33" s="87">
        <f>IFERROR(__xludf.DUMMYFUNCTION("""COMPUTED_VALUE"""),50.0)</f>
        <v>50</v>
      </c>
      <c r="H33" s="73">
        <f>IFERROR(__xludf.DUMMYFUNCTION("""COMPUTED_VALUE"""),50.0)</f>
        <v>50</v>
      </c>
      <c r="I33" s="73">
        <f>IFERROR(__xludf.DUMMYFUNCTION("""COMPUTED_VALUE"""),50.0)</f>
        <v>50</v>
      </c>
      <c r="J33" s="73">
        <f>IFERROR(__xludf.DUMMYFUNCTION("""COMPUTED_VALUE"""),50.0)</f>
        <v>50</v>
      </c>
      <c r="K33" s="92"/>
      <c r="L33" s="73"/>
      <c r="M33" s="73"/>
      <c r="N33" s="73"/>
      <c r="O33" s="73"/>
      <c r="P33" s="73"/>
      <c r="Q33" s="121">
        <f>IFERROR(__xludf.DUMMYFUNCTION("""COMPUTED_VALUE"""),50.0)</f>
        <v>50</v>
      </c>
      <c r="R33" s="82"/>
      <c r="S33" s="73"/>
      <c r="T33" s="73"/>
      <c r="U33" s="73"/>
      <c r="V33" s="73"/>
      <c r="W33" s="73"/>
      <c r="X33" s="73"/>
      <c r="Y33" s="77"/>
      <c r="Z33" s="93" t="str">
        <f>IFERROR(__xludf.DUMMYFUNCTION("""COMPUTED_VALUE"""),"UW+")</f>
        <v>UW+</v>
      </c>
      <c r="AA33" s="73"/>
      <c r="AB33" s="93" t="str">
        <f>IFERROR(__xludf.DUMMYFUNCTION("""COMPUTED_VALUE"""),"Consume")</f>
        <v>Consume</v>
      </c>
      <c r="AC33" s="134" t="str">
        <f>IFERROR(__xludf.DUMMYFUNCTION("""COMPUTED_VALUE"""),"Locked")</f>
        <v>Locked</v>
      </c>
      <c r="AD33" s="95" t="str">
        <f>IFERROR(__xludf.DUMMYFUNCTION("""COMPUTED_VALUE"""),"Lo | Locked")</f>
        <v>Lo | Locked</v>
      </c>
      <c r="AE33" s="114"/>
      <c r="AF33" s="195"/>
      <c r="AG33" s="80"/>
      <c r="AH33" s="135"/>
      <c r="AI33" s="82"/>
      <c r="AJ33" s="114"/>
      <c r="AK33" s="106"/>
      <c r="AL33" s="74"/>
      <c r="AM33" s="73" t="str">
        <f>IFERROR(__xludf.DUMMYFUNCTION("""COMPUTED_VALUE"""),"Coins")</f>
        <v>Coins</v>
      </c>
      <c r="AN33" s="194">
        <f>IFERROR(__xludf.DUMMYFUNCTION("""COMPUTED_VALUE"""),0.48)</f>
        <v>0.48</v>
      </c>
      <c r="AO33" s="102"/>
      <c r="AP33" s="86" t="str">
        <f>IFERROR(__xludf.DUMMYFUNCTION("""COMPUTED_VALUE"""),"Knockback Chance")</f>
        <v>Knockback Chance</v>
      </c>
      <c r="AQ33" s="174">
        <f>IFERROR(__xludf.DUMMYFUNCTION("""COMPUTED_VALUE"""),0.0)</f>
        <v>0</v>
      </c>
      <c r="AR33" s="74"/>
      <c r="AS33" s="104"/>
      <c r="AT33" s="104"/>
      <c r="AU33" s="73"/>
      <c r="AV33" s="114"/>
      <c r="AW33" s="114"/>
      <c r="AX33" s="74"/>
      <c r="AY33" s="73"/>
      <c r="AZ33" s="73"/>
      <c r="BA33" s="74"/>
      <c r="BB33" s="73"/>
      <c r="BC33" s="73"/>
      <c r="BD33" s="73"/>
      <c r="BE33" s="107" t="str">
        <f>IFERROR(__xludf.DUMMYFUNCTION("""COMPUTED_VALUE"""),"")</f>
        <v/>
      </c>
      <c r="BF33" s="73"/>
      <c r="BG33" s="73" t="str">
        <f>IFERROR(__xludf.DUMMYFUNCTION("""COMPUTED_VALUE"""),"Death Defy")</f>
        <v>Death Defy</v>
      </c>
      <c r="BH33" s="73" t="str">
        <f>IFERROR(__xludf.DUMMYFUNCTION("""COMPUTED_VALUE"""),"Legendary")</f>
        <v>Legendary</v>
      </c>
      <c r="BI33" s="73" t="str">
        <f>IFERROR(__xludf.DUMMYFUNCTION("""COMPUTED_VALUE"""),"+1.5%")</f>
        <v>+1.5%</v>
      </c>
      <c r="BJ33" s="73">
        <f>IFERROR(__xludf.DUMMYFUNCTION("""COMPUTED_VALUE"""),0.015)</f>
        <v>0.015</v>
      </c>
      <c r="BK33" s="73"/>
      <c r="BL33" s="73" t="str">
        <f>IFERROR(__xludf.DUMMYFUNCTION("""COMPUTED_VALUE"""),"Free Utility Upgrade")</f>
        <v>Free Utility Upgrade</v>
      </c>
      <c r="BM33" s="73" t="str">
        <f>IFERROR(__xludf.DUMMYFUNCTION("""COMPUTED_VALUE"""),"Legendary")</f>
        <v>Legendary</v>
      </c>
      <c r="BN33" s="73" t="str">
        <f>IFERROR(__xludf.DUMMYFUNCTION("""COMPUTED_VALUE"""),"+8%")</f>
        <v>+8%</v>
      </c>
      <c r="BO33" s="107">
        <f>IFERROR(__xludf.DUMMYFUNCTION("""COMPUTED_VALUE"""),0.08)</f>
        <v>0.08</v>
      </c>
      <c r="BP33" s="73"/>
      <c r="BQ33" s="73" t="str">
        <f>IFERROR(__xludf.DUMMYFUNCTION("""COMPUTED_VALUE"""),"Black Hole - Size")</f>
        <v>Black Hole - Size</v>
      </c>
      <c r="BR33" s="73" t="str">
        <f>IFERROR(__xludf.DUMMYFUNCTION("""COMPUTED_VALUE"""),"Legendary")</f>
        <v>Legendary</v>
      </c>
      <c r="BS33" s="73" t="str">
        <f>IFERROR(__xludf.DUMMYFUNCTION("""COMPUTED_VALUE"""),"+8.00m")</f>
        <v>+8.00m</v>
      </c>
      <c r="BT33" s="193">
        <f>IFERROR(__xludf.DUMMYFUNCTION("""COMPUTED_VALUE"""),8.0)</f>
        <v>8</v>
      </c>
      <c r="BU33" s="73"/>
      <c r="BV33" s="73"/>
      <c r="BW33" s="73"/>
      <c r="BX33" s="73"/>
      <c r="BY33" s="73"/>
      <c r="BZ33" s="73"/>
      <c r="CA33" s="73"/>
      <c r="CB33" s="73"/>
      <c r="CC33" s="73"/>
      <c r="CD33" s="73"/>
      <c r="CE33" s="73"/>
    </row>
    <row r="34">
      <c r="A34" s="86" t="str">
        <f>IFERROR(__xludf.DUMMYFUNCTION("""COMPUTED_VALUE"""),"Land Mine Decay")</f>
        <v>Land Mine Decay</v>
      </c>
      <c r="B34" s="87">
        <f>IFERROR(__xludf.DUMMYFUNCTION("""COMPUTED_VALUE"""),13.0)</f>
        <v>13</v>
      </c>
      <c r="C34" s="73"/>
      <c r="D34" s="88">
        <f>IFERROR(__xludf.DUMMYFUNCTION("""COMPUTED_VALUE"""),35.0)</f>
        <v>35</v>
      </c>
      <c r="E34" s="73"/>
      <c r="F34" s="86" t="str">
        <f>IFERROR(__xludf.DUMMYFUNCTION("""COMPUTED_VALUE"""),"Land Mine Damage")</f>
        <v>Land Mine Damage</v>
      </c>
      <c r="G34" s="87">
        <f>IFERROR(__xludf.DUMMYFUNCTION("""COMPUTED_VALUE"""),160.0)</f>
        <v>160</v>
      </c>
      <c r="H34" s="73">
        <f>IFERROR(__xludf.DUMMYFUNCTION("""COMPUTED_VALUE"""),200.0)</f>
        <v>200</v>
      </c>
      <c r="I34" s="73">
        <f>IFERROR(__xludf.DUMMYFUNCTION("""COMPUTED_VALUE"""),160.0)</f>
        <v>160</v>
      </c>
      <c r="J34" s="73">
        <f>IFERROR(__xludf.DUMMYFUNCTION("""COMPUTED_VALUE"""),200.0)</f>
        <v>200</v>
      </c>
      <c r="K34" s="92"/>
      <c r="L34" s="73"/>
      <c r="M34" s="73"/>
      <c r="N34" s="73"/>
      <c r="O34" s="73"/>
      <c r="P34" s="73"/>
      <c r="Q34" s="121">
        <f>IFERROR(__xludf.DUMMYFUNCTION("""COMPUTED_VALUE"""),200.0)</f>
        <v>200</v>
      </c>
      <c r="R34" s="82"/>
      <c r="S34" s="73"/>
      <c r="T34" s="73"/>
      <c r="U34" s="73"/>
      <c r="V34" s="73"/>
      <c r="W34" s="73"/>
      <c r="X34" s="73"/>
      <c r="Y34" s="77"/>
      <c r="Z34" s="93" t="str">
        <f>IFERROR(__xludf.DUMMYFUNCTION("""COMPUTED_VALUE"""),"Spotlight")</f>
        <v>Spotlight</v>
      </c>
      <c r="AA34" s="73"/>
      <c r="AB34" s="93" t="str">
        <f>IFERROR(__xludf.DUMMYFUNCTION("""COMPUTED_VALUE"""),"Multiplier")</f>
        <v>Multiplier</v>
      </c>
      <c r="AC34" s="184">
        <f>IFERROR(__xludf.DUMMYFUNCTION("""COMPUTED_VALUE"""),20.599999999999998)</f>
        <v>20.6</v>
      </c>
      <c r="AD34" s="95" t="str">
        <f>IFERROR(__xludf.DUMMYFUNCTION("""COMPUTED_VALUE"""),"09 | x20.6 | Cost 95 ⧌ | Next 112 ⧌")</f>
        <v>09 | x20.6 | Cost 95 ⧌ | Next 112 ⧌</v>
      </c>
      <c r="AE34" s="114"/>
      <c r="AF34" s="195"/>
      <c r="AG34" s="80"/>
      <c r="AH34" s="185"/>
      <c r="AI34" s="82"/>
      <c r="AJ34" s="114"/>
      <c r="AK34" s="106"/>
      <c r="AL34" s="74"/>
      <c r="AM34" s="73" t="str">
        <f>IFERROR(__xludf.DUMMYFUNCTION("""COMPUTED_VALUE"""),"Free Attack Upgrade")</f>
        <v>Free Attack Upgrade</v>
      </c>
      <c r="AN34" s="194">
        <f>IFERROR(__xludf.DUMMYFUNCTION("""COMPUTED_VALUE"""),0.060000000000000005)</f>
        <v>0.06</v>
      </c>
      <c r="AO34" s="102"/>
      <c r="AP34" s="86" t="str">
        <f>IFERROR(__xludf.DUMMYFUNCTION("""COMPUTED_VALUE"""),"Knockback Force")</f>
        <v>Knockback Force</v>
      </c>
      <c r="AQ34" s="174">
        <f>IFERROR(__xludf.DUMMYFUNCTION("""COMPUTED_VALUE"""),0.0)</f>
        <v>0</v>
      </c>
      <c r="AR34" s="74"/>
      <c r="AS34" s="104"/>
      <c r="AT34" s="104"/>
      <c r="AU34" s="73"/>
      <c r="AV34" s="114"/>
      <c r="AW34" s="114"/>
      <c r="AX34" s="74"/>
      <c r="AY34" s="73"/>
      <c r="AZ34" s="73"/>
      <c r="BA34" s="74"/>
      <c r="BB34" s="73"/>
      <c r="BC34" s="73"/>
      <c r="BD34" s="73"/>
      <c r="BE34" s="107" t="str">
        <f>IFERROR(__xludf.DUMMYFUNCTION("""COMPUTED_VALUE"""),"")</f>
        <v/>
      </c>
      <c r="BF34" s="73"/>
      <c r="BG34" s="73"/>
      <c r="BH34" s="73"/>
      <c r="BI34" s="73"/>
      <c r="BJ34" s="73" t="str">
        <f>IFERROR(__xludf.DUMMYFUNCTION("""COMPUTED_VALUE"""),"")</f>
        <v/>
      </c>
      <c r="BK34" s="73"/>
      <c r="BL34" s="73"/>
      <c r="BM34" s="73"/>
      <c r="BN34" s="73"/>
      <c r="BO34" s="107" t="str">
        <f>IFERROR(__xludf.DUMMYFUNCTION("""COMPUTED_VALUE"""),"")</f>
        <v/>
      </c>
      <c r="BP34" s="73"/>
      <c r="BQ34" s="73" t="str">
        <f>IFERROR(__xludf.DUMMYFUNCTION("""COMPUTED_VALUE"""),"Spotlight - Angle")</f>
        <v>Spotlight - Angle</v>
      </c>
      <c r="BR34" s="73"/>
      <c r="BS34" s="73"/>
      <c r="BT34" s="193"/>
      <c r="BU34" s="73"/>
      <c r="BV34" s="73"/>
      <c r="BW34" s="73"/>
      <c r="BX34" s="73"/>
      <c r="BY34" s="73"/>
      <c r="BZ34" s="73"/>
      <c r="CA34" s="73"/>
      <c r="CB34" s="73"/>
      <c r="CC34" s="73"/>
      <c r="CD34" s="73"/>
      <c r="CE34" s="73"/>
    </row>
    <row r="35">
      <c r="A35" s="86" t="str">
        <f>IFERROR(__xludf.DUMMYFUNCTION("""COMPUTED_VALUE"""),"Shockwave Size")</f>
        <v>Shockwave Size</v>
      </c>
      <c r="B35" s="87">
        <f>IFERROR(__xludf.DUMMYFUNCTION("""COMPUTED_VALUE"""),10.0)</f>
        <v>10</v>
      </c>
      <c r="C35" s="73"/>
      <c r="D35" s="88">
        <f>IFERROR(__xludf.DUMMYFUNCTION("""COMPUTED_VALUE"""),20.0)</f>
        <v>20</v>
      </c>
      <c r="E35" s="73"/>
      <c r="F35" s="86" t="str">
        <f>IFERROR(__xludf.DUMMYFUNCTION("""COMPUTED_VALUE"""),"Land Mine Radius")</f>
        <v>Land Mine Radius</v>
      </c>
      <c r="G35" s="87">
        <f>IFERROR(__xludf.DUMMYFUNCTION("""COMPUTED_VALUE"""),50.0)</f>
        <v>50</v>
      </c>
      <c r="H35" s="73">
        <f>IFERROR(__xludf.DUMMYFUNCTION("""COMPUTED_VALUE"""),50.0)</f>
        <v>50</v>
      </c>
      <c r="I35" s="73">
        <f>IFERROR(__xludf.DUMMYFUNCTION("""COMPUTED_VALUE"""),50.0)</f>
        <v>50</v>
      </c>
      <c r="J35" s="73">
        <f>IFERROR(__xludf.DUMMYFUNCTION("""COMPUTED_VALUE"""),50.0)</f>
        <v>50</v>
      </c>
      <c r="K35" s="92"/>
      <c r="L35" s="73"/>
      <c r="M35" s="73"/>
      <c r="N35" s="73"/>
      <c r="O35" s="73"/>
      <c r="P35" s="73"/>
      <c r="Q35" s="121">
        <f>IFERROR(__xludf.DUMMYFUNCTION("""COMPUTED_VALUE"""),50.0)</f>
        <v>50</v>
      </c>
      <c r="R35" s="82"/>
      <c r="S35" s="73"/>
      <c r="T35" s="73"/>
      <c r="U35" s="73"/>
      <c r="V35" s="73"/>
      <c r="W35" s="73"/>
      <c r="X35" s="73"/>
      <c r="Y35" s="77"/>
      <c r="Z35" s="104"/>
      <c r="AA35" s="73"/>
      <c r="AB35" s="93" t="str">
        <f>IFERROR(__xludf.DUMMYFUNCTION("""COMPUTED_VALUE"""),"Angle")</f>
        <v>Angle</v>
      </c>
      <c r="AC35" s="125">
        <f>IFERROR(__xludf.DUMMYFUNCTION("""COMPUTED_VALUE"""),39.0)</f>
        <v>39</v>
      </c>
      <c r="AD35" s="95" t="str">
        <f>IFERROR(__xludf.DUMMYFUNCTION("""COMPUTED_VALUE"""),"09 | 39° | Cost 93 ⧌ | Next 104 ⧌")</f>
        <v>09 | 39° | Cost 93 ⧌ | Next 104 ⧌</v>
      </c>
      <c r="AE35" s="104"/>
      <c r="AF35" s="195"/>
      <c r="AG35" s="80"/>
      <c r="AH35" s="104"/>
      <c r="AI35" s="82"/>
      <c r="AJ35" s="114"/>
      <c r="AK35" s="106"/>
      <c r="AL35" s="74"/>
      <c r="AM35" s="73" t="str">
        <f>IFERROR(__xludf.DUMMYFUNCTION("""COMPUTED_VALUE"""),"Free Defense Upgrade")</f>
        <v>Free Defense Upgrade</v>
      </c>
      <c r="AN35" s="194">
        <f>IFERROR(__xludf.DUMMYFUNCTION("""COMPUTED_VALUE"""),0.03)</f>
        <v>0.03</v>
      </c>
      <c r="AO35" s="102"/>
      <c r="AP35" s="86" t="str">
        <f>IFERROR(__xludf.DUMMYFUNCTION("""COMPUTED_VALUE"""),"Orb Speed")</f>
        <v>Orb Speed</v>
      </c>
      <c r="AQ35" s="125">
        <f>IFERROR(__xludf.DUMMYFUNCTION("""COMPUTED_VALUE"""),0.0)</f>
        <v>0</v>
      </c>
      <c r="AR35" s="74"/>
      <c r="AS35" s="104"/>
      <c r="AT35" s="104"/>
      <c r="AU35" s="73"/>
      <c r="AV35" s="104"/>
      <c r="AW35" s="73"/>
      <c r="AX35" s="74"/>
      <c r="AY35" s="73"/>
      <c r="AZ35" s="73"/>
      <c r="BA35" s="74"/>
      <c r="BB35" s="73"/>
      <c r="BC35" s="73"/>
      <c r="BD35" s="73"/>
      <c r="BE35" s="73" t="str">
        <f>IFERROR(__xludf.DUMMYFUNCTION("""COMPUTED_VALUE"""),"")</f>
        <v/>
      </c>
      <c r="BF35" s="73"/>
      <c r="BG35" s="73"/>
      <c r="BH35" s="73"/>
      <c r="BI35" s="73"/>
      <c r="BJ35" s="73" t="str">
        <f>IFERROR(__xludf.DUMMYFUNCTION("""COMPUTED_VALUE"""),"")</f>
        <v/>
      </c>
      <c r="BK35" s="73"/>
      <c r="BL35" s="73"/>
      <c r="BM35" s="73"/>
      <c r="BN35" s="73"/>
      <c r="BO35" s="73" t="str">
        <f>IFERROR(__xludf.DUMMYFUNCTION("""COMPUTED_VALUE"""),"")</f>
        <v/>
      </c>
      <c r="BP35" s="73"/>
      <c r="BQ35" s="73" t="str">
        <f>IFERROR(__xludf.DUMMYFUNCTION("""COMPUTED_VALUE"""),"Death Wave - Quantity")</f>
        <v>Death Wave - Quantity</v>
      </c>
      <c r="BR35" s="73"/>
      <c r="BS35" s="73"/>
      <c r="BT35" s="74"/>
      <c r="BU35" s="73"/>
      <c r="BV35" s="73"/>
      <c r="BW35" s="73"/>
      <c r="BX35" s="73"/>
      <c r="BY35" s="73"/>
      <c r="BZ35" s="73"/>
      <c r="CA35" s="73"/>
      <c r="CB35" s="73"/>
      <c r="CC35" s="73"/>
      <c r="CD35" s="73"/>
      <c r="CE35" s="73"/>
    </row>
    <row r="36">
      <c r="A36" s="86" t="str">
        <f>IFERROR(__xludf.DUMMYFUNCTION("""COMPUTED_VALUE"""),"Orb Boss Hit")</f>
        <v>Orb Boss Hit</v>
      </c>
      <c r="B36" s="87">
        <f>IFERROR(__xludf.DUMMYFUNCTION("""COMPUTED_VALUE"""),10.0)</f>
        <v>10</v>
      </c>
      <c r="C36" s="73"/>
      <c r="D36" s="88">
        <f>IFERROR(__xludf.DUMMYFUNCTION("""COMPUTED_VALUE"""),10.0)</f>
        <v>10</v>
      </c>
      <c r="E36" s="108" t="b">
        <f>IFERROR(__xludf.DUMMYFUNCTION("""COMPUTED_VALUE"""),TRUE)</f>
        <v>1</v>
      </c>
      <c r="F36" s="86" t="str">
        <f>IFERROR(__xludf.DUMMYFUNCTION("""COMPUTED_VALUE"""),"Death Defy")</f>
        <v>Death Defy</v>
      </c>
      <c r="G36" s="87">
        <f>IFERROR(__xludf.DUMMYFUNCTION("""COMPUTED_VALUE"""),75.0)</f>
        <v>75</v>
      </c>
      <c r="H36" s="73">
        <f>IFERROR(__xludf.DUMMYFUNCTION("""COMPUTED_VALUE"""),75.0)</f>
        <v>75</v>
      </c>
      <c r="I36" s="73">
        <f>IFERROR(__xludf.DUMMYFUNCTION("""COMPUTED_VALUE"""),75.0)</f>
        <v>75</v>
      </c>
      <c r="J36" s="73">
        <f>IFERROR(__xludf.DUMMYFUNCTION("""COMPUTED_VALUE"""),75.0)</f>
        <v>75</v>
      </c>
      <c r="K36" s="92"/>
      <c r="L36" s="73"/>
      <c r="M36" s="73"/>
      <c r="N36" s="73"/>
      <c r="O36" s="73"/>
      <c r="P36" s="73"/>
      <c r="Q36" s="121">
        <f>IFERROR(__xludf.DUMMYFUNCTION("""COMPUTED_VALUE"""),75.0)</f>
        <v>75</v>
      </c>
      <c r="R36" s="82"/>
      <c r="S36" s="73"/>
      <c r="T36" s="73"/>
      <c r="U36" s="73"/>
      <c r="V36" s="73"/>
      <c r="W36" s="73"/>
      <c r="X36" s="73"/>
      <c r="Y36" s="77"/>
      <c r="Z36" s="124" t="b">
        <f>IFERROR(__xludf.DUMMYFUNCTION("""COMPUTED_VALUE"""),TRUE)</f>
        <v>1</v>
      </c>
      <c r="AA36" s="86" t="str">
        <f>IFERROR(__xludf.DUMMYFUNCTION("""COMPUTED_VALUE"""),"UW Unlocked")</f>
        <v>UW Unlocked</v>
      </c>
      <c r="AB36" s="93" t="str">
        <f>IFERROR(__xludf.DUMMYFUNCTION("""COMPUTED_VALUE"""),"Quantity")</f>
        <v>Quantity</v>
      </c>
      <c r="AC36" s="112">
        <f>IFERROR(__xludf.DUMMYFUNCTION("""COMPUTED_VALUE"""),3.0)</f>
        <v>3</v>
      </c>
      <c r="AD36" s="95" t="str">
        <f>IFERROR(__xludf.DUMMYFUNCTION("""COMPUTED_VALUE"""),"02 | #3 | Cost 850 ⧌ | Next 2500 ⧌")</f>
        <v>02 | #3 | Cost 850 ⧌ | Next 2500 ⧌</v>
      </c>
      <c r="AE36" s="153"/>
      <c r="AF36" s="195"/>
      <c r="AG36" s="80"/>
      <c r="AH36" s="113"/>
      <c r="AI36" s="82"/>
      <c r="AJ36" s="114"/>
      <c r="AK36" s="106"/>
      <c r="AL36" s="74"/>
      <c r="AM36" s="73" t="str">
        <f>IFERROR(__xludf.DUMMYFUNCTION("""COMPUTED_VALUE"""),"Free Utility Upgrade")</f>
        <v>Free Utility Upgrade</v>
      </c>
      <c r="AN36" s="194">
        <f>IFERROR(__xludf.DUMMYFUNCTION("""COMPUTED_VALUE"""),0.04)</f>
        <v>0.04</v>
      </c>
      <c r="AO36" s="102"/>
      <c r="AP36" s="86" t="str">
        <f>IFERROR(__xludf.DUMMYFUNCTION("""COMPUTED_VALUE"""),"Orbs")</f>
        <v>Orbs</v>
      </c>
      <c r="AQ36" s="152">
        <f>IFERROR(__xludf.DUMMYFUNCTION("""COMPUTED_VALUE"""),0.0)</f>
        <v>0</v>
      </c>
      <c r="AR36" s="74"/>
      <c r="AS36" s="104"/>
      <c r="AT36" s="104"/>
      <c r="AU36" s="73"/>
      <c r="AV36" s="153"/>
      <c r="AW36" s="153"/>
      <c r="AX36" s="74"/>
      <c r="AY36" s="73"/>
      <c r="AZ36" s="73"/>
      <c r="BA36" s="74"/>
      <c r="BB36" s="73"/>
      <c r="BC36" s="73"/>
      <c r="BD36" s="73"/>
      <c r="BE36" s="73" t="str">
        <f>IFERROR(__xludf.DUMMYFUNCTION("""COMPUTED_VALUE"""),"")</f>
        <v/>
      </c>
      <c r="BF36" s="73"/>
      <c r="BG36" s="73"/>
      <c r="BH36" s="73"/>
      <c r="BI36" s="73"/>
      <c r="BJ36" s="73" t="str">
        <f>IFERROR(__xludf.DUMMYFUNCTION("""COMPUTED_VALUE"""),"")</f>
        <v/>
      </c>
      <c r="BK36" s="73"/>
      <c r="BL36" s="73"/>
      <c r="BM36" s="73"/>
      <c r="BN36" s="73"/>
      <c r="BO36" s="73" t="str">
        <f>IFERROR(__xludf.DUMMYFUNCTION("""COMPUTED_VALUE"""),"")</f>
        <v/>
      </c>
      <c r="BP36" s="73"/>
      <c r="BQ36" s="73" t="str">
        <f>IFERROR(__xludf.DUMMYFUNCTION("""COMPUTED_VALUE"""),"Death Wave - Cooldown")</f>
        <v>Death Wave - Cooldown</v>
      </c>
      <c r="BR36" s="73"/>
      <c r="BS36" s="73"/>
      <c r="BT36" s="74"/>
      <c r="BU36" s="73"/>
      <c r="BV36" s="73"/>
      <c r="BW36" s="73"/>
      <c r="BX36" s="73"/>
      <c r="BY36" s="73"/>
      <c r="BZ36" s="73"/>
      <c r="CA36" s="73"/>
      <c r="CB36" s="73"/>
      <c r="CC36" s="73"/>
      <c r="CD36" s="73"/>
      <c r="CE36" s="73"/>
    </row>
    <row r="37">
      <c r="A37" s="86" t="str">
        <f>IFERROR(__xludf.DUMMYFUNCTION("""COMPUTED_VALUE"""),"Wall Health")</f>
        <v>Wall Health</v>
      </c>
      <c r="B37" s="87">
        <f>IFERROR(__xludf.DUMMYFUNCTION("""COMPUTED_VALUE"""),50.0)</f>
        <v>50</v>
      </c>
      <c r="C37" s="73"/>
      <c r="D37" s="88">
        <f>IFERROR(__xludf.DUMMYFUNCTION("""COMPUTED_VALUE"""),50.0)</f>
        <v>50</v>
      </c>
      <c r="E37" s="108" t="b">
        <f>IFERROR(__xludf.DUMMYFUNCTION("""COMPUTED_VALUE"""),TRUE)</f>
        <v>1</v>
      </c>
      <c r="F37" s="86" t="str">
        <f>IFERROR(__xludf.DUMMYFUNCTION("""COMPUTED_VALUE"""),"Wall Health")</f>
        <v>Wall Health</v>
      </c>
      <c r="G37" s="87">
        <f>IFERROR(__xludf.DUMMYFUNCTION("""COMPUTED_VALUE"""),1340.0)</f>
        <v>1340</v>
      </c>
      <c r="H37" s="73">
        <f>IFERROR(__xludf.DUMMYFUNCTION("""COMPUTED_VALUE"""),1800.0)</f>
        <v>1800</v>
      </c>
      <c r="I37" s="73">
        <f>IFERROR(__xludf.DUMMYFUNCTION("""COMPUTED_VALUE"""),1340.0)</f>
        <v>1340</v>
      </c>
      <c r="J37" s="73">
        <f>IFERROR(__xludf.DUMMYFUNCTION("""COMPUTED_VALUE"""),1800.0)</f>
        <v>1800</v>
      </c>
      <c r="K37" s="92"/>
      <c r="L37" s="73"/>
      <c r="M37" s="73"/>
      <c r="N37" s="73"/>
      <c r="O37" s="73"/>
      <c r="P37" s="73"/>
      <c r="Q37" s="121">
        <f>IFERROR(__xludf.DUMMYFUNCTION("""COMPUTED_VALUE"""),1800.0)</f>
        <v>1800</v>
      </c>
      <c r="R37" s="82"/>
      <c r="S37" s="73"/>
      <c r="T37" s="73"/>
      <c r="U37" s="73"/>
      <c r="V37" s="73"/>
      <c r="W37" s="73"/>
      <c r="X37" s="73"/>
      <c r="Y37" s="77"/>
      <c r="Z37" s="93" t="str">
        <f>IFERROR(__xludf.DUMMYFUNCTION("""COMPUTED_VALUE"""),"UW+")</f>
        <v>UW+</v>
      </c>
      <c r="AA37" s="73"/>
      <c r="AB37" s="93" t="str">
        <f>IFERROR(__xludf.DUMMYFUNCTION("""COMPUTED_VALUE"""),"Light Range")</f>
        <v>Light Range</v>
      </c>
      <c r="AC37" s="100" t="str">
        <f>IFERROR(__xludf.DUMMYFUNCTION("""COMPUTED_VALUE"""),"Locked")</f>
        <v>Locked</v>
      </c>
      <c r="AD37" s="95" t="str">
        <f>IFERROR(__xludf.DUMMYFUNCTION("""COMPUTED_VALUE"""),"Lo | Locked")</f>
        <v>Lo | Locked</v>
      </c>
      <c r="AE37" s="114"/>
      <c r="AF37" s="195"/>
      <c r="AG37" s="80"/>
      <c r="AH37" s="114"/>
      <c r="AI37" s="82"/>
      <c r="AJ37" s="114"/>
      <c r="AK37" s="106"/>
      <c r="AL37" s="74"/>
      <c r="AM37" s="73" t="str">
        <f>IFERROR(__xludf.DUMMYFUNCTION("""COMPUTED_VALUE"""),"Recovery Amount")</f>
        <v>Recovery Amount</v>
      </c>
      <c r="AN37" s="194">
        <f>IFERROR(__xludf.DUMMYFUNCTION("""COMPUTED_VALUE"""),0.11)</f>
        <v>0.11</v>
      </c>
      <c r="AO37" s="102"/>
      <c r="AP37" s="86" t="str">
        <f>IFERROR(__xludf.DUMMYFUNCTION("""COMPUTED_VALUE"""),"Shockwave Frequency")</f>
        <v>Shockwave Frequency</v>
      </c>
      <c r="AQ37" s="174">
        <f>IFERROR(__xludf.DUMMYFUNCTION("""COMPUTED_VALUE"""),0.0)</f>
        <v>0</v>
      </c>
      <c r="AR37" s="74"/>
      <c r="AS37" s="104"/>
      <c r="AT37" s="104"/>
      <c r="AU37" s="73"/>
      <c r="AV37" s="114"/>
      <c r="AW37" s="114"/>
      <c r="AX37" s="74"/>
      <c r="AY37" s="73"/>
      <c r="AZ37" s="73"/>
      <c r="BA37" s="74"/>
      <c r="BB37" s="73"/>
      <c r="BC37" s="73"/>
      <c r="BD37" s="73"/>
      <c r="BE37" s="73" t="str">
        <f>IFERROR(__xludf.DUMMYFUNCTION("""COMPUTED_VALUE"""),"")</f>
        <v/>
      </c>
      <c r="BF37" s="73"/>
      <c r="BG37" s="73"/>
      <c r="BH37" s="73"/>
      <c r="BI37" s="73"/>
      <c r="BJ37" s="73" t="str">
        <f>IFERROR(__xludf.DUMMYFUNCTION("""COMPUTED_VALUE"""),"")</f>
        <v/>
      </c>
      <c r="BK37" s="73"/>
      <c r="BL37" s="73"/>
      <c r="BM37" s="73"/>
      <c r="BN37" s="73"/>
      <c r="BO37" s="73" t="str">
        <f>IFERROR(__xludf.DUMMYFUNCTION("""COMPUTED_VALUE"""),"")</f>
        <v/>
      </c>
      <c r="BP37" s="73"/>
      <c r="BQ37" s="73" t="str">
        <f>IFERROR(__xludf.DUMMYFUNCTION("""COMPUTED_VALUE"""),"Golden Tower - Bonus")</f>
        <v>Golden Tower - Bonus</v>
      </c>
      <c r="BR37" s="73"/>
      <c r="BS37" s="73"/>
      <c r="BT37" s="74"/>
      <c r="BU37" s="73"/>
      <c r="BV37" s="73"/>
      <c r="BW37" s="73"/>
      <c r="BX37" s="73"/>
      <c r="BY37" s="73"/>
      <c r="BZ37" s="73"/>
      <c r="CA37" s="73"/>
      <c r="CB37" s="73"/>
      <c r="CC37" s="73"/>
      <c r="CD37" s="73"/>
      <c r="CE37" s="73"/>
    </row>
    <row r="38">
      <c r="A38" s="86" t="str">
        <f>IFERROR(__xludf.DUMMYFUNCTION("""COMPUTED_VALUE"""),"Wall Rebuild")</f>
        <v>Wall Rebuild</v>
      </c>
      <c r="B38" s="87">
        <f>IFERROR(__xludf.DUMMYFUNCTION("""COMPUTED_VALUE"""),9.0)</f>
        <v>9</v>
      </c>
      <c r="C38" s="73"/>
      <c r="D38" s="88">
        <f>IFERROR(__xludf.DUMMYFUNCTION("""COMPUTED_VALUE"""),20.0)</f>
        <v>20</v>
      </c>
      <c r="E38" s="73"/>
      <c r="F38" s="86" t="str">
        <f>IFERROR(__xludf.DUMMYFUNCTION("""COMPUTED_VALUE"""),"Wall Rebuild")</f>
        <v>Wall Rebuild</v>
      </c>
      <c r="G38" s="87">
        <f>IFERROR(__xludf.DUMMYFUNCTION("""COMPUTED_VALUE"""),250.0)</f>
        <v>250</v>
      </c>
      <c r="H38" s="73">
        <f>IFERROR(__xludf.DUMMYFUNCTION("""COMPUTED_VALUE"""),300.0)</f>
        <v>300</v>
      </c>
      <c r="I38" s="73">
        <f>IFERROR(__xludf.DUMMYFUNCTION("""COMPUTED_VALUE"""),250.0)</f>
        <v>250</v>
      </c>
      <c r="J38" s="73">
        <f>IFERROR(__xludf.DUMMYFUNCTION("""COMPUTED_VALUE"""),300.0)</f>
        <v>300</v>
      </c>
      <c r="K38" s="92"/>
      <c r="L38" s="73"/>
      <c r="M38" s="73"/>
      <c r="N38" s="73"/>
      <c r="O38" s="73"/>
      <c r="P38" s="73"/>
      <c r="Q38" s="121">
        <f>IFERROR(__xludf.DUMMYFUNCTION("""COMPUTED_VALUE"""),300.0)</f>
        <v>300</v>
      </c>
      <c r="R38" s="82"/>
      <c r="S38" s="73"/>
      <c r="T38" s="73"/>
      <c r="U38" s="73"/>
      <c r="V38" s="73"/>
      <c r="W38" s="73"/>
      <c r="X38" s="73"/>
      <c r="Y38" s="77"/>
      <c r="Z38" s="104"/>
      <c r="AA38" s="73"/>
      <c r="AB38" s="104"/>
      <c r="AC38" s="104"/>
      <c r="AD38" s="74"/>
      <c r="AE38" s="153"/>
      <c r="AF38" s="195"/>
      <c r="AG38" s="80"/>
      <c r="AH38" s="104"/>
      <c r="AI38" s="73"/>
      <c r="AJ38" s="114"/>
      <c r="AK38" s="106"/>
      <c r="AL38" s="74"/>
      <c r="AM38" s="73" t="str">
        <f>IFERROR(__xludf.DUMMYFUNCTION("""COMPUTED_VALUE"""),"Enemy Attack Level Skip")</f>
        <v>Enemy Attack Level Skip</v>
      </c>
      <c r="AN38" s="153">
        <f>IFERROR(__xludf.DUMMYFUNCTION("""COMPUTED_VALUE"""),0.02)</f>
        <v>0.02</v>
      </c>
      <c r="AO38" s="102"/>
      <c r="AP38" s="86" t="str">
        <f>IFERROR(__xludf.DUMMYFUNCTION("""COMPUTED_VALUE"""),"Death Defy")</f>
        <v>Death Defy</v>
      </c>
      <c r="AQ38" s="152">
        <f>IFERROR(__xludf.DUMMYFUNCTION("""COMPUTED_VALUE"""),0.0)</f>
        <v>0</v>
      </c>
      <c r="AR38" s="74"/>
      <c r="AS38" s="73"/>
      <c r="AT38" s="73"/>
      <c r="AU38" s="73"/>
      <c r="AV38" s="153"/>
      <c r="AW38" s="153"/>
      <c r="AX38" s="74"/>
      <c r="AY38" s="73"/>
      <c r="AZ38" s="73"/>
      <c r="BA38" s="74"/>
      <c r="BB38" s="73"/>
      <c r="BC38" s="73"/>
      <c r="BD38" s="73"/>
      <c r="BE38" s="73" t="str">
        <f>IFERROR(__xludf.DUMMYFUNCTION("""COMPUTED_VALUE"""),"")</f>
        <v/>
      </c>
      <c r="BF38" s="73"/>
      <c r="BG38" s="73"/>
      <c r="BH38" s="73"/>
      <c r="BI38" s="73"/>
      <c r="BJ38" s="73" t="str">
        <f>IFERROR(__xludf.DUMMYFUNCTION("""COMPUTED_VALUE"""),"")</f>
        <v/>
      </c>
      <c r="BK38" s="73"/>
      <c r="BL38" s="73"/>
      <c r="BM38" s="73"/>
      <c r="BN38" s="73"/>
      <c r="BO38" s="73" t="str">
        <f>IFERROR(__xludf.DUMMYFUNCTION("""COMPUTED_VALUE"""),"")</f>
        <v/>
      </c>
      <c r="BP38" s="73"/>
      <c r="BQ38" s="73" t="str">
        <f>IFERROR(__xludf.DUMMYFUNCTION("""COMPUTED_VALUE"""),"Death Wave - Damage")</f>
        <v>Death Wave - Damage</v>
      </c>
      <c r="BR38" s="73" t="str">
        <f>IFERROR(__xludf.DUMMYFUNCTION("""COMPUTED_VALUE"""),"Common")</f>
        <v>Common</v>
      </c>
      <c r="BS38" s="73" t="str">
        <f>IFERROR(__xludf.DUMMYFUNCTION("""COMPUTED_VALUE"""),"+8x")</f>
        <v>+8x</v>
      </c>
      <c r="BT38" s="74">
        <f>IFERROR(__xludf.DUMMYFUNCTION("""COMPUTED_VALUE"""),8.0)</f>
        <v>8</v>
      </c>
      <c r="BU38" s="73"/>
      <c r="BV38" s="73"/>
      <c r="BW38" s="73"/>
      <c r="BX38" s="73"/>
      <c r="BY38" s="73"/>
      <c r="BZ38" s="73"/>
      <c r="CA38" s="73"/>
      <c r="CB38" s="73"/>
      <c r="CC38" s="73"/>
      <c r="CD38" s="73"/>
      <c r="CE38" s="73"/>
    </row>
    <row r="39">
      <c r="A39" s="86" t="str">
        <f>IFERROR(__xludf.DUMMYFUNCTION("""COMPUTED_VALUE"""),"Wall Regen")</f>
        <v>Wall Regen</v>
      </c>
      <c r="B39" s="87">
        <f>IFERROR(__xludf.DUMMYFUNCTION("""COMPUTED_VALUE"""),21.0)</f>
        <v>21</v>
      </c>
      <c r="C39" s="73"/>
      <c r="D39" s="88">
        <f>IFERROR(__xludf.DUMMYFUNCTION("""COMPUTED_VALUE"""),30.0)</f>
        <v>30</v>
      </c>
      <c r="E39" s="108" t="b">
        <f>IFERROR(__xludf.DUMMYFUNCTION("""COMPUTED_VALUE"""),TRUE)</f>
        <v>1</v>
      </c>
      <c r="F39" s="86" t="str">
        <f>IFERROR(__xludf.DUMMYFUNCTION("""COMPUTED_VALUE"""),"Cash Bonus")</f>
        <v>Cash Bonus</v>
      </c>
      <c r="G39" s="87">
        <f>IFERROR(__xludf.DUMMYFUNCTION("""COMPUTED_VALUE"""),149.0)</f>
        <v>149</v>
      </c>
      <c r="H39" s="73">
        <f>IFERROR(__xludf.DUMMYFUNCTION("""COMPUTED_VALUE"""),149.0)</f>
        <v>149</v>
      </c>
      <c r="I39" s="73">
        <f>IFERROR(__xludf.DUMMYFUNCTION("""COMPUTED_VALUE"""),149.0)</f>
        <v>149</v>
      </c>
      <c r="J39" s="73">
        <f>IFERROR(__xludf.DUMMYFUNCTION("""COMPUTED_VALUE"""),149.0)</f>
        <v>149</v>
      </c>
      <c r="K39" s="92"/>
      <c r="L39" s="73"/>
      <c r="M39" s="73"/>
      <c r="N39" s="73"/>
      <c r="O39" s="73"/>
      <c r="P39" s="73"/>
      <c r="Q39" s="121">
        <f>IFERROR(__xludf.DUMMYFUNCTION("""COMPUTED_VALUE"""),149.0)</f>
        <v>149</v>
      </c>
      <c r="R39" s="82"/>
      <c r="S39" s="73"/>
      <c r="T39" s="73"/>
      <c r="U39" s="73"/>
      <c r="V39" s="73"/>
      <c r="W39" s="73"/>
      <c r="X39" s="73"/>
      <c r="Y39" s="77"/>
      <c r="Z39" s="104"/>
      <c r="AA39" s="73"/>
      <c r="AB39" s="104"/>
      <c r="AC39" s="104"/>
      <c r="AD39" s="74"/>
      <c r="AE39" s="106"/>
      <c r="AF39" s="195"/>
      <c r="AG39" s="80"/>
      <c r="AH39" s="104"/>
      <c r="AI39" s="73"/>
      <c r="AJ39" s="114"/>
      <c r="AK39" s="106"/>
      <c r="AL39" s="74"/>
      <c r="AM39" s="73" t="str">
        <f>IFERROR(__xludf.DUMMYFUNCTION("""COMPUTED_VALUE"""),"Enemy Health Level Skip")</f>
        <v>Enemy Health Level Skip</v>
      </c>
      <c r="AN39" s="104">
        <f>IFERROR(__xludf.DUMMYFUNCTION("""COMPUTED_VALUE"""),0.02)</f>
        <v>0.02</v>
      </c>
      <c r="AO39" s="102"/>
      <c r="AP39" s="86" t="str">
        <f>IFERROR(__xludf.DUMMYFUNCTION("""COMPUTED_VALUE"""),"Wall Rebuild")</f>
        <v>Wall Rebuild</v>
      </c>
      <c r="AQ39" s="153">
        <f>IFERROR(__xludf.DUMMYFUNCTION("""COMPUTED_VALUE"""),0.0)</f>
        <v>0</v>
      </c>
      <c r="AR39" s="74"/>
      <c r="AS39" s="73"/>
      <c r="AT39" s="73"/>
      <c r="AU39" s="73"/>
      <c r="AV39" s="73"/>
      <c r="AW39" s="73"/>
      <c r="AX39" s="74"/>
      <c r="AY39" s="73"/>
      <c r="AZ39" s="73"/>
      <c r="BA39" s="74"/>
      <c r="BB39" s="73"/>
      <c r="BC39" s="73"/>
      <c r="BD39" s="73"/>
      <c r="BE39" s="73"/>
      <c r="BF39" s="73"/>
      <c r="BG39" s="73"/>
      <c r="BH39" s="73"/>
      <c r="BI39" s="73"/>
      <c r="BJ39" s="73"/>
      <c r="BK39" s="73"/>
      <c r="BL39" s="73"/>
      <c r="BM39" s="73"/>
      <c r="BN39" s="73"/>
      <c r="BO39" s="73"/>
      <c r="BP39" s="73"/>
      <c r="BQ39" s="73"/>
      <c r="BR39" s="73"/>
      <c r="BS39" s="73"/>
      <c r="BT39" s="74"/>
      <c r="BU39" s="73"/>
      <c r="BV39" s="73"/>
      <c r="BW39" s="73"/>
      <c r="BX39" s="73"/>
      <c r="BY39" s="73"/>
      <c r="BZ39" s="73"/>
      <c r="CA39" s="73"/>
      <c r="CB39" s="73"/>
      <c r="CC39" s="73"/>
      <c r="CD39" s="73"/>
      <c r="CE39" s="73"/>
    </row>
    <row r="40">
      <c r="A40" s="86" t="str">
        <f>IFERROR(__xludf.DUMMYFUNCTION("""COMPUTED_VALUE"""),"Wall Thorns")</f>
        <v>Wall Thorns</v>
      </c>
      <c r="B40" s="87">
        <f>IFERROR(__xludf.DUMMYFUNCTION("""COMPUTED_VALUE"""),15.0)</f>
        <v>15</v>
      </c>
      <c r="C40" s="73"/>
      <c r="D40" s="88">
        <f>IFERROR(__xludf.DUMMYFUNCTION("""COMPUTED_VALUE"""),20.0)</f>
        <v>20</v>
      </c>
      <c r="E40" s="73"/>
      <c r="F40" s="86" t="str">
        <f>IFERROR(__xludf.DUMMYFUNCTION("""COMPUTED_VALUE"""),"Cash / Wave")</f>
        <v>Cash / Wave</v>
      </c>
      <c r="G40" s="87">
        <f>IFERROR(__xludf.DUMMYFUNCTION("""COMPUTED_VALUE"""),149.0)</f>
        <v>149</v>
      </c>
      <c r="H40" s="73">
        <f>IFERROR(__xludf.DUMMYFUNCTION("""COMPUTED_VALUE"""),149.0)</f>
        <v>149</v>
      </c>
      <c r="I40" s="73">
        <f>IFERROR(__xludf.DUMMYFUNCTION("""COMPUTED_VALUE"""),149.0)</f>
        <v>149</v>
      </c>
      <c r="J40" s="73">
        <f>IFERROR(__xludf.DUMMYFUNCTION("""COMPUTED_VALUE"""),149.0)</f>
        <v>149</v>
      </c>
      <c r="K40" s="92"/>
      <c r="L40" s="73"/>
      <c r="M40" s="73"/>
      <c r="N40" s="73"/>
      <c r="O40" s="73"/>
      <c r="P40" s="73"/>
      <c r="Q40" s="121">
        <f>IFERROR(__xludf.DUMMYFUNCTION("""COMPUTED_VALUE"""),149.0)</f>
        <v>149</v>
      </c>
      <c r="R40" s="82"/>
      <c r="S40" s="73"/>
      <c r="T40" s="73"/>
      <c r="U40" s="73"/>
      <c r="V40" s="73"/>
      <c r="W40" s="73"/>
      <c r="X40" s="73"/>
      <c r="Y40" s="77"/>
      <c r="Z40" s="104"/>
      <c r="AA40" s="73"/>
      <c r="AB40" s="104"/>
      <c r="AC40" s="104"/>
      <c r="AD40" s="74"/>
      <c r="AE40" s="114"/>
      <c r="AF40" s="195"/>
      <c r="AG40" s="80"/>
      <c r="AH40" s="104"/>
      <c r="AI40" s="73"/>
      <c r="AJ40" s="114"/>
      <c r="AK40" s="106"/>
      <c r="AL40" s="74"/>
      <c r="AM40" s="73"/>
      <c r="AN40" s="73"/>
      <c r="AO40" s="102"/>
      <c r="AP40" s="86" t="str">
        <f>IFERROR(__xludf.DUMMYFUNCTION("""COMPUTED_VALUE"""),"Utility")</f>
        <v>Utility</v>
      </c>
      <c r="AQ40" s="174"/>
      <c r="AR40" s="74"/>
      <c r="AS40" s="73"/>
      <c r="AT40" s="73"/>
      <c r="AU40" s="73"/>
      <c r="AV40" s="114"/>
      <c r="AW40" s="114"/>
      <c r="AX40" s="74"/>
      <c r="AY40" s="73"/>
      <c r="AZ40" s="73"/>
      <c r="BA40" s="74"/>
      <c r="BB40" s="73" t="str">
        <f>IFERROR(__xludf.DUMMYFUNCTION("""COMPUTED_VALUE"""),"Being Annihilator")</f>
        <v>Being Annihilator</v>
      </c>
      <c r="BC40" s="73"/>
      <c r="BD40" s="73"/>
      <c r="BE40" s="73"/>
      <c r="BF40" s="73"/>
      <c r="BG40" s="73" t="str">
        <f>IFERROR(__xludf.DUMMYFUNCTION("""COMPUTED_VALUE"""),"Negative Mass Projector")</f>
        <v>Negative Mass Projector</v>
      </c>
      <c r="BH40" s="73"/>
      <c r="BI40" s="73"/>
      <c r="BJ40" s="73"/>
      <c r="BK40" s="73"/>
      <c r="BL40" s="73" t="str">
        <f>IFERROR(__xludf.DUMMYFUNCTION("""COMPUTED_VALUE"""),"Galaxy Compressor")</f>
        <v>Galaxy Compressor</v>
      </c>
      <c r="BM40" s="73"/>
      <c r="BN40" s="73"/>
      <c r="BO40" s="73"/>
      <c r="BP40" s="73"/>
      <c r="BQ40" s="73" t="str">
        <f>IFERROR(__xludf.DUMMYFUNCTION("""COMPUTED_VALUE"""),"Dimension Core")</f>
        <v>Dimension Core</v>
      </c>
      <c r="BR40" s="73"/>
      <c r="BS40" s="73"/>
      <c r="BT40" s="74"/>
      <c r="BU40" s="73"/>
      <c r="BV40" s="73"/>
      <c r="BW40" s="73"/>
      <c r="BX40" s="73"/>
      <c r="BY40" s="73"/>
      <c r="BZ40" s="73"/>
      <c r="CA40" s="73"/>
      <c r="CB40" s="73"/>
      <c r="CC40" s="73"/>
      <c r="CD40" s="73"/>
      <c r="CE40" s="73"/>
    </row>
    <row r="41">
      <c r="A41" s="86" t="str">
        <f>IFERROR(__xludf.DUMMYFUNCTION("""COMPUTED_VALUE"""),"Wall Invincibility")</f>
        <v>Wall Invincibility</v>
      </c>
      <c r="B41" s="87">
        <f>IFERROR(__xludf.DUMMYFUNCTION("""COMPUTED_VALUE"""),0.0)</f>
        <v>0</v>
      </c>
      <c r="C41" s="73"/>
      <c r="D41" s="88">
        <f>IFERROR(__xludf.DUMMYFUNCTION("""COMPUTED_VALUE"""),10.0)</f>
        <v>10</v>
      </c>
      <c r="E41" s="108" t="b">
        <f>IFERROR(__xludf.DUMMYFUNCTION("""COMPUTED_VALUE"""),TRUE)</f>
        <v>1</v>
      </c>
      <c r="F41" s="86" t="str">
        <f>IFERROR(__xludf.DUMMYFUNCTION("""COMPUTED_VALUE"""),"Coin / Kill Bonus")</f>
        <v>Coin / Kill Bonus</v>
      </c>
      <c r="G41" s="87">
        <f>IFERROR(__xludf.DUMMYFUNCTION("""COMPUTED_VALUE"""),149.0)</f>
        <v>149</v>
      </c>
      <c r="H41" s="73">
        <f>IFERROR(__xludf.DUMMYFUNCTION("""COMPUTED_VALUE"""),149.0)</f>
        <v>149</v>
      </c>
      <c r="I41" s="73">
        <f>IFERROR(__xludf.DUMMYFUNCTION("""COMPUTED_VALUE"""),149.0)</f>
        <v>149</v>
      </c>
      <c r="J41" s="73">
        <f>IFERROR(__xludf.DUMMYFUNCTION("""COMPUTED_VALUE"""),149.0)</f>
        <v>149</v>
      </c>
      <c r="K41" s="92"/>
      <c r="L41" s="73"/>
      <c r="M41" s="73"/>
      <c r="N41" s="73"/>
      <c r="O41" s="73"/>
      <c r="P41" s="73"/>
      <c r="Q41" s="121">
        <f>IFERROR(__xludf.DUMMYFUNCTION("""COMPUTED_VALUE"""),149.0)</f>
        <v>149</v>
      </c>
      <c r="R41" s="82"/>
      <c r="S41" s="73"/>
      <c r="T41" s="73"/>
      <c r="U41" s="73"/>
      <c r="V41" s="73"/>
      <c r="W41" s="73"/>
      <c r="X41" s="73"/>
      <c r="Y41" s="77"/>
      <c r="Z41" s="104"/>
      <c r="AA41" s="73"/>
      <c r="AB41" s="104"/>
      <c r="AC41" s="104"/>
      <c r="AD41" s="74"/>
      <c r="AE41" s="114"/>
      <c r="AF41" s="195"/>
      <c r="AG41" s="80"/>
      <c r="AH41" s="104"/>
      <c r="AI41" s="73"/>
      <c r="AJ41" s="114"/>
      <c r="AK41" s="106"/>
      <c r="AL41" s="74"/>
      <c r="AM41" s="73"/>
      <c r="AN41" s="73"/>
      <c r="AO41" s="102"/>
      <c r="AP41" s="86" t="str">
        <f>IFERROR(__xludf.DUMMYFUNCTION("""COMPUTED_VALUE"""),"Cash")</f>
        <v>Cash</v>
      </c>
      <c r="AQ41" s="174">
        <f>IFERROR(__xludf.DUMMYFUNCTION("""COMPUTED_VALUE"""),0.0)</f>
        <v>0</v>
      </c>
      <c r="AR41" s="74"/>
      <c r="AS41" s="73"/>
      <c r="AT41" s="73"/>
      <c r="AU41" s="73"/>
      <c r="AV41" s="114"/>
      <c r="AW41" s="114"/>
      <c r="AX41" s="74"/>
      <c r="AY41" s="73"/>
      <c r="AZ41" s="73"/>
      <c r="BA41" s="74"/>
      <c r="BB41" s="73" t="str">
        <f>IFERROR(__xludf.DUMMYFUNCTION("""COMPUTED_VALUE"""),"Rarity")</f>
        <v>Rarity</v>
      </c>
      <c r="BC41" s="73" t="str">
        <f>IFERROR(__xludf.DUMMYFUNCTION("""COMPUTED_VALUE"""),"Level")</f>
        <v>Level</v>
      </c>
      <c r="BD41" s="73" t="str">
        <f>IFERROR(__xludf.DUMMYFUNCTION("""COMPUTED_VALUE"""),"Stat")</f>
        <v>Stat</v>
      </c>
      <c r="BE41" s="73"/>
      <c r="BF41" s="73"/>
      <c r="BG41" s="73" t="str">
        <f>IFERROR(__xludf.DUMMYFUNCTION("""COMPUTED_VALUE"""),"Rarity")</f>
        <v>Rarity</v>
      </c>
      <c r="BH41" s="73" t="str">
        <f>IFERROR(__xludf.DUMMYFUNCTION("""COMPUTED_VALUE"""),"Level")</f>
        <v>Level</v>
      </c>
      <c r="BI41" s="73" t="str">
        <f>IFERROR(__xludf.DUMMYFUNCTION("""COMPUTED_VALUE"""),"Stat")</f>
        <v>Stat</v>
      </c>
      <c r="BJ41" s="73"/>
      <c r="BK41" s="73"/>
      <c r="BL41" s="73" t="str">
        <f>IFERROR(__xludf.DUMMYFUNCTION("""COMPUTED_VALUE"""),"Rarity")</f>
        <v>Rarity</v>
      </c>
      <c r="BM41" s="73" t="str">
        <f>IFERROR(__xludf.DUMMYFUNCTION("""COMPUTED_VALUE"""),"Level")</f>
        <v>Level</v>
      </c>
      <c r="BN41" s="73" t="str">
        <f>IFERROR(__xludf.DUMMYFUNCTION("""COMPUTED_VALUE"""),"Stat")</f>
        <v>Stat</v>
      </c>
      <c r="BO41" s="73"/>
      <c r="BP41" s="73"/>
      <c r="BQ41" s="73" t="str">
        <f>IFERROR(__xludf.DUMMYFUNCTION("""COMPUTED_VALUE"""),"Rarity")</f>
        <v>Rarity</v>
      </c>
      <c r="BR41" s="73" t="str">
        <f>IFERROR(__xludf.DUMMYFUNCTION("""COMPUTED_VALUE"""),"Level")</f>
        <v>Level</v>
      </c>
      <c r="BS41" s="73" t="str">
        <f>IFERROR(__xludf.DUMMYFUNCTION("""COMPUTED_VALUE"""),"Stat")</f>
        <v>Stat</v>
      </c>
      <c r="BT41" s="74"/>
      <c r="BU41" s="73"/>
      <c r="BV41" s="73"/>
      <c r="BW41" s="73"/>
      <c r="BX41" s="73"/>
      <c r="BY41" s="73"/>
      <c r="BZ41" s="73"/>
      <c r="CA41" s="73"/>
      <c r="CB41" s="73"/>
      <c r="CC41" s="73"/>
      <c r="CD41" s="73"/>
      <c r="CE41" s="73"/>
    </row>
    <row r="42">
      <c r="A42" s="86" t="str">
        <f>IFERROR(__xludf.DUMMYFUNCTION("""COMPUTED_VALUE"""),"Wall Fortification")</f>
        <v>Wall Fortification</v>
      </c>
      <c r="B42" s="87">
        <f>IFERROR(__xludf.DUMMYFUNCTION("""COMPUTED_VALUE"""),47.0)</f>
        <v>47</v>
      </c>
      <c r="C42" s="73"/>
      <c r="D42" s="88">
        <f>IFERROR(__xludf.DUMMYFUNCTION("""COMPUTED_VALUE"""),60.0)</f>
        <v>60</v>
      </c>
      <c r="E42" s="73"/>
      <c r="F42" s="86" t="str">
        <f>IFERROR(__xludf.DUMMYFUNCTION("""COMPUTED_VALUE"""),"Coin / Wave")</f>
        <v>Coin / Wave</v>
      </c>
      <c r="G42" s="87">
        <f>IFERROR(__xludf.DUMMYFUNCTION("""COMPUTED_VALUE"""),149.0)</f>
        <v>149</v>
      </c>
      <c r="H42" s="73">
        <f>IFERROR(__xludf.DUMMYFUNCTION("""COMPUTED_VALUE"""),149.0)</f>
        <v>149</v>
      </c>
      <c r="I42" s="73">
        <f>IFERROR(__xludf.DUMMYFUNCTION("""COMPUTED_VALUE"""),149.0)</f>
        <v>149</v>
      </c>
      <c r="J42" s="73">
        <f>IFERROR(__xludf.DUMMYFUNCTION("""COMPUTED_VALUE"""),149.0)</f>
        <v>149</v>
      </c>
      <c r="K42" s="92"/>
      <c r="L42" s="73"/>
      <c r="M42" s="73"/>
      <c r="N42" s="73"/>
      <c r="O42" s="73"/>
      <c r="P42" s="73"/>
      <c r="Q42" s="121">
        <f>IFERROR(__xludf.DUMMYFUNCTION("""COMPUTED_VALUE"""),149.0)</f>
        <v>149</v>
      </c>
      <c r="R42" s="82"/>
      <c r="S42" s="73"/>
      <c r="T42" s="73"/>
      <c r="U42" s="73"/>
      <c r="V42" s="73"/>
      <c r="W42" s="73"/>
      <c r="X42" s="73"/>
      <c r="Y42" s="77"/>
      <c r="Z42" s="104"/>
      <c r="AA42" s="73"/>
      <c r="AB42" s="104"/>
      <c r="AC42" s="104"/>
      <c r="AD42" s="74"/>
      <c r="AE42" s="114"/>
      <c r="AF42" s="195"/>
      <c r="AG42" s="80"/>
      <c r="AH42" s="104"/>
      <c r="AI42" s="73"/>
      <c r="AJ42" s="114"/>
      <c r="AK42" s="106"/>
      <c r="AL42" s="74"/>
      <c r="AM42" s="73"/>
      <c r="AN42" s="73"/>
      <c r="AO42" s="102"/>
      <c r="AP42" s="86" t="str">
        <f>IFERROR(__xludf.DUMMYFUNCTION("""COMPUTED_VALUE"""),"Cash / Wave")</f>
        <v>Cash / Wave</v>
      </c>
      <c r="AQ42" s="174">
        <f>IFERROR(__xludf.DUMMYFUNCTION("""COMPUTED_VALUE"""),0.0)</f>
        <v>0</v>
      </c>
      <c r="AR42" s="74"/>
      <c r="AS42" s="73"/>
      <c r="AT42" s="73"/>
      <c r="AU42" s="73"/>
      <c r="AV42" s="114"/>
      <c r="AW42" s="114"/>
      <c r="AX42" s="74"/>
      <c r="AY42" s="73"/>
      <c r="AZ42" s="73"/>
      <c r="BA42" s="74"/>
      <c r="BB42" s="73" t="str">
        <f>IFERROR(__xludf.DUMMYFUNCTION("""COMPUTED_VALUE"""),"Ancestral")</f>
        <v>Ancestral</v>
      </c>
      <c r="BC42" s="107">
        <f>IFERROR(__xludf.DUMMYFUNCTION("""COMPUTED_VALUE"""),164.0)</f>
        <v>164</v>
      </c>
      <c r="BD42" s="132">
        <f>IFERROR(__xludf.DUMMYFUNCTION("""COMPUTED_VALUE"""),9.04)</f>
        <v>9.04</v>
      </c>
      <c r="BE42" s="73"/>
      <c r="BF42" s="73"/>
      <c r="BG42" s="73" t="str">
        <f>IFERROR(__xludf.DUMMYFUNCTION("""COMPUTED_VALUE"""),"Legendary")</f>
        <v>Legendary</v>
      </c>
      <c r="BH42" s="107">
        <f>IFERROR(__xludf.DUMMYFUNCTION("""COMPUTED_VALUE"""),100.0)</f>
        <v>100</v>
      </c>
      <c r="BI42" s="132">
        <f>IFERROR(__xludf.DUMMYFUNCTION("""COMPUTED_VALUE"""),2.27)</f>
        <v>2.27</v>
      </c>
      <c r="BJ42" s="73"/>
      <c r="BK42" s="73"/>
      <c r="BL42" s="73" t="str">
        <f>IFERROR(__xludf.DUMMYFUNCTION("""COMPUTED_VALUE"""),"Mythic+")</f>
        <v>Mythic+</v>
      </c>
      <c r="BM42" s="107">
        <f>IFERROR(__xludf.DUMMYFUNCTION("""COMPUTED_VALUE"""),160.0)</f>
        <v>160</v>
      </c>
      <c r="BN42" s="132">
        <f>IFERROR(__xludf.DUMMYFUNCTION("""COMPUTED_VALUE"""),1.665)</f>
        <v>1.665</v>
      </c>
      <c r="BO42" s="73"/>
      <c r="BP42" s="73"/>
      <c r="BQ42" s="73" t="str">
        <f>IFERROR(__xludf.DUMMYFUNCTION("""COMPUTED_VALUE"""),"Ancestral")</f>
        <v>Ancestral</v>
      </c>
      <c r="BR42" s="107">
        <f>IFERROR(__xludf.DUMMYFUNCTION("""COMPUTED_VALUE"""),159.0)</f>
        <v>159</v>
      </c>
      <c r="BS42" s="132">
        <f>IFERROR(__xludf.DUMMYFUNCTION("""COMPUTED_VALUE"""),10.9)</f>
        <v>10.9</v>
      </c>
      <c r="BT42" s="74"/>
      <c r="BU42" s="73"/>
      <c r="BV42" s="73"/>
      <c r="BW42" s="73"/>
      <c r="BX42" s="73"/>
      <c r="BY42" s="73"/>
      <c r="BZ42" s="73"/>
      <c r="CA42" s="73"/>
      <c r="CB42" s="73"/>
      <c r="CC42" s="73"/>
      <c r="CD42" s="73"/>
      <c r="CE42" s="73"/>
    </row>
    <row r="43">
      <c r="A43" s="86" t="str">
        <f>IFERROR(__xludf.DUMMYFUNCTION("""COMPUTED_VALUE"""),"Garlic Thorns")</f>
        <v>Garlic Thorns</v>
      </c>
      <c r="B43" s="87">
        <f>IFERROR(__xludf.DUMMYFUNCTION("""COMPUTED_VALUE"""),10.0)</f>
        <v>10</v>
      </c>
      <c r="C43" s="73"/>
      <c r="D43" s="88">
        <f>IFERROR(__xludf.DUMMYFUNCTION("""COMPUTED_VALUE"""),10.0)</f>
        <v>10</v>
      </c>
      <c r="E43" s="108" t="b">
        <f>IFERROR(__xludf.DUMMYFUNCTION("""COMPUTED_VALUE"""),TRUE)</f>
        <v>1</v>
      </c>
      <c r="F43" s="86" t="str">
        <f>IFERROR(__xludf.DUMMYFUNCTION("""COMPUTED_VALUE"""),"Free Attack Upgrade")</f>
        <v>Free Attack Upgrade</v>
      </c>
      <c r="G43" s="87">
        <f>IFERROR(__xludf.DUMMYFUNCTION("""COMPUTED_VALUE"""),99.0)</f>
        <v>99</v>
      </c>
      <c r="H43" s="73">
        <f>IFERROR(__xludf.DUMMYFUNCTION("""COMPUTED_VALUE"""),99.0)</f>
        <v>99</v>
      </c>
      <c r="I43" s="73">
        <f>IFERROR(__xludf.DUMMYFUNCTION("""COMPUTED_VALUE"""),99.0)</f>
        <v>99</v>
      </c>
      <c r="J43" s="73">
        <f>IFERROR(__xludf.DUMMYFUNCTION("""COMPUTED_VALUE"""),99.0)</f>
        <v>99</v>
      </c>
      <c r="K43" s="92"/>
      <c r="L43" s="73"/>
      <c r="M43" s="73"/>
      <c r="N43" s="73"/>
      <c r="O43" s="73"/>
      <c r="P43" s="73"/>
      <c r="Q43" s="121">
        <f>IFERROR(__xludf.DUMMYFUNCTION("""COMPUTED_VALUE"""),99.0)</f>
        <v>99</v>
      </c>
      <c r="R43" s="82"/>
      <c r="S43" s="73"/>
      <c r="T43" s="73"/>
      <c r="U43" s="73"/>
      <c r="V43" s="73"/>
      <c r="W43" s="73"/>
      <c r="X43" s="73"/>
      <c r="Y43" s="77"/>
      <c r="Z43" s="104"/>
      <c r="AA43" s="73"/>
      <c r="AB43" s="104"/>
      <c r="AC43" s="104"/>
      <c r="AD43" s="74"/>
      <c r="AE43" s="114"/>
      <c r="AF43" s="195"/>
      <c r="AG43" s="80"/>
      <c r="AH43" s="104"/>
      <c r="AI43" s="73"/>
      <c r="AJ43" s="114"/>
      <c r="AK43" s="106"/>
      <c r="AL43" s="74"/>
      <c r="AM43" s="73"/>
      <c r="AN43" s="73"/>
      <c r="AO43" s="102"/>
      <c r="AP43" s="86" t="str">
        <f>IFERROR(__xludf.DUMMYFUNCTION("""COMPUTED_VALUE"""),"Coins / Kill")</f>
        <v>Coins / Kill</v>
      </c>
      <c r="AQ43" s="174">
        <f>IFERROR(__xludf.DUMMYFUNCTION("""COMPUTED_VALUE"""),0.0)</f>
        <v>0</v>
      </c>
      <c r="AR43" s="74"/>
      <c r="AS43" s="73"/>
      <c r="AT43" s="73"/>
      <c r="AU43" s="73"/>
      <c r="AV43" s="114"/>
      <c r="AW43" s="114"/>
      <c r="AX43" s="74"/>
      <c r="AY43" s="73"/>
      <c r="AZ43" s="73"/>
      <c r="BA43" s="74"/>
      <c r="BB43" s="73"/>
      <c r="BC43" s="73"/>
      <c r="BD43" s="73"/>
      <c r="BE43" s="73"/>
      <c r="BF43" s="73"/>
      <c r="BG43" s="73"/>
      <c r="BH43" s="73"/>
      <c r="BI43" s="73"/>
      <c r="BJ43" s="129"/>
      <c r="BK43" s="73"/>
      <c r="BL43" s="73"/>
      <c r="BM43" s="73"/>
      <c r="BN43" s="73"/>
      <c r="BO43" s="129"/>
      <c r="BP43" s="73"/>
      <c r="BQ43" s="73"/>
      <c r="BR43" s="73"/>
      <c r="BS43" s="73"/>
      <c r="BT43" s="130"/>
      <c r="BU43" s="73"/>
      <c r="BV43" s="73"/>
      <c r="BW43" s="73"/>
      <c r="BX43" s="73"/>
      <c r="BY43" s="73"/>
      <c r="BZ43" s="73"/>
      <c r="CA43" s="73"/>
      <c r="CB43" s="73"/>
      <c r="CC43" s="73"/>
      <c r="CD43" s="73"/>
      <c r="CE43" s="73"/>
    </row>
    <row r="44">
      <c r="A44" s="86" t="str">
        <f>IFERROR(__xludf.DUMMYFUNCTION("""COMPUTED_VALUE"""),"Cash Bonus")</f>
        <v>Cash Bonus</v>
      </c>
      <c r="B44" s="87">
        <f>IFERROR(__xludf.DUMMYFUNCTION("""COMPUTED_VALUE"""),33.0)</f>
        <v>33</v>
      </c>
      <c r="C44" s="73"/>
      <c r="D44" s="88">
        <f>IFERROR(__xludf.DUMMYFUNCTION("""COMPUTED_VALUE"""),99.0)</f>
        <v>99</v>
      </c>
      <c r="E44" s="73"/>
      <c r="F44" s="86" t="str">
        <f>IFERROR(__xludf.DUMMYFUNCTION("""COMPUTED_VALUE"""),"Free Defense Upgrade")</f>
        <v>Free Defense Upgrade</v>
      </c>
      <c r="G44" s="87">
        <f>IFERROR(__xludf.DUMMYFUNCTION("""COMPUTED_VALUE"""),99.0)</f>
        <v>99</v>
      </c>
      <c r="H44" s="73">
        <f>IFERROR(__xludf.DUMMYFUNCTION("""COMPUTED_VALUE"""),99.0)</f>
        <v>99</v>
      </c>
      <c r="I44" s="73">
        <f>IFERROR(__xludf.DUMMYFUNCTION("""COMPUTED_VALUE"""),99.0)</f>
        <v>99</v>
      </c>
      <c r="J44" s="73">
        <f>IFERROR(__xludf.DUMMYFUNCTION("""COMPUTED_VALUE"""),99.0)</f>
        <v>99</v>
      </c>
      <c r="K44" s="92"/>
      <c r="L44" s="73"/>
      <c r="M44" s="73"/>
      <c r="N44" s="73"/>
      <c r="O44" s="73"/>
      <c r="P44" s="73"/>
      <c r="Q44" s="121">
        <f>IFERROR(__xludf.DUMMYFUNCTION("""COMPUTED_VALUE"""),99.0)</f>
        <v>99</v>
      </c>
      <c r="R44" s="82"/>
      <c r="S44" s="73"/>
      <c r="T44" s="73"/>
      <c r="U44" s="73"/>
      <c r="V44" s="73"/>
      <c r="W44" s="73"/>
      <c r="X44" s="73"/>
      <c r="Y44" s="77"/>
      <c r="Z44" s="104"/>
      <c r="AA44" s="73"/>
      <c r="AB44" s="104"/>
      <c r="AC44" s="104"/>
      <c r="AD44" s="74"/>
      <c r="AE44" s="114"/>
      <c r="AF44" s="195"/>
      <c r="AG44" s="80"/>
      <c r="AH44" s="104"/>
      <c r="AI44" s="73"/>
      <c r="AJ44" s="114"/>
      <c r="AK44" s="106"/>
      <c r="AL44" s="74"/>
      <c r="AM44" s="73"/>
      <c r="AN44" s="73"/>
      <c r="AO44" s="102"/>
      <c r="AP44" s="86" t="str">
        <f>IFERROR(__xludf.DUMMYFUNCTION("""COMPUTED_VALUE"""),"Coins / Wave")</f>
        <v>Coins / Wave</v>
      </c>
      <c r="AQ44" s="174">
        <f>IFERROR(__xludf.DUMMYFUNCTION("""COMPUTED_VALUE"""),0.0)</f>
        <v>0</v>
      </c>
      <c r="AR44" s="74"/>
      <c r="AS44" s="73"/>
      <c r="AT44" s="73"/>
      <c r="AU44" s="73"/>
      <c r="AV44" s="114"/>
      <c r="AW44" s="114"/>
      <c r="AX44" s="74"/>
      <c r="AY44" s="73"/>
      <c r="AZ44" s="73"/>
      <c r="BA44" s="74"/>
      <c r="BB44" s="73" t="str">
        <f>IFERROR(__xludf.DUMMYFUNCTION("""COMPUTED_VALUE"""),"Attack Speed")</f>
        <v>Attack Speed</v>
      </c>
      <c r="BC44" s="73" t="str">
        <f>IFERROR(__xludf.DUMMYFUNCTION("""COMPUTED_VALUE"""),"Mythic")</f>
        <v>Mythic</v>
      </c>
      <c r="BD44" s="73" t="str">
        <f>IFERROR(__xludf.DUMMYFUNCTION("""COMPUTED_VALUE"""),"+3")</f>
        <v>+3</v>
      </c>
      <c r="BE44" s="107">
        <f>IFERROR(__xludf.DUMMYFUNCTION("""COMPUTED_VALUE"""),3.0)</f>
        <v>3</v>
      </c>
      <c r="BF44" s="73"/>
      <c r="BG44" s="73"/>
      <c r="BH44" s="73"/>
      <c r="BI44" s="73"/>
      <c r="BJ44" s="73" t="str">
        <f>IFERROR(__xludf.DUMMYFUNCTION("""COMPUTED_VALUE"""),"")</f>
        <v/>
      </c>
      <c r="BK44" s="73"/>
      <c r="BL44" s="73" t="str">
        <f>IFERROR(__xludf.DUMMYFUNCTION("""COMPUTED_VALUE"""),"Package Chance")</f>
        <v>Package Chance</v>
      </c>
      <c r="BM44" s="73" t="str">
        <f>IFERROR(__xludf.DUMMYFUNCTION("""COMPUTED_VALUE"""),"Legendary")</f>
        <v>Legendary</v>
      </c>
      <c r="BN44" s="73" t="str">
        <f>IFERROR(__xludf.DUMMYFUNCTION("""COMPUTED_VALUE"""),"+8%")</f>
        <v>+8%</v>
      </c>
      <c r="BO44" s="107">
        <f>IFERROR(__xludf.DUMMYFUNCTION("""COMPUTED_VALUE"""),0.08)</f>
        <v>0.08</v>
      </c>
      <c r="BP44" s="73"/>
      <c r="BQ44" s="73" t="str">
        <f>IFERROR(__xludf.DUMMYFUNCTION("""COMPUTED_VALUE"""),"Chain Lightning - Chance")</f>
        <v>Chain Lightning - Chance</v>
      </c>
      <c r="BR44" s="73" t="str">
        <f>IFERROR(__xludf.DUMMYFUNCTION("""COMPUTED_VALUE"""),"Mythic")</f>
        <v>Mythic</v>
      </c>
      <c r="BS44" s="73" t="str">
        <f>IFERROR(__xludf.DUMMYFUNCTION("""COMPUTED_VALUE"""),"+12%")</f>
        <v>+12%</v>
      </c>
      <c r="BT44" s="193">
        <f>IFERROR(__xludf.DUMMYFUNCTION("""COMPUTED_VALUE"""),0.12)</f>
        <v>0.12</v>
      </c>
      <c r="BU44" s="73"/>
      <c r="BV44" s="73"/>
      <c r="BW44" s="73"/>
      <c r="BX44" s="73"/>
      <c r="BY44" s="73"/>
      <c r="BZ44" s="73"/>
      <c r="CA44" s="73"/>
      <c r="CB44" s="73"/>
      <c r="CC44" s="73"/>
      <c r="CD44" s="73"/>
      <c r="CE44" s="73"/>
    </row>
    <row r="45">
      <c r="A45" s="86" t="str">
        <f>IFERROR(__xludf.DUMMYFUNCTION("""COMPUTED_VALUE"""),"Cash / Wave")</f>
        <v>Cash / Wave</v>
      </c>
      <c r="B45" s="87">
        <f>IFERROR(__xludf.DUMMYFUNCTION("""COMPUTED_VALUE"""),8.0)</f>
        <v>8</v>
      </c>
      <c r="C45" s="73"/>
      <c r="D45" s="88">
        <f>IFERROR(__xludf.DUMMYFUNCTION("""COMPUTED_VALUE"""),99.0)</f>
        <v>99</v>
      </c>
      <c r="E45" s="73"/>
      <c r="F45" s="86" t="str">
        <f>IFERROR(__xludf.DUMMYFUNCTION("""COMPUTED_VALUE"""),"Free Utility Upgrade")</f>
        <v>Free Utility Upgrade</v>
      </c>
      <c r="G45" s="87">
        <f>IFERROR(__xludf.DUMMYFUNCTION("""COMPUTED_VALUE"""),99.0)</f>
        <v>99</v>
      </c>
      <c r="H45" s="73">
        <f>IFERROR(__xludf.DUMMYFUNCTION("""COMPUTED_VALUE"""),99.0)</f>
        <v>99</v>
      </c>
      <c r="I45" s="73">
        <f>IFERROR(__xludf.DUMMYFUNCTION("""COMPUTED_VALUE"""),99.0)</f>
        <v>99</v>
      </c>
      <c r="J45" s="73">
        <f>IFERROR(__xludf.DUMMYFUNCTION("""COMPUTED_VALUE"""),99.0)</f>
        <v>99</v>
      </c>
      <c r="K45" s="92"/>
      <c r="L45" s="73"/>
      <c r="M45" s="73"/>
      <c r="N45" s="73"/>
      <c r="O45" s="73"/>
      <c r="P45" s="73"/>
      <c r="Q45" s="121">
        <f>IFERROR(__xludf.DUMMYFUNCTION("""COMPUTED_VALUE"""),99.0)</f>
        <v>99</v>
      </c>
      <c r="R45" s="82"/>
      <c r="S45" s="73"/>
      <c r="T45" s="73"/>
      <c r="U45" s="73"/>
      <c r="V45" s="73"/>
      <c r="W45" s="73"/>
      <c r="X45" s="73"/>
      <c r="Y45" s="77"/>
      <c r="Z45" s="104"/>
      <c r="AA45" s="73"/>
      <c r="AB45" s="104"/>
      <c r="AC45" s="104"/>
      <c r="AD45" s="74"/>
      <c r="AE45" s="114"/>
      <c r="AF45" s="195"/>
      <c r="AG45" s="80"/>
      <c r="AH45" s="104"/>
      <c r="AI45" s="73"/>
      <c r="AJ45" s="114"/>
      <c r="AK45" s="106"/>
      <c r="AL45" s="74"/>
      <c r="AM45" s="73"/>
      <c r="AN45" s="73"/>
      <c r="AO45" s="102"/>
      <c r="AP45" s="86" t="str">
        <f>IFERROR(__xludf.DUMMYFUNCTION("""COMPUTED_VALUE"""),"Free Attack Upgrade")</f>
        <v>Free Attack Upgrade</v>
      </c>
      <c r="AQ45" s="174">
        <f>IFERROR(__xludf.DUMMYFUNCTION("""COMPUTED_VALUE"""),0.0)</f>
        <v>0</v>
      </c>
      <c r="AR45" s="74"/>
      <c r="AS45" s="73"/>
      <c r="AT45" s="73"/>
      <c r="AU45" s="73"/>
      <c r="AV45" s="114"/>
      <c r="AW45" s="114"/>
      <c r="AX45" s="74"/>
      <c r="AY45" s="73"/>
      <c r="AZ45" s="73"/>
      <c r="BA45" s="74"/>
      <c r="BB45" s="73" t="str">
        <f>IFERROR(__xludf.DUMMYFUNCTION("""COMPUTED_VALUE"""),"Multishot Targets")</f>
        <v>Multishot Targets</v>
      </c>
      <c r="BC45" s="73" t="str">
        <f>IFERROR(__xludf.DUMMYFUNCTION("""COMPUTED_VALUE"""),"Mythic")</f>
        <v>Mythic</v>
      </c>
      <c r="BD45" s="73" t="str">
        <f>IFERROR(__xludf.DUMMYFUNCTION("""COMPUTED_VALUE"""),"+3")</f>
        <v>+3</v>
      </c>
      <c r="BE45" s="107">
        <f>IFERROR(__xludf.DUMMYFUNCTION("""COMPUTED_VALUE"""),3.0)</f>
        <v>3</v>
      </c>
      <c r="BF45" s="73"/>
      <c r="BG45" s="73"/>
      <c r="BH45" s="73"/>
      <c r="BI45" s="73"/>
      <c r="BJ45" s="73" t="str">
        <f>IFERROR(__xludf.DUMMYFUNCTION("""COMPUTED_VALUE"""),"")</f>
        <v/>
      </c>
      <c r="BK45" s="73"/>
      <c r="BL45" s="73" t="str">
        <f>IFERROR(__xludf.DUMMYFUNCTION("""COMPUTED_VALUE"""),"Enemy Attack Level Skip")</f>
        <v>Enemy Attack Level Skip</v>
      </c>
      <c r="BM45" s="73" t="str">
        <f>IFERROR(__xludf.DUMMYFUNCTION("""COMPUTED_VALUE"""),"Legendary")</f>
        <v>Legendary</v>
      </c>
      <c r="BN45" s="73" t="str">
        <f>IFERROR(__xludf.DUMMYFUNCTION("""COMPUTED_VALUE"""),"+4%")</f>
        <v>+4%</v>
      </c>
      <c r="BO45" s="107">
        <f>IFERROR(__xludf.DUMMYFUNCTION("""COMPUTED_VALUE"""),0.04)</f>
        <v>0.04</v>
      </c>
      <c r="BP45" s="73"/>
      <c r="BQ45" s="73" t="str">
        <f>IFERROR(__xludf.DUMMYFUNCTION("""COMPUTED_VALUE"""),"Spotlight - Angle")</f>
        <v>Spotlight - Angle</v>
      </c>
      <c r="BR45" s="73" t="str">
        <f>IFERROR(__xludf.DUMMYFUNCTION("""COMPUTED_VALUE"""),"Mythic")</f>
        <v>Mythic</v>
      </c>
      <c r="BS45" s="73" t="str">
        <f>IFERROR(__xludf.DUMMYFUNCTION("""COMPUTED_VALUE"""),"+11°")</f>
        <v>+11°</v>
      </c>
      <c r="BT45" s="193">
        <f>IFERROR(__xludf.DUMMYFUNCTION("""COMPUTED_VALUE"""),11.0)</f>
        <v>11</v>
      </c>
      <c r="BU45" s="73"/>
      <c r="BV45" s="73"/>
      <c r="BW45" s="73"/>
      <c r="BX45" s="73"/>
      <c r="BY45" s="73"/>
      <c r="BZ45" s="73"/>
      <c r="CA45" s="73"/>
      <c r="CB45" s="73"/>
      <c r="CC45" s="73"/>
      <c r="CD45" s="73"/>
      <c r="CE45" s="73"/>
    </row>
    <row r="46">
      <c r="A46" s="86" t="str">
        <f>IFERROR(__xludf.DUMMYFUNCTION("""COMPUTED_VALUE"""),"Coins / Kill Bonus")</f>
        <v>Coins / Kill Bonus</v>
      </c>
      <c r="B46" s="87">
        <f>IFERROR(__xludf.DUMMYFUNCTION("""COMPUTED_VALUE"""),87.0)</f>
        <v>87</v>
      </c>
      <c r="C46" s="73"/>
      <c r="D46" s="88">
        <f>IFERROR(__xludf.DUMMYFUNCTION("""COMPUTED_VALUE"""),99.0)</f>
        <v>99</v>
      </c>
      <c r="E46" s="108" t="b">
        <f>IFERROR(__xludf.DUMMYFUNCTION("""COMPUTED_VALUE"""),TRUE)</f>
        <v>1</v>
      </c>
      <c r="F46" s="86" t="str">
        <f>IFERROR(__xludf.DUMMYFUNCTION("""COMPUTED_VALUE"""),"Interest / Wave")</f>
        <v>Interest / Wave</v>
      </c>
      <c r="G46" s="87">
        <f>IFERROR(__xludf.DUMMYFUNCTION("""COMPUTED_VALUE"""),99.0)</f>
        <v>99</v>
      </c>
      <c r="H46" s="73">
        <f>IFERROR(__xludf.DUMMYFUNCTION("""COMPUTED_VALUE"""),99.0)</f>
        <v>99</v>
      </c>
      <c r="I46" s="73">
        <f>IFERROR(__xludf.DUMMYFUNCTION("""COMPUTED_VALUE"""),99.0)</f>
        <v>99</v>
      </c>
      <c r="J46" s="73">
        <f>IFERROR(__xludf.DUMMYFUNCTION("""COMPUTED_VALUE"""),99.0)</f>
        <v>99</v>
      </c>
      <c r="K46" s="92"/>
      <c r="L46" s="73"/>
      <c r="M46" s="73"/>
      <c r="N46" s="73"/>
      <c r="O46" s="73"/>
      <c r="P46" s="73"/>
      <c r="Q46" s="121">
        <f>IFERROR(__xludf.DUMMYFUNCTION("""COMPUTED_VALUE"""),99.0)</f>
        <v>99</v>
      </c>
      <c r="R46" s="82"/>
      <c r="S46" s="73"/>
      <c r="T46" s="73"/>
      <c r="U46" s="73"/>
      <c r="V46" s="73"/>
      <c r="W46" s="73"/>
      <c r="X46" s="73"/>
      <c r="Y46" s="77"/>
      <c r="Z46" s="104"/>
      <c r="AA46" s="73"/>
      <c r="AB46" s="104"/>
      <c r="AC46" s="104"/>
      <c r="AD46" s="74"/>
      <c r="AE46" s="114"/>
      <c r="AF46" s="195"/>
      <c r="AG46" s="80"/>
      <c r="AH46" s="104"/>
      <c r="AI46" s="73"/>
      <c r="AJ46" s="114"/>
      <c r="AK46" s="106"/>
      <c r="AL46" s="74"/>
      <c r="AM46" s="73"/>
      <c r="AN46" s="73"/>
      <c r="AO46" s="102"/>
      <c r="AP46" s="86" t="str">
        <f>IFERROR(__xludf.DUMMYFUNCTION("""COMPUTED_VALUE"""),"Free Defense Upgrade")</f>
        <v>Free Defense Upgrade</v>
      </c>
      <c r="AQ46" s="174">
        <f>IFERROR(__xludf.DUMMYFUNCTION("""COMPUTED_VALUE"""),0.0)</f>
        <v>0</v>
      </c>
      <c r="AR46" s="74"/>
      <c r="AS46" s="73"/>
      <c r="AT46" s="73"/>
      <c r="AU46" s="73"/>
      <c r="AV46" s="114"/>
      <c r="AW46" s="114"/>
      <c r="AX46" s="74"/>
      <c r="AY46" s="73"/>
      <c r="AZ46" s="73"/>
      <c r="BA46" s="74"/>
      <c r="BB46" s="73" t="str">
        <f>IFERROR(__xludf.DUMMYFUNCTION("""COMPUTED_VALUE"""),"Critical Factor")</f>
        <v>Critical Factor</v>
      </c>
      <c r="BC46" s="73" t="str">
        <f>IFERROR(__xludf.DUMMYFUNCTION("""COMPUTED_VALUE"""),"Mythic")</f>
        <v>Mythic</v>
      </c>
      <c r="BD46" s="73" t="str">
        <f>IFERROR(__xludf.DUMMYFUNCTION("""COMPUTED_VALUE"""),"+12x")</f>
        <v>+12x</v>
      </c>
      <c r="BE46" s="73">
        <f>IFERROR(__xludf.DUMMYFUNCTION("""COMPUTED_VALUE"""),12.0)</f>
        <v>12</v>
      </c>
      <c r="BF46" s="73"/>
      <c r="BG46" s="73"/>
      <c r="BH46" s="73"/>
      <c r="BI46" s="73"/>
      <c r="BJ46" s="73" t="str">
        <f>IFERROR(__xludf.DUMMYFUNCTION("""COMPUTED_VALUE"""),"")</f>
        <v/>
      </c>
      <c r="BK46" s="73"/>
      <c r="BL46" s="73" t="str">
        <f>IFERROR(__xludf.DUMMYFUNCTION("""COMPUTED_VALUE"""),"Free Utility Upgrade")</f>
        <v>Free Utility Upgrade</v>
      </c>
      <c r="BM46" s="73" t="str">
        <f>IFERROR(__xludf.DUMMYFUNCTION("""COMPUTED_VALUE"""),"Legendary")</f>
        <v>Legendary</v>
      </c>
      <c r="BN46" s="73" t="str">
        <f>IFERROR(__xludf.DUMMYFUNCTION("""COMPUTED_VALUE"""),"+8%")</f>
        <v>+8%</v>
      </c>
      <c r="BO46" s="107">
        <f>IFERROR(__xludf.DUMMYFUNCTION("""COMPUTED_VALUE"""),0.08)</f>
        <v>0.08</v>
      </c>
      <c r="BP46" s="73"/>
      <c r="BQ46" s="73" t="str">
        <f>IFERROR(__xludf.DUMMYFUNCTION("""COMPUTED_VALUE"""),"Spotlight - Bonus")</f>
        <v>Spotlight - Bonus</v>
      </c>
      <c r="BR46" s="73" t="str">
        <f>IFERROR(__xludf.DUMMYFUNCTION("""COMPUTED_VALUE"""),"Mythic")</f>
        <v>Mythic</v>
      </c>
      <c r="BS46" s="73" t="str">
        <f>IFERROR(__xludf.DUMMYFUNCTION("""COMPUTED_VALUE"""),"+15x")</f>
        <v>+15x</v>
      </c>
      <c r="BT46" s="193">
        <f>IFERROR(__xludf.DUMMYFUNCTION("""COMPUTED_VALUE"""),15.0)</f>
        <v>15</v>
      </c>
      <c r="BU46" s="73"/>
      <c r="BV46" s="73"/>
      <c r="BW46" s="73"/>
      <c r="BX46" s="73"/>
      <c r="BY46" s="73"/>
      <c r="BZ46" s="73"/>
      <c r="CA46" s="73"/>
      <c r="CB46" s="73"/>
      <c r="CC46" s="73"/>
      <c r="CD46" s="73"/>
      <c r="CE46" s="73"/>
    </row>
    <row r="47">
      <c r="A47" s="86" t="str">
        <f>IFERROR(__xludf.DUMMYFUNCTION("""COMPUTED_VALUE"""),"Coins / Wave")</f>
        <v>Coins / Wave</v>
      </c>
      <c r="B47" s="87">
        <f>IFERROR(__xludf.DUMMYFUNCTION("""COMPUTED_VALUE"""),6.0)</f>
        <v>6</v>
      </c>
      <c r="C47" s="73"/>
      <c r="D47" s="88">
        <f>IFERROR(__xludf.DUMMYFUNCTION("""COMPUTED_VALUE"""),99.0)</f>
        <v>99</v>
      </c>
      <c r="E47" s="108" t="b">
        <f>IFERROR(__xludf.DUMMYFUNCTION("""COMPUTED_VALUE"""),TRUE)</f>
        <v>1</v>
      </c>
      <c r="F47" s="86" t="str">
        <f>IFERROR(__xludf.DUMMYFUNCTION("""COMPUTED_VALUE"""),"Recovery Amount")</f>
        <v>Recovery Amount</v>
      </c>
      <c r="G47" s="87">
        <f>IFERROR(__xludf.DUMMYFUNCTION("""COMPUTED_VALUE"""),300.0)</f>
        <v>300</v>
      </c>
      <c r="H47" s="73">
        <f>IFERROR(__xludf.DUMMYFUNCTION("""COMPUTED_VALUE"""),300.0)</f>
        <v>300</v>
      </c>
      <c r="I47" s="73">
        <f>IFERROR(__xludf.DUMMYFUNCTION("""COMPUTED_VALUE"""),300.0)</f>
        <v>300</v>
      </c>
      <c r="J47" s="73">
        <f>IFERROR(__xludf.DUMMYFUNCTION("""COMPUTED_VALUE"""),300.0)</f>
        <v>300</v>
      </c>
      <c r="K47" s="92"/>
      <c r="L47" s="73"/>
      <c r="M47" s="73"/>
      <c r="N47" s="73"/>
      <c r="O47" s="73"/>
      <c r="P47" s="73"/>
      <c r="Q47" s="121">
        <f>IFERROR(__xludf.DUMMYFUNCTION("""COMPUTED_VALUE"""),300.0)</f>
        <v>300</v>
      </c>
      <c r="R47" s="82"/>
      <c r="S47" s="73"/>
      <c r="T47" s="73"/>
      <c r="U47" s="73"/>
      <c r="V47" s="73"/>
      <c r="W47" s="73"/>
      <c r="X47" s="73"/>
      <c r="Y47" s="77"/>
      <c r="Z47" s="104"/>
      <c r="AA47" s="73"/>
      <c r="AB47" s="104"/>
      <c r="AC47" s="104"/>
      <c r="AD47" s="74"/>
      <c r="AE47" s="114"/>
      <c r="AF47" s="195"/>
      <c r="AG47" s="80"/>
      <c r="AH47" s="104"/>
      <c r="AI47" s="73"/>
      <c r="AJ47" s="114"/>
      <c r="AK47" s="106"/>
      <c r="AL47" s="74"/>
      <c r="AM47" s="73"/>
      <c r="AN47" s="73"/>
      <c r="AO47" s="102"/>
      <c r="AP47" s="86" t="str">
        <f>IFERROR(__xludf.DUMMYFUNCTION("""COMPUTED_VALUE"""),"Free Utility Upgrade")</f>
        <v>Free Utility Upgrade</v>
      </c>
      <c r="AQ47" s="174">
        <f>IFERROR(__xludf.DUMMYFUNCTION("""COMPUTED_VALUE"""),0.0)</f>
        <v>0</v>
      </c>
      <c r="AR47" s="74"/>
      <c r="AS47" s="73"/>
      <c r="AT47" s="73"/>
      <c r="AU47" s="73"/>
      <c r="AV47" s="114"/>
      <c r="AW47" s="114"/>
      <c r="AX47" s="74"/>
      <c r="AY47" s="73"/>
      <c r="AZ47" s="73"/>
      <c r="BA47" s="74"/>
      <c r="BB47" s="73" t="str">
        <f>IFERROR(__xludf.DUMMYFUNCTION("""COMPUTED_VALUE"""),"Bounce Shot Chance")</f>
        <v>Bounce Shot Chance</v>
      </c>
      <c r="BC47" s="73" t="str">
        <f>IFERROR(__xludf.DUMMYFUNCTION("""COMPUTED_VALUE"""),"Mythic")</f>
        <v>Mythic</v>
      </c>
      <c r="BD47" s="73" t="str">
        <f>IFERROR(__xludf.DUMMYFUNCTION("""COMPUTED_VALUE"""),"+9%")</f>
        <v>+9%</v>
      </c>
      <c r="BE47" s="73">
        <f>IFERROR(__xludf.DUMMYFUNCTION("""COMPUTED_VALUE"""),0.09)</f>
        <v>0.09</v>
      </c>
      <c r="BF47" s="73"/>
      <c r="BG47" s="73"/>
      <c r="BH47" s="73"/>
      <c r="BI47" s="73"/>
      <c r="BJ47" s="73" t="str">
        <f>IFERROR(__xludf.DUMMYFUNCTION("""COMPUTED_VALUE"""),"")</f>
        <v/>
      </c>
      <c r="BK47" s="73"/>
      <c r="BL47" s="73"/>
      <c r="BM47" s="73"/>
      <c r="BN47" s="73"/>
      <c r="BO47" s="107" t="str">
        <f>IFERROR(__xludf.DUMMYFUNCTION("""COMPUTED_VALUE"""),"")</f>
        <v/>
      </c>
      <c r="BP47" s="73"/>
      <c r="BQ47" s="73" t="str">
        <f>IFERROR(__xludf.DUMMYFUNCTION("""COMPUTED_VALUE"""),"Chain Lightning - Quantity")</f>
        <v>Chain Lightning - Quantity</v>
      </c>
      <c r="BR47" s="73" t="str">
        <f>IFERROR(__xludf.DUMMYFUNCTION("""COMPUTED_VALUE"""),"Mythic")</f>
        <v>Mythic</v>
      </c>
      <c r="BS47" s="73" t="str">
        <f>IFERROR(__xludf.DUMMYFUNCTION("""COMPUTED_VALUE"""),"+3")</f>
        <v>+3</v>
      </c>
      <c r="BT47" s="193">
        <f>IFERROR(__xludf.DUMMYFUNCTION("""COMPUTED_VALUE"""),3.0)</f>
        <v>3</v>
      </c>
      <c r="BU47" s="73"/>
      <c r="BV47" s="73"/>
      <c r="BW47" s="73"/>
      <c r="BX47" s="73"/>
      <c r="BY47" s="73"/>
      <c r="BZ47" s="73"/>
      <c r="CA47" s="73"/>
      <c r="CB47" s="73"/>
      <c r="CC47" s="73"/>
      <c r="CD47" s="73"/>
      <c r="CE47" s="73"/>
    </row>
    <row r="48">
      <c r="A48" s="86" t="str">
        <f>IFERROR(__xludf.DUMMYFUNCTION("""COMPUTED_VALUE"""),"Interest")</f>
        <v>Interest</v>
      </c>
      <c r="B48" s="87">
        <f>IFERROR(__xludf.DUMMYFUNCTION("""COMPUTED_VALUE"""),11.0)</f>
        <v>11</v>
      </c>
      <c r="C48" s="73"/>
      <c r="D48" s="88">
        <f>IFERROR(__xludf.DUMMYFUNCTION("""COMPUTED_VALUE"""),99.0)</f>
        <v>99</v>
      </c>
      <c r="E48" s="73"/>
      <c r="F48" s="86" t="str">
        <f>IFERROR(__xludf.DUMMYFUNCTION("""COMPUTED_VALUE"""),"Max Amount")</f>
        <v>Max Amount</v>
      </c>
      <c r="G48" s="87">
        <f>IFERROR(__xludf.DUMMYFUNCTION("""COMPUTED_VALUE"""),300.0)</f>
        <v>300</v>
      </c>
      <c r="H48" s="73">
        <f>IFERROR(__xludf.DUMMYFUNCTION("""COMPUTED_VALUE"""),500.0)</f>
        <v>500</v>
      </c>
      <c r="I48" s="73">
        <f>IFERROR(__xludf.DUMMYFUNCTION("""COMPUTED_VALUE"""),300.0)</f>
        <v>300</v>
      </c>
      <c r="J48" s="73">
        <f>IFERROR(__xludf.DUMMYFUNCTION("""COMPUTED_VALUE"""),500.0)</f>
        <v>500</v>
      </c>
      <c r="K48" s="92"/>
      <c r="L48" s="73"/>
      <c r="M48" s="73"/>
      <c r="N48" s="73"/>
      <c r="O48" s="73"/>
      <c r="P48" s="73"/>
      <c r="Q48" s="121">
        <f>IFERROR(__xludf.DUMMYFUNCTION("""COMPUTED_VALUE"""),500.0)</f>
        <v>500</v>
      </c>
      <c r="R48" s="82"/>
      <c r="S48" s="73"/>
      <c r="T48" s="73"/>
      <c r="U48" s="73"/>
      <c r="V48" s="73"/>
      <c r="W48" s="73"/>
      <c r="X48" s="73"/>
      <c r="Y48" s="77"/>
      <c r="Z48" s="104"/>
      <c r="AA48" s="73"/>
      <c r="AB48" s="104"/>
      <c r="AC48" s="104"/>
      <c r="AD48" s="74"/>
      <c r="AE48" s="114"/>
      <c r="AF48" s="195"/>
      <c r="AG48" s="80"/>
      <c r="AH48" s="104"/>
      <c r="AI48" s="73"/>
      <c r="AJ48" s="114"/>
      <c r="AK48" s="106"/>
      <c r="AL48" s="74"/>
      <c r="AM48" s="73"/>
      <c r="AN48" s="73"/>
      <c r="AO48" s="102"/>
      <c r="AP48" s="86" t="str">
        <f>IFERROR(__xludf.DUMMYFUNCTION("""COMPUTED_VALUE"""),"Interest / Wave")</f>
        <v>Interest / Wave</v>
      </c>
      <c r="AQ48" s="174">
        <f>IFERROR(__xludf.DUMMYFUNCTION("""COMPUTED_VALUE"""),0.0)</f>
        <v>0</v>
      </c>
      <c r="AR48" s="74"/>
      <c r="AS48" s="73"/>
      <c r="AT48" s="73"/>
      <c r="AU48" s="73"/>
      <c r="AV48" s="114"/>
      <c r="AW48" s="114"/>
      <c r="AX48" s="74"/>
      <c r="AY48" s="73"/>
      <c r="AZ48" s="73"/>
      <c r="BA48" s="74"/>
      <c r="BB48" s="73"/>
      <c r="BC48" s="73"/>
      <c r="BD48" s="73"/>
      <c r="BE48" s="73" t="str">
        <f>IFERROR(__xludf.DUMMYFUNCTION("""COMPUTED_VALUE"""),"")</f>
        <v/>
      </c>
      <c r="BF48" s="73"/>
      <c r="BG48" s="73"/>
      <c r="BH48" s="73"/>
      <c r="BI48" s="73"/>
      <c r="BJ48" s="73" t="str">
        <f>IFERROR(__xludf.DUMMYFUNCTION("""COMPUTED_VALUE"""),"")</f>
        <v/>
      </c>
      <c r="BK48" s="73"/>
      <c r="BL48" s="73"/>
      <c r="BM48" s="73"/>
      <c r="BN48" s="73"/>
      <c r="BO48" s="73" t="str">
        <f>IFERROR(__xludf.DUMMYFUNCTION("""COMPUTED_VALUE"""),"")</f>
        <v/>
      </c>
      <c r="BP48" s="73"/>
      <c r="BQ48" s="73" t="str">
        <f>IFERROR(__xludf.DUMMYFUNCTION("""COMPUTED_VALUE"""),"Chain Lightning - Damage")</f>
        <v>Chain Lightning - Damage</v>
      </c>
      <c r="BR48" s="73" t="str">
        <f>IFERROR(__xludf.DUMMYFUNCTION("""COMPUTED_VALUE"""),"Legendary")</f>
        <v>Legendary</v>
      </c>
      <c r="BS48" s="73" t="str">
        <f>IFERROR(__xludf.DUMMYFUNCTION("""COMPUTED_VALUE"""),"+50x")</f>
        <v>+50x</v>
      </c>
      <c r="BT48" s="74">
        <f>IFERROR(__xludf.DUMMYFUNCTION("""COMPUTED_VALUE"""),50.0)</f>
        <v>50</v>
      </c>
      <c r="BU48" s="73"/>
      <c r="BV48" s="73"/>
      <c r="BW48" s="73"/>
      <c r="BX48" s="73"/>
      <c r="BY48" s="73"/>
      <c r="BZ48" s="73"/>
      <c r="CA48" s="73"/>
      <c r="CB48" s="73"/>
      <c r="CC48" s="73"/>
      <c r="CD48" s="73"/>
      <c r="CE48" s="73"/>
    </row>
    <row r="49">
      <c r="A49" s="86" t="str">
        <f>IFERROR(__xludf.DUMMYFUNCTION("""COMPUTED_VALUE"""),"Max Interest")</f>
        <v>Max Interest</v>
      </c>
      <c r="B49" s="87">
        <f>IFERROR(__xludf.DUMMYFUNCTION("""COMPUTED_VALUE"""),8.0)</f>
        <v>8</v>
      </c>
      <c r="C49" s="73"/>
      <c r="D49" s="88">
        <f>IFERROR(__xludf.DUMMYFUNCTION("""COMPUTED_VALUE"""),15.0)</f>
        <v>15</v>
      </c>
      <c r="E49" s="73"/>
      <c r="F49" s="86" t="str">
        <f>IFERROR(__xludf.DUMMYFUNCTION("""COMPUTED_VALUE"""),"Package Chance")</f>
        <v>Package Chance</v>
      </c>
      <c r="G49" s="87">
        <f>IFERROR(__xludf.DUMMYFUNCTION("""COMPUTED_VALUE"""),60.0)</f>
        <v>60</v>
      </c>
      <c r="H49" s="73">
        <f>IFERROR(__xludf.DUMMYFUNCTION("""COMPUTED_VALUE"""),60.0)</f>
        <v>60</v>
      </c>
      <c r="I49" s="73">
        <f>IFERROR(__xludf.DUMMYFUNCTION("""COMPUTED_VALUE"""),60.0)</f>
        <v>60</v>
      </c>
      <c r="J49" s="73">
        <f>IFERROR(__xludf.DUMMYFUNCTION("""COMPUTED_VALUE"""),60.0)</f>
        <v>60</v>
      </c>
      <c r="K49" s="92"/>
      <c r="L49" s="73"/>
      <c r="M49" s="73"/>
      <c r="N49" s="73"/>
      <c r="O49" s="73"/>
      <c r="P49" s="73"/>
      <c r="Q49" s="121">
        <f>IFERROR(__xludf.DUMMYFUNCTION("""COMPUTED_VALUE"""),60.0)</f>
        <v>60</v>
      </c>
      <c r="R49" s="82"/>
      <c r="S49" s="73"/>
      <c r="T49" s="73"/>
      <c r="U49" s="73"/>
      <c r="V49" s="73"/>
      <c r="W49" s="73"/>
      <c r="X49" s="73"/>
      <c r="Y49" s="77"/>
      <c r="Z49" s="104"/>
      <c r="AA49" s="73"/>
      <c r="AB49" s="104"/>
      <c r="AC49" s="104"/>
      <c r="AD49" s="74"/>
      <c r="AE49" s="114"/>
      <c r="AF49" s="195"/>
      <c r="AG49" s="80"/>
      <c r="AH49" s="104"/>
      <c r="AI49" s="73"/>
      <c r="AJ49" s="114"/>
      <c r="AK49" s="106"/>
      <c r="AL49" s="74"/>
      <c r="AM49" s="73"/>
      <c r="AN49" s="73"/>
      <c r="AO49" s="102"/>
      <c r="AP49" s="86" t="str">
        <f>IFERROR(__xludf.DUMMYFUNCTION("""COMPUTED_VALUE"""),"Recovery Amount")</f>
        <v>Recovery Amount</v>
      </c>
      <c r="AQ49" s="174">
        <f>IFERROR(__xludf.DUMMYFUNCTION("""COMPUTED_VALUE"""),0.0)</f>
        <v>0</v>
      </c>
      <c r="AR49" s="74"/>
      <c r="AS49" s="73"/>
      <c r="AT49" s="73"/>
      <c r="AU49" s="73"/>
      <c r="AV49" s="114"/>
      <c r="AW49" s="114"/>
      <c r="AX49" s="74"/>
      <c r="AY49" s="73"/>
      <c r="AZ49" s="73"/>
      <c r="BA49" s="74"/>
      <c r="BB49" s="73"/>
      <c r="BC49" s="73"/>
      <c r="BD49" s="73"/>
      <c r="BE49" s="73" t="str">
        <f>IFERROR(__xludf.DUMMYFUNCTION("""COMPUTED_VALUE"""),"")</f>
        <v/>
      </c>
      <c r="BF49" s="73"/>
      <c r="BG49" s="73"/>
      <c r="BH49" s="73"/>
      <c r="BI49" s="73"/>
      <c r="BJ49" s="73" t="str">
        <f>IFERROR(__xludf.DUMMYFUNCTION("""COMPUTED_VALUE"""),"")</f>
        <v/>
      </c>
      <c r="BK49" s="73"/>
      <c r="BL49" s="73"/>
      <c r="BM49" s="73"/>
      <c r="BN49" s="73"/>
      <c r="BO49" s="73" t="str">
        <f>IFERROR(__xludf.DUMMYFUNCTION("""COMPUTED_VALUE"""),"")</f>
        <v/>
      </c>
      <c r="BP49" s="73"/>
      <c r="BQ49" s="73" t="str">
        <f>IFERROR(__xludf.DUMMYFUNCTION("""COMPUTED_VALUE"""),"Chrono Field - Cooldown")</f>
        <v>Chrono Field - Cooldown</v>
      </c>
      <c r="BR49" s="73"/>
      <c r="BS49" s="73"/>
      <c r="BT49" s="74"/>
      <c r="BU49" s="73"/>
      <c r="BV49" s="73"/>
      <c r="BW49" s="73"/>
      <c r="BX49" s="73"/>
      <c r="BY49" s="73"/>
      <c r="BZ49" s="73"/>
      <c r="CA49" s="73"/>
      <c r="CB49" s="73"/>
      <c r="CC49" s="73"/>
      <c r="CD49" s="73"/>
      <c r="CE49" s="73"/>
    </row>
    <row r="50">
      <c r="A50" s="86" t="str">
        <f>IFERROR(__xludf.DUMMYFUNCTION("""COMPUTED_VALUE"""),"Package After Boss")</f>
        <v>Package After Boss</v>
      </c>
      <c r="B50" s="87">
        <f>IFERROR(__xludf.DUMMYFUNCTION("""COMPUTED_VALUE"""),1.0)</f>
        <v>1</v>
      </c>
      <c r="C50" s="73"/>
      <c r="D50" s="88">
        <f>IFERROR(__xludf.DUMMYFUNCTION("""COMPUTED_VALUE"""),1.0)</f>
        <v>1</v>
      </c>
      <c r="E50" s="108" t="b">
        <f>IFERROR(__xludf.DUMMYFUNCTION("""COMPUTED_VALUE"""),TRUE)</f>
        <v>1</v>
      </c>
      <c r="F50" s="73" t="str">
        <f>IFERROR(__xludf.DUMMYFUNCTION("""COMPUTED_VALUE"""),"Enemy Attack Level Skip")</f>
        <v>Enemy Attack Level Skip</v>
      </c>
      <c r="G50" s="87">
        <f>IFERROR(__xludf.DUMMYFUNCTION("""COMPUTED_VALUE"""),330.0)</f>
        <v>330</v>
      </c>
      <c r="H50" s="73">
        <f>IFERROR(__xludf.DUMMYFUNCTION("""COMPUTED_VALUE"""),699.0)</f>
        <v>699</v>
      </c>
      <c r="I50" s="73">
        <f>IFERROR(__xludf.DUMMYFUNCTION("""COMPUTED_VALUE"""),330.0)</f>
        <v>330</v>
      </c>
      <c r="J50" s="73">
        <f>IFERROR(__xludf.DUMMYFUNCTION("""COMPUTED_VALUE"""),699.0)</f>
        <v>699</v>
      </c>
      <c r="K50" s="92"/>
      <c r="L50" s="73"/>
      <c r="M50" s="73"/>
      <c r="N50" s="73"/>
      <c r="O50" s="73"/>
      <c r="P50" s="73"/>
      <c r="Q50" s="121">
        <f>IFERROR(__xludf.DUMMYFUNCTION("""COMPUTED_VALUE"""),699.0)</f>
        <v>699</v>
      </c>
      <c r="R50" s="82"/>
      <c r="S50" s="73"/>
      <c r="T50" s="73"/>
      <c r="U50" s="73"/>
      <c r="V50" s="73"/>
      <c r="W50" s="73"/>
      <c r="X50" s="73"/>
      <c r="Y50" s="77"/>
      <c r="Z50" s="104"/>
      <c r="AA50" s="73"/>
      <c r="AB50" s="104"/>
      <c r="AC50" s="104"/>
      <c r="AD50" s="74"/>
      <c r="AE50" s="104"/>
      <c r="AF50" s="195"/>
      <c r="AG50" s="80"/>
      <c r="AH50" s="104"/>
      <c r="AI50" s="73"/>
      <c r="AJ50" s="114"/>
      <c r="AK50" s="106"/>
      <c r="AL50" s="74"/>
      <c r="AM50" s="73"/>
      <c r="AN50" s="73"/>
      <c r="AO50" s="102"/>
      <c r="AP50" s="86" t="str">
        <f>IFERROR(__xludf.DUMMYFUNCTION("""COMPUTED_VALUE"""),"Max Recovery")</f>
        <v>Max Recovery</v>
      </c>
      <c r="AQ50" s="125">
        <f>IFERROR(__xludf.DUMMYFUNCTION("""COMPUTED_VALUE"""),0.0)</f>
        <v>0</v>
      </c>
      <c r="AR50" s="74"/>
      <c r="AS50" s="73"/>
      <c r="AT50" s="73"/>
      <c r="AU50" s="73"/>
      <c r="AV50" s="104"/>
      <c r="AW50" s="104"/>
      <c r="AX50" s="74"/>
      <c r="AY50" s="73"/>
      <c r="AZ50" s="73"/>
      <c r="BA50" s="74"/>
      <c r="BB50" s="73"/>
      <c r="BC50" s="73"/>
      <c r="BD50" s="73"/>
      <c r="BE50" s="73" t="str">
        <f>IFERROR(__xludf.DUMMYFUNCTION("""COMPUTED_VALUE"""),"")</f>
        <v/>
      </c>
      <c r="BF50" s="73"/>
      <c r="BG50" s="73"/>
      <c r="BH50" s="73"/>
      <c r="BI50" s="73"/>
      <c r="BJ50" s="73" t="str">
        <f>IFERROR(__xludf.DUMMYFUNCTION("""COMPUTED_VALUE"""),"")</f>
        <v/>
      </c>
      <c r="BK50" s="73"/>
      <c r="BL50" s="73"/>
      <c r="BM50" s="73"/>
      <c r="BN50" s="73"/>
      <c r="BO50" s="73" t="str">
        <f>IFERROR(__xludf.DUMMYFUNCTION("""COMPUTED_VALUE"""),"")</f>
        <v/>
      </c>
      <c r="BP50" s="73"/>
      <c r="BQ50" s="73" t="str">
        <f>IFERROR(__xludf.DUMMYFUNCTION("""COMPUTED_VALUE"""),"Chrono Field - Speed Reduction")</f>
        <v>Chrono Field - Speed Reduction</v>
      </c>
      <c r="BR50" s="73"/>
      <c r="BS50" s="73"/>
      <c r="BT50" s="74"/>
      <c r="BU50" s="73"/>
      <c r="BV50" s="73"/>
      <c r="BW50" s="73"/>
      <c r="BX50" s="73"/>
      <c r="BY50" s="73"/>
      <c r="BZ50" s="73"/>
      <c r="CA50" s="73"/>
      <c r="CB50" s="73"/>
      <c r="CC50" s="73"/>
      <c r="CD50" s="73"/>
      <c r="CE50" s="73"/>
    </row>
    <row r="51">
      <c r="A51" s="86" t="str">
        <f>IFERROR(__xludf.DUMMYFUNCTION("""COMPUTED_VALUE"""),"Recovery Package Amount")</f>
        <v>Recovery Package Amount</v>
      </c>
      <c r="B51" s="87">
        <f>IFERROR(__xludf.DUMMYFUNCTION("""COMPUTED_VALUE"""),0.0)</f>
        <v>0</v>
      </c>
      <c r="C51" s="73"/>
      <c r="D51" s="88">
        <f>IFERROR(__xludf.DUMMYFUNCTION("""COMPUTED_VALUE"""),20.0)</f>
        <v>20</v>
      </c>
      <c r="E51" s="73"/>
      <c r="F51" s="73" t="str">
        <f>IFERROR(__xludf.DUMMYFUNCTION("""COMPUTED_VALUE"""),"Enemy Health Level Skip")</f>
        <v>Enemy Health Level Skip</v>
      </c>
      <c r="G51" s="87">
        <f>IFERROR(__xludf.DUMMYFUNCTION("""COMPUTED_VALUE"""),320.0)</f>
        <v>320</v>
      </c>
      <c r="H51" s="73">
        <f>IFERROR(__xludf.DUMMYFUNCTION("""COMPUTED_VALUE"""),699.0)</f>
        <v>699</v>
      </c>
      <c r="I51" s="73">
        <f>IFERROR(__xludf.DUMMYFUNCTION("""COMPUTED_VALUE"""),320.0)</f>
        <v>320</v>
      </c>
      <c r="J51" s="73">
        <f>IFERROR(__xludf.DUMMYFUNCTION("""COMPUTED_VALUE"""),699.0)</f>
        <v>699</v>
      </c>
      <c r="K51" s="92"/>
      <c r="L51" s="73"/>
      <c r="M51" s="73"/>
      <c r="N51" s="73"/>
      <c r="O51" s="73"/>
      <c r="P51" s="73"/>
      <c r="Q51" s="121">
        <f>IFERROR(__xludf.DUMMYFUNCTION("""COMPUTED_VALUE"""),699.0)</f>
        <v>699</v>
      </c>
      <c r="R51" s="82"/>
      <c r="S51" s="73"/>
      <c r="T51" s="73"/>
      <c r="U51" s="73"/>
      <c r="V51" s="73"/>
      <c r="W51" s="73"/>
      <c r="X51" s="73"/>
      <c r="Y51" s="77"/>
      <c r="Z51" s="104"/>
      <c r="AA51" s="73"/>
      <c r="AB51" s="104"/>
      <c r="AC51" s="104"/>
      <c r="AD51" s="74"/>
      <c r="AE51" s="104"/>
      <c r="AF51" s="195"/>
      <c r="AG51" s="80"/>
      <c r="AH51" s="104"/>
      <c r="AI51" s="73"/>
      <c r="AJ51" s="114"/>
      <c r="AK51" s="106"/>
      <c r="AL51" s="74"/>
      <c r="AM51" s="73"/>
      <c r="AN51" s="73"/>
      <c r="AO51" s="102"/>
      <c r="AP51" s="86" t="str">
        <f>IFERROR(__xludf.DUMMYFUNCTION("""COMPUTED_VALUE"""),"Enemy Attack Skip")</f>
        <v>Enemy Attack Skip</v>
      </c>
      <c r="AQ51" s="125">
        <f>IFERROR(__xludf.DUMMYFUNCTION("""COMPUTED_VALUE"""),0.0)</f>
        <v>0</v>
      </c>
      <c r="AR51" s="74"/>
      <c r="AS51" s="73"/>
      <c r="AT51" s="73"/>
      <c r="AU51" s="73"/>
      <c r="AV51" s="104"/>
      <c r="AW51" s="104"/>
      <c r="AX51" s="74"/>
      <c r="AY51" s="73"/>
      <c r="AZ51" s="73"/>
      <c r="BA51" s="74"/>
      <c r="BB51" s="73"/>
      <c r="BC51" s="73"/>
      <c r="BD51" s="73"/>
      <c r="BE51" s="73" t="str">
        <f>IFERROR(__xludf.DUMMYFUNCTION("""COMPUTED_VALUE"""),"")</f>
        <v/>
      </c>
      <c r="BF51" s="73"/>
      <c r="BG51" s="73"/>
      <c r="BH51" s="73"/>
      <c r="BI51" s="73"/>
      <c r="BJ51" s="73" t="str">
        <f>IFERROR(__xludf.DUMMYFUNCTION("""COMPUTED_VALUE"""),"")</f>
        <v/>
      </c>
      <c r="BK51" s="73"/>
      <c r="BL51" s="73"/>
      <c r="BM51" s="73"/>
      <c r="BN51" s="73"/>
      <c r="BO51" s="73" t="str">
        <f>IFERROR(__xludf.DUMMYFUNCTION("""COMPUTED_VALUE"""),"")</f>
        <v/>
      </c>
      <c r="BP51" s="73"/>
      <c r="BQ51" s="73"/>
      <c r="BR51" s="73"/>
      <c r="BS51" s="73"/>
      <c r="BT51" s="74" t="str">
        <f>IFERROR(__xludf.DUMMYFUNCTION("""COMPUTED_VALUE"""),"")</f>
        <v/>
      </c>
      <c r="BU51" s="73"/>
      <c r="BV51" s="73"/>
      <c r="BW51" s="73"/>
      <c r="BX51" s="73"/>
      <c r="BY51" s="73"/>
      <c r="BZ51" s="73"/>
      <c r="CA51" s="73"/>
      <c r="CB51" s="73"/>
      <c r="CC51" s="73"/>
      <c r="CD51" s="73"/>
      <c r="CE51" s="73"/>
    </row>
    <row r="52">
      <c r="A52" s="86" t="str">
        <f>IFERROR(__xludf.DUMMYFUNCTION("""COMPUTED_VALUE"""),"Recovery Package Max")</f>
        <v>Recovery Package Max</v>
      </c>
      <c r="B52" s="87">
        <f>IFERROR(__xludf.DUMMYFUNCTION("""COMPUTED_VALUE"""),0.0)</f>
        <v>0</v>
      </c>
      <c r="C52" s="73"/>
      <c r="D52" s="88">
        <f>IFERROR(__xludf.DUMMYFUNCTION("""COMPUTED_VALUE"""),20.0)</f>
        <v>20</v>
      </c>
      <c r="E52" s="73"/>
      <c r="F52" s="73"/>
      <c r="G52" s="73"/>
      <c r="H52" s="73"/>
      <c r="I52" s="73"/>
      <c r="J52" s="73"/>
      <c r="K52" s="92"/>
      <c r="L52" s="73"/>
      <c r="M52" s="73"/>
      <c r="N52" s="73"/>
      <c r="O52" s="73"/>
      <c r="P52" s="73"/>
      <c r="Q52" s="75"/>
      <c r="R52" s="82"/>
      <c r="S52" s="73"/>
      <c r="T52" s="73"/>
      <c r="U52" s="73"/>
      <c r="V52" s="73"/>
      <c r="W52" s="73"/>
      <c r="X52" s="73"/>
      <c r="Y52" s="77"/>
      <c r="Z52" s="104"/>
      <c r="AA52" s="73"/>
      <c r="AB52" s="104"/>
      <c r="AC52" s="104"/>
      <c r="AD52" s="74"/>
      <c r="AE52" s="106"/>
      <c r="AF52" s="195"/>
      <c r="AG52" s="80"/>
      <c r="AH52" s="104"/>
      <c r="AI52" s="73"/>
      <c r="AJ52" s="114"/>
      <c r="AK52" s="106"/>
      <c r="AL52" s="74"/>
      <c r="AM52" s="73"/>
      <c r="AN52" s="73"/>
      <c r="AO52" s="102"/>
      <c r="AP52" s="73" t="str">
        <f>IFERROR(__xludf.DUMMYFUNCTION("""COMPUTED_VALUE"""),"Enemy Health Skip")</f>
        <v>Enemy Health Skip</v>
      </c>
      <c r="AQ52" s="104">
        <f>IFERROR(__xludf.DUMMYFUNCTION("""COMPUTED_VALUE"""),0.0)</f>
        <v>0</v>
      </c>
      <c r="AR52" s="74"/>
      <c r="AS52" s="73"/>
      <c r="AT52" s="73"/>
      <c r="AU52" s="73"/>
      <c r="AV52" s="73"/>
      <c r="AW52" s="73"/>
      <c r="AX52" s="74"/>
      <c r="AY52" s="73"/>
      <c r="AZ52" s="73"/>
      <c r="BA52" s="74"/>
      <c r="BB52" s="73"/>
      <c r="BC52" s="73"/>
      <c r="BD52" s="73"/>
      <c r="BE52" s="73"/>
      <c r="BF52" s="73"/>
      <c r="BG52" s="73"/>
      <c r="BH52" s="73"/>
      <c r="BI52" s="73"/>
      <c r="BJ52" s="73"/>
      <c r="BK52" s="73"/>
      <c r="BL52" s="73"/>
      <c r="BM52" s="73"/>
      <c r="BN52" s="73"/>
      <c r="BO52" s="73"/>
      <c r="BP52" s="73"/>
      <c r="BQ52" s="73"/>
      <c r="BR52" s="73"/>
      <c r="BS52" s="73"/>
      <c r="BT52" s="74"/>
      <c r="BU52" s="73"/>
      <c r="BV52" s="73"/>
      <c r="BW52" s="73"/>
      <c r="BX52" s="73"/>
      <c r="BY52" s="73"/>
      <c r="BZ52" s="73"/>
      <c r="CA52" s="73"/>
      <c r="CB52" s="73"/>
      <c r="CC52" s="73"/>
      <c r="CD52" s="73"/>
      <c r="CE52" s="73"/>
    </row>
    <row r="53">
      <c r="A53" s="86" t="str">
        <f>IFERROR(__xludf.DUMMYFUNCTION("""COMPUTED_VALUE"""),"Recovery Package Chance")</f>
        <v>Recovery Package Chance</v>
      </c>
      <c r="B53" s="87">
        <f>IFERROR(__xludf.DUMMYFUNCTION("""COMPUTED_VALUE"""),20.0)</f>
        <v>20</v>
      </c>
      <c r="C53" s="73"/>
      <c r="D53" s="88">
        <f>IFERROR(__xludf.DUMMYFUNCTION("""COMPUTED_VALUE"""),20.0)</f>
        <v>20</v>
      </c>
      <c r="E53" s="73"/>
      <c r="F53" s="73"/>
      <c r="G53" s="73"/>
      <c r="H53" s="73"/>
      <c r="I53" s="73"/>
      <c r="J53" s="73"/>
      <c r="K53" s="92"/>
      <c r="L53" s="73"/>
      <c r="M53" s="73"/>
      <c r="N53" s="73"/>
      <c r="O53" s="73"/>
      <c r="P53" s="73"/>
      <c r="Q53" s="75"/>
      <c r="R53" s="82"/>
      <c r="S53" s="73"/>
      <c r="T53" s="73"/>
      <c r="U53" s="73"/>
      <c r="V53" s="73"/>
      <c r="W53" s="73"/>
      <c r="X53" s="73"/>
      <c r="Y53" s="77"/>
      <c r="Z53" s="104"/>
      <c r="AA53" s="73"/>
      <c r="AB53" s="104"/>
      <c r="AC53" s="104"/>
      <c r="AD53" s="74"/>
      <c r="AE53" s="106"/>
      <c r="AF53" s="195"/>
      <c r="AG53" s="80"/>
      <c r="AH53" s="104"/>
      <c r="AI53" s="73"/>
      <c r="AJ53" s="114"/>
      <c r="AK53" s="106"/>
      <c r="AL53" s="74"/>
      <c r="AM53" s="73"/>
      <c r="AN53" s="73"/>
      <c r="AO53" s="102"/>
      <c r="AP53" s="73" t="str">
        <f>IFERROR(__xludf.DUMMYFUNCTION("""COMPUTED_VALUE"""),"Unlocks")</f>
        <v>Unlocks</v>
      </c>
      <c r="AQ53" s="73"/>
      <c r="AR53" s="74"/>
      <c r="AS53" s="73"/>
      <c r="AT53" s="73"/>
      <c r="AU53" s="73"/>
      <c r="AV53" s="73"/>
      <c r="AW53" s="73"/>
      <c r="AX53" s="74"/>
      <c r="AY53" s="73"/>
      <c r="AZ53" s="73"/>
      <c r="BA53" s="74"/>
      <c r="BB53" s="73" t="str">
        <f>IFERROR(__xludf.DUMMYFUNCTION("""COMPUTED_VALUE"""),"Death Penalty")</f>
        <v>Death Penalty</v>
      </c>
      <c r="BC53" s="73"/>
      <c r="BD53" s="73"/>
      <c r="BE53" s="73"/>
      <c r="BF53" s="73"/>
      <c r="BG53" s="73" t="str">
        <f>IFERROR(__xludf.DUMMYFUNCTION("""COMPUTED_VALUE"""),"Space Displacer")</f>
        <v>Space Displacer</v>
      </c>
      <c r="BH53" s="73"/>
      <c r="BI53" s="73"/>
      <c r="BJ53" s="73"/>
      <c r="BK53" s="73"/>
      <c r="BL53" s="73" t="str">
        <f>IFERROR(__xludf.DUMMYFUNCTION("""COMPUTED_VALUE"""),"Singularity Harness")</f>
        <v>Singularity Harness</v>
      </c>
      <c r="BM53" s="73"/>
      <c r="BN53" s="73"/>
      <c r="BO53" s="73"/>
      <c r="BP53" s="73"/>
      <c r="BQ53" s="73" t="str">
        <f>IFERROR(__xludf.DUMMYFUNCTION("""COMPUTED_VALUE"""),"Harmony Conductor")</f>
        <v>Harmony Conductor</v>
      </c>
      <c r="BR53" s="73"/>
      <c r="BS53" s="73"/>
      <c r="BT53" s="74"/>
      <c r="BU53" s="73"/>
      <c r="BV53" s="73"/>
      <c r="BW53" s="73"/>
      <c r="BX53" s="73"/>
      <c r="BY53" s="73"/>
      <c r="BZ53" s="73"/>
      <c r="CA53" s="73"/>
      <c r="CB53" s="73"/>
      <c r="CC53" s="73"/>
      <c r="CD53" s="73"/>
      <c r="CE53" s="73"/>
    </row>
    <row r="54">
      <c r="A54" s="86" t="str">
        <f>IFERROR(__xludf.DUMMYFUNCTION("""COMPUTED_VALUE"""),"Enemy Attack Level Skip")</f>
        <v>Enemy Attack Level Skip</v>
      </c>
      <c r="B54" s="87">
        <f>IFERROR(__xludf.DUMMYFUNCTION("""COMPUTED_VALUE"""),20.0)</f>
        <v>20</v>
      </c>
      <c r="C54" s="73"/>
      <c r="D54" s="88">
        <f>IFERROR(__xludf.DUMMYFUNCTION("""COMPUTED_VALUE"""),20.0)</f>
        <v>20</v>
      </c>
      <c r="E54" s="73"/>
      <c r="F54" s="73"/>
      <c r="G54" s="73"/>
      <c r="H54" s="73"/>
      <c r="I54" s="73"/>
      <c r="J54" s="73"/>
      <c r="K54" s="92"/>
      <c r="L54" s="73"/>
      <c r="M54" s="73"/>
      <c r="N54" s="73"/>
      <c r="O54" s="73"/>
      <c r="P54" s="73"/>
      <c r="Q54" s="75"/>
      <c r="R54" s="82"/>
      <c r="S54" s="73"/>
      <c r="T54" s="73"/>
      <c r="U54" s="73"/>
      <c r="V54" s="73"/>
      <c r="W54" s="73"/>
      <c r="X54" s="73"/>
      <c r="Y54" s="77"/>
      <c r="Z54" s="104"/>
      <c r="AA54" s="73"/>
      <c r="AB54" s="104"/>
      <c r="AC54" s="104"/>
      <c r="AD54" s="74"/>
      <c r="AE54" s="106"/>
      <c r="AF54" s="195"/>
      <c r="AG54" s="80"/>
      <c r="AH54" s="104"/>
      <c r="AI54" s="73"/>
      <c r="AJ54" s="114"/>
      <c r="AK54" s="106"/>
      <c r="AL54" s="74"/>
      <c r="AM54" s="73"/>
      <c r="AN54" s="73"/>
      <c r="AO54" s="102"/>
      <c r="AP54" s="73" t="str">
        <f>IFERROR(__xludf.DUMMYFUNCTION("""COMPUTED_VALUE"""),"Demon Mode Automation")</f>
        <v>Demon Mode Automation</v>
      </c>
      <c r="AQ54" s="104" t="b">
        <f>IFERROR(__xludf.DUMMYFUNCTION("""COMPUTED_VALUE"""),FALSE)</f>
        <v>0</v>
      </c>
      <c r="AR54" s="74"/>
      <c r="AS54" s="73"/>
      <c r="AT54" s="73"/>
      <c r="AU54" s="73"/>
      <c r="AV54" s="73"/>
      <c r="AW54" s="73"/>
      <c r="AX54" s="74"/>
      <c r="AY54" s="73"/>
      <c r="AZ54" s="73"/>
      <c r="BA54" s="74"/>
      <c r="BB54" s="73" t="str">
        <f>IFERROR(__xludf.DUMMYFUNCTION("""COMPUTED_VALUE"""),"Rarity")</f>
        <v>Rarity</v>
      </c>
      <c r="BC54" s="73" t="str">
        <f>IFERROR(__xludf.DUMMYFUNCTION("""COMPUTED_VALUE"""),"Level")</f>
        <v>Level</v>
      </c>
      <c r="BD54" s="73" t="str">
        <f>IFERROR(__xludf.DUMMYFUNCTION("""COMPUTED_VALUE"""),"Stat")</f>
        <v>Stat</v>
      </c>
      <c r="BE54" s="73"/>
      <c r="BF54" s="73"/>
      <c r="BG54" s="73" t="str">
        <f>IFERROR(__xludf.DUMMYFUNCTION("""COMPUTED_VALUE"""),"Rarity")</f>
        <v>Rarity</v>
      </c>
      <c r="BH54" s="73" t="str">
        <f>IFERROR(__xludf.DUMMYFUNCTION("""COMPUTED_VALUE"""),"Level")</f>
        <v>Level</v>
      </c>
      <c r="BI54" s="73" t="str">
        <f>IFERROR(__xludf.DUMMYFUNCTION("""COMPUTED_VALUE"""),"Stat")</f>
        <v>Stat</v>
      </c>
      <c r="BJ54" s="73"/>
      <c r="BK54" s="73"/>
      <c r="BL54" s="73" t="str">
        <f>IFERROR(__xludf.DUMMYFUNCTION("""COMPUTED_VALUE"""),"Rarity")</f>
        <v>Rarity</v>
      </c>
      <c r="BM54" s="73" t="str">
        <f>IFERROR(__xludf.DUMMYFUNCTION("""COMPUTED_VALUE"""),"Level")</f>
        <v>Level</v>
      </c>
      <c r="BN54" s="73" t="str">
        <f>IFERROR(__xludf.DUMMYFUNCTION("""COMPUTED_VALUE"""),"Stat")</f>
        <v>Stat</v>
      </c>
      <c r="BO54" s="73"/>
      <c r="BP54" s="73"/>
      <c r="BQ54" s="73" t="str">
        <f>IFERROR(__xludf.DUMMYFUNCTION("""COMPUTED_VALUE"""),"Rarity")</f>
        <v>Rarity</v>
      </c>
      <c r="BR54" s="73" t="str">
        <f>IFERROR(__xludf.DUMMYFUNCTION("""COMPUTED_VALUE"""),"Level")</f>
        <v>Level</v>
      </c>
      <c r="BS54" s="73" t="str">
        <f>IFERROR(__xludf.DUMMYFUNCTION("""COMPUTED_VALUE"""),"Stat")</f>
        <v>Stat</v>
      </c>
      <c r="BT54" s="74"/>
      <c r="BU54" s="73"/>
      <c r="BV54" s="73"/>
      <c r="BW54" s="73"/>
      <c r="BX54" s="73"/>
      <c r="BY54" s="73"/>
      <c r="BZ54" s="73"/>
      <c r="CA54" s="73"/>
      <c r="CB54" s="73"/>
      <c r="CC54" s="73"/>
      <c r="CD54" s="73"/>
      <c r="CE54" s="73"/>
    </row>
    <row r="55">
      <c r="A55" s="86" t="str">
        <f>IFERROR(__xludf.DUMMYFUNCTION("""COMPUTED_VALUE"""),"Enemy Health Level Skip")</f>
        <v>Enemy Health Level Skip</v>
      </c>
      <c r="B55" s="87">
        <f>IFERROR(__xludf.DUMMYFUNCTION("""COMPUTED_VALUE"""),20.0)</f>
        <v>20</v>
      </c>
      <c r="C55" s="73"/>
      <c r="D55" s="88">
        <f>IFERROR(__xludf.DUMMYFUNCTION("""COMPUTED_VALUE"""),20.0)</f>
        <v>20</v>
      </c>
      <c r="E55" s="73"/>
      <c r="F55" s="73"/>
      <c r="G55" s="73"/>
      <c r="H55" s="73"/>
      <c r="I55" s="73"/>
      <c r="J55" s="73"/>
      <c r="K55" s="92"/>
      <c r="L55" s="73"/>
      <c r="M55" s="73"/>
      <c r="N55" s="73"/>
      <c r="O55" s="73"/>
      <c r="P55" s="73"/>
      <c r="Q55" s="75"/>
      <c r="R55" s="82"/>
      <c r="S55" s="73"/>
      <c r="T55" s="73"/>
      <c r="U55" s="73"/>
      <c r="V55" s="73"/>
      <c r="W55" s="73"/>
      <c r="X55" s="73"/>
      <c r="Y55" s="77"/>
      <c r="Z55" s="104"/>
      <c r="AA55" s="73"/>
      <c r="AB55" s="104"/>
      <c r="AC55" s="104"/>
      <c r="AD55" s="74"/>
      <c r="AE55" s="106"/>
      <c r="AF55" s="195"/>
      <c r="AG55" s="80"/>
      <c r="AH55" s="104"/>
      <c r="AI55" s="73"/>
      <c r="AJ55" s="114"/>
      <c r="AK55" s="106"/>
      <c r="AL55" s="74"/>
      <c r="AM55" s="73"/>
      <c r="AN55" s="73"/>
      <c r="AO55" s="102"/>
      <c r="AP55" s="73" t="str">
        <f>IFERROR(__xludf.DUMMYFUNCTION("""COMPUTED_VALUE"""),"Smart Demon Mode Automation")</f>
        <v>Smart Demon Mode Automation</v>
      </c>
      <c r="AQ55" s="104" t="b">
        <f>IFERROR(__xludf.DUMMYFUNCTION("""COMPUTED_VALUE"""),FALSE)</f>
        <v>0</v>
      </c>
      <c r="AR55" s="74"/>
      <c r="AS55" s="73"/>
      <c r="AT55" s="73"/>
      <c r="AU55" s="73"/>
      <c r="AV55" s="73"/>
      <c r="AW55" s="73"/>
      <c r="AX55" s="74"/>
      <c r="AY55" s="73"/>
      <c r="AZ55" s="73"/>
      <c r="BA55" s="74"/>
      <c r="BB55" s="73" t="str">
        <f>IFERROR(__xludf.DUMMYFUNCTION("""COMPUTED_VALUE"""),"Mythic+")</f>
        <v>Mythic+</v>
      </c>
      <c r="BC55" s="107">
        <f>IFERROR(__xludf.DUMMYFUNCTION("""COMPUTED_VALUE"""),160.0)</f>
        <v>160</v>
      </c>
      <c r="BD55" s="132">
        <f>IFERROR(__xludf.DUMMYFUNCTION("""COMPUTED_VALUE"""),8.19)</f>
        <v>8.19</v>
      </c>
      <c r="BE55" s="73"/>
      <c r="BF55" s="73"/>
      <c r="BG55" s="73" t="str">
        <f>IFERROR(__xludf.DUMMYFUNCTION("""COMPUTED_VALUE"""),"Ancestral 2*")</f>
        <v>Ancestral 2*</v>
      </c>
      <c r="BH55" s="107">
        <f>IFERROR(__xludf.DUMMYFUNCTION("""COMPUTED_VALUE"""),163.0)</f>
        <v>163</v>
      </c>
      <c r="BI55" s="132">
        <f>IFERROR(__xludf.DUMMYFUNCTION("""COMPUTED_VALUE"""),9.467)</f>
        <v>9.467</v>
      </c>
      <c r="BJ55" s="73"/>
      <c r="BK55" s="73"/>
      <c r="BL55" s="73" t="str">
        <f>IFERROR(__xludf.DUMMYFUNCTION("""COMPUTED_VALUE"""),"Ancestral")</f>
        <v>Ancestral</v>
      </c>
      <c r="BM55" s="107">
        <f>IFERROR(__xludf.DUMMYFUNCTION("""COMPUTED_VALUE"""),161.0)</f>
        <v>161</v>
      </c>
      <c r="BN55" s="132">
        <f>IFERROR(__xludf.DUMMYFUNCTION("""COMPUTED_VALUE"""),1.68)</f>
        <v>1.68</v>
      </c>
      <c r="BO55" s="73"/>
      <c r="BP55" s="73"/>
      <c r="BQ55" s="73" t="str">
        <f>IFERROR(__xludf.DUMMYFUNCTION("""COMPUTED_VALUE"""),"Ancestral 5*")</f>
        <v>Ancestral 5*</v>
      </c>
      <c r="BR55" s="107">
        <f>IFERROR(__xludf.DUMMYFUNCTION("""COMPUTED_VALUE"""),159.0)</f>
        <v>159</v>
      </c>
      <c r="BS55" s="132">
        <f>IFERROR(__xludf.DUMMYFUNCTION("""COMPUTED_VALUE"""),12.88)</f>
        <v>12.88</v>
      </c>
      <c r="BT55" s="74"/>
      <c r="BU55" s="73"/>
      <c r="BV55" s="73"/>
      <c r="BW55" s="73"/>
      <c r="BX55" s="73"/>
      <c r="BY55" s="73"/>
      <c r="BZ55" s="73"/>
      <c r="CA55" s="73"/>
      <c r="CB55" s="73"/>
      <c r="CC55" s="73"/>
      <c r="CD55" s="73"/>
      <c r="CE55" s="73"/>
    </row>
    <row r="56">
      <c r="A56" s="86" t="str">
        <f>IFERROR(__xludf.DUMMYFUNCTION("""COMPUTED_VALUE"""),"Missile Despawn Time")</f>
        <v>Missile Despawn Time</v>
      </c>
      <c r="B56" s="87">
        <f>IFERROR(__xludf.DUMMYFUNCTION("""COMPUTED_VALUE"""),0.0)</f>
        <v>0</v>
      </c>
      <c r="C56" s="73"/>
      <c r="D56" s="88">
        <f>IFERROR(__xludf.DUMMYFUNCTION("""COMPUTED_VALUE"""),20.0)</f>
        <v>20</v>
      </c>
      <c r="E56" s="73"/>
      <c r="F56" s="73"/>
      <c r="G56" s="73"/>
      <c r="H56" s="73"/>
      <c r="I56" s="73"/>
      <c r="J56" s="73"/>
      <c r="K56" s="92"/>
      <c r="L56" s="73"/>
      <c r="M56" s="73"/>
      <c r="N56" s="73"/>
      <c r="O56" s="73"/>
      <c r="P56" s="73"/>
      <c r="Q56" s="75"/>
      <c r="R56" s="82"/>
      <c r="S56" s="73"/>
      <c r="T56" s="73"/>
      <c r="U56" s="73"/>
      <c r="V56" s="73"/>
      <c r="W56" s="73"/>
      <c r="X56" s="73"/>
      <c r="Y56" s="77"/>
      <c r="Z56" s="104"/>
      <c r="AA56" s="73"/>
      <c r="AB56" s="104"/>
      <c r="AC56" s="104"/>
      <c r="AD56" s="74"/>
      <c r="AE56" s="106"/>
      <c r="AF56" s="195"/>
      <c r="AG56" s="80"/>
      <c r="AH56" s="104"/>
      <c r="AI56" s="73"/>
      <c r="AJ56" s="114"/>
      <c r="AK56" s="106"/>
      <c r="AL56" s="74"/>
      <c r="AM56" s="73"/>
      <c r="AN56" s="73"/>
      <c r="AO56" s="102"/>
      <c r="AP56" s="73" t="str">
        <f>IFERROR(__xludf.DUMMYFUNCTION("""COMPUTED_VALUE"""),"Free Mission Reroll")</f>
        <v>Free Mission Reroll</v>
      </c>
      <c r="AQ56" s="104" t="b">
        <f>IFERROR(__xludf.DUMMYFUNCTION("""COMPUTED_VALUE"""),FALSE)</f>
        <v>0</v>
      </c>
      <c r="AR56" s="74"/>
      <c r="AS56" s="73"/>
      <c r="AT56" s="73"/>
      <c r="AU56" s="73"/>
      <c r="AV56" s="73"/>
      <c r="AW56" s="73"/>
      <c r="AX56" s="74"/>
      <c r="AY56" s="73"/>
      <c r="AZ56" s="73"/>
      <c r="BA56" s="74"/>
      <c r="BB56" s="73"/>
      <c r="BC56" s="73"/>
      <c r="BD56" s="73"/>
      <c r="BE56" s="73"/>
      <c r="BF56" s="73"/>
      <c r="BG56" s="73"/>
      <c r="BH56" s="73"/>
      <c r="BI56" s="73"/>
      <c r="BJ56" s="73"/>
      <c r="BK56" s="73"/>
      <c r="BL56" s="73"/>
      <c r="BM56" s="73"/>
      <c r="BN56" s="73"/>
      <c r="BO56" s="73"/>
      <c r="BP56" s="73"/>
      <c r="BQ56" s="73"/>
      <c r="BR56" s="73"/>
      <c r="BS56" s="73"/>
      <c r="BT56" s="74"/>
      <c r="BU56" s="73"/>
      <c r="BV56" s="73"/>
      <c r="BW56" s="73"/>
      <c r="BX56" s="73"/>
      <c r="BY56" s="73"/>
      <c r="BZ56" s="73"/>
      <c r="CA56" s="73"/>
      <c r="CB56" s="73"/>
      <c r="CC56" s="73"/>
      <c r="CD56" s="73"/>
      <c r="CE56" s="73"/>
    </row>
    <row r="57">
      <c r="A57" s="86" t="str">
        <f>IFERROR(__xludf.DUMMYFUNCTION("""COMPUTED_VALUE"""),"Missiles Explosion")</f>
        <v>Missiles Explosion</v>
      </c>
      <c r="B57" s="87">
        <f>IFERROR(__xludf.DUMMYFUNCTION("""COMPUTED_VALUE"""),0.0)</f>
        <v>0</v>
      </c>
      <c r="C57" s="73"/>
      <c r="D57" s="88">
        <f>IFERROR(__xludf.DUMMYFUNCTION("""COMPUTED_VALUE"""),1.0)</f>
        <v>1</v>
      </c>
      <c r="E57" s="73"/>
      <c r="F57" s="73"/>
      <c r="G57" s="73"/>
      <c r="H57" s="73"/>
      <c r="I57" s="73"/>
      <c r="J57" s="73"/>
      <c r="K57" s="92"/>
      <c r="L57" s="73"/>
      <c r="M57" s="73"/>
      <c r="N57" s="73"/>
      <c r="O57" s="73"/>
      <c r="P57" s="73"/>
      <c r="Q57" s="75"/>
      <c r="R57" s="82"/>
      <c r="S57" s="73"/>
      <c r="T57" s="73"/>
      <c r="U57" s="73"/>
      <c r="V57" s="73"/>
      <c r="W57" s="73"/>
      <c r="X57" s="73"/>
      <c r="Y57" s="77"/>
      <c r="Z57" s="104"/>
      <c r="AA57" s="73"/>
      <c r="AB57" s="104"/>
      <c r="AC57" s="104"/>
      <c r="AD57" s="74"/>
      <c r="AE57" s="106"/>
      <c r="AF57" s="195"/>
      <c r="AG57" s="80"/>
      <c r="AH57" s="104"/>
      <c r="AI57" s="73"/>
      <c r="AJ57" s="114"/>
      <c r="AK57" s="106"/>
      <c r="AL57" s="74"/>
      <c r="AM57" s="73"/>
      <c r="AN57" s="73"/>
      <c r="AO57" s="102"/>
      <c r="AP57" s="73" t="str">
        <f>IFERROR(__xludf.DUMMYFUNCTION("""COMPUTED_VALUE"""),"Nuke Automation")</f>
        <v>Nuke Automation</v>
      </c>
      <c r="AQ57" s="104" t="b">
        <f>IFERROR(__xludf.DUMMYFUNCTION("""COMPUTED_VALUE"""),FALSE)</f>
        <v>0</v>
      </c>
      <c r="AR57" s="74"/>
      <c r="AS57" s="73"/>
      <c r="AT57" s="73"/>
      <c r="AU57" s="73"/>
      <c r="AV57" s="73"/>
      <c r="AW57" s="73"/>
      <c r="AX57" s="74"/>
      <c r="AY57" s="73"/>
      <c r="AZ57" s="73"/>
      <c r="BA57" s="74"/>
      <c r="BB57" s="73" t="str">
        <f>IFERROR(__xludf.DUMMYFUNCTION("""COMPUTED_VALUE"""),"MultiShot Chance")</f>
        <v>MultiShot Chance</v>
      </c>
      <c r="BC57" s="73" t="str">
        <f>IFERROR(__xludf.DUMMYFUNCTION("""COMPUTED_VALUE"""),"Mythic")</f>
        <v>Mythic</v>
      </c>
      <c r="BD57" s="73" t="str">
        <f>IFERROR(__xludf.DUMMYFUNCTION("""COMPUTED_VALUE"""),"+10%")</f>
        <v>+10%</v>
      </c>
      <c r="BE57" s="107">
        <f>IFERROR(__xludf.DUMMYFUNCTION("""COMPUTED_VALUE"""),0.1)</f>
        <v>0.1</v>
      </c>
      <c r="BF57" s="73"/>
      <c r="BG57" s="73"/>
      <c r="BH57" s="73"/>
      <c r="BI57" s="73"/>
      <c r="BJ57" s="107" t="str">
        <f>IFERROR(__xludf.DUMMYFUNCTION("""COMPUTED_VALUE"""),"")</f>
        <v/>
      </c>
      <c r="BK57" s="73"/>
      <c r="BL57" s="73" t="str">
        <f>IFERROR(__xludf.DUMMYFUNCTION("""COMPUTED_VALUE"""),"Free Utility Upgrade")</f>
        <v>Free Utility Upgrade</v>
      </c>
      <c r="BM57" s="73" t="str">
        <f>IFERROR(__xludf.DUMMYFUNCTION("""COMPUTED_VALUE"""),"Mythic")</f>
        <v>Mythic</v>
      </c>
      <c r="BN57" s="73" t="str">
        <f>IFERROR(__xludf.DUMMYFUNCTION("""COMPUTED_VALUE"""),"+10%")</f>
        <v>+10%</v>
      </c>
      <c r="BO57" s="107">
        <f>IFERROR(__xludf.DUMMYFUNCTION("""COMPUTED_VALUE"""),0.1)</f>
        <v>0.1</v>
      </c>
      <c r="BP57" s="73"/>
      <c r="BQ57" s="73"/>
      <c r="BR57" s="73"/>
      <c r="BS57" s="73"/>
      <c r="BT57" s="193" t="str">
        <f>IFERROR(__xludf.DUMMYFUNCTION("""COMPUTED_VALUE"""),"")</f>
        <v/>
      </c>
      <c r="BU57" s="73"/>
      <c r="BV57" s="73"/>
      <c r="BW57" s="73"/>
      <c r="BX57" s="73"/>
      <c r="BY57" s="73"/>
      <c r="BZ57" s="73"/>
      <c r="CA57" s="73"/>
      <c r="CB57" s="73"/>
      <c r="CC57" s="73"/>
      <c r="CD57" s="73"/>
      <c r="CE57" s="73"/>
    </row>
    <row r="58">
      <c r="A58" s="86" t="str">
        <f>IFERROR(__xludf.DUMMYFUNCTION("""COMPUTED_VALUE"""),"Missile Radius")</f>
        <v>Missile Radius</v>
      </c>
      <c r="B58" s="87">
        <f>IFERROR(__xludf.DUMMYFUNCTION("""COMPUTED_VALUE"""),0.0)</f>
        <v>0</v>
      </c>
      <c r="C58" s="73"/>
      <c r="D58" s="88">
        <f>IFERROR(__xludf.DUMMYFUNCTION("""COMPUTED_VALUE"""),20.0)</f>
        <v>20</v>
      </c>
      <c r="E58" s="73"/>
      <c r="F58" s="73"/>
      <c r="G58" s="73"/>
      <c r="H58" s="73"/>
      <c r="I58" s="73"/>
      <c r="J58" s="73"/>
      <c r="K58" s="92"/>
      <c r="L58" s="73"/>
      <c r="M58" s="73"/>
      <c r="N58" s="73"/>
      <c r="O58" s="73"/>
      <c r="P58" s="73"/>
      <c r="Q58" s="75"/>
      <c r="R58" s="82"/>
      <c r="S58" s="73"/>
      <c r="T58" s="73"/>
      <c r="U58" s="73"/>
      <c r="V58" s="73"/>
      <c r="W58" s="73"/>
      <c r="X58" s="73"/>
      <c r="Y58" s="77"/>
      <c r="Z58" s="104"/>
      <c r="AA58" s="73"/>
      <c r="AB58" s="104"/>
      <c r="AC58" s="104"/>
      <c r="AD58" s="74"/>
      <c r="AE58" s="106"/>
      <c r="AF58" s="195"/>
      <c r="AG58" s="80"/>
      <c r="AH58" s="104"/>
      <c r="AI58" s="73"/>
      <c r="AJ58" s="114"/>
      <c r="AK58" s="106"/>
      <c r="AL58" s="74"/>
      <c r="AM58" s="73"/>
      <c r="AN58" s="73"/>
      <c r="AO58" s="102"/>
      <c r="AP58" s="73" t="str">
        <f>IFERROR(__xludf.DUMMYFUNCTION("""COMPUTED_VALUE"""),"Smart Nuke Automation")</f>
        <v>Smart Nuke Automation</v>
      </c>
      <c r="AQ58" s="104" t="b">
        <f>IFERROR(__xludf.DUMMYFUNCTION("""COMPUTED_VALUE"""),FALSE)</f>
        <v>0</v>
      </c>
      <c r="AR58" s="74"/>
      <c r="AS58" s="73"/>
      <c r="AT58" s="73"/>
      <c r="AU58" s="73"/>
      <c r="AV58" s="73"/>
      <c r="AW58" s="73"/>
      <c r="AX58" s="74"/>
      <c r="AY58" s="73"/>
      <c r="AZ58" s="73"/>
      <c r="BA58" s="74"/>
      <c r="BB58" s="73" t="str">
        <f>IFERROR(__xludf.DUMMYFUNCTION("""COMPUTED_VALUE"""),"Bounce Shot Chance")</f>
        <v>Bounce Shot Chance</v>
      </c>
      <c r="BC58" s="73" t="str">
        <f>IFERROR(__xludf.DUMMYFUNCTION("""COMPUTED_VALUE"""),"Mythic")</f>
        <v>Mythic</v>
      </c>
      <c r="BD58" s="73" t="str">
        <f>IFERROR(__xludf.DUMMYFUNCTION("""COMPUTED_VALUE"""),"+9%")</f>
        <v>+9%</v>
      </c>
      <c r="BE58" s="107">
        <f>IFERROR(__xludf.DUMMYFUNCTION("""COMPUTED_VALUE"""),0.09)</f>
        <v>0.09</v>
      </c>
      <c r="BF58" s="73"/>
      <c r="BG58" s="73"/>
      <c r="BH58" s="73"/>
      <c r="BI58" s="73"/>
      <c r="BJ58" s="107" t="str">
        <f>IFERROR(__xludf.DUMMYFUNCTION("""COMPUTED_VALUE"""),"")</f>
        <v/>
      </c>
      <c r="BK58" s="73"/>
      <c r="BL58" s="73" t="str">
        <f>IFERROR(__xludf.DUMMYFUNCTION("""COMPUTED_VALUE"""),"Coins / Kill Bonus")</f>
        <v>Coins / Kill Bonus</v>
      </c>
      <c r="BM58" s="73" t="str">
        <f>IFERROR(__xludf.DUMMYFUNCTION("""COMPUTED_VALUE"""),"Mythic")</f>
        <v>Mythic</v>
      </c>
      <c r="BN58" s="73" t="str">
        <f>IFERROR(__xludf.DUMMYFUNCTION("""COMPUTED_VALUE"""),"+0.5x")</f>
        <v>+0.5x</v>
      </c>
      <c r="BO58" s="107">
        <f>IFERROR(__xludf.DUMMYFUNCTION("""COMPUTED_VALUE"""),0.5)</f>
        <v>0.5</v>
      </c>
      <c r="BP58" s="73"/>
      <c r="BQ58" s="73"/>
      <c r="BR58" s="73"/>
      <c r="BS58" s="73"/>
      <c r="BT58" s="193" t="str">
        <f>IFERROR(__xludf.DUMMYFUNCTION("""COMPUTED_VALUE"""),"")</f>
        <v/>
      </c>
      <c r="BU58" s="73"/>
      <c r="BV58" s="73"/>
      <c r="BW58" s="73"/>
      <c r="BX58" s="73"/>
      <c r="BY58" s="73"/>
      <c r="BZ58" s="73"/>
      <c r="CA58" s="73"/>
      <c r="CB58" s="73"/>
      <c r="CC58" s="73"/>
      <c r="CD58" s="73"/>
      <c r="CE58" s="73"/>
    </row>
    <row r="59">
      <c r="A59" s="86" t="str">
        <f>IFERROR(__xludf.DUMMYFUNCTION("""COMPUTED_VALUE"""),"Chrono Field Duration")</f>
        <v>Chrono Field Duration</v>
      </c>
      <c r="B59" s="87">
        <f>IFERROR(__xludf.DUMMYFUNCTION("""COMPUTED_VALUE"""),30.0)</f>
        <v>30</v>
      </c>
      <c r="C59" s="73"/>
      <c r="D59" s="88">
        <f>IFERROR(__xludf.DUMMYFUNCTION("""COMPUTED_VALUE"""),30.0)</f>
        <v>30</v>
      </c>
      <c r="E59" s="73"/>
      <c r="F59" s="73"/>
      <c r="G59" s="73"/>
      <c r="H59" s="73"/>
      <c r="I59" s="73"/>
      <c r="J59" s="73"/>
      <c r="K59" s="92"/>
      <c r="L59" s="73"/>
      <c r="M59" s="73"/>
      <c r="N59" s="73"/>
      <c r="O59" s="73"/>
      <c r="P59" s="73"/>
      <c r="Q59" s="75"/>
      <c r="R59" s="82"/>
      <c r="S59" s="73"/>
      <c r="T59" s="73"/>
      <c r="U59" s="73"/>
      <c r="V59" s="73"/>
      <c r="W59" s="73"/>
      <c r="X59" s="73"/>
      <c r="Y59" s="77"/>
      <c r="Z59" s="104"/>
      <c r="AA59" s="73"/>
      <c r="AB59" s="104"/>
      <c r="AC59" s="104"/>
      <c r="AD59" s="74"/>
      <c r="AE59" s="106"/>
      <c r="AF59" s="195"/>
      <c r="AG59" s="80"/>
      <c r="AH59" s="104"/>
      <c r="AI59" s="73"/>
      <c r="AJ59" s="114"/>
      <c r="AK59" s="106"/>
      <c r="AL59" s="74"/>
      <c r="AM59" s="73"/>
      <c r="AN59" s="73"/>
      <c r="AO59" s="102"/>
      <c r="AP59" s="73" t="str">
        <f>IFERROR(__xludf.DUMMYFUNCTION("""COMPUTED_VALUE"""),"Workshop Presets")</f>
        <v>Workshop Presets</v>
      </c>
      <c r="AQ59" s="104" t="b">
        <f>IFERROR(__xludf.DUMMYFUNCTION("""COMPUTED_VALUE"""),FALSE)</f>
        <v>0</v>
      </c>
      <c r="AR59" s="74"/>
      <c r="AS59" s="73"/>
      <c r="AT59" s="73"/>
      <c r="AU59" s="73"/>
      <c r="AV59" s="73"/>
      <c r="AW59" s="73"/>
      <c r="AX59" s="74"/>
      <c r="AY59" s="73"/>
      <c r="AZ59" s="73"/>
      <c r="BA59" s="74"/>
      <c r="BB59" s="73" t="str">
        <f>IFERROR(__xludf.DUMMYFUNCTION("""COMPUTED_VALUE"""),"Bounce Shot Targets")</f>
        <v>Bounce Shot Targets</v>
      </c>
      <c r="BC59" s="73" t="str">
        <f>IFERROR(__xludf.DUMMYFUNCTION("""COMPUTED_VALUE"""),"Mythic")</f>
        <v>Mythic</v>
      </c>
      <c r="BD59" s="73" t="str">
        <f>IFERROR(__xludf.DUMMYFUNCTION("""COMPUTED_VALUE"""),"+3")</f>
        <v>+3</v>
      </c>
      <c r="BE59" s="107">
        <f>IFERROR(__xludf.DUMMYFUNCTION("""COMPUTED_VALUE"""),3.0)</f>
        <v>3</v>
      </c>
      <c r="BF59" s="73"/>
      <c r="BG59" s="73"/>
      <c r="BH59" s="73"/>
      <c r="BI59" s="73"/>
      <c r="BJ59" s="73" t="str">
        <f>IFERROR(__xludf.DUMMYFUNCTION("""COMPUTED_VALUE"""),"")</f>
        <v/>
      </c>
      <c r="BK59" s="73"/>
      <c r="BL59" s="73" t="str">
        <f>IFERROR(__xludf.DUMMYFUNCTION("""COMPUTED_VALUE"""),"Enemy Health Level Skip")</f>
        <v>Enemy Health Level Skip</v>
      </c>
      <c r="BM59" s="73" t="str">
        <f>IFERROR(__xludf.DUMMYFUNCTION("""COMPUTED_VALUE"""),"Mythic")</f>
        <v>Mythic</v>
      </c>
      <c r="BN59" s="73" t="str">
        <f>IFERROR(__xludf.DUMMYFUNCTION("""COMPUTED_VALUE"""),"+6%")</f>
        <v>+6%</v>
      </c>
      <c r="BO59" s="73">
        <f>IFERROR(__xludf.DUMMYFUNCTION("""COMPUTED_VALUE"""),0.06)</f>
        <v>0.06</v>
      </c>
      <c r="BP59" s="73"/>
      <c r="BQ59" s="73"/>
      <c r="BR59" s="73"/>
      <c r="BS59" s="73"/>
      <c r="BT59" s="193" t="str">
        <f>IFERROR(__xludf.DUMMYFUNCTION("""COMPUTED_VALUE"""),"")</f>
        <v/>
      </c>
      <c r="BU59" s="73"/>
      <c r="BV59" s="73"/>
      <c r="BW59" s="73"/>
      <c r="BX59" s="73"/>
      <c r="BY59" s="73"/>
      <c r="BZ59" s="73"/>
      <c r="CA59" s="73"/>
      <c r="CB59" s="73"/>
      <c r="CC59" s="73"/>
      <c r="CD59" s="73"/>
      <c r="CE59" s="73"/>
    </row>
    <row r="60">
      <c r="A60" s="86" t="str">
        <f>IFERROR(__xludf.DUMMYFUNCTION("""COMPUTED_VALUE"""),"Chrono Field Damage Reduction")</f>
        <v>Chrono Field Damage Reduction</v>
      </c>
      <c r="B60" s="87">
        <f>IFERROR(__xludf.DUMMYFUNCTION("""COMPUTED_VALUE"""),1.0)</f>
        <v>1</v>
      </c>
      <c r="C60" s="73"/>
      <c r="D60" s="88">
        <f>IFERROR(__xludf.DUMMYFUNCTION("""COMPUTED_VALUE"""),1.0)</f>
        <v>1</v>
      </c>
      <c r="E60" s="73"/>
      <c r="F60" s="73"/>
      <c r="G60" s="73"/>
      <c r="H60" s="73"/>
      <c r="I60" s="73"/>
      <c r="J60" s="73"/>
      <c r="K60" s="92"/>
      <c r="L60" s="73"/>
      <c r="M60" s="73"/>
      <c r="N60" s="73"/>
      <c r="O60" s="73"/>
      <c r="P60" s="73"/>
      <c r="Q60" s="75"/>
      <c r="R60" s="82"/>
      <c r="S60" s="73"/>
      <c r="T60" s="73"/>
      <c r="U60" s="73"/>
      <c r="V60" s="73"/>
      <c r="W60" s="73"/>
      <c r="X60" s="73"/>
      <c r="Y60" s="77"/>
      <c r="Z60" s="104"/>
      <c r="AA60" s="73"/>
      <c r="AB60" s="104"/>
      <c r="AC60" s="104"/>
      <c r="AD60" s="74"/>
      <c r="AE60" s="106"/>
      <c r="AF60" s="195"/>
      <c r="AG60" s="80"/>
      <c r="AH60" s="104"/>
      <c r="AI60" s="73"/>
      <c r="AJ60" s="114"/>
      <c r="AK60" s="106"/>
      <c r="AL60" s="74"/>
      <c r="AM60" s="73"/>
      <c r="AN60" s="73"/>
      <c r="AO60" s="102"/>
      <c r="AP60" s="73" t="str">
        <f>IFERROR(__xludf.DUMMYFUNCTION("""COMPUTED_VALUE"""),"Missile Barrage Automation")</f>
        <v>Missile Barrage Automation</v>
      </c>
      <c r="AQ60" s="104" t="b">
        <f>IFERROR(__xludf.DUMMYFUNCTION("""COMPUTED_VALUE"""),FALSE)</f>
        <v>0</v>
      </c>
      <c r="AR60" s="74"/>
      <c r="AS60" s="73"/>
      <c r="AT60" s="73"/>
      <c r="AU60" s="73"/>
      <c r="AV60" s="73"/>
      <c r="AW60" s="73"/>
      <c r="AX60" s="74"/>
      <c r="AY60" s="73"/>
      <c r="AZ60" s="73"/>
      <c r="BA60" s="74"/>
      <c r="BB60" s="73" t="str">
        <f>IFERROR(__xludf.DUMMYFUNCTION("""COMPUTED_VALUE"""),"Multishot Targets")</f>
        <v>Multishot Targets</v>
      </c>
      <c r="BC60" s="73" t="str">
        <f>IFERROR(__xludf.DUMMYFUNCTION("""COMPUTED_VALUE"""),"Mythic")</f>
        <v>Mythic</v>
      </c>
      <c r="BD60" s="73" t="str">
        <f>IFERROR(__xludf.DUMMYFUNCTION("""COMPUTED_VALUE"""),"+3")</f>
        <v>+3</v>
      </c>
      <c r="BE60" s="73">
        <f>IFERROR(__xludf.DUMMYFUNCTION("""COMPUTED_VALUE"""),3.0)</f>
        <v>3</v>
      </c>
      <c r="BF60" s="73"/>
      <c r="BG60" s="73"/>
      <c r="BH60" s="73"/>
      <c r="BI60" s="73"/>
      <c r="BJ60" s="73" t="str">
        <f>IFERROR(__xludf.DUMMYFUNCTION("""COMPUTED_VALUE"""),"")</f>
        <v/>
      </c>
      <c r="BK60" s="73"/>
      <c r="BL60" s="73" t="str">
        <f>IFERROR(__xludf.DUMMYFUNCTION("""COMPUTED_VALUE"""),"Enemy Attack Level Skip")</f>
        <v>Enemy Attack Level Skip</v>
      </c>
      <c r="BM60" s="73" t="str">
        <f>IFERROR(__xludf.DUMMYFUNCTION("""COMPUTED_VALUE"""),"Ancestral")</f>
        <v>Ancestral</v>
      </c>
      <c r="BN60" s="73" t="str">
        <f>IFERROR(__xludf.DUMMYFUNCTION("""COMPUTED_VALUE"""),"+8%")</f>
        <v>+8%</v>
      </c>
      <c r="BO60" s="73">
        <f>IFERROR(__xludf.DUMMYFUNCTION("""COMPUTED_VALUE"""),0.08)</f>
        <v>0.08</v>
      </c>
      <c r="BP60" s="73"/>
      <c r="BQ60" s="73"/>
      <c r="BR60" s="73"/>
      <c r="BS60" s="73"/>
      <c r="BT60" s="193" t="str">
        <f>IFERROR(__xludf.DUMMYFUNCTION("""COMPUTED_VALUE"""),"")</f>
        <v/>
      </c>
      <c r="BU60" s="73"/>
      <c r="BV60" s="73"/>
      <c r="BW60" s="73"/>
      <c r="BX60" s="73"/>
      <c r="BY60" s="73"/>
      <c r="BZ60" s="73"/>
      <c r="CA60" s="73"/>
      <c r="CB60" s="73"/>
      <c r="CC60" s="73"/>
      <c r="CD60" s="73"/>
      <c r="CE60" s="73"/>
    </row>
    <row r="61">
      <c r="A61" s="86" t="str">
        <f>IFERROR(__xludf.DUMMYFUNCTION("""COMPUTED_VALUE"""),"Chrono Field Reduction %")</f>
        <v>Chrono Field Reduction %</v>
      </c>
      <c r="B61" s="87">
        <f>IFERROR(__xludf.DUMMYFUNCTION("""COMPUTED_VALUE"""),20.0)</f>
        <v>20</v>
      </c>
      <c r="C61" s="73"/>
      <c r="D61" s="88">
        <f>IFERROR(__xludf.DUMMYFUNCTION("""COMPUTED_VALUE"""),30.0)</f>
        <v>30</v>
      </c>
      <c r="E61" s="73"/>
      <c r="F61" s="73"/>
      <c r="G61" s="73"/>
      <c r="H61" s="73"/>
      <c r="I61" s="73"/>
      <c r="J61" s="73"/>
      <c r="K61" s="92"/>
      <c r="L61" s="73"/>
      <c r="M61" s="73"/>
      <c r="N61" s="73"/>
      <c r="O61" s="73"/>
      <c r="P61" s="73"/>
      <c r="Q61" s="75"/>
      <c r="R61" s="82"/>
      <c r="S61" s="73"/>
      <c r="T61" s="73"/>
      <c r="U61" s="73"/>
      <c r="V61" s="73"/>
      <c r="W61" s="73"/>
      <c r="X61" s="73"/>
      <c r="Y61" s="77"/>
      <c r="Z61" s="104"/>
      <c r="AA61" s="73"/>
      <c r="AB61" s="104"/>
      <c r="AC61" s="104"/>
      <c r="AD61" s="74"/>
      <c r="AE61" s="106"/>
      <c r="AF61" s="195"/>
      <c r="AG61" s="80"/>
      <c r="AH61" s="104"/>
      <c r="AI61" s="73"/>
      <c r="AJ61" s="114"/>
      <c r="AK61" s="106"/>
      <c r="AL61" s="74"/>
      <c r="AM61" s="73"/>
      <c r="AN61" s="73"/>
      <c r="AO61" s="102"/>
      <c r="AP61" s="73" t="str">
        <f>IFERROR(__xludf.DUMMYFUNCTION("""COMPUTED_VALUE"""),"Smart Missile Barrage Automation")</f>
        <v>Smart Missile Barrage Automation</v>
      </c>
      <c r="AQ61" s="104" t="b">
        <f>IFERROR(__xludf.DUMMYFUNCTION("""COMPUTED_VALUE"""),FALSE)</f>
        <v>0</v>
      </c>
      <c r="AR61" s="74"/>
      <c r="AS61" s="73"/>
      <c r="AT61" s="73"/>
      <c r="AU61" s="73"/>
      <c r="AV61" s="73"/>
      <c r="AW61" s="73"/>
      <c r="AX61" s="74"/>
      <c r="AY61" s="73"/>
      <c r="AZ61" s="73"/>
      <c r="BA61" s="74"/>
      <c r="BB61" s="73"/>
      <c r="BC61" s="73"/>
      <c r="BD61" s="73"/>
      <c r="BE61" s="73" t="str">
        <f>IFERROR(__xludf.DUMMYFUNCTION("""COMPUTED_VALUE"""),"")</f>
        <v/>
      </c>
      <c r="BF61" s="73"/>
      <c r="BG61" s="73"/>
      <c r="BH61" s="73"/>
      <c r="BI61" s="73"/>
      <c r="BJ61" s="73" t="str">
        <f>IFERROR(__xludf.DUMMYFUNCTION("""COMPUTED_VALUE"""),"")</f>
        <v/>
      </c>
      <c r="BK61" s="73"/>
      <c r="BL61" s="73" t="str">
        <f>IFERROR(__xludf.DUMMYFUNCTION("""COMPUTED_VALUE"""),"Package Chance")</f>
        <v>Package Chance</v>
      </c>
      <c r="BM61" s="73" t="str">
        <f>IFERROR(__xludf.DUMMYFUNCTION("""COMPUTED_VALUE"""),"Mythic")</f>
        <v>Mythic</v>
      </c>
      <c r="BN61" s="73" t="str">
        <f>IFERROR(__xludf.DUMMYFUNCTION("""COMPUTED_VALUE"""),"+11%")</f>
        <v>+11%</v>
      </c>
      <c r="BO61" s="73">
        <f>IFERROR(__xludf.DUMMYFUNCTION("""COMPUTED_VALUE"""),0.11)</f>
        <v>0.11</v>
      </c>
      <c r="BP61" s="73"/>
      <c r="BQ61" s="73"/>
      <c r="BR61" s="73"/>
      <c r="BS61" s="73"/>
      <c r="BT61" s="74" t="str">
        <f>IFERROR(__xludf.DUMMYFUNCTION("""COMPUTED_VALUE"""),"")</f>
        <v/>
      </c>
      <c r="BU61" s="73"/>
      <c r="BV61" s="73"/>
      <c r="BW61" s="73"/>
      <c r="BX61" s="73"/>
      <c r="BY61" s="73"/>
      <c r="BZ61" s="73"/>
      <c r="CA61" s="73"/>
      <c r="CB61" s="73"/>
      <c r="CC61" s="73"/>
      <c r="CD61" s="73"/>
      <c r="CE61" s="73"/>
    </row>
    <row r="62">
      <c r="A62" s="86" t="str">
        <f>IFERROR(__xludf.DUMMYFUNCTION("""COMPUTED_VALUE"""),"Swamp Radius")</f>
        <v>Swamp Radius</v>
      </c>
      <c r="B62" s="87">
        <f>IFERROR(__xludf.DUMMYFUNCTION("""COMPUTED_VALUE"""),0.0)</f>
        <v>0</v>
      </c>
      <c r="C62" s="73"/>
      <c r="D62" s="88">
        <f>IFERROR(__xludf.DUMMYFUNCTION("""COMPUTED_VALUE"""),30.0)</f>
        <v>30</v>
      </c>
      <c r="E62" s="73"/>
      <c r="F62" s="73"/>
      <c r="G62" s="73"/>
      <c r="H62" s="73"/>
      <c r="I62" s="73"/>
      <c r="J62" s="73"/>
      <c r="K62" s="92"/>
      <c r="L62" s="73"/>
      <c r="M62" s="73"/>
      <c r="N62" s="73"/>
      <c r="O62" s="73"/>
      <c r="P62" s="73"/>
      <c r="Q62" s="75"/>
      <c r="R62" s="82"/>
      <c r="S62" s="73"/>
      <c r="T62" s="73"/>
      <c r="U62" s="73"/>
      <c r="V62" s="73"/>
      <c r="W62" s="73"/>
      <c r="X62" s="73"/>
      <c r="Y62" s="77"/>
      <c r="Z62" s="104"/>
      <c r="AA62" s="73"/>
      <c r="AB62" s="104"/>
      <c r="AC62" s="104"/>
      <c r="AD62" s="74"/>
      <c r="AE62" s="106"/>
      <c r="AF62" s="195"/>
      <c r="AG62" s="80"/>
      <c r="AH62" s="104"/>
      <c r="AI62" s="73"/>
      <c r="AJ62" s="114"/>
      <c r="AK62" s="106"/>
      <c r="AL62" s="74"/>
      <c r="AM62" s="73"/>
      <c r="AN62" s="73"/>
      <c r="AO62" s="102"/>
      <c r="AP62" s="73" t="str">
        <f>IFERROR(__xludf.DUMMYFUNCTION("""COMPUTED_VALUE"""),"Daily Mission - Set Shard Type")</f>
        <v>Daily Mission - Set Shard Type</v>
      </c>
      <c r="AQ62" s="104" t="b">
        <f>IFERROR(__xludf.DUMMYFUNCTION("""COMPUTED_VALUE"""),FALSE)</f>
        <v>0</v>
      </c>
      <c r="AR62" s="74"/>
      <c r="AS62" s="73"/>
      <c r="AT62" s="73"/>
      <c r="AU62" s="73"/>
      <c r="AV62" s="73"/>
      <c r="AW62" s="73"/>
      <c r="AX62" s="74"/>
      <c r="AY62" s="73"/>
      <c r="AZ62" s="73"/>
      <c r="BA62" s="74"/>
      <c r="BB62" s="73"/>
      <c r="BC62" s="73"/>
      <c r="BD62" s="73"/>
      <c r="BE62" s="73" t="str">
        <f>IFERROR(__xludf.DUMMYFUNCTION("""COMPUTED_VALUE"""),"")</f>
        <v/>
      </c>
      <c r="BF62" s="73"/>
      <c r="BG62" s="73"/>
      <c r="BH62" s="73"/>
      <c r="BI62" s="73"/>
      <c r="BJ62" s="73" t="str">
        <f>IFERROR(__xludf.DUMMYFUNCTION("""COMPUTED_VALUE"""),"")</f>
        <v/>
      </c>
      <c r="BK62" s="73"/>
      <c r="BL62" s="73"/>
      <c r="BM62" s="73"/>
      <c r="BN62" s="73"/>
      <c r="BO62" s="73" t="str">
        <f>IFERROR(__xludf.DUMMYFUNCTION("""COMPUTED_VALUE"""),"")</f>
        <v/>
      </c>
      <c r="BP62" s="73"/>
      <c r="BQ62" s="73"/>
      <c r="BR62" s="73"/>
      <c r="BS62" s="73"/>
      <c r="BT62" s="74" t="str">
        <f>IFERROR(__xludf.DUMMYFUNCTION("""COMPUTED_VALUE"""),"")</f>
        <v/>
      </c>
      <c r="BU62" s="73"/>
      <c r="BV62" s="73"/>
      <c r="BW62" s="73"/>
      <c r="BX62" s="73"/>
      <c r="BY62" s="73"/>
      <c r="BZ62" s="73"/>
      <c r="CA62" s="73"/>
      <c r="CB62" s="73"/>
      <c r="CC62" s="73"/>
      <c r="CD62" s="73"/>
      <c r="CE62" s="73"/>
    </row>
    <row r="63">
      <c r="A63" s="86" t="str">
        <f>IFERROR(__xludf.DUMMYFUNCTION("""COMPUTED_VALUE"""),"Swamp Stun")</f>
        <v>Swamp Stun</v>
      </c>
      <c r="B63" s="87">
        <f>IFERROR(__xludf.DUMMYFUNCTION("""COMPUTED_VALUE"""),0.0)</f>
        <v>0</v>
      </c>
      <c r="C63" s="73"/>
      <c r="D63" s="88">
        <f>IFERROR(__xludf.DUMMYFUNCTION("""COMPUTED_VALUE"""),1.0)</f>
        <v>1</v>
      </c>
      <c r="E63" s="73"/>
      <c r="F63" s="73"/>
      <c r="G63" s="73"/>
      <c r="H63" s="73"/>
      <c r="I63" s="73"/>
      <c r="J63" s="73"/>
      <c r="K63" s="92"/>
      <c r="L63" s="73"/>
      <c r="M63" s="73"/>
      <c r="N63" s="73"/>
      <c r="O63" s="73"/>
      <c r="P63" s="73"/>
      <c r="Q63" s="75"/>
      <c r="R63" s="82"/>
      <c r="S63" s="73"/>
      <c r="T63" s="73"/>
      <c r="U63" s="73"/>
      <c r="V63" s="73"/>
      <c r="W63" s="73"/>
      <c r="X63" s="73"/>
      <c r="Y63" s="77"/>
      <c r="Z63" s="104"/>
      <c r="AA63" s="73"/>
      <c r="AB63" s="104"/>
      <c r="AC63" s="104"/>
      <c r="AD63" s="74"/>
      <c r="AE63" s="106"/>
      <c r="AF63" s="195"/>
      <c r="AG63" s="80"/>
      <c r="AH63" s="104"/>
      <c r="AI63" s="73"/>
      <c r="AJ63" s="114"/>
      <c r="AK63" s="106"/>
      <c r="AL63" s="74"/>
      <c r="AM63" s="73"/>
      <c r="AN63" s="73"/>
      <c r="AO63" s="102"/>
      <c r="AP63" s="73" t="str">
        <f>IFERROR(__xludf.DUMMYFUNCTION("""COMPUTED_VALUE"""),"Auto Shatter Rare Modules")</f>
        <v>Auto Shatter Rare Modules</v>
      </c>
      <c r="AQ63" s="104" t="b">
        <f>IFERROR(__xludf.DUMMYFUNCTION("""COMPUTED_VALUE"""),FALSE)</f>
        <v>0</v>
      </c>
      <c r="AR63" s="74"/>
      <c r="AS63" s="73"/>
      <c r="AT63" s="73"/>
      <c r="AU63" s="73"/>
      <c r="AV63" s="73"/>
      <c r="AW63" s="73"/>
      <c r="AX63" s="74"/>
      <c r="AY63" s="73"/>
      <c r="AZ63" s="73"/>
      <c r="BA63" s="74"/>
      <c r="BB63" s="73"/>
      <c r="BC63" s="73"/>
      <c r="BD63" s="73"/>
      <c r="BE63" s="73" t="str">
        <f>IFERROR(__xludf.DUMMYFUNCTION("""COMPUTED_VALUE"""),"")</f>
        <v/>
      </c>
      <c r="BF63" s="73"/>
      <c r="BG63" s="73"/>
      <c r="BH63" s="73"/>
      <c r="BI63" s="73"/>
      <c r="BJ63" s="73" t="str">
        <f>IFERROR(__xludf.DUMMYFUNCTION("""COMPUTED_VALUE"""),"")</f>
        <v/>
      </c>
      <c r="BK63" s="73"/>
      <c r="BL63" s="73"/>
      <c r="BM63" s="73"/>
      <c r="BN63" s="73"/>
      <c r="BO63" s="73" t="str">
        <f>IFERROR(__xludf.DUMMYFUNCTION("""COMPUTED_VALUE"""),"")</f>
        <v/>
      </c>
      <c r="BP63" s="73"/>
      <c r="BQ63" s="73"/>
      <c r="BR63" s="73"/>
      <c r="BS63" s="73"/>
      <c r="BT63" s="74" t="str">
        <f>IFERROR(__xludf.DUMMYFUNCTION("""COMPUTED_VALUE"""),"")</f>
        <v/>
      </c>
      <c r="BU63" s="73"/>
      <c r="BV63" s="73"/>
      <c r="BW63" s="73"/>
      <c r="BX63" s="73"/>
      <c r="BY63" s="73"/>
      <c r="BZ63" s="73"/>
      <c r="CA63" s="73"/>
      <c r="CB63" s="73"/>
      <c r="CC63" s="73"/>
      <c r="CD63" s="73"/>
      <c r="CE63" s="73"/>
    </row>
    <row r="64">
      <c r="A64" s="86" t="str">
        <f>IFERROR(__xludf.DUMMYFUNCTION("""COMPUTED_VALUE"""),"Swamp Stun Chance")</f>
        <v>Swamp Stun Chance</v>
      </c>
      <c r="B64" s="87">
        <f>IFERROR(__xludf.DUMMYFUNCTION("""COMPUTED_VALUE"""),0.0)</f>
        <v>0</v>
      </c>
      <c r="C64" s="73"/>
      <c r="D64" s="88">
        <f>IFERROR(__xludf.DUMMYFUNCTION("""COMPUTED_VALUE"""),30.0)</f>
        <v>30</v>
      </c>
      <c r="E64" s="73"/>
      <c r="F64" s="73"/>
      <c r="G64" s="73"/>
      <c r="H64" s="73"/>
      <c r="I64" s="73"/>
      <c r="J64" s="73"/>
      <c r="K64" s="92"/>
      <c r="L64" s="73"/>
      <c r="M64" s="73"/>
      <c r="N64" s="73"/>
      <c r="O64" s="73"/>
      <c r="P64" s="73"/>
      <c r="Q64" s="75"/>
      <c r="R64" s="82"/>
      <c r="S64" s="73"/>
      <c r="T64" s="73"/>
      <c r="U64" s="73"/>
      <c r="V64" s="73"/>
      <c r="W64" s="73"/>
      <c r="X64" s="73"/>
      <c r="Y64" s="77"/>
      <c r="Z64" s="104"/>
      <c r="AA64" s="73"/>
      <c r="AB64" s="104"/>
      <c r="AC64" s="104"/>
      <c r="AD64" s="74"/>
      <c r="AE64" s="106"/>
      <c r="AF64" s="195"/>
      <c r="AG64" s="80"/>
      <c r="AH64" s="104"/>
      <c r="AI64" s="73"/>
      <c r="AJ64" s="114"/>
      <c r="AK64" s="106"/>
      <c r="AL64" s="74"/>
      <c r="AM64" s="73"/>
      <c r="AN64" s="73"/>
      <c r="AO64" s="102"/>
      <c r="AP64" s="73" t="str">
        <f>IFERROR(__xludf.DUMMYFUNCTION("""COMPUTED_VALUE"""),"Auto Restart Run")</f>
        <v>Auto Restart Run</v>
      </c>
      <c r="AQ64" s="104" t="b">
        <f>IFERROR(__xludf.DUMMYFUNCTION("""COMPUTED_VALUE"""),FALSE)</f>
        <v>0</v>
      </c>
      <c r="AR64" s="74"/>
      <c r="AS64" s="73"/>
      <c r="AT64" s="73"/>
      <c r="AU64" s="73"/>
      <c r="AV64" s="73"/>
      <c r="AW64" s="73"/>
      <c r="AX64" s="74"/>
      <c r="AY64" s="73"/>
      <c r="AZ64" s="73"/>
      <c r="BA64" s="74"/>
      <c r="BB64" s="73"/>
      <c r="BC64" s="73"/>
      <c r="BD64" s="73"/>
      <c r="BE64" s="73" t="str">
        <f>IFERROR(__xludf.DUMMYFUNCTION("""COMPUTED_VALUE"""),"")</f>
        <v/>
      </c>
      <c r="BF64" s="73"/>
      <c r="BG64" s="73"/>
      <c r="BH64" s="73"/>
      <c r="BI64" s="73"/>
      <c r="BJ64" s="73" t="str">
        <f>IFERROR(__xludf.DUMMYFUNCTION("""COMPUTED_VALUE"""),"")</f>
        <v/>
      </c>
      <c r="BK64" s="73"/>
      <c r="BL64" s="73"/>
      <c r="BM64" s="73"/>
      <c r="BN64" s="73"/>
      <c r="BO64" s="73" t="str">
        <f>IFERROR(__xludf.DUMMYFUNCTION("""COMPUTED_VALUE"""),"")</f>
        <v/>
      </c>
      <c r="BP64" s="73"/>
      <c r="BQ64" s="73"/>
      <c r="BR64" s="73"/>
      <c r="BS64" s="73"/>
      <c r="BT64" s="74" t="str">
        <f>IFERROR(__xludf.DUMMYFUNCTION("""COMPUTED_VALUE"""),"")</f>
        <v/>
      </c>
      <c r="BU64" s="73"/>
      <c r="BV64" s="73"/>
      <c r="BW64" s="73"/>
      <c r="BX64" s="73"/>
      <c r="BY64" s="73"/>
      <c r="BZ64" s="73"/>
      <c r="CA64" s="73"/>
      <c r="CB64" s="73"/>
      <c r="CC64" s="73"/>
      <c r="CD64" s="73"/>
      <c r="CE64" s="73"/>
    </row>
    <row r="65">
      <c r="A65" s="86" t="str">
        <f>IFERROR(__xludf.DUMMYFUNCTION("""COMPUTED_VALUE"""),"Swamp Stun Time")</f>
        <v>Swamp Stun Time</v>
      </c>
      <c r="B65" s="87">
        <f>IFERROR(__xludf.DUMMYFUNCTION("""COMPUTED_VALUE"""),0.0)</f>
        <v>0</v>
      </c>
      <c r="C65" s="73"/>
      <c r="D65" s="88">
        <f>IFERROR(__xludf.DUMMYFUNCTION("""COMPUTED_VALUE"""),30.0)</f>
        <v>30</v>
      </c>
      <c r="E65" s="73"/>
      <c r="F65" s="73"/>
      <c r="G65" s="73"/>
      <c r="H65" s="73"/>
      <c r="I65" s="73"/>
      <c r="J65" s="73"/>
      <c r="K65" s="92"/>
      <c r="L65" s="73"/>
      <c r="M65" s="73"/>
      <c r="N65" s="73"/>
      <c r="O65" s="73"/>
      <c r="P65" s="73"/>
      <c r="Q65" s="75"/>
      <c r="R65" s="82"/>
      <c r="S65" s="73"/>
      <c r="T65" s="73"/>
      <c r="U65" s="73"/>
      <c r="V65" s="73"/>
      <c r="W65" s="73"/>
      <c r="X65" s="73"/>
      <c r="Y65" s="77"/>
      <c r="Z65" s="104"/>
      <c r="AA65" s="73"/>
      <c r="AB65" s="104"/>
      <c r="AC65" s="104"/>
      <c r="AD65" s="74"/>
      <c r="AE65" s="106"/>
      <c r="AF65" s="195"/>
      <c r="AG65" s="80"/>
      <c r="AH65" s="104"/>
      <c r="AI65" s="73"/>
      <c r="AJ65" s="114"/>
      <c r="AK65" s="106"/>
      <c r="AL65" s="74"/>
      <c r="AM65" s="73"/>
      <c r="AN65" s="73"/>
      <c r="AO65" s="102"/>
      <c r="AP65" s="73" t="str">
        <f>IFERROR(__xludf.DUMMYFUNCTION("""COMPUTED_VALUE"""),"Auto Charge Berzerker")</f>
        <v>Auto Charge Berzerker</v>
      </c>
      <c r="AQ65" s="104" t="b">
        <f>IFERROR(__xludf.DUMMYFUNCTION("""COMPUTED_VALUE"""),FALSE)</f>
        <v>0</v>
      </c>
      <c r="AR65" s="74"/>
      <c r="AS65" s="73"/>
      <c r="AT65" s="73"/>
      <c r="AU65" s="73"/>
      <c r="AV65" s="73"/>
      <c r="AW65" s="73"/>
      <c r="AX65" s="74"/>
      <c r="AY65" s="73"/>
      <c r="AZ65" s="73"/>
      <c r="BA65" s="74"/>
      <c r="BB65" s="73"/>
      <c r="BC65" s="73"/>
      <c r="BD65" s="73"/>
      <c r="BE65" s="73"/>
      <c r="BF65" s="73"/>
      <c r="BG65" s="73"/>
      <c r="BH65" s="73"/>
      <c r="BI65" s="73"/>
      <c r="BJ65" s="73"/>
      <c r="BK65" s="73"/>
      <c r="BL65" s="73"/>
      <c r="BM65" s="73"/>
      <c r="BN65" s="73"/>
      <c r="BO65" s="73"/>
      <c r="BP65" s="73"/>
      <c r="BQ65" s="73"/>
      <c r="BR65" s="73"/>
      <c r="BS65" s="73"/>
      <c r="BT65" s="74"/>
      <c r="BU65" s="73"/>
      <c r="BV65" s="73"/>
      <c r="BW65" s="73"/>
      <c r="BX65" s="73"/>
      <c r="BY65" s="73"/>
      <c r="BZ65" s="73"/>
      <c r="CA65" s="73"/>
      <c r="CB65" s="73"/>
      <c r="CC65" s="73"/>
      <c r="CD65" s="73"/>
      <c r="CE65" s="73"/>
    </row>
    <row r="66">
      <c r="A66" s="86" t="str">
        <f>IFERROR(__xludf.DUMMYFUNCTION("""COMPUTED_VALUE"""),"Golden Tower Bonus")</f>
        <v>Golden Tower Bonus</v>
      </c>
      <c r="B66" s="87">
        <f>IFERROR(__xludf.DUMMYFUNCTION("""COMPUTED_VALUE"""),22.0)</f>
        <v>22</v>
      </c>
      <c r="C66" s="73"/>
      <c r="D66" s="88">
        <f>IFERROR(__xludf.DUMMYFUNCTION("""COMPUTED_VALUE"""),25.0)</f>
        <v>25</v>
      </c>
      <c r="E66" s="73"/>
      <c r="F66" s="73"/>
      <c r="G66" s="73"/>
      <c r="H66" s="73"/>
      <c r="I66" s="73"/>
      <c r="J66" s="73"/>
      <c r="K66" s="92"/>
      <c r="L66" s="73"/>
      <c r="M66" s="73"/>
      <c r="N66" s="73"/>
      <c r="O66" s="73"/>
      <c r="P66" s="73"/>
      <c r="Q66" s="75"/>
      <c r="R66" s="82"/>
      <c r="S66" s="73"/>
      <c r="T66" s="73"/>
      <c r="U66" s="73"/>
      <c r="V66" s="73"/>
      <c r="W66" s="73"/>
      <c r="X66" s="73"/>
      <c r="Y66" s="77"/>
      <c r="Z66" s="104"/>
      <c r="AA66" s="73"/>
      <c r="AB66" s="104"/>
      <c r="AC66" s="104"/>
      <c r="AD66" s="74"/>
      <c r="AE66" s="106"/>
      <c r="AF66" s="195"/>
      <c r="AG66" s="80"/>
      <c r="AH66" s="104"/>
      <c r="AI66" s="73"/>
      <c r="AJ66" s="114"/>
      <c r="AK66" s="106"/>
      <c r="AL66" s="74"/>
      <c r="AM66" s="73"/>
      <c r="AN66" s="73"/>
      <c r="AO66" s="102"/>
      <c r="AP66" s="73" t="str">
        <f>IFERROR(__xludf.DUMMYFUNCTION("""COMPUTED_VALUE"""),"Damage Cap Slider")</f>
        <v>Damage Cap Slider</v>
      </c>
      <c r="AQ66" s="104" t="b">
        <f>IFERROR(__xludf.DUMMYFUNCTION("""COMPUTED_VALUE"""),FALSE)</f>
        <v>0</v>
      </c>
      <c r="AR66" s="74"/>
      <c r="AS66" s="73"/>
      <c r="AT66" s="73"/>
      <c r="AU66" s="73"/>
      <c r="AV66" s="73"/>
      <c r="AW66" s="73"/>
      <c r="AX66" s="74"/>
      <c r="AY66" s="73"/>
      <c r="AZ66" s="73"/>
      <c r="BA66" s="74"/>
      <c r="BB66" s="73" t="str">
        <f>IFERROR(__xludf.DUMMYFUNCTION("""COMPUTED_VALUE"""),"Havoc Bringer")</f>
        <v>Havoc Bringer</v>
      </c>
      <c r="BC66" s="73"/>
      <c r="BD66" s="73"/>
      <c r="BE66" s="73"/>
      <c r="BF66" s="73"/>
      <c r="BG66" s="73" t="str">
        <f>IFERROR(__xludf.DUMMYFUNCTION("""COMPUTED_VALUE"""),"Wormhole Redirector")</f>
        <v>Wormhole Redirector</v>
      </c>
      <c r="BH66" s="73"/>
      <c r="BI66" s="73"/>
      <c r="BJ66" s="73"/>
      <c r="BK66" s="73"/>
      <c r="BL66" s="73" t="str">
        <f>IFERROR(__xludf.DUMMYFUNCTION("""COMPUTED_VALUE"""),"Pulsar Harvester")</f>
        <v>Pulsar Harvester</v>
      </c>
      <c r="BM66" s="73"/>
      <c r="BN66" s="73"/>
      <c r="BO66" s="73"/>
      <c r="BP66" s="73"/>
      <c r="BQ66" s="73" t="str">
        <f>IFERROR(__xludf.DUMMYFUNCTION("""COMPUTED_VALUE"""),"Om Chip")</f>
        <v>Om Chip</v>
      </c>
      <c r="BR66" s="73"/>
      <c r="BS66" s="73"/>
      <c r="BT66" s="74"/>
      <c r="BU66" s="73"/>
      <c r="BV66" s="73"/>
      <c r="BW66" s="73"/>
      <c r="BX66" s="73"/>
      <c r="BY66" s="73"/>
      <c r="BZ66" s="73"/>
      <c r="CA66" s="73"/>
      <c r="CB66" s="73"/>
      <c r="CC66" s="73"/>
      <c r="CD66" s="73"/>
      <c r="CE66" s="73"/>
    </row>
    <row r="67">
      <c r="A67" s="86" t="str">
        <f>IFERROR(__xludf.DUMMYFUNCTION("""COMPUTED_VALUE"""),"Golden Tower Duration")</f>
        <v>Golden Tower Duration</v>
      </c>
      <c r="B67" s="87">
        <f>IFERROR(__xludf.DUMMYFUNCTION("""COMPUTED_VALUE"""),19.0)</f>
        <v>19</v>
      </c>
      <c r="C67" s="73"/>
      <c r="D67" s="88">
        <f>IFERROR(__xludf.DUMMYFUNCTION("""COMPUTED_VALUE"""),20.0)</f>
        <v>20</v>
      </c>
      <c r="E67" s="73"/>
      <c r="F67" s="73"/>
      <c r="G67" s="73"/>
      <c r="H67" s="73"/>
      <c r="I67" s="73"/>
      <c r="J67" s="73"/>
      <c r="K67" s="92"/>
      <c r="L67" s="73"/>
      <c r="M67" s="73"/>
      <c r="N67" s="73"/>
      <c r="O67" s="73"/>
      <c r="P67" s="73"/>
      <c r="Q67" s="75"/>
      <c r="R67" s="82"/>
      <c r="S67" s="73"/>
      <c r="T67" s="73"/>
      <c r="U67" s="73"/>
      <c r="V67" s="73"/>
      <c r="W67" s="73"/>
      <c r="X67" s="73"/>
      <c r="Y67" s="77"/>
      <c r="Z67" s="104"/>
      <c r="AA67" s="73"/>
      <c r="AB67" s="104"/>
      <c r="AC67" s="104"/>
      <c r="AD67" s="74"/>
      <c r="AE67" s="106"/>
      <c r="AF67" s="195"/>
      <c r="AG67" s="80"/>
      <c r="AH67" s="104"/>
      <c r="AI67" s="73"/>
      <c r="AJ67" s="114"/>
      <c r="AK67" s="106"/>
      <c r="AL67" s="74"/>
      <c r="AM67" s="73"/>
      <c r="AN67" s="73"/>
      <c r="AO67" s="102"/>
      <c r="AP67" s="73" t="str">
        <f>IFERROR(__xludf.DUMMYFUNCTION("""COMPUTED_VALUE"""),"Bot Presets")</f>
        <v>Bot Presets</v>
      </c>
      <c r="AQ67" s="104" t="b">
        <f>IFERROR(__xludf.DUMMYFUNCTION("""COMPUTED_VALUE"""),FALSE)</f>
        <v>0</v>
      </c>
      <c r="AR67" s="74"/>
      <c r="AS67" s="73"/>
      <c r="AT67" s="73"/>
      <c r="AU67" s="73"/>
      <c r="AV67" s="73"/>
      <c r="AW67" s="73"/>
      <c r="AX67" s="74"/>
      <c r="AY67" s="73"/>
      <c r="AZ67" s="73"/>
      <c r="BA67" s="74"/>
      <c r="BB67" s="73" t="str">
        <f>IFERROR(__xludf.DUMMYFUNCTION("""COMPUTED_VALUE"""),"Rarity")</f>
        <v>Rarity</v>
      </c>
      <c r="BC67" s="73" t="str">
        <f>IFERROR(__xludf.DUMMYFUNCTION("""COMPUTED_VALUE"""),"Level")</f>
        <v>Level</v>
      </c>
      <c r="BD67" s="73" t="str">
        <f>IFERROR(__xludf.DUMMYFUNCTION("""COMPUTED_VALUE"""),"Stat")</f>
        <v>Stat</v>
      </c>
      <c r="BE67" s="73"/>
      <c r="BF67" s="73"/>
      <c r="BG67" s="73" t="str">
        <f>IFERROR(__xludf.DUMMYFUNCTION("""COMPUTED_VALUE"""),"Rarity")</f>
        <v>Rarity</v>
      </c>
      <c r="BH67" s="73" t="str">
        <f>IFERROR(__xludf.DUMMYFUNCTION("""COMPUTED_VALUE"""),"Level")</f>
        <v>Level</v>
      </c>
      <c r="BI67" s="73" t="str">
        <f>IFERROR(__xludf.DUMMYFUNCTION("""COMPUTED_VALUE"""),"Stat")</f>
        <v>Stat</v>
      </c>
      <c r="BJ67" s="73"/>
      <c r="BK67" s="73"/>
      <c r="BL67" s="73" t="str">
        <f>IFERROR(__xludf.DUMMYFUNCTION("""COMPUTED_VALUE"""),"Rarity")</f>
        <v>Rarity</v>
      </c>
      <c r="BM67" s="73" t="str">
        <f>IFERROR(__xludf.DUMMYFUNCTION("""COMPUTED_VALUE"""),"Level")</f>
        <v>Level</v>
      </c>
      <c r="BN67" s="73" t="str">
        <f>IFERROR(__xludf.DUMMYFUNCTION("""COMPUTED_VALUE"""),"Stat")</f>
        <v>Stat</v>
      </c>
      <c r="BO67" s="73"/>
      <c r="BP67" s="73"/>
      <c r="BQ67" s="73" t="str">
        <f>IFERROR(__xludf.DUMMYFUNCTION("""COMPUTED_VALUE"""),"Rarity")</f>
        <v>Rarity</v>
      </c>
      <c r="BR67" s="73" t="str">
        <f>IFERROR(__xludf.DUMMYFUNCTION("""COMPUTED_VALUE"""),"Level")</f>
        <v>Level</v>
      </c>
      <c r="BS67" s="73" t="str">
        <f>IFERROR(__xludf.DUMMYFUNCTION("""COMPUTED_VALUE"""),"Stat")</f>
        <v>Stat</v>
      </c>
      <c r="BT67" s="74"/>
      <c r="BU67" s="73"/>
      <c r="BV67" s="73"/>
      <c r="BW67" s="73"/>
      <c r="BX67" s="73"/>
      <c r="BY67" s="73"/>
      <c r="BZ67" s="73"/>
      <c r="CA67" s="73"/>
      <c r="CB67" s="73"/>
      <c r="CC67" s="73"/>
      <c r="CD67" s="73"/>
      <c r="CE67" s="73"/>
    </row>
    <row r="68">
      <c r="A68" s="86" t="str">
        <f>IFERROR(__xludf.DUMMYFUNCTION("""COMPUTED_VALUE"""),"Chain Lightning Shock")</f>
        <v>Chain Lightning Shock</v>
      </c>
      <c r="B68" s="87">
        <f>IFERROR(__xludf.DUMMYFUNCTION("""COMPUTED_VALUE"""),1.0)</f>
        <v>1</v>
      </c>
      <c r="C68" s="73"/>
      <c r="D68" s="88">
        <f>IFERROR(__xludf.DUMMYFUNCTION("""COMPUTED_VALUE"""),1.0)</f>
        <v>1</v>
      </c>
      <c r="E68" s="73"/>
      <c r="F68" s="73"/>
      <c r="G68" s="73"/>
      <c r="H68" s="73"/>
      <c r="I68" s="73"/>
      <c r="J68" s="73"/>
      <c r="K68" s="92"/>
      <c r="L68" s="73"/>
      <c r="M68" s="73"/>
      <c r="N68" s="73"/>
      <c r="O68" s="73"/>
      <c r="P68" s="73"/>
      <c r="Q68" s="75"/>
      <c r="R68" s="82"/>
      <c r="S68" s="73"/>
      <c r="T68" s="73"/>
      <c r="U68" s="73"/>
      <c r="V68" s="73"/>
      <c r="W68" s="73"/>
      <c r="X68" s="73"/>
      <c r="Y68" s="77"/>
      <c r="Z68" s="104"/>
      <c r="AA68" s="73"/>
      <c r="AB68" s="104"/>
      <c r="AC68" s="104"/>
      <c r="AD68" s="74"/>
      <c r="AE68" s="106"/>
      <c r="AF68" s="195"/>
      <c r="AG68" s="80"/>
      <c r="AH68" s="104"/>
      <c r="AI68" s="73"/>
      <c r="AJ68" s="114"/>
      <c r="AK68" s="106"/>
      <c r="AL68" s="74"/>
      <c r="AM68" s="73"/>
      <c r="AN68" s="73"/>
      <c r="AO68" s="102"/>
      <c r="AP68" s="73" t="str">
        <f>IFERROR(__xludf.DUMMYFUNCTION("""COMPUTED_VALUE"""),"Workshop Orb Adjuster")</f>
        <v>Workshop Orb Adjuster</v>
      </c>
      <c r="AQ68" s="104" t="b">
        <f>IFERROR(__xludf.DUMMYFUNCTION("""COMPUTED_VALUE"""),FALSE)</f>
        <v>0</v>
      </c>
      <c r="AR68" s="74"/>
      <c r="AS68" s="73"/>
      <c r="AT68" s="73"/>
      <c r="AU68" s="73"/>
      <c r="AV68" s="73"/>
      <c r="AW68" s="73"/>
      <c r="AX68" s="74"/>
      <c r="AY68" s="73"/>
      <c r="AZ68" s="73"/>
      <c r="BA68" s="74"/>
      <c r="BB68" s="73" t="str">
        <f>IFERROR(__xludf.DUMMYFUNCTION("""COMPUTED_VALUE"""),"Ancestral")</f>
        <v>Ancestral</v>
      </c>
      <c r="BC68" s="107">
        <f>IFERROR(__xludf.DUMMYFUNCTION("""COMPUTED_VALUE"""),164.0)</f>
        <v>164</v>
      </c>
      <c r="BD68" s="132">
        <f>IFERROR(__xludf.DUMMYFUNCTION("""COMPUTED_VALUE"""),9.04)</f>
        <v>9.04</v>
      </c>
      <c r="BE68" s="73"/>
      <c r="BF68" s="73"/>
      <c r="BG68" s="73" t="str">
        <f>IFERROR(__xludf.DUMMYFUNCTION("""COMPUTED_VALUE"""),"Mythic+")</f>
        <v>Mythic+</v>
      </c>
      <c r="BH68" s="107">
        <f>IFERROR(__xludf.DUMMYFUNCTION("""COMPUTED_VALUE"""),160.0)</f>
        <v>160</v>
      </c>
      <c r="BI68" s="132">
        <f>IFERROR(__xludf.DUMMYFUNCTION("""COMPUTED_VALUE"""),8.19)</f>
        <v>8.19</v>
      </c>
      <c r="BJ68" s="73"/>
      <c r="BK68" s="73"/>
      <c r="BL68" s="73" t="str">
        <f>IFERROR(__xludf.DUMMYFUNCTION("""COMPUTED_VALUE"""),"Ancestral 1*")</f>
        <v>Ancestral 1*</v>
      </c>
      <c r="BM68" s="107">
        <f>IFERROR(__xludf.DUMMYFUNCTION("""COMPUTED_VALUE"""),161.0)</f>
        <v>161</v>
      </c>
      <c r="BN68" s="132">
        <f>IFERROR(__xludf.DUMMYFUNCTION("""COMPUTED_VALUE"""),1.707)</f>
        <v>1.707</v>
      </c>
      <c r="BO68" s="73"/>
      <c r="BP68" s="73"/>
      <c r="BQ68" s="73" t="str">
        <f>IFERROR(__xludf.DUMMYFUNCTION("""COMPUTED_VALUE"""),"Ancestral")</f>
        <v>Ancestral</v>
      </c>
      <c r="BR68" s="107">
        <f>IFERROR(__xludf.DUMMYFUNCTION("""COMPUTED_VALUE"""),159.0)</f>
        <v>159</v>
      </c>
      <c r="BS68" s="132">
        <f>IFERROR(__xludf.DUMMYFUNCTION("""COMPUTED_VALUE"""),10.9)</f>
        <v>10.9</v>
      </c>
      <c r="BT68" s="74"/>
      <c r="BU68" s="73"/>
      <c r="BV68" s="73"/>
      <c r="BW68" s="73"/>
      <c r="BX68" s="73"/>
      <c r="BY68" s="73"/>
      <c r="BZ68" s="73"/>
      <c r="CA68" s="73"/>
      <c r="CB68" s="73"/>
      <c r="CC68" s="73"/>
      <c r="CD68" s="73"/>
      <c r="CE68" s="73"/>
    </row>
    <row r="69">
      <c r="A69" s="86" t="str">
        <f>IFERROR(__xludf.DUMMYFUNCTION("""COMPUTED_VALUE"""),"Shock Chance")</f>
        <v>Shock Chance</v>
      </c>
      <c r="B69" s="87">
        <f>IFERROR(__xludf.DUMMYFUNCTION("""COMPUTED_VALUE"""),14.0)</f>
        <v>14</v>
      </c>
      <c r="C69" s="73"/>
      <c r="D69" s="88">
        <f>IFERROR(__xludf.DUMMYFUNCTION("""COMPUTED_VALUE"""),30.0)</f>
        <v>30</v>
      </c>
      <c r="E69" s="73"/>
      <c r="F69" s="73"/>
      <c r="G69" s="73"/>
      <c r="H69" s="73"/>
      <c r="I69" s="73"/>
      <c r="J69" s="73"/>
      <c r="K69" s="92"/>
      <c r="L69" s="73"/>
      <c r="M69" s="73"/>
      <c r="N69" s="73"/>
      <c r="O69" s="73"/>
      <c r="P69" s="73"/>
      <c r="Q69" s="75"/>
      <c r="R69" s="82"/>
      <c r="S69" s="73"/>
      <c r="T69" s="73"/>
      <c r="U69" s="73"/>
      <c r="V69" s="73"/>
      <c r="W69" s="73"/>
      <c r="X69" s="73"/>
      <c r="Y69" s="77"/>
      <c r="Z69" s="104"/>
      <c r="AA69" s="73"/>
      <c r="AB69" s="104"/>
      <c r="AC69" s="104"/>
      <c r="AD69" s="74"/>
      <c r="AE69" s="106"/>
      <c r="AF69" s="195"/>
      <c r="AG69" s="80"/>
      <c r="AH69" s="104"/>
      <c r="AI69" s="73"/>
      <c r="AJ69" s="114"/>
      <c r="AK69" s="106"/>
      <c r="AL69" s="74"/>
      <c r="AM69" s="73"/>
      <c r="AN69" s="73"/>
      <c r="AO69" s="102"/>
      <c r="AP69" s="73" t="str">
        <f>IFERROR(__xludf.DUMMYFUNCTION("""COMPUTED_VALUE"""),"Bot Cooldown Sliders")</f>
        <v>Bot Cooldown Sliders</v>
      </c>
      <c r="AQ69" s="104" t="b">
        <f>IFERROR(__xludf.DUMMYFUNCTION("""COMPUTED_VALUE"""),FALSE)</f>
        <v>0</v>
      </c>
      <c r="AR69" s="74"/>
      <c r="AS69" s="73"/>
      <c r="AT69" s="73"/>
      <c r="AU69" s="73"/>
      <c r="AV69" s="73"/>
      <c r="AW69" s="73"/>
      <c r="AX69" s="74"/>
      <c r="AY69" s="73"/>
      <c r="AZ69" s="73"/>
      <c r="BA69" s="74"/>
      <c r="BB69" s="73"/>
      <c r="BC69" s="73"/>
      <c r="BD69" s="73"/>
      <c r="BE69" s="73"/>
      <c r="BF69" s="73"/>
      <c r="BG69" s="73"/>
      <c r="BH69" s="73"/>
      <c r="BI69" s="73"/>
      <c r="BJ69" s="73"/>
      <c r="BK69" s="73"/>
      <c r="BL69" s="73"/>
      <c r="BM69" s="73"/>
      <c r="BN69" s="73"/>
      <c r="BO69" s="73"/>
      <c r="BP69" s="73"/>
      <c r="BQ69" s="73"/>
      <c r="BR69" s="73"/>
      <c r="BS69" s="73"/>
      <c r="BT69" s="74"/>
      <c r="BU69" s="73"/>
      <c r="BV69" s="73"/>
      <c r="BW69" s="73"/>
      <c r="BX69" s="73"/>
      <c r="BY69" s="73"/>
      <c r="BZ69" s="73"/>
      <c r="CA69" s="73"/>
      <c r="CB69" s="73"/>
      <c r="CC69" s="73"/>
      <c r="CD69" s="73"/>
      <c r="CE69" s="73"/>
    </row>
    <row r="70">
      <c r="A70" s="86" t="str">
        <f>IFERROR(__xludf.DUMMYFUNCTION("""COMPUTED_VALUE"""),"Shock Multiplier")</f>
        <v>Shock Multiplier</v>
      </c>
      <c r="B70" s="87">
        <f>IFERROR(__xludf.DUMMYFUNCTION("""COMPUTED_VALUE"""),14.0)</f>
        <v>14</v>
      </c>
      <c r="C70" s="73"/>
      <c r="D70" s="88">
        <f>IFERROR(__xludf.DUMMYFUNCTION("""COMPUTED_VALUE"""),14.0)</f>
        <v>14</v>
      </c>
      <c r="E70" s="73"/>
      <c r="F70" s="73"/>
      <c r="G70" s="73"/>
      <c r="H70" s="73"/>
      <c r="I70" s="73"/>
      <c r="J70" s="73"/>
      <c r="K70" s="92"/>
      <c r="L70" s="73"/>
      <c r="M70" s="73"/>
      <c r="N70" s="73"/>
      <c r="O70" s="73"/>
      <c r="P70" s="73"/>
      <c r="Q70" s="75"/>
      <c r="R70" s="82"/>
      <c r="S70" s="73"/>
      <c r="T70" s="73"/>
      <c r="U70" s="73"/>
      <c r="V70" s="73"/>
      <c r="W70" s="73"/>
      <c r="X70" s="73"/>
      <c r="Y70" s="77"/>
      <c r="Z70" s="104"/>
      <c r="AA70" s="73"/>
      <c r="AB70" s="104"/>
      <c r="AC70" s="104"/>
      <c r="AD70" s="74"/>
      <c r="AE70" s="106"/>
      <c r="AF70" s="195"/>
      <c r="AG70" s="80"/>
      <c r="AH70" s="104"/>
      <c r="AI70" s="73"/>
      <c r="AJ70" s="114"/>
      <c r="AK70" s="106"/>
      <c r="AL70" s="74"/>
      <c r="AM70" s="73"/>
      <c r="AN70" s="73"/>
      <c r="AO70" s="102"/>
      <c r="AP70" s="73"/>
      <c r="AQ70" s="73"/>
      <c r="AR70" s="74"/>
      <c r="AS70" s="73"/>
      <c r="AT70" s="73"/>
      <c r="AU70" s="73"/>
      <c r="AV70" s="73"/>
      <c r="AW70" s="73"/>
      <c r="AX70" s="74"/>
      <c r="AY70" s="73"/>
      <c r="AZ70" s="73"/>
      <c r="BA70" s="74"/>
      <c r="BB70" s="73"/>
      <c r="BC70" s="73"/>
      <c r="BD70" s="73"/>
      <c r="BE70" s="107" t="str">
        <f>IFERROR(__xludf.DUMMYFUNCTION("""COMPUTED_VALUE"""),"")</f>
        <v/>
      </c>
      <c r="BF70" s="73"/>
      <c r="BG70" s="73" t="str">
        <f>IFERROR(__xludf.DUMMYFUNCTION("""COMPUTED_VALUE"""),"Defense %")</f>
        <v>Defense %</v>
      </c>
      <c r="BH70" s="73" t="str">
        <f>IFERROR(__xludf.DUMMYFUNCTION("""COMPUTED_VALUE"""),"Legendary")</f>
        <v>Legendary</v>
      </c>
      <c r="BI70" s="73" t="str">
        <f>IFERROR(__xludf.DUMMYFUNCTION("""COMPUTED_VALUE"""),"+5%")</f>
        <v>+5%</v>
      </c>
      <c r="BJ70" s="107">
        <f>IFERROR(__xludf.DUMMYFUNCTION("""COMPUTED_VALUE"""),0.05)</f>
        <v>0.05</v>
      </c>
      <c r="BK70" s="73"/>
      <c r="BL70" s="73" t="str">
        <f>IFERROR(__xludf.DUMMYFUNCTION("""COMPUTED_VALUE"""),"Free Utility Upgrade")</f>
        <v>Free Utility Upgrade</v>
      </c>
      <c r="BM70" s="73" t="str">
        <f>IFERROR(__xludf.DUMMYFUNCTION("""COMPUTED_VALUE"""),"Ancestral")</f>
        <v>Ancestral</v>
      </c>
      <c r="BN70" s="73" t="str">
        <f>IFERROR(__xludf.DUMMYFUNCTION("""COMPUTED_VALUE"""),"+12%")</f>
        <v>+12%</v>
      </c>
      <c r="BO70" s="107">
        <f>IFERROR(__xludf.DUMMYFUNCTION("""COMPUTED_VALUE"""),0.12)</f>
        <v>0.12</v>
      </c>
      <c r="BP70" s="73"/>
      <c r="BQ70" s="73" t="str">
        <f>IFERROR(__xludf.DUMMYFUNCTION("""COMPUTED_VALUE"""),"Chrono Field - Duration")</f>
        <v>Chrono Field - Duration</v>
      </c>
      <c r="BR70" s="73" t="str">
        <f>IFERROR(__xludf.DUMMYFUNCTION("""COMPUTED_VALUE"""),"Mythic")</f>
        <v>Mythic</v>
      </c>
      <c r="BS70" s="73" t="str">
        <f>IFERROR(__xludf.DUMMYFUNCTION("""COMPUTED_VALUE"""),"+7s")</f>
        <v>+7s</v>
      </c>
      <c r="BT70" s="193">
        <f>IFERROR(__xludf.DUMMYFUNCTION("""COMPUTED_VALUE"""),7.0)</f>
        <v>7</v>
      </c>
      <c r="BU70" s="73"/>
      <c r="BV70" s="73"/>
      <c r="BW70" s="73"/>
      <c r="BX70" s="73"/>
      <c r="BY70" s="73"/>
      <c r="BZ70" s="73"/>
      <c r="CA70" s="73"/>
      <c r="CB70" s="73"/>
      <c r="CC70" s="73"/>
      <c r="CD70" s="73"/>
      <c r="CE70" s="73"/>
    </row>
    <row r="71">
      <c r="A71" s="86" t="str">
        <f>IFERROR(__xludf.DUMMYFUNCTION("""COMPUTED_VALUE"""),"Death Wave Health")</f>
        <v>Death Wave Health</v>
      </c>
      <c r="B71" s="87">
        <f>IFERROR(__xludf.DUMMYFUNCTION("""COMPUTED_VALUE"""),30.0)</f>
        <v>30</v>
      </c>
      <c r="C71" s="73"/>
      <c r="D71" s="88">
        <f>IFERROR(__xludf.DUMMYFUNCTION("""COMPUTED_VALUE"""),30.0)</f>
        <v>30</v>
      </c>
      <c r="E71" s="73"/>
      <c r="F71" s="73"/>
      <c r="G71" s="73"/>
      <c r="H71" s="73"/>
      <c r="I71" s="73"/>
      <c r="J71" s="73"/>
      <c r="K71" s="92"/>
      <c r="L71" s="73"/>
      <c r="M71" s="73"/>
      <c r="N71" s="73"/>
      <c r="O71" s="73"/>
      <c r="P71" s="73"/>
      <c r="Q71" s="75"/>
      <c r="R71" s="82"/>
      <c r="S71" s="73"/>
      <c r="T71" s="73"/>
      <c r="U71" s="73"/>
      <c r="V71" s="73"/>
      <c r="W71" s="73"/>
      <c r="X71" s="73"/>
      <c r="Y71" s="77"/>
      <c r="Z71" s="104"/>
      <c r="AA71" s="73"/>
      <c r="AB71" s="104"/>
      <c r="AC71" s="104"/>
      <c r="AD71" s="74"/>
      <c r="AE71" s="106"/>
      <c r="AF71" s="195"/>
      <c r="AG71" s="80"/>
      <c r="AH71" s="104"/>
      <c r="AI71" s="73"/>
      <c r="AJ71" s="114"/>
      <c r="AK71" s="106"/>
      <c r="AL71" s="74"/>
      <c r="AM71" s="73"/>
      <c r="AN71" s="73"/>
      <c r="AO71" s="102"/>
      <c r="AP71" s="73"/>
      <c r="AQ71" s="73"/>
      <c r="AR71" s="74"/>
      <c r="AS71" s="73"/>
      <c r="AT71" s="73"/>
      <c r="AU71" s="73"/>
      <c r="AV71" s="73"/>
      <c r="AW71" s="73"/>
      <c r="AX71" s="74"/>
      <c r="AY71" s="73"/>
      <c r="AZ71" s="73"/>
      <c r="BA71" s="74"/>
      <c r="BB71" s="73"/>
      <c r="BC71" s="73"/>
      <c r="BD71" s="73"/>
      <c r="BE71" s="107" t="str">
        <f>IFERROR(__xludf.DUMMYFUNCTION("""COMPUTED_VALUE"""),"")</f>
        <v/>
      </c>
      <c r="BF71" s="73"/>
      <c r="BG71" s="73" t="str">
        <f>IFERROR(__xludf.DUMMYFUNCTION("""COMPUTED_VALUE"""),"Wall Health")</f>
        <v>Wall Health</v>
      </c>
      <c r="BH71" s="73" t="str">
        <f>IFERROR(__xludf.DUMMYFUNCTION("""COMPUTED_VALUE"""),"Legendary")</f>
        <v>Legendary</v>
      </c>
      <c r="BI71" s="73" t="str">
        <f>IFERROR(__xludf.DUMMYFUNCTION("""COMPUTED_VALUE"""),"+40%")</f>
        <v>+40%</v>
      </c>
      <c r="BJ71" s="107">
        <f>IFERROR(__xludf.DUMMYFUNCTION("""COMPUTED_VALUE"""),0.4)</f>
        <v>0.4</v>
      </c>
      <c r="BK71" s="73"/>
      <c r="BL71" s="73" t="str">
        <f>IFERROR(__xludf.DUMMYFUNCTION("""COMPUTED_VALUE"""),"Enemy Attack Level Skip")</f>
        <v>Enemy Attack Level Skip</v>
      </c>
      <c r="BM71" s="73" t="str">
        <f>IFERROR(__xludf.DUMMYFUNCTION("""COMPUTED_VALUE"""),"Ancestral")</f>
        <v>Ancestral</v>
      </c>
      <c r="BN71" s="73" t="str">
        <f>IFERROR(__xludf.DUMMYFUNCTION("""COMPUTED_VALUE"""),"+8%")</f>
        <v>+8%</v>
      </c>
      <c r="BO71" s="107">
        <f>IFERROR(__xludf.DUMMYFUNCTION("""COMPUTED_VALUE"""),0.08)</f>
        <v>0.08</v>
      </c>
      <c r="BP71" s="73"/>
      <c r="BQ71" s="73" t="str">
        <f>IFERROR(__xludf.DUMMYFUNCTION("""COMPUTED_VALUE"""),"Spotlight - Bonus")</f>
        <v>Spotlight - Bonus</v>
      </c>
      <c r="BR71" s="73" t="str">
        <f>IFERROR(__xludf.DUMMYFUNCTION("""COMPUTED_VALUE"""),"Mythic")</f>
        <v>Mythic</v>
      </c>
      <c r="BS71" s="73" t="str">
        <f>IFERROR(__xludf.DUMMYFUNCTION("""COMPUTED_VALUE"""),"+15x")</f>
        <v>+15x</v>
      </c>
      <c r="BT71" s="193">
        <f>IFERROR(__xludf.DUMMYFUNCTION("""COMPUTED_VALUE"""),15.0)</f>
        <v>15</v>
      </c>
      <c r="BU71" s="73"/>
      <c r="BV71" s="73"/>
      <c r="BW71" s="73"/>
      <c r="BX71" s="73"/>
      <c r="BY71" s="73"/>
      <c r="BZ71" s="73"/>
      <c r="CA71" s="73"/>
      <c r="CB71" s="73"/>
      <c r="CC71" s="73"/>
      <c r="CD71" s="73"/>
      <c r="CE71" s="73"/>
    </row>
    <row r="72">
      <c r="A72" s="86" t="str">
        <f>IFERROR(__xludf.DUMMYFUNCTION("""COMPUTED_VALUE"""),"Death Wave Coin Bonus")</f>
        <v>Death Wave Coin Bonus</v>
      </c>
      <c r="B72" s="87">
        <f>IFERROR(__xludf.DUMMYFUNCTION("""COMPUTED_VALUE"""),20.0)</f>
        <v>20</v>
      </c>
      <c r="C72" s="73"/>
      <c r="D72" s="88">
        <f>IFERROR(__xludf.DUMMYFUNCTION("""COMPUTED_VALUE"""),20.0)</f>
        <v>20</v>
      </c>
      <c r="E72" s="73"/>
      <c r="F72" s="73"/>
      <c r="G72" s="73"/>
      <c r="H72" s="73"/>
      <c r="I72" s="73"/>
      <c r="J72" s="73"/>
      <c r="K72" s="92"/>
      <c r="L72" s="73"/>
      <c r="M72" s="73"/>
      <c r="N72" s="73"/>
      <c r="O72" s="73"/>
      <c r="P72" s="73"/>
      <c r="Q72" s="75"/>
      <c r="R72" s="82"/>
      <c r="S72" s="73"/>
      <c r="T72" s="73"/>
      <c r="U72" s="73"/>
      <c r="V72" s="73"/>
      <c r="W72" s="73"/>
      <c r="X72" s="73"/>
      <c r="Y72" s="77"/>
      <c r="Z72" s="104"/>
      <c r="AA72" s="73"/>
      <c r="AB72" s="104"/>
      <c r="AC72" s="104"/>
      <c r="AD72" s="74"/>
      <c r="AE72" s="106"/>
      <c r="AF72" s="195"/>
      <c r="AG72" s="80"/>
      <c r="AH72" s="104"/>
      <c r="AI72" s="73"/>
      <c r="AJ72" s="114"/>
      <c r="AK72" s="106"/>
      <c r="AL72" s="74"/>
      <c r="AM72" s="73"/>
      <c r="AN72" s="73"/>
      <c r="AO72" s="102"/>
      <c r="AP72" s="73"/>
      <c r="AQ72" s="73"/>
      <c r="AR72" s="74"/>
      <c r="AS72" s="73"/>
      <c r="AT72" s="73"/>
      <c r="AU72" s="73"/>
      <c r="AV72" s="73"/>
      <c r="AW72" s="73"/>
      <c r="AX72" s="74"/>
      <c r="AY72" s="73"/>
      <c r="AZ72" s="73"/>
      <c r="BA72" s="74"/>
      <c r="BB72" s="73"/>
      <c r="BC72" s="73"/>
      <c r="BD72" s="73"/>
      <c r="BE72" s="107" t="str">
        <f>IFERROR(__xludf.DUMMYFUNCTION("""COMPUTED_VALUE"""),"")</f>
        <v/>
      </c>
      <c r="BF72" s="73"/>
      <c r="BG72" s="73" t="str">
        <f>IFERROR(__xludf.DUMMYFUNCTION("""COMPUTED_VALUE"""),"Health Regen")</f>
        <v>Health Regen</v>
      </c>
      <c r="BH72" s="73" t="str">
        <f>IFERROR(__xludf.DUMMYFUNCTION("""COMPUTED_VALUE"""),"Legendary")</f>
        <v>Legendary</v>
      </c>
      <c r="BI72" s="73" t="str">
        <f>IFERROR(__xludf.DUMMYFUNCTION("""COMPUTED_VALUE"""),"+100%")</f>
        <v>+100%</v>
      </c>
      <c r="BJ72" s="107">
        <f>IFERROR(__xludf.DUMMYFUNCTION("""COMPUTED_VALUE"""),1.0)</f>
        <v>1</v>
      </c>
      <c r="BK72" s="73"/>
      <c r="BL72" s="73" t="str">
        <f>IFERROR(__xludf.DUMMYFUNCTION("""COMPUTED_VALUE"""),"Coins / Kill Bonus")</f>
        <v>Coins / Kill Bonus</v>
      </c>
      <c r="BM72" s="73" t="str">
        <f>IFERROR(__xludf.DUMMYFUNCTION("""COMPUTED_VALUE"""),"Ancestral")</f>
        <v>Ancestral</v>
      </c>
      <c r="BN72" s="73" t="str">
        <f>IFERROR(__xludf.DUMMYFUNCTION("""COMPUTED_VALUE"""),"+0.6x")</f>
        <v>+0.6x</v>
      </c>
      <c r="BO72" s="73">
        <f>IFERROR(__xludf.DUMMYFUNCTION("""COMPUTED_VALUE"""),0.6)</f>
        <v>0.6</v>
      </c>
      <c r="BP72" s="73"/>
      <c r="BQ72" s="73" t="str">
        <f>IFERROR(__xludf.DUMMYFUNCTION("""COMPUTED_VALUE"""),"Spotlight - Angle")</f>
        <v>Spotlight - Angle</v>
      </c>
      <c r="BR72" s="73" t="str">
        <f>IFERROR(__xludf.DUMMYFUNCTION("""COMPUTED_VALUE"""),"Epic")</f>
        <v>Epic</v>
      </c>
      <c r="BS72" s="73" t="str">
        <f>IFERROR(__xludf.DUMMYFUNCTION("""COMPUTED_VALUE"""),"+3°")</f>
        <v>+3°</v>
      </c>
      <c r="BT72" s="74">
        <f>IFERROR(__xludf.DUMMYFUNCTION("""COMPUTED_VALUE"""),3.0)</f>
        <v>3</v>
      </c>
      <c r="BU72" s="73"/>
      <c r="BV72" s="73"/>
      <c r="BW72" s="73"/>
      <c r="BX72" s="73"/>
      <c r="BY72" s="73"/>
      <c r="BZ72" s="73"/>
      <c r="CA72" s="73"/>
      <c r="CB72" s="73"/>
      <c r="CC72" s="73"/>
      <c r="CD72" s="73"/>
      <c r="CE72" s="73"/>
    </row>
    <row r="73">
      <c r="A73" s="86" t="str">
        <f>IFERROR(__xludf.DUMMYFUNCTION("""COMPUTED_VALUE"""),"Inner Mine Blast Radius")</f>
        <v>Inner Mine Blast Radius</v>
      </c>
      <c r="B73" s="87">
        <f>IFERROR(__xludf.DUMMYFUNCTION("""COMPUTED_VALUE"""),0.0)</f>
        <v>0</v>
      </c>
      <c r="C73" s="73"/>
      <c r="D73" s="88">
        <f>IFERROR(__xludf.DUMMYFUNCTION("""COMPUTED_VALUE"""),20.0)</f>
        <v>20</v>
      </c>
      <c r="E73" s="73"/>
      <c r="F73" s="73"/>
      <c r="G73" s="73"/>
      <c r="H73" s="73"/>
      <c r="I73" s="73"/>
      <c r="J73" s="73"/>
      <c r="K73" s="92"/>
      <c r="L73" s="73"/>
      <c r="M73" s="73"/>
      <c r="N73" s="73"/>
      <c r="O73" s="73"/>
      <c r="P73" s="73"/>
      <c r="Q73" s="75"/>
      <c r="R73" s="82"/>
      <c r="S73" s="73"/>
      <c r="T73" s="73"/>
      <c r="U73" s="73"/>
      <c r="V73" s="73"/>
      <c r="W73" s="73"/>
      <c r="X73" s="73"/>
      <c r="Y73" s="77"/>
      <c r="Z73" s="104"/>
      <c r="AA73" s="73"/>
      <c r="AB73" s="104"/>
      <c r="AC73" s="104"/>
      <c r="AD73" s="74"/>
      <c r="AE73" s="106"/>
      <c r="AF73" s="195"/>
      <c r="AG73" s="80"/>
      <c r="AH73" s="104"/>
      <c r="AI73" s="73"/>
      <c r="AJ73" s="114"/>
      <c r="AK73" s="106"/>
      <c r="AL73" s="74"/>
      <c r="AM73" s="73"/>
      <c r="AN73" s="73"/>
      <c r="AO73" s="102"/>
      <c r="AP73" s="73"/>
      <c r="AQ73" s="73"/>
      <c r="AR73" s="74"/>
      <c r="AS73" s="73"/>
      <c r="AT73" s="73"/>
      <c r="AU73" s="73"/>
      <c r="AV73" s="73"/>
      <c r="AW73" s="73"/>
      <c r="AX73" s="74"/>
      <c r="AY73" s="73"/>
      <c r="AZ73" s="73"/>
      <c r="BA73" s="74"/>
      <c r="BB73" s="73"/>
      <c r="BC73" s="73"/>
      <c r="BD73" s="73"/>
      <c r="BE73" s="73" t="str">
        <f>IFERROR(__xludf.DUMMYFUNCTION("""COMPUTED_VALUE"""),"")</f>
        <v/>
      </c>
      <c r="BF73" s="73"/>
      <c r="BG73" s="73"/>
      <c r="BH73" s="73"/>
      <c r="BI73" s="73"/>
      <c r="BJ73" s="73" t="str">
        <f>IFERROR(__xludf.DUMMYFUNCTION("""COMPUTED_VALUE"""),"")</f>
        <v/>
      </c>
      <c r="BK73" s="73"/>
      <c r="BL73" s="73" t="str">
        <f>IFERROR(__xludf.DUMMYFUNCTION("""COMPUTED_VALUE"""),"Enemy Health Level Skip")</f>
        <v>Enemy Health Level Skip</v>
      </c>
      <c r="BM73" s="73" t="str">
        <f>IFERROR(__xludf.DUMMYFUNCTION("""COMPUTED_VALUE"""),"Ancestral")</f>
        <v>Ancestral</v>
      </c>
      <c r="BN73" s="73" t="str">
        <f>IFERROR(__xludf.DUMMYFUNCTION("""COMPUTED_VALUE"""),"+8%")</f>
        <v>+8%</v>
      </c>
      <c r="BO73" s="73">
        <f>IFERROR(__xludf.DUMMYFUNCTION("""COMPUTED_VALUE"""),0.08)</f>
        <v>0.08</v>
      </c>
      <c r="BP73" s="73"/>
      <c r="BQ73" s="73" t="str">
        <f>IFERROR(__xludf.DUMMYFUNCTION("""COMPUTED_VALUE"""),"Chain Lightning - Chance")</f>
        <v>Chain Lightning - Chance</v>
      </c>
      <c r="BR73" s="73" t="str">
        <f>IFERROR(__xludf.DUMMYFUNCTION("""COMPUTED_VALUE"""),"Rare")</f>
        <v>Rare</v>
      </c>
      <c r="BS73" s="73" t="str">
        <f>IFERROR(__xludf.DUMMYFUNCTION("""COMPUTED_VALUE"""),"+4%")</f>
        <v>+4%</v>
      </c>
      <c r="BT73" s="74">
        <f>IFERROR(__xludf.DUMMYFUNCTION("""COMPUTED_VALUE"""),0.04)</f>
        <v>0.04</v>
      </c>
      <c r="BU73" s="73"/>
      <c r="BV73" s="73"/>
      <c r="BW73" s="73"/>
      <c r="BX73" s="73"/>
      <c r="BY73" s="73"/>
      <c r="BZ73" s="73"/>
      <c r="CA73" s="73"/>
      <c r="CB73" s="73"/>
      <c r="CC73" s="73"/>
      <c r="CD73" s="73"/>
      <c r="CE73" s="73"/>
    </row>
    <row r="74">
      <c r="A74" s="86" t="str">
        <f>IFERROR(__xludf.DUMMYFUNCTION("""COMPUTED_VALUE"""),"Inner Mine Rotation Speed")</f>
        <v>Inner Mine Rotation Speed</v>
      </c>
      <c r="B74" s="87">
        <f>IFERROR(__xludf.DUMMYFUNCTION("""COMPUTED_VALUE"""),0.0)</f>
        <v>0</v>
      </c>
      <c r="C74" s="73"/>
      <c r="D74" s="88">
        <f>IFERROR(__xludf.DUMMYFUNCTION("""COMPUTED_VALUE"""),20.0)</f>
        <v>20</v>
      </c>
      <c r="E74" s="73"/>
      <c r="F74" s="73"/>
      <c r="G74" s="73"/>
      <c r="H74" s="73"/>
      <c r="I74" s="73"/>
      <c r="J74" s="73"/>
      <c r="K74" s="92"/>
      <c r="L74" s="73"/>
      <c r="M74" s="73"/>
      <c r="N74" s="73"/>
      <c r="O74" s="73"/>
      <c r="P74" s="73"/>
      <c r="Q74" s="75"/>
      <c r="R74" s="82"/>
      <c r="S74" s="73"/>
      <c r="T74" s="73"/>
      <c r="U74" s="73"/>
      <c r="V74" s="73"/>
      <c r="W74" s="73"/>
      <c r="X74" s="73"/>
      <c r="Y74" s="77"/>
      <c r="Z74" s="104"/>
      <c r="AA74" s="73"/>
      <c r="AB74" s="104"/>
      <c r="AC74" s="104"/>
      <c r="AD74" s="74"/>
      <c r="AE74" s="106"/>
      <c r="AF74" s="195"/>
      <c r="AG74" s="80"/>
      <c r="AH74" s="104"/>
      <c r="AI74" s="73"/>
      <c r="AJ74" s="114"/>
      <c r="AK74" s="106"/>
      <c r="AL74" s="74"/>
      <c r="AM74" s="73"/>
      <c r="AN74" s="73"/>
      <c r="AO74" s="102"/>
      <c r="AP74" s="73"/>
      <c r="AQ74" s="73"/>
      <c r="AR74" s="74"/>
      <c r="AS74" s="73"/>
      <c r="AT74" s="73"/>
      <c r="AU74" s="73"/>
      <c r="AV74" s="73"/>
      <c r="AW74" s="73"/>
      <c r="AX74" s="74"/>
      <c r="AY74" s="73"/>
      <c r="AZ74" s="73"/>
      <c r="BA74" s="74"/>
      <c r="BB74" s="73"/>
      <c r="BC74" s="73"/>
      <c r="BD74" s="73"/>
      <c r="BE74" s="73" t="str">
        <f>IFERROR(__xludf.DUMMYFUNCTION("""COMPUTED_VALUE"""),"")</f>
        <v/>
      </c>
      <c r="BF74" s="73"/>
      <c r="BG74" s="73"/>
      <c r="BH74" s="73"/>
      <c r="BI74" s="73"/>
      <c r="BJ74" s="73" t="str">
        <f>IFERROR(__xludf.DUMMYFUNCTION("""COMPUTED_VALUE"""),"")</f>
        <v/>
      </c>
      <c r="BK74" s="73"/>
      <c r="BL74" s="73" t="str">
        <f>IFERROR(__xludf.DUMMYFUNCTION("""COMPUTED_VALUE"""),"Package Chance")</f>
        <v>Package Chance</v>
      </c>
      <c r="BM74" s="73" t="str">
        <f>IFERROR(__xludf.DUMMYFUNCTION("""COMPUTED_VALUE"""),"Epic")</f>
        <v>Epic</v>
      </c>
      <c r="BN74" s="73" t="str">
        <f>IFERROR(__xludf.DUMMYFUNCTION("""COMPUTED_VALUE"""),"+5%")</f>
        <v>+5%</v>
      </c>
      <c r="BO74" s="73">
        <f>IFERROR(__xludf.DUMMYFUNCTION("""COMPUTED_VALUE"""),0.05)</f>
        <v>0.05</v>
      </c>
      <c r="BP74" s="73"/>
      <c r="BQ74" s="73"/>
      <c r="BR74" s="73"/>
      <c r="BS74" s="73"/>
      <c r="BT74" s="74" t="str">
        <f>IFERROR(__xludf.DUMMYFUNCTION("""COMPUTED_VALUE"""),"")</f>
        <v/>
      </c>
      <c r="BU74" s="73"/>
      <c r="BV74" s="73"/>
      <c r="BW74" s="73"/>
      <c r="BX74" s="73"/>
      <c r="BY74" s="73"/>
      <c r="BZ74" s="73"/>
      <c r="CA74" s="73"/>
      <c r="CB74" s="73"/>
      <c r="CC74" s="73"/>
      <c r="CD74" s="73"/>
      <c r="CE74" s="73"/>
    </row>
    <row r="75">
      <c r="A75" s="86" t="str">
        <f>IFERROR(__xludf.DUMMYFUNCTION("""COMPUTED_VALUE"""),"Chrono Field Range")</f>
        <v>Chrono Field Range</v>
      </c>
      <c r="B75" s="87">
        <f>IFERROR(__xludf.DUMMYFUNCTION("""COMPUTED_VALUE"""),17.0)</f>
        <v>17</v>
      </c>
      <c r="C75" s="73"/>
      <c r="D75" s="88">
        <f>IFERROR(__xludf.DUMMYFUNCTION("""COMPUTED_VALUE"""),20.0)</f>
        <v>20</v>
      </c>
      <c r="E75" s="73"/>
      <c r="F75" s="73"/>
      <c r="G75" s="73"/>
      <c r="H75" s="73"/>
      <c r="I75" s="73"/>
      <c r="J75" s="73"/>
      <c r="K75" s="92"/>
      <c r="L75" s="73"/>
      <c r="M75" s="73"/>
      <c r="N75" s="73"/>
      <c r="O75" s="73"/>
      <c r="P75" s="73"/>
      <c r="Q75" s="75"/>
      <c r="R75" s="82"/>
      <c r="S75" s="73"/>
      <c r="T75" s="73"/>
      <c r="U75" s="73"/>
      <c r="V75" s="73"/>
      <c r="W75" s="73"/>
      <c r="X75" s="73"/>
      <c r="Y75" s="77"/>
      <c r="Z75" s="104"/>
      <c r="AA75" s="73"/>
      <c r="AB75" s="104"/>
      <c r="AC75" s="104"/>
      <c r="AD75" s="74"/>
      <c r="AE75" s="106"/>
      <c r="AF75" s="195"/>
      <c r="AG75" s="80"/>
      <c r="AH75" s="104"/>
      <c r="AI75" s="73"/>
      <c r="AJ75" s="114"/>
      <c r="AK75" s="106"/>
      <c r="AL75" s="74"/>
      <c r="AM75" s="73"/>
      <c r="AN75" s="73"/>
      <c r="AO75" s="102"/>
      <c r="AP75" s="73"/>
      <c r="AQ75" s="73"/>
      <c r="AR75" s="74"/>
      <c r="AS75" s="73"/>
      <c r="AT75" s="73"/>
      <c r="AU75" s="73"/>
      <c r="AV75" s="73"/>
      <c r="AW75" s="73"/>
      <c r="AX75" s="74"/>
      <c r="AY75" s="73"/>
      <c r="AZ75" s="73"/>
      <c r="BA75" s="74"/>
      <c r="BB75" s="73"/>
      <c r="BC75" s="73"/>
      <c r="BD75" s="73"/>
      <c r="BE75" s="73" t="str">
        <f>IFERROR(__xludf.DUMMYFUNCTION("""COMPUTED_VALUE"""),"")</f>
        <v/>
      </c>
      <c r="BF75" s="73"/>
      <c r="BG75" s="73"/>
      <c r="BH75" s="73"/>
      <c r="BI75" s="73"/>
      <c r="BJ75" s="73" t="str">
        <f>IFERROR(__xludf.DUMMYFUNCTION("""COMPUTED_VALUE"""),"")</f>
        <v/>
      </c>
      <c r="BK75" s="73"/>
      <c r="BL75" s="73"/>
      <c r="BM75" s="73"/>
      <c r="BN75" s="73"/>
      <c r="BO75" s="73" t="str">
        <f>IFERROR(__xludf.DUMMYFUNCTION("""COMPUTED_VALUE"""),"")</f>
        <v/>
      </c>
      <c r="BP75" s="73"/>
      <c r="BQ75" s="73"/>
      <c r="BR75" s="73"/>
      <c r="BS75" s="73"/>
      <c r="BT75" s="74" t="str">
        <f>IFERROR(__xludf.DUMMYFUNCTION("""COMPUTED_VALUE"""),"")</f>
        <v/>
      </c>
      <c r="BU75" s="73"/>
      <c r="BV75" s="73"/>
      <c r="BW75" s="73"/>
      <c r="BX75" s="73"/>
      <c r="BY75" s="73"/>
      <c r="BZ75" s="73"/>
      <c r="CA75" s="73"/>
      <c r="CB75" s="73"/>
      <c r="CC75" s="73"/>
      <c r="CD75" s="73"/>
      <c r="CE75" s="73"/>
    </row>
    <row r="76">
      <c r="A76" s="86" t="str">
        <f>IFERROR(__xludf.DUMMYFUNCTION("""COMPUTED_VALUE"""),"Missile Amplifier")</f>
        <v>Missile Amplifier</v>
      </c>
      <c r="B76" s="87">
        <f>IFERROR(__xludf.DUMMYFUNCTION("""COMPUTED_VALUE"""),0.0)</f>
        <v>0</v>
      </c>
      <c r="C76" s="73"/>
      <c r="D76" s="88">
        <f>IFERROR(__xludf.DUMMYFUNCTION("""COMPUTED_VALUE"""),25.0)</f>
        <v>25</v>
      </c>
      <c r="E76" s="73"/>
      <c r="F76" s="73"/>
      <c r="G76" s="73"/>
      <c r="H76" s="73"/>
      <c r="I76" s="73"/>
      <c r="J76" s="73"/>
      <c r="K76" s="92"/>
      <c r="L76" s="73"/>
      <c r="M76" s="73"/>
      <c r="N76" s="73"/>
      <c r="O76" s="73"/>
      <c r="P76" s="73"/>
      <c r="Q76" s="75"/>
      <c r="R76" s="82"/>
      <c r="S76" s="73"/>
      <c r="T76" s="73"/>
      <c r="U76" s="73"/>
      <c r="V76" s="73"/>
      <c r="W76" s="73"/>
      <c r="X76" s="73"/>
      <c r="Y76" s="77"/>
      <c r="Z76" s="104"/>
      <c r="AA76" s="73"/>
      <c r="AB76" s="104"/>
      <c r="AC76" s="104"/>
      <c r="AD76" s="74"/>
      <c r="AE76" s="106"/>
      <c r="AF76" s="195"/>
      <c r="AG76" s="80"/>
      <c r="AH76" s="104"/>
      <c r="AI76" s="73"/>
      <c r="AJ76" s="114"/>
      <c r="AK76" s="106"/>
      <c r="AL76" s="74"/>
      <c r="AM76" s="73"/>
      <c r="AN76" s="73"/>
      <c r="AO76" s="102"/>
      <c r="AP76" s="73"/>
      <c r="AQ76" s="73"/>
      <c r="AR76" s="74"/>
      <c r="AS76" s="73"/>
      <c r="AT76" s="73"/>
      <c r="AU76" s="73"/>
      <c r="AV76" s="73"/>
      <c r="AW76" s="73"/>
      <c r="AX76" s="74"/>
      <c r="AY76" s="73"/>
      <c r="AZ76" s="73"/>
      <c r="BA76" s="74"/>
      <c r="BB76" s="73"/>
      <c r="BC76" s="73"/>
      <c r="BD76" s="73"/>
      <c r="BE76" s="73" t="str">
        <f>IFERROR(__xludf.DUMMYFUNCTION("""COMPUTED_VALUE"""),"")</f>
        <v/>
      </c>
      <c r="BF76" s="73"/>
      <c r="BG76" s="73"/>
      <c r="BH76" s="73"/>
      <c r="BI76" s="73"/>
      <c r="BJ76" s="73" t="str">
        <f>IFERROR(__xludf.DUMMYFUNCTION("""COMPUTED_VALUE"""),"")</f>
        <v/>
      </c>
      <c r="BK76" s="73"/>
      <c r="BL76" s="73"/>
      <c r="BM76" s="73"/>
      <c r="BN76" s="73"/>
      <c r="BO76" s="73" t="str">
        <f>IFERROR(__xludf.DUMMYFUNCTION("""COMPUTED_VALUE"""),"")</f>
        <v/>
      </c>
      <c r="BP76" s="73"/>
      <c r="BQ76" s="73"/>
      <c r="BR76" s="73"/>
      <c r="BS76" s="73"/>
      <c r="BT76" s="74" t="str">
        <f>IFERROR(__xludf.DUMMYFUNCTION("""COMPUTED_VALUE"""),"")</f>
        <v/>
      </c>
      <c r="BU76" s="73"/>
      <c r="BV76" s="73"/>
      <c r="BW76" s="73"/>
      <c r="BX76" s="73"/>
      <c r="BY76" s="73"/>
      <c r="BZ76" s="73"/>
      <c r="CA76" s="73"/>
      <c r="CB76" s="73"/>
      <c r="CC76" s="73"/>
      <c r="CD76" s="73"/>
      <c r="CE76" s="73"/>
    </row>
    <row r="77">
      <c r="A77" s="86" t="str">
        <f>IFERROR(__xludf.DUMMYFUNCTION("""COMPUTED_VALUE"""),"Missile Barrage")</f>
        <v>Missile Barrage</v>
      </c>
      <c r="B77" s="87">
        <f>IFERROR(__xludf.DUMMYFUNCTION("""COMPUTED_VALUE"""),0.0)</f>
        <v>0</v>
      </c>
      <c r="C77" s="73"/>
      <c r="D77" s="88">
        <f>IFERROR(__xludf.DUMMYFUNCTION("""COMPUTED_VALUE"""),1.0)</f>
        <v>1</v>
      </c>
      <c r="E77" s="73"/>
      <c r="F77" s="73"/>
      <c r="G77" s="73"/>
      <c r="H77" s="73"/>
      <c r="I77" s="73"/>
      <c r="J77" s="73"/>
      <c r="K77" s="92"/>
      <c r="L77" s="73"/>
      <c r="M77" s="73"/>
      <c r="N77" s="73"/>
      <c r="O77" s="73"/>
      <c r="P77" s="73"/>
      <c r="Q77" s="75"/>
      <c r="R77" s="82"/>
      <c r="S77" s="73"/>
      <c r="T77" s="73"/>
      <c r="U77" s="73"/>
      <c r="V77" s="73"/>
      <c r="W77" s="73"/>
      <c r="X77" s="73"/>
      <c r="Y77" s="77"/>
      <c r="Z77" s="104"/>
      <c r="AA77" s="73"/>
      <c r="AB77" s="104"/>
      <c r="AC77" s="104"/>
      <c r="AD77" s="74"/>
      <c r="AE77" s="106"/>
      <c r="AF77" s="195"/>
      <c r="AG77" s="80"/>
      <c r="AH77" s="104"/>
      <c r="AI77" s="73"/>
      <c r="AJ77" s="114"/>
      <c r="AK77" s="106"/>
      <c r="AL77" s="74"/>
      <c r="AM77" s="73"/>
      <c r="AN77" s="73"/>
      <c r="AO77" s="102"/>
      <c r="AP77" s="73"/>
      <c r="AQ77" s="73"/>
      <c r="AR77" s="74"/>
      <c r="AS77" s="73"/>
      <c r="AT77" s="73"/>
      <c r="AU77" s="73"/>
      <c r="AV77" s="73"/>
      <c r="AW77" s="73"/>
      <c r="AX77" s="74"/>
      <c r="AY77" s="73"/>
      <c r="AZ77" s="73"/>
      <c r="BA77" s="74"/>
      <c r="BB77" s="73"/>
      <c r="BC77" s="73"/>
      <c r="BD77" s="73"/>
      <c r="BE77" s="73" t="str">
        <f>IFERROR(__xludf.DUMMYFUNCTION("""COMPUTED_VALUE"""),"")</f>
        <v/>
      </c>
      <c r="BF77" s="73"/>
      <c r="BG77" s="73"/>
      <c r="BH77" s="73"/>
      <c r="BI77" s="73"/>
      <c r="BJ77" s="73" t="str">
        <f>IFERROR(__xludf.DUMMYFUNCTION("""COMPUTED_VALUE"""),"")</f>
        <v/>
      </c>
      <c r="BK77" s="73"/>
      <c r="BL77" s="73"/>
      <c r="BM77" s="73"/>
      <c r="BN77" s="73"/>
      <c r="BO77" s="73" t="str">
        <f>IFERROR(__xludf.DUMMYFUNCTION("""COMPUTED_VALUE"""),"")</f>
        <v/>
      </c>
      <c r="BP77" s="73"/>
      <c r="BQ77" s="73"/>
      <c r="BR77" s="73"/>
      <c r="BS77" s="73"/>
      <c r="BT77" s="74" t="str">
        <f>IFERROR(__xludf.DUMMYFUNCTION("""COMPUTED_VALUE"""),"")</f>
        <v/>
      </c>
      <c r="BU77" s="73"/>
      <c r="BV77" s="73"/>
      <c r="BW77" s="73"/>
      <c r="BX77" s="73"/>
      <c r="BY77" s="73"/>
      <c r="BZ77" s="73"/>
      <c r="CA77" s="73"/>
      <c r="CB77" s="73"/>
      <c r="CC77" s="73"/>
      <c r="CD77" s="73"/>
      <c r="CE77" s="73"/>
    </row>
    <row r="78">
      <c r="A78" s="86" t="str">
        <f>IFERROR(__xludf.DUMMYFUNCTION("""COMPUTED_VALUE"""),"Missile Barrage Quantity")</f>
        <v>Missile Barrage Quantity</v>
      </c>
      <c r="B78" s="87">
        <f>IFERROR(__xludf.DUMMYFUNCTION("""COMPUTED_VALUE"""),0.0)</f>
        <v>0</v>
      </c>
      <c r="C78" s="73"/>
      <c r="D78" s="88">
        <f>IFERROR(__xludf.DUMMYFUNCTION("""COMPUTED_VALUE"""),6.0)</f>
        <v>6</v>
      </c>
      <c r="E78" s="73"/>
      <c r="F78" s="73"/>
      <c r="G78" s="73"/>
      <c r="H78" s="73"/>
      <c r="I78" s="73"/>
      <c r="J78" s="73"/>
      <c r="K78" s="92"/>
      <c r="L78" s="73"/>
      <c r="M78" s="73"/>
      <c r="N78" s="73"/>
      <c r="O78" s="73"/>
      <c r="P78" s="73"/>
      <c r="Q78" s="75"/>
      <c r="R78" s="82"/>
      <c r="S78" s="73"/>
      <c r="T78" s="73"/>
      <c r="U78" s="73"/>
      <c r="V78" s="73"/>
      <c r="W78" s="73"/>
      <c r="X78" s="73"/>
      <c r="Y78" s="77"/>
      <c r="Z78" s="104"/>
      <c r="AA78" s="73"/>
      <c r="AB78" s="104"/>
      <c r="AC78" s="104"/>
      <c r="AD78" s="74"/>
      <c r="AE78" s="106"/>
      <c r="AF78" s="195"/>
      <c r="AG78" s="80"/>
      <c r="AH78" s="104"/>
      <c r="AI78" s="73"/>
      <c r="AJ78" s="114"/>
      <c r="AK78" s="106"/>
      <c r="AL78" s="74"/>
      <c r="AM78" s="73"/>
      <c r="AN78" s="73"/>
      <c r="AO78" s="102"/>
      <c r="AP78" s="73"/>
      <c r="AQ78" s="73"/>
      <c r="AR78" s="74"/>
      <c r="AS78" s="73"/>
      <c r="AT78" s="73"/>
      <c r="AU78" s="73"/>
      <c r="AV78" s="73"/>
      <c r="AW78" s="73"/>
      <c r="AX78" s="74"/>
      <c r="AY78" s="73"/>
      <c r="AZ78" s="73"/>
      <c r="BA78" s="74"/>
      <c r="BB78" s="73"/>
      <c r="BC78" s="73"/>
      <c r="BD78" s="73"/>
      <c r="BE78" s="73"/>
      <c r="BF78" s="73"/>
      <c r="BG78" s="73"/>
      <c r="BH78" s="73"/>
      <c r="BI78" s="73"/>
      <c r="BJ78" s="73"/>
      <c r="BK78" s="73"/>
      <c r="BL78" s="73"/>
      <c r="BM78" s="73"/>
      <c r="BN78" s="73"/>
      <c r="BO78" s="73"/>
      <c r="BP78" s="73"/>
      <c r="BQ78" s="73"/>
      <c r="BR78" s="73"/>
      <c r="BS78" s="73"/>
      <c r="BT78" s="74"/>
      <c r="BU78" s="73"/>
      <c r="BV78" s="73"/>
      <c r="BW78" s="73"/>
      <c r="BX78" s="73"/>
      <c r="BY78" s="73"/>
      <c r="BZ78" s="73"/>
      <c r="CA78" s="73"/>
      <c r="CB78" s="73"/>
      <c r="CC78" s="73"/>
      <c r="CD78" s="73"/>
      <c r="CE78" s="73"/>
    </row>
    <row r="79">
      <c r="A79" s="86" t="str">
        <f>IFERROR(__xludf.DUMMYFUNCTION("""COMPUTED_VALUE"""),"Inner Mine Stun")</f>
        <v>Inner Mine Stun</v>
      </c>
      <c r="B79" s="87">
        <f>IFERROR(__xludf.DUMMYFUNCTION("""COMPUTED_VALUE"""),0.0)</f>
        <v>0</v>
      </c>
      <c r="C79" s="73"/>
      <c r="D79" s="88">
        <f>IFERROR(__xludf.DUMMYFUNCTION("""COMPUTED_VALUE"""),1.0)</f>
        <v>1</v>
      </c>
      <c r="E79" s="73"/>
      <c r="F79" s="73"/>
      <c r="G79" s="73"/>
      <c r="H79" s="73"/>
      <c r="I79" s="73"/>
      <c r="J79" s="73"/>
      <c r="K79" s="92"/>
      <c r="L79" s="73"/>
      <c r="M79" s="73"/>
      <c r="N79" s="73"/>
      <c r="O79" s="73"/>
      <c r="P79" s="73"/>
      <c r="Q79" s="75"/>
      <c r="R79" s="82"/>
      <c r="S79" s="73"/>
      <c r="T79" s="73"/>
      <c r="U79" s="73"/>
      <c r="V79" s="73"/>
      <c r="W79" s="73"/>
      <c r="X79" s="73"/>
      <c r="Y79" s="77"/>
      <c r="Z79" s="104"/>
      <c r="AA79" s="73"/>
      <c r="AB79" s="104"/>
      <c r="AC79" s="104"/>
      <c r="AD79" s="74"/>
      <c r="AE79" s="106"/>
      <c r="AF79" s="195"/>
      <c r="AG79" s="80"/>
      <c r="AH79" s="104"/>
      <c r="AI79" s="73"/>
      <c r="AJ79" s="114"/>
      <c r="AK79" s="106"/>
      <c r="AL79" s="74"/>
      <c r="AM79" s="73"/>
      <c r="AN79" s="73"/>
      <c r="AO79" s="102"/>
      <c r="AP79" s="73"/>
      <c r="AQ79" s="73"/>
      <c r="AR79" s="74"/>
      <c r="AS79" s="73"/>
      <c r="AT79" s="73"/>
      <c r="AU79" s="73"/>
      <c r="AV79" s="73"/>
      <c r="AW79" s="73"/>
      <c r="AX79" s="74"/>
      <c r="AY79" s="73"/>
      <c r="AZ79" s="73"/>
      <c r="BA79" s="74"/>
      <c r="BB79" s="73" t="str">
        <f>IFERROR(__xludf.DUMMYFUNCTION("""COMPUTED_VALUE"""),"Shrink Ray")</f>
        <v>Shrink Ray</v>
      </c>
      <c r="BC79" s="73"/>
      <c r="BD79" s="73"/>
      <c r="BE79" s="73"/>
      <c r="BF79" s="73"/>
      <c r="BG79" s="73" t="str">
        <f>IFERROR(__xludf.DUMMYFUNCTION("""COMPUTED_VALUE"""),"Sharp Fortitude")</f>
        <v>Sharp Fortitude</v>
      </c>
      <c r="BH79" s="73"/>
      <c r="BI79" s="73"/>
      <c r="BJ79" s="73"/>
      <c r="BK79" s="73"/>
      <c r="BL79" s="73" t="str">
        <f>IFERROR(__xludf.DUMMYFUNCTION("""COMPUTED_VALUE"""),"Project Funding")</f>
        <v>Project Funding</v>
      </c>
      <c r="BM79" s="73"/>
      <c r="BN79" s="73"/>
      <c r="BO79" s="73"/>
      <c r="BP79" s="73"/>
      <c r="BQ79" s="73" t="str">
        <f>IFERROR(__xludf.DUMMYFUNCTION("""COMPUTED_VALUE"""),"Magnetic Hook")</f>
        <v>Magnetic Hook</v>
      </c>
      <c r="BR79" s="73"/>
      <c r="BS79" s="73"/>
      <c r="BT79" s="74"/>
      <c r="BU79" s="73"/>
      <c r="BV79" s="73"/>
      <c r="BW79" s="73"/>
      <c r="BX79" s="73"/>
      <c r="BY79" s="73"/>
      <c r="BZ79" s="73"/>
      <c r="CA79" s="73"/>
      <c r="CB79" s="73"/>
      <c r="CC79" s="73"/>
      <c r="CD79" s="73"/>
      <c r="CE79" s="73"/>
    </row>
    <row r="80">
      <c r="A80" s="86" t="str">
        <f>IFERROR(__xludf.DUMMYFUNCTION("""COMPUTED_VALUE"""),"Black Hole Damage")</f>
        <v>Black Hole Damage</v>
      </c>
      <c r="B80" s="87">
        <f>IFERROR(__xludf.DUMMYFUNCTION("""COMPUTED_VALUE"""),10.0)</f>
        <v>10</v>
      </c>
      <c r="C80" s="73"/>
      <c r="D80" s="88">
        <f>IFERROR(__xludf.DUMMYFUNCTION("""COMPUTED_VALUE"""),10.0)</f>
        <v>10</v>
      </c>
      <c r="E80" s="73"/>
      <c r="F80" s="73"/>
      <c r="G80" s="73"/>
      <c r="H80" s="73"/>
      <c r="I80" s="73"/>
      <c r="J80" s="73"/>
      <c r="K80" s="92"/>
      <c r="L80" s="73"/>
      <c r="M80" s="73"/>
      <c r="N80" s="73"/>
      <c r="O80" s="73"/>
      <c r="P80" s="73"/>
      <c r="Q80" s="75"/>
      <c r="R80" s="82"/>
      <c r="S80" s="73"/>
      <c r="T80" s="73"/>
      <c r="U80" s="73"/>
      <c r="V80" s="73"/>
      <c r="W80" s="73"/>
      <c r="X80" s="73"/>
      <c r="Y80" s="77"/>
      <c r="Z80" s="104"/>
      <c r="AA80" s="73"/>
      <c r="AB80" s="104"/>
      <c r="AC80" s="104"/>
      <c r="AD80" s="74"/>
      <c r="AE80" s="106"/>
      <c r="AF80" s="195"/>
      <c r="AG80" s="80"/>
      <c r="AH80" s="104"/>
      <c r="AI80" s="73"/>
      <c r="AJ80" s="114"/>
      <c r="AK80" s="106"/>
      <c r="AL80" s="74"/>
      <c r="AM80" s="73"/>
      <c r="AN80" s="73"/>
      <c r="AO80" s="102"/>
      <c r="AP80" s="73"/>
      <c r="AQ80" s="73"/>
      <c r="AR80" s="74"/>
      <c r="AS80" s="73"/>
      <c r="AT80" s="73"/>
      <c r="AU80" s="73"/>
      <c r="AV80" s="73"/>
      <c r="AW80" s="73"/>
      <c r="AX80" s="74"/>
      <c r="AY80" s="73"/>
      <c r="AZ80" s="73"/>
      <c r="BA80" s="74"/>
      <c r="BB80" s="73" t="str">
        <f>IFERROR(__xludf.DUMMYFUNCTION("""COMPUTED_VALUE"""),"Rarity")</f>
        <v>Rarity</v>
      </c>
      <c r="BC80" s="73" t="str">
        <f>IFERROR(__xludf.DUMMYFUNCTION("""COMPUTED_VALUE"""),"Level")</f>
        <v>Level</v>
      </c>
      <c r="BD80" s="73" t="str">
        <f>IFERROR(__xludf.DUMMYFUNCTION("""COMPUTED_VALUE"""),"Stat")</f>
        <v>Stat</v>
      </c>
      <c r="BE80" s="73"/>
      <c r="BF80" s="73"/>
      <c r="BG80" s="73" t="str">
        <f>IFERROR(__xludf.DUMMYFUNCTION("""COMPUTED_VALUE"""),"Rarity")</f>
        <v>Rarity</v>
      </c>
      <c r="BH80" s="73" t="str">
        <f>IFERROR(__xludf.DUMMYFUNCTION("""COMPUTED_VALUE"""),"Level")</f>
        <v>Level</v>
      </c>
      <c r="BI80" s="73" t="str">
        <f>IFERROR(__xludf.DUMMYFUNCTION("""COMPUTED_VALUE"""),"Stat")</f>
        <v>Stat</v>
      </c>
      <c r="BJ80" s="73"/>
      <c r="BK80" s="73"/>
      <c r="BL80" s="73" t="str">
        <f>IFERROR(__xludf.DUMMYFUNCTION("""COMPUTED_VALUE"""),"Rarity")</f>
        <v>Rarity</v>
      </c>
      <c r="BM80" s="73" t="str">
        <f>IFERROR(__xludf.DUMMYFUNCTION("""COMPUTED_VALUE"""),"Level")</f>
        <v>Level</v>
      </c>
      <c r="BN80" s="73" t="str">
        <f>IFERROR(__xludf.DUMMYFUNCTION("""COMPUTED_VALUE"""),"Stat")</f>
        <v>Stat</v>
      </c>
      <c r="BO80" s="73"/>
      <c r="BP80" s="73"/>
      <c r="BQ80" s="73" t="str">
        <f>IFERROR(__xludf.DUMMYFUNCTION("""COMPUTED_VALUE"""),"Rarity")</f>
        <v>Rarity</v>
      </c>
      <c r="BR80" s="73" t="str">
        <f>IFERROR(__xludf.DUMMYFUNCTION("""COMPUTED_VALUE"""),"Level")</f>
        <v>Level</v>
      </c>
      <c r="BS80" s="73" t="str">
        <f>IFERROR(__xludf.DUMMYFUNCTION("""COMPUTED_VALUE"""),"Stat")</f>
        <v>Stat</v>
      </c>
      <c r="BT80" s="74"/>
      <c r="BU80" s="73"/>
      <c r="BV80" s="73"/>
      <c r="BW80" s="73"/>
      <c r="BX80" s="73"/>
      <c r="BY80" s="73"/>
      <c r="BZ80" s="73"/>
      <c r="CA80" s="73"/>
      <c r="CB80" s="73"/>
      <c r="CC80" s="73"/>
      <c r="CD80" s="73"/>
      <c r="CE80" s="73"/>
    </row>
    <row r="81">
      <c r="A81" s="86" t="str">
        <f>IFERROR(__xludf.DUMMYFUNCTION("""COMPUTED_VALUE"""),"Extra Black Hole")</f>
        <v>Extra Black Hole</v>
      </c>
      <c r="B81" s="87">
        <f>IFERROR(__xludf.DUMMYFUNCTION("""COMPUTED_VALUE"""),1.0)</f>
        <v>1</v>
      </c>
      <c r="C81" s="73"/>
      <c r="D81" s="88">
        <f>IFERROR(__xludf.DUMMYFUNCTION("""COMPUTED_VALUE"""),1.0)</f>
        <v>1</v>
      </c>
      <c r="E81" s="73"/>
      <c r="F81" s="73"/>
      <c r="G81" s="73"/>
      <c r="H81" s="73"/>
      <c r="I81" s="73"/>
      <c r="J81" s="73"/>
      <c r="K81" s="92"/>
      <c r="L81" s="73"/>
      <c r="M81" s="73"/>
      <c r="N81" s="73"/>
      <c r="O81" s="73"/>
      <c r="P81" s="73"/>
      <c r="Q81" s="75"/>
      <c r="R81" s="82"/>
      <c r="S81" s="73"/>
      <c r="T81" s="73"/>
      <c r="U81" s="73"/>
      <c r="V81" s="73"/>
      <c r="W81" s="73"/>
      <c r="X81" s="73"/>
      <c r="Y81" s="77"/>
      <c r="Z81" s="104"/>
      <c r="AA81" s="73"/>
      <c r="AB81" s="104"/>
      <c r="AC81" s="104"/>
      <c r="AD81" s="74"/>
      <c r="AE81" s="106"/>
      <c r="AF81" s="195"/>
      <c r="AG81" s="80"/>
      <c r="AH81" s="104"/>
      <c r="AI81" s="73"/>
      <c r="AJ81" s="114"/>
      <c r="AK81" s="106"/>
      <c r="AL81" s="74"/>
      <c r="AM81" s="73"/>
      <c r="AN81" s="73"/>
      <c r="AO81" s="102"/>
      <c r="AP81" s="73"/>
      <c r="AQ81" s="73"/>
      <c r="AR81" s="74"/>
      <c r="AS81" s="73"/>
      <c r="AT81" s="73"/>
      <c r="AU81" s="73"/>
      <c r="AV81" s="73"/>
      <c r="AW81" s="73"/>
      <c r="AX81" s="74"/>
      <c r="AY81" s="73"/>
      <c r="AZ81" s="73"/>
      <c r="BA81" s="74"/>
      <c r="BB81" s="73" t="str">
        <f>IFERROR(__xludf.DUMMYFUNCTION("""COMPUTED_VALUE"""),"Legendary")</f>
        <v>Legendary</v>
      </c>
      <c r="BC81" s="107">
        <f>IFERROR(__xludf.DUMMYFUNCTION("""COMPUTED_VALUE"""),100.0)</f>
        <v>100</v>
      </c>
      <c r="BD81" s="132">
        <f>IFERROR(__xludf.DUMMYFUNCTION("""COMPUTED_VALUE"""),2.27)</f>
        <v>2.27</v>
      </c>
      <c r="BE81" s="73"/>
      <c r="BF81" s="73"/>
      <c r="BG81" s="73" t="str">
        <f>IFERROR(__xludf.DUMMYFUNCTION("""COMPUTED_VALUE"""),"Ancestral")</f>
        <v>Ancestral</v>
      </c>
      <c r="BH81" s="107">
        <f>IFERROR(__xludf.DUMMYFUNCTION("""COMPUTED_VALUE"""),163.0)</f>
        <v>163</v>
      </c>
      <c r="BI81" s="132">
        <f>IFERROR(__xludf.DUMMYFUNCTION("""COMPUTED_VALUE"""),8.84)</f>
        <v>8.84</v>
      </c>
      <c r="BJ81" s="73"/>
      <c r="BK81" s="73"/>
      <c r="BL81" s="73" t="str">
        <f>IFERROR(__xludf.DUMMYFUNCTION("""COMPUTED_VALUE"""),"Mythic+")</f>
        <v>Mythic+</v>
      </c>
      <c r="BM81" s="107">
        <f>IFERROR(__xludf.DUMMYFUNCTION("""COMPUTED_VALUE"""),160.0)</f>
        <v>160</v>
      </c>
      <c r="BN81" s="132">
        <f>IFERROR(__xludf.DUMMYFUNCTION("""COMPUTED_VALUE"""),1.665)</f>
        <v>1.665</v>
      </c>
      <c r="BO81" s="73"/>
      <c r="BP81" s="73"/>
      <c r="BQ81" s="73" t="str">
        <f>IFERROR(__xludf.DUMMYFUNCTION("""COMPUTED_VALUE"""),"Ancestral")</f>
        <v>Ancestral</v>
      </c>
      <c r="BR81" s="107">
        <f>IFERROR(__xludf.DUMMYFUNCTION("""COMPUTED_VALUE"""),159.0)</f>
        <v>159</v>
      </c>
      <c r="BS81" s="132">
        <f>IFERROR(__xludf.DUMMYFUNCTION("""COMPUTED_VALUE"""),10.9)</f>
        <v>10.9</v>
      </c>
      <c r="BT81" s="74"/>
      <c r="BU81" s="73"/>
      <c r="BV81" s="73"/>
      <c r="BW81" s="73"/>
      <c r="BX81" s="73"/>
      <c r="BY81" s="73"/>
      <c r="BZ81" s="73"/>
      <c r="CA81" s="73"/>
      <c r="CB81" s="73"/>
      <c r="CC81" s="73"/>
      <c r="CD81" s="73"/>
      <c r="CE81" s="73"/>
    </row>
    <row r="82">
      <c r="A82" s="86" t="str">
        <f>IFERROR(__xludf.DUMMYFUNCTION("""COMPUTED_VALUE"""),"Black Hole Coin Bonus")</f>
        <v>Black Hole Coin Bonus</v>
      </c>
      <c r="B82" s="87">
        <f>IFERROR(__xludf.DUMMYFUNCTION("""COMPUTED_VALUE"""),20.0)</f>
        <v>20</v>
      </c>
      <c r="C82" s="73"/>
      <c r="D82" s="88">
        <f>IFERROR(__xludf.DUMMYFUNCTION("""COMPUTED_VALUE"""),20.0)</f>
        <v>20</v>
      </c>
      <c r="E82" s="73"/>
      <c r="F82" s="73"/>
      <c r="G82" s="73"/>
      <c r="H82" s="73"/>
      <c r="I82" s="73"/>
      <c r="J82" s="73"/>
      <c r="K82" s="92"/>
      <c r="L82" s="73"/>
      <c r="M82" s="73"/>
      <c r="N82" s="73"/>
      <c r="O82" s="73"/>
      <c r="P82" s="73"/>
      <c r="Q82" s="75"/>
      <c r="R82" s="82"/>
      <c r="S82" s="73"/>
      <c r="T82" s="73"/>
      <c r="U82" s="73"/>
      <c r="V82" s="73"/>
      <c r="W82" s="73"/>
      <c r="X82" s="73"/>
      <c r="Y82" s="77"/>
      <c r="Z82" s="104"/>
      <c r="AA82" s="73"/>
      <c r="AB82" s="104"/>
      <c r="AC82" s="104"/>
      <c r="AD82" s="74"/>
      <c r="AE82" s="106"/>
      <c r="AF82" s="195"/>
      <c r="AG82" s="80"/>
      <c r="AH82" s="104"/>
      <c r="AI82" s="73"/>
      <c r="AJ82" s="114"/>
      <c r="AK82" s="106"/>
      <c r="AL82" s="74"/>
      <c r="AM82" s="73"/>
      <c r="AN82" s="73"/>
      <c r="AO82" s="102"/>
      <c r="AP82" s="73"/>
      <c r="AQ82" s="73"/>
      <c r="AR82" s="74"/>
      <c r="AS82" s="73"/>
      <c r="AT82" s="73"/>
      <c r="AU82" s="73"/>
      <c r="AV82" s="73"/>
      <c r="AW82" s="73"/>
      <c r="AX82" s="74"/>
      <c r="AY82" s="73"/>
      <c r="AZ82" s="73"/>
      <c r="BA82" s="74"/>
      <c r="BB82" s="73"/>
      <c r="BC82" s="73"/>
      <c r="BD82" s="73"/>
      <c r="BE82" s="73"/>
      <c r="BF82" s="73"/>
      <c r="BG82" s="73"/>
      <c r="BH82" s="73"/>
      <c r="BI82" s="73"/>
      <c r="BJ82" s="73"/>
      <c r="BK82" s="73"/>
      <c r="BL82" s="73"/>
      <c r="BM82" s="73"/>
      <c r="BN82" s="73"/>
      <c r="BO82" s="73"/>
      <c r="BP82" s="73"/>
      <c r="BQ82" s="73"/>
      <c r="BR82" s="73"/>
      <c r="BS82" s="73"/>
      <c r="BT82" s="74"/>
      <c r="BU82" s="73"/>
      <c r="BV82" s="73"/>
      <c r="BW82" s="73"/>
      <c r="BX82" s="73"/>
      <c r="BY82" s="73"/>
      <c r="BZ82" s="73"/>
      <c r="CA82" s="73"/>
      <c r="CB82" s="73"/>
      <c r="CC82" s="73"/>
      <c r="CD82" s="73"/>
      <c r="CE82" s="73"/>
    </row>
    <row r="83">
      <c r="A83" s="86" t="str">
        <f>IFERROR(__xludf.DUMMYFUNCTION("""COMPUTED_VALUE"""),"Spotlight Coin Bonus")</f>
        <v>Spotlight Coin Bonus</v>
      </c>
      <c r="B83" s="87">
        <f>IFERROR(__xludf.DUMMYFUNCTION("""COMPUTED_VALUE"""),20.0)</f>
        <v>20</v>
      </c>
      <c r="C83" s="73"/>
      <c r="D83" s="88">
        <f>IFERROR(__xludf.DUMMYFUNCTION("""COMPUTED_VALUE"""),20.0)</f>
        <v>20</v>
      </c>
      <c r="E83" s="73"/>
      <c r="F83" s="73"/>
      <c r="G83" s="73"/>
      <c r="H83" s="73"/>
      <c r="I83" s="73"/>
      <c r="J83" s="73"/>
      <c r="K83" s="92"/>
      <c r="L83" s="73"/>
      <c r="M83" s="73"/>
      <c r="N83" s="73"/>
      <c r="O83" s="73"/>
      <c r="P83" s="73"/>
      <c r="Q83" s="75"/>
      <c r="R83" s="82"/>
      <c r="S83" s="73"/>
      <c r="T83" s="73"/>
      <c r="U83" s="73"/>
      <c r="V83" s="73"/>
      <c r="W83" s="73"/>
      <c r="X83" s="73"/>
      <c r="Y83" s="77"/>
      <c r="Z83" s="104"/>
      <c r="AA83" s="73"/>
      <c r="AB83" s="104"/>
      <c r="AC83" s="104"/>
      <c r="AD83" s="74"/>
      <c r="AE83" s="106"/>
      <c r="AF83" s="195"/>
      <c r="AG83" s="80"/>
      <c r="AH83" s="104"/>
      <c r="AI83" s="73"/>
      <c r="AJ83" s="114"/>
      <c r="AK83" s="106"/>
      <c r="AL83" s="74"/>
      <c r="AM83" s="73"/>
      <c r="AN83" s="73"/>
      <c r="AO83" s="102"/>
      <c r="AP83" s="73"/>
      <c r="AQ83" s="73"/>
      <c r="AR83" s="74"/>
      <c r="AS83" s="73"/>
      <c r="AT83" s="73"/>
      <c r="AU83" s="73"/>
      <c r="AV83" s="73"/>
      <c r="AW83" s="73"/>
      <c r="AX83" s="74"/>
      <c r="AY83" s="73"/>
      <c r="AZ83" s="73"/>
      <c r="BA83" s="74"/>
      <c r="BB83" s="73"/>
      <c r="BC83" s="73"/>
      <c r="BD83" s="73"/>
      <c r="BE83" s="73" t="str">
        <f>IFERROR(__xludf.DUMMYFUNCTION("""COMPUTED_VALUE"""),"")</f>
        <v/>
      </c>
      <c r="BF83" s="73"/>
      <c r="BG83" s="73" t="str">
        <f>IFERROR(__xludf.DUMMYFUNCTION("""COMPUTED_VALUE"""),"Health Regen")</f>
        <v>Health Regen</v>
      </c>
      <c r="BH83" s="73" t="str">
        <f>IFERROR(__xludf.DUMMYFUNCTION("""COMPUTED_VALUE"""),"Ancestral")</f>
        <v>Ancestral</v>
      </c>
      <c r="BI83" s="73" t="str">
        <f>IFERROR(__xludf.DUMMYFUNCTION("""COMPUTED_VALUE"""),"+400%")</f>
        <v>+400%</v>
      </c>
      <c r="BJ83" s="107">
        <f>IFERROR(__xludf.DUMMYFUNCTION("""COMPUTED_VALUE"""),4.0)</f>
        <v>4</v>
      </c>
      <c r="BK83" s="73"/>
      <c r="BL83" s="73" t="str">
        <f>IFERROR(__xludf.DUMMYFUNCTION("""COMPUTED_VALUE"""),"Enemy Attack Level Skip")</f>
        <v>Enemy Attack Level Skip</v>
      </c>
      <c r="BM83" s="73" t="str">
        <f>IFERROR(__xludf.DUMMYFUNCTION("""COMPUTED_VALUE"""),"Mythic")</f>
        <v>Mythic</v>
      </c>
      <c r="BN83" s="73" t="str">
        <f>IFERROR(__xludf.DUMMYFUNCTION("""COMPUTED_VALUE"""),"+6%")</f>
        <v>+6%</v>
      </c>
      <c r="BO83" s="107">
        <f>IFERROR(__xludf.DUMMYFUNCTION("""COMPUTED_VALUE"""),0.06)</f>
        <v>0.06</v>
      </c>
      <c r="BP83" s="73"/>
      <c r="BQ83" s="73"/>
      <c r="BR83" s="73"/>
      <c r="BS83" s="73"/>
      <c r="BT83" s="74" t="str">
        <f>IFERROR(__xludf.DUMMYFUNCTION("""COMPUTED_VALUE"""),"")</f>
        <v/>
      </c>
      <c r="BU83" s="73"/>
      <c r="BV83" s="73"/>
      <c r="BW83" s="73"/>
      <c r="BX83" s="73"/>
      <c r="BY83" s="73"/>
      <c r="BZ83" s="73"/>
      <c r="CA83" s="73"/>
      <c r="CB83" s="73"/>
      <c r="CC83" s="73"/>
      <c r="CD83" s="73"/>
      <c r="CE83" s="73"/>
    </row>
    <row r="84">
      <c r="A84" s="86" t="str">
        <f>IFERROR(__xludf.DUMMYFUNCTION("""COMPUTED_VALUE"""),"Spotlight Missiles")</f>
        <v>Spotlight Missiles</v>
      </c>
      <c r="B84" s="87">
        <f>IFERROR(__xludf.DUMMYFUNCTION("""COMPUTED_VALUE"""),1.0)</f>
        <v>1</v>
      </c>
      <c r="C84" s="73"/>
      <c r="D84" s="88">
        <f>IFERROR(__xludf.DUMMYFUNCTION("""COMPUTED_VALUE"""),18.0)</f>
        <v>18</v>
      </c>
      <c r="E84" s="73"/>
      <c r="F84" s="73"/>
      <c r="G84" s="73"/>
      <c r="H84" s="73"/>
      <c r="I84" s="73"/>
      <c r="J84" s="73"/>
      <c r="K84" s="92"/>
      <c r="L84" s="73"/>
      <c r="M84" s="73"/>
      <c r="N84" s="73"/>
      <c r="O84" s="73"/>
      <c r="P84" s="73"/>
      <c r="Q84" s="75"/>
      <c r="R84" s="82"/>
      <c r="S84" s="73"/>
      <c r="T84" s="73"/>
      <c r="U84" s="73"/>
      <c r="V84" s="73"/>
      <c r="W84" s="73"/>
      <c r="X84" s="73"/>
      <c r="Y84" s="77"/>
      <c r="Z84" s="104"/>
      <c r="AA84" s="73"/>
      <c r="AB84" s="104"/>
      <c r="AC84" s="104"/>
      <c r="AD84" s="74"/>
      <c r="AE84" s="106"/>
      <c r="AF84" s="195"/>
      <c r="AG84" s="80"/>
      <c r="AH84" s="104"/>
      <c r="AI84" s="73"/>
      <c r="AJ84" s="114"/>
      <c r="AK84" s="106"/>
      <c r="AL84" s="74"/>
      <c r="AM84" s="73"/>
      <c r="AN84" s="73"/>
      <c r="AO84" s="102"/>
      <c r="AP84" s="73"/>
      <c r="AQ84" s="73"/>
      <c r="AR84" s="74"/>
      <c r="AS84" s="73"/>
      <c r="AT84" s="73"/>
      <c r="AU84" s="73"/>
      <c r="AV84" s="73"/>
      <c r="AW84" s="73"/>
      <c r="AX84" s="74"/>
      <c r="AY84" s="73"/>
      <c r="AZ84" s="73"/>
      <c r="BA84" s="74"/>
      <c r="BB84" s="73"/>
      <c r="BC84" s="73"/>
      <c r="BD84" s="73"/>
      <c r="BE84" s="73" t="str">
        <f>IFERROR(__xludf.DUMMYFUNCTION("""COMPUTED_VALUE"""),"")</f>
        <v/>
      </c>
      <c r="BF84" s="73"/>
      <c r="BG84" s="73" t="str">
        <f>IFERROR(__xludf.DUMMYFUNCTION("""COMPUTED_VALUE"""),"Knockback Force")</f>
        <v>Knockback Force</v>
      </c>
      <c r="BH84" s="73" t="str">
        <f>IFERROR(__xludf.DUMMYFUNCTION("""COMPUTED_VALUE"""),"Mythic")</f>
        <v>Mythic</v>
      </c>
      <c r="BI84" s="73" t="str">
        <f>IFERROR(__xludf.DUMMYFUNCTION("""COMPUTED_VALUE"""),"+0.9")</f>
        <v>+0.9</v>
      </c>
      <c r="BJ84" s="107">
        <f>IFERROR(__xludf.DUMMYFUNCTION("""COMPUTED_VALUE"""),0.9)</f>
        <v>0.9</v>
      </c>
      <c r="BK84" s="73"/>
      <c r="BL84" s="73" t="str">
        <f>IFERROR(__xludf.DUMMYFUNCTION("""COMPUTED_VALUE"""),"Enemy Health Level Skip")</f>
        <v>Enemy Health Level Skip</v>
      </c>
      <c r="BM84" s="73" t="str">
        <f>IFERROR(__xludf.DUMMYFUNCTION("""COMPUTED_VALUE"""),"Mythic")</f>
        <v>Mythic</v>
      </c>
      <c r="BN84" s="73" t="str">
        <f>IFERROR(__xludf.DUMMYFUNCTION("""COMPUTED_VALUE"""),"+6%")</f>
        <v>+6%</v>
      </c>
      <c r="BO84" s="107">
        <f>IFERROR(__xludf.DUMMYFUNCTION("""COMPUTED_VALUE"""),0.06)</f>
        <v>0.06</v>
      </c>
      <c r="BP84" s="73"/>
      <c r="BQ84" s="73"/>
      <c r="BR84" s="73"/>
      <c r="BS84" s="73"/>
      <c r="BT84" s="74" t="str">
        <f>IFERROR(__xludf.DUMMYFUNCTION("""COMPUTED_VALUE"""),"")</f>
        <v/>
      </c>
      <c r="BU84" s="73"/>
      <c r="BV84" s="73"/>
      <c r="BW84" s="73"/>
      <c r="BX84" s="73"/>
      <c r="BY84" s="73"/>
      <c r="BZ84" s="73"/>
      <c r="CA84" s="73"/>
      <c r="CB84" s="73"/>
      <c r="CC84" s="73"/>
      <c r="CD84" s="73"/>
      <c r="CE84" s="73"/>
    </row>
    <row r="85">
      <c r="A85" s="86" t="str">
        <f>IFERROR(__xludf.DUMMYFUNCTION("""COMPUTED_VALUE"""),"Black Hole Disable Ranged Enemies")</f>
        <v>Black Hole Disable Ranged Enemies</v>
      </c>
      <c r="B85" s="87">
        <f>IFERROR(__xludf.DUMMYFUNCTION("""COMPUTED_VALUE"""),1.0)</f>
        <v>1</v>
      </c>
      <c r="C85" s="73"/>
      <c r="D85" s="88">
        <f>IFERROR(__xludf.DUMMYFUNCTION("""COMPUTED_VALUE"""),1.0)</f>
        <v>1</v>
      </c>
      <c r="E85" s="73"/>
      <c r="F85" s="73"/>
      <c r="G85" s="73"/>
      <c r="H85" s="73"/>
      <c r="I85" s="73"/>
      <c r="J85" s="73"/>
      <c r="K85" s="92"/>
      <c r="L85" s="73"/>
      <c r="M85" s="73"/>
      <c r="N85" s="73"/>
      <c r="O85" s="73"/>
      <c r="P85" s="73"/>
      <c r="Q85" s="75"/>
      <c r="R85" s="82"/>
      <c r="S85" s="73"/>
      <c r="T85" s="73"/>
      <c r="U85" s="73"/>
      <c r="V85" s="73"/>
      <c r="W85" s="73"/>
      <c r="X85" s="73"/>
      <c r="Y85" s="77"/>
      <c r="Z85" s="104"/>
      <c r="AA85" s="73"/>
      <c r="AB85" s="104"/>
      <c r="AC85" s="104"/>
      <c r="AD85" s="74"/>
      <c r="AE85" s="106"/>
      <c r="AF85" s="195"/>
      <c r="AG85" s="80"/>
      <c r="AH85" s="104"/>
      <c r="AI85" s="73"/>
      <c r="AJ85" s="114"/>
      <c r="AK85" s="106"/>
      <c r="AL85" s="74"/>
      <c r="AM85" s="73"/>
      <c r="AN85" s="73"/>
      <c r="AO85" s="102"/>
      <c r="AP85" s="73"/>
      <c r="AQ85" s="73"/>
      <c r="AR85" s="74"/>
      <c r="AS85" s="73"/>
      <c r="AT85" s="73"/>
      <c r="AU85" s="73"/>
      <c r="AV85" s="73"/>
      <c r="AW85" s="73"/>
      <c r="AX85" s="74"/>
      <c r="AY85" s="73"/>
      <c r="AZ85" s="73"/>
      <c r="BA85" s="74"/>
      <c r="BB85" s="73"/>
      <c r="BC85" s="73"/>
      <c r="BD85" s="73"/>
      <c r="BE85" s="73" t="str">
        <f>IFERROR(__xludf.DUMMYFUNCTION("""COMPUTED_VALUE"""),"")</f>
        <v/>
      </c>
      <c r="BF85" s="73"/>
      <c r="BG85" s="73" t="str">
        <f>IFERROR(__xludf.DUMMYFUNCTION("""COMPUTED_VALUE"""),"Defense %")</f>
        <v>Defense %</v>
      </c>
      <c r="BH85" s="73" t="str">
        <f>IFERROR(__xludf.DUMMYFUNCTION("""COMPUTED_VALUE"""),"Ancestral")</f>
        <v>Ancestral</v>
      </c>
      <c r="BI85" s="73" t="str">
        <f>IFERROR(__xludf.DUMMYFUNCTION("""COMPUTED_VALUE"""),"+8%")</f>
        <v>+8%</v>
      </c>
      <c r="BJ85" s="107">
        <f>IFERROR(__xludf.DUMMYFUNCTION("""COMPUTED_VALUE"""),0.08)</f>
        <v>0.08</v>
      </c>
      <c r="BK85" s="73"/>
      <c r="BL85" s="73" t="str">
        <f>IFERROR(__xludf.DUMMYFUNCTION("""COMPUTED_VALUE"""),"Free Utility Upgrade")</f>
        <v>Free Utility Upgrade</v>
      </c>
      <c r="BM85" s="73" t="str">
        <f>IFERROR(__xludf.DUMMYFUNCTION("""COMPUTED_VALUE"""),"Mythic")</f>
        <v>Mythic</v>
      </c>
      <c r="BN85" s="73" t="str">
        <f>IFERROR(__xludf.DUMMYFUNCTION("""COMPUTED_VALUE"""),"+10%")</f>
        <v>+10%</v>
      </c>
      <c r="BO85" s="107">
        <f>IFERROR(__xludf.DUMMYFUNCTION("""COMPUTED_VALUE"""),0.1)</f>
        <v>0.1</v>
      </c>
      <c r="BP85" s="73"/>
      <c r="BQ85" s="73"/>
      <c r="BR85" s="73"/>
      <c r="BS85" s="73"/>
      <c r="BT85" s="74" t="str">
        <f>IFERROR(__xludf.DUMMYFUNCTION("""COMPUTED_VALUE"""),"")</f>
        <v/>
      </c>
      <c r="BU85" s="73"/>
      <c r="BV85" s="73"/>
      <c r="BW85" s="73"/>
      <c r="BX85" s="73"/>
      <c r="BY85" s="73"/>
      <c r="BZ85" s="73"/>
      <c r="CA85" s="73"/>
      <c r="CB85" s="73"/>
      <c r="CC85" s="73"/>
      <c r="CD85" s="73"/>
      <c r="CE85" s="73"/>
    </row>
    <row r="86">
      <c r="A86" s="86" t="str">
        <f>IFERROR(__xludf.DUMMYFUNCTION("""COMPUTED_VALUE"""),"Recharge Missile Barrage")</f>
        <v>Recharge Missile Barrage</v>
      </c>
      <c r="B86" s="87">
        <f>IFERROR(__xludf.DUMMYFUNCTION("""COMPUTED_VALUE"""),0.0)</f>
        <v>0</v>
      </c>
      <c r="C86" s="73"/>
      <c r="D86" s="88">
        <f>IFERROR(__xludf.DUMMYFUNCTION("""COMPUTED_VALUE"""),7.0)</f>
        <v>7</v>
      </c>
      <c r="E86" s="73"/>
      <c r="F86" s="73"/>
      <c r="G86" s="73"/>
      <c r="H86" s="73"/>
      <c r="I86" s="73"/>
      <c r="J86" s="73"/>
      <c r="K86" s="92"/>
      <c r="L86" s="73"/>
      <c r="M86" s="73"/>
      <c r="N86" s="73"/>
      <c r="O86" s="73"/>
      <c r="P86" s="73"/>
      <c r="Q86" s="75"/>
      <c r="R86" s="82"/>
      <c r="S86" s="73"/>
      <c r="T86" s="73"/>
      <c r="U86" s="73"/>
      <c r="V86" s="73"/>
      <c r="W86" s="73"/>
      <c r="X86" s="73"/>
      <c r="Y86" s="77"/>
      <c r="Z86" s="104"/>
      <c r="AA86" s="73"/>
      <c r="AB86" s="104"/>
      <c r="AC86" s="104"/>
      <c r="AD86" s="74"/>
      <c r="AE86" s="106"/>
      <c r="AF86" s="195"/>
      <c r="AG86" s="80"/>
      <c r="AH86" s="104"/>
      <c r="AI86" s="73"/>
      <c r="AJ86" s="114"/>
      <c r="AK86" s="106"/>
      <c r="AL86" s="74"/>
      <c r="AM86" s="73"/>
      <c r="AN86" s="73"/>
      <c r="AO86" s="102"/>
      <c r="AP86" s="73"/>
      <c r="AQ86" s="73"/>
      <c r="AR86" s="74"/>
      <c r="AS86" s="73"/>
      <c r="AT86" s="73"/>
      <c r="AU86" s="73"/>
      <c r="AV86" s="73"/>
      <c r="AW86" s="73"/>
      <c r="AX86" s="74"/>
      <c r="AY86" s="73"/>
      <c r="AZ86" s="73"/>
      <c r="BA86" s="74"/>
      <c r="BB86" s="73"/>
      <c r="BC86" s="73"/>
      <c r="BD86" s="73"/>
      <c r="BE86" s="73" t="str">
        <f>IFERROR(__xludf.DUMMYFUNCTION("""COMPUTED_VALUE"""),"")</f>
        <v/>
      </c>
      <c r="BF86" s="73"/>
      <c r="BG86" s="73" t="str">
        <f>IFERROR(__xludf.DUMMYFUNCTION("""COMPUTED_VALUE"""),"Wall Health")</f>
        <v>Wall Health</v>
      </c>
      <c r="BH86" s="73" t="str">
        <f>IFERROR(__xludf.DUMMYFUNCTION("""COMPUTED_VALUE"""),"Ancestral")</f>
        <v>Ancestral</v>
      </c>
      <c r="BI86" s="73" t="str">
        <f>IFERROR(__xludf.DUMMYFUNCTION("""COMPUTED_VALUE"""),"+120%")</f>
        <v>+120%</v>
      </c>
      <c r="BJ86" s="107">
        <f>IFERROR(__xludf.DUMMYFUNCTION("""COMPUTED_VALUE"""),1.2)</f>
        <v>1.2</v>
      </c>
      <c r="BK86" s="73"/>
      <c r="BL86" s="73" t="str">
        <f>IFERROR(__xludf.DUMMYFUNCTION("""COMPUTED_VALUE"""),"Free Defense Upgrade")</f>
        <v>Free Defense Upgrade</v>
      </c>
      <c r="BM86" s="73" t="str">
        <f>IFERROR(__xludf.DUMMYFUNCTION("""COMPUTED_VALUE"""),"Epic")</f>
        <v>Epic</v>
      </c>
      <c r="BN86" s="73" t="str">
        <f>IFERROR(__xludf.DUMMYFUNCTION("""COMPUTED_VALUE"""),"+6%")</f>
        <v>+6%</v>
      </c>
      <c r="BO86" s="73">
        <f>IFERROR(__xludf.DUMMYFUNCTION("""COMPUTED_VALUE"""),0.06)</f>
        <v>0.06</v>
      </c>
      <c r="BP86" s="73"/>
      <c r="BQ86" s="73"/>
      <c r="BR86" s="73"/>
      <c r="BS86" s="73"/>
      <c r="BT86" s="74" t="str">
        <f>IFERROR(__xludf.DUMMYFUNCTION("""COMPUTED_VALUE"""),"")</f>
        <v/>
      </c>
      <c r="BU86" s="73"/>
      <c r="BV86" s="73"/>
      <c r="BW86" s="73"/>
      <c r="BX86" s="73"/>
      <c r="BY86" s="73"/>
      <c r="BZ86" s="73"/>
      <c r="CA86" s="73"/>
      <c r="CB86" s="73"/>
      <c r="CC86" s="73"/>
      <c r="CD86" s="73"/>
      <c r="CE86" s="73"/>
    </row>
    <row r="87">
      <c r="A87" s="86" t="str">
        <f>IFERROR(__xludf.DUMMYFUNCTION("""COMPUTED_VALUE"""),"Swamp Rend")</f>
        <v>Swamp Rend</v>
      </c>
      <c r="B87" s="87">
        <f>IFERROR(__xludf.DUMMYFUNCTION("""COMPUTED_VALUE"""),0.0)</f>
        <v>0</v>
      </c>
      <c r="C87" s="73"/>
      <c r="D87" s="88">
        <f>IFERROR(__xludf.DUMMYFUNCTION("""COMPUTED_VALUE"""),30.0)</f>
        <v>30</v>
      </c>
      <c r="E87" s="73"/>
      <c r="F87" s="73"/>
      <c r="G87" s="73"/>
      <c r="H87" s="73"/>
      <c r="I87" s="73"/>
      <c r="J87" s="73"/>
      <c r="K87" s="92"/>
      <c r="L87" s="73"/>
      <c r="M87" s="73"/>
      <c r="N87" s="73"/>
      <c r="O87" s="73"/>
      <c r="P87" s="73"/>
      <c r="Q87" s="75"/>
      <c r="R87" s="82"/>
      <c r="S87" s="73"/>
      <c r="T87" s="73"/>
      <c r="U87" s="73"/>
      <c r="V87" s="73"/>
      <c r="W87" s="73"/>
      <c r="X87" s="73"/>
      <c r="Y87" s="77"/>
      <c r="Z87" s="104"/>
      <c r="AA87" s="73"/>
      <c r="AB87" s="104"/>
      <c r="AC87" s="104"/>
      <c r="AD87" s="74"/>
      <c r="AE87" s="106"/>
      <c r="AF87" s="195"/>
      <c r="AG87" s="80"/>
      <c r="AH87" s="104"/>
      <c r="AI87" s="73"/>
      <c r="AJ87" s="114"/>
      <c r="AK87" s="106"/>
      <c r="AL87" s="74"/>
      <c r="AM87" s="73"/>
      <c r="AN87" s="73"/>
      <c r="AO87" s="102"/>
      <c r="AP87" s="73"/>
      <c r="AQ87" s="73"/>
      <c r="AR87" s="74"/>
      <c r="AS87" s="73"/>
      <c r="AT87" s="73"/>
      <c r="AU87" s="73"/>
      <c r="AV87" s="73"/>
      <c r="AW87" s="73"/>
      <c r="AX87" s="74"/>
      <c r="AY87" s="73"/>
      <c r="AZ87" s="73"/>
      <c r="BA87" s="74"/>
      <c r="BB87" s="73"/>
      <c r="BC87" s="73"/>
      <c r="BD87" s="73"/>
      <c r="BE87" s="73" t="str">
        <f>IFERROR(__xludf.DUMMYFUNCTION("""COMPUTED_VALUE"""),"")</f>
        <v/>
      </c>
      <c r="BF87" s="73"/>
      <c r="BG87" s="73" t="str">
        <f>IFERROR(__xludf.DUMMYFUNCTION("""COMPUTED_VALUE"""),"Thorns Damage")</f>
        <v>Thorns Damage</v>
      </c>
      <c r="BH87" s="73" t="str">
        <f>IFERROR(__xludf.DUMMYFUNCTION("""COMPUTED_VALUE"""),"Ancestral")</f>
        <v>Ancestral</v>
      </c>
      <c r="BI87" s="73" t="str">
        <f>IFERROR(__xludf.DUMMYFUNCTION("""COMPUTED_VALUE"""),"+10%")</f>
        <v>+10%</v>
      </c>
      <c r="BJ87" s="73">
        <f>IFERROR(__xludf.DUMMYFUNCTION("""COMPUTED_VALUE"""),0.1)</f>
        <v>0.1</v>
      </c>
      <c r="BK87" s="73"/>
      <c r="BL87" s="73" t="str">
        <f>IFERROR(__xludf.DUMMYFUNCTION("""COMPUTED_VALUE"""),"Package Chance")</f>
        <v>Package Chance</v>
      </c>
      <c r="BM87" s="73" t="str">
        <f>IFERROR(__xludf.DUMMYFUNCTION("""COMPUTED_VALUE"""),"Mythic")</f>
        <v>Mythic</v>
      </c>
      <c r="BN87" s="73" t="str">
        <f>IFERROR(__xludf.DUMMYFUNCTION("""COMPUTED_VALUE"""),"+11%")</f>
        <v>+11%</v>
      </c>
      <c r="BO87" s="73">
        <f>IFERROR(__xludf.DUMMYFUNCTION("""COMPUTED_VALUE"""),0.11)</f>
        <v>0.11</v>
      </c>
      <c r="BP87" s="73"/>
      <c r="BQ87" s="73"/>
      <c r="BR87" s="73"/>
      <c r="BS87" s="73"/>
      <c r="BT87" s="74" t="str">
        <f>IFERROR(__xludf.DUMMYFUNCTION("""COMPUTED_VALUE"""),"")</f>
        <v/>
      </c>
      <c r="BU87" s="73"/>
      <c r="BV87" s="73"/>
      <c r="BW87" s="73"/>
      <c r="BX87" s="73"/>
      <c r="BY87" s="73"/>
      <c r="BZ87" s="73"/>
      <c r="CA87" s="73"/>
      <c r="CB87" s="73"/>
      <c r="CC87" s="73"/>
      <c r="CD87" s="73"/>
      <c r="CE87" s="73"/>
    </row>
    <row r="88">
      <c r="A88" s="86" t="str">
        <f>IFERROR(__xludf.DUMMYFUNCTION("""COMPUTED_VALUE"""),"Swamp Rend - Additional Enemies")</f>
        <v>Swamp Rend - Additional Enemies</v>
      </c>
      <c r="B88" s="87">
        <f>IFERROR(__xludf.DUMMYFUNCTION("""COMPUTED_VALUE"""),0.0)</f>
        <v>0</v>
      </c>
      <c r="C88" s="73"/>
      <c r="D88" s="88">
        <f>IFERROR(__xludf.DUMMYFUNCTION("""COMPUTED_VALUE"""),6.0)</f>
        <v>6</v>
      </c>
      <c r="E88" s="73"/>
      <c r="F88" s="73"/>
      <c r="G88" s="73"/>
      <c r="H88" s="73"/>
      <c r="I88" s="73"/>
      <c r="J88" s="73"/>
      <c r="K88" s="92"/>
      <c r="L88" s="73"/>
      <c r="M88" s="73"/>
      <c r="N88" s="73"/>
      <c r="O88" s="73"/>
      <c r="P88" s="73"/>
      <c r="Q88" s="75"/>
      <c r="R88" s="82"/>
      <c r="S88" s="73"/>
      <c r="T88" s="73"/>
      <c r="U88" s="73"/>
      <c r="V88" s="73"/>
      <c r="W88" s="73"/>
      <c r="X88" s="73"/>
      <c r="Y88" s="77"/>
      <c r="Z88" s="104"/>
      <c r="AA88" s="73"/>
      <c r="AB88" s="104"/>
      <c r="AC88" s="104"/>
      <c r="AD88" s="74"/>
      <c r="AE88" s="106"/>
      <c r="AF88" s="195"/>
      <c r="AG88" s="80"/>
      <c r="AH88" s="104"/>
      <c r="AI88" s="73"/>
      <c r="AJ88" s="114"/>
      <c r="AK88" s="106"/>
      <c r="AL88" s="74"/>
      <c r="AM88" s="73"/>
      <c r="AN88" s="73"/>
      <c r="AO88" s="102"/>
      <c r="AP88" s="73"/>
      <c r="AQ88" s="73"/>
      <c r="AR88" s="74"/>
      <c r="AS88" s="73"/>
      <c r="AT88" s="73"/>
      <c r="AU88" s="73"/>
      <c r="AV88" s="73"/>
      <c r="AW88" s="73"/>
      <c r="AX88" s="74"/>
      <c r="AY88" s="73"/>
      <c r="AZ88" s="73"/>
      <c r="BA88" s="74"/>
      <c r="BB88" s="73"/>
      <c r="BC88" s="73"/>
      <c r="BD88" s="73"/>
      <c r="BE88" s="73" t="str">
        <f>IFERROR(__xludf.DUMMYFUNCTION("""COMPUTED_VALUE"""),"")</f>
        <v/>
      </c>
      <c r="BF88" s="73"/>
      <c r="BG88" s="73" t="str">
        <f>IFERROR(__xludf.DUMMYFUNCTION("""COMPUTED_VALUE"""),"Orb Speed")</f>
        <v>Orb Speed</v>
      </c>
      <c r="BH88" s="73" t="str">
        <f>IFERROR(__xludf.DUMMYFUNCTION("""COMPUTED_VALUE"""),"Epic")</f>
        <v>Epic</v>
      </c>
      <c r="BI88" s="73" t="str">
        <f>IFERROR(__xludf.DUMMYFUNCTION("""COMPUTED_VALUE"""),"+1")</f>
        <v>+1</v>
      </c>
      <c r="BJ88" s="73">
        <f>IFERROR(__xludf.DUMMYFUNCTION("""COMPUTED_VALUE"""),1.0)</f>
        <v>1</v>
      </c>
      <c r="BK88" s="73"/>
      <c r="BL88" s="73"/>
      <c r="BM88" s="73"/>
      <c r="BN88" s="73"/>
      <c r="BO88" s="73" t="str">
        <f>IFERROR(__xludf.DUMMYFUNCTION("""COMPUTED_VALUE"""),"")</f>
        <v/>
      </c>
      <c r="BP88" s="73"/>
      <c r="BQ88" s="73"/>
      <c r="BR88" s="73"/>
      <c r="BS88" s="73"/>
      <c r="BT88" s="74" t="str">
        <f>IFERROR(__xludf.DUMMYFUNCTION("""COMPUTED_VALUE"""),"")</f>
        <v/>
      </c>
      <c r="BU88" s="73"/>
      <c r="BV88" s="73"/>
      <c r="BW88" s="73"/>
      <c r="BX88" s="73"/>
      <c r="BY88" s="73"/>
      <c r="BZ88" s="73"/>
      <c r="CA88" s="73"/>
      <c r="CB88" s="73"/>
      <c r="CC88" s="73"/>
      <c r="CD88" s="73"/>
      <c r="CE88" s="73"/>
    </row>
    <row r="89">
      <c r="A89" s="86" t="str">
        <f>IFERROR(__xludf.DUMMYFUNCTION("""COMPUTED_VALUE"""),"Chain Thunder")</f>
        <v>Chain Thunder</v>
      </c>
      <c r="B89" s="87">
        <f>IFERROR(__xludf.DUMMYFUNCTION("""COMPUTED_VALUE"""),12.0)</f>
        <v>12</v>
      </c>
      <c r="C89" s="73"/>
      <c r="D89" s="88">
        <f>IFERROR(__xludf.DUMMYFUNCTION("""COMPUTED_VALUE"""),30.0)</f>
        <v>30</v>
      </c>
      <c r="E89" s="73"/>
      <c r="F89" s="73"/>
      <c r="G89" s="73"/>
      <c r="H89" s="73"/>
      <c r="I89" s="73"/>
      <c r="J89" s="73"/>
      <c r="K89" s="92"/>
      <c r="L89" s="73"/>
      <c r="M89" s="73"/>
      <c r="N89" s="73"/>
      <c r="O89" s="73"/>
      <c r="P89" s="73"/>
      <c r="Q89" s="75"/>
      <c r="R89" s="82"/>
      <c r="S89" s="73"/>
      <c r="T89" s="73"/>
      <c r="U89" s="73"/>
      <c r="V89" s="73"/>
      <c r="W89" s="73"/>
      <c r="X89" s="73"/>
      <c r="Y89" s="77"/>
      <c r="Z89" s="104"/>
      <c r="AA89" s="73"/>
      <c r="AB89" s="104"/>
      <c r="AC89" s="104"/>
      <c r="AD89" s="74"/>
      <c r="AE89" s="106"/>
      <c r="AF89" s="195"/>
      <c r="AG89" s="80"/>
      <c r="AH89" s="104"/>
      <c r="AI89" s="73"/>
      <c r="AJ89" s="114"/>
      <c r="AK89" s="106"/>
      <c r="AL89" s="74"/>
      <c r="AM89" s="73"/>
      <c r="AN89" s="73"/>
      <c r="AO89" s="102"/>
      <c r="AP89" s="73"/>
      <c r="AQ89" s="73"/>
      <c r="AR89" s="74"/>
      <c r="AS89" s="73"/>
      <c r="AT89" s="73"/>
      <c r="AU89" s="73"/>
      <c r="AV89" s="73"/>
      <c r="AW89" s="73"/>
      <c r="AX89" s="74"/>
      <c r="AY89" s="73"/>
      <c r="AZ89" s="73"/>
      <c r="BA89" s="74"/>
      <c r="BB89" s="73"/>
      <c r="BC89" s="73"/>
      <c r="BD89" s="73"/>
      <c r="BE89" s="73" t="str">
        <f>IFERROR(__xludf.DUMMYFUNCTION("""COMPUTED_VALUE"""),"")</f>
        <v/>
      </c>
      <c r="BF89" s="73"/>
      <c r="BG89" s="73"/>
      <c r="BH89" s="73"/>
      <c r="BI89" s="73"/>
      <c r="BJ89" s="73" t="str">
        <f>IFERROR(__xludf.DUMMYFUNCTION("""COMPUTED_VALUE"""),"")</f>
        <v/>
      </c>
      <c r="BK89" s="73"/>
      <c r="BL89" s="73"/>
      <c r="BM89" s="73"/>
      <c r="BN89" s="73"/>
      <c r="BO89" s="73" t="str">
        <f>IFERROR(__xludf.DUMMYFUNCTION("""COMPUTED_VALUE"""),"")</f>
        <v/>
      </c>
      <c r="BP89" s="73"/>
      <c r="BQ89" s="73"/>
      <c r="BR89" s="73"/>
      <c r="BS89" s="73"/>
      <c r="BT89" s="74" t="str">
        <f>IFERROR(__xludf.DUMMYFUNCTION("""COMPUTED_VALUE"""),"")</f>
        <v/>
      </c>
      <c r="BU89" s="73"/>
      <c r="BV89" s="73"/>
      <c r="BW89" s="73"/>
      <c r="BX89" s="73"/>
      <c r="BY89" s="73"/>
      <c r="BZ89" s="73"/>
      <c r="CA89" s="73"/>
      <c r="CB89" s="73"/>
      <c r="CC89" s="73"/>
      <c r="CD89" s="73"/>
      <c r="CE89" s="73"/>
    </row>
    <row r="90">
      <c r="A90" s="86" t="str">
        <f>IFERROR(__xludf.DUMMYFUNCTION("""COMPUTED_VALUE"""),"Lightning Amplifier - Scatter")</f>
        <v>Lightning Amplifier - Scatter</v>
      </c>
      <c r="B90" s="87">
        <f>IFERROR(__xludf.DUMMYFUNCTION("""COMPUTED_VALUE"""),9.0)</f>
        <v>9</v>
      </c>
      <c r="C90" s="73"/>
      <c r="D90" s="88">
        <f>IFERROR(__xludf.DUMMYFUNCTION("""COMPUTED_VALUE"""),30.0)</f>
        <v>30</v>
      </c>
      <c r="E90" s="73"/>
      <c r="F90" s="73"/>
      <c r="G90" s="73"/>
      <c r="H90" s="73"/>
      <c r="I90" s="73"/>
      <c r="J90" s="73"/>
      <c r="K90" s="92"/>
      <c r="L90" s="73"/>
      <c r="M90" s="73"/>
      <c r="N90" s="73"/>
      <c r="O90" s="73"/>
      <c r="P90" s="73"/>
      <c r="Q90" s="75"/>
      <c r="R90" s="82"/>
      <c r="S90" s="73"/>
      <c r="T90" s="73"/>
      <c r="U90" s="73"/>
      <c r="V90" s="73"/>
      <c r="W90" s="73"/>
      <c r="X90" s="73"/>
      <c r="Y90" s="77"/>
      <c r="Z90" s="104"/>
      <c r="AA90" s="73"/>
      <c r="AB90" s="104"/>
      <c r="AC90" s="104"/>
      <c r="AD90" s="74"/>
      <c r="AE90" s="106"/>
      <c r="AF90" s="195"/>
      <c r="AG90" s="80"/>
      <c r="AH90" s="104"/>
      <c r="AI90" s="73"/>
      <c r="AJ90" s="114"/>
      <c r="AK90" s="106"/>
      <c r="AL90" s="74"/>
      <c r="AM90" s="73"/>
      <c r="AN90" s="73"/>
      <c r="AO90" s="102"/>
      <c r="AP90" s="73"/>
      <c r="AQ90" s="73"/>
      <c r="AR90" s="74"/>
      <c r="AS90" s="73"/>
      <c r="AT90" s="73"/>
      <c r="AU90" s="73"/>
      <c r="AV90" s="73"/>
      <c r="AW90" s="73"/>
      <c r="AX90" s="74"/>
      <c r="AY90" s="73"/>
      <c r="AZ90" s="73"/>
      <c r="BA90" s="74"/>
      <c r="BB90" s="73"/>
      <c r="BC90" s="73"/>
      <c r="BD90" s="73"/>
      <c r="BE90" s="73" t="str">
        <f>IFERROR(__xludf.DUMMYFUNCTION("""COMPUTED_VALUE"""),"")</f>
        <v/>
      </c>
      <c r="BF90" s="73"/>
      <c r="BG90" s="73"/>
      <c r="BH90" s="73"/>
      <c r="BI90" s="73"/>
      <c r="BJ90" s="73" t="str">
        <f>IFERROR(__xludf.DUMMYFUNCTION("""COMPUTED_VALUE"""),"")</f>
        <v/>
      </c>
      <c r="BK90" s="73"/>
      <c r="BL90" s="73"/>
      <c r="BM90" s="73"/>
      <c r="BN90" s="73"/>
      <c r="BO90" s="73" t="str">
        <f>IFERROR(__xludf.DUMMYFUNCTION("""COMPUTED_VALUE"""),"")</f>
        <v/>
      </c>
      <c r="BP90" s="73"/>
      <c r="BQ90" s="73"/>
      <c r="BR90" s="73"/>
      <c r="BS90" s="73"/>
      <c r="BT90" s="74" t="str">
        <f>IFERROR(__xludf.DUMMYFUNCTION("""COMPUTED_VALUE"""),"")</f>
        <v/>
      </c>
      <c r="BU90" s="73"/>
      <c r="BV90" s="73"/>
      <c r="BW90" s="73"/>
      <c r="BX90" s="73"/>
      <c r="BY90" s="73"/>
      <c r="BZ90" s="73"/>
      <c r="CA90" s="73"/>
      <c r="CB90" s="73"/>
      <c r="CC90" s="73"/>
      <c r="CD90" s="73"/>
      <c r="CE90" s="73"/>
    </row>
    <row r="91">
      <c r="A91" s="86" t="str">
        <f>IFERROR(__xludf.DUMMYFUNCTION("""COMPUTED_VALUE"""),"Death Wave Cells Bonus")</f>
        <v>Death Wave Cells Bonus</v>
      </c>
      <c r="B91" s="87">
        <f>IFERROR(__xludf.DUMMYFUNCTION("""COMPUTED_VALUE"""),20.0)</f>
        <v>20</v>
      </c>
      <c r="C91" s="73"/>
      <c r="D91" s="88">
        <f>IFERROR(__xludf.DUMMYFUNCTION("""COMPUTED_VALUE"""),20.0)</f>
        <v>20</v>
      </c>
      <c r="E91" s="73"/>
      <c r="F91" s="73"/>
      <c r="G91" s="73"/>
      <c r="H91" s="73"/>
      <c r="I91" s="73"/>
      <c r="J91" s="73"/>
      <c r="K91" s="92"/>
      <c r="L91" s="73"/>
      <c r="M91" s="73"/>
      <c r="N91" s="73"/>
      <c r="O91" s="73"/>
      <c r="P91" s="73"/>
      <c r="Q91" s="75"/>
      <c r="R91" s="82"/>
      <c r="S91" s="73"/>
      <c r="T91" s="73"/>
      <c r="U91" s="73"/>
      <c r="V91" s="73"/>
      <c r="W91" s="73"/>
      <c r="X91" s="73"/>
      <c r="Y91" s="77"/>
      <c r="Z91" s="104"/>
      <c r="AA91" s="73"/>
      <c r="AB91" s="104"/>
      <c r="AC91" s="104"/>
      <c r="AD91" s="74"/>
      <c r="AE91" s="106"/>
      <c r="AF91" s="195"/>
      <c r="AG91" s="80"/>
      <c r="AH91" s="104"/>
      <c r="AI91" s="73"/>
      <c r="AJ91" s="114"/>
      <c r="AK91" s="106"/>
      <c r="AL91" s="74"/>
      <c r="AM91" s="73"/>
      <c r="AN91" s="73"/>
      <c r="AO91" s="102"/>
      <c r="AP91" s="73"/>
      <c r="AQ91" s="73"/>
      <c r="AR91" s="74"/>
      <c r="AS91" s="73"/>
      <c r="AT91" s="73"/>
      <c r="AU91" s="73"/>
      <c r="AV91" s="73"/>
      <c r="AW91" s="73"/>
      <c r="AX91" s="74"/>
      <c r="AY91" s="73"/>
      <c r="AZ91" s="73"/>
      <c r="BA91" s="74"/>
      <c r="BB91" s="73"/>
      <c r="BC91" s="73"/>
      <c r="BD91" s="73"/>
      <c r="BE91" s="73"/>
      <c r="BF91" s="73"/>
      <c r="BG91" s="73"/>
      <c r="BH91" s="73"/>
      <c r="BI91" s="73"/>
      <c r="BJ91" s="73"/>
      <c r="BK91" s="73"/>
      <c r="BL91" s="73"/>
      <c r="BM91" s="73"/>
      <c r="BN91" s="73"/>
      <c r="BO91" s="73"/>
      <c r="BP91" s="73"/>
      <c r="BQ91" s="73"/>
      <c r="BR91" s="73"/>
      <c r="BS91" s="73"/>
      <c r="BT91" s="74"/>
      <c r="BU91" s="73"/>
      <c r="BV91" s="73"/>
      <c r="BW91" s="73"/>
      <c r="BX91" s="73"/>
      <c r="BY91" s="73"/>
      <c r="BZ91" s="73"/>
      <c r="CA91" s="73"/>
      <c r="CB91" s="73"/>
      <c r="CC91" s="73"/>
      <c r="CD91" s="73"/>
      <c r="CE91" s="73"/>
    </row>
    <row r="92">
      <c r="A92" s="136" t="str">
        <f>IFERROR(__xludf.DUMMYFUNCTION("""COMPUTED_VALUE"""),"Death Wave Damage Amplifier")</f>
        <v>Death Wave Damage Amplifier</v>
      </c>
      <c r="B92" s="87">
        <f>IFERROR(__xludf.DUMMYFUNCTION("""COMPUTED_VALUE"""),2.0)</f>
        <v>2</v>
      </c>
      <c r="C92" s="73"/>
      <c r="D92" s="88">
        <f>IFERROR(__xludf.DUMMYFUNCTION("""COMPUTED_VALUE"""),30.0)</f>
        <v>30</v>
      </c>
      <c r="E92" s="73"/>
      <c r="F92" s="73"/>
      <c r="G92" s="73"/>
      <c r="H92" s="73"/>
      <c r="I92" s="73"/>
      <c r="J92" s="73"/>
      <c r="K92" s="92"/>
      <c r="L92" s="73"/>
      <c r="M92" s="73"/>
      <c r="N92" s="73"/>
      <c r="O92" s="73"/>
      <c r="P92" s="73"/>
      <c r="Q92" s="75"/>
      <c r="R92" s="82"/>
      <c r="S92" s="73"/>
      <c r="T92" s="73"/>
      <c r="U92" s="73"/>
      <c r="V92" s="73"/>
      <c r="W92" s="73"/>
      <c r="X92" s="73"/>
      <c r="Y92" s="77"/>
      <c r="Z92" s="104"/>
      <c r="AA92" s="73"/>
      <c r="AB92" s="104"/>
      <c r="AC92" s="104"/>
      <c r="AD92" s="74"/>
      <c r="AE92" s="106"/>
      <c r="AF92" s="195"/>
      <c r="AG92" s="80"/>
      <c r="AH92" s="104"/>
      <c r="AI92" s="73"/>
      <c r="AJ92" s="114"/>
      <c r="AK92" s="106"/>
      <c r="AL92" s="74"/>
      <c r="AM92" s="73"/>
      <c r="AN92" s="73"/>
      <c r="AO92" s="102"/>
      <c r="AP92" s="73"/>
      <c r="AQ92" s="73"/>
      <c r="AR92" s="74"/>
      <c r="AS92" s="73"/>
      <c r="AT92" s="73"/>
      <c r="AU92" s="73"/>
      <c r="AV92" s="73"/>
      <c r="AW92" s="73"/>
      <c r="AX92" s="74"/>
      <c r="AY92" s="73"/>
      <c r="AZ92" s="73"/>
      <c r="BA92" s="74"/>
      <c r="BB92" s="73" t="str">
        <f>IFERROR(__xludf.DUMMYFUNCTION("""COMPUTED_VALUE"""),"Amplifying Strike")</f>
        <v>Amplifying Strike</v>
      </c>
      <c r="BC92" s="73"/>
      <c r="BD92" s="73"/>
      <c r="BE92" s="73"/>
      <c r="BF92" s="73"/>
      <c r="BG92" s="73" t="str">
        <f>IFERROR(__xludf.DUMMYFUNCTION("""COMPUTED_VALUE"""),"Orbital Augment")</f>
        <v>Orbital Augment</v>
      </c>
      <c r="BH92" s="73"/>
      <c r="BI92" s="73"/>
      <c r="BJ92" s="73"/>
      <c r="BK92" s="73"/>
      <c r="BL92" s="73" t="str">
        <f>IFERROR(__xludf.DUMMYFUNCTION("""COMPUTED_VALUE"""),"Restorative Bonus")</f>
        <v>Restorative Bonus</v>
      </c>
      <c r="BM92" s="73"/>
      <c r="BN92" s="73"/>
      <c r="BO92" s="73"/>
      <c r="BP92" s="73"/>
      <c r="BQ92" s="73" t="str">
        <f>IFERROR(__xludf.DUMMYFUNCTION("""COMPUTED_VALUE"""),"Primordial Collapse")</f>
        <v>Primordial Collapse</v>
      </c>
      <c r="BR92" s="73"/>
      <c r="BS92" s="73"/>
      <c r="BT92" s="74"/>
      <c r="BU92" s="73"/>
      <c r="BV92" s="73"/>
      <c r="BW92" s="73"/>
      <c r="BX92" s="73"/>
      <c r="BY92" s="73"/>
      <c r="BZ92" s="73"/>
      <c r="CA92" s="73"/>
      <c r="CB92" s="73"/>
      <c r="CC92" s="73"/>
      <c r="CD92" s="73"/>
      <c r="CE92" s="73"/>
    </row>
    <row r="93">
      <c r="A93" s="86" t="str">
        <f>IFERROR(__xludf.DUMMYFUNCTION("""COMPUTED_VALUE"""),"Death Wave Armor Stripping")</f>
        <v>Death Wave Armor Stripping</v>
      </c>
      <c r="B93" s="87">
        <f>IFERROR(__xludf.DUMMYFUNCTION("""COMPUTED_VALUE"""),0.0)</f>
        <v>0</v>
      </c>
      <c r="C93" s="73"/>
      <c r="D93" s="88">
        <f>IFERROR(__xludf.DUMMYFUNCTION("""COMPUTED_VALUE"""),10.0)</f>
        <v>10</v>
      </c>
      <c r="E93" s="73"/>
      <c r="F93" s="73"/>
      <c r="G93" s="73"/>
      <c r="H93" s="73"/>
      <c r="I93" s="73"/>
      <c r="J93" s="73"/>
      <c r="K93" s="92"/>
      <c r="L93" s="73"/>
      <c r="M93" s="73"/>
      <c r="N93" s="73"/>
      <c r="O93" s="73"/>
      <c r="P93" s="73"/>
      <c r="Q93" s="75"/>
      <c r="R93" s="82"/>
      <c r="S93" s="73"/>
      <c r="T93" s="73"/>
      <c r="U93" s="73"/>
      <c r="V93" s="73"/>
      <c r="W93" s="73"/>
      <c r="X93" s="73"/>
      <c r="Y93" s="77"/>
      <c r="Z93" s="104"/>
      <c r="AA93" s="73"/>
      <c r="AB93" s="104"/>
      <c r="AC93" s="104"/>
      <c r="AD93" s="74"/>
      <c r="AE93" s="106"/>
      <c r="AF93" s="195"/>
      <c r="AG93" s="80"/>
      <c r="AH93" s="104"/>
      <c r="AI93" s="73"/>
      <c r="AJ93" s="114"/>
      <c r="AK93" s="106"/>
      <c r="AL93" s="74"/>
      <c r="AM93" s="73"/>
      <c r="AN93" s="73"/>
      <c r="AO93" s="102"/>
      <c r="AP93" s="73"/>
      <c r="AQ93" s="73"/>
      <c r="AR93" s="74"/>
      <c r="AS93" s="73"/>
      <c r="AT93" s="73"/>
      <c r="AU93" s="73"/>
      <c r="AV93" s="73"/>
      <c r="AW93" s="73"/>
      <c r="AX93" s="74"/>
      <c r="AY93" s="73"/>
      <c r="AZ93" s="73"/>
      <c r="BA93" s="74"/>
      <c r="BB93" s="73" t="str">
        <f>IFERROR(__xludf.DUMMYFUNCTION("""COMPUTED_VALUE"""),"Rarity")</f>
        <v>Rarity</v>
      </c>
      <c r="BC93" s="73" t="str">
        <f>IFERROR(__xludf.DUMMYFUNCTION("""COMPUTED_VALUE"""),"Level")</f>
        <v>Level</v>
      </c>
      <c r="BD93" s="73" t="str">
        <f>IFERROR(__xludf.DUMMYFUNCTION("""COMPUTED_VALUE"""),"Stat")</f>
        <v>Stat</v>
      </c>
      <c r="BE93" s="73"/>
      <c r="BF93" s="73"/>
      <c r="BG93" s="73" t="str">
        <f>IFERROR(__xludf.DUMMYFUNCTION("""COMPUTED_VALUE"""),"Rarity")</f>
        <v>Rarity</v>
      </c>
      <c r="BH93" s="73" t="str">
        <f>IFERROR(__xludf.DUMMYFUNCTION("""COMPUTED_VALUE"""),"Level")</f>
        <v>Level</v>
      </c>
      <c r="BI93" s="73" t="str">
        <f>IFERROR(__xludf.DUMMYFUNCTION("""COMPUTED_VALUE"""),"Stat")</f>
        <v>Stat</v>
      </c>
      <c r="BJ93" s="73"/>
      <c r="BK93" s="73"/>
      <c r="BL93" s="73" t="str">
        <f>IFERROR(__xludf.DUMMYFUNCTION("""COMPUTED_VALUE"""),"Rarity")</f>
        <v>Rarity</v>
      </c>
      <c r="BM93" s="73" t="str">
        <f>IFERROR(__xludf.DUMMYFUNCTION("""COMPUTED_VALUE"""),"Level")</f>
        <v>Level</v>
      </c>
      <c r="BN93" s="73" t="str">
        <f>IFERROR(__xludf.DUMMYFUNCTION("""COMPUTED_VALUE"""),"Stat")</f>
        <v>Stat</v>
      </c>
      <c r="BO93" s="73"/>
      <c r="BP93" s="73"/>
      <c r="BQ93" s="73" t="str">
        <f>IFERROR(__xludf.DUMMYFUNCTION("""COMPUTED_VALUE"""),"Rarity")</f>
        <v>Rarity</v>
      </c>
      <c r="BR93" s="73" t="str">
        <f>IFERROR(__xludf.DUMMYFUNCTION("""COMPUTED_VALUE"""),"Level")</f>
        <v>Level</v>
      </c>
      <c r="BS93" s="73" t="str">
        <f>IFERROR(__xludf.DUMMYFUNCTION("""COMPUTED_VALUE"""),"Stat")</f>
        <v>Stat</v>
      </c>
      <c r="BT93" s="74"/>
      <c r="BU93" s="73"/>
      <c r="BV93" s="73"/>
      <c r="BW93" s="73"/>
      <c r="BX93" s="73"/>
      <c r="BY93" s="73"/>
      <c r="BZ93" s="73"/>
      <c r="CA93" s="73"/>
      <c r="CB93" s="73"/>
      <c r="CC93" s="73"/>
      <c r="CD93" s="73"/>
      <c r="CE93" s="73"/>
    </row>
    <row r="94">
      <c r="A94" s="136" t="str">
        <f>IFERROR(__xludf.DUMMYFUNCTION("""COMPUTED_VALUE"""),"Inner Land Mine - Chrono Jump")</f>
        <v>Inner Land Mine - Chrono Jump</v>
      </c>
      <c r="B94" s="87">
        <f>IFERROR(__xludf.DUMMYFUNCTION("""COMPUTED_VALUE"""),0.0)</f>
        <v>0</v>
      </c>
      <c r="C94" s="73"/>
      <c r="D94" s="88">
        <f>IFERROR(__xludf.DUMMYFUNCTION("""COMPUTED_VALUE"""),10.0)</f>
        <v>10</v>
      </c>
      <c r="E94" s="73"/>
      <c r="F94" s="73"/>
      <c r="G94" s="73"/>
      <c r="H94" s="73"/>
      <c r="I94" s="73"/>
      <c r="J94" s="73"/>
      <c r="K94" s="92"/>
      <c r="L94" s="73"/>
      <c r="M94" s="73"/>
      <c r="N94" s="73"/>
      <c r="O94" s="73"/>
      <c r="P94" s="73"/>
      <c r="Q94" s="75"/>
      <c r="R94" s="82"/>
      <c r="S94" s="73"/>
      <c r="T94" s="73"/>
      <c r="U94" s="73"/>
      <c r="V94" s="73"/>
      <c r="W94" s="73"/>
      <c r="X94" s="73"/>
      <c r="Y94" s="77"/>
      <c r="Z94" s="104"/>
      <c r="AA94" s="73"/>
      <c r="AB94" s="104"/>
      <c r="AC94" s="104"/>
      <c r="AD94" s="74"/>
      <c r="AE94" s="106"/>
      <c r="AF94" s="195"/>
      <c r="AG94" s="80"/>
      <c r="AH94" s="104"/>
      <c r="AI94" s="73"/>
      <c r="AJ94" s="114"/>
      <c r="AK94" s="106"/>
      <c r="AL94" s="74"/>
      <c r="AM94" s="73"/>
      <c r="AN94" s="73"/>
      <c r="AO94" s="102"/>
      <c r="AP94" s="73"/>
      <c r="AQ94" s="73"/>
      <c r="AR94" s="74"/>
      <c r="AS94" s="73"/>
      <c r="AT94" s="73"/>
      <c r="AU94" s="73"/>
      <c r="AV94" s="73"/>
      <c r="AW94" s="73"/>
      <c r="AX94" s="74"/>
      <c r="AY94" s="73"/>
      <c r="AZ94" s="73"/>
      <c r="BA94" s="74"/>
      <c r="BB94" s="73" t="str">
        <f>IFERROR(__xludf.DUMMYFUNCTION("""COMPUTED_VALUE"""),"Ancestral")</f>
        <v>Ancestral</v>
      </c>
      <c r="BC94" s="73">
        <f>IFERROR(__xludf.DUMMYFUNCTION("""COMPUTED_VALUE"""),164.0)</f>
        <v>164</v>
      </c>
      <c r="BD94" s="129">
        <f>IFERROR(__xludf.DUMMYFUNCTION("""COMPUTED_VALUE"""),9.04)</f>
        <v>9.04</v>
      </c>
      <c r="BE94" s="73"/>
      <c r="BF94" s="73"/>
      <c r="BG94" s="73" t="str">
        <f>IFERROR(__xludf.DUMMYFUNCTION("""COMPUTED_VALUE"""),"Ancestral 1*")</f>
        <v>Ancestral 1*</v>
      </c>
      <c r="BH94" s="73">
        <f>IFERROR(__xludf.DUMMYFUNCTION("""COMPUTED_VALUE"""),163.0)</f>
        <v>163</v>
      </c>
      <c r="BI94" s="129">
        <f>IFERROR(__xludf.DUMMYFUNCTION("""COMPUTED_VALUE"""),9.154)</f>
        <v>9.154</v>
      </c>
      <c r="BJ94" s="73"/>
      <c r="BK94" s="73"/>
      <c r="BL94" s="73" t="str">
        <f>IFERROR(__xludf.DUMMYFUNCTION("""COMPUTED_VALUE"""),"Mythic+")</f>
        <v>Mythic+</v>
      </c>
      <c r="BM94" s="73">
        <f>IFERROR(__xludf.DUMMYFUNCTION("""COMPUTED_VALUE"""),160.0)</f>
        <v>160</v>
      </c>
      <c r="BN94" s="129">
        <f>IFERROR(__xludf.DUMMYFUNCTION("""COMPUTED_VALUE"""),1.665)</f>
        <v>1.665</v>
      </c>
      <c r="BO94" s="73"/>
      <c r="BP94" s="73"/>
      <c r="BQ94" s="73" t="str">
        <f>IFERROR(__xludf.DUMMYFUNCTION("""COMPUTED_VALUE"""),"Ancestral 2*")</f>
        <v>Ancestral 2*</v>
      </c>
      <c r="BR94" s="73">
        <f>IFERROR(__xludf.DUMMYFUNCTION("""COMPUTED_VALUE"""),159.0)</f>
        <v>159</v>
      </c>
      <c r="BS94" s="129">
        <f>IFERROR(__xludf.DUMMYFUNCTION("""COMPUTED_VALUE"""),11.692)</f>
        <v>11.692</v>
      </c>
      <c r="BT94" s="74"/>
      <c r="BU94" s="73"/>
      <c r="BV94" s="73"/>
      <c r="BW94" s="73"/>
      <c r="BX94" s="73"/>
      <c r="BY94" s="73"/>
      <c r="BZ94" s="73"/>
      <c r="CA94" s="73"/>
      <c r="CB94" s="73"/>
      <c r="CC94" s="73"/>
      <c r="CD94" s="73"/>
      <c r="CE94" s="73"/>
    </row>
    <row r="95">
      <c r="A95" s="86" t="str">
        <f>IFERROR(__xludf.DUMMYFUNCTION("""COMPUTED_VALUE"""),"Second Wind Blast")</f>
        <v>Second Wind Blast</v>
      </c>
      <c r="B95" s="87">
        <f>IFERROR(__xludf.DUMMYFUNCTION("""COMPUTED_VALUE"""),4.0)</f>
        <v>4</v>
      </c>
      <c r="C95" s="73"/>
      <c r="D95" s="88">
        <f>IFERROR(__xludf.DUMMYFUNCTION("""COMPUTED_VALUE"""),4.0)</f>
        <v>4</v>
      </c>
      <c r="E95" s="73"/>
      <c r="F95" s="73"/>
      <c r="G95" s="73"/>
      <c r="H95" s="73"/>
      <c r="I95" s="73"/>
      <c r="J95" s="73"/>
      <c r="K95" s="92"/>
      <c r="L95" s="73"/>
      <c r="M95" s="73"/>
      <c r="N95" s="73"/>
      <c r="O95" s="73"/>
      <c r="P95" s="73"/>
      <c r="Q95" s="75"/>
      <c r="R95" s="82"/>
      <c r="S95" s="73"/>
      <c r="T95" s="73"/>
      <c r="U95" s="73"/>
      <c r="V95" s="73"/>
      <c r="W95" s="73"/>
      <c r="X95" s="73"/>
      <c r="Y95" s="77"/>
      <c r="Z95" s="104"/>
      <c r="AA95" s="73"/>
      <c r="AB95" s="104"/>
      <c r="AC95" s="104"/>
      <c r="AD95" s="74"/>
      <c r="AE95" s="106"/>
      <c r="AF95" s="195"/>
      <c r="AG95" s="80"/>
      <c r="AH95" s="104"/>
      <c r="AI95" s="73"/>
      <c r="AJ95" s="114"/>
      <c r="AK95" s="106"/>
      <c r="AL95" s="74"/>
      <c r="AM95" s="73"/>
      <c r="AN95" s="73"/>
      <c r="AO95" s="102"/>
      <c r="AP95" s="73"/>
      <c r="AQ95" s="73"/>
      <c r="AR95" s="74"/>
      <c r="AS95" s="73"/>
      <c r="AT95" s="73"/>
      <c r="AU95" s="73"/>
      <c r="AV95" s="73"/>
      <c r="AW95" s="73"/>
      <c r="AX95" s="74"/>
      <c r="AY95" s="73"/>
      <c r="AZ95" s="73"/>
      <c r="BA95" s="74"/>
      <c r="BB95" s="73"/>
      <c r="BC95" s="73"/>
      <c r="BD95" s="73"/>
      <c r="BE95" s="73"/>
      <c r="BF95" s="73"/>
      <c r="BG95" s="73"/>
      <c r="BH95" s="73"/>
      <c r="BI95" s="73"/>
      <c r="BJ95" s="73"/>
      <c r="BK95" s="73"/>
      <c r="BL95" s="73"/>
      <c r="BM95" s="73"/>
      <c r="BN95" s="73"/>
      <c r="BO95" s="73"/>
      <c r="BP95" s="73"/>
      <c r="BQ95" s="73"/>
      <c r="BR95" s="73"/>
      <c r="BS95" s="73"/>
      <c r="BT95" s="74"/>
      <c r="BU95" s="73"/>
      <c r="BV95" s="73"/>
      <c r="BW95" s="73"/>
      <c r="BX95" s="73"/>
      <c r="BY95" s="73"/>
      <c r="BZ95" s="73"/>
      <c r="CA95" s="73"/>
      <c r="CB95" s="73"/>
      <c r="CC95" s="73"/>
      <c r="CD95" s="73"/>
      <c r="CE95" s="73"/>
    </row>
    <row r="96">
      <c r="A96" s="86" t="str">
        <f>IFERROR(__xludf.DUMMYFUNCTION("""COMPUTED_VALUE"""),"Double Death Ray")</f>
        <v>Double Death Ray</v>
      </c>
      <c r="B96" s="87">
        <f>IFERROR(__xludf.DUMMYFUNCTION("""COMPUTED_VALUE"""),6.0)</f>
        <v>6</v>
      </c>
      <c r="C96" s="73"/>
      <c r="D96" s="88">
        <f>IFERROR(__xludf.DUMMYFUNCTION("""COMPUTED_VALUE"""),30.0)</f>
        <v>30</v>
      </c>
      <c r="E96" s="73"/>
      <c r="F96" s="73"/>
      <c r="G96" s="73"/>
      <c r="H96" s="73"/>
      <c r="I96" s="73"/>
      <c r="J96" s="73"/>
      <c r="K96" s="92"/>
      <c r="L96" s="73"/>
      <c r="M96" s="73"/>
      <c r="N96" s="73"/>
      <c r="O96" s="73"/>
      <c r="P96" s="73"/>
      <c r="Q96" s="75"/>
      <c r="R96" s="82"/>
      <c r="S96" s="73"/>
      <c r="T96" s="73"/>
      <c r="U96" s="73"/>
      <c r="V96" s="73"/>
      <c r="W96" s="73"/>
      <c r="X96" s="73"/>
      <c r="Y96" s="77"/>
      <c r="Z96" s="104"/>
      <c r="AA96" s="73"/>
      <c r="AB96" s="104"/>
      <c r="AC96" s="104"/>
      <c r="AD96" s="74"/>
      <c r="AE96" s="106"/>
      <c r="AF96" s="195"/>
      <c r="AG96" s="80"/>
      <c r="AH96" s="104"/>
      <c r="AI96" s="73"/>
      <c r="AJ96" s="114"/>
      <c r="AK96" s="106"/>
      <c r="AL96" s="74"/>
      <c r="AM96" s="73"/>
      <c r="AN96" s="73"/>
      <c r="AO96" s="102"/>
      <c r="AP96" s="73"/>
      <c r="AQ96" s="73"/>
      <c r="AR96" s="74"/>
      <c r="AS96" s="73"/>
      <c r="AT96" s="73"/>
      <c r="AU96" s="73"/>
      <c r="AV96" s="73"/>
      <c r="AW96" s="73"/>
      <c r="AX96" s="74"/>
      <c r="AY96" s="73"/>
      <c r="AZ96" s="73"/>
      <c r="BA96" s="74"/>
      <c r="BB96" s="73" t="str">
        <f>IFERROR(__xludf.DUMMYFUNCTION("""COMPUTED_VALUE"""),"Bounce Shot Chance")</f>
        <v>Bounce Shot Chance</v>
      </c>
      <c r="BC96" s="73" t="str">
        <f>IFERROR(__xludf.DUMMYFUNCTION("""COMPUTED_VALUE"""),"Mythic")</f>
        <v>Mythic</v>
      </c>
      <c r="BD96" s="73" t="str">
        <f>IFERROR(__xludf.DUMMYFUNCTION("""COMPUTED_VALUE"""),"+9%")</f>
        <v>+9%</v>
      </c>
      <c r="BE96" s="73">
        <f>IFERROR(__xludf.DUMMYFUNCTION("""COMPUTED_VALUE"""),0.09)</f>
        <v>0.09</v>
      </c>
      <c r="BF96" s="73"/>
      <c r="BG96" s="73" t="str">
        <f>IFERROR(__xludf.DUMMYFUNCTION("""COMPUTED_VALUE"""),"Defense %")</f>
        <v>Defense %</v>
      </c>
      <c r="BH96" s="73" t="str">
        <f>IFERROR(__xludf.DUMMYFUNCTION("""COMPUTED_VALUE"""),"Ancestral")</f>
        <v>Ancestral</v>
      </c>
      <c r="BI96" s="73" t="str">
        <f>IFERROR(__xludf.DUMMYFUNCTION("""COMPUTED_VALUE"""),"+8%")</f>
        <v>+8%</v>
      </c>
      <c r="BJ96" s="73">
        <f>IFERROR(__xludf.DUMMYFUNCTION("""COMPUTED_VALUE"""),0.08)</f>
        <v>0.08</v>
      </c>
      <c r="BK96" s="73"/>
      <c r="BL96" s="73" t="str">
        <f>IFERROR(__xludf.DUMMYFUNCTION("""COMPUTED_VALUE"""),"Enemy Health Level Skip")</f>
        <v>Enemy Health Level Skip</v>
      </c>
      <c r="BM96" s="73" t="str">
        <f>IFERROR(__xludf.DUMMYFUNCTION("""COMPUTED_VALUE"""),"Mythic")</f>
        <v>Mythic</v>
      </c>
      <c r="BN96" s="73" t="str">
        <f>IFERROR(__xludf.DUMMYFUNCTION("""COMPUTED_VALUE"""),"+6%")</f>
        <v>+6%</v>
      </c>
      <c r="BO96" s="73">
        <f>IFERROR(__xludf.DUMMYFUNCTION("""COMPUTED_VALUE"""),0.06)</f>
        <v>0.06</v>
      </c>
      <c r="BP96" s="73"/>
      <c r="BQ96" s="73" t="str">
        <f>IFERROR(__xludf.DUMMYFUNCTION("""COMPUTED_VALUE"""),"Black Hole - Duration")</f>
        <v>Black Hole - Duration</v>
      </c>
      <c r="BR96" s="73" t="str">
        <f>IFERROR(__xludf.DUMMYFUNCTION("""COMPUTED_VALUE"""),"Ancestral")</f>
        <v>Ancestral</v>
      </c>
      <c r="BS96" s="73" t="str">
        <f>IFERROR(__xludf.DUMMYFUNCTION("""COMPUTED_VALUE"""),"+4s")</f>
        <v>+4s</v>
      </c>
      <c r="BT96" s="74">
        <f>IFERROR(__xludf.DUMMYFUNCTION("""COMPUTED_VALUE"""),4.0)</f>
        <v>4</v>
      </c>
      <c r="BU96" s="73"/>
      <c r="BV96" s="73"/>
      <c r="BW96" s="73"/>
      <c r="BX96" s="73"/>
      <c r="BY96" s="73"/>
      <c r="BZ96" s="73"/>
      <c r="CA96" s="73"/>
      <c r="CB96" s="73"/>
      <c r="CC96" s="73"/>
      <c r="CD96" s="73"/>
      <c r="CE96" s="73"/>
    </row>
    <row r="97">
      <c r="A97" s="86" t="str">
        <f>IFERROR(__xludf.DUMMYFUNCTION("""COMPUTED_VALUE"""),"Extra Orb Adjuster")</f>
        <v>Extra Orb Adjuster</v>
      </c>
      <c r="B97" s="87">
        <f>IFERROR(__xludf.DUMMYFUNCTION("""COMPUTED_VALUE"""),1.0)</f>
        <v>1</v>
      </c>
      <c r="C97" s="73"/>
      <c r="D97" s="88">
        <f>IFERROR(__xludf.DUMMYFUNCTION("""COMPUTED_VALUE"""),1.0)</f>
        <v>1</v>
      </c>
      <c r="E97" s="73"/>
      <c r="F97" s="73"/>
      <c r="G97" s="73"/>
      <c r="H97" s="73"/>
      <c r="I97" s="73"/>
      <c r="J97" s="73"/>
      <c r="K97" s="92"/>
      <c r="L97" s="73"/>
      <c r="M97" s="73"/>
      <c r="N97" s="73"/>
      <c r="O97" s="73"/>
      <c r="P97" s="73"/>
      <c r="Q97" s="75"/>
      <c r="R97" s="82"/>
      <c r="S97" s="73"/>
      <c r="T97" s="73"/>
      <c r="U97" s="73"/>
      <c r="V97" s="73"/>
      <c r="W97" s="73"/>
      <c r="X97" s="73"/>
      <c r="Y97" s="77"/>
      <c r="Z97" s="104"/>
      <c r="AA97" s="73"/>
      <c r="AB97" s="104"/>
      <c r="AC97" s="104"/>
      <c r="AD97" s="74"/>
      <c r="AE97" s="106"/>
      <c r="AF97" s="195"/>
      <c r="AG97" s="80"/>
      <c r="AH97" s="104"/>
      <c r="AI97" s="73"/>
      <c r="AJ97" s="114"/>
      <c r="AK97" s="106"/>
      <c r="AL97" s="74"/>
      <c r="AM97" s="73"/>
      <c r="AN97" s="73"/>
      <c r="AO97" s="102"/>
      <c r="AP97" s="73"/>
      <c r="AQ97" s="73"/>
      <c r="AR97" s="74"/>
      <c r="AS97" s="73"/>
      <c r="AT97" s="73"/>
      <c r="AU97" s="73"/>
      <c r="AV97" s="73"/>
      <c r="AW97" s="73"/>
      <c r="AX97" s="74"/>
      <c r="AY97" s="73"/>
      <c r="AZ97" s="73"/>
      <c r="BA97" s="74"/>
      <c r="BB97" s="73" t="str">
        <f>IFERROR(__xludf.DUMMYFUNCTION("""COMPUTED_VALUE"""),"Attack Speed")</f>
        <v>Attack Speed</v>
      </c>
      <c r="BC97" s="73" t="str">
        <f>IFERROR(__xludf.DUMMYFUNCTION("""COMPUTED_VALUE"""),"Mythic")</f>
        <v>Mythic</v>
      </c>
      <c r="BD97" s="73" t="str">
        <f>IFERROR(__xludf.DUMMYFUNCTION("""COMPUTED_VALUE"""),"+3")</f>
        <v>+3</v>
      </c>
      <c r="BE97" s="73">
        <f>IFERROR(__xludf.DUMMYFUNCTION("""COMPUTED_VALUE"""),3.0)</f>
        <v>3</v>
      </c>
      <c r="BF97" s="73"/>
      <c r="BG97" s="73" t="str">
        <f>IFERROR(__xludf.DUMMYFUNCTION("""COMPUTED_VALUE"""),"Health Regen")</f>
        <v>Health Regen</v>
      </c>
      <c r="BH97" s="73" t="str">
        <f>IFERROR(__xludf.DUMMYFUNCTION("""COMPUTED_VALUE"""),"Ancestral")</f>
        <v>Ancestral</v>
      </c>
      <c r="BI97" s="73" t="str">
        <f>IFERROR(__xludf.DUMMYFUNCTION("""COMPUTED_VALUE"""),"+400%")</f>
        <v>+400%</v>
      </c>
      <c r="BJ97" s="73">
        <f>IFERROR(__xludf.DUMMYFUNCTION("""COMPUTED_VALUE"""),4.0)</f>
        <v>4</v>
      </c>
      <c r="BK97" s="73"/>
      <c r="BL97" s="73" t="str">
        <f>IFERROR(__xludf.DUMMYFUNCTION("""COMPUTED_VALUE"""),"Enemy Attack Level Skip")</f>
        <v>Enemy Attack Level Skip</v>
      </c>
      <c r="BM97" s="73" t="str">
        <f>IFERROR(__xludf.DUMMYFUNCTION("""COMPUTED_VALUE"""),"Mythic")</f>
        <v>Mythic</v>
      </c>
      <c r="BN97" s="73" t="str">
        <f>IFERROR(__xludf.DUMMYFUNCTION("""COMPUTED_VALUE"""),"+6%")</f>
        <v>+6%</v>
      </c>
      <c r="BO97" s="73">
        <f>IFERROR(__xludf.DUMMYFUNCTION("""COMPUTED_VALUE"""),0.06)</f>
        <v>0.06</v>
      </c>
      <c r="BP97" s="73"/>
      <c r="BQ97" s="73" t="str">
        <f>IFERROR(__xludf.DUMMYFUNCTION("""COMPUTED_VALUE"""),"Black Hole - Cooldown")</f>
        <v>Black Hole - Cooldown</v>
      </c>
      <c r="BR97" s="73" t="str">
        <f>IFERROR(__xludf.DUMMYFUNCTION("""COMPUTED_VALUE"""),"Ancestral")</f>
        <v>Ancestral</v>
      </c>
      <c r="BS97" s="73" t="str">
        <f>IFERROR(__xludf.DUMMYFUNCTION("""COMPUTED_VALUE"""),"-4s")</f>
        <v>-4s</v>
      </c>
      <c r="BT97" s="74">
        <f>IFERROR(__xludf.DUMMYFUNCTION("""COMPUTED_VALUE"""),-4.0)</f>
        <v>-4</v>
      </c>
      <c r="BU97" s="73"/>
      <c r="BV97" s="73"/>
      <c r="BW97" s="73"/>
      <c r="BX97" s="73"/>
      <c r="BY97" s="73"/>
      <c r="BZ97" s="73"/>
      <c r="CA97" s="73"/>
      <c r="CB97" s="73"/>
      <c r="CC97" s="73"/>
      <c r="CD97" s="73"/>
      <c r="CE97" s="73"/>
    </row>
    <row r="98">
      <c r="A98" s="86" t="str">
        <f>IFERROR(__xludf.DUMMYFUNCTION("""COMPUTED_VALUE"""),"Extra Extra Orbs")</f>
        <v>Extra Extra Orbs</v>
      </c>
      <c r="B98" s="87">
        <f>IFERROR(__xludf.DUMMYFUNCTION("""COMPUTED_VALUE"""),2.0)</f>
        <v>2</v>
      </c>
      <c r="C98" s="73"/>
      <c r="D98" s="88">
        <f>IFERROR(__xludf.DUMMYFUNCTION("""COMPUTED_VALUE"""),2.0)</f>
        <v>2</v>
      </c>
      <c r="E98" s="73"/>
      <c r="F98" s="73"/>
      <c r="G98" s="73"/>
      <c r="H98" s="73"/>
      <c r="I98" s="73"/>
      <c r="J98" s="73"/>
      <c r="K98" s="92"/>
      <c r="L98" s="73"/>
      <c r="M98" s="73"/>
      <c r="N98" s="73"/>
      <c r="O98" s="73"/>
      <c r="P98" s="73"/>
      <c r="Q98" s="75"/>
      <c r="R98" s="82"/>
      <c r="S98" s="73"/>
      <c r="T98" s="73"/>
      <c r="U98" s="73"/>
      <c r="V98" s="73"/>
      <c r="W98" s="73"/>
      <c r="X98" s="73"/>
      <c r="Y98" s="77"/>
      <c r="Z98" s="104"/>
      <c r="AA98" s="73"/>
      <c r="AB98" s="104"/>
      <c r="AC98" s="104"/>
      <c r="AD98" s="74"/>
      <c r="AE98" s="106"/>
      <c r="AF98" s="195"/>
      <c r="AG98" s="80"/>
      <c r="AH98" s="104"/>
      <c r="AI98" s="73"/>
      <c r="AJ98" s="114"/>
      <c r="AK98" s="106"/>
      <c r="AL98" s="74"/>
      <c r="AM98" s="73"/>
      <c r="AN98" s="73"/>
      <c r="AO98" s="102"/>
      <c r="AP98" s="73"/>
      <c r="AQ98" s="73"/>
      <c r="AR98" s="74"/>
      <c r="AS98" s="73"/>
      <c r="AT98" s="73"/>
      <c r="AU98" s="73"/>
      <c r="AV98" s="73"/>
      <c r="AW98" s="73"/>
      <c r="AX98" s="74"/>
      <c r="AY98" s="73"/>
      <c r="AZ98" s="73"/>
      <c r="BA98" s="74"/>
      <c r="BB98" s="73" t="str">
        <f>IFERROR(__xludf.DUMMYFUNCTION("""COMPUTED_VALUE"""),"Multishot Targets")</f>
        <v>Multishot Targets</v>
      </c>
      <c r="BC98" s="73" t="str">
        <f>IFERROR(__xludf.DUMMYFUNCTION("""COMPUTED_VALUE"""),"Ancestral")</f>
        <v>Ancestral</v>
      </c>
      <c r="BD98" s="73" t="str">
        <f>IFERROR(__xludf.DUMMYFUNCTION("""COMPUTED_VALUE"""),"+4")</f>
        <v>+4</v>
      </c>
      <c r="BE98" s="73">
        <f>IFERROR(__xludf.DUMMYFUNCTION("""COMPUTED_VALUE"""),4.0)</f>
        <v>4</v>
      </c>
      <c r="BF98" s="73"/>
      <c r="BG98" s="73" t="str">
        <f>IFERROR(__xludf.DUMMYFUNCTION("""COMPUTED_VALUE"""),"Wall Health")</f>
        <v>Wall Health</v>
      </c>
      <c r="BH98" s="73" t="str">
        <f>IFERROR(__xludf.DUMMYFUNCTION("""COMPUTED_VALUE"""),"Ancestral")</f>
        <v>Ancestral</v>
      </c>
      <c r="BI98" s="73" t="str">
        <f>IFERROR(__xludf.DUMMYFUNCTION("""COMPUTED_VALUE"""),"+120%")</f>
        <v>+120%</v>
      </c>
      <c r="BJ98" s="73">
        <f>IFERROR(__xludf.DUMMYFUNCTION("""COMPUTED_VALUE"""),1.2)</f>
        <v>1.2</v>
      </c>
      <c r="BK98" s="73"/>
      <c r="BL98" s="73" t="str">
        <f>IFERROR(__xludf.DUMMYFUNCTION("""COMPUTED_VALUE"""),"Free Utility Upgrade")</f>
        <v>Free Utility Upgrade</v>
      </c>
      <c r="BM98" s="73" t="str">
        <f>IFERROR(__xludf.DUMMYFUNCTION("""COMPUTED_VALUE"""),"Legendary")</f>
        <v>Legendary</v>
      </c>
      <c r="BN98" s="73" t="str">
        <f>IFERROR(__xludf.DUMMYFUNCTION("""COMPUTED_VALUE"""),"+8%")</f>
        <v>+8%</v>
      </c>
      <c r="BO98" s="73">
        <f>IFERROR(__xludf.DUMMYFUNCTION("""COMPUTED_VALUE"""),0.08)</f>
        <v>0.08</v>
      </c>
      <c r="BP98" s="73"/>
      <c r="BQ98" s="73" t="str">
        <f>IFERROR(__xludf.DUMMYFUNCTION("""COMPUTED_VALUE"""),"Death Wave - Quantity")</f>
        <v>Death Wave - Quantity</v>
      </c>
      <c r="BR98" s="73" t="str">
        <f>IFERROR(__xludf.DUMMYFUNCTION("""COMPUTED_VALUE"""),"Mythic")</f>
        <v>Mythic</v>
      </c>
      <c r="BS98" s="73" t="str">
        <f>IFERROR(__xludf.DUMMYFUNCTION("""COMPUTED_VALUE"""),"+2")</f>
        <v>+2</v>
      </c>
      <c r="BT98" s="74">
        <f>IFERROR(__xludf.DUMMYFUNCTION("""COMPUTED_VALUE"""),2.0)</f>
        <v>2</v>
      </c>
      <c r="BU98" s="73"/>
      <c r="BV98" s="73"/>
      <c r="BW98" s="73"/>
      <c r="BX98" s="73"/>
      <c r="BY98" s="73"/>
      <c r="BZ98" s="73"/>
      <c r="CA98" s="73"/>
      <c r="CB98" s="73"/>
      <c r="CC98" s="73"/>
      <c r="CD98" s="73"/>
      <c r="CE98" s="73"/>
    </row>
    <row r="99">
      <c r="A99" s="86" t="str">
        <f>IFERROR(__xludf.DUMMYFUNCTION("""COMPUTED_VALUE"""),"Energy Shield Extra Hit")</f>
        <v>Energy Shield Extra Hit</v>
      </c>
      <c r="B99" s="87">
        <f>IFERROR(__xludf.DUMMYFUNCTION("""COMPUTED_VALUE"""),2.0)</f>
        <v>2</v>
      </c>
      <c r="C99" s="73"/>
      <c r="D99" s="88">
        <f>IFERROR(__xludf.DUMMYFUNCTION("""COMPUTED_VALUE"""),2.0)</f>
        <v>2</v>
      </c>
      <c r="E99" s="73"/>
      <c r="F99" s="73"/>
      <c r="G99" s="73"/>
      <c r="H99" s="73"/>
      <c r="I99" s="73"/>
      <c r="J99" s="73"/>
      <c r="K99" s="92"/>
      <c r="L99" s="73"/>
      <c r="M99" s="73"/>
      <c r="N99" s="73"/>
      <c r="O99" s="73"/>
      <c r="P99" s="73"/>
      <c r="Q99" s="75"/>
      <c r="R99" s="82"/>
      <c r="S99" s="73"/>
      <c r="T99" s="73"/>
      <c r="U99" s="73"/>
      <c r="V99" s="73"/>
      <c r="W99" s="73"/>
      <c r="X99" s="73"/>
      <c r="Y99" s="77"/>
      <c r="Z99" s="104"/>
      <c r="AA99" s="73"/>
      <c r="AB99" s="104"/>
      <c r="AC99" s="104"/>
      <c r="AD99" s="74"/>
      <c r="AE99" s="106"/>
      <c r="AF99" s="195"/>
      <c r="AG99" s="80"/>
      <c r="AH99" s="104"/>
      <c r="AI99" s="73"/>
      <c r="AJ99" s="114"/>
      <c r="AK99" s="106"/>
      <c r="AL99" s="74"/>
      <c r="AM99" s="73"/>
      <c r="AN99" s="73"/>
      <c r="AO99" s="102"/>
      <c r="AP99" s="73"/>
      <c r="AQ99" s="73"/>
      <c r="AR99" s="74"/>
      <c r="AS99" s="73"/>
      <c r="AT99" s="73"/>
      <c r="AU99" s="73"/>
      <c r="AV99" s="73"/>
      <c r="AW99" s="73"/>
      <c r="AX99" s="74"/>
      <c r="AY99" s="73"/>
      <c r="AZ99" s="73"/>
      <c r="BA99" s="74"/>
      <c r="BB99" s="73" t="str">
        <f>IFERROR(__xludf.DUMMYFUNCTION("""COMPUTED_VALUE"""),"Critical Factor")</f>
        <v>Critical Factor</v>
      </c>
      <c r="BC99" s="73" t="str">
        <f>IFERROR(__xludf.DUMMYFUNCTION("""COMPUTED_VALUE"""),"Ancestral")</f>
        <v>Ancestral</v>
      </c>
      <c r="BD99" s="73" t="str">
        <f>IFERROR(__xludf.DUMMYFUNCTION("""COMPUTED_VALUE"""),"+15x")</f>
        <v>+15x</v>
      </c>
      <c r="BE99" s="73">
        <f>IFERROR(__xludf.DUMMYFUNCTION("""COMPUTED_VALUE"""),15.0)</f>
        <v>15</v>
      </c>
      <c r="BF99" s="73"/>
      <c r="BG99" s="73" t="str">
        <f>IFERROR(__xludf.DUMMYFUNCTION("""COMPUTED_VALUE"""),"Thorns Damage")</f>
        <v>Thorns Damage</v>
      </c>
      <c r="BH99" s="73" t="str">
        <f>IFERROR(__xludf.DUMMYFUNCTION("""COMPUTED_VALUE"""),"Ancestral")</f>
        <v>Ancestral</v>
      </c>
      <c r="BI99" s="73" t="str">
        <f>IFERROR(__xludf.DUMMYFUNCTION("""COMPUTED_VALUE"""),"+10%")</f>
        <v>+10%</v>
      </c>
      <c r="BJ99" s="73">
        <f>IFERROR(__xludf.DUMMYFUNCTION("""COMPUTED_VALUE"""),0.1)</f>
        <v>0.1</v>
      </c>
      <c r="BK99" s="73"/>
      <c r="BL99" s="73" t="str">
        <f>IFERROR(__xludf.DUMMYFUNCTION("""COMPUTED_VALUE"""),"Package Chance")</f>
        <v>Package Chance</v>
      </c>
      <c r="BM99" s="73" t="str">
        <f>IFERROR(__xludf.DUMMYFUNCTION("""COMPUTED_VALUE"""),"Mythic")</f>
        <v>Mythic</v>
      </c>
      <c r="BN99" s="73" t="str">
        <f>IFERROR(__xludf.DUMMYFUNCTION("""COMPUTED_VALUE"""),"+11%")</f>
        <v>+11%</v>
      </c>
      <c r="BO99" s="73">
        <f>IFERROR(__xludf.DUMMYFUNCTION("""COMPUTED_VALUE"""),0.11)</f>
        <v>0.11</v>
      </c>
      <c r="BP99" s="73"/>
      <c r="BQ99" s="73" t="str">
        <f>IFERROR(__xludf.DUMMYFUNCTION("""COMPUTED_VALUE"""),"Spotlight - Angle")</f>
        <v>Spotlight - Angle</v>
      </c>
      <c r="BR99" s="73" t="str">
        <f>IFERROR(__xludf.DUMMYFUNCTION("""COMPUTED_VALUE"""),"Ancestral")</f>
        <v>Ancestral</v>
      </c>
      <c r="BS99" s="73" t="str">
        <f>IFERROR(__xludf.DUMMYFUNCTION("""COMPUTED_VALUE"""),"+15°")</f>
        <v>+15°</v>
      </c>
      <c r="BT99" s="74">
        <f>IFERROR(__xludf.DUMMYFUNCTION("""COMPUTED_VALUE"""),15.0)</f>
        <v>15</v>
      </c>
      <c r="BU99" s="73"/>
      <c r="BV99" s="73"/>
      <c r="BW99" s="73"/>
      <c r="BX99" s="73"/>
      <c r="BY99" s="73"/>
      <c r="BZ99" s="73"/>
      <c r="CA99" s="73"/>
      <c r="CB99" s="73"/>
      <c r="CC99" s="73"/>
      <c r="CD99" s="73"/>
      <c r="CE99" s="73"/>
    </row>
    <row r="100">
      <c r="A100" s="86" t="str">
        <f>IFERROR(__xludf.DUMMYFUNCTION("""COMPUTED_VALUE"""),"Super Tower Bonus")</f>
        <v>Super Tower Bonus</v>
      </c>
      <c r="B100" s="87">
        <f>IFERROR(__xludf.DUMMYFUNCTION("""COMPUTED_VALUE"""),0.0)</f>
        <v>0</v>
      </c>
      <c r="C100" s="73"/>
      <c r="D100" s="88">
        <f>IFERROR(__xludf.DUMMYFUNCTION("""COMPUTED_VALUE"""),30.0)</f>
        <v>30</v>
      </c>
      <c r="E100" s="73"/>
      <c r="F100" s="73"/>
      <c r="G100" s="73"/>
      <c r="H100" s="73"/>
      <c r="I100" s="73"/>
      <c r="J100" s="73"/>
      <c r="K100" s="92"/>
      <c r="L100" s="73"/>
      <c r="M100" s="73"/>
      <c r="N100" s="73"/>
      <c r="O100" s="73"/>
      <c r="P100" s="73"/>
      <c r="Q100" s="75"/>
      <c r="R100" s="82"/>
      <c r="S100" s="73"/>
      <c r="T100" s="73"/>
      <c r="U100" s="73"/>
      <c r="V100" s="73"/>
      <c r="W100" s="73"/>
      <c r="X100" s="73"/>
      <c r="Y100" s="77"/>
      <c r="Z100" s="104"/>
      <c r="AA100" s="73"/>
      <c r="AB100" s="104"/>
      <c r="AC100" s="104"/>
      <c r="AD100" s="74"/>
      <c r="AE100" s="106"/>
      <c r="AF100" s="195"/>
      <c r="AG100" s="80"/>
      <c r="AH100" s="104"/>
      <c r="AI100" s="73"/>
      <c r="AJ100" s="114"/>
      <c r="AK100" s="106"/>
      <c r="AL100" s="74"/>
      <c r="AM100" s="73"/>
      <c r="AN100" s="73"/>
      <c r="AO100" s="102"/>
      <c r="AP100" s="73"/>
      <c r="AQ100" s="73"/>
      <c r="AR100" s="74"/>
      <c r="AS100" s="73"/>
      <c r="AT100" s="73"/>
      <c r="AU100" s="73"/>
      <c r="AV100" s="73"/>
      <c r="AW100" s="73"/>
      <c r="AX100" s="74"/>
      <c r="AY100" s="73"/>
      <c r="AZ100" s="73"/>
      <c r="BA100" s="74"/>
      <c r="BB100" s="73" t="str">
        <f>IFERROR(__xludf.DUMMYFUNCTION("""COMPUTED_VALUE"""),"Super Crit Multi")</f>
        <v>Super Crit Multi</v>
      </c>
      <c r="BC100" s="73" t="str">
        <f>IFERROR(__xludf.DUMMYFUNCTION("""COMPUTED_VALUE"""),"Mythic")</f>
        <v>Mythic</v>
      </c>
      <c r="BD100" s="73" t="str">
        <f>IFERROR(__xludf.DUMMYFUNCTION("""COMPUTED_VALUE"""),"+5x")</f>
        <v>+5x</v>
      </c>
      <c r="BE100" s="73">
        <f>IFERROR(__xludf.DUMMYFUNCTION("""COMPUTED_VALUE"""),5.0)</f>
        <v>5</v>
      </c>
      <c r="BF100" s="73"/>
      <c r="BG100" s="73"/>
      <c r="BH100" s="73"/>
      <c r="BI100" s="73"/>
      <c r="BJ100" s="73" t="str">
        <f>IFERROR(__xludf.DUMMYFUNCTION("""COMPUTED_VALUE"""),"")</f>
        <v/>
      </c>
      <c r="BK100" s="73"/>
      <c r="BL100" s="73"/>
      <c r="BM100" s="73"/>
      <c r="BN100" s="73"/>
      <c r="BO100" s="73" t="str">
        <f>IFERROR(__xludf.DUMMYFUNCTION("""COMPUTED_VALUE"""),"")</f>
        <v/>
      </c>
      <c r="BP100" s="73"/>
      <c r="BQ100" s="73"/>
      <c r="BR100" s="73"/>
      <c r="BS100" s="73"/>
      <c r="BT100" s="74" t="str">
        <f>IFERROR(__xludf.DUMMYFUNCTION("""COMPUTED_VALUE"""),"")</f>
        <v/>
      </c>
      <c r="BU100" s="73"/>
      <c r="BV100" s="73"/>
      <c r="BW100" s="73"/>
      <c r="BX100" s="73"/>
      <c r="BY100" s="73"/>
      <c r="BZ100" s="73"/>
      <c r="CA100" s="73"/>
      <c r="CB100" s="73"/>
      <c r="CC100" s="73"/>
      <c r="CD100" s="73"/>
      <c r="CE100" s="73"/>
    </row>
    <row r="101">
      <c r="A101" s="86" t="str">
        <f>IFERROR(__xludf.DUMMYFUNCTION("""COMPUTED_VALUE"""),"Recharge Second Wind")</f>
        <v>Recharge Second Wind</v>
      </c>
      <c r="B101" s="87">
        <f>IFERROR(__xludf.DUMMYFUNCTION("""COMPUTED_VALUE"""),7.0)</f>
        <v>7</v>
      </c>
      <c r="C101" s="73"/>
      <c r="D101" s="88">
        <f>IFERROR(__xludf.DUMMYFUNCTION("""COMPUTED_VALUE"""),7.0)</f>
        <v>7</v>
      </c>
      <c r="E101" s="73"/>
      <c r="F101" s="73"/>
      <c r="G101" s="73"/>
      <c r="H101" s="73"/>
      <c r="I101" s="73"/>
      <c r="J101" s="73"/>
      <c r="K101" s="92"/>
      <c r="L101" s="73"/>
      <c r="M101" s="73"/>
      <c r="N101" s="73"/>
      <c r="O101" s="73"/>
      <c r="P101" s="73"/>
      <c r="Q101" s="75"/>
      <c r="R101" s="82"/>
      <c r="S101" s="73"/>
      <c r="T101" s="73"/>
      <c r="U101" s="73"/>
      <c r="V101" s="73"/>
      <c r="W101" s="73"/>
      <c r="X101" s="73"/>
      <c r="Y101" s="77"/>
      <c r="Z101" s="104"/>
      <c r="AA101" s="73"/>
      <c r="AB101" s="104"/>
      <c r="AC101" s="104"/>
      <c r="AD101" s="74"/>
      <c r="AE101" s="106"/>
      <c r="AF101" s="195"/>
      <c r="AG101" s="80"/>
      <c r="AH101" s="104"/>
      <c r="AI101" s="73"/>
      <c r="AJ101" s="114"/>
      <c r="AK101" s="106"/>
      <c r="AL101" s="74"/>
      <c r="AM101" s="73"/>
      <c r="AN101" s="73"/>
      <c r="AO101" s="102"/>
      <c r="AP101" s="73"/>
      <c r="AQ101" s="73"/>
      <c r="AR101" s="74"/>
      <c r="AS101" s="73"/>
      <c r="AT101" s="73"/>
      <c r="AU101" s="73"/>
      <c r="AV101" s="73"/>
      <c r="AW101" s="73"/>
      <c r="AX101" s="74"/>
      <c r="AY101" s="73"/>
      <c r="AZ101" s="73"/>
      <c r="BA101" s="74"/>
      <c r="BB101" s="73"/>
      <c r="BC101" s="73"/>
      <c r="BD101" s="73"/>
      <c r="BE101" s="73" t="str">
        <f>IFERROR(__xludf.DUMMYFUNCTION("""COMPUTED_VALUE"""),"")</f>
        <v/>
      </c>
      <c r="BF101" s="73"/>
      <c r="BG101" s="73"/>
      <c r="BH101" s="73"/>
      <c r="BI101" s="73"/>
      <c r="BJ101" s="73" t="str">
        <f>IFERROR(__xludf.DUMMYFUNCTION("""COMPUTED_VALUE"""),"")</f>
        <v/>
      </c>
      <c r="BK101" s="73"/>
      <c r="BL101" s="73"/>
      <c r="BM101" s="73"/>
      <c r="BN101" s="73"/>
      <c r="BO101" s="73" t="str">
        <f>IFERROR(__xludf.DUMMYFUNCTION("""COMPUTED_VALUE"""),"")</f>
        <v/>
      </c>
      <c r="BP101" s="73"/>
      <c r="BQ101" s="73"/>
      <c r="BR101" s="73"/>
      <c r="BS101" s="73"/>
      <c r="BT101" s="74" t="str">
        <f>IFERROR(__xludf.DUMMYFUNCTION("""COMPUTED_VALUE"""),"")</f>
        <v/>
      </c>
      <c r="BU101" s="73"/>
      <c r="BV101" s="73"/>
      <c r="BW101" s="73"/>
      <c r="BX101" s="73"/>
      <c r="BY101" s="73"/>
      <c r="BZ101" s="73"/>
      <c r="CA101" s="73"/>
      <c r="CB101" s="73"/>
      <c r="CC101" s="73"/>
      <c r="CD101" s="73"/>
      <c r="CE101" s="73"/>
    </row>
    <row r="102">
      <c r="A102" s="86" t="str">
        <f>IFERROR(__xludf.DUMMYFUNCTION("""COMPUTED_VALUE"""),"Recharge Demon Mode")</f>
        <v>Recharge Demon Mode</v>
      </c>
      <c r="B102" s="87">
        <f>IFERROR(__xludf.DUMMYFUNCTION("""COMPUTED_VALUE"""),4.0)</f>
        <v>4</v>
      </c>
      <c r="C102" s="73"/>
      <c r="D102" s="88">
        <f>IFERROR(__xludf.DUMMYFUNCTION("""COMPUTED_VALUE"""),7.0)</f>
        <v>7</v>
      </c>
      <c r="E102" s="73"/>
      <c r="F102" s="73"/>
      <c r="G102" s="73"/>
      <c r="H102" s="73"/>
      <c r="I102" s="73"/>
      <c r="J102" s="73"/>
      <c r="K102" s="92"/>
      <c r="L102" s="73"/>
      <c r="M102" s="73"/>
      <c r="N102" s="73"/>
      <c r="O102" s="73"/>
      <c r="P102" s="73"/>
      <c r="Q102" s="75"/>
      <c r="R102" s="82"/>
      <c r="S102" s="73"/>
      <c r="T102" s="73"/>
      <c r="U102" s="73"/>
      <c r="V102" s="73"/>
      <c r="W102" s="73"/>
      <c r="X102" s="73"/>
      <c r="Y102" s="77"/>
      <c r="Z102" s="104"/>
      <c r="AA102" s="73"/>
      <c r="AB102" s="104"/>
      <c r="AC102" s="104"/>
      <c r="AD102" s="74"/>
      <c r="AE102" s="106"/>
      <c r="AF102" s="195"/>
      <c r="AG102" s="80"/>
      <c r="AH102" s="104"/>
      <c r="AI102" s="73"/>
      <c r="AJ102" s="114"/>
      <c r="AK102" s="106"/>
      <c r="AL102" s="74"/>
      <c r="AM102" s="73"/>
      <c r="AN102" s="73"/>
      <c r="AO102" s="102"/>
      <c r="AP102" s="73"/>
      <c r="AQ102" s="73"/>
      <c r="AR102" s="74"/>
      <c r="AS102" s="73"/>
      <c r="AT102" s="73"/>
      <c r="AU102" s="73"/>
      <c r="AV102" s="73"/>
      <c r="AW102" s="73"/>
      <c r="AX102" s="74"/>
      <c r="AY102" s="73"/>
      <c r="AZ102" s="73"/>
      <c r="BA102" s="74"/>
      <c r="BB102" s="73"/>
      <c r="BC102" s="73"/>
      <c r="BD102" s="73"/>
      <c r="BE102" s="73" t="str">
        <f>IFERROR(__xludf.DUMMYFUNCTION("""COMPUTED_VALUE"""),"")</f>
        <v/>
      </c>
      <c r="BF102" s="73"/>
      <c r="BG102" s="73"/>
      <c r="BH102" s="73"/>
      <c r="BI102" s="73"/>
      <c r="BJ102" s="73" t="str">
        <f>IFERROR(__xludf.DUMMYFUNCTION("""COMPUTED_VALUE"""),"")</f>
        <v/>
      </c>
      <c r="BK102" s="73"/>
      <c r="BL102" s="73"/>
      <c r="BM102" s="73"/>
      <c r="BN102" s="73"/>
      <c r="BO102" s="73" t="str">
        <f>IFERROR(__xludf.DUMMYFUNCTION("""COMPUTED_VALUE"""),"")</f>
        <v/>
      </c>
      <c r="BP102" s="73"/>
      <c r="BQ102" s="73"/>
      <c r="BR102" s="73"/>
      <c r="BS102" s="73"/>
      <c r="BT102" s="74" t="str">
        <f>IFERROR(__xludf.DUMMYFUNCTION("""COMPUTED_VALUE"""),"")</f>
        <v/>
      </c>
      <c r="BU102" s="73"/>
      <c r="BV102" s="73"/>
      <c r="BW102" s="73"/>
      <c r="BX102" s="73"/>
      <c r="BY102" s="73"/>
      <c r="BZ102" s="73"/>
      <c r="CA102" s="73"/>
      <c r="CB102" s="73"/>
      <c r="CC102" s="73"/>
      <c r="CD102" s="73"/>
      <c r="CE102" s="73"/>
    </row>
    <row r="103">
      <c r="A103" s="86" t="str">
        <f>IFERROR(__xludf.DUMMYFUNCTION("""COMPUTED_VALUE"""),"Recharge Nuke")</f>
        <v>Recharge Nuke</v>
      </c>
      <c r="B103" s="87">
        <f>IFERROR(__xludf.DUMMYFUNCTION("""COMPUTED_VALUE"""),2.0)</f>
        <v>2</v>
      </c>
      <c r="C103" s="73"/>
      <c r="D103" s="88">
        <f>IFERROR(__xludf.DUMMYFUNCTION("""COMPUTED_VALUE"""),7.0)</f>
        <v>7</v>
      </c>
      <c r="E103" s="73"/>
      <c r="F103" s="73"/>
      <c r="G103" s="73"/>
      <c r="H103" s="73"/>
      <c r="I103" s="73"/>
      <c r="J103" s="73"/>
      <c r="K103" s="92"/>
      <c r="L103" s="73"/>
      <c r="M103" s="73"/>
      <c r="N103" s="73"/>
      <c r="O103" s="73"/>
      <c r="P103" s="73"/>
      <c r="Q103" s="75"/>
      <c r="R103" s="82"/>
      <c r="S103" s="73"/>
      <c r="T103" s="73"/>
      <c r="U103" s="73"/>
      <c r="V103" s="73"/>
      <c r="W103" s="73"/>
      <c r="X103" s="73"/>
      <c r="Y103" s="77"/>
      <c r="Z103" s="104"/>
      <c r="AA103" s="73"/>
      <c r="AB103" s="104"/>
      <c r="AC103" s="104"/>
      <c r="AD103" s="74"/>
      <c r="AE103" s="106"/>
      <c r="AF103" s="195"/>
      <c r="AG103" s="80"/>
      <c r="AH103" s="104"/>
      <c r="AI103" s="73"/>
      <c r="AJ103" s="114"/>
      <c r="AK103" s="106"/>
      <c r="AL103" s="74"/>
      <c r="AM103" s="73"/>
      <c r="AN103" s="73"/>
      <c r="AO103" s="102"/>
      <c r="AP103" s="73"/>
      <c r="AQ103" s="73"/>
      <c r="AR103" s="74"/>
      <c r="AS103" s="73"/>
      <c r="AT103" s="73"/>
      <c r="AU103" s="73"/>
      <c r="AV103" s="73"/>
      <c r="AW103" s="73"/>
      <c r="AX103" s="74"/>
      <c r="AY103" s="73"/>
      <c r="AZ103" s="73"/>
      <c r="BA103" s="74"/>
      <c r="BB103" s="73"/>
      <c r="BC103" s="73"/>
      <c r="BD103" s="73"/>
      <c r="BE103" s="73" t="str">
        <f>IFERROR(__xludf.DUMMYFUNCTION("""COMPUTED_VALUE"""),"")</f>
        <v/>
      </c>
      <c r="BF103" s="73"/>
      <c r="BG103" s="73"/>
      <c r="BH103" s="73"/>
      <c r="BI103" s="73"/>
      <c r="BJ103" s="73" t="str">
        <f>IFERROR(__xludf.DUMMYFUNCTION("""COMPUTED_VALUE"""),"")</f>
        <v/>
      </c>
      <c r="BK103" s="73"/>
      <c r="BL103" s="73"/>
      <c r="BM103" s="73"/>
      <c r="BN103" s="73"/>
      <c r="BO103" s="73" t="str">
        <f>IFERROR(__xludf.DUMMYFUNCTION("""COMPUTED_VALUE"""),"")</f>
        <v/>
      </c>
      <c r="BP103" s="73"/>
      <c r="BQ103" s="73"/>
      <c r="BR103" s="73"/>
      <c r="BS103" s="73"/>
      <c r="BT103" s="74" t="str">
        <f>IFERROR(__xludf.DUMMYFUNCTION("""COMPUTED_VALUE"""),"")</f>
        <v/>
      </c>
      <c r="BU103" s="73"/>
      <c r="BV103" s="73"/>
      <c r="BW103" s="73"/>
      <c r="BX103" s="73"/>
      <c r="BY103" s="73"/>
      <c r="BZ103" s="73"/>
      <c r="CA103" s="73"/>
      <c r="CB103" s="73"/>
      <c r="CC103" s="73"/>
      <c r="CD103" s="73"/>
      <c r="CE103" s="73"/>
    </row>
    <row r="104">
      <c r="A104" s="86" t="str">
        <f>IFERROR(__xludf.DUMMYFUNCTION("""COMPUTED_VALUE"""),"Unlock Perks")</f>
        <v>Unlock Perks</v>
      </c>
      <c r="B104" s="87">
        <f>IFERROR(__xludf.DUMMYFUNCTION("""COMPUTED_VALUE"""),1.0)</f>
        <v>1</v>
      </c>
      <c r="C104" s="73"/>
      <c r="D104" s="88">
        <f>IFERROR(__xludf.DUMMYFUNCTION("""COMPUTED_VALUE"""),1.0)</f>
        <v>1</v>
      </c>
      <c r="E104" s="73"/>
      <c r="F104" s="73"/>
      <c r="G104" s="73"/>
      <c r="H104" s="73"/>
      <c r="I104" s="73"/>
      <c r="J104" s="73"/>
      <c r="K104" s="92"/>
      <c r="L104" s="73"/>
      <c r="M104" s="73"/>
      <c r="N104" s="73"/>
      <c r="O104" s="73"/>
      <c r="P104" s="73"/>
      <c r="Q104" s="75"/>
      <c r="R104" s="82"/>
      <c r="S104" s="73"/>
      <c r="T104" s="73"/>
      <c r="U104" s="73"/>
      <c r="V104" s="73"/>
      <c r="W104" s="73"/>
      <c r="X104" s="73"/>
      <c r="Y104" s="77"/>
      <c r="Z104" s="104"/>
      <c r="AA104" s="73"/>
      <c r="AB104" s="104"/>
      <c r="AC104" s="104"/>
      <c r="AD104" s="74"/>
      <c r="AE104" s="106"/>
      <c r="AF104" s="195"/>
      <c r="AG104" s="80"/>
      <c r="AH104" s="104"/>
      <c r="AI104" s="73"/>
      <c r="AJ104" s="114"/>
      <c r="AK104" s="106"/>
      <c r="AL104" s="74"/>
      <c r="AM104" s="73"/>
      <c r="AN104" s="73"/>
      <c r="AO104" s="102"/>
      <c r="AP104" s="73"/>
      <c r="AQ104" s="73"/>
      <c r="AR104" s="74"/>
      <c r="AS104" s="73"/>
      <c r="AT104" s="73"/>
      <c r="AU104" s="73"/>
      <c r="AV104" s="73"/>
      <c r="AW104" s="73"/>
      <c r="AX104" s="74"/>
      <c r="AY104" s="73"/>
      <c r="AZ104" s="73"/>
      <c r="BA104" s="74"/>
      <c r="BB104" s="73"/>
      <c r="BC104" s="73"/>
      <c r="BD104" s="73"/>
      <c r="BE104" s="73"/>
      <c r="BF104" s="73"/>
      <c r="BG104" s="73"/>
      <c r="BH104" s="73"/>
      <c r="BI104" s="73"/>
      <c r="BJ104" s="73"/>
      <c r="BK104" s="73"/>
      <c r="BL104" s="73"/>
      <c r="BM104" s="73"/>
      <c r="BN104" s="73"/>
      <c r="BO104" s="73"/>
      <c r="BP104" s="73"/>
      <c r="BQ104" s="73"/>
      <c r="BR104" s="73"/>
      <c r="BS104" s="73"/>
      <c r="BT104" s="74"/>
      <c r="BU104" s="73"/>
      <c r="BV104" s="73"/>
      <c r="BW104" s="73"/>
      <c r="BX104" s="73"/>
      <c r="BY104" s="73"/>
      <c r="BZ104" s="73"/>
      <c r="CA104" s="73"/>
      <c r="CB104" s="73"/>
      <c r="CC104" s="73"/>
      <c r="CD104" s="73"/>
      <c r="CE104" s="73"/>
    </row>
    <row r="105">
      <c r="A105" s="86" t="str">
        <f>IFERROR(__xludf.DUMMYFUNCTION("""COMPUTED_VALUE"""),"Waves Required")</f>
        <v>Waves Required</v>
      </c>
      <c r="B105" s="87">
        <f>IFERROR(__xludf.DUMMYFUNCTION("""COMPUTED_VALUE"""),13.0)</f>
        <v>13</v>
      </c>
      <c r="C105" s="73">
        <f>IFERROR(__xludf.DUMMYFUNCTION("""COMPUTED_VALUE"""),17.0)</f>
        <v>17</v>
      </c>
      <c r="D105" s="88">
        <f>IFERROR(__xludf.DUMMYFUNCTION("""COMPUTED_VALUE"""),100.0)</f>
        <v>100</v>
      </c>
      <c r="E105" s="73"/>
      <c r="F105" s="73"/>
      <c r="G105" s="73"/>
      <c r="H105" s="73"/>
      <c r="I105" s="73"/>
      <c r="J105" s="73"/>
      <c r="K105" s="92"/>
      <c r="L105" s="73"/>
      <c r="M105" s="73"/>
      <c r="N105" s="73"/>
      <c r="O105" s="73"/>
      <c r="P105" s="73"/>
      <c r="Q105" s="75"/>
      <c r="R105" s="82"/>
      <c r="S105" s="73"/>
      <c r="T105" s="73"/>
      <c r="U105" s="73"/>
      <c r="V105" s="73"/>
      <c r="W105" s="73"/>
      <c r="X105" s="73"/>
      <c r="Y105" s="77"/>
      <c r="Z105" s="104"/>
      <c r="AA105" s="73"/>
      <c r="AB105" s="104"/>
      <c r="AC105" s="104"/>
      <c r="AD105" s="74"/>
      <c r="AE105" s="106"/>
      <c r="AF105" s="195"/>
      <c r="AG105" s="80"/>
      <c r="AH105" s="104"/>
      <c r="AI105" s="73"/>
      <c r="AJ105" s="114"/>
      <c r="AK105" s="106"/>
      <c r="AL105" s="74"/>
      <c r="AM105" s="73"/>
      <c r="AN105" s="73"/>
      <c r="AO105" s="102"/>
      <c r="AP105" s="73"/>
      <c r="AQ105" s="73"/>
      <c r="AR105" s="74"/>
      <c r="AS105" s="73"/>
      <c r="AT105" s="73"/>
      <c r="AU105" s="73"/>
      <c r="AV105" s="73"/>
      <c r="AW105" s="73"/>
      <c r="AX105" s="74"/>
      <c r="AY105" s="73"/>
      <c r="AZ105" s="73"/>
      <c r="BA105" s="74"/>
      <c r="BB105" s="73" t="str">
        <f>IFERROR(__xludf.DUMMYFUNCTION("""COMPUTED_VALUE"""),"Any Other")</f>
        <v>Any Other</v>
      </c>
      <c r="BC105" s="73"/>
      <c r="BD105" s="73"/>
      <c r="BE105" s="73"/>
      <c r="BF105" s="73"/>
      <c r="BG105" s="73" t="str">
        <f>IFERROR(__xludf.DUMMYFUNCTION("""COMPUTED_VALUE"""),"Any Other")</f>
        <v>Any Other</v>
      </c>
      <c r="BH105" s="73"/>
      <c r="BI105" s="73"/>
      <c r="BJ105" s="73"/>
      <c r="BK105" s="73"/>
      <c r="BL105" s="73" t="str">
        <f>IFERROR(__xludf.DUMMYFUNCTION("""COMPUTED_VALUE"""),"Any Other")</f>
        <v>Any Other</v>
      </c>
      <c r="BM105" s="73"/>
      <c r="BN105" s="73"/>
      <c r="BO105" s="73"/>
      <c r="BP105" s="73"/>
      <c r="BQ105" s="73" t="str">
        <f>IFERROR(__xludf.DUMMYFUNCTION("""COMPUTED_VALUE"""),"Any Other")</f>
        <v>Any Other</v>
      </c>
      <c r="BR105" s="73"/>
      <c r="BS105" s="73"/>
      <c r="BT105" s="74"/>
      <c r="BU105" s="73"/>
      <c r="BV105" s="73"/>
      <c r="BW105" s="73"/>
      <c r="BX105" s="73"/>
      <c r="BY105" s="73"/>
      <c r="BZ105" s="73"/>
      <c r="CA105" s="73"/>
      <c r="CB105" s="73"/>
      <c r="CC105" s="73"/>
      <c r="CD105" s="73"/>
      <c r="CE105" s="73"/>
    </row>
    <row r="106">
      <c r="A106" s="86" t="str">
        <f>IFERROR(__xludf.DUMMYFUNCTION("""COMPUTED_VALUE"""),"Auto Pick Perks")</f>
        <v>Auto Pick Perks</v>
      </c>
      <c r="B106" s="87">
        <f>IFERROR(__xludf.DUMMYFUNCTION("""COMPUTED_VALUE"""),1.0)</f>
        <v>1</v>
      </c>
      <c r="C106" s="73"/>
      <c r="D106" s="88">
        <f>IFERROR(__xludf.DUMMYFUNCTION("""COMPUTED_VALUE"""),1.0)</f>
        <v>1</v>
      </c>
      <c r="E106" s="73"/>
      <c r="F106" s="73"/>
      <c r="G106" s="73"/>
      <c r="H106" s="73"/>
      <c r="I106" s="73"/>
      <c r="J106" s="73"/>
      <c r="K106" s="92"/>
      <c r="L106" s="73"/>
      <c r="M106" s="73"/>
      <c r="N106" s="73"/>
      <c r="O106" s="73"/>
      <c r="P106" s="73"/>
      <c r="Q106" s="75"/>
      <c r="R106" s="82"/>
      <c r="S106" s="73"/>
      <c r="T106" s="73"/>
      <c r="U106" s="73"/>
      <c r="V106" s="73"/>
      <c r="W106" s="73"/>
      <c r="X106" s="73"/>
      <c r="Y106" s="77"/>
      <c r="Z106" s="104"/>
      <c r="AA106" s="73"/>
      <c r="AB106" s="104"/>
      <c r="AC106" s="104"/>
      <c r="AD106" s="74"/>
      <c r="AE106" s="106"/>
      <c r="AF106" s="195"/>
      <c r="AG106" s="80"/>
      <c r="AH106" s="104"/>
      <c r="AI106" s="73"/>
      <c r="AJ106" s="114"/>
      <c r="AK106" s="106"/>
      <c r="AL106" s="74"/>
      <c r="AM106" s="73"/>
      <c r="AN106" s="73"/>
      <c r="AO106" s="102"/>
      <c r="AP106" s="73"/>
      <c r="AQ106" s="73"/>
      <c r="AR106" s="74"/>
      <c r="AS106" s="73"/>
      <c r="AT106" s="73"/>
      <c r="AU106" s="73"/>
      <c r="AV106" s="73"/>
      <c r="AW106" s="73"/>
      <c r="AX106" s="74"/>
      <c r="AY106" s="73"/>
      <c r="AZ106" s="73"/>
      <c r="BA106" s="74"/>
      <c r="BB106" s="73" t="str">
        <f>IFERROR(__xludf.DUMMYFUNCTION("""COMPUTED_VALUE"""),"Rarity")</f>
        <v>Rarity</v>
      </c>
      <c r="BC106" s="73" t="str">
        <f>IFERROR(__xludf.DUMMYFUNCTION("""COMPUTED_VALUE"""),"Level")</f>
        <v>Level</v>
      </c>
      <c r="BD106" s="73" t="str">
        <f>IFERROR(__xludf.DUMMYFUNCTION("""COMPUTED_VALUE"""),"Stat")</f>
        <v>Stat</v>
      </c>
      <c r="BE106" s="73"/>
      <c r="BF106" s="73"/>
      <c r="BG106" s="73" t="str">
        <f>IFERROR(__xludf.DUMMYFUNCTION("""COMPUTED_VALUE"""),"Rarity")</f>
        <v>Rarity</v>
      </c>
      <c r="BH106" s="73" t="str">
        <f>IFERROR(__xludf.DUMMYFUNCTION("""COMPUTED_VALUE"""),"Level")</f>
        <v>Level</v>
      </c>
      <c r="BI106" s="73" t="str">
        <f>IFERROR(__xludf.DUMMYFUNCTION("""COMPUTED_VALUE"""),"Stat")</f>
        <v>Stat</v>
      </c>
      <c r="BJ106" s="73"/>
      <c r="BK106" s="73"/>
      <c r="BL106" s="73" t="str">
        <f>IFERROR(__xludf.DUMMYFUNCTION("""COMPUTED_VALUE"""),"Rarity")</f>
        <v>Rarity</v>
      </c>
      <c r="BM106" s="73" t="str">
        <f>IFERROR(__xludf.DUMMYFUNCTION("""COMPUTED_VALUE"""),"Level")</f>
        <v>Level</v>
      </c>
      <c r="BN106" s="73" t="str">
        <f>IFERROR(__xludf.DUMMYFUNCTION("""COMPUTED_VALUE"""),"Stat")</f>
        <v>Stat</v>
      </c>
      <c r="BO106" s="73"/>
      <c r="BP106" s="73"/>
      <c r="BQ106" s="73" t="str">
        <f>IFERROR(__xludf.DUMMYFUNCTION("""COMPUTED_VALUE"""),"Rarity")</f>
        <v>Rarity</v>
      </c>
      <c r="BR106" s="73" t="str">
        <f>IFERROR(__xludf.DUMMYFUNCTION("""COMPUTED_VALUE"""),"Level")</f>
        <v>Level</v>
      </c>
      <c r="BS106" s="73" t="str">
        <f>IFERROR(__xludf.DUMMYFUNCTION("""COMPUTED_VALUE"""),"Stat")</f>
        <v>Stat</v>
      </c>
      <c r="BT106" s="74"/>
      <c r="BU106" s="73"/>
      <c r="BV106" s="73"/>
      <c r="BW106" s="73"/>
      <c r="BX106" s="73"/>
      <c r="BY106" s="73"/>
      <c r="BZ106" s="73"/>
      <c r="CA106" s="73"/>
      <c r="CB106" s="73"/>
      <c r="CC106" s="73"/>
      <c r="CD106" s="73"/>
      <c r="CE106" s="73"/>
    </row>
    <row r="107">
      <c r="A107" s="86" t="str">
        <f>IFERROR(__xludf.DUMMYFUNCTION("""COMPUTED_VALUE"""),"Standard Perks Bonus")</f>
        <v>Standard Perks Bonus</v>
      </c>
      <c r="B107" s="87">
        <f>IFERROR(__xludf.DUMMYFUNCTION("""COMPUTED_VALUE"""),25.0)</f>
        <v>25</v>
      </c>
      <c r="C107" s="73"/>
      <c r="D107" s="88">
        <f>IFERROR(__xludf.DUMMYFUNCTION("""COMPUTED_VALUE"""),25.0)</f>
        <v>25</v>
      </c>
      <c r="E107" s="73"/>
      <c r="F107" s="73"/>
      <c r="G107" s="73"/>
      <c r="H107" s="73"/>
      <c r="I107" s="73"/>
      <c r="J107" s="73"/>
      <c r="K107" s="92"/>
      <c r="L107" s="73"/>
      <c r="M107" s="73"/>
      <c r="N107" s="73"/>
      <c r="O107" s="73"/>
      <c r="P107" s="73"/>
      <c r="Q107" s="75"/>
      <c r="R107" s="82"/>
      <c r="S107" s="73"/>
      <c r="T107" s="73"/>
      <c r="U107" s="73"/>
      <c r="V107" s="73"/>
      <c r="W107" s="73"/>
      <c r="X107" s="73"/>
      <c r="Y107" s="77"/>
      <c r="Z107" s="104"/>
      <c r="AA107" s="73"/>
      <c r="AB107" s="104"/>
      <c r="AC107" s="104"/>
      <c r="AD107" s="74"/>
      <c r="AE107" s="106"/>
      <c r="AF107" s="195"/>
      <c r="AG107" s="80"/>
      <c r="AH107" s="104"/>
      <c r="AI107" s="73"/>
      <c r="AJ107" s="114"/>
      <c r="AK107" s="106"/>
      <c r="AL107" s="74"/>
      <c r="AM107" s="73"/>
      <c r="AN107" s="73"/>
      <c r="AO107" s="102"/>
      <c r="AP107" s="73"/>
      <c r="AQ107" s="73"/>
      <c r="AR107" s="74"/>
      <c r="AS107" s="73"/>
      <c r="AT107" s="73"/>
      <c r="AU107" s="73"/>
      <c r="AV107" s="73"/>
      <c r="AW107" s="73"/>
      <c r="AX107" s="74"/>
      <c r="AY107" s="73"/>
      <c r="AZ107" s="73"/>
      <c r="BA107" s="74"/>
      <c r="BB107" s="73" t="str">
        <f>IFERROR(__xludf.DUMMYFUNCTION("""COMPUTED_VALUE"""),"Epic")</f>
        <v>Epic</v>
      </c>
      <c r="BC107" s="107">
        <f>IFERROR(__xludf.DUMMYFUNCTION("""COMPUTED_VALUE"""),60.0)</f>
        <v>60</v>
      </c>
      <c r="BD107" s="132">
        <f>IFERROR(__xludf.DUMMYFUNCTION("""COMPUTED_VALUE"""),1.37)</f>
        <v>1.37</v>
      </c>
      <c r="BE107" s="73"/>
      <c r="BF107" s="73"/>
      <c r="BG107" s="73" t="str">
        <f>IFERROR(__xludf.DUMMYFUNCTION("""COMPUTED_VALUE"""),"Epic")</f>
        <v>Epic</v>
      </c>
      <c r="BH107" s="107">
        <f>IFERROR(__xludf.DUMMYFUNCTION("""COMPUTED_VALUE"""),60.0)</f>
        <v>60</v>
      </c>
      <c r="BI107" s="132">
        <f>IFERROR(__xludf.DUMMYFUNCTION("""COMPUTED_VALUE"""),1.37)</f>
        <v>1.37</v>
      </c>
      <c r="BJ107" s="73"/>
      <c r="BK107" s="73"/>
      <c r="BL107" s="73" t="str">
        <f>IFERROR(__xludf.DUMMYFUNCTION("""COMPUTED_VALUE"""),"Legendary")</f>
        <v>Legendary</v>
      </c>
      <c r="BM107" s="107">
        <f>IFERROR(__xludf.DUMMYFUNCTION("""COMPUTED_VALUE"""),100.0)</f>
        <v>100</v>
      </c>
      <c r="BN107" s="132">
        <f>IFERROR(__xludf.DUMMYFUNCTION("""COMPUTED_VALUE"""),1.275)</f>
        <v>1.275</v>
      </c>
      <c r="BO107" s="73"/>
      <c r="BP107" s="73"/>
      <c r="BQ107" s="73" t="str">
        <f>IFERROR(__xludf.DUMMYFUNCTION("""COMPUTED_VALUE"""),"Epic")</f>
        <v>Epic</v>
      </c>
      <c r="BR107" s="107">
        <f>IFERROR(__xludf.DUMMYFUNCTION("""COMPUTED_VALUE"""),60.0)</f>
        <v>60</v>
      </c>
      <c r="BS107" s="132">
        <f>IFERROR(__xludf.DUMMYFUNCTION("""COMPUTED_VALUE"""),2.17)</f>
        <v>2.17</v>
      </c>
      <c r="BT107" s="74"/>
      <c r="BU107" s="73"/>
      <c r="BV107" s="73"/>
      <c r="BW107" s="73"/>
      <c r="BX107" s="73"/>
      <c r="BY107" s="73"/>
      <c r="BZ107" s="73"/>
      <c r="CA107" s="73"/>
      <c r="CB107" s="73"/>
      <c r="CC107" s="73"/>
      <c r="CD107" s="73"/>
      <c r="CE107" s="73"/>
    </row>
    <row r="108">
      <c r="A108" s="86" t="str">
        <f>IFERROR(__xludf.DUMMYFUNCTION("""COMPUTED_VALUE"""),"Perk Option Quantity")</f>
        <v>Perk Option Quantity</v>
      </c>
      <c r="B108" s="87">
        <f>IFERROR(__xludf.DUMMYFUNCTION("""COMPUTED_VALUE"""),2.0)</f>
        <v>2</v>
      </c>
      <c r="C108" s="73"/>
      <c r="D108" s="88">
        <f>IFERROR(__xludf.DUMMYFUNCTION("""COMPUTED_VALUE"""),2.0)</f>
        <v>2</v>
      </c>
      <c r="E108" s="73"/>
      <c r="F108" s="73"/>
      <c r="G108" s="73"/>
      <c r="H108" s="73"/>
      <c r="I108" s="73"/>
      <c r="J108" s="73"/>
      <c r="K108" s="92"/>
      <c r="L108" s="73"/>
      <c r="M108" s="73"/>
      <c r="N108" s="73"/>
      <c r="O108" s="73"/>
      <c r="P108" s="73"/>
      <c r="Q108" s="75"/>
      <c r="R108" s="82"/>
      <c r="S108" s="73"/>
      <c r="T108" s="73"/>
      <c r="U108" s="73"/>
      <c r="V108" s="73"/>
      <c r="W108" s="73"/>
      <c r="X108" s="73"/>
      <c r="Y108" s="77"/>
      <c r="Z108" s="104"/>
      <c r="AA108" s="73"/>
      <c r="AB108" s="104"/>
      <c r="AC108" s="104"/>
      <c r="AD108" s="74"/>
      <c r="AE108" s="106"/>
      <c r="AF108" s="195"/>
      <c r="AG108" s="80"/>
      <c r="AH108" s="104"/>
      <c r="AI108" s="73"/>
      <c r="AJ108" s="114"/>
      <c r="AK108" s="106"/>
      <c r="AL108" s="74"/>
      <c r="AM108" s="73"/>
      <c r="AN108" s="73"/>
      <c r="AO108" s="102"/>
      <c r="AP108" s="73"/>
      <c r="AQ108" s="73"/>
      <c r="AR108" s="74"/>
      <c r="AS108" s="73"/>
      <c r="AT108" s="73"/>
      <c r="AU108" s="73"/>
      <c r="AV108" s="73"/>
      <c r="AW108" s="73"/>
      <c r="AX108" s="74"/>
      <c r="AY108" s="73"/>
      <c r="AZ108" s="73"/>
      <c r="BA108" s="74"/>
      <c r="BB108" s="73"/>
      <c r="BC108" s="73"/>
      <c r="BD108" s="73"/>
      <c r="BE108" s="73"/>
      <c r="BF108" s="73"/>
      <c r="BG108" s="73"/>
      <c r="BH108" s="73"/>
      <c r="BI108" s="73"/>
      <c r="BJ108" s="73"/>
      <c r="BK108" s="73"/>
      <c r="BL108" s="73"/>
      <c r="BM108" s="73"/>
      <c r="BN108" s="73"/>
      <c r="BO108" s="73"/>
      <c r="BP108" s="73"/>
      <c r="BQ108" s="73"/>
      <c r="BR108" s="73"/>
      <c r="BS108" s="73"/>
      <c r="BT108" s="74"/>
      <c r="BU108" s="73"/>
      <c r="BV108" s="73"/>
      <c r="BW108" s="73"/>
      <c r="BX108" s="73"/>
      <c r="BY108" s="73"/>
      <c r="BZ108" s="73"/>
      <c r="CA108" s="73"/>
      <c r="CB108" s="73"/>
      <c r="CC108" s="73"/>
      <c r="CD108" s="73"/>
      <c r="CE108" s="73"/>
    </row>
    <row r="109">
      <c r="A109" s="86" t="str">
        <f>IFERROR(__xludf.DUMMYFUNCTION("""COMPUTED_VALUE"""),"First Perk Choice")</f>
        <v>First Perk Choice</v>
      </c>
      <c r="B109" s="87">
        <f>IFERROR(__xludf.DUMMYFUNCTION("""COMPUTED_VALUE"""),1.0)</f>
        <v>1</v>
      </c>
      <c r="C109" s="73"/>
      <c r="D109" s="88">
        <f>IFERROR(__xludf.DUMMYFUNCTION("""COMPUTED_VALUE"""),1.0)</f>
        <v>1</v>
      </c>
      <c r="E109" s="73"/>
      <c r="F109" s="73"/>
      <c r="G109" s="73"/>
      <c r="H109" s="73"/>
      <c r="I109" s="73"/>
      <c r="J109" s="73"/>
      <c r="K109" s="92"/>
      <c r="L109" s="73"/>
      <c r="M109" s="73"/>
      <c r="N109" s="73"/>
      <c r="O109" s="73"/>
      <c r="P109" s="73"/>
      <c r="Q109" s="75"/>
      <c r="R109" s="82"/>
      <c r="S109" s="73"/>
      <c r="T109" s="73"/>
      <c r="U109" s="73"/>
      <c r="V109" s="73"/>
      <c r="W109" s="73"/>
      <c r="X109" s="73"/>
      <c r="Y109" s="77"/>
      <c r="Z109" s="104"/>
      <c r="AA109" s="73"/>
      <c r="AB109" s="104"/>
      <c r="AC109" s="104"/>
      <c r="AD109" s="74"/>
      <c r="AE109" s="106"/>
      <c r="AF109" s="195"/>
      <c r="AG109" s="80"/>
      <c r="AH109" s="104"/>
      <c r="AI109" s="73"/>
      <c r="AJ109" s="114"/>
      <c r="AK109" s="106"/>
      <c r="AL109" s="74"/>
      <c r="AM109" s="73"/>
      <c r="AN109" s="73"/>
      <c r="AO109" s="102"/>
      <c r="AP109" s="73"/>
      <c r="AQ109" s="73"/>
      <c r="AR109" s="74"/>
      <c r="AS109" s="73"/>
      <c r="AT109" s="73"/>
      <c r="AU109" s="73"/>
      <c r="AV109" s="73"/>
      <c r="AW109" s="73"/>
      <c r="AX109" s="74"/>
      <c r="AY109" s="73"/>
      <c r="AZ109" s="73"/>
      <c r="BA109" s="74"/>
      <c r="BB109" s="73"/>
      <c r="BC109" s="73"/>
      <c r="BD109" s="73"/>
      <c r="BE109" s="73" t="str">
        <f>IFERROR(__xludf.DUMMYFUNCTION("""COMPUTED_VALUE"""),"")</f>
        <v/>
      </c>
      <c r="BF109" s="73"/>
      <c r="BG109" s="73"/>
      <c r="BH109" s="73"/>
      <c r="BI109" s="73"/>
      <c r="BJ109" s="73" t="str">
        <f>IFERROR(__xludf.DUMMYFUNCTION("""COMPUTED_VALUE"""),"")</f>
        <v/>
      </c>
      <c r="BK109" s="73"/>
      <c r="BL109" s="73" t="str">
        <f>IFERROR(__xludf.DUMMYFUNCTION("""COMPUTED_VALUE"""),"Enemy Attack Level Skip")</f>
        <v>Enemy Attack Level Skip</v>
      </c>
      <c r="BM109" s="73" t="str">
        <f>IFERROR(__xludf.DUMMYFUNCTION("""COMPUTED_VALUE"""),"Legendary")</f>
        <v>Legendary</v>
      </c>
      <c r="BN109" s="73" t="str">
        <f>IFERROR(__xludf.DUMMYFUNCTION("""COMPUTED_VALUE"""),"+4%")</f>
        <v>+4%</v>
      </c>
      <c r="BO109" s="73">
        <f>IFERROR(__xludf.DUMMYFUNCTION("""COMPUTED_VALUE"""),0.04)</f>
        <v>0.04</v>
      </c>
      <c r="BP109" s="73"/>
      <c r="BQ109" s="73"/>
      <c r="BR109" s="73"/>
      <c r="BS109" s="73"/>
      <c r="BT109" s="74" t="str">
        <f>IFERROR(__xludf.DUMMYFUNCTION("""COMPUTED_VALUE"""),"")</f>
        <v/>
      </c>
      <c r="BU109" s="73"/>
      <c r="BV109" s="73"/>
      <c r="BW109" s="73"/>
      <c r="BX109" s="73"/>
      <c r="BY109" s="73"/>
      <c r="BZ109" s="73"/>
      <c r="CA109" s="73"/>
      <c r="CB109" s="73"/>
      <c r="CC109" s="73"/>
      <c r="CD109" s="73"/>
      <c r="CE109" s="73"/>
    </row>
    <row r="110">
      <c r="A110" s="86" t="str">
        <f>IFERROR(__xludf.DUMMYFUNCTION("""COMPUTED_VALUE"""),"Ban Perks")</f>
        <v>Ban Perks</v>
      </c>
      <c r="B110" s="87">
        <f>IFERROR(__xludf.DUMMYFUNCTION("""COMPUTED_VALUE"""),6.0)</f>
        <v>6</v>
      </c>
      <c r="C110" s="73"/>
      <c r="D110" s="88">
        <f>IFERROR(__xludf.DUMMYFUNCTION("""COMPUTED_VALUE"""),8.0)</f>
        <v>8</v>
      </c>
      <c r="E110" s="73"/>
      <c r="F110" s="73"/>
      <c r="G110" s="73"/>
      <c r="H110" s="73"/>
      <c r="I110" s="73"/>
      <c r="J110" s="73"/>
      <c r="K110" s="92"/>
      <c r="L110" s="73"/>
      <c r="M110" s="73"/>
      <c r="N110" s="73"/>
      <c r="O110" s="73"/>
      <c r="P110" s="73"/>
      <c r="Q110" s="75"/>
      <c r="R110" s="82"/>
      <c r="S110" s="73"/>
      <c r="T110" s="73"/>
      <c r="U110" s="73"/>
      <c r="V110" s="73"/>
      <c r="W110" s="73"/>
      <c r="X110" s="73"/>
      <c r="Y110" s="77"/>
      <c r="Z110" s="104"/>
      <c r="AA110" s="73"/>
      <c r="AB110" s="104"/>
      <c r="AC110" s="104"/>
      <c r="AD110" s="74"/>
      <c r="AE110" s="106"/>
      <c r="AF110" s="195"/>
      <c r="AG110" s="80"/>
      <c r="AH110" s="104"/>
      <c r="AI110" s="73"/>
      <c r="AJ110" s="114"/>
      <c r="AK110" s="106"/>
      <c r="AL110" s="74"/>
      <c r="AM110" s="73"/>
      <c r="AN110" s="73"/>
      <c r="AO110" s="102"/>
      <c r="AP110" s="73"/>
      <c r="AQ110" s="73"/>
      <c r="AR110" s="74"/>
      <c r="AS110" s="73"/>
      <c r="AT110" s="73"/>
      <c r="AU110" s="73"/>
      <c r="AV110" s="73"/>
      <c r="AW110" s="73"/>
      <c r="AX110" s="74"/>
      <c r="AY110" s="73"/>
      <c r="AZ110" s="73"/>
      <c r="BA110" s="74"/>
      <c r="BB110" s="73"/>
      <c r="BC110" s="73"/>
      <c r="BD110" s="73"/>
      <c r="BE110" s="73" t="str">
        <f>IFERROR(__xludf.DUMMYFUNCTION("""COMPUTED_VALUE"""),"")</f>
        <v/>
      </c>
      <c r="BF110" s="73"/>
      <c r="BG110" s="73"/>
      <c r="BH110" s="73"/>
      <c r="BI110" s="73"/>
      <c r="BJ110" s="73" t="str">
        <f>IFERROR(__xludf.DUMMYFUNCTION("""COMPUTED_VALUE"""),"")</f>
        <v/>
      </c>
      <c r="BK110" s="73"/>
      <c r="BL110" s="73" t="str">
        <f>IFERROR(__xludf.DUMMYFUNCTION("""COMPUTED_VALUE"""),"Coins / Kill Bonus")</f>
        <v>Coins / Kill Bonus</v>
      </c>
      <c r="BM110" s="73" t="str">
        <f>IFERROR(__xludf.DUMMYFUNCTION("""COMPUTED_VALUE"""),"Epic")</f>
        <v>Epic</v>
      </c>
      <c r="BN110" s="73" t="str">
        <f>IFERROR(__xludf.DUMMYFUNCTION("""COMPUTED_VALUE"""),"+0.3x")</f>
        <v>+0.3x</v>
      </c>
      <c r="BO110" s="73">
        <f>IFERROR(__xludf.DUMMYFUNCTION("""COMPUTED_VALUE"""),0.3)</f>
        <v>0.3</v>
      </c>
      <c r="BP110" s="73"/>
      <c r="BQ110" s="73"/>
      <c r="BR110" s="73"/>
      <c r="BS110" s="73"/>
      <c r="BT110" s="74" t="str">
        <f>IFERROR(__xludf.DUMMYFUNCTION("""COMPUTED_VALUE"""),"")</f>
        <v/>
      </c>
      <c r="BU110" s="73"/>
      <c r="BV110" s="73"/>
      <c r="BW110" s="73"/>
      <c r="BX110" s="73"/>
      <c r="BY110" s="73"/>
      <c r="BZ110" s="73"/>
      <c r="CA110" s="73"/>
      <c r="CB110" s="73"/>
      <c r="CC110" s="73"/>
      <c r="CD110" s="73"/>
      <c r="CE110" s="73"/>
    </row>
    <row r="111">
      <c r="A111" s="86" t="str">
        <f>IFERROR(__xludf.DUMMYFUNCTION("""COMPUTED_VALUE"""),"Improve Trade-off Perks")</f>
        <v>Improve Trade-off Perks</v>
      </c>
      <c r="B111" s="87">
        <f>IFERROR(__xludf.DUMMYFUNCTION("""COMPUTED_VALUE"""),10.0)</f>
        <v>10</v>
      </c>
      <c r="C111" s="73"/>
      <c r="D111" s="88">
        <f>IFERROR(__xludf.DUMMYFUNCTION("""COMPUTED_VALUE"""),10.0)</f>
        <v>10</v>
      </c>
      <c r="E111" s="73"/>
      <c r="F111" s="73"/>
      <c r="G111" s="73"/>
      <c r="H111" s="73"/>
      <c r="I111" s="73"/>
      <c r="J111" s="73"/>
      <c r="K111" s="92"/>
      <c r="L111" s="73"/>
      <c r="M111" s="73"/>
      <c r="N111" s="73"/>
      <c r="O111" s="73"/>
      <c r="P111" s="73"/>
      <c r="Q111" s="75"/>
      <c r="R111" s="82"/>
      <c r="S111" s="73"/>
      <c r="T111" s="73"/>
      <c r="U111" s="73"/>
      <c r="V111" s="73"/>
      <c r="W111" s="73"/>
      <c r="X111" s="73"/>
      <c r="Y111" s="77"/>
      <c r="Z111" s="104"/>
      <c r="AA111" s="73"/>
      <c r="AB111" s="104"/>
      <c r="AC111" s="104"/>
      <c r="AD111" s="74"/>
      <c r="AE111" s="106"/>
      <c r="AF111" s="195"/>
      <c r="AG111" s="80"/>
      <c r="AH111" s="104"/>
      <c r="AI111" s="73"/>
      <c r="AJ111" s="114"/>
      <c r="AK111" s="106"/>
      <c r="AL111" s="74"/>
      <c r="AM111" s="73"/>
      <c r="AN111" s="73"/>
      <c r="AO111" s="102"/>
      <c r="AP111" s="73"/>
      <c r="AQ111" s="73"/>
      <c r="AR111" s="74"/>
      <c r="AS111" s="73"/>
      <c r="AT111" s="73"/>
      <c r="AU111" s="73"/>
      <c r="AV111" s="73"/>
      <c r="AW111" s="73"/>
      <c r="AX111" s="74"/>
      <c r="AY111" s="73"/>
      <c r="AZ111" s="73"/>
      <c r="BA111" s="74"/>
      <c r="BB111" s="73"/>
      <c r="BC111" s="73"/>
      <c r="BD111" s="73"/>
      <c r="BE111" s="73" t="str">
        <f>IFERROR(__xludf.DUMMYFUNCTION("""COMPUTED_VALUE"""),"")</f>
        <v/>
      </c>
      <c r="BF111" s="73"/>
      <c r="BG111" s="73"/>
      <c r="BH111" s="73"/>
      <c r="BI111" s="73"/>
      <c r="BJ111" s="73" t="str">
        <f>IFERROR(__xludf.DUMMYFUNCTION("""COMPUTED_VALUE"""),"")</f>
        <v/>
      </c>
      <c r="BK111" s="73"/>
      <c r="BL111" s="73" t="str">
        <f>IFERROR(__xludf.DUMMYFUNCTION("""COMPUTED_VALUE"""),"Free Utility Upgrade")</f>
        <v>Free Utility Upgrade</v>
      </c>
      <c r="BM111" s="73" t="str">
        <f>IFERROR(__xludf.DUMMYFUNCTION("""COMPUTED_VALUE"""),"Legendary")</f>
        <v>Legendary</v>
      </c>
      <c r="BN111" s="73" t="str">
        <f>IFERROR(__xludf.DUMMYFUNCTION("""COMPUTED_VALUE"""),"+8%")</f>
        <v>+8%</v>
      </c>
      <c r="BO111" s="73">
        <f>IFERROR(__xludf.DUMMYFUNCTION("""COMPUTED_VALUE"""),0.08)</f>
        <v>0.08</v>
      </c>
      <c r="BP111" s="73"/>
      <c r="BQ111" s="73"/>
      <c r="BR111" s="73"/>
      <c r="BS111" s="73"/>
      <c r="BT111" s="74" t="str">
        <f>IFERROR(__xludf.DUMMYFUNCTION("""COMPUTED_VALUE"""),"")</f>
        <v/>
      </c>
      <c r="BU111" s="73"/>
      <c r="BV111" s="73"/>
      <c r="BW111" s="73"/>
      <c r="BX111" s="73"/>
      <c r="BY111" s="73"/>
      <c r="BZ111" s="73"/>
      <c r="CA111" s="73"/>
      <c r="CB111" s="73"/>
      <c r="CC111" s="73"/>
      <c r="CD111" s="73"/>
      <c r="CE111" s="73"/>
    </row>
    <row r="112">
      <c r="A112" s="86" t="str">
        <f>IFERROR(__xludf.DUMMYFUNCTION("""COMPUTED_VALUE"""),"Auto Pick Ranking")</f>
        <v>Auto Pick Ranking</v>
      </c>
      <c r="B112" s="87">
        <f>IFERROR(__xludf.DUMMYFUNCTION("""COMPUTED_VALUE"""),12.0)</f>
        <v>12</v>
      </c>
      <c r="C112" s="73"/>
      <c r="D112" s="88">
        <f>IFERROR(__xludf.DUMMYFUNCTION("""COMPUTED_VALUE"""),32.0)</f>
        <v>32</v>
      </c>
      <c r="E112" s="73"/>
      <c r="F112" s="73"/>
      <c r="G112" s="73"/>
      <c r="H112" s="73"/>
      <c r="I112" s="73"/>
      <c r="J112" s="73"/>
      <c r="K112" s="92"/>
      <c r="L112" s="73"/>
      <c r="M112" s="73"/>
      <c r="N112" s="73"/>
      <c r="O112" s="73"/>
      <c r="P112" s="73"/>
      <c r="Q112" s="75"/>
      <c r="R112" s="82"/>
      <c r="S112" s="73"/>
      <c r="T112" s="73"/>
      <c r="U112" s="73"/>
      <c r="V112" s="73"/>
      <c r="W112" s="73"/>
      <c r="X112" s="73"/>
      <c r="Y112" s="77"/>
      <c r="Z112" s="104"/>
      <c r="AA112" s="73"/>
      <c r="AB112" s="104"/>
      <c r="AC112" s="104"/>
      <c r="AD112" s="74"/>
      <c r="AE112" s="106"/>
      <c r="AF112" s="195"/>
      <c r="AG112" s="80"/>
      <c r="AH112" s="104"/>
      <c r="AI112" s="73"/>
      <c r="AJ112" s="114"/>
      <c r="AK112" s="106"/>
      <c r="AL112" s="74"/>
      <c r="AM112" s="73"/>
      <c r="AN112" s="73"/>
      <c r="AO112" s="102"/>
      <c r="AP112" s="73"/>
      <c r="AQ112" s="73"/>
      <c r="AR112" s="74"/>
      <c r="AS112" s="73"/>
      <c r="AT112" s="73"/>
      <c r="AU112" s="73"/>
      <c r="AV112" s="73"/>
      <c r="AW112" s="73"/>
      <c r="AX112" s="74"/>
      <c r="AY112" s="73"/>
      <c r="AZ112" s="73"/>
      <c r="BA112" s="74"/>
      <c r="BB112" s="73"/>
      <c r="BC112" s="73"/>
      <c r="BD112" s="73"/>
      <c r="BE112" s="73" t="str">
        <f>IFERROR(__xludf.DUMMYFUNCTION("""COMPUTED_VALUE"""),"")</f>
        <v/>
      </c>
      <c r="BF112" s="73"/>
      <c r="BG112" s="73"/>
      <c r="BH112" s="73"/>
      <c r="BI112" s="73"/>
      <c r="BJ112" s="73" t="str">
        <f>IFERROR(__xludf.DUMMYFUNCTION("""COMPUTED_VALUE"""),"")</f>
        <v/>
      </c>
      <c r="BK112" s="73"/>
      <c r="BL112" s="73" t="str">
        <f>IFERROR(__xludf.DUMMYFUNCTION("""COMPUTED_VALUE"""),"Free Attack Upgrade")</f>
        <v>Free Attack Upgrade</v>
      </c>
      <c r="BM112" s="73" t="str">
        <f>IFERROR(__xludf.DUMMYFUNCTION("""COMPUTED_VALUE"""),"Legendary")</f>
        <v>Legendary</v>
      </c>
      <c r="BN112" s="73" t="str">
        <f>IFERROR(__xludf.DUMMYFUNCTION("""COMPUTED_VALUE"""),"+8%")</f>
        <v>+8%</v>
      </c>
      <c r="BO112" s="73">
        <f>IFERROR(__xludf.DUMMYFUNCTION("""COMPUTED_VALUE"""),0.08)</f>
        <v>0.08</v>
      </c>
      <c r="BP112" s="73"/>
      <c r="BQ112" s="73"/>
      <c r="BR112" s="73"/>
      <c r="BS112" s="73"/>
      <c r="BT112" s="74" t="str">
        <f>IFERROR(__xludf.DUMMYFUNCTION("""COMPUTED_VALUE"""),"")</f>
        <v/>
      </c>
      <c r="BU112" s="73"/>
      <c r="BV112" s="73"/>
      <c r="BW112" s="73"/>
      <c r="BX112" s="73"/>
      <c r="BY112" s="73"/>
      <c r="BZ112" s="73"/>
      <c r="CA112" s="73"/>
      <c r="CB112" s="73"/>
      <c r="CC112" s="73"/>
      <c r="CD112" s="73"/>
      <c r="CE112" s="73"/>
    </row>
    <row r="113">
      <c r="A113" s="86" t="str">
        <f>IFERROR(__xludf.DUMMYFUNCTION("""COMPUTED_VALUE"""),"Flame Bot - Cooldown")</f>
        <v>Flame Bot - Cooldown</v>
      </c>
      <c r="B113" s="87">
        <f>IFERROR(__xludf.DUMMYFUNCTION("""COMPUTED_VALUE"""),25.0)</f>
        <v>25</v>
      </c>
      <c r="C113" s="73"/>
      <c r="D113" s="88">
        <f>IFERROR(__xludf.DUMMYFUNCTION("""COMPUTED_VALUE"""),25.0)</f>
        <v>25</v>
      </c>
      <c r="E113" s="73"/>
      <c r="F113" s="73"/>
      <c r="G113" s="73"/>
      <c r="H113" s="73"/>
      <c r="I113" s="73"/>
      <c r="J113" s="73"/>
      <c r="K113" s="92"/>
      <c r="L113" s="73"/>
      <c r="M113" s="73"/>
      <c r="N113" s="73"/>
      <c r="O113" s="73"/>
      <c r="P113" s="73"/>
      <c r="Q113" s="75"/>
      <c r="R113" s="82"/>
      <c r="S113" s="73"/>
      <c r="T113" s="73"/>
      <c r="U113" s="73"/>
      <c r="V113" s="73"/>
      <c r="W113" s="73"/>
      <c r="X113" s="73"/>
      <c r="Y113" s="77"/>
      <c r="Z113" s="104"/>
      <c r="AA113" s="73"/>
      <c r="AB113" s="104"/>
      <c r="AC113" s="104"/>
      <c r="AD113" s="74"/>
      <c r="AE113" s="106"/>
      <c r="AF113" s="195"/>
      <c r="AG113" s="80"/>
      <c r="AH113" s="104"/>
      <c r="AI113" s="73"/>
      <c r="AJ113" s="114"/>
      <c r="AK113" s="106"/>
      <c r="AL113" s="74"/>
      <c r="AM113" s="73"/>
      <c r="AN113" s="73"/>
      <c r="AO113" s="102"/>
      <c r="AP113" s="73"/>
      <c r="AQ113" s="73"/>
      <c r="AR113" s="74"/>
      <c r="AS113" s="73"/>
      <c r="AT113" s="73"/>
      <c r="AU113" s="73"/>
      <c r="AV113" s="73"/>
      <c r="AW113" s="73"/>
      <c r="AX113" s="74"/>
      <c r="AY113" s="73"/>
      <c r="AZ113" s="73"/>
      <c r="BA113" s="74"/>
      <c r="BB113" s="73"/>
      <c r="BC113" s="73"/>
      <c r="BD113" s="73"/>
      <c r="BE113" s="73" t="str">
        <f>IFERROR(__xludf.DUMMYFUNCTION("""COMPUTED_VALUE"""),"")</f>
        <v/>
      </c>
      <c r="BF113" s="73"/>
      <c r="BG113" s="73"/>
      <c r="BH113" s="73"/>
      <c r="BI113" s="73"/>
      <c r="BJ113" s="73" t="str">
        <f>IFERROR(__xludf.DUMMYFUNCTION("""COMPUTED_VALUE"""),"")</f>
        <v/>
      </c>
      <c r="BK113" s="73"/>
      <c r="BL113" s="73"/>
      <c r="BM113" s="73"/>
      <c r="BN113" s="73"/>
      <c r="BO113" s="73" t="str">
        <f>IFERROR(__xludf.DUMMYFUNCTION("""COMPUTED_VALUE"""),"")</f>
        <v/>
      </c>
      <c r="BP113" s="73"/>
      <c r="BQ113" s="73"/>
      <c r="BR113" s="73"/>
      <c r="BS113" s="73"/>
      <c r="BT113" s="74" t="str">
        <f>IFERROR(__xludf.DUMMYFUNCTION("""COMPUTED_VALUE"""),"")</f>
        <v/>
      </c>
      <c r="BU113" s="73"/>
      <c r="BV113" s="73"/>
      <c r="BW113" s="73"/>
      <c r="BX113" s="73"/>
      <c r="BY113" s="73"/>
      <c r="BZ113" s="73"/>
      <c r="CA113" s="73"/>
      <c r="CB113" s="73"/>
      <c r="CC113" s="73"/>
      <c r="CD113" s="73"/>
      <c r="CE113" s="73"/>
    </row>
    <row r="114">
      <c r="A114" s="86" t="str">
        <f>IFERROR(__xludf.DUMMYFUNCTION("""COMPUTED_VALUE"""),"Thunder Bot - Cooldown")</f>
        <v>Thunder Bot - Cooldown</v>
      </c>
      <c r="B114" s="87">
        <f>IFERROR(__xludf.DUMMYFUNCTION("""COMPUTED_VALUE"""),0.0)</f>
        <v>0</v>
      </c>
      <c r="C114" s="73"/>
      <c r="D114" s="88">
        <f>IFERROR(__xludf.DUMMYFUNCTION("""COMPUTED_VALUE"""),25.0)</f>
        <v>25</v>
      </c>
      <c r="E114" s="73"/>
      <c r="F114" s="73"/>
      <c r="G114" s="73"/>
      <c r="H114" s="73"/>
      <c r="I114" s="73"/>
      <c r="J114" s="73"/>
      <c r="K114" s="92"/>
      <c r="L114" s="73"/>
      <c r="M114" s="73"/>
      <c r="N114" s="73"/>
      <c r="O114" s="73"/>
      <c r="P114" s="73"/>
      <c r="Q114" s="75"/>
      <c r="R114" s="82"/>
      <c r="S114" s="73"/>
      <c r="T114" s="73"/>
      <c r="U114" s="73"/>
      <c r="V114" s="73"/>
      <c r="W114" s="73"/>
      <c r="X114" s="73"/>
      <c r="Y114" s="77"/>
      <c r="Z114" s="104"/>
      <c r="AA114" s="73"/>
      <c r="AB114" s="104"/>
      <c r="AC114" s="104"/>
      <c r="AD114" s="74"/>
      <c r="AE114" s="106"/>
      <c r="AF114" s="195"/>
      <c r="AG114" s="80"/>
      <c r="AH114" s="104"/>
      <c r="AI114" s="73"/>
      <c r="AJ114" s="114"/>
      <c r="AK114" s="106"/>
      <c r="AL114" s="74"/>
      <c r="AM114" s="73"/>
      <c r="AN114" s="73"/>
      <c r="AO114" s="102"/>
      <c r="AP114" s="73"/>
      <c r="AQ114" s="73"/>
      <c r="AR114" s="74"/>
      <c r="AS114" s="73"/>
      <c r="AT114" s="73"/>
      <c r="AU114" s="73"/>
      <c r="AV114" s="73"/>
      <c r="AW114" s="73"/>
      <c r="AX114" s="74"/>
      <c r="AY114" s="73"/>
      <c r="AZ114" s="73"/>
      <c r="BA114" s="74"/>
      <c r="BB114" s="73"/>
      <c r="BC114" s="73"/>
      <c r="BD114" s="73"/>
      <c r="BE114" s="73" t="str">
        <f>IFERROR(__xludf.DUMMYFUNCTION("""COMPUTED_VALUE"""),"")</f>
        <v/>
      </c>
      <c r="BF114" s="73"/>
      <c r="BG114" s="73"/>
      <c r="BH114" s="73"/>
      <c r="BI114" s="73"/>
      <c r="BJ114" s="73" t="str">
        <f>IFERROR(__xludf.DUMMYFUNCTION("""COMPUTED_VALUE"""),"")</f>
        <v/>
      </c>
      <c r="BK114" s="73"/>
      <c r="BL114" s="73"/>
      <c r="BM114" s="73"/>
      <c r="BN114" s="73"/>
      <c r="BO114" s="73" t="str">
        <f>IFERROR(__xludf.DUMMYFUNCTION("""COMPUTED_VALUE"""),"")</f>
        <v/>
      </c>
      <c r="BP114" s="73"/>
      <c r="BQ114" s="73"/>
      <c r="BR114" s="73"/>
      <c r="BS114" s="73"/>
      <c r="BT114" s="74" t="str">
        <f>IFERROR(__xludf.DUMMYFUNCTION("""COMPUTED_VALUE"""),"")</f>
        <v/>
      </c>
      <c r="BU114" s="73"/>
      <c r="BV114" s="73"/>
      <c r="BW114" s="73"/>
      <c r="BX114" s="73"/>
      <c r="BY114" s="73"/>
      <c r="BZ114" s="73"/>
      <c r="CA114" s="73"/>
      <c r="CB114" s="73"/>
      <c r="CC114" s="73"/>
      <c r="CD114" s="73"/>
      <c r="CE114" s="73"/>
    </row>
    <row r="115">
      <c r="A115" s="86" t="str">
        <f>IFERROR(__xludf.DUMMYFUNCTION("""COMPUTED_VALUE"""),"Gold Bot - Cooldown")</f>
        <v>Gold Bot - Cooldown</v>
      </c>
      <c r="B115" s="87">
        <f>IFERROR(__xludf.DUMMYFUNCTION("""COMPUTED_VALUE"""),21.0)</f>
        <v>21</v>
      </c>
      <c r="C115" s="73"/>
      <c r="D115" s="88">
        <f>IFERROR(__xludf.DUMMYFUNCTION("""COMPUTED_VALUE"""),25.0)</f>
        <v>25</v>
      </c>
      <c r="E115" s="73"/>
      <c r="F115" s="73"/>
      <c r="G115" s="73"/>
      <c r="H115" s="73"/>
      <c r="I115" s="73"/>
      <c r="J115" s="73"/>
      <c r="K115" s="92"/>
      <c r="L115" s="73"/>
      <c r="M115" s="73"/>
      <c r="N115" s="73"/>
      <c r="O115" s="73"/>
      <c r="P115" s="73"/>
      <c r="Q115" s="75"/>
      <c r="R115" s="82"/>
      <c r="S115" s="73"/>
      <c r="T115" s="73"/>
      <c r="U115" s="73"/>
      <c r="V115" s="73"/>
      <c r="W115" s="73"/>
      <c r="X115" s="73"/>
      <c r="Y115" s="77"/>
      <c r="Z115" s="104"/>
      <c r="AA115" s="73"/>
      <c r="AB115" s="104"/>
      <c r="AC115" s="104"/>
      <c r="AD115" s="74"/>
      <c r="AE115" s="106"/>
      <c r="AF115" s="195"/>
      <c r="AG115" s="80"/>
      <c r="AH115" s="104"/>
      <c r="AI115" s="73"/>
      <c r="AJ115" s="114"/>
      <c r="AK115" s="106"/>
      <c r="AL115" s="74"/>
      <c r="AM115" s="73"/>
      <c r="AN115" s="73"/>
      <c r="AO115" s="102"/>
      <c r="AP115" s="73"/>
      <c r="AQ115" s="73"/>
      <c r="AR115" s="74"/>
      <c r="AS115" s="73"/>
      <c r="AT115" s="73"/>
      <c r="AU115" s="73"/>
      <c r="AV115" s="73"/>
      <c r="AW115" s="73"/>
      <c r="AX115" s="74"/>
      <c r="AY115" s="73"/>
      <c r="AZ115" s="73"/>
      <c r="BA115" s="74"/>
      <c r="BB115" s="73"/>
      <c r="BC115" s="73"/>
      <c r="BD115" s="73"/>
      <c r="BE115" s="73" t="str">
        <f>IFERROR(__xludf.DUMMYFUNCTION("""COMPUTED_VALUE"""),"")</f>
        <v/>
      </c>
      <c r="BF115" s="73"/>
      <c r="BG115" s="73"/>
      <c r="BH115" s="73"/>
      <c r="BI115" s="73"/>
      <c r="BJ115" s="73" t="str">
        <f>IFERROR(__xludf.DUMMYFUNCTION("""COMPUTED_VALUE"""),"")</f>
        <v/>
      </c>
      <c r="BK115" s="73"/>
      <c r="BL115" s="73"/>
      <c r="BM115" s="73"/>
      <c r="BN115" s="73"/>
      <c r="BO115" s="73" t="str">
        <f>IFERROR(__xludf.DUMMYFUNCTION("""COMPUTED_VALUE"""),"")</f>
        <v/>
      </c>
      <c r="BP115" s="73"/>
      <c r="BQ115" s="73"/>
      <c r="BR115" s="73"/>
      <c r="BS115" s="73"/>
      <c r="BT115" s="74" t="str">
        <f>IFERROR(__xludf.DUMMYFUNCTION("""COMPUTED_VALUE"""),"")</f>
        <v/>
      </c>
      <c r="BU115" s="73"/>
      <c r="BV115" s="73"/>
      <c r="BW115" s="73"/>
      <c r="BX115" s="73"/>
      <c r="BY115" s="73"/>
      <c r="BZ115" s="73"/>
      <c r="CA115" s="73"/>
      <c r="CB115" s="73"/>
      <c r="CC115" s="73"/>
      <c r="CD115" s="73"/>
      <c r="CE115" s="73"/>
    </row>
    <row r="116">
      <c r="A116" s="86" t="str">
        <f>IFERROR(__xludf.DUMMYFUNCTION("""COMPUTED_VALUE"""),"Amp Bot - Cooldown")</f>
        <v>Amp Bot - Cooldown</v>
      </c>
      <c r="B116" s="87">
        <f>IFERROR(__xludf.DUMMYFUNCTION("""COMPUTED_VALUE"""),0.0)</f>
        <v>0</v>
      </c>
      <c r="C116" s="73"/>
      <c r="D116" s="88">
        <f>IFERROR(__xludf.DUMMYFUNCTION("""COMPUTED_VALUE"""),25.0)</f>
        <v>25</v>
      </c>
      <c r="E116" s="73"/>
      <c r="F116" s="73"/>
      <c r="G116" s="73"/>
      <c r="H116" s="73"/>
      <c r="I116" s="73"/>
      <c r="J116" s="73"/>
      <c r="K116" s="92"/>
      <c r="L116" s="73"/>
      <c r="M116" s="73"/>
      <c r="N116" s="73"/>
      <c r="O116" s="73"/>
      <c r="P116" s="73"/>
      <c r="Q116" s="75"/>
      <c r="R116" s="82"/>
      <c r="S116" s="73"/>
      <c r="T116" s="73"/>
      <c r="U116" s="73"/>
      <c r="V116" s="73"/>
      <c r="W116" s="73"/>
      <c r="X116" s="73"/>
      <c r="Y116" s="77"/>
      <c r="Z116" s="104"/>
      <c r="AA116" s="73"/>
      <c r="AB116" s="104"/>
      <c r="AC116" s="104"/>
      <c r="AD116" s="74"/>
      <c r="AE116" s="106"/>
      <c r="AF116" s="195"/>
      <c r="AG116" s="80"/>
      <c r="AH116" s="104"/>
      <c r="AI116" s="73"/>
      <c r="AJ116" s="114"/>
      <c r="AK116" s="106"/>
      <c r="AL116" s="74"/>
      <c r="AM116" s="73"/>
      <c r="AN116" s="73"/>
      <c r="AO116" s="102"/>
      <c r="AP116" s="73"/>
      <c r="AQ116" s="73"/>
      <c r="AR116" s="74"/>
      <c r="AS116" s="73"/>
      <c r="AT116" s="73"/>
      <c r="AU116" s="73"/>
      <c r="AV116" s="73"/>
      <c r="AW116" s="73"/>
      <c r="AX116" s="74"/>
      <c r="AY116" s="73"/>
      <c r="AZ116" s="73"/>
      <c r="BA116" s="74"/>
      <c r="BB116" s="73"/>
      <c r="BC116" s="73"/>
      <c r="BD116" s="73"/>
      <c r="BE116" s="73" t="str">
        <f>IFERROR(__xludf.DUMMYFUNCTION("""COMPUTED_VALUE"""),"")</f>
        <v/>
      </c>
      <c r="BF116" s="73"/>
      <c r="BG116" s="73"/>
      <c r="BH116" s="73"/>
      <c r="BI116" s="73"/>
      <c r="BJ116" s="73" t="str">
        <f>IFERROR(__xludf.DUMMYFUNCTION("""COMPUTED_VALUE"""),"")</f>
        <v/>
      </c>
      <c r="BK116" s="73"/>
      <c r="BL116" s="73"/>
      <c r="BM116" s="73"/>
      <c r="BN116" s="73"/>
      <c r="BO116" s="73" t="str">
        <f>IFERROR(__xludf.DUMMYFUNCTION("""COMPUTED_VALUE"""),"")</f>
        <v/>
      </c>
      <c r="BP116" s="73"/>
      <c r="BQ116" s="73"/>
      <c r="BR116" s="73"/>
      <c r="BS116" s="73"/>
      <c r="BT116" s="74" t="str">
        <f>IFERROR(__xludf.DUMMYFUNCTION("""COMPUTED_VALUE"""),"")</f>
        <v/>
      </c>
      <c r="BU116" s="73"/>
      <c r="BV116" s="73"/>
      <c r="BW116" s="73"/>
      <c r="BX116" s="73"/>
      <c r="BY116" s="73"/>
      <c r="BZ116" s="73"/>
      <c r="CA116" s="73"/>
      <c r="CB116" s="73"/>
      <c r="CC116" s="73"/>
      <c r="CD116" s="73"/>
      <c r="CE116" s="73"/>
    </row>
    <row r="117">
      <c r="A117" s="86" t="str">
        <f>IFERROR(__xludf.DUMMYFUNCTION("""COMPUTED_VALUE"""),"Flame Bot - Burn Stack")</f>
        <v>Flame Bot - Burn Stack</v>
      </c>
      <c r="B117" s="87">
        <f>IFERROR(__xludf.DUMMYFUNCTION("""COMPUTED_VALUE"""),0.0)</f>
        <v>0</v>
      </c>
      <c r="C117" s="73"/>
      <c r="D117" s="88">
        <f>IFERROR(__xludf.DUMMYFUNCTION("""COMPUTED_VALUE"""),5.0)</f>
        <v>5</v>
      </c>
      <c r="E117" s="73"/>
      <c r="F117" s="73"/>
      <c r="G117" s="73"/>
      <c r="H117" s="73"/>
      <c r="I117" s="73"/>
      <c r="J117" s="73"/>
      <c r="K117" s="92"/>
      <c r="L117" s="73"/>
      <c r="M117" s="73"/>
      <c r="N117" s="73"/>
      <c r="O117" s="73"/>
      <c r="P117" s="73"/>
      <c r="Q117" s="75"/>
      <c r="R117" s="82"/>
      <c r="S117" s="73"/>
      <c r="T117" s="73"/>
      <c r="U117" s="73"/>
      <c r="V117" s="73"/>
      <c r="W117" s="73"/>
      <c r="X117" s="73"/>
      <c r="Y117" s="77"/>
      <c r="Z117" s="104"/>
      <c r="AA117" s="73"/>
      <c r="AB117" s="104"/>
      <c r="AC117" s="104"/>
      <c r="AD117" s="74"/>
      <c r="AE117" s="106"/>
      <c r="AF117" s="195"/>
      <c r="AG117" s="80"/>
      <c r="AH117" s="104"/>
      <c r="AI117" s="73"/>
      <c r="AJ117" s="114"/>
      <c r="AK117" s="106"/>
      <c r="AL117" s="74"/>
      <c r="AM117" s="73"/>
      <c r="AN117" s="73"/>
      <c r="AO117" s="102"/>
      <c r="AP117" s="73"/>
      <c r="AQ117" s="73"/>
      <c r="AR117" s="74"/>
      <c r="AS117" s="73"/>
      <c r="AT117" s="73"/>
      <c r="AU117" s="73"/>
      <c r="AV117" s="73"/>
      <c r="AW117" s="73"/>
      <c r="AX117" s="74"/>
      <c r="AY117" s="73"/>
      <c r="AZ117" s="73"/>
      <c r="BA117" s="74"/>
      <c r="BB117" s="73"/>
      <c r="BC117" s="73"/>
      <c r="BD117" s="73"/>
      <c r="BE117" s="73"/>
      <c r="BF117" s="73"/>
      <c r="BG117" s="73"/>
      <c r="BH117" s="73"/>
      <c r="BI117" s="73"/>
      <c r="BJ117" s="73"/>
      <c r="BK117" s="73"/>
      <c r="BL117" s="73"/>
      <c r="BM117" s="73"/>
      <c r="BN117" s="73"/>
      <c r="BO117" s="73"/>
      <c r="BP117" s="73"/>
      <c r="BQ117" s="73"/>
      <c r="BR117" s="73"/>
      <c r="BS117" s="73"/>
      <c r="BT117" s="74"/>
      <c r="BU117" s="73"/>
      <c r="BV117" s="73"/>
      <c r="BW117" s="73"/>
      <c r="BX117" s="73"/>
      <c r="BY117" s="73"/>
      <c r="BZ117" s="73"/>
      <c r="CA117" s="73"/>
      <c r="CB117" s="73"/>
      <c r="CC117" s="73"/>
      <c r="CD117" s="73"/>
      <c r="CE117" s="73"/>
    </row>
    <row r="118">
      <c r="A118" s="86" t="str">
        <f>IFERROR(__xludf.DUMMYFUNCTION("""COMPUTED_VALUE"""),"Thunder Bot - Linger Time")</f>
        <v>Thunder Bot - Linger Time</v>
      </c>
      <c r="B118" s="87">
        <f>IFERROR(__xludf.DUMMYFUNCTION("""COMPUTED_VALUE"""),0.0)</f>
        <v>0</v>
      </c>
      <c r="C118" s="73"/>
      <c r="D118" s="88">
        <f>IFERROR(__xludf.DUMMYFUNCTION("""COMPUTED_VALUE"""),20.0)</f>
        <v>20</v>
      </c>
      <c r="E118" s="73"/>
      <c r="F118" s="73"/>
      <c r="G118" s="73"/>
      <c r="H118" s="73"/>
      <c r="I118" s="73"/>
      <c r="J118" s="73"/>
      <c r="K118" s="92"/>
      <c r="L118" s="73"/>
      <c r="M118" s="73"/>
      <c r="N118" s="73"/>
      <c r="O118" s="73"/>
      <c r="P118" s="73"/>
      <c r="Q118" s="75"/>
      <c r="R118" s="82"/>
      <c r="S118" s="73"/>
      <c r="T118" s="73"/>
      <c r="U118" s="73"/>
      <c r="V118" s="73"/>
      <c r="W118" s="73"/>
      <c r="X118" s="73"/>
      <c r="Y118" s="77"/>
      <c r="Z118" s="104"/>
      <c r="AA118" s="73"/>
      <c r="AB118" s="104"/>
      <c r="AC118" s="104"/>
      <c r="AD118" s="74"/>
      <c r="AE118" s="106"/>
      <c r="AF118" s="195"/>
      <c r="AG118" s="80"/>
      <c r="AH118" s="104"/>
      <c r="AI118" s="73"/>
      <c r="AJ118" s="114"/>
      <c r="AK118" s="106"/>
      <c r="AL118" s="74"/>
      <c r="AM118" s="73"/>
      <c r="AN118" s="73"/>
      <c r="AO118" s="102"/>
      <c r="AP118" s="73"/>
      <c r="AQ118" s="73"/>
      <c r="AR118" s="74"/>
      <c r="AS118" s="73"/>
      <c r="AT118" s="73"/>
      <c r="AU118" s="73"/>
      <c r="AV118" s="73"/>
      <c r="AW118" s="73"/>
      <c r="AX118" s="74"/>
      <c r="AY118" s="73"/>
      <c r="AZ118" s="73"/>
      <c r="BA118" s="74"/>
      <c r="BB118" s="73" t="str">
        <f>IFERROR(__xludf.DUMMYFUNCTION("""COMPUTED_VALUE"""),"Any Other 2")</f>
        <v>Any Other 2</v>
      </c>
      <c r="BC118" s="73"/>
      <c r="BD118" s="73"/>
      <c r="BE118" s="73"/>
      <c r="BF118" s="73"/>
      <c r="BG118" s="73" t="str">
        <f>IFERROR(__xludf.DUMMYFUNCTION("""COMPUTED_VALUE"""),"Any Other 2")</f>
        <v>Any Other 2</v>
      </c>
      <c r="BH118" s="73"/>
      <c r="BI118" s="73"/>
      <c r="BJ118" s="73"/>
      <c r="BK118" s="73"/>
      <c r="BL118" s="73" t="str">
        <f>IFERROR(__xludf.DUMMYFUNCTION("""COMPUTED_VALUE"""),"Any Other 2")</f>
        <v>Any Other 2</v>
      </c>
      <c r="BM118" s="73"/>
      <c r="BN118" s="73"/>
      <c r="BO118" s="73"/>
      <c r="BP118" s="73"/>
      <c r="BQ118" s="73" t="str">
        <f>IFERROR(__xludf.DUMMYFUNCTION("""COMPUTED_VALUE"""),"Any Other 2")</f>
        <v>Any Other 2</v>
      </c>
      <c r="BR118" s="73"/>
      <c r="BS118" s="73"/>
      <c r="BT118" s="74"/>
      <c r="BU118" s="73"/>
      <c r="BV118" s="73"/>
      <c r="BW118" s="73"/>
      <c r="BX118" s="73"/>
      <c r="BY118" s="73"/>
      <c r="BZ118" s="73"/>
      <c r="CA118" s="73"/>
      <c r="CB118" s="73"/>
      <c r="CC118" s="73"/>
      <c r="CD118" s="73"/>
      <c r="CE118" s="73"/>
    </row>
    <row r="119">
      <c r="A119" s="86" t="str">
        <f>IFERROR(__xludf.DUMMYFUNCTION("""COMPUTED_VALUE"""),"Gold Bot - Duration")</f>
        <v>Gold Bot - Duration</v>
      </c>
      <c r="B119" s="87">
        <f>IFERROR(__xludf.DUMMYFUNCTION("""COMPUTED_VALUE"""),12.0)</f>
        <v>12</v>
      </c>
      <c r="C119" s="73"/>
      <c r="D119" s="88">
        <f>IFERROR(__xludf.DUMMYFUNCTION("""COMPUTED_VALUE"""),20.0)</f>
        <v>20</v>
      </c>
      <c r="E119" s="73"/>
      <c r="F119" s="73"/>
      <c r="G119" s="73"/>
      <c r="H119" s="73"/>
      <c r="I119" s="73"/>
      <c r="J119" s="73"/>
      <c r="K119" s="92"/>
      <c r="L119" s="73"/>
      <c r="M119" s="73"/>
      <c r="N119" s="73"/>
      <c r="O119" s="73"/>
      <c r="P119" s="73"/>
      <c r="Q119" s="75"/>
      <c r="R119" s="82"/>
      <c r="S119" s="73"/>
      <c r="T119" s="73"/>
      <c r="U119" s="73"/>
      <c r="V119" s="73"/>
      <c r="W119" s="73"/>
      <c r="X119" s="73"/>
      <c r="Y119" s="77"/>
      <c r="Z119" s="104"/>
      <c r="AA119" s="73"/>
      <c r="AB119" s="104"/>
      <c r="AC119" s="104"/>
      <c r="AD119" s="74"/>
      <c r="AE119" s="106"/>
      <c r="AF119" s="195"/>
      <c r="AG119" s="80"/>
      <c r="AH119" s="104"/>
      <c r="AI119" s="73"/>
      <c r="AJ119" s="114"/>
      <c r="AK119" s="106"/>
      <c r="AL119" s="74"/>
      <c r="AM119" s="73"/>
      <c r="AN119" s="73"/>
      <c r="AO119" s="102"/>
      <c r="AP119" s="73"/>
      <c r="AQ119" s="73"/>
      <c r="AR119" s="74"/>
      <c r="AS119" s="73"/>
      <c r="AT119" s="73"/>
      <c r="AU119" s="73"/>
      <c r="AV119" s="73"/>
      <c r="AW119" s="73"/>
      <c r="AX119" s="74"/>
      <c r="AY119" s="73"/>
      <c r="AZ119" s="73"/>
      <c r="BA119" s="74"/>
      <c r="BB119" s="73" t="str">
        <f>IFERROR(__xludf.DUMMYFUNCTION("""COMPUTED_VALUE"""),"Rarity")</f>
        <v>Rarity</v>
      </c>
      <c r="BC119" s="73" t="str">
        <f>IFERROR(__xludf.DUMMYFUNCTION("""COMPUTED_VALUE"""),"Level")</f>
        <v>Level</v>
      </c>
      <c r="BD119" s="73" t="str">
        <f>IFERROR(__xludf.DUMMYFUNCTION("""COMPUTED_VALUE"""),"Stat")</f>
        <v>Stat</v>
      </c>
      <c r="BE119" s="73"/>
      <c r="BF119" s="73"/>
      <c r="BG119" s="73" t="str">
        <f>IFERROR(__xludf.DUMMYFUNCTION("""COMPUTED_VALUE"""),"Rarity")</f>
        <v>Rarity</v>
      </c>
      <c r="BH119" s="73" t="str">
        <f>IFERROR(__xludf.DUMMYFUNCTION("""COMPUTED_VALUE"""),"Level")</f>
        <v>Level</v>
      </c>
      <c r="BI119" s="73" t="str">
        <f>IFERROR(__xludf.DUMMYFUNCTION("""COMPUTED_VALUE"""),"Stat")</f>
        <v>Stat</v>
      </c>
      <c r="BJ119" s="73"/>
      <c r="BK119" s="73"/>
      <c r="BL119" s="73" t="str">
        <f>IFERROR(__xludf.DUMMYFUNCTION("""COMPUTED_VALUE"""),"Rarity")</f>
        <v>Rarity</v>
      </c>
      <c r="BM119" s="73" t="str">
        <f>IFERROR(__xludf.DUMMYFUNCTION("""COMPUTED_VALUE"""),"Level")</f>
        <v>Level</v>
      </c>
      <c r="BN119" s="73" t="str">
        <f>IFERROR(__xludf.DUMMYFUNCTION("""COMPUTED_VALUE"""),"Stat")</f>
        <v>Stat</v>
      </c>
      <c r="BO119" s="73"/>
      <c r="BP119" s="73"/>
      <c r="BQ119" s="73" t="str">
        <f>IFERROR(__xludf.DUMMYFUNCTION("""COMPUTED_VALUE"""),"Rarity")</f>
        <v>Rarity</v>
      </c>
      <c r="BR119" s="73" t="str">
        <f>IFERROR(__xludf.DUMMYFUNCTION("""COMPUTED_VALUE"""),"Level")</f>
        <v>Level</v>
      </c>
      <c r="BS119" s="73" t="str">
        <f>IFERROR(__xludf.DUMMYFUNCTION("""COMPUTED_VALUE"""),"Stat")</f>
        <v>Stat</v>
      </c>
      <c r="BT119" s="74"/>
      <c r="BU119" s="73"/>
      <c r="BV119" s="73"/>
      <c r="BW119" s="73"/>
      <c r="BX119" s="73"/>
      <c r="BY119" s="73"/>
      <c r="BZ119" s="73"/>
      <c r="CA119" s="73"/>
      <c r="CB119" s="73"/>
      <c r="CC119" s="73"/>
      <c r="CD119" s="73"/>
      <c r="CE119" s="73"/>
    </row>
    <row r="120">
      <c r="A120" s="86" t="str">
        <f>IFERROR(__xludf.DUMMYFUNCTION("""COMPUTED_VALUE"""),"Amp Bot - Duration")</f>
        <v>Amp Bot - Duration</v>
      </c>
      <c r="B120" s="87">
        <f>IFERROR(__xludf.DUMMYFUNCTION("""COMPUTED_VALUE"""),0.0)</f>
        <v>0</v>
      </c>
      <c r="C120" s="73"/>
      <c r="D120" s="88">
        <f>IFERROR(__xludf.DUMMYFUNCTION("""COMPUTED_VALUE"""),20.0)</f>
        <v>20</v>
      </c>
      <c r="E120" s="73"/>
      <c r="F120" s="73"/>
      <c r="G120" s="73"/>
      <c r="H120" s="73"/>
      <c r="I120" s="73"/>
      <c r="J120" s="73"/>
      <c r="K120" s="92"/>
      <c r="L120" s="73"/>
      <c r="M120" s="73"/>
      <c r="N120" s="73"/>
      <c r="O120" s="73"/>
      <c r="P120" s="73"/>
      <c r="Q120" s="75"/>
      <c r="R120" s="82"/>
      <c r="S120" s="73"/>
      <c r="T120" s="73"/>
      <c r="U120" s="73"/>
      <c r="V120" s="73"/>
      <c r="W120" s="73"/>
      <c r="X120" s="73"/>
      <c r="Y120" s="77"/>
      <c r="Z120" s="104"/>
      <c r="AA120" s="73"/>
      <c r="AB120" s="104"/>
      <c r="AC120" s="104"/>
      <c r="AD120" s="74"/>
      <c r="AE120" s="106"/>
      <c r="AF120" s="195"/>
      <c r="AG120" s="80"/>
      <c r="AH120" s="104"/>
      <c r="AI120" s="73"/>
      <c r="AJ120" s="114"/>
      <c r="AK120" s="106"/>
      <c r="AL120" s="74"/>
      <c r="AM120" s="73"/>
      <c r="AN120" s="73"/>
      <c r="AO120" s="102"/>
      <c r="AP120" s="73"/>
      <c r="AQ120" s="73"/>
      <c r="AR120" s="74"/>
      <c r="AS120" s="73"/>
      <c r="AT120" s="73"/>
      <c r="AU120" s="73"/>
      <c r="AV120" s="73"/>
      <c r="AW120" s="73"/>
      <c r="AX120" s="74"/>
      <c r="AY120" s="73"/>
      <c r="AZ120" s="73"/>
      <c r="BA120" s="74"/>
      <c r="BB120" s="73" t="str">
        <f>IFERROR(__xludf.DUMMYFUNCTION("""COMPUTED_VALUE"""),"Common")</f>
        <v>Common</v>
      </c>
      <c r="BC120" s="73">
        <f>IFERROR(__xludf.DUMMYFUNCTION("""COMPUTED_VALUE"""),20.0)</f>
        <v>20</v>
      </c>
      <c r="BD120" s="129">
        <f>IFERROR(__xludf.DUMMYFUNCTION("""COMPUTED_VALUE"""),1.05)</f>
        <v>1.05</v>
      </c>
      <c r="BE120" s="73"/>
      <c r="BF120" s="73"/>
      <c r="BG120" s="73" t="str">
        <f>IFERROR(__xludf.DUMMYFUNCTION("""COMPUTED_VALUE"""),"Common")</f>
        <v>Common</v>
      </c>
      <c r="BH120" s="73">
        <f>IFERROR(__xludf.DUMMYFUNCTION("""COMPUTED_VALUE"""),20.0)</f>
        <v>20</v>
      </c>
      <c r="BI120" s="129">
        <f>IFERROR(__xludf.DUMMYFUNCTION("""COMPUTED_VALUE"""),1.05)</f>
        <v>1.05</v>
      </c>
      <c r="BJ120" s="73"/>
      <c r="BK120" s="73"/>
      <c r="BL120" s="73" t="str">
        <f>IFERROR(__xludf.DUMMYFUNCTION("""COMPUTED_VALUE"""),"Common")</f>
        <v>Common</v>
      </c>
      <c r="BM120" s="73">
        <f>IFERROR(__xludf.DUMMYFUNCTION("""COMPUTED_VALUE"""),20.0)</f>
        <v>20</v>
      </c>
      <c r="BN120" s="129">
        <f>IFERROR(__xludf.DUMMYFUNCTION("""COMPUTED_VALUE"""),1.03)</f>
        <v>1.03</v>
      </c>
      <c r="BO120" s="73"/>
      <c r="BP120" s="73"/>
      <c r="BQ120" s="73" t="str">
        <f>IFERROR(__xludf.DUMMYFUNCTION("""COMPUTED_VALUE"""),"Common")</f>
        <v>Common</v>
      </c>
      <c r="BR120" s="73">
        <f>IFERROR(__xludf.DUMMYFUNCTION("""COMPUTED_VALUE"""),20.0)</f>
        <v>20</v>
      </c>
      <c r="BS120" s="129">
        <f>IFERROR(__xludf.DUMMYFUNCTION("""COMPUTED_VALUE"""),1.23)</f>
        <v>1.23</v>
      </c>
      <c r="BT120" s="74"/>
      <c r="BU120" s="73"/>
      <c r="BV120" s="73"/>
      <c r="BW120" s="73"/>
      <c r="BX120" s="73"/>
      <c r="BY120" s="73"/>
      <c r="BZ120" s="73"/>
      <c r="CA120" s="73"/>
      <c r="CB120" s="73"/>
      <c r="CC120" s="73"/>
      <c r="CD120" s="73"/>
      <c r="CE120" s="73"/>
    </row>
    <row r="121">
      <c r="A121" s="86" t="str">
        <f>IFERROR(__xludf.DUMMYFUNCTION("""COMPUTED_VALUE"""),"Common Enemy Health")</f>
        <v>Common Enemy Health</v>
      </c>
      <c r="B121" s="87">
        <f>IFERROR(__xludf.DUMMYFUNCTION("""COMPUTED_VALUE"""),0.0)</f>
        <v>0</v>
      </c>
      <c r="C121" s="73"/>
      <c r="D121" s="88">
        <f>IFERROR(__xludf.DUMMYFUNCTION("""COMPUTED_VALUE"""),30.0)</f>
        <v>30</v>
      </c>
      <c r="E121" s="73"/>
      <c r="F121" s="73"/>
      <c r="G121" s="73"/>
      <c r="H121" s="73"/>
      <c r="I121" s="73"/>
      <c r="J121" s="73"/>
      <c r="K121" s="92"/>
      <c r="L121" s="73"/>
      <c r="M121" s="73"/>
      <c r="N121" s="73"/>
      <c r="O121" s="73"/>
      <c r="P121" s="73"/>
      <c r="Q121" s="75"/>
      <c r="R121" s="82"/>
      <c r="S121" s="73"/>
      <c r="T121" s="73"/>
      <c r="U121" s="73"/>
      <c r="V121" s="73"/>
      <c r="W121" s="73"/>
      <c r="X121" s="73"/>
      <c r="Y121" s="77"/>
      <c r="Z121" s="104"/>
      <c r="AA121" s="73"/>
      <c r="AB121" s="104"/>
      <c r="AC121" s="104"/>
      <c r="AD121" s="74"/>
      <c r="AE121" s="106"/>
      <c r="AF121" s="195"/>
      <c r="AG121" s="80"/>
      <c r="AH121" s="104"/>
      <c r="AI121" s="73"/>
      <c r="AJ121" s="114"/>
      <c r="AK121" s="106"/>
      <c r="AL121" s="74"/>
      <c r="AM121" s="73"/>
      <c r="AN121" s="73"/>
      <c r="AO121" s="102"/>
      <c r="AP121" s="73"/>
      <c r="AQ121" s="73"/>
      <c r="AR121" s="74"/>
      <c r="AS121" s="73"/>
      <c r="AT121" s="73"/>
      <c r="AU121" s="73"/>
      <c r="AV121" s="73"/>
      <c r="AW121" s="73"/>
      <c r="AX121" s="74"/>
      <c r="AY121" s="73"/>
      <c r="AZ121" s="73"/>
      <c r="BA121" s="74"/>
      <c r="BB121" s="73"/>
      <c r="BC121" s="73"/>
      <c r="BD121" s="73"/>
      <c r="BE121" s="73"/>
      <c r="BF121" s="73"/>
      <c r="BG121" s="73"/>
      <c r="BH121" s="73"/>
      <c r="BI121" s="73"/>
      <c r="BJ121" s="73"/>
      <c r="BK121" s="73"/>
      <c r="BL121" s="73"/>
      <c r="BM121" s="73"/>
      <c r="BN121" s="73"/>
      <c r="BO121" s="73"/>
      <c r="BP121" s="73"/>
      <c r="BQ121" s="73"/>
      <c r="BR121" s="73"/>
      <c r="BS121" s="73"/>
      <c r="BT121" s="74"/>
      <c r="BU121" s="73"/>
      <c r="BV121" s="73"/>
      <c r="BW121" s="73"/>
      <c r="BX121" s="73"/>
      <c r="BY121" s="73"/>
      <c r="BZ121" s="73"/>
      <c r="CA121" s="73"/>
      <c r="CB121" s="73"/>
      <c r="CC121" s="73"/>
      <c r="CD121" s="73"/>
      <c r="CE121" s="73"/>
    </row>
    <row r="122">
      <c r="A122" s="86" t="str">
        <f>IFERROR(__xludf.DUMMYFUNCTION("""COMPUTED_VALUE"""),"Common Enemy Attack")</f>
        <v>Common Enemy Attack</v>
      </c>
      <c r="B122" s="87">
        <f>IFERROR(__xludf.DUMMYFUNCTION("""COMPUTED_VALUE"""),0.0)</f>
        <v>0</v>
      </c>
      <c r="C122" s="73"/>
      <c r="D122" s="88">
        <f>IFERROR(__xludf.DUMMYFUNCTION("""COMPUTED_VALUE"""),30.0)</f>
        <v>30</v>
      </c>
      <c r="E122" s="73"/>
      <c r="F122" s="73"/>
      <c r="G122" s="73"/>
      <c r="H122" s="73"/>
      <c r="I122" s="73"/>
      <c r="J122" s="73"/>
      <c r="K122" s="92"/>
      <c r="L122" s="73"/>
      <c r="M122" s="73"/>
      <c r="N122" s="73"/>
      <c r="O122" s="73"/>
      <c r="P122" s="73"/>
      <c r="Q122" s="75"/>
      <c r="R122" s="82"/>
      <c r="S122" s="73"/>
      <c r="T122" s="73"/>
      <c r="U122" s="73"/>
      <c r="V122" s="73"/>
      <c r="W122" s="73"/>
      <c r="X122" s="73"/>
      <c r="Y122" s="77"/>
      <c r="Z122" s="104"/>
      <c r="AA122" s="73"/>
      <c r="AB122" s="104"/>
      <c r="AC122" s="104"/>
      <c r="AD122" s="74"/>
      <c r="AE122" s="106"/>
      <c r="AF122" s="195"/>
      <c r="AG122" s="80"/>
      <c r="AH122" s="104"/>
      <c r="AI122" s="73"/>
      <c r="AJ122" s="114"/>
      <c r="AK122" s="106"/>
      <c r="AL122" s="74"/>
      <c r="AM122" s="73"/>
      <c r="AN122" s="73"/>
      <c r="AO122" s="102"/>
      <c r="AP122" s="73"/>
      <c r="AQ122" s="73"/>
      <c r="AR122" s="74"/>
      <c r="AS122" s="73"/>
      <c r="AT122" s="73"/>
      <c r="AU122" s="73"/>
      <c r="AV122" s="73"/>
      <c r="AW122" s="73"/>
      <c r="AX122" s="74"/>
      <c r="AY122" s="73"/>
      <c r="AZ122" s="73"/>
      <c r="BA122" s="74"/>
      <c r="BB122" s="73"/>
      <c r="BC122" s="73"/>
      <c r="BD122" s="73"/>
      <c r="BE122" s="73" t="str">
        <f>IFERROR(__xludf.DUMMYFUNCTION("""COMPUTED_VALUE"""),"")</f>
        <v/>
      </c>
      <c r="BF122" s="73"/>
      <c r="BG122" s="73"/>
      <c r="BH122" s="73"/>
      <c r="BI122" s="73"/>
      <c r="BJ122" s="73" t="str">
        <f>IFERROR(__xludf.DUMMYFUNCTION("""COMPUTED_VALUE"""),"")</f>
        <v/>
      </c>
      <c r="BK122" s="73"/>
      <c r="BL122" s="73"/>
      <c r="BM122" s="73"/>
      <c r="BN122" s="73"/>
      <c r="BO122" s="73" t="str">
        <f>IFERROR(__xludf.DUMMYFUNCTION("""COMPUTED_VALUE"""),"")</f>
        <v/>
      </c>
      <c r="BP122" s="73"/>
      <c r="BQ122" s="73"/>
      <c r="BR122" s="73"/>
      <c r="BS122" s="73"/>
      <c r="BT122" s="74" t="str">
        <f>IFERROR(__xludf.DUMMYFUNCTION("""COMPUTED_VALUE"""),"")</f>
        <v/>
      </c>
      <c r="BU122" s="73"/>
      <c r="BV122" s="73"/>
      <c r="BW122" s="73"/>
      <c r="BX122" s="73"/>
      <c r="BY122" s="73"/>
      <c r="BZ122" s="73"/>
      <c r="CA122" s="73"/>
      <c r="CB122" s="73"/>
      <c r="CC122" s="73"/>
      <c r="CD122" s="73"/>
      <c r="CE122" s="73"/>
    </row>
    <row r="123">
      <c r="A123" s="86" t="str">
        <f>IFERROR(__xludf.DUMMYFUNCTION("""COMPUTED_VALUE"""),"Fast Enemy Health")</f>
        <v>Fast Enemy Health</v>
      </c>
      <c r="B123" s="87">
        <f>IFERROR(__xludf.DUMMYFUNCTION("""COMPUTED_VALUE"""),0.0)</f>
        <v>0</v>
      </c>
      <c r="C123" s="73"/>
      <c r="D123" s="88">
        <f>IFERROR(__xludf.DUMMYFUNCTION("""COMPUTED_VALUE"""),30.0)</f>
        <v>30</v>
      </c>
      <c r="E123" s="73"/>
      <c r="F123" s="73"/>
      <c r="G123" s="73"/>
      <c r="H123" s="73"/>
      <c r="I123" s="73"/>
      <c r="J123" s="73"/>
      <c r="K123" s="92"/>
      <c r="L123" s="73"/>
      <c r="M123" s="73"/>
      <c r="N123" s="73"/>
      <c r="O123" s="73"/>
      <c r="P123" s="73"/>
      <c r="Q123" s="75"/>
      <c r="R123" s="82"/>
      <c r="S123" s="73"/>
      <c r="T123" s="73"/>
      <c r="U123" s="73"/>
      <c r="V123" s="73"/>
      <c r="W123" s="73"/>
      <c r="X123" s="73"/>
      <c r="Y123" s="77"/>
      <c r="Z123" s="104"/>
      <c r="AA123" s="73"/>
      <c r="AB123" s="104"/>
      <c r="AC123" s="104"/>
      <c r="AD123" s="74"/>
      <c r="AE123" s="106"/>
      <c r="AF123" s="195"/>
      <c r="AG123" s="80"/>
      <c r="AH123" s="104"/>
      <c r="AI123" s="73"/>
      <c r="AJ123" s="114"/>
      <c r="AK123" s="106"/>
      <c r="AL123" s="74"/>
      <c r="AM123" s="73"/>
      <c r="AN123" s="73"/>
      <c r="AO123" s="102"/>
      <c r="AP123" s="73"/>
      <c r="AQ123" s="73"/>
      <c r="AR123" s="74"/>
      <c r="AS123" s="73"/>
      <c r="AT123" s="73"/>
      <c r="AU123" s="73"/>
      <c r="AV123" s="73"/>
      <c r="AW123" s="73"/>
      <c r="AX123" s="74"/>
      <c r="AY123" s="73"/>
      <c r="AZ123" s="73"/>
      <c r="BA123" s="74"/>
      <c r="BB123" s="73"/>
      <c r="BC123" s="73"/>
      <c r="BD123" s="73"/>
      <c r="BE123" s="73" t="str">
        <f>IFERROR(__xludf.DUMMYFUNCTION("""COMPUTED_VALUE"""),"")</f>
        <v/>
      </c>
      <c r="BF123" s="73"/>
      <c r="BG123" s="73"/>
      <c r="BH123" s="73"/>
      <c r="BI123" s="73"/>
      <c r="BJ123" s="73" t="str">
        <f>IFERROR(__xludf.DUMMYFUNCTION("""COMPUTED_VALUE"""),"")</f>
        <v/>
      </c>
      <c r="BK123" s="73"/>
      <c r="BL123" s="73"/>
      <c r="BM123" s="73"/>
      <c r="BN123" s="73"/>
      <c r="BO123" s="73" t="str">
        <f>IFERROR(__xludf.DUMMYFUNCTION("""COMPUTED_VALUE"""),"")</f>
        <v/>
      </c>
      <c r="BP123" s="73"/>
      <c r="BQ123" s="73"/>
      <c r="BR123" s="73"/>
      <c r="BS123" s="73"/>
      <c r="BT123" s="74" t="str">
        <f>IFERROR(__xludf.DUMMYFUNCTION("""COMPUTED_VALUE"""),"")</f>
        <v/>
      </c>
      <c r="BU123" s="73"/>
      <c r="BV123" s="73"/>
      <c r="BW123" s="73"/>
      <c r="BX123" s="73"/>
      <c r="BY123" s="73"/>
      <c r="BZ123" s="73"/>
      <c r="CA123" s="73"/>
      <c r="CB123" s="73"/>
      <c r="CC123" s="73"/>
      <c r="CD123" s="73"/>
      <c r="CE123" s="73"/>
    </row>
    <row r="124">
      <c r="A124" s="86" t="str">
        <f>IFERROR(__xludf.DUMMYFUNCTION("""COMPUTED_VALUE"""),"Fast Enemy Attack")</f>
        <v>Fast Enemy Attack</v>
      </c>
      <c r="B124" s="87">
        <f>IFERROR(__xludf.DUMMYFUNCTION("""COMPUTED_VALUE"""),0.0)</f>
        <v>0</v>
      </c>
      <c r="C124" s="73"/>
      <c r="D124" s="88">
        <f>IFERROR(__xludf.DUMMYFUNCTION("""COMPUTED_VALUE"""),30.0)</f>
        <v>30</v>
      </c>
      <c r="E124" s="73"/>
      <c r="F124" s="73"/>
      <c r="G124" s="73"/>
      <c r="H124" s="73"/>
      <c r="I124" s="73"/>
      <c r="J124" s="73"/>
      <c r="K124" s="92"/>
      <c r="L124" s="73"/>
      <c r="M124" s="73"/>
      <c r="N124" s="73"/>
      <c r="O124" s="73"/>
      <c r="P124" s="73"/>
      <c r="Q124" s="75"/>
      <c r="R124" s="82"/>
      <c r="S124" s="73"/>
      <c r="T124" s="73"/>
      <c r="U124" s="73"/>
      <c r="V124" s="73"/>
      <c r="W124" s="73"/>
      <c r="X124" s="73"/>
      <c r="Y124" s="77"/>
      <c r="Z124" s="104"/>
      <c r="AA124" s="73"/>
      <c r="AB124" s="104"/>
      <c r="AC124" s="104"/>
      <c r="AD124" s="74"/>
      <c r="AE124" s="106"/>
      <c r="AF124" s="195"/>
      <c r="AG124" s="80"/>
      <c r="AH124" s="104"/>
      <c r="AI124" s="73"/>
      <c r="AJ124" s="114"/>
      <c r="AK124" s="106"/>
      <c r="AL124" s="74"/>
      <c r="AM124" s="73"/>
      <c r="AN124" s="73"/>
      <c r="AO124" s="102"/>
      <c r="AP124" s="73"/>
      <c r="AQ124" s="73"/>
      <c r="AR124" s="74"/>
      <c r="AS124" s="73"/>
      <c r="AT124" s="73"/>
      <c r="AU124" s="73"/>
      <c r="AV124" s="73"/>
      <c r="AW124" s="73"/>
      <c r="AX124" s="74"/>
      <c r="AY124" s="73"/>
      <c r="AZ124" s="73"/>
      <c r="BA124" s="74"/>
      <c r="BB124" s="73"/>
      <c r="BC124" s="73"/>
      <c r="BD124" s="73"/>
      <c r="BE124" s="73" t="str">
        <f>IFERROR(__xludf.DUMMYFUNCTION("""COMPUTED_VALUE"""),"")</f>
        <v/>
      </c>
      <c r="BF124" s="73"/>
      <c r="BG124" s="73"/>
      <c r="BH124" s="73"/>
      <c r="BI124" s="73"/>
      <c r="BJ124" s="73" t="str">
        <f>IFERROR(__xludf.DUMMYFUNCTION("""COMPUTED_VALUE"""),"")</f>
        <v/>
      </c>
      <c r="BK124" s="73"/>
      <c r="BL124" s="73"/>
      <c r="BM124" s="73"/>
      <c r="BN124" s="73"/>
      <c r="BO124" s="73" t="str">
        <f>IFERROR(__xludf.DUMMYFUNCTION("""COMPUTED_VALUE"""),"")</f>
        <v/>
      </c>
      <c r="BP124" s="73"/>
      <c r="BQ124" s="73"/>
      <c r="BR124" s="73"/>
      <c r="BS124" s="73"/>
      <c r="BT124" s="74" t="str">
        <f>IFERROR(__xludf.DUMMYFUNCTION("""COMPUTED_VALUE"""),"")</f>
        <v/>
      </c>
      <c r="BU124" s="73"/>
      <c r="BV124" s="73"/>
      <c r="BW124" s="73"/>
      <c r="BX124" s="73"/>
      <c r="BY124" s="73"/>
      <c r="BZ124" s="73"/>
      <c r="CA124" s="73"/>
      <c r="CB124" s="73"/>
      <c r="CC124" s="73"/>
      <c r="CD124" s="73"/>
      <c r="CE124" s="73"/>
    </row>
    <row r="125">
      <c r="A125" s="86" t="str">
        <f>IFERROR(__xludf.DUMMYFUNCTION("""COMPUTED_VALUE"""),"Fast Enemy Speed")</f>
        <v>Fast Enemy Speed</v>
      </c>
      <c r="B125" s="87">
        <f>IFERROR(__xludf.DUMMYFUNCTION("""COMPUTED_VALUE"""),0.0)</f>
        <v>0</v>
      </c>
      <c r="C125" s="73"/>
      <c r="D125" s="88">
        <f>IFERROR(__xludf.DUMMYFUNCTION("""COMPUTED_VALUE"""),30.0)</f>
        <v>30</v>
      </c>
      <c r="E125" s="73"/>
      <c r="F125" s="73"/>
      <c r="G125" s="73"/>
      <c r="H125" s="73"/>
      <c r="I125" s="73"/>
      <c r="J125" s="73"/>
      <c r="K125" s="92"/>
      <c r="L125" s="73"/>
      <c r="M125" s="73"/>
      <c r="N125" s="73"/>
      <c r="O125" s="73"/>
      <c r="P125" s="73"/>
      <c r="Q125" s="75"/>
      <c r="R125" s="82"/>
      <c r="S125" s="73"/>
      <c r="T125" s="73"/>
      <c r="U125" s="73"/>
      <c r="V125" s="73"/>
      <c r="W125" s="73"/>
      <c r="X125" s="73"/>
      <c r="Y125" s="77"/>
      <c r="Z125" s="104"/>
      <c r="AA125" s="73"/>
      <c r="AB125" s="104"/>
      <c r="AC125" s="104"/>
      <c r="AD125" s="74"/>
      <c r="AE125" s="106"/>
      <c r="AF125" s="195"/>
      <c r="AG125" s="80"/>
      <c r="AH125" s="104"/>
      <c r="AI125" s="73"/>
      <c r="AJ125" s="114"/>
      <c r="AK125" s="106"/>
      <c r="AL125" s="74"/>
      <c r="AM125" s="73"/>
      <c r="AN125" s="73"/>
      <c r="AO125" s="102"/>
      <c r="AP125" s="73"/>
      <c r="AQ125" s="73"/>
      <c r="AR125" s="74"/>
      <c r="AS125" s="73"/>
      <c r="AT125" s="73"/>
      <c r="AU125" s="73"/>
      <c r="AV125" s="73"/>
      <c r="AW125" s="73"/>
      <c r="AX125" s="74"/>
      <c r="AY125" s="73"/>
      <c r="AZ125" s="73"/>
      <c r="BA125" s="74"/>
      <c r="BB125" s="73"/>
      <c r="BC125" s="73"/>
      <c r="BD125" s="73"/>
      <c r="BE125" s="73" t="str">
        <f>IFERROR(__xludf.DUMMYFUNCTION("""COMPUTED_VALUE"""),"")</f>
        <v/>
      </c>
      <c r="BF125" s="73"/>
      <c r="BG125" s="73"/>
      <c r="BH125" s="73"/>
      <c r="BI125" s="73"/>
      <c r="BJ125" s="73" t="str">
        <f>IFERROR(__xludf.DUMMYFUNCTION("""COMPUTED_VALUE"""),"")</f>
        <v/>
      </c>
      <c r="BK125" s="73"/>
      <c r="BL125" s="73"/>
      <c r="BM125" s="73"/>
      <c r="BN125" s="73"/>
      <c r="BO125" s="73" t="str">
        <f>IFERROR(__xludf.DUMMYFUNCTION("""COMPUTED_VALUE"""),"")</f>
        <v/>
      </c>
      <c r="BP125" s="73"/>
      <c r="BQ125" s="73"/>
      <c r="BR125" s="73"/>
      <c r="BS125" s="73"/>
      <c r="BT125" s="74" t="str">
        <f>IFERROR(__xludf.DUMMYFUNCTION("""COMPUTED_VALUE"""),"")</f>
        <v/>
      </c>
      <c r="BU125" s="73"/>
      <c r="BV125" s="73"/>
      <c r="BW125" s="73"/>
      <c r="BX125" s="73"/>
      <c r="BY125" s="73"/>
      <c r="BZ125" s="73"/>
      <c r="CA125" s="73"/>
      <c r="CB125" s="73"/>
      <c r="CC125" s="73"/>
      <c r="CD125" s="73"/>
      <c r="CE125" s="73"/>
    </row>
    <row r="126">
      <c r="A126" s="86" t="str">
        <f>IFERROR(__xludf.DUMMYFUNCTION("""COMPUTED_VALUE"""),"Tank Enemy Health")</f>
        <v>Tank Enemy Health</v>
      </c>
      <c r="B126" s="87">
        <f>IFERROR(__xludf.DUMMYFUNCTION("""COMPUTED_VALUE"""),0.0)</f>
        <v>0</v>
      </c>
      <c r="C126" s="73"/>
      <c r="D126" s="88">
        <f>IFERROR(__xludf.DUMMYFUNCTION("""COMPUTED_VALUE"""),30.0)</f>
        <v>30</v>
      </c>
      <c r="E126" s="73"/>
      <c r="F126" s="73"/>
      <c r="G126" s="73"/>
      <c r="H126" s="73"/>
      <c r="I126" s="73"/>
      <c r="J126" s="73"/>
      <c r="K126" s="92"/>
      <c r="L126" s="73"/>
      <c r="M126" s="73"/>
      <c r="N126" s="73"/>
      <c r="O126" s="73"/>
      <c r="P126" s="73"/>
      <c r="Q126" s="75"/>
      <c r="R126" s="82"/>
      <c r="S126" s="73"/>
      <c r="T126" s="73"/>
      <c r="U126" s="73"/>
      <c r="V126" s="73"/>
      <c r="W126" s="73"/>
      <c r="X126" s="73"/>
      <c r="Y126" s="77"/>
      <c r="Z126" s="104"/>
      <c r="AA126" s="73"/>
      <c r="AB126" s="104"/>
      <c r="AC126" s="104"/>
      <c r="AD126" s="74"/>
      <c r="AE126" s="106"/>
      <c r="AF126" s="195"/>
      <c r="AG126" s="80"/>
      <c r="AH126" s="104"/>
      <c r="AI126" s="73"/>
      <c r="AJ126" s="114"/>
      <c r="AK126" s="106"/>
      <c r="AL126" s="74"/>
      <c r="AM126" s="73"/>
      <c r="AN126" s="73"/>
      <c r="AO126" s="102"/>
      <c r="AP126" s="73"/>
      <c r="AQ126" s="73"/>
      <c r="AR126" s="74"/>
      <c r="AS126" s="73"/>
      <c r="AT126" s="73"/>
      <c r="AU126" s="73"/>
      <c r="AV126" s="73"/>
      <c r="AW126" s="73"/>
      <c r="AX126" s="74"/>
      <c r="AY126" s="73"/>
      <c r="AZ126" s="73"/>
      <c r="BA126" s="74"/>
      <c r="BB126" s="73"/>
      <c r="BC126" s="73"/>
      <c r="BD126" s="73"/>
      <c r="BE126" s="73" t="str">
        <f>IFERROR(__xludf.DUMMYFUNCTION("""COMPUTED_VALUE"""),"")</f>
        <v/>
      </c>
      <c r="BF126" s="73"/>
      <c r="BG126" s="73"/>
      <c r="BH126" s="73"/>
      <c r="BI126" s="73"/>
      <c r="BJ126" s="73" t="str">
        <f>IFERROR(__xludf.DUMMYFUNCTION("""COMPUTED_VALUE"""),"")</f>
        <v/>
      </c>
      <c r="BK126" s="73"/>
      <c r="BL126" s="73"/>
      <c r="BM126" s="73"/>
      <c r="BN126" s="73"/>
      <c r="BO126" s="73" t="str">
        <f>IFERROR(__xludf.DUMMYFUNCTION("""COMPUTED_VALUE"""),"")</f>
        <v/>
      </c>
      <c r="BP126" s="73"/>
      <c r="BQ126" s="73"/>
      <c r="BR126" s="73"/>
      <c r="BS126" s="73"/>
      <c r="BT126" s="74" t="str">
        <f>IFERROR(__xludf.DUMMYFUNCTION("""COMPUTED_VALUE"""),"")</f>
        <v/>
      </c>
      <c r="BU126" s="73"/>
      <c r="BV126" s="73"/>
      <c r="BW126" s="73"/>
      <c r="BX126" s="73"/>
      <c r="BY126" s="73"/>
      <c r="BZ126" s="73"/>
      <c r="CA126" s="73"/>
      <c r="CB126" s="73"/>
      <c r="CC126" s="73"/>
      <c r="CD126" s="73"/>
      <c r="CE126" s="73"/>
    </row>
    <row r="127">
      <c r="A127" s="86" t="str">
        <f>IFERROR(__xludf.DUMMYFUNCTION("""COMPUTED_VALUE"""),"Tank Enemy Attack")</f>
        <v>Tank Enemy Attack</v>
      </c>
      <c r="B127" s="87">
        <f>IFERROR(__xludf.DUMMYFUNCTION("""COMPUTED_VALUE"""),0.0)</f>
        <v>0</v>
      </c>
      <c r="C127" s="73"/>
      <c r="D127" s="88">
        <f>IFERROR(__xludf.DUMMYFUNCTION("""COMPUTED_VALUE"""),30.0)</f>
        <v>30</v>
      </c>
      <c r="E127" s="73"/>
      <c r="F127" s="73"/>
      <c r="G127" s="73"/>
      <c r="H127" s="73"/>
      <c r="I127" s="73"/>
      <c r="J127" s="73"/>
      <c r="K127" s="92"/>
      <c r="L127" s="73"/>
      <c r="M127" s="73"/>
      <c r="N127" s="73"/>
      <c r="O127" s="73"/>
      <c r="P127" s="73"/>
      <c r="Q127" s="75"/>
      <c r="R127" s="82"/>
      <c r="S127" s="73"/>
      <c r="T127" s="73"/>
      <c r="U127" s="73"/>
      <c r="V127" s="73"/>
      <c r="W127" s="73"/>
      <c r="X127" s="73"/>
      <c r="Y127" s="77"/>
      <c r="Z127" s="104"/>
      <c r="AA127" s="73"/>
      <c r="AB127" s="104"/>
      <c r="AC127" s="104"/>
      <c r="AD127" s="74"/>
      <c r="AE127" s="106"/>
      <c r="AF127" s="195"/>
      <c r="AG127" s="80"/>
      <c r="AH127" s="104"/>
      <c r="AI127" s="73"/>
      <c r="AJ127" s="114"/>
      <c r="AK127" s="106"/>
      <c r="AL127" s="74"/>
      <c r="AM127" s="73"/>
      <c r="AN127" s="73"/>
      <c r="AO127" s="102"/>
      <c r="AP127" s="73"/>
      <c r="AQ127" s="73"/>
      <c r="AR127" s="74"/>
      <c r="AS127" s="73"/>
      <c r="AT127" s="73"/>
      <c r="AU127" s="73"/>
      <c r="AV127" s="73"/>
      <c r="AW127" s="73"/>
      <c r="AX127" s="74"/>
      <c r="AY127" s="73"/>
      <c r="AZ127" s="73"/>
      <c r="BA127" s="74"/>
      <c r="BB127" s="73"/>
      <c r="BC127" s="73"/>
      <c r="BD127" s="73"/>
      <c r="BE127" s="73" t="str">
        <f>IFERROR(__xludf.DUMMYFUNCTION("""COMPUTED_VALUE"""),"")</f>
        <v/>
      </c>
      <c r="BF127" s="73"/>
      <c r="BG127" s="73"/>
      <c r="BH127" s="73"/>
      <c r="BI127" s="73"/>
      <c r="BJ127" s="73" t="str">
        <f>IFERROR(__xludf.DUMMYFUNCTION("""COMPUTED_VALUE"""),"")</f>
        <v/>
      </c>
      <c r="BK127" s="73"/>
      <c r="BL127" s="73"/>
      <c r="BM127" s="73"/>
      <c r="BN127" s="73"/>
      <c r="BO127" s="73" t="str">
        <f>IFERROR(__xludf.DUMMYFUNCTION("""COMPUTED_VALUE"""),"")</f>
        <v/>
      </c>
      <c r="BP127" s="73"/>
      <c r="BQ127" s="73"/>
      <c r="BR127" s="73"/>
      <c r="BS127" s="73"/>
      <c r="BT127" s="74" t="str">
        <f>IFERROR(__xludf.DUMMYFUNCTION("""COMPUTED_VALUE"""),"")</f>
        <v/>
      </c>
      <c r="BU127" s="73"/>
      <c r="BV127" s="73"/>
      <c r="BW127" s="73"/>
      <c r="BX127" s="73"/>
      <c r="BY127" s="73"/>
      <c r="BZ127" s="73"/>
      <c r="CA127" s="73"/>
      <c r="CB127" s="73"/>
      <c r="CC127" s="73"/>
      <c r="CD127" s="73"/>
      <c r="CE127" s="73"/>
    </row>
    <row r="128">
      <c r="A128" s="86" t="str">
        <f>IFERROR(__xludf.DUMMYFUNCTION("""COMPUTED_VALUE"""),"Ranged Enemy Health")</f>
        <v>Ranged Enemy Health</v>
      </c>
      <c r="B128" s="87">
        <f>IFERROR(__xludf.DUMMYFUNCTION("""COMPUTED_VALUE"""),0.0)</f>
        <v>0</v>
      </c>
      <c r="C128" s="73"/>
      <c r="D128" s="88">
        <f>IFERROR(__xludf.DUMMYFUNCTION("""COMPUTED_VALUE"""),30.0)</f>
        <v>30</v>
      </c>
      <c r="E128" s="73"/>
      <c r="F128" s="73"/>
      <c r="G128" s="73"/>
      <c r="H128" s="73"/>
      <c r="I128" s="73"/>
      <c r="J128" s="73"/>
      <c r="K128" s="92"/>
      <c r="L128" s="73"/>
      <c r="M128" s="73"/>
      <c r="N128" s="73"/>
      <c r="O128" s="73"/>
      <c r="P128" s="73"/>
      <c r="Q128" s="75"/>
      <c r="R128" s="82"/>
      <c r="S128" s="73"/>
      <c r="T128" s="73"/>
      <c r="U128" s="73"/>
      <c r="V128" s="73"/>
      <c r="W128" s="73"/>
      <c r="X128" s="73"/>
      <c r="Y128" s="77"/>
      <c r="Z128" s="104"/>
      <c r="AA128" s="73"/>
      <c r="AB128" s="104"/>
      <c r="AC128" s="104"/>
      <c r="AD128" s="74"/>
      <c r="AE128" s="106"/>
      <c r="AF128" s="195"/>
      <c r="AG128" s="80"/>
      <c r="AH128" s="104"/>
      <c r="AI128" s="73"/>
      <c r="AJ128" s="114"/>
      <c r="AK128" s="106"/>
      <c r="AL128" s="74"/>
      <c r="AM128" s="73"/>
      <c r="AN128" s="73"/>
      <c r="AO128" s="102"/>
      <c r="AP128" s="73"/>
      <c r="AQ128" s="73"/>
      <c r="AR128" s="74"/>
      <c r="AS128" s="73"/>
      <c r="AT128" s="73"/>
      <c r="AU128" s="73"/>
      <c r="AV128" s="73"/>
      <c r="AW128" s="73"/>
      <c r="AX128" s="74"/>
      <c r="AY128" s="73"/>
      <c r="AZ128" s="73"/>
      <c r="BA128" s="74"/>
      <c r="BB128" s="73"/>
      <c r="BC128" s="73"/>
      <c r="BD128" s="73"/>
      <c r="BE128" s="73" t="str">
        <f>IFERROR(__xludf.DUMMYFUNCTION("""COMPUTED_VALUE"""),"")</f>
        <v/>
      </c>
      <c r="BF128" s="73"/>
      <c r="BG128" s="73"/>
      <c r="BH128" s="73"/>
      <c r="BI128" s="73"/>
      <c r="BJ128" s="73" t="str">
        <f>IFERROR(__xludf.DUMMYFUNCTION("""COMPUTED_VALUE"""),"")</f>
        <v/>
      </c>
      <c r="BK128" s="73"/>
      <c r="BL128" s="73"/>
      <c r="BM128" s="73"/>
      <c r="BN128" s="73"/>
      <c r="BO128" s="73" t="str">
        <f>IFERROR(__xludf.DUMMYFUNCTION("""COMPUTED_VALUE"""),"")</f>
        <v/>
      </c>
      <c r="BP128" s="73"/>
      <c r="BQ128" s="73"/>
      <c r="BR128" s="73"/>
      <c r="BS128" s="73"/>
      <c r="BT128" s="74" t="str">
        <f>IFERROR(__xludf.DUMMYFUNCTION("""COMPUTED_VALUE"""),"")</f>
        <v/>
      </c>
      <c r="BU128" s="73"/>
      <c r="BV128" s="73"/>
      <c r="BW128" s="73"/>
      <c r="BX128" s="73"/>
      <c r="BY128" s="73"/>
      <c r="BZ128" s="73"/>
      <c r="CA128" s="73"/>
      <c r="CB128" s="73"/>
      <c r="CC128" s="73"/>
      <c r="CD128" s="73"/>
      <c r="CE128" s="73"/>
    </row>
    <row r="129">
      <c r="A129" s="86" t="str">
        <f>IFERROR(__xludf.DUMMYFUNCTION("""COMPUTED_VALUE"""),"Ranged Enemy Attack")</f>
        <v>Ranged Enemy Attack</v>
      </c>
      <c r="B129" s="87">
        <f>IFERROR(__xludf.DUMMYFUNCTION("""COMPUTED_VALUE"""),0.0)</f>
        <v>0</v>
      </c>
      <c r="C129" s="73"/>
      <c r="D129" s="88">
        <f>IFERROR(__xludf.DUMMYFUNCTION("""COMPUTED_VALUE"""),30.0)</f>
        <v>30</v>
      </c>
      <c r="E129" s="73"/>
      <c r="F129" s="73"/>
      <c r="G129" s="73"/>
      <c r="H129" s="73"/>
      <c r="I129" s="73"/>
      <c r="J129" s="73"/>
      <c r="K129" s="92"/>
      <c r="L129" s="73"/>
      <c r="M129" s="73"/>
      <c r="N129" s="73"/>
      <c r="O129" s="73"/>
      <c r="P129" s="73"/>
      <c r="Q129" s="75"/>
      <c r="R129" s="82"/>
      <c r="S129" s="73"/>
      <c r="T129" s="73"/>
      <c r="U129" s="73"/>
      <c r="V129" s="73"/>
      <c r="W129" s="73"/>
      <c r="X129" s="73"/>
      <c r="Y129" s="77"/>
      <c r="Z129" s="104"/>
      <c r="AA129" s="73"/>
      <c r="AB129" s="104"/>
      <c r="AC129" s="104"/>
      <c r="AD129" s="74"/>
      <c r="AE129" s="106"/>
      <c r="AF129" s="195"/>
      <c r="AG129" s="80"/>
      <c r="AH129" s="104"/>
      <c r="AI129" s="73"/>
      <c r="AJ129" s="114"/>
      <c r="AK129" s="106"/>
      <c r="AL129" s="74"/>
      <c r="AM129" s="73"/>
      <c r="AN129" s="73"/>
      <c r="AO129" s="102"/>
      <c r="AP129" s="73"/>
      <c r="AQ129" s="73"/>
      <c r="AR129" s="74"/>
      <c r="AS129" s="73"/>
      <c r="AT129" s="73"/>
      <c r="AU129" s="73"/>
      <c r="AV129" s="73"/>
      <c r="AW129" s="73"/>
      <c r="AX129" s="74"/>
      <c r="AY129" s="73"/>
      <c r="AZ129" s="73"/>
      <c r="BA129" s="74"/>
      <c r="BB129" s="73"/>
      <c r="BC129" s="73"/>
      <c r="BD129" s="73"/>
      <c r="BE129" s="73" t="str">
        <f>IFERROR(__xludf.DUMMYFUNCTION("""COMPUTED_VALUE"""),"")</f>
        <v/>
      </c>
      <c r="BF129" s="73"/>
      <c r="BG129" s="73"/>
      <c r="BH129" s="73"/>
      <c r="BI129" s="73"/>
      <c r="BJ129" s="73" t="str">
        <f>IFERROR(__xludf.DUMMYFUNCTION("""COMPUTED_VALUE"""),"")</f>
        <v/>
      </c>
      <c r="BK129" s="73"/>
      <c r="BL129" s="73"/>
      <c r="BM129" s="73"/>
      <c r="BN129" s="73"/>
      <c r="BO129" s="73" t="str">
        <f>IFERROR(__xludf.DUMMYFUNCTION("""COMPUTED_VALUE"""),"")</f>
        <v/>
      </c>
      <c r="BP129" s="73"/>
      <c r="BQ129" s="73"/>
      <c r="BR129" s="73"/>
      <c r="BS129" s="73"/>
      <c r="BT129" s="74" t="str">
        <f>IFERROR(__xludf.DUMMYFUNCTION("""COMPUTED_VALUE"""),"")</f>
        <v/>
      </c>
      <c r="BU129" s="73"/>
      <c r="BV129" s="73"/>
      <c r="BW129" s="73"/>
      <c r="BX129" s="73"/>
      <c r="BY129" s="73"/>
      <c r="BZ129" s="73"/>
      <c r="CA129" s="73"/>
      <c r="CB129" s="73"/>
      <c r="CC129" s="73"/>
      <c r="CD129" s="73"/>
      <c r="CE129" s="73"/>
    </row>
    <row r="130">
      <c r="A130" s="86" t="str">
        <f>IFERROR(__xludf.DUMMYFUNCTION("""COMPUTED_VALUE"""),"Boss Health")</f>
        <v>Boss Health</v>
      </c>
      <c r="B130" s="87">
        <f>IFERROR(__xludf.DUMMYFUNCTION("""COMPUTED_VALUE"""),0.0)</f>
        <v>0</v>
      </c>
      <c r="C130" s="73"/>
      <c r="D130" s="88">
        <f>IFERROR(__xludf.DUMMYFUNCTION("""COMPUTED_VALUE"""),30.0)</f>
        <v>30</v>
      </c>
      <c r="E130" s="73"/>
      <c r="F130" s="73"/>
      <c r="G130" s="73"/>
      <c r="H130" s="73"/>
      <c r="I130" s="73"/>
      <c r="J130" s="73"/>
      <c r="K130" s="92"/>
      <c r="L130" s="73"/>
      <c r="M130" s="73"/>
      <c r="N130" s="73"/>
      <c r="O130" s="73"/>
      <c r="P130" s="73"/>
      <c r="Q130" s="75"/>
      <c r="R130" s="82"/>
      <c r="S130" s="73"/>
      <c r="T130" s="73"/>
      <c r="U130" s="73"/>
      <c r="V130" s="73"/>
      <c r="W130" s="73"/>
      <c r="X130" s="73"/>
      <c r="Y130" s="77"/>
      <c r="Z130" s="104"/>
      <c r="AA130" s="73"/>
      <c r="AB130" s="104"/>
      <c r="AC130" s="104"/>
      <c r="AD130" s="74"/>
      <c r="AE130" s="106"/>
      <c r="AF130" s="195"/>
      <c r="AG130" s="80"/>
      <c r="AH130" s="104"/>
      <c r="AI130" s="73"/>
      <c r="AJ130" s="114"/>
      <c r="AK130" s="106"/>
      <c r="AL130" s="74"/>
      <c r="AM130" s="73"/>
      <c r="AN130" s="73"/>
      <c r="AO130" s="102"/>
      <c r="AP130" s="73"/>
      <c r="AQ130" s="73"/>
      <c r="AR130" s="74"/>
      <c r="AS130" s="73"/>
      <c r="AT130" s="73"/>
      <c r="AU130" s="73"/>
      <c r="AV130" s="73"/>
      <c r="AW130" s="73"/>
      <c r="AX130" s="74"/>
      <c r="AY130" s="73"/>
      <c r="AZ130" s="73"/>
      <c r="BA130" s="74"/>
      <c r="BB130" s="73"/>
      <c r="BC130" s="73"/>
      <c r="BD130" s="73"/>
      <c r="BE130" s="73"/>
      <c r="BF130" s="73"/>
      <c r="BG130" s="73"/>
      <c r="BH130" s="73"/>
      <c r="BI130" s="73"/>
      <c r="BJ130" s="73"/>
      <c r="BK130" s="73"/>
      <c r="BL130" s="73"/>
      <c r="BM130" s="73"/>
      <c r="BN130" s="73"/>
      <c r="BO130" s="73"/>
      <c r="BP130" s="73"/>
      <c r="BQ130" s="73"/>
      <c r="BR130" s="73"/>
      <c r="BS130" s="73"/>
      <c r="BT130" s="74"/>
      <c r="BU130" s="73"/>
      <c r="BV130" s="73"/>
      <c r="BW130" s="73"/>
      <c r="BX130" s="73"/>
      <c r="BY130" s="73"/>
      <c r="BZ130" s="73"/>
      <c r="CA130" s="73"/>
      <c r="CB130" s="73"/>
      <c r="CC130" s="73"/>
      <c r="CD130" s="73"/>
      <c r="CE130" s="73"/>
    </row>
    <row r="131">
      <c r="A131" s="86" t="str">
        <f>IFERROR(__xludf.DUMMYFUNCTION("""COMPUTED_VALUE"""),"Boss Attack")</f>
        <v>Boss Attack</v>
      </c>
      <c r="B131" s="87">
        <f>IFERROR(__xludf.DUMMYFUNCTION("""COMPUTED_VALUE"""),0.0)</f>
        <v>0</v>
      </c>
      <c r="C131" s="73"/>
      <c r="D131" s="88">
        <f>IFERROR(__xludf.DUMMYFUNCTION("""COMPUTED_VALUE"""),30.0)</f>
        <v>30</v>
      </c>
      <c r="E131" s="73"/>
      <c r="F131" s="73"/>
      <c r="G131" s="73"/>
      <c r="H131" s="73"/>
      <c r="I131" s="73"/>
      <c r="J131" s="73"/>
      <c r="K131" s="92"/>
      <c r="L131" s="73"/>
      <c r="M131" s="73"/>
      <c r="N131" s="73"/>
      <c r="O131" s="73"/>
      <c r="P131" s="73"/>
      <c r="Q131" s="75"/>
      <c r="R131" s="82"/>
      <c r="S131" s="73"/>
      <c r="T131" s="73"/>
      <c r="U131" s="73"/>
      <c r="V131" s="73"/>
      <c r="W131" s="73"/>
      <c r="X131" s="73"/>
      <c r="Y131" s="77"/>
      <c r="Z131" s="104"/>
      <c r="AA131" s="73"/>
      <c r="AB131" s="104"/>
      <c r="AC131" s="104"/>
      <c r="AD131" s="74"/>
      <c r="AE131" s="106"/>
      <c r="AF131" s="195"/>
      <c r="AG131" s="80"/>
      <c r="AH131" s="104"/>
      <c r="AI131" s="73"/>
      <c r="AJ131" s="114"/>
      <c r="AK131" s="106"/>
      <c r="AL131" s="74"/>
      <c r="AM131" s="73"/>
      <c r="AN131" s="73"/>
      <c r="AO131" s="102"/>
      <c r="AP131" s="73"/>
      <c r="AQ131" s="73"/>
      <c r="AR131" s="74"/>
      <c r="AS131" s="73"/>
      <c r="AT131" s="73"/>
      <c r="AU131" s="73"/>
      <c r="AV131" s="73"/>
      <c r="AW131" s="73"/>
      <c r="AX131" s="74"/>
      <c r="AY131" s="73"/>
      <c r="AZ131" s="73"/>
      <c r="BA131" s="74"/>
      <c r="BB131" s="73"/>
      <c r="BC131" s="73"/>
      <c r="BD131" s="73"/>
      <c r="BE131" s="73"/>
      <c r="BF131" s="73"/>
      <c r="BG131" s="73"/>
      <c r="BH131" s="73"/>
      <c r="BI131" s="73"/>
      <c r="BJ131" s="73"/>
      <c r="BK131" s="73"/>
      <c r="BL131" s="73"/>
      <c r="BM131" s="73"/>
      <c r="BN131" s="73"/>
      <c r="BO131" s="73"/>
      <c r="BP131" s="73"/>
      <c r="BQ131" s="73"/>
      <c r="BR131" s="73"/>
      <c r="BS131" s="73"/>
      <c r="BT131" s="74"/>
      <c r="BU131" s="73"/>
      <c r="BV131" s="73"/>
      <c r="BW131" s="73"/>
      <c r="BX131" s="73"/>
      <c r="BY131" s="73"/>
      <c r="BZ131" s="73"/>
      <c r="CA131" s="73"/>
      <c r="CB131" s="73"/>
      <c r="CC131" s="73"/>
      <c r="CD131" s="73"/>
      <c r="CE131" s="73"/>
    </row>
    <row r="132">
      <c r="A132" s="86" t="str">
        <f>IFERROR(__xludf.DUMMYFUNCTION("""COMPUTED_VALUE"""),"Protector Health")</f>
        <v>Protector Health</v>
      </c>
      <c r="B132" s="87">
        <f>IFERROR(__xludf.DUMMYFUNCTION("""COMPUTED_VALUE"""),0.0)</f>
        <v>0</v>
      </c>
      <c r="C132" s="73"/>
      <c r="D132" s="88">
        <f>IFERROR(__xludf.DUMMYFUNCTION("""COMPUTED_VALUE"""),30.0)</f>
        <v>30</v>
      </c>
      <c r="E132" s="73"/>
      <c r="F132" s="73"/>
      <c r="G132" s="73"/>
      <c r="H132" s="73"/>
      <c r="I132" s="73"/>
      <c r="J132" s="73"/>
      <c r="K132" s="92"/>
      <c r="L132" s="73"/>
      <c r="M132" s="73"/>
      <c r="N132" s="73"/>
      <c r="O132" s="73"/>
      <c r="P132" s="73"/>
      <c r="Q132" s="75"/>
      <c r="R132" s="82"/>
      <c r="S132" s="73"/>
      <c r="T132" s="73"/>
      <c r="U132" s="73"/>
      <c r="V132" s="73"/>
      <c r="W132" s="73"/>
      <c r="X132" s="73"/>
      <c r="Y132" s="77"/>
      <c r="Z132" s="104"/>
      <c r="AA132" s="73"/>
      <c r="AB132" s="104"/>
      <c r="AC132" s="104"/>
      <c r="AD132" s="74"/>
      <c r="AE132" s="106"/>
      <c r="AF132" s="195"/>
      <c r="AG132" s="80"/>
      <c r="AH132" s="104"/>
      <c r="AI132" s="73"/>
      <c r="AJ132" s="114"/>
      <c r="AK132" s="106"/>
      <c r="AL132" s="74"/>
      <c r="AM132" s="73"/>
      <c r="AN132" s="73"/>
      <c r="AO132" s="102"/>
      <c r="AP132" s="73"/>
      <c r="AQ132" s="73"/>
      <c r="AR132" s="74"/>
      <c r="AS132" s="73"/>
      <c r="AT132" s="73"/>
      <c r="AU132" s="73"/>
      <c r="AV132" s="73"/>
      <c r="AW132" s="73"/>
      <c r="AX132" s="74"/>
      <c r="AY132" s="73"/>
      <c r="AZ132" s="73"/>
      <c r="BA132" s="74"/>
      <c r="BB132" s="73"/>
      <c r="BC132" s="73"/>
      <c r="BD132" s="73"/>
      <c r="BE132" s="73"/>
      <c r="BF132" s="73"/>
      <c r="BG132" s="73"/>
      <c r="BH132" s="73"/>
      <c r="BI132" s="73"/>
      <c r="BJ132" s="73"/>
      <c r="BK132" s="73"/>
      <c r="BL132" s="73"/>
      <c r="BM132" s="73"/>
      <c r="BN132" s="73"/>
      <c r="BO132" s="73"/>
      <c r="BP132" s="73"/>
      <c r="BQ132" s="73"/>
      <c r="BR132" s="73"/>
      <c r="BS132" s="73"/>
      <c r="BT132" s="74"/>
      <c r="BU132" s="73"/>
      <c r="BV132" s="73"/>
      <c r="BW132" s="73"/>
      <c r="BX132" s="73"/>
      <c r="BY132" s="73"/>
      <c r="BZ132" s="73"/>
      <c r="CA132" s="73"/>
      <c r="CB132" s="73"/>
      <c r="CC132" s="73"/>
      <c r="CD132" s="73"/>
      <c r="CE132" s="73"/>
    </row>
    <row r="133">
      <c r="A133" s="86" t="str">
        <f>IFERROR(__xludf.DUMMYFUNCTION("""COMPUTED_VALUE"""),"Protector Radius")</f>
        <v>Protector Radius</v>
      </c>
      <c r="B133" s="87">
        <f>IFERROR(__xludf.DUMMYFUNCTION("""COMPUTED_VALUE"""),0.0)</f>
        <v>0</v>
      </c>
      <c r="C133" s="73"/>
      <c r="D133" s="88">
        <f>IFERROR(__xludf.DUMMYFUNCTION("""COMPUTED_VALUE"""),30.0)</f>
        <v>30</v>
      </c>
      <c r="E133" s="73"/>
      <c r="F133" s="73"/>
      <c r="G133" s="73"/>
      <c r="H133" s="73"/>
      <c r="I133" s="73"/>
      <c r="J133" s="73"/>
      <c r="K133" s="92"/>
      <c r="L133" s="73"/>
      <c r="M133" s="73"/>
      <c r="N133" s="73"/>
      <c r="O133" s="73"/>
      <c r="P133" s="73"/>
      <c r="Q133" s="75"/>
      <c r="R133" s="82"/>
      <c r="S133" s="73"/>
      <c r="T133" s="73"/>
      <c r="U133" s="73"/>
      <c r="V133" s="73"/>
      <c r="W133" s="73"/>
      <c r="X133" s="73"/>
      <c r="Y133" s="77"/>
      <c r="Z133" s="104"/>
      <c r="AA133" s="73"/>
      <c r="AB133" s="104"/>
      <c r="AC133" s="104"/>
      <c r="AD133" s="74"/>
      <c r="AE133" s="106"/>
      <c r="AF133" s="195"/>
      <c r="AG133" s="80"/>
      <c r="AH133" s="104"/>
      <c r="AI133" s="73"/>
      <c r="AJ133" s="114"/>
      <c r="AK133" s="106"/>
      <c r="AL133" s="74"/>
      <c r="AM133" s="73"/>
      <c r="AN133" s="73"/>
      <c r="AO133" s="102"/>
      <c r="AP133" s="73"/>
      <c r="AQ133" s="73"/>
      <c r="AR133" s="74"/>
      <c r="AS133" s="73"/>
      <c r="AT133" s="73"/>
      <c r="AU133" s="73"/>
      <c r="AV133" s="73"/>
      <c r="AW133" s="73"/>
      <c r="AX133" s="74"/>
      <c r="AY133" s="73"/>
      <c r="AZ133" s="73"/>
      <c r="BA133" s="74"/>
      <c r="BB133" s="73"/>
      <c r="BC133" s="73"/>
      <c r="BD133" s="73"/>
      <c r="BE133" s="73"/>
      <c r="BF133" s="73"/>
      <c r="BG133" s="73"/>
      <c r="BH133" s="73"/>
      <c r="BI133" s="73"/>
      <c r="BJ133" s="73"/>
      <c r="BK133" s="73"/>
      <c r="BL133" s="73"/>
      <c r="BM133" s="73"/>
      <c r="BN133" s="73"/>
      <c r="BO133" s="73"/>
      <c r="BP133" s="73"/>
      <c r="BQ133" s="73"/>
      <c r="BR133" s="73"/>
      <c r="BS133" s="73"/>
      <c r="BT133" s="74"/>
      <c r="BU133" s="73"/>
      <c r="BV133" s="73"/>
      <c r="BW133" s="73"/>
      <c r="BX133" s="73"/>
      <c r="BY133" s="73"/>
      <c r="BZ133" s="73"/>
      <c r="CA133" s="73"/>
      <c r="CB133" s="73"/>
      <c r="CC133" s="73"/>
      <c r="CD133" s="73"/>
      <c r="CE133" s="73"/>
    </row>
    <row r="134">
      <c r="A134" s="86" t="str">
        <f>IFERROR(__xludf.DUMMYFUNCTION("""COMPUTED_VALUE"""),"Protector Damage Reduction")</f>
        <v>Protector Damage Reduction</v>
      </c>
      <c r="B134" s="87">
        <f>IFERROR(__xludf.DUMMYFUNCTION("""COMPUTED_VALUE"""),0.0)</f>
        <v>0</v>
      </c>
      <c r="C134" s="73"/>
      <c r="D134" s="88">
        <f>IFERROR(__xludf.DUMMYFUNCTION("""COMPUTED_VALUE"""),20.0)</f>
        <v>20</v>
      </c>
      <c r="E134" s="73"/>
      <c r="F134" s="73"/>
      <c r="G134" s="73"/>
      <c r="H134" s="73"/>
      <c r="I134" s="73"/>
      <c r="J134" s="73"/>
      <c r="K134" s="92"/>
      <c r="L134" s="73"/>
      <c r="M134" s="73"/>
      <c r="N134" s="73"/>
      <c r="O134" s="73"/>
      <c r="P134" s="73"/>
      <c r="Q134" s="75"/>
      <c r="R134" s="82"/>
      <c r="S134" s="73"/>
      <c r="T134" s="73"/>
      <c r="U134" s="73"/>
      <c r="V134" s="73"/>
      <c r="W134" s="73"/>
      <c r="X134" s="73"/>
      <c r="Y134" s="77"/>
      <c r="Z134" s="104"/>
      <c r="AA134" s="73"/>
      <c r="AB134" s="104"/>
      <c r="AC134" s="104"/>
      <c r="AD134" s="74"/>
      <c r="AE134" s="106"/>
      <c r="AF134" s="195"/>
      <c r="AG134" s="80"/>
      <c r="AH134" s="104"/>
      <c r="AI134" s="73"/>
      <c r="AJ134" s="114"/>
      <c r="AK134" s="106"/>
      <c r="AL134" s="74"/>
      <c r="AM134" s="73"/>
      <c r="AN134" s="73"/>
      <c r="AO134" s="102"/>
      <c r="AP134" s="73"/>
      <c r="AQ134" s="73"/>
      <c r="AR134" s="74"/>
      <c r="AS134" s="73"/>
      <c r="AT134" s="73"/>
      <c r="AU134" s="73"/>
      <c r="AV134" s="73"/>
      <c r="AW134" s="73"/>
      <c r="AX134" s="74"/>
      <c r="AY134" s="73"/>
      <c r="AZ134" s="73"/>
      <c r="BA134" s="74"/>
      <c r="BB134" s="73"/>
      <c r="BC134" s="73"/>
      <c r="BD134" s="73"/>
      <c r="BE134" s="73"/>
      <c r="BF134" s="73"/>
      <c r="BG134" s="73"/>
      <c r="BH134" s="73"/>
      <c r="BI134" s="73"/>
      <c r="BJ134" s="73"/>
      <c r="BK134" s="73"/>
      <c r="BL134" s="73"/>
      <c r="BM134" s="73"/>
      <c r="BN134" s="73"/>
      <c r="BO134" s="73"/>
      <c r="BP134" s="73"/>
      <c r="BQ134" s="73"/>
      <c r="BR134" s="73"/>
      <c r="BS134" s="73"/>
      <c r="BT134" s="74"/>
      <c r="BU134" s="73"/>
      <c r="BV134" s="73"/>
      <c r="BW134" s="73"/>
      <c r="BX134" s="73"/>
      <c r="BY134" s="73"/>
      <c r="BZ134" s="73"/>
      <c r="CA134" s="73"/>
      <c r="CB134" s="73"/>
      <c r="CC134" s="73"/>
      <c r="CD134" s="73"/>
      <c r="CE134" s="73"/>
    </row>
    <row r="135">
      <c r="A135" s="86" t="str">
        <f>IFERROR(__xludf.DUMMYFUNCTION("""COMPUTED_VALUE"""),"Ray Enemy Attack")</f>
        <v>Ray Enemy Attack</v>
      </c>
      <c r="B135" s="87">
        <f>IFERROR(__xludf.DUMMYFUNCTION("""COMPUTED_VALUE"""),0.0)</f>
        <v>0</v>
      </c>
      <c r="C135" s="73"/>
      <c r="D135" s="88">
        <f>IFERROR(__xludf.DUMMYFUNCTION("""COMPUTED_VALUE"""),30.0)</f>
        <v>30</v>
      </c>
      <c r="E135" s="73"/>
      <c r="F135" s="73"/>
      <c r="G135" s="73"/>
      <c r="H135" s="73"/>
      <c r="I135" s="73"/>
      <c r="J135" s="73"/>
      <c r="K135" s="92"/>
      <c r="L135" s="73"/>
      <c r="M135" s="73"/>
      <c r="N135" s="73"/>
      <c r="O135" s="73"/>
      <c r="P135" s="73"/>
      <c r="Q135" s="75"/>
      <c r="R135" s="82"/>
      <c r="S135" s="73"/>
      <c r="T135" s="73"/>
      <c r="U135" s="73"/>
      <c r="V135" s="73"/>
      <c r="W135" s="73"/>
      <c r="X135" s="73"/>
      <c r="Y135" s="77"/>
      <c r="Z135" s="104"/>
      <c r="AA135" s="73"/>
      <c r="AB135" s="104"/>
      <c r="AC135" s="104"/>
      <c r="AD135" s="74"/>
      <c r="AE135" s="106"/>
      <c r="AF135" s="195"/>
      <c r="AG135" s="80"/>
      <c r="AH135" s="104"/>
      <c r="AI135" s="73"/>
      <c r="AJ135" s="114"/>
      <c r="AK135" s="106"/>
      <c r="AL135" s="74"/>
      <c r="AM135" s="73"/>
      <c r="AN135" s="73"/>
      <c r="AO135" s="102"/>
      <c r="AP135" s="73"/>
      <c r="AQ135" s="73"/>
      <c r="AR135" s="74"/>
      <c r="AS135" s="73"/>
      <c r="AT135" s="73"/>
      <c r="AU135" s="73"/>
      <c r="AV135" s="73"/>
      <c r="AW135" s="73"/>
      <c r="AX135" s="74"/>
      <c r="AY135" s="73"/>
      <c r="AZ135" s="73"/>
      <c r="BA135" s="74"/>
      <c r="BB135" s="73"/>
      <c r="BC135" s="73"/>
      <c r="BD135" s="73"/>
      <c r="BE135" s="73"/>
      <c r="BF135" s="73"/>
      <c r="BG135" s="73"/>
      <c r="BH135" s="73"/>
      <c r="BI135" s="73"/>
      <c r="BJ135" s="73"/>
      <c r="BK135" s="73"/>
      <c r="BL135" s="73"/>
      <c r="BM135" s="73"/>
      <c r="BN135" s="73"/>
      <c r="BO135" s="73"/>
      <c r="BP135" s="73"/>
      <c r="BQ135" s="73"/>
      <c r="BR135" s="73"/>
      <c r="BS135" s="73"/>
      <c r="BT135" s="74"/>
      <c r="BU135" s="73"/>
      <c r="BV135" s="73"/>
      <c r="BW135" s="73"/>
      <c r="BX135" s="73"/>
      <c r="BY135" s="73"/>
      <c r="BZ135" s="73"/>
      <c r="CA135" s="73"/>
      <c r="CB135" s="73"/>
      <c r="CC135" s="73"/>
      <c r="CD135" s="73"/>
      <c r="CE135" s="73"/>
    </row>
    <row r="136">
      <c r="A136" s="86" t="str">
        <f>IFERROR(__xludf.DUMMYFUNCTION("""COMPUTED_VALUE"""),"Ray Enemy Health")</f>
        <v>Ray Enemy Health</v>
      </c>
      <c r="B136" s="87">
        <f>IFERROR(__xludf.DUMMYFUNCTION("""COMPUTED_VALUE"""),0.0)</f>
        <v>0</v>
      </c>
      <c r="C136" s="73"/>
      <c r="D136" s="88">
        <f>IFERROR(__xludf.DUMMYFUNCTION("""COMPUTED_VALUE"""),30.0)</f>
        <v>30</v>
      </c>
      <c r="E136" s="73"/>
      <c r="F136" s="73"/>
      <c r="G136" s="73"/>
      <c r="H136" s="73"/>
      <c r="I136" s="73"/>
      <c r="J136" s="73"/>
      <c r="K136" s="92"/>
      <c r="L136" s="73"/>
      <c r="M136" s="73"/>
      <c r="N136" s="73"/>
      <c r="O136" s="73"/>
      <c r="P136" s="73"/>
      <c r="Q136" s="75"/>
      <c r="R136" s="82"/>
      <c r="S136" s="73"/>
      <c r="T136" s="73"/>
      <c r="U136" s="73"/>
      <c r="V136" s="73"/>
      <c r="W136" s="73"/>
      <c r="X136" s="73"/>
      <c r="Y136" s="77"/>
      <c r="Z136" s="104"/>
      <c r="AA136" s="73"/>
      <c r="AB136" s="104"/>
      <c r="AC136" s="104"/>
      <c r="AD136" s="74"/>
      <c r="AE136" s="106"/>
      <c r="AF136" s="195"/>
      <c r="AG136" s="80"/>
      <c r="AH136" s="104"/>
      <c r="AI136" s="73"/>
      <c r="AJ136" s="114"/>
      <c r="AK136" s="106"/>
      <c r="AL136" s="74"/>
      <c r="AM136" s="73"/>
      <c r="AN136" s="73"/>
      <c r="AO136" s="102"/>
      <c r="AP136" s="73"/>
      <c r="AQ136" s="73"/>
      <c r="AR136" s="74"/>
      <c r="AS136" s="73"/>
      <c r="AT136" s="73"/>
      <c r="AU136" s="73"/>
      <c r="AV136" s="73"/>
      <c r="AW136" s="73"/>
      <c r="AX136" s="74"/>
      <c r="AY136" s="73"/>
      <c r="AZ136" s="73"/>
      <c r="BA136" s="74"/>
      <c r="BB136" s="73"/>
      <c r="BC136" s="73"/>
      <c r="BD136" s="73"/>
      <c r="BE136" s="73"/>
      <c r="BF136" s="73"/>
      <c r="BG136" s="73"/>
      <c r="BH136" s="73"/>
      <c r="BI136" s="73"/>
      <c r="BJ136" s="73"/>
      <c r="BK136" s="73"/>
      <c r="BL136" s="73"/>
      <c r="BM136" s="73"/>
      <c r="BN136" s="73"/>
      <c r="BO136" s="73"/>
      <c r="BP136" s="73"/>
      <c r="BQ136" s="73"/>
      <c r="BR136" s="73"/>
      <c r="BS136" s="73"/>
      <c r="BT136" s="74"/>
      <c r="BU136" s="73"/>
      <c r="BV136" s="73"/>
      <c r="BW136" s="73"/>
      <c r="BX136" s="73"/>
      <c r="BY136" s="73"/>
      <c r="BZ136" s="73"/>
      <c r="CA136" s="73"/>
      <c r="CB136" s="73"/>
      <c r="CC136" s="73"/>
      <c r="CD136" s="73"/>
      <c r="CE136" s="73"/>
    </row>
    <row r="137">
      <c r="A137" s="86" t="str">
        <f>IFERROR(__xludf.DUMMYFUNCTION("""COMPUTED_VALUE"""),"Vampire Enemy Attack")</f>
        <v>Vampire Enemy Attack</v>
      </c>
      <c r="B137" s="87">
        <f>IFERROR(__xludf.DUMMYFUNCTION("""COMPUTED_VALUE"""),0.0)</f>
        <v>0</v>
      </c>
      <c r="C137" s="73"/>
      <c r="D137" s="88">
        <f>IFERROR(__xludf.DUMMYFUNCTION("""COMPUTED_VALUE"""),30.0)</f>
        <v>30</v>
      </c>
      <c r="E137" s="73"/>
      <c r="F137" s="73"/>
      <c r="G137" s="73"/>
      <c r="H137" s="73"/>
      <c r="I137" s="73"/>
      <c r="J137" s="73"/>
      <c r="K137" s="92"/>
      <c r="L137" s="73"/>
      <c r="M137" s="73"/>
      <c r="N137" s="73"/>
      <c r="O137" s="73"/>
      <c r="P137" s="73"/>
      <c r="Q137" s="75"/>
      <c r="R137" s="82"/>
      <c r="S137" s="73"/>
      <c r="T137" s="73"/>
      <c r="U137" s="73"/>
      <c r="V137" s="73"/>
      <c r="W137" s="73"/>
      <c r="X137" s="73"/>
      <c r="Y137" s="77"/>
      <c r="Z137" s="104"/>
      <c r="AA137" s="73"/>
      <c r="AB137" s="104"/>
      <c r="AC137" s="104"/>
      <c r="AD137" s="74"/>
      <c r="AE137" s="106"/>
      <c r="AF137" s="195"/>
      <c r="AG137" s="80"/>
      <c r="AH137" s="104"/>
      <c r="AI137" s="73"/>
      <c r="AJ137" s="114"/>
      <c r="AK137" s="106"/>
      <c r="AL137" s="74"/>
      <c r="AM137" s="73"/>
      <c r="AN137" s="73"/>
      <c r="AO137" s="102"/>
      <c r="AP137" s="73"/>
      <c r="AQ137" s="73"/>
      <c r="AR137" s="74"/>
      <c r="AS137" s="73"/>
      <c r="AT137" s="73"/>
      <c r="AU137" s="73"/>
      <c r="AV137" s="73"/>
      <c r="AW137" s="73"/>
      <c r="AX137" s="74"/>
      <c r="AY137" s="73"/>
      <c r="AZ137" s="73"/>
      <c r="BA137" s="74"/>
      <c r="BB137" s="73"/>
      <c r="BC137" s="73"/>
      <c r="BD137" s="73"/>
      <c r="BE137" s="73"/>
      <c r="BF137" s="73"/>
      <c r="BG137" s="73"/>
      <c r="BH137" s="73"/>
      <c r="BI137" s="73"/>
      <c r="BJ137" s="73"/>
      <c r="BK137" s="73"/>
      <c r="BL137" s="73"/>
      <c r="BM137" s="73"/>
      <c r="BN137" s="73"/>
      <c r="BO137" s="73"/>
      <c r="BP137" s="73"/>
      <c r="BQ137" s="73"/>
      <c r="BR137" s="73"/>
      <c r="BS137" s="73"/>
      <c r="BT137" s="74"/>
      <c r="BU137" s="73"/>
      <c r="BV137" s="73"/>
      <c r="BW137" s="73"/>
      <c r="BX137" s="73"/>
      <c r="BY137" s="73"/>
      <c r="BZ137" s="73"/>
      <c r="CA137" s="73"/>
      <c r="CB137" s="73"/>
      <c r="CC137" s="73"/>
      <c r="CD137" s="73"/>
      <c r="CE137" s="73"/>
    </row>
    <row r="138">
      <c r="A138" s="86" t="str">
        <f>IFERROR(__xludf.DUMMYFUNCTION("""COMPUTED_VALUE"""),"Vampire Enemy Health")</f>
        <v>Vampire Enemy Health</v>
      </c>
      <c r="B138" s="87">
        <f>IFERROR(__xludf.DUMMYFUNCTION("""COMPUTED_VALUE"""),0.0)</f>
        <v>0</v>
      </c>
      <c r="C138" s="73"/>
      <c r="D138" s="88">
        <f>IFERROR(__xludf.DUMMYFUNCTION("""COMPUTED_VALUE"""),30.0)</f>
        <v>30</v>
      </c>
      <c r="E138" s="73"/>
      <c r="F138" s="73"/>
      <c r="G138" s="73"/>
      <c r="H138" s="73"/>
      <c r="I138" s="73"/>
      <c r="J138" s="73"/>
      <c r="K138" s="92"/>
      <c r="L138" s="73"/>
      <c r="M138" s="73"/>
      <c r="N138" s="73"/>
      <c r="O138" s="73"/>
      <c r="P138" s="73"/>
      <c r="Q138" s="75"/>
      <c r="R138" s="82"/>
      <c r="S138" s="73"/>
      <c r="T138" s="73"/>
      <c r="U138" s="73"/>
      <c r="V138" s="73"/>
      <c r="W138" s="73"/>
      <c r="X138" s="73"/>
      <c r="Y138" s="77"/>
      <c r="Z138" s="104"/>
      <c r="AA138" s="73"/>
      <c r="AB138" s="104"/>
      <c r="AC138" s="104"/>
      <c r="AD138" s="74"/>
      <c r="AE138" s="106"/>
      <c r="AF138" s="195"/>
      <c r="AG138" s="80"/>
      <c r="AH138" s="104"/>
      <c r="AI138" s="73"/>
      <c r="AJ138" s="114"/>
      <c r="AK138" s="106"/>
      <c r="AL138" s="74"/>
      <c r="AM138" s="73"/>
      <c r="AN138" s="73"/>
      <c r="AO138" s="102"/>
      <c r="AP138" s="73"/>
      <c r="AQ138" s="73"/>
      <c r="AR138" s="74"/>
      <c r="AS138" s="73"/>
      <c r="AT138" s="73"/>
      <c r="AU138" s="73"/>
      <c r="AV138" s="73"/>
      <c r="AW138" s="73"/>
      <c r="AX138" s="74"/>
      <c r="AY138" s="73"/>
      <c r="AZ138" s="73"/>
      <c r="BA138" s="74"/>
      <c r="BB138" s="73"/>
      <c r="BC138" s="73"/>
      <c r="BD138" s="73"/>
      <c r="BE138" s="73"/>
      <c r="BF138" s="73"/>
      <c r="BG138" s="73"/>
      <c r="BH138" s="73"/>
      <c r="BI138" s="73"/>
      <c r="BJ138" s="73"/>
      <c r="BK138" s="73"/>
      <c r="BL138" s="73"/>
      <c r="BM138" s="73"/>
      <c r="BN138" s="73"/>
      <c r="BO138" s="73"/>
      <c r="BP138" s="73"/>
      <c r="BQ138" s="73"/>
      <c r="BR138" s="73"/>
      <c r="BS138" s="73"/>
      <c r="BT138" s="74"/>
      <c r="BU138" s="73"/>
      <c r="BV138" s="73"/>
      <c r="BW138" s="73"/>
      <c r="BX138" s="73"/>
      <c r="BY138" s="73"/>
      <c r="BZ138" s="73"/>
      <c r="CA138" s="73"/>
      <c r="CB138" s="73"/>
      <c r="CC138" s="73"/>
      <c r="CD138" s="73"/>
      <c r="CE138" s="73"/>
    </row>
    <row r="139">
      <c r="A139" s="86" t="str">
        <f>IFERROR(__xludf.DUMMYFUNCTION("""COMPUTED_VALUE"""),"Scatter Enemy Attack")</f>
        <v>Scatter Enemy Attack</v>
      </c>
      <c r="B139" s="87">
        <f>IFERROR(__xludf.DUMMYFUNCTION("""COMPUTED_VALUE"""),0.0)</f>
        <v>0</v>
      </c>
      <c r="C139" s="73"/>
      <c r="D139" s="88">
        <f>IFERROR(__xludf.DUMMYFUNCTION("""COMPUTED_VALUE"""),30.0)</f>
        <v>30</v>
      </c>
      <c r="E139" s="73"/>
      <c r="F139" s="73"/>
      <c r="G139" s="73"/>
      <c r="H139" s="73"/>
      <c r="I139" s="73"/>
      <c r="J139" s="73"/>
      <c r="K139" s="92"/>
      <c r="L139" s="73"/>
      <c r="M139" s="73"/>
      <c r="N139" s="73"/>
      <c r="O139" s="73"/>
      <c r="P139" s="73"/>
      <c r="Q139" s="75"/>
      <c r="R139" s="82"/>
      <c r="S139" s="73"/>
      <c r="T139" s="73"/>
      <c r="U139" s="73"/>
      <c r="V139" s="73"/>
      <c r="W139" s="73"/>
      <c r="X139" s="73"/>
      <c r="Y139" s="77"/>
      <c r="Z139" s="104"/>
      <c r="AA139" s="73"/>
      <c r="AB139" s="104"/>
      <c r="AC139" s="104"/>
      <c r="AD139" s="74"/>
      <c r="AE139" s="106"/>
      <c r="AF139" s="195"/>
      <c r="AG139" s="80"/>
      <c r="AH139" s="104"/>
      <c r="AI139" s="73"/>
      <c r="AJ139" s="114"/>
      <c r="AK139" s="106"/>
      <c r="AL139" s="74"/>
      <c r="AM139" s="73"/>
      <c r="AN139" s="73"/>
      <c r="AO139" s="102"/>
      <c r="AP139" s="73"/>
      <c r="AQ139" s="73"/>
      <c r="AR139" s="74"/>
      <c r="AS139" s="73"/>
      <c r="AT139" s="73"/>
      <c r="AU139" s="73"/>
      <c r="AV139" s="73"/>
      <c r="AW139" s="73"/>
      <c r="AX139" s="74"/>
      <c r="AY139" s="73"/>
      <c r="AZ139" s="73"/>
      <c r="BA139" s="74"/>
      <c r="BB139" s="73"/>
      <c r="BC139" s="73"/>
      <c r="BD139" s="73"/>
      <c r="BE139" s="73"/>
      <c r="BF139" s="73"/>
      <c r="BG139" s="73"/>
      <c r="BH139" s="73"/>
      <c r="BI139" s="73"/>
      <c r="BJ139" s="73"/>
      <c r="BK139" s="73"/>
      <c r="BL139" s="73"/>
      <c r="BM139" s="73"/>
      <c r="BN139" s="73"/>
      <c r="BO139" s="73"/>
      <c r="BP139" s="73"/>
      <c r="BQ139" s="73"/>
      <c r="BR139" s="73"/>
      <c r="BS139" s="73"/>
      <c r="BT139" s="74"/>
      <c r="BU139" s="73"/>
      <c r="BV139" s="73"/>
      <c r="BW139" s="73"/>
      <c r="BX139" s="73"/>
      <c r="BY139" s="73"/>
      <c r="BZ139" s="73"/>
      <c r="CA139" s="73"/>
      <c r="CB139" s="73"/>
      <c r="CC139" s="73"/>
      <c r="CD139" s="73"/>
      <c r="CE139" s="73"/>
    </row>
    <row r="140">
      <c r="A140" s="86" t="str">
        <f>IFERROR(__xludf.DUMMYFUNCTION("""COMPUTED_VALUE"""),"Scatter Enemy Health")</f>
        <v>Scatter Enemy Health</v>
      </c>
      <c r="B140" s="87">
        <f>IFERROR(__xludf.DUMMYFUNCTION("""COMPUTED_VALUE"""),0.0)</f>
        <v>0</v>
      </c>
      <c r="C140" s="73"/>
      <c r="D140" s="88">
        <f>IFERROR(__xludf.DUMMYFUNCTION("""COMPUTED_VALUE"""),30.0)</f>
        <v>30</v>
      </c>
      <c r="E140" s="73"/>
      <c r="F140" s="73"/>
      <c r="G140" s="73"/>
      <c r="H140" s="73"/>
      <c r="I140" s="73"/>
      <c r="J140" s="73"/>
      <c r="K140" s="92"/>
      <c r="L140" s="73"/>
      <c r="M140" s="73"/>
      <c r="N140" s="73"/>
      <c r="O140" s="73"/>
      <c r="P140" s="73"/>
      <c r="Q140" s="75"/>
      <c r="R140" s="82"/>
      <c r="S140" s="73"/>
      <c r="T140" s="73"/>
      <c r="U140" s="73"/>
      <c r="V140" s="73"/>
      <c r="W140" s="73"/>
      <c r="X140" s="73"/>
      <c r="Y140" s="77"/>
      <c r="Z140" s="104"/>
      <c r="AA140" s="73"/>
      <c r="AB140" s="104"/>
      <c r="AC140" s="104"/>
      <c r="AD140" s="74"/>
      <c r="AE140" s="106"/>
      <c r="AF140" s="195"/>
      <c r="AG140" s="80"/>
      <c r="AH140" s="104"/>
      <c r="AI140" s="73"/>
      <c r="AJ140" s="114"/>
      <c r="AK140" s="106"/>
      <c r="AL140" s="74"/>
      <c r="AM140" s="73"/>
      <c r="AN140" s="73"/>
      <c r="AO140" s="102"/>
      <c r="AP140" s="73"/>
      <c r="AQ140" s="73"/>
      <c r="AR140" s="74"/>
      <c r="AS140" s="73"/>
      <c r="AT140" s="73"/>
      <c r="AU140" s="73"/>
      <c r="AV140" s="73"/>
      <c r="AW140" s="73"/>
      <c r="AX140" s="74"/>
      <c r="AY140" s="73"/>
      <c r="AZ140" s="73"/>
      <c r="BA140" s="74"/>
      <c r="BB140" s="73"/>
      <c r="BC140" s="73"/>
      <c r="BD140" s="73"/>
      <c r="BE140" s="73"/>
      <c r="BF140" s="73"/>
      <c r="BG140" s="73"/>
      <c r="BH140" s="73"/>
      <c r="BI140" s="73"/>
      <c r="BJ140" s="73"/>
      <c r="BK140" s="73"/>
      <c r="BL140" s="73"/>
      <c r="BM140" s="73"/>
      <c r="BN140" s="73"/>
      <c r="BO140" s="73"/>
      <c r="BP140" s="73"/>
      <c r="BQ140" s="73"/>
      <c r="BR140" s="73"/>
      <c r="BS140" s="73"/>
      <c r="BT140" s="74"/>
      <c r="BU140" s="73"/>
      <c r="BV140" s="73"/>
      <c r="BW140" s="73"/>
      <c r="BX140" s="73"/>
      <c r="BY140" s="73"/>
      <c r="BZ140" s="73"/>
      <c r="CA140" s="73"/>
      <c r="CB140" s="73"/>
      <c r="CC140" s="73"/>
      <c r="CD140" s="73"/>
      <c r="CE140" s="73"/>
    </row>
    <row r="141">
      <c r="A141" s="86" t="str">
        <f>IFERROR(__xludf.DUMMYFUNCTION("""COMPUTED_VALUE"""),"Ranged Enemy Range")</f>
        <v>Ranged Enemy Range</v>
      </c>
      <c r="B141" s="87">
        <f>IFERROR(__xludf.DUMMYFUNCTION("""COMPUTED_VALUE"""),0.0)</f>
        <v>0</v>
      </c>
      <c r="C141" s="73"/>
      <c r="D141" s="88">
        <f>IFERROR(__xludf.DUMMYFUNCTION("""COMPUTED_VALUE"""),30.0)</f>
        <v>30</v>
      </c>
      <c r="E141" s="73"/>
      <c r="F141" s="73"/>
      <c r="G141" s="73"/>
      <c r="H141" s="73"/>
      <c r="I141" s="73"/>
      <c r="J141" s="73"/>
      <c r="K141" s="92"/>
      <c r="L141" s="73"/>
      <c r="M141" s="73"/>
      <c r="N141" s="73"/>
      <c r="O141" s="73"/>
      <c r="P141" s="73"/>
      <c r="Q141" s="75"/>
      <c r="R141" s="82"/>
      <c r="S141" s="73"/>
      <c r="T141" s="73"/>
      <c r="U141" s="73"/>
      <c r="V141" s="73"/>
      <c r="W141" s="73"/>
      <c r="X141" s="73"/>
      <c r="Y141" s="77"/>
      <c r="Z141" s="104"/>
      <c r="AA141" s="73"/>
      <c r="AB141" s="104"/>
      <c r="AC141" s="104"/>
      <c r="AD141" s="74"/>
      <c r="AE141" s="106"/>
      <c r="AF141" s="195"/>
      <c r="AG141" s="80"/>
      <c r="AH141" s="104"/>
      <c r="AI141" s="73"/>
      <c r="AJ141" s="114"/>
      <c r="AK141" s="106"/>
      <c r="AL141" s="74"/>
      <c r="AM141" s="73"/>
      <c r="AN141" s="73"/>
      <c r="AO141" s="102"/>
      <c r="AP141" s="73"/>
      <c r="AQ141" s="73"/>
      <c r="AR141" s="74"/>
      <c r="AS141" s="73"/>
      <c r="AT141" s="73"/>
      <c r="AU141" s="73"/>
      <c r="AV141" s="73"/>
      <c r="AW141" s="73"/>
      <c r="AX141" s="74"/>
      <c r="AY141" s="73"/>
      <c r="AZ141" s="73"/>
      <c r="BA141" s="74"/>
      <c r="BB141" s="73"/>
      <c r="BC141" s="73"/>
      <c r="BD141" s="73"/>
      <c r="BE141" s="73"/>
      <c r="BF141" s="73"/>
      <c r="BG141" s="73"/>
      <c r="BH141" s="73"/>
      <c r="BI141" s="73"/>
      <c r="BJ141" s="73"/>
      <c r="BK141" s="73"/>
      <c r="BL141" s="73"/>
      <c r="BM141" s="73"/>
      <c r="BN141" s="73"/>
      <c r="BO141" s="73"/>
      <c r="BP141" s="73"/>
      <c r="BQ141" s="73"/>
      <c r="BR141" s="73"/>
      <c r="BS141" s="73"/>
      <c r="BT141" s="74"/>
      <c r="BU141" s="73"/>
      <c r="BV141" s="73"/>
      <c r="BW141" s="73"/>
      <c r="BX141" s="73"/>
      <c r="BY141" s="73"/>
      <c r="BZ141" s="73"/>
      <c r="CA141" s="73"/>
      <c r="CB141" s="73"/>
      <c r="CC141" s="73"/>
      <c r="CD141" s="73"/>
      <c r="CE141" s="73"/>
    </row>
    <row r="142">
      <c r="A142" s="86" t="str">
        <f>IFERROR(__xludf.DUMMYFUNCTION("""COMPUTED_VALUE"""),"Common Drop Chance")</f>
        <v>Common Drop Chance</v>
      </c>
      <c r="B142" s="87">
        <f>IFERROR(__xludf.DUMMYFUNCTION("""COMPUTED_VALUE"""),10.0)</f>
        <v>10</v>
      </c>
      <c r="C142" s="73"/>
      <c r="D142" s="88">
        <f>IFERROR(__xludf.DUMMYFUNCTION("""COMPUTED_VALUE"""),10.0)</f>
        <v>10</v>
      </c>
      <c r="E142" s="73"/>
      <c r="F142" s="73"/>
      <c r="G142" s="73"/>
      <c r="H142" s="73"/>
      <c r="I142" s="73"/>
      <c r="J142" s="73"/>
      <c r="K142" s="92"/>
      <c r="L142" s="73"/>
      <c r="M142" s="73"/>
      <c r="N142" s="73"/>
      <c r="O142" s="73"/>
      <c r="P142" s="73"/>
      <c r="Q142" s="75"/>
      <c r="R142" s="82"/>
      <c r="S142" s="73"/>
      <c r="T142" s="73"/>
      <c r="U142" s="73"/>
      <c r="V142" s="73"/>
      <c r="W142" s="73"/>
      <c r="X142" s="73"/>
      <c r="Y142" s="77"/>
      <c r="Z142" s="104"/>
      <c r="AA142" s="73"/>
      <c r="AB142" s="104"/>
      <c r="AC142" s="104"/>
      <c r="AD142" s="74"/>
      <c r="AE142" s="106"/>
      <c r="AF142" s="195"/>
      <c r="AG142" s="80"/>
      <c r="AH142" s="104"/>
      <c r="AI142" s="73"/>
      <c r="AJ142" s="114"/>
      <c r="AK142" s="106"/>
      <c r="AL142" s="74"/>
      <c r="AM142" s="73"/>
      <c r="AN142" s="73"/>
      <c r="AO142" s="102"/>
      <c r="AP142" s="73"/>
      <c r="AQ142" s="73"/>
      <c r="AR142" s="74"/>
      <c r="AS142" s="73"/>
      <c r="AT142" s="73"/>
      <c r="AU142" s="73"/>
      <c r="AV142" s="73"/>
      <c r="AW142" s="73"/>
      <c r="AX142" s="74"/>
      <c r="AY142" s="73"/>
      <c r="AZ142" s="73"/>
      <c r="BA142" s="74"/>
      <c r="BB142" s="73"/>
      <c r="BC142" s="73"/>
      <c r="BD142" s="73"/>
      <c r="BE142" s="73"/>
      <c r="BF142" s="73"/>
      <c r="BG142" s="73"/>
      <c r="BH142" s="73"/>
      <c r="BI142" s="73"/>
      <c r="BJ142" s="73"/>
      <c r="BK142" s="73"/>
      <c r="BL142" s="73"/>
      <c r="BM142" s="73"/>
      <c r="BN142" s="73"/>
      <c r="BO142" s="73"/>
      <c r="BP142" s="73"/>
      <c r="BQ142" s="73"/>
      <c r="BR142" s="73"/>
      <c r="BS142" s="73"/>
      <c r="BT142" s="74"/>
      <c r="BU142" s="73"/>
      <c r="BV142" s="73"/>
      <c r="BW142" s="73"/>
      <c r="BX142" s="73"/>
      <c r="BY142" s="73"/>
      <c r="BZ142" s="73"/>
      <c r="CA142" s="73"/>
      <c r="CB142" s="73"/>
      <c r="CC142" s="73"/>
      <c r="CD142" s="73"/>
      <c r="CE142" s="73"/>
    </row>
    <row r="143">
      <c r="A143" s="86" t="str">
        <f>IFERROR(__xludf.DUMMYFUNCTION("""COMPUTED_VALUE"""),"Reroll Shards")</f>
        <v>Reroll Shards</v>
      </c>
      <c r="B143" s="87">
        <f>IFERROR(__xludf.DUMMYFUNCTION("""COMPUTED_VALUE"""),100.0)</f>
        <v>100</v>
      </c>
      <c r="C143" s="73">
        <f>IFERROR(__xludf.DUMMYFUNCTION("""COMPUTED_VALUE"""),100.0)</f>
        <v>100</v>
      </c>
      <c r="D143" s="88">
        <f>IFERROR(__xludf.DUMMYFUNCTION("""COMPUTED_VALUE"""),100.0)</f>
        <v>100</v>
      </c>
      <c r="E143" s="73"/>
      <c r="F143" s="73"/>
      <c r="G143" s="73"/>
      <c r="H143" s="73"/>
      <c r="I143" s="73"/>
      <c r="J143" s="73"/>
      <c r="K143" s="92"/>
      <c r="L143" s="73"/>
      <c r="M143" s="73"/>
      <c r="N143" s="73"/>
      <c r="O143" s="73"/>
      <c r="P143" s="73"/>
      <c r="Q143" s="75"/>
      <c r="R143" s="82"/>
      <c r="S143" s="73"/>
      <c r="T143" s="73"/>
      <c r="U143" s="73"/>
      <c r="V143" s="73"/>
      <c r="W143" s="73"/>
      <c r="X143" s="73"/>
      <c r="Y143" s="77"/>
      <c r="Z143" s="104"/>
      <c r="AA143" s="73"/>
      <c r="AB143" s="104"/>
      <c r="AC143" s="104"/>
      <c r="AD143" s="74"/>
      <c r="AE143" s="106"/>
      <c r="AF143" s="195"/>
      <c r="AG143" s="80"/>
      <c r="AH143" s="104"/>
      <c r="AI143" s="73"/>
      <c r="AJ143" s="114"/>
      <c r="AK143" s="106"/>
      <c r="AL143" s="74"/>
      <c r="AM143" s="73"/>
      <c r="AN143" s="73"/>
      <c r="AO143" s="102"/>
      <c r="AP143" s="73"/>
      <c r="AQ143" s="73"/>
      <c r="AR143" s="74"/>
      <c r="AS143" s="73"/>
      <c r="AT143" s="73"/>
      <c r="AU143" s="73"/>
      <c r="AV143" s="73"/>
      <c r="AW143" s="73"/>
      <c r="AX143" s="74"/>
      <c r="AY143" s="73"/>
      <c r="AZ143" s="73"/>
      <c r="BA143" s="74"/>
      <c r="BB143" s="73"/>
      <c r="BC143" s="73"/>
      <c r="BD143" s="73"/>
      <c r="BE143" s="73"/>
      <c r="BF143" s="73"/>
      <c r="BG143" s="73"/>
      <c r="BH143" s="73"/>
      <c r="BI143" s="73"/>
      <c r="BJ143" s="73"/>
      <c r="BK143" s="73"/>
      <c r="BL143" s="73"/>
      <c r="BM143" s="73"/>
      <c r="BN143" s="73"/>
      <c r="BO143" s="73"/>
      <c r="BP143" s="73"/>
      <c r="BQ143" s="73"/>
      <c r="BR143" s="73"/>
      <c r="BS143" s="73"/>
      <c r="BT143" s="74"/>
      <c r="BU143" s="73"/>
      <c r="BV143" s="73"/>
      <c r="BW143" s="73"/>
      <c r="BX143" s="73"/>
      <c r="BY143" s="73"/>
      <c r="BZ143" s="73"/>
      <c r="CA143" s="73"/>
      <c r="CB143" s="73"/>
      <c r="CC143" s="73"/>
      <c r="CD143" s="73"/>
      <c r="CE143" s="73"/>
    </row>
    <row r="144">
      <c r="A144" s="86" t="str">
        <f>IFERROR(__xludf.DUMMYFUNCTION("""COMPUTED_VALUE"""),"Daily Mission Shards")</f>
        <v>Daily Mission Shards</v>
      </c>
      <c r="B144" s="87">
        <f>IFERROR(__xludf.DUMMYFUNCTION("""COMPUTED_VALUE"""),50.0)</f>
        <v>50</v>
      </c>
      <c r="C144" s="73">
        <f>IFERROR(__xludf.DUMMYFUNCTION("""COMPUTED_VALUE"""),50.0)</f>
        <v>50</v>
      </c>
      <c r="D144" s="88">
        <f>IFERROR(__xludf.DUMMYFUNCTION("""COMPUTED_VALUE"""),50.0)</f>
        <v>50</v>
      </c>
      <c r="E144" s="73"/>
      <c r="F144" s="73"/>
      <c r="G144" s="73"/>
      <c r="H144" s="73"/>
      <c r="I144" s="73"/>
      <c r="J144" s="73"/>
      <c r="K144" s="92"/>
      <c r="L144" s="73"/>
      <c r="M144" s="73"/>
      <c r="N144" s="73"/>
      <c r="O144" s="73"/>
      <c r="P144" s="73"/>
      <c r="Q144" s="75"/>
      <c r="R144" s="82"/>
      <c r="S144" s="73"/>
      <c r="T144" s="73"/>
      <c r="U144" s="73"/>
      <c r="V144" s="73"/>
      <c r="W144" s="73"/>
      <c r="X144" s="73"/>
      <c r="Y144" s="77"/>
      <c r="Z144" s="104"/>
      <c r="AA144" s="73"/>
      <c r="AB144" s="104"/>
      <c r="AC144" s="104"/>
      <c r="AD144" s="74"/>
      <c r="AE144" s="106"/>
      <c r="AF144" s="195"/>
      <c r="AG144" s="80"/>
      <c r="AH144" s="104"/>
      <c r="AI144" s="73"/>
      <c r="AJ144" s="114"/>
      <c r="AK144" s="106"/>
      <c r="AL144" s="74"/>
      <c r="AM144" s="73"/>
      <c r="AN144" s="73"/>
      <c r="AO144" s="102"/>
      <c r="AP144" s="73"/>
      <c r="AQ144" s="73"/>
      <c r="AR144" s="74"/>
      <c r="AS144" s="73"/>
      <c r="AT144" s="73"/>
      <c r="AU144" s="73"/>
      <c r="AV144" s="73"/>
      <c r="AW144" s="73"/>
      <c r="AX144" s="74"/>
      <c r="AY144" s="73"/>
      <c r="AZ144" s="73"/>
      <c r="BA144" s="74"/>
      <c r="BB144" s="73"/>
      <c r="BC144" s="73"/>
      <c r="BD144" s="73"/>
      <c r="BE144" s="73"/>
      <c r="BF144" s="73"/>
      <c r="BG144" s="73"/>
      <c r="BH144" s="73"/>
      <c r="BI144" s="73"/>
      <c r="BJ144" s="73"/>
      <c r="BK144" s="73"/>
      <c r="BL144" s="73"/>
      <c r="BM144" s="73"/>
      <c r="BN144" s="73"/>
      <c r="BO144" s="73"/>
      <c r="BP144" s="73"/>
      <c r="BQ144" s="73"/>
      <c r="BR144" s="73"/>
      <c r="BS144" s="73"/>
      <c r="BT144" s="74"/>
      <c r="BU144" s="73"/>
      <c r="BV144" s="73"/>
      <c r="BW144" s="73"/>
      <c r="BX144" s="73"/>
      <c r="BY144" s="73"/>
      <c r="BZ144" s="73"/>
      <c r="CA144" s="73"/>
      <c r="CB144" s="73"/>
      <c r="CC144" s="73"/>
      <c r="CD144" s="73"/>
      <c r="CE144" s="73"/>
    </row>
    <row r="145">
      <c r="A145" s="136" t="str">
        <f>IFERROR(__xludf.DUMMYFUNCTION("""COMPUTED_VALUE"""),"Module Shards Cost")</f>
        <v>Module Shards Cost</v>
      </c>
      <c r="B145" s="87">
        <f>IFERROR(__xludf.DUMMYFUNCTION("""COMPUTED_VALUE"""),30.0)</f>
        <v>30</v>
      </c>
      <c r="C145" s="73"/>
      <c r="D145" s="88">
        <f>IFERROR(__xludf.DUMMYFUNCTION("""COMPUTED_VALUE"""),30.0)</f>
        <v>30</v>
      </c>
      <c r="E145" s="73"/>
      <c r="F145" s="73"/>
      <c r="G145" s="73"/>
      <c r="H145" s="73"/>
      <c r="I145" s="73"/>
      <c r="J145" s="73"/>
      <c r="K145" s="92"/>
      <c r="L145" s="73"/>
      <c r="M145" s="73"/>
      <c r="N145" s="73"/>
      <c r="O145" s="73"/>
      <c r="P145" s="73"/>
      <c r="Q145" s="75"/>
      <c r="R145" s="82"/>
      <c r="S145" s="73"/>
      <c r="T145" s="73"/>
      <c r="U145" s="73"/>
      <c r="V145" s="73"/>
      <c r="W145" s="73"/>
      <c r="X145" s="73"/>
      <c r="Y145" s="77"/>
      <c r="Z145" s="104"/>
      <c r="AA145" s="73"/>
      <c r="AB145" s="104"/>
      <c r="AC145" s="104"/>
      <c r="AD145" s="74"/>
      <c r="AE145" s="106"/>
      <c r="AF145" s="195"/>
      <c r="AG145" s="80"/>
      <c r="AH145" s="104"/>
      <c r="AI145" s="73"/>
      <c r="AJ145" s="114"/>
      <c r="AK145" s="106"/>
      <c r="AL145" s="74"/>
      <c r="AM145" s="73"/>
      <c r="AN145" s="73"/>
      <c r="AO145" s="102"/>
      <c r="AP145" s="73"/>
      <c r="AQ145" s="73"/>
      <c r="AR145" s="74"/>
      <c r="AS145" s="73"/>
      <c r="AT145" s="73"/>
      <c r="AU145" s="73"/>
      <c r="AV145" s="73"/>
      <c r="AW145" s="73"/>
      <c r="AX145" s="74"/>
      <c r="AY145" s="73"/>
      <c r="AZ145" s="73"/>
      <c r="BA145" s="74"/>
      <c r="BB145" s="73"/>
      <c r="BC145" s="73"/>
      <c r="BD145" s="73"/>
      <c r="BE145" s="73"/>
      <c r="BF145" s="73"/>
      <c r="BG145" s="73"/>
      <c r="BH145" s="73"/>
      <c r="BI145" s="73"/>
      <c r="BJ145" s="73"/>
      <c r="BK145" s="73"/>
      <c r="BL145" s="73"/>
      <c r="BM145" s="73"/>
      <c r="BN145" s="73"/>
      <c r="BO145" s="73"/>
      <c r="BP145" s="73"/>
      <c r="BQ145" s="73"/>
      <c r="BR145" s="73"/>
      <c r="BS145" s="73"/>
      <c r="BT145" s="74"/>
      <c r="BU145" s="73"/>
      <c r="BV145" s="73"/>
      <c r="BW145" s="73"/>
      <c r="BX145" s="73"/>
      <c r="BY145" s="73"/>
      <c r="BZ145" s="73"/>
      <c r="CA145" s="73"/>
      <c r="CB145" s="73"/>
      <c r="CC145" s="73"/>
      <c r="CD145" s="73"/>
      <c r="CE145" s="73"/>
    </row>
    <row r="146">
      <c r="A146" s="136" t="str">
        <f>IFERROR(__xludf.DUMMYFUNCTION("""COMPUTED_VALUE"""),"Module Coin Cost")</f>
        <v>Module Coin Cost</v>
      </c>
      <c r="B146" s="87">
        <f>IFERROR(__xludf.DUMMYFUNCTION("""COMPUTED_VALUE"""),23.0)</f>
        <v>23</v>
      </c>
      <c r="C146" s="73"/>
      <c r="D146" s="88">
        <f>IFERROR(__xludf.DUMMYFUNCTION("""COMPUTED_VALUE"""),30.0)</f>
        <v>30</v>
      </c>
      <c r="E146" s="73"/>
      <c r="F146" s="73"/>
      <c r="G146" s="73"/>
      <c r="H146" s="73"/>
      <c r="I146" s="73"/>
      <c r="J146" s="73"/>
      <c r="K146" s="92"/>
      <c r="L146" s="73"/>
      <c r="M146" s="73"/>
      <c r="N146" s="73"/>
      <c r="O146" s="73"/>
      <c r="P146" s="73"/>
      <c r="Q146" s="75"/>
      <c r="R146" s="82"/>
      <c r="S146" s="73"/>
      <c r="T146" s="73"/>
      <c r="U146" s="73"/>
      <c r="V146" s="73"/>
      <c r="W146" s="73"/>
      <c r="X146" s="73"/>
      <c r="Y146" s="77"/>
      <c r="Z146" s="104"/>
      <c r="AA146" s="73"/>
      <c r="AB146" s="104"/>
      <c r="AC146" s="104"/>
      <c r="AD146" s="74"/>
      <c r="AE146" s="106"/>
      <c r="AF146" s="195"/>
      <c r="AG146" s="80"/>
      <c r="AH146" s="104"/>
      <c r="AI146" s="73"/>
      <c r="AJ146" s="114"/>
      <c r="AK146" s="106"/>
      <c r="AL146" s="74"/>
      <c r="AM146" s="73"/>
      <c r="AN146" s="73"/>
      <c r="AO146" s="102"/>
      <c r="AP146" s="73"/>
      <c r="AQ146" s="73"/>
      <c r="AR146" s="74"/>
      <c r="AS146" s="73"/>
      <c r="AT146" s="73"/>
      <c r="AU146" s="73"/>
      <c r="AV146" s="73"/>
      <c r="AW146" s="73"/>
      <c r="AX146" s="74"/>
      <c r="AY146" s="73"/>
      <c r="AZ146" s="73"/>
      <c r="BA146" s="74"/>
      <c r="BB146" s="73"/>
      <c r="BC146" s="73"/>
      <c r="BD146" s="73"/>
      <c r="BE146" s="73"/>
      <c r="BF146" s="73"/>
      <c r="BG146" s="73"/>
      <c r="BH146" s="73"/>
      <c r="BI146" s="73"/>
      <c r="BJ146" s="73"/>
      <c r="BK146" s="73"/>
      <c r="BL146" s="73"/>
      <c r="BM146" s="73"/>
      <c r="BN146" s="73"/>
      <c r="BO146" s="73"/>
      <c r="BP146" s="73"/>
      <c r="BQ146" s="73"/>
      <c r="BR146" s="73"/>
      <c r="BS146" s="73"/>
      <c r="BT146" s="74"/>
      <c r="BU146" s="73"/>
      <c r="BV146" s="73"/>
      <c r="BW146" s="73"/>
      <c r="BX146" s="73"/>
      <c r="BY146" s="73"/>
      <c r="BZ146" s="73"/>
      <c r="CA146" s="73"/>
      <c r="CB146" s="73"/>
      <c r="CC146" s="73"/>
      <c r="CD146" s="73"/>
      <c r="CE146" s="73"/>
    </row>
    <row r="147">
      <c r="A147" s="136" t="str">
        <f>IFERROR(__xludf.DUMMYFUNCTION("""COMPUTED_VALUE"""),"Rare Drop Chance")</f>
        <v>Rare Drop Chance</v>
      </c>
      <c r="B147" s="87">
        <f>IFERROR(__xludf.DUMMYFUNCTION("""COMPUTED_VALUE"""),10.0)</f>
        <v>10</v>
      </c>
      <c r="C147" s="73">
        <f>IFERROR(__xludf.DUMMYFUNCTION("""COMPUTED_VALUE"""),10.0)</f>
        <v>10</v>
      </c>
      <c r="D147" s="88">
        <f>IFERROR(__xludf.DUMMYFUNCTION("""COMPUTED_VALUE"""),10.0)</f>
        <v>10</v>
      </c>
      <c r="E147" s="73"/>
      <c r="F147" s="73"/>
      <c r="G147" s="73"/>
      <c r="H147" s="73"/>
      <c r="I147" s="73"/>
      <c r="J147" s="73"/>
      <c r="K147" s="92"/>
      <c r="L147" s="73"/>
      <c r="M147" s="73"/>
      <c r="N147" s="73"/>
      <c r="O147" s="73"/>
      <c r="P147" s="73"/>
      <c r="Q147" s="75"/>
      <c r="R147" s="82"/>
      <c r="S147" s="73"/>
      <c r="T147" s="73"/>
      <c r="U147" s="73"/>
      <c r="V147" s="73"/>
      <c r="W147" s="73"/>
      <c r="X147" s="73"/>
      <c r="Y147" s="77"/>
      <c r="Z147" s="104"/>
      <c r="AA147" s="73"/>
      <c r="AB147" s="104"/>
      <c r="AC147" s="104"/>
      <c r="AD147" s="74"/>
      <c r="AE147" s="106"/>
      <c r="AF147" s="195"/>
      <c r="AG147" s="80"/>
      <c r="AH147" s="104"/>
      <c r="AI147" s="73"/>
      <c r="AJ147" s="114"/>
      <c r="AK147" s="106"/>
      <c r="AL147" s="74"/>
      <c r="AM147" s="73"/>
      <c r="AN147" s="73"/>
      <c r="AO147" s="102"/>
      <c r="AP147" s="73"/>
      <c r="AQ147" s="73"/>
      <c r="AR147" s="74"/>
      <c r="AS147" s="73"/>
      <c r="AT147" s="73"/>
      <c r="AU147" s="73"/>
      <c r="AV147" s="73"/>
      <c r="AW147" s="73"/>
      <c r="AX147" s="74"/>
      <c r="AY147" s="73"/>
      <c r="AZ147" s="73"/>
      <c r="BA147" s="74"/>
      <c r="BB147" s="73"/>
      <c r="BC147" s="73"/>
      <c r="BD147" s="73"/>
      <c r="BE147" s="73"/>
      <c r="BF147" s="73"/>
      <c r="BG147" s="73"/>
      <c r="BH147" s="73"/>
      <c r="BI147" s="73"/>
      <c r="BJ147" s="73"/>
      <c r="BK147" s="73"/>
      <c r="BL147" s="73"/>
      <c r="BM147" s="73"/>
      <c r="BN147" s="73"/>
      <c r="BO147" s="73"/>
      <c r="BP147" s="73"/>
      <c r="BQ147" s="73"/>
      <c r="BR147" s="73"/>
      <c r="BS147" s="73"/>
      <c r="BT147" s="74"/>
      <c r="BU147" s="73"/>
      <c r="BV147" s="73"/>
      <c r="BW147" s="73"/>
      <c r="BX147" s="73"/>
      <c r="BY147" s="73"/>
      <c r="BZ147" s="73"/>
      <c r="CA147" s="73"/>
      <c r="CB147" s="73"/>
      <c r="CC147" s="73"/>
      <c r="CD147" s="73"/>
      <c r="CE147" s="73"/>
    </row>
    <row r="148">
      <c r="A148" s="136" t="str">
        <f>IFERROR(__xludf.DUMMYFUNCTION("""COMPUTED_VALUE"""),"Unmerge Module")</f>
        <v>Unmerge Module</v>
      </c>
      <c r="B148" s="87">
        <f>IFERROR(__xludf.DUMMYFUNCTION("""COMPUTED_VALUE"""),1.0)</f>
        <v>1</v>
      </c>
      <c r="C148" s="73"/>
      <c r="D148" s="88">
        <f>IFERROR(__xludf.DUMMYFUNCTION("""COMPUTED_VALUE"""),1.0)</f>
        <v>1</v>
      </c>
      <c r="E148" s="73"/>
      <c r="F148" s="73"/>
      <c r="G148" s="73"/>
      <c r="H148" s="73"/>
      <c r="I148" s="73"/>
      <c r="J148" s="73"/>
      <c r="K148" s="92"/>
      <c r="L148" s="73"/>
      <c r="M148" s="73"/>
      <c r="N148" s="73"/>
      <c r="O148" s="73"/>
      <c r="P148" s="73"/>
      <c r="Q148" s="75"/>
      <c r="R148" s="82"/>
      <c r="S148" s="73"/>
      <c r="T148" s="73"/>
      <c r="U148" s="73"/>
      <c r="V148" s="73"/>
      <c r="W148" s="73"/>
      <c r="X148" s="73"/>
      <c r="Y148" s="77"/>
      <c r="Z148" s="104"/>
      <c r="AA148" s="73"/>
      <c r="AB148" s="104"/>
      <c r="AC148" s="104"/>
      <c r="AD148" s="74"/>
      <c r="AE148" s="106"/>
      <c r="AF148" s="195"/>
      <c r="AG148" s="80"/>
      <c r="AH148" s="104"/>
      <c r="AI148" s="73"/>
      <c r="AJ148" s="114"/>
      <c r="AK148" s="106"/>
      <c r="AL148" s="74"/>
      <c r="AM148" s="73"/>
      <c r="AN148" s="73"/>
      <c r="AO148" s="102"/>
      <c r="AP148" s="73"/>
      <c r="AQ148" s="73"/>
      <c r="AR148" s="74"/>
      <c r="AS148" s="73"/>
      <c r="AT148" s="73"/>
      <c r="AU148" s="73"/>
      <c r="AV148" s="73"/>
      <c r="AW148" s="73"/>
      <c r="AX148" s="74"/>
      <c r="AY148" s="73"/>
      <c r="AZ148" s="73"/>
      <c r="BA148" s="74"/>
      <c r="BB148" s="73"/>
      <c r="BC148" s="73"/>
      <c r="BD148" s="73"/>
      <c r="BE148" s="73"/>
      <c r="BF148" s="73"/>
      <c r="BG148" s="73"/>
      <c r="BH148" s="73"/>
      <c r="BI148" s="73"/>
      <c r="BJ148" s="73"/>
      <c r="BK148" s="73"/>
      <c r="BL148" s="73"/>
      <c r="BM148" s="73"/>
      <c r="BN148" s="73"/>
      <c r="BO148" s="73"/>
      <c r="BP148" s="73"/>
      <c r="BQ148" s="73"/>
      <c r="BR148" s="73"/>
      <c r="BS148" s="73"/>
      <c r="BT148" s="74"/>
      <c r="BU148" s="73"/>
      <c r="BV148" s="73"/>
      <c r="BW148" s="73"/>
      <c r="BX148" s="73"/>
      <c r="BY148" s="73"/>
      <c r="BZ148" s="73"/>
      <c r="CA148" s="73"/>
      <c r="CB148" s="73"/>
      <c r="CC148" s="73"/>
      <c r="CD148" s="73"/>
      <c r="CE148" s="73"/>
    </row>
    <row r="149">
      <c r="A149" s="136" t="str">
        <f>IFERROR(__xludf.DUMMYFUNCTION("""COMPUTED_VALUE"""),"Shatter Shards")</f>
        <v>Shatter Shards</v>
      </c>
      <c r="B149" s="87">
        <f>IFERROR(__xludf.DUMMYFUNCTION("""COMPUTED_VALUE"""),5.0)</f>
        <v>5</v>
      </c>
      <c r="C149" s="73"/>
      <c r="D149" s="88">
        <f>IFERROR(__xludf.DUMMYFUNCTION("""COMPUTED_VALUE"""),5.0)</f>
        <v>5</v>
      </c>
      <c r="E149" s="73"/>
      <c r="F149" s="73"/>
      <c r="G149" s="73"/>
      <c r="H149" s="73"/>
      <c r="I149" s="73"/>
      <c r="J149" s="73"/>
      <c r="K149" s="92"/>
      <c r="L149" s="73"/>
      <c r="M149" s="73"/>
      <c r="N149" s="73"/>
      <c r="O149" s="73"/>
      <c r="P149" s="73"/>
      <c r="Q149" s="75"/>
      <c r="R149" s="82"/>
      <c r="S149" s="73"/>
      <c r="T149" s="73"/>
      <c r="U149" s="73"/>
      <c r="V149" s="73"/>
      <c r="W149" s="73"/>
      <c r="X149" s="73"/>
      <c r="Y149" s="77"/>
      <c r="Z149" s="104"/>
      <c r="AA149" s="73"/>
      <c r="AB149" s="104"/>
      <c r="AC149" s="104"/>
      <c r="AD149" s="74"/>
      <c r="AE149" s="106"/>
      <c r="AF149" s="195"/>
      <c r="AG149" s="80"/>
      <c r="AH149" s="104"/>
      <c r="AI149" s="73"/>
      <c r="AJ149" s="114"/>
      <c r="AK149" s="106"/>
      <c r="AL149" s="74"/>
      <c r="AM149" s="73"/>
      <c r="AN149" s="73"/>
      <c r="AO149" s="102"/>
      <c r="AP149" s="73"/>
      <c r="AQ149" s="73"/>
      <c r="AR149" s="74"/>
      <c r="AS149" s="73"/>
      <c r="AT149" s="73"/>
      <c r="AU149" s="73"/>
      <c r="AV149" s="73"/>
      <c r="AW149" s="73"/>
      <c r="AX149" s="74"/>
      <c r="AY149" s="73"/>
      <c r="AZ149" s="73"/>
      <c r="BA149" s="74"/>
      <c r="BB149" s="73"/>
      <c r="BC149" s="73"/>
      <c r="BD149" s="73"/>
      <c r="BE149" s="73"/>
      <c r="BF149" s="73"/>
      <c r="BG149" s="73"/>
      <c r="BH149" s="73"/>
      <c r="BI149" s="73"/>
      <c r="BJ149" s="73"/>
      <c r="BK149" s="73"/>
      <c r="BL149" s="73"/>
      <c r="BM149" s="73"/>
      <c r="BN149" s="73"/>
      <c r="BO149" s="73"/>
      <c r="BP149" s="73"/>
      <c r="BQ149" s="73"/>
      <c r="BR149" s="73"/>
      <c r="BS149" s="73"/>
      <c r="BT149" s="74"/>
      <c r="BU149" s="73"/>
      <c r="BV149" s="73"/>
      <c r="BW149" s="73"/>
      <c r="BX149" s="73"/>
      <c r="BY149" s="73"/>
      <c r="BZ149" s="73"/>
      <c r="CA149" s="73"/>
      <c r="CB149" s="73"/>
      <c r="CC149" s="73"/>
      <c r="CD149" s="73"/>
      <c r="CE149" s="73"/>
    </row>
    <row r="150">
      <c r="A150" s="136" t="str">
        <f>IFERROR(__xludf.DUMMYFUNCTION("""COMPUTED_VALUE"""),"Cannon Effect Bans")</f>
        <v>Cannon Effect Bans</v>
      </c>
      <c r="B150" s="87">
        <f>IFERROR(__xludf.DUMMYFUNCTION("""COMPUTED_VALUE"""),0.0)</f>
        <v>0</v>
      </c>
      <c r="C150" s="73"/>
      <c r="D150" s="88">
        <f>IFERROR(__xludf.DUMMYFUNCTION("""COMPUTED_VALUE"""),4.0)</f>
        <v>4</v>
      </c>
      <c r="E150" s="73"/>
      <c r="F150" s="73"/>
      <c r="G150" s="73"/>
      <c r="H150" s="73"/>
      <c r="I150" s="73"/>
      <c r="J150" s="73"/>
      <c r="K150" s="92"/>
      <c r="L150" s="73"/>
      <c r="M150" s="73"/>
      <c r="N150" s="73"/>
      <c r="O150" s="73"/>
      <c r="P150" s="73"/>
      <c r="Q150" s="75"/>
      <c r="R150" s="82"/>
      <c r="S150" s="73"/>
      <c r="T150" s="73"/>
      <c r="U150" s="73"/>
      <c r="V150" s="73"/>
      <c r="W150" s="73"/>
      <c r="X150" s="73"/>
      <c r="Y150" s="77"/>
      <c r="Z150" s="104"/>
      <c r="AA150" s="73"/>
      <c r="AB150" s="104"/>
      <c r="AC150" s="104"/>
      <c r="AD150" s="74"/>
      <c r="AE150" s="106"/>
      <c r="AF150" s="195"/>
      <c r="AG150" s="80"/>
      <c r="AH150" s="104"/>
      <c r="AI150" s="73"/>
      <c r="AJ150" s="114"/>
      <c r="AK150" s="106"/>
      <c r="AL150" s="74"/>
      <c r="AM150" s="73"/>
      <c r="AN150" s="73"/>
      <c r="AO150" s="102"/>
      <c r="AP150" s="73"/>
      <c r="AQ150" s="73"/>
      <c r="AR150" s="74"/>
      <c r="AS150" s="73"/>
      <c r="AT150" s="73"/>
      <c r="AU150" s="73"/>
      <c r="AV150" s="73"/>
      <c r="AW150" s="73"/>
      <c r="AX150" s="74"/>
      <c r="AY150" s="73"/>
      <c r="AZ150" s="73"/>
      <c r="BA150" s="74"/>
      <c r="BB150" s="73"/>
      <c r="BC150" s="73"/>
      <c r="BD150" s="73"/>
      <c r="BE150" s="73"/>
      <c r="BF150" s="73"/>
      <c r="BG150" s="73"/>
      <c r="BH150" s="73"/>
      <c r="BI150" s="73"/>
      <c r="BJ150" s="73"/>
      <c r="BK150" s="73"/>
      <c r="BL150" s="73"/>
      <c r="BM150" s="73"/>
      <c r="BN150" s="73"/>
      <c r="BO150" s="73"/>
      <c r="BP150" s="73"/>
      <c r="BQ150" s="73"/>
      <c r="BR150" s="73"/>
      <c r="BS150" s="73"/>
      <c r="BT150" s="74"/>
      <c r="BU150" s="73"/>
      <c r="BV150" s="73"/>
      <c r="BW150" s="73"/>
      <c r="BX150" s="73"/>
      <c r="BY150" s="73"/>
      <c r="BZ150" s="73"/>
      <c r="CA150" s="73"/>
      <c r="CB150" s="73"/>
      <c r="CC150" s="73"/>
      <c r="CD150" s="73"/>
      <c r="CE150" s="73"/>
    </row>
    <row r="151">
      <c r="A151" s="136" t="str">
        <f>IFERROR(__xludf.DUMMYFUNCTION("""COMPUTED_VALUE"""),"Armor Effect Bans")</f>
        <v>Armor Effect Bans</v>
      </c>
      <c r="B151" s="87">
        <f>IFERROR(__xludf.DUMMYFUNCTION("""COMPUTED_VALUE"""),2.0)</f>
        <v>2</v>
      </c>
      <c r="C151" s="73"/>
      <c r="D151" s="88">
        <f>IFERROR(__xludf.DUMMYFUNCTION("""COMPUTED_VALUE"""),4.0)</f>
        <v>4</v>
      </c>
      <c r="E151" s="73"/>
      <c r="F151" s="73"/>
      <c r="G151" s="73"/>
      <c r="H151" s="73"/>
      <c r="I151" s="73"/>
      <c r="J151" s="73"/>
      <c r="K151" s="92"/>
      <c r="L151" s="73"/>
      <c r="M151" s="73"/>
      <c r="N151" s="73"/>
      <c r="O151" s="73"/>
      <c r="P151" s="73"/>
      <c r="Q151" s="75"/>
      <c r="R151" s="82"/>
      <c r="S151" s="73"/>
      <c r="T151" s="73"/>
      <c r="U151" s="73"/>
      <c r="V151" s="73"/>
      <c r="W151" s="73"/>
      <c r="X151" s="73"/>
      <c r="Y151" s="77"/>
      <c r="Z151" s="104"/>
      <c r="AA151" s="73"/>
      <c r="AB151" s="104"/>
      <c r="AC151" s="104"/>
      <c r="AD151" s="74"/>
      <c r="AE151" s="106"/>
      <c r="AF151" s="195"/>
      <c r="AG151" s="80"/>
      <c r="AH151" s="104"/>
      <c r="AI151" s="73"/>
      <c r="AJ151" s="114"/>
      <c r="AK151" s="106"/>
      <c r="AL151" s="74"/>
      <c r="AM151" s="73"/>
      <c r="AN151" s="73"/>
      <c r="AO151" s="102"/>
      <c r="AP151" s="73"/>
      <c r="AQ151" s="73"/>
      <c r="AR151" s="74"/>
      <c r="AS151" s="73"/>
      <c r="AT151" s="73"/>
      <c r="AU151" s="73"/>
      <c r="AV151" s="73"/>
      <c r="AW151" s="73"/>
      <c r="AX151" s="74"/>
      <c r="AY151" s="73"/>
      <c r="AZ151" s="73"/>
      <c r="BA151" s="74"/>
      <c r="BB151" s="73"/>
      <c r="BC151" s="73"/>
      <c r="BD151" s="73"/>
      <c r="BE151" s="73"/>
      <c r="BF151" s="73"/>
      <c r="BG151" s="73"/>
      <c r="BH151" s="73"/>
      <c r="BI151" s="73"/>
      <c r="BJ151" s="73"/>
      <c r="BK151" s="73"/>
      <c r="BL151" s="73"/>
      <c r="BM151" s="73"/>
      <c r="BN151" s="73"/>
      <c r="BO151" s="73"/>
      <c r="BP151" s="73"/>
      <c r="BQ151" s="73"/>
      <c r="BR151" s="73"/>
      <c r="BS151" s="73"/>
      <c r="BT151" s="74"/>
      <c r="BU151" s="73"/>
      <c r="BV151" s="73"/>
      <c r="BW151" s="73"/>
      <c r="BX151" s="73"/>
      <c r="BY151" s="73"/>
      <c r="BZ151" s="73"/>
      <c r="CA151" s="73"/>
      <c r="CB151" s="73"/>
      <c r="CC151" s="73"/>
      <c r="CD151" s="73"/>
      <c r="CE151" s="73"/>
    </row>
    <row r="152">
      <c r="A152" s="136" t="str">
        <f>IFERROR(__xludf.DUMMYFUNCTION("""COMPUTED_VALUE"""),"Generator Effect Bans")</f>
        <v>Generator Effect Bans</v>
      </c>
      <c r="B152" s="87">
        <f>IFERROR(__xludf.DUMMYFUNCTION("""COMPUTED_VALUE"""),1.0)</f>
        <v>1</v>
      </c>
      <c r="C152" s="73"/>
      <c r="D152" s="88">
        <f>IFERROR(__xludf.DUMMYFUNCTION("""COMPUTED_VALUE"""),3.0)</f>
        <v>3</v>
      </c>
      <c r="E152" s="73"/>
      <c r="F152" s="73"/>
      <c r="G152" s="73"/>
      <c r="H152" s="73"/>
      <c r="I152" s="73"/>
      <c r="J152" s="73"/>
      <c r="K152" s="92"/>
      <c r="L152" s="73"/>
      <c r="M152" s="73"/>
      <c r="N152" s="73"/>
      <c r="O152" s="73"/>
      <c r="P152" s="73"/>
      <c r="Q152" s="75"/>
      <c r="R152" s="82"/>
      <c r="S152" s="73"/>
      <c r="T152" s="73"/>
      <c r="U152" s="73"/>
      <c r="V152" s="73"/>
      <c r="W152" s="73"/>
      <c r="X152" s="73"/>
      <c r="Y152" s="77"/>
      <c r="Z152" s="104"/>
      <c r="AA152" s="73"/>
      <c r="AB152" s="104"/>
      <c r="AC152" s="104"/>
      <c r="AD152" s="74"/>
      <c r="AE152" s="106"/>
      <c r="AF152" s="195"/>
      <c r="AG152" s="80"/>
      <c r="AH152" s="104"/>
      <c r="AI152" s="73"/>
      <c r="AJ152" s="114"/>
      <c r="AK152" s="106"/>
      <c r="AL152" s="74"/>
      <c r="AM152" s="73"/>
      <c r="AN152" s="73"/>
      <c r="AO152" s="102"/>
      <c r="AP152" s="73"/>
      <c r="AQ152" s="73"/>
      <c r="AR152" s="74"/>
      <c r="AS152" s="73"/>
      <c r="AT152" s="73"/>
      <c r="AU152" s="73"/>
      <c r="AV152" s="73"/>
      <c r="AW152" s="73"/>
      <c r="AX152" s="74"/>
      <c r="AY152" s="73"/>
      <c r="AZ152" s="73"/>
      <c r="BA152" s="74"/>
      <c r="BB152" s="73"/>
      <c r="BC152" s="73"/>
      <c r="BD152" s="73"/>
      <c r="BE152" s="73"/>
      <c r="BF152" s="73"/>
      <c r="BG152" s="73"/>
      <c r="BH152" s="73"/>
      <c r="BI152" s="73"/>
      <c r="BJ152" s="73"/>
      <c r="BK152" s="73"/>
      <c r="BL152" s="73"/>
      <c r="BM152" s="73"/>
      <c r="BN152" s="73"/>
      <c r="BO152" s="73"/>
      <c r="BP152" s="73"/>
      <c r="BQ152" s="73"/>
      <c r="BR152" s="73"/>
      <c r="BS152" s="73"/>
      <c r="BT152" s="74"/>
      <c r="BU152" s="73"/>
      <c r="BV152" s="73"/>
      <c r="BW152" s="73"/>
      <c r="BX152" s="73"/>
      <c r="BY152" s="73"/>
      <c r="BZ152" s="73"/>
      <c r="CA152" s="73"/>
      <c r="CB152" s="73"/>
      <c r="CC152" s="73"/>
      <c r="CD152" s="73"/>
      <c r="CE152" s="73"/>
    </row>
    <row r="153">
      <c r="A153" s="136" t="str">
        <f>IFERROR(__xludf.DUMMYFUNCTION("""COMPUTED_VALUE"""),"Core Effect Bans")</f>
        <v>Core Effect Bans</v>
      </c>
      <c r="B153" s="87">
        <f>IFERROR(__xludf.DUMMYFUNCTION("""COMPUTED_VALUE"""),4.0)</f>
        <v>4</v>
      </c>
      <c r="C153" s="73"/>
      <c r="D153" s="88">
        <f>IFERROR(__xludf.DUMMYFUNCTION("""COMPUTED_VALUE"""),7.0)</f>
        <v>7</v>
      </c>
      <c r="E153" s="73"/>
      <c r="F153" s="73"/>
      <c r="G153" s="73"/>
      <c r="H153" s="73"/>
      <c r="I153" s="73"/>
      <c r="J153" s="73"/>
      <c r="K153" s="92"/>
      <c r="L153" s="73"/>
      <c r="M153" s="73"/>
      <c r="N153" s="73"/>
      <c r="O153" s="73"/>
      <c r="P153" s="73"/>
      <c r="Q153" s="75"/>
      <c r="R153" s="82"/>
      <c r="S153" s="73"/>
      <c r="T153" s="73"/>
      <c r="U153" s="73"/>
      <c r="V153" s="73"/>
      <c r="W153" s="73"/>
      <c r="X153" s="73"/>
      <c r="Y153" s="77"/>
      <c r="Z153" s="104"/>
      <c r="AA153" s="73"/>
      <c r="AB153" s="104"/>
      <c r="AC153" s="104"/>
      <c r="AD153" s="74"/>
      <c r="AE153" s="106"/>
      <c r="AF153" s="195"/>
      <c r="AG153" s="80"/>
      <c r="AH153" s="104"/>
      <c r="AI153" s="73"/>
      <c r="AJ153" s="114"/>
      <c r="AK153" s="106"/>
      <c r="AL153" s="74"/>
      <c r="AM153" s="73"/>
      <c r="AN153" s="73"/>
      <c r="AO153" s="102"/>
      <c r="AP153" s="73"/>
      <c r="AQ153" s="73"/>
      <c r="AR153" s="74"/>
      <c r="AS153" s="73"/>
      <c r="AT153" s="73"/>
      <c r="AU153" s="73"/>
      <c r="AV153" s="73"/>
      <c r="AW153" s="73"/>
      <c r="AX153" s="74"/>
      <c r="AY153" s="73"/>
      <c r="AZ153" s="73"/>
      <c r="BA153" s="74"/>
      <c r="BB153" s="73"/>
      <c r="BC153" s="73"/>
      <c r="BD153" s="73"/>
      <c r="BE153" s="73"/>
      <c r="BF153" s="73"/>
      <c r="BG153" s="73"/>
      <c r="BH153" s="73"/>
      <c r="BI153" s="73"/>
      <c r="BJ153" s="73"/>
      <c r="BK153" s="73"/>
      <c r="BL153" s="73"/>
      <c r="BM153" s="73"/>
      <c r="BN153" s="73"/>
      <c r="BO153" s="73"/>
      <c r="BP153" s="73"/>
      <c r="BQ153" s="73"/>
      <c r="BR153" s="73"/>
      <c r="BS153" s="73"/>
      <c r="BT153" s="74"/>
      <c r="BU153" s="73"/>
      <c r="BV153" s="73"/>
      <c r="BW153" s="73"/>
      <c r="BX153" s="73"/>
      <c r="BY153" s="73"/>
      <c r="BZ153" s="73"/>
      <c r="CA153" s="73"/>
      <c r="CB153" s="73"/>
      <c r="CC153" s="73"/>
      <c r="CD153" s="73"/>
      <c r="CE153" s="73"/>
    </row>
    <row r="154">
      <c r="A154" s="136" t="str">
        <f>IFERROR(__xludf.DUMMYFUNCTION("""COMPUTED_VALUE"""),"Assist Module Substats - Cannon")</f>
        <v>Assist Module Substats - Cannon</v>
      </c>
      <c r="B154" s="87">
        <f>IFERROR(__xludf.DUMMYFUNCTION("""COMPUTED_VALUE"""),0.0)</f>
        <v>0</v>
      </c>
      <c r="C154" s="73"/>
      <c r="D154" s="88">
        <f>IFERROR(__xludf.DUMMYFUNCTION("""COMPUTED_VALUE"""),30.0)</f>
        <v>30</v>
      </c>
      <c r="E154" s="73"/>
      <c r="F154" s="73"/>
      <c r="G154" s="73"/>
      <c r="H154" s="73"/>
      <c r="I154" s="73"/>
      <c r="J154" s="73"/>
      <c r="K154" s="92"/>
      <c r="L154" s="73"/>
      <c r="M154" s="73"/>
      <c r="N154" s="73"/>
      <c r="O154" s="73"/>
      <c r="P154" s="73"/>
      <c r="Q154" s="75"/>
      <c r="R154" s="82"/>
      <c r="S154" s="73"/>
      <c r="T154" s="73"/>
      <c r="U154" s="73"/>
      <c r="V154" s="73"/>
      <c r="W154" s="73"/>
      <c r="X154" s="73"/>
      <c r="Y154" s="77"/>
      <c r="Z154" s="104"/>
      <c r="AA154" s="73"/>
      <c r="AB154" s="104"/>
      <c r="AC154" s="104"/>
      <c r="AD154" s="74"/>
      <c r="AE154" s="106"/>
      <c r="AF154" s="195"/>
      <c r="AG154" s="80"/>
      <c r="AH154" s="104"/>
      <c r="AI154" s="73"/>
      <c r="AJ154" s="114"/>
      <c r="AK154" s="106"/>
      <c r="AL154" s="74"/>
      <c r="AM154" s="73"/>
      <c r="AN154" s="73"/>
      <c r="AO154" s="102"/>
      <c r="AP154" s="73"/>
      <c r="AQ154" s="73"/>
      <c r="AR154" s="74"/>
      <c r="AS154" s="73"/>
      <c r="AT154" s="73"/>
      <c r="AU154" s="73"/>
      <c r="AV154" s="73"/>
      <c r="AW154" s="73"/>
      <c r="AX154" s="74"/>
      <c r="AY154" s="73"/>
      <c r="AZ154" s="73"/>
      <c r="BA154" s="74"/>
      <c r="BB154" s="73"/>
      <c r="BC154" s="73"/>
      <c r="BD154" s="73"/>
      <c r="BE154" s="73"/>
      <c r="BF154" s="73"/>
      <c r="BG154" s="73"/>
      <c r="BH154" s="73"/>
      <c r="BI154" s="73"/>
      <c r="BJ154" s="73"/>
      <c r="BK154" s="73"/>
      <c r="BL154" s="73"/>
      <c r="BM154" s="73"/>
      <c r="BN154" s="73"/>
      <c r="BO154" s="73"/>
      <c r="BP154" s="73"/>
      <c r="BQ154" s="73"/>
      <c r="BR154" s="73"/>
      <c r="BS154" s="73"/>
      <c r="BT154" s="74"/>
      <c r="BU154" s="73"/>
      <c r="BV154" s="73"/>
      <c r="BW154" s="73"/>
      <c r="BX154" s="73"/>
      <c r="BY154" s="73"/>
      <c r="BZ154" s="73"/>
      <c r="CA154" s="73"/>
      <c r="CB154" s="73"/>
      <c r="CC154" s="73"/>
      <c r="CD154" s="73"/>
      <c r="CE154" s="73"/>
    </row>
    <row r="155">
      <c r="A155" s="136" t="str">
        <f>IFERROR(__xludf.DUMMYFUNCTION("""COMPUTED_VALUE"""),"Assist Module Substats - Armor")</f>
        <v>Assist Module Substats - Armor</v>
      </c>
      <c r="B155" s="87">
        <f>IFERROR(__xludf.DUMMYFUNCTION("""COMPUTED_VALUE"""),0.0)</f>
        <v>0</v>
      </c>
      <c r="C155" s="73"/>
      <c r="D155" s="88">
        <f>IFERROR(__xludf.DUMMYFUNCTION("""COMPUTED_VALUE"""),30.0)</f>
        <v>30</v>
      </c>
      <c r="E155" s="73"/>
      <c r="F155" s="73"/>
      <c r="G155" s="73"/>
      <c r="H155" s="73"/>
      <c r="I155" s="73"/>
      <c r="J155" s="73"/>
      <c r="K155" s="92"/>
      <c r="L155" s="73"/>
      <c r="M155" s="73"/>
      <c r="N155" s="73"/>
      <c r="O155" s="73"/>
      <c r="P155" s="73"/>
      <c r="Q155" s="75"/>
      <c r="R155" s="82"/>
      <c r="S155" s="73"/>
      <c r="T155" s="73"/>
      <c r="U155" s="73"/>
      <c r="V155" s="73"/>
      <c r="W155" s="73"/>
      <c r="X155" s="73"/>
      <c r="Y155" s="77"/>
      <c r="Z155" s="104"/>
      <c r="AA155" s="73"/>
      <c r="AB155" s="104"/>
      <c r="AC155" s="104"/>
      <c r="AD155" s="74"/>
      <c r="AE155" s="106"/>
      <c r="AF155" s="195"/>
      <c r="AG155" s="80"/>
      <c r="AH155" s="104"/>
      <c r="AI155" s="73"/>
      <c r="AJ155" s="114"/>
      <c r="AK155" s="106"/>
      <c r="AL155" s="74"/>
      <c r="AM155" s="73"/>
      <c r="AN155" s="73"/>
      <c r="AO155" s="102"/>
      <c r="AP155" s="73"/>
      <c r="AQ155" s="73"/>
      <c r="AR155" s="74"/>
      <c r="AS155" s="73"/>
      <c r="AT155" s="73"/>
      <c r="AU155" s="73"/>
      <c r="AV155" s="73"/>
      <c r="AW155" s="73"/>
      <c r="AX155" s="74"/>
      <c r="AY155" s="73"/>
      <c r="AZ155" s="73"/>
      <c r="BA155" s="74"/>
      <c r="BB155" s="73"/>
      <c r="BC155" s="73"/>
      <c r="BD155" s="73"/>
      <c r="BE155" s="73"/>
      <c r="BF155" s="73"/>
      <c r="BG155" s="73"/>
      <c r="BH155" s="73"/>
      <c r="BI155" s="73"/>
      <c r="BJ155" s="73"/>
      <c r="BK155" s="73"/>
      <c r="BL155" s="73"/>
      <c r="BM155" s="73"/>
      <c r="BN155" s="73"/>
      <c r="BO155" s="73"/>
      <c r="BP155" s="73"/>
      <c r="BQ155" s="73"/>
      <c r="BR155" s="73"/>
      <c r="BS155" s="73"/>
      <c r="BT155" s="74"/>
      <c r="BU155" s="73"/>
      <c r="BV155" s="73"/>
      <c r="BW155" s="73"/>
      <c r="BX155" s="73"/>
      <c r="BY155" s="73"/>
      <c r="BZ155" s="73"/>
      <c r="CA155" s="73"/>
      <c r="CB155" s="73"/>
      <c r="CC155" s="73"/>
      <c r="CD155" s="73"/>
      <c r="CE155" s="73"/>
    </row>
    <row r="156">
      <c r="A156" s="136" t="str">
        <f>IFERROR(__xludf.DUMMYFUNCTION("""COMPUTED_VALUE"""),"Assist Module Substats - Generator")</f>
        <v>Assist Module Substats - Generator</v>
      </c>
      <c r="B156" s="87">
        <f>IFERROR(__xludf.DUMMYFUNCTION("""COMPUTED_VALUE"""),0.0)</f>
        <v>0</v>
      </c>
      <c r="C156" s="73"/>
      <c r="D156" s="88">
        <f>IFERROR(__xludf.DUMMYFUNCTION("""COMPUTED_VALUE"""),30.0)</f>
        <v>30</v>
      </c>
      <c r="E156" s="73"/>
      <c r="F156" s="73"/>
      <c r="G156" s="73"/>
      <c r="H156" s="73"/>
      <c r="I156" s="73"/>
      <c r="J156" s="73"/>
      <c r="K156" s="92"/>
      <c r="L156" s="73"/>
      <c r="M156" s="73"/>
      <c r="N156" s="73"/>
      <c r="O156" s="73"/>
      <c r="P156" s="73"/>
      <c r="Q156" s="75"/>
      <c r="R156" s="82"/>
      <c r="S156" s="73"/>
      <c r="T156" s="73"/>
      <c r="U156" s="73"/>
      <c r="V156" s="73"/>
      <c r="W156" s="73"/>
      <c r="X156" s="73"/>
      <c r="Y156" s="77"/>
      <c r="Z156" s="104"/>
      <c r="AA156" s="73"/>
      <c r="AB156" s="104"/>
      <c r="AC156" s="104"/>
      <c r="AD156" s="74"/>
      <c r="AE156" s="106"/>
      <c r="AF156" s="195"/>
      <c r="AG156" s="80"/>
      <c r="AH156" s="104"/>
      <c r="AI156" s="73"/>
      <c r="AJ156" s="114"/>
      <c r="AK156" s="106"/>
      <c r="AL156" s="74"/>
      <c r="AM156" s="73"/>
      <c r="AN156" s="73"/>
      <c r="AO156" s="102"/>
      <c r="AP156" s="73"/>
      <c r="AQ156" s="73"/>
      <c r="AR156" s="74"/>
      <c r="AS156" s="73"/>
      <c r="AT156" s="73"/>
      <c r="AU156" s="73"/>
      <c r="AV156" s="73"/>
      <c r="AW156" s="73"/>
      <c r="AX156" s="74"/>
      <c r="AY156" s="73"/>
      <c r="AZ156" s="73"/>
      <c r="BA156" s="74"/>
      <c r="BB156" s="73"/>
      <c r="BC156" s="73"/>
      <c r="BD156" s="73"/>
      <c r="BE156" s="73"/>
      <c r="BF156" s="73"/>
      <c r="BG156" s="73"/>
      <c r="BH156" s="73"/>
      <c r="BI156" s="73"/>
      <c r="BJ156" s="73"/>
      <c r="BK156" s="73"/>
      <c r="BL156" s="73"/>
      <c r="BM156" s="73"/>
      <c r="BN156" s="73"/>
      <c r="BO156" s="73"/>
      <c r="BP156" s="73"/>
      <c r="BQ156" s="73"/>
      <c r="BR156" s="73"/>
      <c r="BS156" s="73"/>
      <c r="BT156" s="74"/>
      <c r="BU156" s="73"/>
      <c r="BV156" s="73"/>
      <c r="BW156" s="73"/>
      <c r="BX156" s="73"/>
      <c r="BY156" s="73"/>
      <c r="BZ156" s="73"/>
      <c r="CA156" s="73"/>
      <c r="CB156" s="73"/>
      <c r="CC156" s="73"/>
      <c r="CD156" s="73"/>
      <c r="CE156" s="73"/>
    </row>
    <row r="157">
      <c r="A157" s="136" t="str">
        <f>IFERROR(__xludf.DUMMYFUNCTION("""COMPUTED_VALUE"""),"Assist Module Substats - Core")</f>
        <v>Assist Module Substats - Core</v>
      </c>
      <c r="B157" s="87">
        <f>IFERROR(__xludf.DUMMYFUNCTION("""COMPUTED_VALUE"""),0.0)</f>
        <v>0</v>
      </c>
      <c r="C157" s="73"/>
      <c r="D157" s="88">
        <f>IFERROR(__xludf.DUMMYFUNCTION("""COMPUTED_VALUE"""),30.0)</f>
        <v>30</v>
      </c>
      <c r="E157" s="73"/>
      <c r="F157" s="73"/>
      <c r="G157" s="73"/>
      <c r="H157" s="73"/>
      <c r="I157" s="73"/>
      <c r="J157" s="73"/>
      <c r="K157" s="92"/>
      <c r="L157" s="73"/>
      <c r="M157" s="73"/>
      <c r="N157" s="73"/>
      <c r="O157" s="73"/>
      <c r="P157" s="73"/>
      <c r="Q157" s="75"/>
      <c r="R157" s="82"/>
      <c r="S157" s="73"/>
      <c r="T157" s="73"/>
      <c r="U157" s="73"/>
      <c r="V157" s="73"/>
      <c r="W157" s="73"/>
      <c r="X157" s="73"/>
      <c r="Y157" s="77"/>
      <c r="Z157" s="104"/>
      <c r="AA157" s="73"/>
      <c r="AB157" s="104"/>
      <c r="AC157" s="104"/>
      <c r="AD157" s="74"/>
      <c r="AE157" s="106"/>
      <c r="AF157" s="195"/>
      <c r="AG157" s="80"/>
      <c r="AH157" s="104"/>
      <c r="AI157" s="73"/>
      <c r="AJ157" s="114"/>
      <c r="AK157" s="106"/>
      <c r="AL157" s="74"/>
      <c r="AM157" s="73"/>
      <c r="AN157" s="73"/>
      <c r="AO157" s="102"/>
      <c r="AP157" s="73"/>
      <c r="AQ157" s="73"/>
      <c r="AR157" s="74"/>
      <c r="AS157" s="73"/>
      <c r="AT157" s="73"/>
      <c r="AU157" s="73"/>
      <c r="AV157" s="73"/>
      <c r="AW157" s="73"/>
      <c r="AX157" s="74"/>
      <c r="AY157" s="73"/>
      <c r="AZ157" s="73"/>
      <c r="BA157" s="74"/>
      <c r="BB157" s="73"/>
      <c r="BC157" s="73"/>
      <c r="BD157" s="73"/>
      <c r="BE157" s="73"/>
      <c r="BF157" s="73"/>
      <c r="BG157" s="73"/>
      <c r="BH157" s="73"/>
      <c r="BI157" s="73"/>
      <c r="BJ157" s="73"/>
      <c r="BK157" s="73"/>
      <c r="BL157" s="73"/>
      <c r="BM157" s="73"/>
      <c r="BN157" s="73"/>
      <c r="BO157" s="73"/>
      <c r="BP157" s="73"/>
      <c r="BQ157" s="73"/>
      <c r="BR157" s="73"/>
      <c r="BS157" s="73"/>
      <c r="BT157" s="74"/>
      <c r="BU157" s="73"/>
      <c r="BV157" s="73"/>
      <c r="BW157" s="73"/>
      <c r="BX157" s="73"/>
      <c r="BY157" s="73"/>
      <c r="BZ157" s="73"/>
      <c r="CA157" s="73"/>
      <c r="CB157" s="73"/>
      <c r="CC157" s="73"/>
      <c r="CD157" s="73"/>
      <c r="CE157" s="73"/>
    </row>
    <row r="158">
      <c r="A158" s="136" t="str">
        <f>IFERROR(__xludf.DUMMYFUNCTION("""COMPUTED_VALUE"""),"Assist Module Bonus - Cannon")</f>
        <v>Assist Module Bonus - Cannon</v>
      </c>
      <c r="B158" s="87">
        <f>IFERROR(__xludf.DUMMYFUNCTION("""COMPUTED_VALUE"""),0.0)</f>
        <v>0</v>
      </c>
      <c r="C158" s="73"/>
      <c r="D158" s="88">
        <f>IFERROR(__xludf.DUMMYFUNCTION("""COMPUTED_VALUE"""),30.0)</f>
        <v>30</v>
      </c>
      <c r="E158" s="73"/>
      <c r="F158" s="73"/>
      <c r="G158" s="73"/>
      <c r="H158" s="73"/>
      <c r="I158" s="73"/>
      <c r="J158" s="73"/>
      <c r="K158" s="92"/>
      <c r="L158" s="73"/>
      <c r="M158" s="73"/>
      <c r="N158" s="73"/>
      <c r="O158" s="73"/>
      <c r="P158" s="73"/>
      <c r="Q158" s="75"/>
      <c r="R158" s="82"/>
      <c r="S158" s="73"/>
      <c r="T158" s="73"/>
      <c r="U158" s="73"/>
      <c r="V158" s="73"/>
      <c r="W158" s="73"/>
      <c r="X158" s="73"/>
      <c r="Y158" s="77"/>
      <c r="Z158" s="104"/>
      <c r="AA158" s="73"/>
      <c r="AB158" s="104"/>
      <c r="AC158" s="104"/>
      <c r="AD158" s="74"/>
      <c r="AE158" s="106"/>
      <c r="AF158" s="195"/>
      <c r="AG158" s="80"/>
      <c r="AH158" s="104"/>
      <c r="AI158" s="73"/>
      <c r="AJ158" s="114"/>
      <c r="AK158" s="106"/>
      <c r="AL158" s="74"/>
      <c r="AM158" s="73"/>
      <c r="AN158" s="73"/>
      <c r="AO158" s="102"/>
      <c r="AP158" s="73"/>
      <c r="AQ158" s="73"/>
      <c r="AR158" s="74"/>
      <c r="AS158" s="73"/>
      <c r="AT158" s="73"/>
      <c r="AU158" s="73"/>
      <c r="AV158" s="73"/>
      <c r="AW158" s="73"/>
      <c r="AX158" s="74"/>
      <c r="AY158" s="73"/>
      <c r="AZ158" s="73"/>
      <c r="BA158" s="74"/>
      <c r="BB158" s="73"/>
      <c r="BC158" s="73"/>
      <c r="BD158" s="73"/>
      <c r="BE158" s="73"/>
      <c r="BF158" s="73"/>
      <c r="BG158" s="73"/>
      <c r="BH158" s="73"/>
      <c r="BI158" s="73"/>
      <c r="BJ158" s="73"/>
      <c r="BK158" s="73"/>
      <c r="BL158" s="73"/>
      <c r="BM158" s="73"/>
      <c r="BN158" s="73"/>
      <c r="BO158" s="73"/>
      <c r="BP158" s="73"/>
      <c r="BQ158" s="73"/>
      <c r="BR158" s="73"/>
      <c r="BS158" s="73"/>
      <c r="BT158" s="74"/>
      <c r="BU158" s="73"/>
      <c r="BV158" s="73"/>
      <c r="BW158" s="73"/>
      <c r="BX158" s="73"/>
      <c r="BY158" s="73"/>
      <c r="BZ158" s="73"/>
      <c r="CA158" s="73"/>
      <c r="CB158" s="73"/>
      <c r="CC158" s="73"/>
      <c r="CD158" s="73"/>
      <c r="CE158" s="73"/>
    </row>
    <row r="159">
      <c r="A159" s="136" t="str">
        <f>IFERROR(__xludf.DUMMYFUNCTION("""COMPUTED_VALUE"""),"Assist Module Bonus - Armor")</f>
        <v>Assist Module Bonus - Armor</v>
      </c>
      <c r="B159" s="87">
        <f>IFERROR(__xludf.DUMMYFUNCTION("""COMPUTED_VALUE"""),0.0)</f>
        <v>0</v>
      </c>
      <c r="C159" s="73"/>
      <c r="D159" s="88">
        <f>IFERROR(__xludf.DUMMYFUNCTION("""COMPUTED_VALUE"""),30.0)</f>
        <v>30</v>
      </c>
      <c r="E159" s="73"/>
      <c r="F159" s="73"/>
      <c r="G159" s="73"/>
      <c r="H159" s="73"/>
      <c r="I159" s="73"/>
      <c r="J159" s="73"/>
      <c r="K159" s="92"/>
      <c r="L159" s="73"/>
      <c r="M159" s="73"/>
      <c r="N159" s="73"/>
      <c r="O159" s="73"/>
      <c r="P159" s="73"/>
      <c r="Q159" s="75"/>
      <c r="R159" s="82"/>
      <c r="S159" s="73"/>
      <c r="T159" s="73"/>
      <c r="U159" s="73"/>
      <c r="V159" s="73"/>
      <c r="W159" s="73"/>
      <c r="X159" s="73"/>
      <c r="Y159" s="77"/>
      <c r="Z159" s="104"/>
      <c r="AA159" s="73"/>
      <c r="AB159" s="104"/>
      <c r="AC159" s="104"/>
      <c r="AD159" s="74"/>
      <c r="AE159" s="106"/>
      <c r="AF159" s="195"/>
      <c r="AG159" s="80"/>
      <c r="AH159" s="104"/>
      <c r="AI159" s="73"/>
      <c r="AJ159" s="114"/>
      <c r="AK159" s="106"/>
      <c r="AL159" s="74"/>
      <c r="AM159" s="73"/>
      <c r="AN159" s="73"/>
      <c r="AO159" s="102"/>
      <c r="AP159" s="73"/>
      <c r="AQ159" s="73"/>
      <c r="AR159" s="74"/>
      <c r="AS159" s="73"/>
      <c r="AT159" s="73"/>
      <c r="AU159" s="73"/>
      <c r="AV159" s="73"/>
      <c r="AW159" s="73"/>
      <c r="AX159" s="74"/>
      <c r="AY159" s="73"/>
      <c r="AZ159" s="73"/>
      <c r="BA159" s="74"/>
      <c r="BB159" s="73"/>
      <c r="BC159" s="73"/>
      <c r="BD159" s="73"/>
      <c r="BE159" s="73"/>
      <c r="BF159" s="73"/>
      <c r="BG159" s="73"/>
      <c r="BH159" s="73"/>
      <c r="BI159" s="73"/>
      <c r="BJ159" s="73"/>
      <c r="BK159" s="73"/>
      <c r="BL159" s="73"/>
      <c r="BM159" s="73"/>
      <c r="BN159" s="73"/>
      <c r="BO159" s="73"/>
      <c r="BP159" s="73"/>
      <c r="BQ159" s="73"/>
      <c r="BR159" s="73"/>
      <c r="BS159" s="73"/>
      <c r="BT159" s="74"/>
      <c r="BU159" s="73"/>
      <c r="BV159" s="73"/>
      <c r="BW159" s="73"/>
      <c r="BX159" s="73"/>
      <c r="BY159" s="73"/>
      <c r="BZ159" s="73"/>
      <c r="CA159" s="73"/>
      <c r="CB159" s="73"/>
      <c r="CC159" s="73"/>
      <c r="CD159" s="73"/>
      <c r="CE159" s="73"/>
    </row>
    <row r="160">
      <c r="A160" s="136" t="str">
        <f>IFERROR(__xludf.DUMMYFUNCTION("""COMPUTED_VALUE"""),"Assist Module Bonus - Generator")</f>
        <v>Assist Module Bonus - Generator</v>
      </c>
      <c r="B160" s="87">
        <f>IFERROR(__xludf.DUMMYFUNCTION("""COMPUTED_VALUE"""),0.0)</f>
        <v>0</v>
      </c>
      <c r="C160" s="73"/>
      <c r="D160" s="88">
        <f>IFERROR(__xludf.DUMMYFUNCTION("""COMPUTED_VALUE"""),30.0)</f>
        <v>30</v>
      </c>
      <c r="E160" s="73"/>
      <c r="F160" s="73"/>
      <c r="G160" s="73"/>
      <c r="H160" s="73"/>
      <c r="I160" s="73"/>
      <c r="J160" s="73"/>
      <c r="K160" s="92"/>
      <c r="L160" s="73"/>
      <c r="M160" s="73"/>
      <c r="N160" s="73"/>
      <c r="O160" s="73"/>
      <c r="P160" s="73"/>
      <c r="Q160" s="75"/>
      <c r="R160" s="82"/>
      <c r="S160" s="73"/>
      <c r="T160" s="73"/>
      <c r="U160" s="73"/>
      <c r="V160" s="73"/>
      <c r="W160" s="73"/>
      <c r="X160" s="73"/>
      <c r="Y160" s="77"/>
      <c r="Z160" s="104"/>
      <c r="AA160" s="73"/>
      <c r="AB160" s="104"/>
      <c r="AC160" s="104"/>
      <c r="AD160" s="74"/>
      <c r="AE160" s="106"/>
      <c r="AF160" s="195"/>
      <c r="AG160" s="80"/>
      <c r="AH160" s="104"/>
      <c r="AI160" s="73"/>
      <c r="AJ160" s="114"/>
      <c r="AK160" s="106"/>
      <c r="AL160" s="74"/>
      <c r="AM160" s="73"/>
      <c r="AN160" s="73"/>
      <c r="AO160" s="102"/>
      <c r="AP160" s="73"/>
      <c r="AQ160" s="73"/>
      <c r="AR160" s="74"/>
      <c r="AS160" s="73"/>
      <c r="AT160" s="73"/>
      <c r="AU160" s="73"/>
      <c r="AV160" s="73"/>
      <c r="AW160" s="73"/>
      <c r="AX160" s="74"/>
      <c r="AY160" s="73"/>
      <c r="AZ160" s="73"/>
      <c r="BA160" s="74"/>
      <c r="BB160" s="73"/>
      <c r="BC160" s="73"/>
      <c r="BD160" s="73"/>
      <c r="BE160" s="73"/>
      <c r="BF160" s="73"/>
      <c r="BG160" s="73"/>
      <c r="BH160" s="73"/>
      <c r="BI160" s="73"/>
      <c r="BJ160" s="73"/>
      <c r="BK160" s="73"/>
      <c r="BL160" s="73"/>
      <c r="BM160" s="73"/>
      <c r="BN160" s="73"/>
      <c r="BO160" s="73"/>
      <c r="BP160" s="73"/>
      <c r="BQ160" s="73"/>
      <c r="BR160" s="73"/>
      <c r="BS160" s="73"/>
      <c r="BT160" s="74"/>
      <c r="BU160" s="73"/>
      <c r="BV160" s="73"/>
      <c r="BW160" s="73"/>
      <c r="BX160" s="73"/>
      <c r="BY160" s="73"/>
      <c r="BZ160" s="73"/>
      <c r="CA160" s="73"/>
      <c r="CB160" s="73"/>
      <c r="CC160" s="73"/>
      <c r="CD160" s="73"/>
      <c r="CE160" s="73"/>
    </row>
    <row r="161">
      <c r="A161" s="136" t="str">
        <f>IFERROR(__xludf.DUMMYFUNCTION("""COMPUTED_VALUE"""),"Assist Module Bonus - Core")</f>
        <v>Assist Module Bonus - Core</v>
      </c>
      <c r="B161" s="87">
        <f>IFERROR(__xludf.DUMMYFUNCTION("""COMPUTED_VALUE"""),0.0)</f>
        <v>0</v>
      </c>
      <c r="C161" s="73"/>
      <c r="D161" s="88">
        <f>IFERROR(__xludf.DUMMYFUNCTION("""COMPUTED_VALUE"""),30.0)</f>
        <v>30</v>
      </c>
      <c r="E161" s="73"/>
      <c r="F161" s="73"/>
      <c r="G161" s="73"/>
      <c r="H161" s="73"/>
      <c r="I161" s="73"/>
      <c r="J161" s="73"/>
      <c r="K161" s="92"/>
      <c r="L161" s="73"/>
      <c r="M161" s="73"/>
      <c r="N161" s="73"/>
      <c r="O161" s="73"/>
      <c r="P161" s="73"/>
      <c r="Q161" s="75"/>
      <c r="R161" s="82"/>
      <c r="S161" s="73"/>
      <c r="T161" s="73"/>
      <c r="U161" s="73"/>
      <c r="V161" s="73"/>
      <c r="W161" s="73"/>
      <c r="X161" s="73"/>
      <c r="Y161" s="77"/>
      <c r="Z161" s="104"/>
      <c r="AA161" s="73"/>
      <c r="AB161" s="104"/>
      <c r="AC161" s="104"/>
      <c r="AD161" s="74"/>
      <c r="AE161" s="106"/>
      <c r="AF161" s="195"/>
      <c r="AG161" s="80"/>
      <c r="AH161" s="104"/>
      <c r="AI161" s="73"/>
      <c r="AJ161" s="114"/>
      <c r="AK161" s="106"/>
      <c r="AL161" s="74"/>
      <c r="AM161" s="73"/>
      <c r="AN161" s="73"/>
      <c r="AO161" s="102"/>
      <c r="AP161" s="73"/>
      <c r="AQ161" s="73"/>
      <c r="AR161" s="74"/>
      <c r="AS161" s="73"/>
      <c r="AT161" s="73"/>
      <c r="AU161" s="73"/>
      <c r="AV161" s="73"/>
      <c r="AW161" s="73"/>
      <c r="AX161" s="74"/>
      <c r="AY161" s="73"/>
      <c r="AZ161" s="73"/>
      <c r="BA161" s="74"/>
      <c r="BB161" s="73"/>
      <c r="BC161" s="73"/>
      <c r="BD161" s="73"/>
      <c r="BE161" s="73"/>
      <c r="BF161" s="73"/>
      <c r="BG161" s="73"/>
      <c r="BH161" s="73"/>
      <c r="BI161" s="73"/>
      <c r="BJ161" s="73"/>
      <c r="BK161" s="73"/>
      <c r="BL161" s="73"/>
      <c r="BM161" s="73"/>
      <c r="BN161" s="73"/>
      <c r="BO161" s="73"/>
      <c r="BP161" s="73"/>
      <c r="BQ161" s="73"/>
      <c r="BR161" s="73"/>
      <c r="BS161" s="73"/>
      <c r="BT161" s="74"/>
      <c r="BU161" s="73"/>
      <c r="BV161" s="73"/>
      <c r="BW161" s="73"/>
      <c r="BX161" s="73"/>
      <c r="BY161" s="73"/>
      <c r="BZ161" s="73"/>
      <c r="CA161" s="73"/>
      <c r="CB161" s="73"/>
      <c r="CC161" s="73"/>
      <c r="CD161" s="73"/>
      <c r="CE161" s="73"/>
    </row>
    <row r="162">
      <c r="A162" s="136" t="str">
        <f>IFERROR(__xludf.DUMMYFUNCTION("""COMPUTED_VALUE"""),"Damage Mastery")</f>
        <v>Damage Mastery</v>
      </c>
      <c r="B162" s="87">
        <f>IFERROR(__xludf.DUMMYFUNCTION("""COMPUTED_VALUE"""),0.0)</f>
        <v>0</v>
      </c>
      <c r="C162" s="73"/>
      <c r="D162" s="88">
        <f>IFERROR(__xludf.DUMMYFUNCTION("""COMPUTED_VALUE"""),9.0)</f>
        <v>9</v>
      </c>
      <c r="E162" s="73"/>
      <c r="F162" s="73"/>
      <c r="G162" s="73"/>
      <c r="H162" s="73"/>
      <c r="I162" s="73"/>
      <c r="J162" s="73"/>
      <c r="K162" s="92"/>
      <c r="L162" s="73"/>
      <c r="M162" s="73"/>
      <c r="N162" s="73"/>
      <c r="O162" s="73"/>
      <c r="P162" s="73"/>
      <c r="Q162" s="75"/>
      <c r="R162" s="82"/>
      <c r="S162" s="73"/>
      <c r="T162" s="73"/>
      <c r="U162" s="73"/>
      <c r="V162" s="73"/>
      <c r="W162" s="73"/>
      <c r="X162" s="73"/>
      <c r="Y162" s="77"/>
      <c r="Z162" s="104"/>
      <c r="AA162" s="73"/>
      <c r="AB162" s="104"/>
      <c r="AC162" s="104"/>
      <c r="AD162" s="74"/>
      <c r="AE162" s="106"/>
      <c r="AF162" s="195"/>
      <c r="AG162" s="80"/>
      <c r="AH162" s="104"/>
      <c r="AI162" s="73"/>
      <c r="AJ162" s="114"/>
      <c r="AK162" s="106"/>
      <c r="AL162" s="74"/>
      <c r="AM162" s="73"/>
      <c r="AN162" s="73"/>
      <c r="AO162" s="102"/>
      <c r="AP162" s="73"/>
      <c r="AQ162" s="73"/>
      <c r="AR162" s="74"/>
      <c r="AS162" s="73"/>
      <c r="AT162" s="73"/>
      <c r="AU162" s="73"/>
      <c r="AV162" s="73"/>
      <c r="AW162" s="73"/>
      <c r="AX162" s="74"/>
      <c r="AY162" s="73"/>
      <c r="AZ162" s="73"/>
      <c r="BA162" s="74"/>
      <c r="BB162" s="73"/>
      <c r="BC162" s="73"/>
      <c r="BD162" s="73"/>
      <c r="BE162" s="73"/>
      <c r="BF162" s="73"/>
      <c r="BG162" s="73"/>
      <c r="BH162" s="73"/>
      <c r="BI162" s="73"/>
      <c r="BJ162" s="73"/>
      <c r="BK162" s="73"/>
      <c r="BL162" s="73"/>
      <c r="BM162" s="73"/>
      <c r="BN162" s="73"/>
      <c r="BO162" s="73"/>
      <c r="BP162" s="73"/>
      <c r="BQ162" s="73"/>
      <c r="BR162" s="73"/>
      <c r="BS162" s="73"/>
      <c r="BT162" s="74"/>
      <c r="BU162" s="73"/>
      <c r="BV162" s="73"/>
      <c r="BW162" s="73"/>
      <c r="BX162" s="73"/>
      <c r="BY162" s="73"/>
      <c r="BZ162" s="73"/>
      <c r="CA162" s="73"/>
      <c r="CB162" s="73"/>
      <c r="CC162" s="73"/>
      <c r="CD162" s="73"/>
      <c r="CE162" s="73"/>
    </row>
    <row r="163">
      <c r="A163" s="136" t="str">
        <f>IFERROR(__xludf.DUMMYFUNCTION("""COMPUTED_VALUE"""),"Attack Speed Mastery")</f>
        <v>Attack Speed Mastery</v>
      </c>
      <c r="B163" s="87">
        <f>IFERROR(__xludf.DUMMYFUNCTION("""COMPUTED_VALUE"""),0.0)</f>
        <v>0</v>
      </c>
      <c r="C163" s="73"/>
      <c r="D163" s="88">
        <f>IFERROR(__xludf.DUMMYFUNCTION("""COMPUTED_VALUE"""),9.0)</f>
        <v>9</v>
      </c>
      <c r="E163" s="73"/>
      <c r="F163" s="73"/>
      <c r="G163" s="73"/>
      <c r="H163" s="73"/>
      <c r="I163" s="73"/>
      <c r="J163" s="73"/>
      <c r="K163" s="92"/>
      <c r="L163" s="73"/>
      <c r="M163" s="73"/>
      <c r="N163" s="73"/>
      <c r="O163" s="73"/>
      <c r="P163" s="73"/>
      <c r="Q163" s="75"/>
      <c r="R163" s="82"/>
      <c r="S163" s="73"/>
      <c r="T163" s="73"/>
      <c r="U163" s="73"/>
      <c r="V163" s="73"/>
      <c r="W163" s="73"/>
      <c r="X163" s="73"/>
      <c r="Y163" s="77"/>
      <c r="Z163" s="104"/>
      <c r="AA163" s="73"/>
      <c r="AB163" s="104"/>
      <c r="AC163" s="104"/>
      <c r="AD163" s="74"/>
      <c r="AE163" s="106"/>
      <c r="AF163" s="195"/>
      <c r="AG163" s="80"/>
      <c r="AH163" s="104"/>
      <c r="AI163" s="73"/>
      <c r="AJ163" s="114"/>
      <c r="AK163" s="106"/>
      <c r="AL163" s="74"/>
      <c r="AM163" s="73"/>
      <c r="AN163" s="73"/>
      <c r="AO163" s="102"/>
      <c r="AP163" s="73"/>
      <c r="AQ163" s="73"/>
      <c r="AR163" s="74"/>
      <c r="AS163" s="73"/>
      <c r="AT163" s="73"/>
      <c r="AU163" s="73"/>
      <c r="AV163" s="73"/>
      <c r="AW163" s="73"/>
      <c r="AX163" s="74"/>
      <c r="AY163" s="73"/>
      <c r="AZ163" s="73"/>
      <c r="BA163" s="74"/>
      <c r="BB163" s="73"/>
      <c r="BC163" s="73"/>
      <c r="BD163" s="73"/>
      <c r="BE163" s="73"/>
      <c r="BF163" s="73"/>
      <c r="BG163" s="73"/>
      <c r="BH163" s="73"/>
      <c r="BI163" s="73"/>
      <c r="BJ163" s="73"/>
      <c r="BK163" s="73"/>
      <c r="BL163" s="73"/>
      <c r="BM163" s="73"/>
      <c r="BN163" s="73"/>
      <c r="BO163" s="73"/>
      <c r="BP163" s="73"/>
      <c r="BQ163" s="73"/>
      <c r="BR163" s="73"/>
      <c r="BS163" s="73"/>
      <c r="BT163" s="74"/>
      <c r="BU163" s="73"/>
      <c r="BV163" s="73"/>
      <c r="BW163" s="73"/>
      <c r="BX163" s="73"/>
      <c r="BY163" s="73"/>
      <c r="BZ163" s="73"/>
      <c r="CA163" s="73"/>
      <c r="CB163" s="73"/>
      <c r="CC163" s="73"/>
      <c r="CD163" s="73"/>
      <c r="CE163" s="73"/>
    </row>
    <row r="164">
      <c r="A164" s="136" t="str">
        <f>IFERROR(__xludf.DUMMYFUNCTION("""COMPUTED_VALUE"""),"Health Mastery")</f>
        <v>Health Mastery</v>
      </c>
      <c r="B164" s="87">
        <f>IFERROR(__xludf.DUMMYFUNCTION("""COMPUTED_VALUE"""),0.0)</f>
        <v>0</v>
      </c>
      <c r="C164" s="73"/>
      <c r="D164" s="88">
        <f>IFERROR(__xludf.DUMMYFUNCTION("""COMPUTED_VALUE"""),9.0)</f>
        <v>9</v>
      </c>
      <c r="E164" s="73"/>
      <c r="F164" s="73"/>
      <c r="G164" s="73"/>
      <c r="H164" s="73"/>
      <c r="I164" s="73"/>
      <c r="J164" s="73"/>
      <c r="K164" s="92"/>
      <c r="L164" s="73"/>
      <c r="M164" s="73"/>
      <c r="N164" s="73"/>
      <c r="O164" s="73"/>
      <c r="P164" s="73"/>
      <c r="Q164" s="75"/>
      <c r="R164" s="82"/>
      <c r="S164" s="73"/>
      <c r="T164" s="73"/>
      <c r="U164" s="73"/>
      <c r="V164" s="73"/>
      <c r="W164" s="73"/>
      <c r="X164" s="73"/>
      <c r="Y164" s="77"/>
      <c r="Z164" s="104"/>
      <c r="AA164" s="73"/>
      <c r="AB164" s="104"/>
      <c r="AC164" s="104"/>
      <c r="AD164" s="74"/>
      <c r="AE164" s="106"/>
      <c r="AF164" s="195"/>
      <c r="AG164" s="80"/>
      <c r="AH164" s="104"/>
      <c r="AI164" s="73"/>
      <c r="AJ164" s="114"/>
      <c r="AK164" s="106"/>
      <c r="AL164" s="74"/>
      <c r="AM164" s="73"/>
      <c r="AN164" s="73"/>
      <c r="AO164" s="102"/>
      <c r="AP164" s="73"/>
      <c r="AQ164" s="73"/>
      <c r="AR164" s="74"/>
      <c r="AS164" s="73"/>
      <c r="AT164" s="73"/>
      <c r="AU164" s="73"/>
      <c r="AV164" s="73"/>
      <c r="AW164" s="73"/>
      <c r="AX164" s="74"/>
      <c r="AY164" s="73"/>
      <c r="AZ164" s="73"/>
      <c r="BA164" s="74"/>
      <c r="BB164" s="73"/>
      <c r="BC164" s="73"/>
      <c r="BD164" s="73"/>
      <c r="BE164" s="73"/>
      <c r="BF164" s="73"/>
      <c r="BG164" s="73"/>
      <c r="BH164" s="73"/>
      <c r="BI164" s="73"/>
      <c r="BJ164" s="73"/>
      <c r="BK164" s="73"/>
      <c r="BL164" s="73"/>
      <c r="BM164" s="73"/>
      <c r="BN164" s="73"/>
      <c r="BO164" s="73"/>
      <c r="BP164" s="73"/>
      <c r="BQ164" s="73"/>
      <c r="BR164" s="73"/>
      <c r="BS164" s="73"/>
      <c r="BT164" s="74"/>
      <c r="BU164" s="73"/>
      <c r="BV164" s="73"/>
      <c r="BW164" s="73"/>
      <c r="BX164" s="73"/>
      <c r="BY164" s="73"/>
      <c r="BZ164" s="73"/>
      <c r="CA164" s="73"/>
      <c r="CB164" s="73"/>
      <c r="CC164" s="73"/>
      <c r="CD164" s="73"/>
      <c r="CE164" s="73"/>
    </row>
    <row r="165">
      <c r="A165" s="136" t="str">
        <f>IFERROR(__xludf.DUMMYFUNCTION("""COMPUTED_VALUE"""),"Health Regen Mastery")</f>
        <v>Health Regen Mastery</v>
      </c>
      <c r="B165" s="87">
        <f>IFERROR(__xludf.DUMMYFUNCTION("""COMPUTED_VALUE"""),0.0)</f>
        <v>0</v>
      </c>
      <c r="C165" s="73"/>
      <c r="D165" s="88">
        <f>IFERROR(__xludf.DUMMYFUNCTION("""COMPUTED_VALUE"""),9.0)</f>
        <v>9</v>
      </c>
      <c r="E165" s="73"/>
      <c r="F165" s="73"/>
      <c r="G165" s="73"/>
      <c r="H165" s="73"/>
      <c r="I165" s="73"/>
      <c r="J165" s="73"/>
      <c r="K165" s="92"/>
      <c r="L165" s="73"/>
      <c r="M165" s="73"/>
      <c r="N165" s="73"/>
      <c r="O165" s="73"/>
      <c r="P165" s="73"/>
      <c r="Q165" s="75"/>
      <c r="R165" s="82"/>
      <c r="S165" s="73"/>
      <c r="T165" s="73"/>
      <c r="U165" s="73"/>
      <c r="V165" s="73"/>
      <c r="W165" s="73"/>
      <c r="X165" s="73"/>
      <c r="Y165" s="77"/>
      <c r="Z165" s="104"/>
      <c r="AA165" s="73"/>
      <c r="AB165" s="104"/>
      <c r="AC165" s="104"/>
      <c r="AD165" s="74"/>
      <c r="AE165" s="106"/>
      <c r="AF165" s="195"/>
      <c r="AG165" s="80"/>
      <c r="AH165" s="104"/>
      <c r="AI165" s="73"/>
      <c r="AJ165" s="114"/>
      <c r="AK165" s="106"/>
      <c r="AL165" s="74"/>
      <c r="AM165" s="73"/>
      <c r="AN165" s="73"/>
      <c r="AO165" s="102"/>
      <c r="AP165" s="73"/>
      <c r="AQ165" s="73"/>
      <c r="AR165" s="74"/>
      <c r="AS165" s="73"/>
      <c r="AT165" s="73"/>
      <c r="AU165" s="73"/>
      <c r="AV165" s="73"/>
      <c r="AW165" s="73"/>
      <c r="AX165" s="74"/>
      <c r="AY165" s="73"/>
      <c r="AZ165" s="73"/>
      <c r="BA165" s="74"/>
      <c r="BB165" s="73"/>
      <c r="BC165" s="73"/>
      <c r="BD165" s="73"/>
      <c r="BE165" s="73"/>
      <c r="BF165" s="73"/>
      <c r="BG165" s="73"/>
      <c r="BH165" s="73"/>
      <c r="BI165" s="73"/>
      <c r="BJ165" s="73"/>
      <c r="BK165" s="73"/>
      <c r="BL165" s="73"/>
      <c r="BM165" s="73"/>
      <c r="BN165" s="73"/>
      <c r="BO165" s="73"/>
      <c r="BP165" s="73"/>
      <c r="BQ165" s="73"/>
      <c r="BR165" s="73"/>
      <c r="BS165" s="73"/>
      <c r="BT165" s="74"/>
      <c r="BU165" s="73"/>
      <c r="BV165" s="73"/>
      <c r="BW165" s="73"/>
      <c r="BX165" s="73"/>
      <c r="BY165" s="73"/>
      <c r="BZ165" s="73"/>
      <c r="CA165" s="73"/>
      <c r="CB165" s="73"/>
      <c r="CC165" s="73"/>
      <c r="CD165" s="73"/>
      <c r="CE165" s="73"/>
    </row>
    <row r="166">
      <c r="A166" s="136" t="str">
        <f>IFERROR(__xludf.DUMMYFUNCTION("""COMPUTED_VALUE"""),"Range Mastery")</f>
        <v>Range Mastery</v>
      </c>
      <c r="B166" s="87">
        <f>IFERROR(__xludf.DUMMYFUNCTION("""COMPUTED_VALUE"""),0.0)</f>
        <v>0</v>
      </c>
      <c r="C166" s="73"/>
      <c r="D166" s="88">
        <f>IFERROR(__xludf.DUMMYFUNCTION("""COMPUTED_VALUE"""),9.0)</f>
        <v>9</v>
      </c>
      <c r="E166" s="73"/>
      <c r="F166" s="73"/>
      <c r="G166" s="73"/>
      <c r="H166" s="73"/>
      <c r="I166" s="73"/>
      <c r="J166" s="73"/>
      <c r="K166" s="92"/>
      <c r="L166" s="73"/>
      <c r="M166" s="73"/>
      <c r="N166" s="73"/>
      <c r="O166" s="73"/>
      <c r="P166" s="73"/>
      <c r="Q166" s="75"/>
      <c r="R166" s="82"/>
      <c r="S166" s="73"/>
      <c r="T166" s="73"/>
      <c r="U166" s="73"/>
      <c r="V166" s="73"/>
      <c r="W166" s="73"/>
      <c r="X166" s="73"/>
      <c r="Y166" s="77"/>
      <c r="Z166" s="104"/>
      <c r="AA166" s="73"/>
      <c r="AB166" s="104"/>
      <c r="AC166" s="104"/>
      <c r="AD166" s="74"/>
      <c r="AE166" s="106"/>
      <c r="AF166" s="195"/>
      <c r="AG166" s="80"/>
      <c r="AH166" s="104"/>
      <c r="AI166" s="73"/>
      <c r="AJ166" s="114"/>
      <c r="AK166" s="106"/>
      <c r="AL166" s="74"/>
      <c r="AM166" s="73"/>
      <c r="AN166" s="73"/>
      <c r="AO166" s="102"/>
      <c r="AP166" s="73"/>
      <c r="AQ166" s="73"/>
      <c r="AR166" s="74"/>
      <c r="AS166" s="73"/>
      <c r="AT166" s="73"/>
      <c r="AU166" s="73"/>
      <c r="AV166" s="73"/>
      <c r="AW166" s="73"/>
      <c r="AX166" s="74"/>
      <c r="AY166" s="73"/>
      <c r="AZ166" s="73"/>
      <c r="BA166" s="74"/>
      <c r="BB166" s="73"/>
      <c r="BC166" s="73"/>
      <c r="BD166" s="73"/>
      <c r="BE166" s="73"/>
      <c r="BF166" s="73"/>
      <c r="BG166" s="73"/>
      <c r="BH166" s="73"/>
      <c r="BI166" s="73"/>
      <c r="BJ166" s="73"/>
      <c r="BK166" s="73"/>
      <c r="BL166" s="73"/>
      <c r="BM166" s="73"/>
      <c r="BN166" s="73"/>
      <c r="BO166" s="73"/>
      <c r="BP166" s="73"/>
      <c r="BQ166" s="73"/>
      <c r="BR166" s="73"/>
      <c r="BS166" s="73"/>
      <c r="BT166" s="74"/>
      <c r="BU166" s="73"/>
      <c r="BV166" s="73"/>
      <c r="BW166" s="73"/>
      <c r="BX166" s="73"/>
      <c r="BY166" s="73"/>
      <c r="BZ166" s="73"/>
      <c r="CA166" s="73"/>
      <c r="CB166" s="73"/>
      <c r="CC166" s="73"/>
      <c r="CD166" s="73"/>
      <c r="CE166" s="73"/>
    </row>
    <row r="167">
      <c r="A167" s="136" t="str">
        <f>IFERROR(__xludf.DUMMYFUNCTION("""COMPUTED_VALUE"""),"Cash Mastery")</f>
        <v>Cash Mastery</v>
      </c>
      <c r="B167" s="87">
        <f>IFERROR(__xludf.DUMMYFUNCTION("""COMPUTED_VALUE"""),1.0)</f>
        <v>1</v>
      </c>
      <c r="C167" s="73"/>
      <c r="D167" s="88">
        <f>IFERROR(__xludf.DUMMYFUNCTION("""COMPUTED_VALUE"""),9.0)</f>
        <v>9</v>
      </c>
      <c r="E167" s="73"/>
      <c r="F167" s="73"/>
      <c r="G167" s="73"/>
      <c r="H167" s="73"/>
      <c r="I167" s="73"/>
      <c r="J167" s="73"/>
      <c r="K167" s="92"/>
      <c r="L167" s="73"/>
      <c r="M167" s="73"/>
      <c r="N167" s="73"/>
      <c r="O167" s="73"/>
      <c r="P167" s="73"/>
      <c r="Q167" s="75"/>
      <c r="R167" s="82"/>
      <c r="S167" s="73"/>
      <c r="T167" s="73"/>
      <c r="U167" s="73"/>
      <c r="V167" s="73"/>
      <c r="W167" s="73"/>
      <c r="X167" s="73"/>
      <c r="Y167" s="77"/>
      <c r="Z167" s="104"/>
      <c r="AA167" s="73"/>
      <c r="AB167" s="104"/>
      <c r="AC167" s="104"/>
      <c r="AD167" s="74"/>
      <c r="AE167" s="106"/>
      <c r="AF167" s="195"/>
      <c r="AG167" s="80"/>
      <c r="AH167" s="104"/>
      <c r="AI167" s="73"/>
      <c r="AJ167" s="114"/>
      <c r="AK167" s="106"/>
      <c r="AL167" s="74"/>
      <c r="AM167" s="73"/>
      <c r="AN167" s="73"/>
      <c r="AO167" s="102"/>
      <c r="AP167" s="73"/>
      <c r="AQ167" s="73"/>
      <c r="AR167" s="74"/>
      <c r="AS167" s="73"/>
      <c r="AT167" s="73"/>
      <c r="AU167" s="73"/>
      <c r="AV167" s="73"/>
      <c r="AW167" s="73"/>
      <c r="AX167" s="74"/>
      <c r="AY167" s="73"/>
      <c r="AZ167" s="73"/>
      <c r="BA167" s="74"/>
      <c r="BB167" s="73"/>
      <c r="BC167" s="73"/>
      <c r="BD167" s="73"/>
      <c r="BE167" s="73"/>
      <c r="BF167" s="73"/>
      <c r="BG167" s="73"/>
      <c r="BH167" s="73"/>
      <c r="BI167" s="73"/>
      <c r="BJ167" s="73"/>
      <c r="BK167" s="73"/>
      <c r="BL167" s="73"/>
      <c r="BM167" s="73"/>
      <c r="BN167" s="73"/>
      <c r="BO167" s="73"/>
      <c r="BP167" s="73"/>
      <c r="BQ167" s="73"/>
      <c r="BR167" s="73"/>
      <c r="BS167" s="73"/>
      <c r="BT167" s="74"/>
      <c r="BU167" s="73"/>
      <c r="BV167" s="73"/>
      <c r="BW167" s="73"/>
      <c r="BX167" s="73"/>
      <c r="BY167" s="73"/>
      <c r="BZ167" s="73"/>
      <c r="CA167" s="73"/>
      <c r="CB167" s="73"/>
      <c r="CC167" s="73"/>
      <c r="CD167" s="73"/>
      <c r="CE167" s="73"/>
    </row>
    <row r="168">
      <c r="A168" s="136" t="str">
        <f>IFERROR(__xludf.DUMMYFUNCTION("""COMPUTED_VALUE"""),"Coins Mastery")</f>
        <v>Coins Mastery</v>
      </c>
      <c r="B168" s="87">
        <f>IFERROR(__xludf.DUMMYFUNCTION("""COMPUTED_VALUE"""),0.0)</f>
        <v>0</v>
      </c>
      <c r="C168" s="73"/>
      <c r="D168" s="88">
        <f>IFERROR(__xludf.DUMMYFUNCTION("""COMPUTED_VALUE"""),9.0)</f>
        <v>9</v>
      </c>
      <c r="E168" s="73"/>
      <c r="F168" s="73"/>
      <c r="G168" s="73"/>
      <c r="H168" s="73"/>
      <c r="I168" s="73"/>
      <c r="J168" s="73"/>
      <c r="K168" s="92"/>
      <c r="L168" s="73"/>
      <c r="M168" s="73"/>
      <c r="N168" s="73"/>
      <c r="O168" s="73"/>
      <c r="P168" s="73"/>
      <c r="Q168" s="75"/>
      <c r="R168" s="82"/>
      <c r="S168" s="73"/>
      <c r="T168" s="73"/>
      <c r="U168" s="73"/>
      <c r="V168" s="73"/>
      <c r="W168" s="73"/>
      <c r="X168" s="73"/>
      <c r="Y168" s="77"/>
      <c r="Z168" s="104"/>
      <c r="AA168" s="73"/>
      <c r="AB168" s="104"/>
      <c r="AC168" s="104"/>
      <c r="AD168" s="74"/>
      <c r="AE168" s="106"/>
      <c r="AF168" s="195"/>
      <c r="AG168" s="80"/>
      <c r="AH168" s="104"/>
      <c r="AI168" s="73"/>
      <c r="AJ168" s="114"/>
      <c r="AK168" s="106"/>
      <c r="AL168" s="74"/>
      <c r="AM168" s="73"/>
      <c r="AN168" s="73"/>
      <c r="AO168" s="102"/>
      <c r="AP168" s="73"/>
      <c r="AQ168" s="73"/>
      <c r="AR168" s="74"/>
      <c r="AS168" s="73"/>
      <c r="AT168" s="73"/>
      <c r="AU168" s="73"/>
      <c r="AV168" s="73"/>
      <c r="AW168" s="73"/>
      <c r="AX168" s="74"/>
      <c r="AY168" s="73"/>
      <c r="AZ168" s="73"/>
      <c r="BA168" s="74"/>
      <c r="BB168" s="73"/>
      <c r="BC168" s="73"/>
      <c r="BD168" s="73"/>
      <c r="BE168" s="73"/>
      <c r="BF168" s="73"/>
      <c r="BG168" s="73"/>
      <c r="BH168" s="73"/>
      <c r="BI168" s="73"/>
      <c r="BJ168" s="73"/>
      <c r="BK168" s="73"/>
      <c r="BL168" s="73"/>
      <c r="BM168" s="73"/>
      <c r="BN168" s="73"/>
      <c r="BO168" s="73"/>
      <c r="BP168" s="73"/>
      <c r="BQ168" s="73"/>
      <c r="BR168" s="73"/>
      <c r="BS168" s="73"/>
      <c r="BT168" s="74"/>
      <c r="BU168" s="73"/>
      <c r="BV168" s="73"/>
      <c r="BW168" s="73"/>
      <c r="BX168" s="73"/>
      <c r="BY168" s="73"/>
      <c r="BZ168" s="73"/>
      <c r="CA168" s="73"/>
      <c r="CB168" s="73"/>
      <c r="CC168" s="73"/>
      <c r="CD168" s="73"/>
      <c r="CE168" s="73"/>
    </row>
    <row r="169">
      <c r="A169" s="136" t="str">
        <f>IFERROR(__xludf.DUMMYFUNCTION("""COMPUTED_VALUE"""),"Slow Aura Mastery")</f>
        <v>Slow Aura Mastery</v>
      </c>
      <c r="B169" s="87">
        <f>IFERROR(__xludf.DUMMYFUNCTION("""COMPUTED_VALUE"""),0.0)</f>
        <v>0</v>
      </c>
      <c r="C169" s="73"/>
      <c r="D169" s="88">
        <f>IFERROR(__xludf.DUMMYFUNCTION("""COMPUTED_VALUE"""),9.0)</f>
        <v>9</v>
      </c>
      <c r="E169" s="73"/>
      <c r="F169" s="73"/>
      <c r="G169" s="73"/>
      <c r="H169" s="73"/>
      <c r="I169" s="73"/>
      <c r="J169" s="73"/>
      <c r="K169" s="92"/>
      <c r="L169" s="73"/>
      <c r="M169" s="73"/>
      <c r="N169" s="73"/>
      <c r="O169" s="73"/>
      <c r="P169" s="73"/>
      <c r="Q169" s="75"/>
      <c r="R169" s="82"/>
      <c r="S169" s="73"/>
      <c r="T169" s="73"/>
      <c r="U169" s="73"/>
      <c r="V169" s="73"/>
      <c r="W169" s="73"/>
      <c r="X169" s="73"/>
      <c r="Y169" s="77"/>
      <c r="Z169" s="104"/>
      <c r="AA169" s="73"/>
      <c r="AB169" s="104"/>
      <c r="AC169" s="104"/>
      <c r="AD169" s="74"/>
      <c r="AE169" s="106"/>
      <c r="AF169" s="195"/>
      <c r="AG169" s="80"/>
      <c r="AH169" s="104"/>
      <c r="AI169" s="73"/>
      <c r="AJ169" s="114"/>
      <c r="AK169" s="106"/>
      <c r="AL169" s="74"/>
      <c r="AM169" s="73"/>
      <c r="AN169" s="73"/>
      <c r="AO169" s="102"/>
      <c r="AP169" s="73"/>
      <c r="AQ169" s="73"/>
      <c r="AR169" s="74"/>
      <c r="AS169" s="73"/>
      <c r="AT169" s="73"/>
      <c r="AU169" s="73"/>
      <c r="AV169" s="73"/>
      <c r="AW169" s="73"/>
      <c r="AX169" s="74"/>
      <c r="AY169" s="73"/>
      <c r="AZ169" s="73"/>
      <c r="BA169" s="74"/>
      <c r="BB169" s="73"/>
      <c r="BC169" s="73"/>
      <c r="BD169" s="73"/>
      <c r="BE169" s="73"/>
      <c r="BF169" s="73"/>
      <c r="BG169" s="73"/>
      <c r="BH169" s="73"/>
      <c r="BI169" s="73"/>
      <c r="BJ169" s="73"/>
      <c r="BK169" s="73"/>
      <c r="BL169" s="73"/>
      <c r="BM169" s="73"/>
      <c r="BN169" s="73"/>
      <c r="BO169" s="73"/>
      <c r="BP169" s="73"/>
      <c r="BQ169" s="73"/>
      <c r="BR169" s="73"/>
      <c r="BS169" s="73"/>
      <c r="BT169" s="74"/>
      <c r="BU169" s="73"/>
      <c r="BV169" s="73"/>
      <c r="BW169" s="73"/>
      <c r="BX169" s="73"/>
      <c r="BY169" s="73"/>
      <c r="BZ169" s="73"/>
      <c r="CA169" s="73"/>
      <c r="CB169" s="73"/>
      <c r="CC169" s="73"/>
      <c r="CD169" s="73"/>
      <c r="CE169" s="73"/>
    </row>
    <row r="170">
      <c r="A170" s="136" t="str">
        <f>IFERROR(__xludf.DUMMYFUNCTION("""COMPUTED_VALUE"""),"Critical Chance Mastery")</f>
        <v>Critical Chance Mastery</v>
      </c>
      <c r="B170" s="87">
        <f>IFERROR(__xludf.DUMMYFUNCTION("""COMPUTED_VALUE"""),0.0)</f>
        <v>0</v>
      </c>
      <c r="C170" s="73"/>
      <c r="D170" s="88">
        <f>IFERROR(__xludf.DUMMYFUNCTION("""COMPUTED_VALUE"""),9.0)</f>
        <v>9</v>
      </c>
      <c r="E170" s="73"/>
      <c r="F170" s="73"/>
      <c r="G170" s="73"/>
      <c r="H170" s="73"/>
      <c r="I170" s="73"/>
      <c r="J170" s="73"/>
      <c r="K170" s="92"/>
      <c r="L170" s="73"/>
      <c r="M170" s="73"/>
      <c r="N170" s="73"/>
      <c r="O170" s="73"/>
      <c r="P170" s="73"/>
      <c r="Q170" s="75"/>
      <c r="R170" s="82"/>
      <c r="S170" s="73"/>
      <c r="T170" s="73"/>
      <c r="U170" s="73"/>
      <c r="V170" s="73"/>
      <c r="W170" s="73"/>
      <c r="X170" s="73"/>
      <c r="Y170" s="77"/>
      <c r="Z170" s="104"/>
      <c r="AA170" s="73"/>
      <c r="AB170" s="104"/>
      <c r="AC170" s="104"/>
      <c r="AD170" s="74"/>
      <c r="AE170" s="106"/>
      <c r="AF170" s="195"/>
      <c r="AG170" s="80"/>
      <c r="AH170" s="104"/>
      <c r="AI170" s="73"/>
      <c r="AJ170" s="114"/>
      <c r="AK170" s="106"/>
      <c r="AL170" s="74"/>
      <c r="AM170" s="73"/>
      <c r="AN170" s="73"/>
      <c r="AO170" s="102"/>
      <c r="AP170" s="73"/>
      <c r="AQ170" s="73"/>
      <c r="AR170" s="74"/>
      <c r="AS170" s="73"/>
      <c r="AT170" s="73"/>
      <c r="AU170" s="73"/>
      <c r="AV170" s="73"/>
      <c r="AW170" s="73"/>
      <c r="AX170" s="74"/>
      <c r="AY170" s="73"/>
      <c r="AZ170" s="73"/>
      <c r="BA170" s="74"/>
      <c r="BB170" s="73"/>
      <c r="BC170" s="73"/>
      <c r="BD170" s="73"/>
      <c r="BE170" s="73"/>
      <c r="BF170" s="73"/>
      <c r="BG170" s="73"/>
      <c r="BH170" s="73"/>
      <c r="BI170" s="73"/>
      <c r="BJ170" s="73"/>
      <c r="BK170" s="73"/>
      <c r="BL170" s="73"/>
      <c r="BM170" s="73"/>
      <c r="BN170" s="73"/>
      <c r="BO170" s="73"/>
      <c r="BP170" s="73"/>
      <c r="BQ170" s="73"/>
      <c r="BR170" s="73"/>
      <c r="BS170" s="73"/>
      <c r="BT170" s="74"/>
      <c r="BU170" s="73"/>
      <c r="BV170" s="73"/>
      <c r="BW170" s="73"/>
      <c r="BX170" s="73"/>
      <c r="BY170" s="73"/>
      <c r="BZ170" s="73"/>
      <c r="CA170" s="73"/>
      <c r="CB170" s="73"/>
      <c r="CC170" s="73"/>
      <c r="CD170" s="73"/>
      <c r="CE170" s="73"/>
    </row>
    <row r="171">
      <c r="A171" s="136" t="str">
        <f>IFERROR(__xludf.DUMMYFUNCTION("""COMPUTED_VALUE"""),"Enemy Balance Mastery")</f>
        <v>Enemy Balance Mastery</v>
      </c>
      <c r="B171" s="87">
        <f>IFERROR(__xludf.DUMMYFUNCTION("""COMPUTED_VALUE"""),0.0)</f>
        <v>0</v>
      </c>
      <c r="C171" s="73"/>
      <c r="D171" s="88">
        <f>IFERROR(__xludf.DUMMYFUNCTION("""COMPUTED_VALUE"""),9.0)</f>
        <v>9</v>
      </c>
      <c r="E171" s="73"/>
      <c r="F171" s="73"/>
      <c r="G171" s="73"/>
      <c r="H171" s="73"/>
      <c r="I171" s="73"/>
      <c r="J171" s="73"/>
      <c r="K171" s="92"/>
      <c r="L171" s="73"/>
      <c r="M171" s="73"/>
      <c r="N171" s="73"/>
      <c r="O171" s="73"/>
      <c r="P171" s="73"/>
      <c r="Q171" s="75"/>
      <c r="R171" s="82"/>
      <c r="S171" s="73"/>
      <c r="T171" s="73"/>
      <c r="U171" s="73"/>
      <c r="V171" s="73"/>
      <c r="W171" s="73"/>
      <c r="X171" s="73"/>
      <c r="Y171" s="77"/>
      <c r="Z171" s="104"/>
      <c r="AA171" s="73"/>
      <c r="AB171" s="104"/>
      <c r="AC171" s="104"/>
      <c r="AD171" s="74"/>
      <c r="AE171" s="106"/>
      <c r="AF171" s="195"/>
      <c r="AG171" s="80"/>
      <c r="AH171" s="104"/>
      <c r="AI171" s="73"/>
      <c r="AJ171" s="114"/>
      <c r="AK171" s="106"/>
      <c r="AL171" s="74"/>
      <c r="AM171" s="73"/>
      <c r="AN171" s="73"/>
      <c r="AO171" s="102"/>
      <c r="AP171" s="73"/>
      <c r="AQ171" s="73"/>
      <c r="AR171" s="74"/>
      <c r="AS171" s="73"/>
      <c r="AT171" s="73"/>
      <c r="AU171" s="73"/>
      <c r="AV171" s="73"/>
      <c r="AW171" s="73"/>
      <c r="AX171" s="74"/>
      <c r="AY171" s="73"/>
      <c r="AZ171" s="73"/>
      <c r="BA171" s="74"/>
      <c r="BB171" s="73"/>
      <c r="BC171" s="73"/>
      <c r="BD171" s="73"/>
      <c r="BE171" s="73"/>
      <c r="BF171" s="73"/>
      <c r="BG171" s="73"/>
      <c r="BH171" s="73"/>
      <c r="BI171" s="73"/>
      <c r="BJ171" s="73"/>
      <c r="BK171" s="73"/>
      <c r="BL171" s="73"/>
      <c r="BM171" s="73"/>
      <c r="BN171" s="73"/>
      <c r="BO171" s="73"/>
      <c r="BP171" s="73"/>
      <c r="BQ171" s="73"/>
      <c r="BR171" s="73"/>
      <c r="BS171" s="73"/>
      <c r="BT171" s="74"/>
      <c r="BU171" s="73"/>
      <c r="BV171" s="73"/>
      <c r="BW171" s="73"/>
      <c r="BX171" s="73"/>
      <c r="BY171" s="73"/>
      <c r="BZ171" s="73"/>
      <c r="CA171" s="73"/>
      <c r="CB171" s="73"/>
      <c r="CC171" s="73"/>
      <c r="CD171" s="73"/>
      <c r="CE171" s="73"/>
    </row>
    <row r="172">
      <c r="A172" s="136" t="str">
        <f>IFERROR(__xludf.DUMMYFUNCTION("""COMPUTED_VALUE"""),"Extra Defense Mastery")</f>
        <v>Extra Defense Mastery</v>
      </c>
      <c r="B172" s="87">
        <f>IFERROR(__xludf.DUMMYFUNCTION("""COMPUTED_VALUE"""),0.0)</f>
        <v>0</v>
      </c>
      <c r="C172" s="73"/>
      <c r="D172" s="88">
        <f>IFERROR(__xludf.DUMMYFUNCTION("""COMPUTED_VALUE"""),9.0)</f>
        <v>9</v>
      </c>
      <c r="E172" s="73"/>
      <c r="F172" s="73"/>
      <c r="G172" s="73"/>
      <c r="H172" s="73"/>
      <c r="I172" s="73"/>
      <c r="J172" s="73"/>
      <c r="K172" s="92"/>
      <c r="L172" s="73"/>
      <c r="M172" s="73"/>
      <c r="N172" s="73"/>
      <c r="O172" s="73"/>
      <c r="P172" s="73"/>
      <c r="Q172" s="75"/>
      <c r="R172" s="82"/>
      <c r="S172" s="73"/>
      <c r="T172" s="73"/>
      <c r="U172" s="73"/>
      <c r="V172" s="73"/>
      <c r="W172" s="73"/>
      <c r="X172" s="73"/>
      <c r="Y172" s="77"/>
      <c r="Z172" s="104"/>
      <c r="AA172" s="73"/>
      <c r="AB172" s="104"/>
      <c r="AC172" s="104"/>
      <c r="AD172" s="74"/>
      <c r="AE172" s="106"/>
      <c r="AF172" s="195"/>
      <c r="AG172" s="80"/>
      <c r="AH172" s="104"/>
      <c r="AI172" s="73"/>
      <c r="AJ172" s="114"/>
      <c r="AK172" s="106"/>
      <c r="AL172" s="74"/>
      <c r="AM172" s="73"/>
      <c r="AN172" s="73"/>
      <c r="AO172" s="102"/>
      <c r="AP172" s="73"/>
      <c r="AQ172" s="73"/>
      <c r="AR172" s="74"/>
      <c r="AS172" s="73"/>
      <c r="AT172" s="73"/>
      <c r="AU172" s="73"/>
      <c r="AV172" s="73"/>
      <c r="AW172" s="73"/>
      <c r="AX172" s="74"/>
      <c r="AY172" s="73"/>
      <c r="AZ172" s="73"/>
      <c r="BA172" s="74"/>
      <c r="BB172" s="73"/>
      <c r="BC172" s="73"/>
      <c r="BD172" s="73"/>
      <c r="BE172" s="73"/>
      <c r="BF172" s="73"/>
      <c r="BG172" s="73"/>
      <c r="BH172" s="73"/>
      <c r="BI172" s="73"/>
      <c r="BJ172" s="73"/>
      <c r="BK172" s="73"/>
      <c r="BL172" s="73"/>
      <c r="BM172" s="73"/>
      <c r="BN172" s="73"/>
      <c r="BO172" s="73"/>
      <c r="BP172" s="73"/>
      <c r="BQ172" s="73"/>
      <c r="BR172" s="73"/>
      <c r="BS172" s="73"/>
      <c r="BT172" s="74"/>
      <c r="BU172" s="73"/>
      <c r="BV172" s="73"/>
      <c r="BW172" s="73"/>
      <c r="BX172" s="73"/>
      <c r="BY172" s="73"/>
      <c r="BZ172" s="73"/>
      <c r="CA172" s="73"/>
      <c r="CB172" s="73"/>
      <c r="CC172" s="73"/>
      <c r="CD172" s="73"/>
      <c r="CE172" s="73"/>
    </row>
    <row r="173">
      <c r="A173" s="136" t="str">
        <f>IFERROR(__xludf.DUMMYFUNCTION("""COMPUTED_VALUE"""),"Fortress Mastery")</f>
        <v>Fortress Mastery</v>
      </c>
      <c r="B173" s="87">
        <f>IFERROR(__xludf.DUMMYFUNCTION("""COMPUTED_VALUE"""),0.0)</f>
        <v>0</v>
      </c>
      <c r="C173" s="73"/>
      <c r="D173" s="88">
        <f>IFERROR(__xludf.DUMMYFUNCTION("""COMPUTED_VALUE"""),9.0)</f>
        <v>9</v>
      </c>
      <c r="E173" s="73"/>
      <c r="F173" s="73"/>
      <c r="G173" s="73"/>
      <c r="H173" s="73"/>
      <c r="I173" s="73"/>
      <c r="J173" s="73"/>
      <c r="K173" s="92"/>
      <c r="L173" s="73"/>
      <c r="M173" s="73"/>
      <c r="N173" s="73"/>
      <c r="O173" s="73"/>
      <c r="P173" s="73"/>
      <c r="Q173" s="75"/>
      <c r="R173" s="82"/>
      <c r="S173" s="73"/>
      <c r="T173" s="73"/>
      <c r="U173" s="73"/>
      <c r="V173" s="73"/>
      <c r="W173" s="73"/>
      <c r="X173" s="73"/>
      <c r="Y173" s="77"/>
      <c r="Z173" s="104"/>
      <c r="AA173" s="73"/>
      <c r="AB173" s="104"/>
      <c r="AC173" s="104"/>
      <c r="AD173" s="74"/>
      <c r="AE173" s="106"/>
      <c r="AF173" s="195"/>
      <c r="AG173" s="80"/>
      <c r="AH173" s="104"/>
      <c r="AI173" s="73"/>
      <c r="AJ173" s="114"/>
      <c r="AK173" s="106"/>
      <c r="AL173" s="74"/>
      <c r="AM173" s="73"/>
      <c r="AN173" s="73"/>
      <c r="AO173" s="102"/>
      <c r="AP173" s="73"/>
      <c r="AQ173" s="73"/>
      <c r="AR173" s="74"/>
      <c r="AS173" s="73"/>
      <c r="AT173" s="73"/>
      <c r="AU173" s="73"/>
      <c r="AV173" s="73"/>
      <c r="AW173" s="73"/>
      <c r="AX173" s="74"/>
      <c r="AY173" s="73"/>
      <c r="AZ173" s="73"/>
      <c r="BA173" s="74"/>
      <c r="BB173" s="73"/>
      <c r="BC173" s="73"/>
      <c r="BD173" s="73"/>
      <c r="BE173" s="73"/>
      <c r="BF173" s="73"/>
      <c r="BG173" s="73"/>
      <c r="BH173" s="73"/>
      <c r="BI173" s="73"/>
      <c r="BJ173" s="73"/>
      <c r="BK173" s="73"/>
      <c r="BL173" s="73"/>
      <c r="BM173" s="73"/>
      <c r="BN173" s="73"/>
      <c r="BO173" s="73"/>
      <c r="BP173" s="73"/>
      <c r="BQ173" s="73"/>
      <c r="BR173" s="73"/>
      <c r="BS173" s="73"/>
      <c r="BT173" s="74"/>
      <c r="BU173" s="73"/>
      <c r="BV173" s="73"/>
      <c r="BW173" s="73"/>
      <c r="BX173" s="73"/>
      <c r="BY173" s="73"/>
      <c r="BZ173" s="73"/>
      <c r="CA173" s="73"/>
      <c r="CB173" s="73"/>
      <c r="CC173" s="73"/>
      <c r="CD173" s="73"/>
      <c r="CE173" s="73"/>
    </row>
    <row r="174">
      <c r="A174" s="136" t="str">
        <f>IFERROR(__xludf.DUMMYFUNCTION("""COMPUTED_VALUE"""),"Free Upgrades Mastery")</f>
        <v>Free Upgrades Mastery</v>
      </c>
      <c r="B174" s="87">
        <f>IFERROR(__xludf.DUMMYFUNCTION("""COMPUTED_VALUE"""),0.0)</f>
        <v>0</v>
      </c>
      <c r="C174" s="73"/>
      <c r="D174" s="88">
        <f>IFERROR(__xludf.DUMMYFUNCTION("""COMPUTED_VALUE"""),9.0)</f>
        <v>9</v>
      </c>
      <c r="E174" s="73"/>
      <c r="F174" s="73"/>
      <c r="G174" s="73"/>
      <c r="H174" s="73"/>
      <c r="I174" s="73"/>
      <c r="J174" s="73"/>
      <c r="K174" s="92"/>
      <c r="L174" s="73"/>
      <c r="M174" s="73"/>
      <c r="N174" s="73"/>
      <c r="O174" s="73"/>
      <c r="P174" s="73"/>
      <c r="Q174" s="75"/>
      <c r="R174" s="82"/>
      <c r="S174" s="73"/>
      <c r="T174" s="73"/>
      <c r="U174" s="73"/>
      <c r="V174" s="73"/>
      <c r="W174" s="73"/>
      <c r="X174" s="73"/>
      <c r="Y174" s="77"/>
      <c r="Z174" s="104"/>
      <c r="AA174" s="73"/>
      <c r="AB174" s="104"/>
      <c r="AC174" s="104"/>
      <c r="AD174" s="74"/>
      <c r="AE174" s="106"/>
      <c r="AF174" s="195"/>
      <c r="AG174" s="80"/>
      <c r="AH174" s="104"/>
      <c r="AI174" s="73"/>
      <c r="AJ174" s="114"/>
      <c r="AK174" s="106"/>
      <c r="AL174" s="74"/>
      <c r="AM174" s="73"/>
      <c r="AN174" s="73"/>
      <c r="AO174" s="102"/>
      <c r="AP174" s="73"/>
      <c r="AQ174" s="73"/>
      <c r="AR174" s="74"/>
      <c r="AS174" s="73"/>
      <c r="AT174" s="73"/>
      <c r="AU174" s="73"/>
      <c r="AV174" s="73"/>
      <c r="AW174" s="73"/>
      <c r="AX174" s="74"/>
      <c r="AY174" s="73"/>
      <c r="AZ174" s="73"/>
      <c r="BA174" s="74"/>
      <c r="BB174" s="73"/>
      <c r="BC174" s="73"/>
      <c r="BD174" s="73"/>
      <c r="BE174" s="73"/>
      <c r="BF174" s="73"/>
      <c r="BG174" s="73"/>
      <c r="BH174" s="73"/>
      <c r="BI174" s="73"/>
      <c r="BJ174" s="73"/>
      <c r="BK174" s="73"/>
      <c r="BL174" s="73"/>
      <c r="BM174" s="73"/>
      <c r="BN174" s="73"/>
      <c r="BO174" s="73"/>
      <c r="BP174" s="73"/>
      <c r="BQ174" s="73"/>
      <c r="BR174" s="73"/>
      <c r="BS174" s="73"/>
      <c r="BT174" s="74"/>
      <c r="BU174" s="73"/>
      <c r="BV174" s="73"/>
      <c r="BW174" s="73"/>
      <c r="BX174" s="73"/>
      <c r="BY174" s="73"/>
      <c r="BZ174" s="73"/>
      <c r="CA174" s="73"/>
      <c r="CB174" s="73"/>
      <c r="CC174" s="73"/>
      <c r="CD174" s="73"/>
      <c r="CE174" s="73"/>
    </row>
    <row r="175">
      <c r="A175" s="136" t="str">
        <f>IFERROR(__xludf.DUMMYFUNCTION("""COMPUTED_VALUE"""),"Extra Orb Mastery")</f>
        <v>Extra Orb Mastery</v>
      </c>
      <c r="B175" s="87">
        <f>IFERROR(__xludf.DUMMYFUNCTION("""COMPUTED_VALUE"""),0.0)</f>
        <v>0</v>
      </c>
      <c r="C175" s="73"/>
      <c r="D175" s="193">
        <f>IFERROR(__xludf.DUMMYFUNCTION("""COMPUTED_VALUE"""),9.0)</f>
        <v>9</v>
      </c>
      <c r="E175" s="73"/>
      <c r="F175" s="73"/>
      <c r="G175" s="73"/>
      <c r="H175" s="73"/>
      <c r="I175" s="73"/>
      <c r="J175" s="73"/>
      <c r="K175" s="92"/>
      <c r="L175" s="73"/>
      <c r="M175" s="73"/>
      <c r="N175" s="73"/>
      <c r="O175" s="73"/>
      <c r="P175" s="73"/>
      <c r="Q175" s="75"/>
      <c r="R175" s="82"/>
      <c r="S175" s="73"/>
      <c r="T175" s="73"/>
      <c r="U175" s="73"/>
      <c r="V175" s="73"/>
      <c r="W175" s="73"/>
      <c r="X175" s="73"/>
      <c r="Y175" s="77"/>
      <c r="Z175" s="104"/>
      <c r="AA175" s="73"/>
      <c r="AB175" s="104"/>
      <c r="AC175" s="104"/>
      <c r="AD175" s="74"/>
      <c r="AE175" s="106"/>
      <c r="AF175" s="195"/>
      <c r="AG175" s="80"/>
      <c r="AH175" s="104"/>
      <c r="AI175" s="73"/>
      <c r="AJ175" s="114"/>
      <c r="AK175" s="106"/>
      <c r="AL175" s="74"/>
      <c r="AM175" s="73"/>
      <c r="AN175" s="73"/>
      <c r="AO175" s="102"/>
      <c r="AP175" s="73"/>
      <c r="AQ175" s="73"/>
      <c r="AR175" s="74"/>
      <c r="AS175" s="73"/>
      <c r="AT175" s="73"/>
      <c r="AU175" s="73"/>
      <c r="AV175" s="73"/>
      <c r="AW175" s="73"/>
      <c r="AX175" s="74"/>
      <c r="AY175" s="73"/>
      <c r="AZ175" s="73"/>
      <c r="BA175" s="74"/>
      <c r="BB175" s="73"/>
      <c r="BC175" s="73"/>
      <c r="BD175" s="73"/>
      <c r="BE175" s="73"/>
      <c r="BF175" s="73"/>
      <c r="BG175" s="73"/>
      <c r="BH175" s="73"/>
      <c r="BI175" s="73"/>
      <c r="BJ175" s="73"/>
      <c r="BK175" s="73"/>
      <c r="BL175" s="73"/>
      <c r="BM175" s="73"/>
      <c r="BN175" s="73"/>
      <c r="BO175" s="73"/>
      <c r="BP175" s="73"/>
      <c r="BQ175" s="73"/>
      <c r="BR175" s="73"/>
      <c r="BS175" s="73"/>
      <c r="BT175" s="74"/>
      <c r="BU175" s="73"/>
      <c r="BV175" s="73"/>
      <c r="BW175" s="73"/>
      <c r="BX175" s="73"/>
      <c r="BY175" s="73"/>
      <c r="BZ175" s="73"/>
      <c r="CA175" s="73"/>
      <c r="CB175" s="73"/>
      <c r="CC175" s="73"/>
      <c r="CD175" s="73"/>
      <c r="CE175" s="73"/>
    </row>
    <row r="176">
      <c r="A176" s="131" t="str">
        <f>IFERROR(__xludf.DUMMYFUNCTION("""COMPUTED_VALUE"""),"Plasma Cannon Mastery")</f>
        <v>Plasma Cannon Mastery</v>
      </c>
      <c r="B176" s="107">
        <f>IFERROR(__xludf.DUMMYFUNCTION("""COMPUTED_VALUE"""),0.0)</f>
        <v>0</v>
      </c>
      <c r="C176" s="73"/>
      <c r="D176" s="193">
        <f>IFERROR(__xludf.DUMMYFUNCTION("""COMPUTED_VALUE"""),9.0)</f>
        <v>9</v>
      </c>
      <c r="E176" s="73"/>
      <c r="F176" s="73"/>
      <c r="G176" s="73"/>
      <c r="H176" s="73"/>
      <c r="I176" s="73"/>
      <c r="J176" s="73"/>
      <c r="K176" s="92"/>
      <c r="L176" s="73"/>
      <c r="M176" s="73"/>
      <c r="N176" s="73"/>
      <c r="O176" s="73"/>
      <c r="P176" s="73"/>
      <c r="Q176" s="75"/>
      <c r="R176" s="82"/>
      <c r="S176" s="73"/>
      <c r="T176" s="73"/>
      <c r="U176" s="73"/>
      <c r="V176" s="73"/>
      <c r="W176" s="73"/>
      <c r="X176" s="73"/>
      <c r="Y176" s="77"/>
      <c r="Z176" s="104"/>
      <c r="AA176" s="73"/>
      <c r="AB176" s="104"/>
      <c r="AC176" s="104"/>
      <c r="AD176" s="74"/>
      <c r="AE176" s="106"/>
      <c r="AF176" s="195"/>
      <c r="AG176" s="80"/>
      <c r="AH176" s="104"/>
      <c r="AI176" s="73"/>
      <c r="AJ176" s="114"/>
      <c r="AK176" s="106"/>
      <c r="AL176" s="74"/>
      <c r="AM176" s="73"/>
      <c r="AN176" s="73"/>
      <c r="AO176" s="102"/>
      <c r="AP176" s="73"/>
      <c r="AQ176" s="73"/>
      <c r="AR176" s="74"/>
      <c r="AS176" s="73"/>
      <c r="AT176" s="73"/>
      <c r="AU176" s="73"/>
      <c r="AV176" s="73"/>
      <c r="AW176" s="73"/>
      <c r="AX176" s="74"/>
      <c r="AY176" s="73"/>
      <c r="AZ176" s="73"/>
      <c r="BA176" s="74"/>
      <c r="BB176" s="73"/>
      <c r="BC176" s="73"/>
      <c r="BD176" s="73"/>
      <c r="BE176" s="73"/>
      <c r="BF176" s="73"/>
      <c r="BG176" s="73"/>
      <c r="BH176" s="73"/>
      <c r="BI176" s="73"/>
      <c r="BJ176" s="73"/>
      <c r="BK176" s="73"/>
      <c r="BL176" s="73"/>
      <c r="BM176" s="73"/>
      <c r="BN176" s="73"/>
      <c r="BO176" s="73"/>
      <c r="BP176" s="73"/>
      <c r="BQ176" s="73"/>
      <c r="BR176" s="73"/>
      <c r="BS176" s="73"/>
      <c r="BT176" s="74"/>
      <c r="BU176" s="73"/>
      <c r="BV176" s="73"/>
      <c r="BW176" s="73"/>
      <c r="BX176" s="73"/>
      <c r="BY176" s="73"/>
      <c r="BZ176" s="73"/>
      <c r="CA176" s="73"/>
      <c r="CB176" s="73"/>
      <c r="CC176" s="73"/>
      <c r="CD176" s="73"/>
      <c r="CE176" s="73"/>
    </row>
    <row r="177">
      <c r="A177" s="131" t="str">
        <f>IFERROR(__xludf.DUMMYFUNCTION("""COMPUTED_VALUE"""),"Critical Coin Mastery")</f>
        <v>Critical Coin Mastery</v>
      </c>
      <c r="B177" s="107">
        <f>IFERROR(__xludf.DUMMYFUNCTION("""COMPUTED_VALUE"""),0.0)</f>
        <v>0</v>
      </c>
      <c r="C177" s="73"/>
      <c r="D177" s="193">
        <f>IFERROR(__xludf.DUMMYFUNCTION("""COMPUTED_VALUE"""),9.0)</f>
        <v>9</v>
      </c>
      <c r="E177" s="73"/>
      <c r="F177" s="73"/>
      <c r="G177" s="73"/>
      <c r="H177" s="73"/>
      <c r="I177" s="73"/>
      <c r="J177" s="73"/>
      <c r="K177" s="92"/>
      <c r="L177" s="73"/>
      <c r="M177" s="73"/>
      <c r="N177" s="73"/>
      <c r="O177" s="73"/>
      <c r="P177" s="73"/>
      <c r="Q177" s="75"/>
      <c r="R177" s="82"/>
      <c r="S177" s="73"/>
      <c r="T177" s="73"/>
      <c r="U177" s="73"/>
      <c r="V177" s="73"/>
      <c r="W177" s="73"/>
      <c r="X177" s="73"/>
      <c r="Y177" s="77"/>
      <c r="Z177" s="104"/>
      <c r="AA177" s="73"/>
      <c r="AB177" s="104"/>
      <c r="AC177" s="104"/>
      <c r="AD177" s="74"/>
      <c r="AE177" s="106"/>
      <c r="AF177" s="195"/>
      <c r="AG177" s="80"/>
      <c r="AH177" s="104"/>
      <c r="AI177" s="73"/>
      <c r="AJ177" s="114"/>
      <c r="AK177" s="106"/>
      <c r="AL177" s="74"/>
      <c r="AM177" s="73"/>
      <c r="AN177" s="73"/>
      <c r="AO177" s="102"/>
      <c r="AP177" s="73"/>
      <c r="AQ177" s="73"/>
      <c r="AR177" s="74"/>
      <c r="AS177" s="73"/>
      <c r="AT177" s="73"/>
      <c r="AU177" s="73"/>
      <c r="AV177" s="73"/>
      <c r="AW177" s="73"/>
      <c r="AX177" s="74"/>
      <c r="AY177" s="73"/>
      <c r="AZ177" s="73"/>
      <c r="BA177" s="74"/>
      <c r="BB177" s="73"/>
      <c r="BC177" s="73"/>
      <c r="BD177" s="73"/>
      <c r="BE177" s="73"/>
      <c r="BF177" s="73"/>
      <c r="BG177" s="73"/>
      <c r="BH177" s="73"/>
      <c r="BI177" s="73"/>
      <c r="BJ177" s="73"/>
      <c r="BK177" s="73"/>
      <c r="BL177" s="73"/>
      <c r="BM177" s="73"/>
      <c r="BN177" s="73"/>
      <c r="BO177" s="73"/>
      <c r="BP177" s="73"/>
      <c r="BQ177" s="73"/>
      <c r="BR177" s="73"/>
      <c r="BS177" s="73"/>
      <c r="BT177" s="74"/>
      <c r="BU177" s="73"/>
      <c r="BV177" s="73"/>
      <c r="BW177" s="73"/>
      <c r="BX177" s="73"/>
      <c r="BY177" s="73"/>
      <c r="BZ177" s="73"/>
      <c r="CA177" s="73"/>
      <c r="CB177" s="73"/>
      <c r="CC177" s="73"/>
      <c r="CD177" s="73"/>
      <c r="CE177" s="73"/>
    </row>
    <row r="178">
      <c r="A178" s="131" t="str">
        <f>IFERROR(__xludf.DUMMYFUNCTION("""COMPUTED_VALUE"""),"Wave Skip Mastery")</f>
        <v>Wave Skip Mastery</v>
      </c>
      <c r="B178" s="107">
        <f>IFERROR(__xludf.DUMMYFUNCTION("""COMPUTED_VALUE"""),0.0)</f>
        <v>0</v>
      </c>
      <c r="C178" s="73"/>
      <c r="D178" s="193">
        <f>IFERROR(__xludf.DUMMYFUNCTION("""COMPUTED_VALUE"""),9.0)</f>
        <v>9</v>
      </c>
      <c r="E178" s="73"/>
      <c r="F178" s="73"/>
      <c r="G178" s="73"/>
      <c r="H178" s="73"/>
      <c r="I178" s="73"/>
      <c r="J178" s="73"/>
      <c r="K178" s="92"/>
      <c r="L178" s="73"/>
      <c r="M178" s="73"/>
      <c r="N178" s="73"/>
      <c r="O178" s="73"/>
      <c r="P178" s="73"/>
      <c r="Q178" s="75"/>
      <c r="R178" s="82"/>
      <c r="S178" s="73"/>
      <c r="T178" s="73"/>
      <c r="U178" s="73"/>
      <c r="V178" s="73"/>
      <c r="W178" s="73"/>
      <c r="X178" s="73"/>
      <c r="Y178" s="77"/>
      <c r="Z178" s="104"/>
      <c r="AA178" s="73"/>
      <c r="AB178" s="104"/>
      <c r="AC178" s="104"/>
      <c r="AD178" s="74"/>
      <c r="AE178" s="106"/>
      <c r="AF178" s="195"/>
      <c r="AG178" s="80"/>
      <c r="AH178" s="104"/>
      <c r="AI178" s="73"/>
      <c r="AJ178" s="114"/>
      <c r="AK178" s="106"/>
      <c r="AL178" s="74"/>
      <c r="AM178" s="73"/>
      <c r="AN178" s="73"/>
      <c r="AO178" s="102"/>
      <c r="AP178" s="73"/>
      <c r="AQ178" s="73"/>
      <c r="AR178" s="74"/>
      <c r="AS178" s="73"/>
      <c r="AT178" s="73"/>
      <c r="AU178" s="73"/>
      <c r="AV178" s="73"/>
      <c r="AW178" s="73"/>
      <c r="AX178" s="74"/>
      <c r="AY178" s="73"/>
      <c r="AZ178" s="73"/>
      <c r="BA178" s="74"/>
      <c r="BB178" s="73"/>
      <c r="BC178" s="73"/>
      <c r="BD178" s="73"/>
      <c r="BE178" s="73"/>
      <c r="BF178" s="73"/>
      <c r="BG178" s="73"/>
      <c r="BH178" s="73"/>
      <c r="BI178" s="73"/>
      <c r="BJ178" s="73"/>
      <c r="BK178" s="73"/>
      <c r="BL178" s="73"/>
      <c r="BM178" s="73"/>
      <c r="BN178" s="73"/>
      <c r="BO178" s="73"/>
      <c r="BP178" s="73"/>
      <c r="BQ178" s="73"/>
      <c r="BR178" s="73"/>
      <c r="BS178" s="73"/>
      <c r="BT178" s="74"/>
      <c r="BU178" s="73"/>
      <c r="BV178" s="73"/>
      <c r="BW178" s="73"/>
      <c r="BX178" s="73"/>
      <c r="BY178" s="73"/>
      <c r="BZ178" s="73"/>
      <c r="CA178" s="73"/>
      <c r="CB178" s="73"/>
      <c r="CC178" s="73"/>
      <c r="CD178" s="73"/>
      <c r="CE178" s="73"/>
    </row>
    <row r="179">
      <c r="A179" s="131" t="str">
        <f>IFERROR(__xludf.DUMMYFUNCTION("""COMPUTED_VALUE"""),"Intro Sprint Mastery")</f>
        <v>Intro Sprint Mastery</v>
      </c>
      <c r="B179" s="107">
        <f>IFERROR(__xludf.DUMMYFUNCTION("""COMPUTED_VALUE"""),0.0)</f>
        <v>0</v>
      </c>
      <c r="C179" s="73"/>
      <c r="D179" s="193">
        <f>IFERROR(__xludf.DUMMYFUNCTION("""COMPUTED_VALUE"""),9.0)</f>
        <v>9</v>
      </c>
      <c r="E179" s="73"/>
      <c r="F179" s="73"/>
      <c r="G179" s="73"/>
      <c r="H179" s="73"/>
      <c r="I179" s="73"/>
      <c r="J179" s="73"/>
      <c r="K179" s="92"/>
      <c r="L179" s="73"/>
      <c r="M179" s="73"/>
      <c r="N179" s="73"/>
      <c r="O179" s="73"/>
      <c r="P179" s="73"/>
      <c r="Q179" s="75"/>
      <c r="R179" s="82"/>
      <c r="S179" s="73"/>
      <c r="T179" s="73"/>
      <c r="U179" s="73"/>
      <c r="V179" s="73"/>
      <c r="W179" s="73"/>
      <c r="X179" s="73"/>
      <c r="Y179" s="77"/>
      <c r="Z179" s="104"/>
      <c r="AA179" s="73"/>
      <c r="AB179" s="104"/>
      <c r="AC179" s="104"/>
      <c r="AD179" s="74"/>
      <c r="AE179" s="106"/>
      <c r="AF179" s="195"/>
      <c r="AG179" s="80"/>
      <c r="AH179" s="104"/>
      <c r="AI179" s="73"/>
      <c r="AJ179" s="114"/>
      <c r="AK179" s="106"/>
      <c r="AL179" s="74"/>
      <c r="AM179" s="73"/>
      <c r="AN179" s="73"/>
      <c r="AO179" s="102"/>
      <c r="AP179" s="73"/>
      <c r="AQ179" s="73"/>
      <c r="AR179" s="74"/>
      <c r="AS179" s="73"/>
      <c r="AT179" s="73"/>
      <c r="AU179" s="73"/>
      <c r="AV179" s="73"/>
      <c r="AW179" s="73"/>
      <c r="AX179" s="74"/>
      <c r="AY179" s="73"/>
      <c r="AZ179" s="73"/>
      <c r="BA179" s="74"/>
      <c r="BB179" s="73"/>
      <c r="BC179" s="73"/>
      <c r="BD179" s="73"/>
      <c r="BE179" s="73"/>
      <c r="BF179" s="73"/>
      <c r="BG179" s="73"/>
      <c r="BH179" s="73"/>
      <c r="BI179" s="73"/>
      <c r="BJ179" s="73"/>
      <c r="BK179" s="73"/>
      <c r="BL179" s="73"/>
      <c r="BM179" s="73"/>
      <c r="BN179" s="73"/>
      <c r="BO179" s="73"/>
      <c r="BP179" s="73"/>
      <c r="BQ179" s="73"/>
      <c r="BR179" s="73"/>
      <c r="BS179" s="73"/>
      <c r="BT179" s="74"/>
      <c r="BU179" s="73"/>
      <c r="BV179" s="73"/>
      <c r="BW179" s="73"/>
      <c r="BX179" s="73"/>
      <c r="BY179" s="73"/>
      <c r="BZ179" s="73"/>
      <c r="CA179" s="73"/>
      <c r="CB179" s="73"/>
      <c r="CC179" s="73"/>
      <c r="CD179" s="73"/>
      <c r="CE179" s="73"/>
    </row>
    <row r="180">
      <c r="A180" s="131" t="str">
        <f>IFERROR(__xludf.DUMMYFUNCTION("""COMPUTED_VALUE"""),"Land Mine Stun Mastery")</f>
        <v>Land Mine Stun Mastery</v>
      </c>
      <c r="B180" s="107">
        <f>IFERROR(__xludf.DUMMYFUNCTION("""COMPUTED_VALUE"""),0.0)</f>
        <v>0</v>
      </c>
      <c r="C180" s="73"/>
      <c r="D180" s="193">
        <f>IFERROR(__xludf.DUMMYFUNCTION("""COMPUTED_VALUE"""),9.0)</f>
        <v>9</v>
      </c>
      <c r="E180" s="73"/>
      <c r="F180" s="73"/>
      <c r="G180" s="73"/>
      <c r="H180" s="73"/>
      <c r="I180" s="73"/>
      <c r="J180" s="73"/>
      <c r="K180" s="92"/>
      <c r="L180" s="73"/>
      <c r="M180" s="73"/>
      <c r="N180" s="73"/>
      <c r="O180" s="73"/>
      <c r="P180" s="73"/>
      <c r="Q180" s="75"/>
      <c r="R180" s="82"/>
      <c r="S180" s="73"/>
      <c r="T180" s="73"/>
      <c r="U180" s="73"/>
      <c r="V180" s="73"/>
      <c r="W180" s="73"/>
      <c r="X180" s="73"/>
      <c r="Y180" s="77"/>
      <c r="Z180" s="104"/>
      <c r="AA180" s="73"/>
      <c r="AB180" s="104"/>
      <c r="AC180" s="104"/>
      <c r="AD180" s="74"/>
      <c r="AE180" s="106"/>
      <c r="AF180" s="195"/>
      <c r="AG180" s="80"/>
      <c r="AH180" s="104"/>
      <c r="AI180" s="73"/>
      <c r="AJ180" s="114"/>
      <c r="AK180" s="106"/>
      <c r="AL180" s="74"/>
      <c r="AM180" s="73"/>
      <c r="AN180" s="73"/>
      <c r="AO180" s="102"/>
      <c r="AP180" s="73"/>
      <c r="AQ180" s="73"/>
      <c r="AR180" s="74"/>
      <c r="AS180" s="73"/>
      <c r="AT180" s="73"/>
      <c r="AU180" s="73"/>
      <c r="AV180" s="73"/>
      <c r="AW180" s="73"/>
      <c r="AX180" s="74"/>
      <c r="AY180" s="73"/>
      <c r="AZ180" s="73"/>
      <c r="BA180" s="74"/>
      <c r="BB180" s="73"/>
      <c r="BC180" s="73"/>
      <c r="BD180" s="73"/>
      <c r="BE180" s="73"/>
      <c r="BF180" s="73"/>
      <c r="BG180" s="73"/>
      <c r="BH180" s="73"/>
      <c r="BI180" s="73"/>
      <c r="BJ180" s="73"/>
      <c r="BK180" s="73"/>
      <c r="BL180" s="73"/>
      <c r="BM180" s="73"/>
      <c r="BN180" s="73"/>
      <c r="BO180" s="73"/>
      <c r="BP180" s="73"/>
      <c r="BQ180" s="73"/>
      <c r="BR180" s="73"/>
      <c r="BS180" s="73"/>
      <c r="BT180" s="74"/>
      <c r="BU180" s="73"/>
      <c r="BV180" s="73"/>
      <c r="BW180" s="73"/>
      <c r="BX180" s="73"/>
      <c r="BY180" s="73"/>
      <c r="BZ180" s="73"/>
      <c r="CA180" s="73"/>
      <c r="CB180" s="73"/>
      <c r="CC180" s="73"/>
      <c r="CD180" s="73"/>
      <c r="CE180" s="73"/>
    </row>
    <row r="181">
      <c r="A181" s="131" t="str">
        <f>IFERROR(__xludf.DUMMYFUNCTION("""COMPUTED_VALUE"""),"Recovery Package Chance Mastery")</f>
        <v>Recovery Package Chance Mastery</v>
      </c>
      <c r="B181" s="107">
        <f>IFERROR(__xludf.DUMMYFUNCTION("""COMPUTED_VALUE"""),3.0)</f>
        <v>3</v>
      </c>
      <c r="C181" s="73"/>
      <c r="D181" s="193">
        <f>IFERROR(__xludf.DUMMYFUNCTION("""COMPUTED_VALUE"""),9.0)</f>
        <v>9</v>
      </c>
      <c r="E181" s="73"/>
      <c r="F181" s="73"/>
      <c r="G181" s="73"/>
      <c r="H181" s="73"/>
      <c r="I181" s="73"/>
      <c r="J181" s="73"/>
      <c r="K181" s="92"/>
      <c r="L181" s="73"/>
      <c r="M181" s="73"/>
      <c r="N181" s="73"/>
      <c r="O181" s="73"/>
      <c r="P181" s="73"/>
      <c r="Q181" s="75"/>
      <c r="R181" s="82"/>
      <c r="S181" s="73"/>
      <c r="T181" s="73"/>
      <c r="U181" s="73"/>
      <c r="V181" s="73"/>
      <c r="W181" s="73"/>
      <c r="X181" s="73"/>
      <c r="Y181" s="77"/>
      <c r="Z181" s="104"/>
      <c r="AA181" s="73"/>
      <c r="AB181" s="104"/>
      <c r="AC181" s="104"/>
      <c r="AD181" s="74"/>
      <c r="AE181" s="106"/>
      <c r="AF181" s="195"/>
      <c r="AG181" s="80"/>
      <c r="AH181" s="104"/>
      <c r="AI181" s="73"/>
      <c r="AJ181" s="114"/>
      <c r="AK181" s="106"/>
      <c r="AL181" s="74"/>
      <c r="AM181" s="73"/>
      <c r="AN181" s="73"/>
      <c r="AO181" s="102"/>
      <c r="AP181" s="73"/>
      <c r="AQ181" s="73"/>
      <c r="AR181" s="74"/>
      <c r="AS181" s="73"/>
      <c r="AT181" s="73"/>
      <c r="AU181" s="73"/>
      <c r="AV181" s="73"/>
      <c r="AW181" s="73"/>
      <c r="AX181" s="74"/>
      <c r="AY181" s="73"/>
      <c r="AZ181" s="73"/>
      <c r="BA181" s="74"/>
      <c r="BB181" s="73"/>
      <c r="BC181" s="73"/>
      <c r="BD181" s="73"/>
      <c r="BE181" s="73"/>
      <c r="BF181" s="73"/>
      <c r="BG181" s="73"/>
      <c r="BH181" s="73"/>
      <c r="BI181" s="73"/>
      <c r="BJ181" s="73"/>
      <c r="BK181" s="73"/>
      <c r="BL181" s="73"/>
      <c r="BM181" s="73"/>
      <c r="BN181" s="73"/>
      <c r="BO181" s="73"/>
      <c r="BP181" s="73"/>
      <c r="BQ181" s="73"/>
      <c r="BR181" s="73"/>
      <c r="BS181" s="73"/>
      <c r="BT181" s="74"/>
      <c r="BU181" s="73"/>
      <c r="BV181" s="73"/>
      <c r="BW181" s="73"/>
      <c r="BX181" s="73"/>
      <c r="BY181" s="73"/>
      <c r="BZ181" s="73"/>
      <c r="CA181" s="73"/>
      <c r="CB181" s="73"/>
      <c r="CC181" s="73"/>
      <c r="CD181" s="73"/>
      <c r="CE181" s="73"/>
    </row>
    <row r="182">
      <c r="A182" s="131" t="str">
        <f>IFERROR(__xludf.DUMMYFUNCTION("""COMPUTED_VALUE"""),"Death Ray Mastery")</f>
        <v>Death Ray Mastery</v>
      </c>
      <c r="B182" s="107">
        <f>IFERROR(__xludf.DUMMYFUNCTION("""COMPUTED_VALUE"""),0.0)</f>
        <v>0</v>
      </c>
      <c r="C182" s="73"/>
      <c r="D182" s="193">
        <f>IFERROR(__xludf.DUMMYFUNCTION("""COMPUTED_VALUE"""),9.0)</f>
        <v>9</v>
      </c>
      <c r="E182" s="73"/>
      <c r="F182" s="73"/>
      <c r="G182" s="73"/>
      <c r="H182" s="73"/>
      <c r="I182" s="73"/>
      <c r="J182" s="73"/>
      <c r="K182" s="92"/>
      <c r="L182" s="73"/>
      <c r="M182" s="73"/>
      <c r="N182" s="73"/>
      <c r="O182" s="73"/>
      <c r="P182" s="73"/>
      <c r="Q182" s="75"/>
      <c r="R182" s="82"/>
      <c r="S182" s="73"/>
      <c r="T182" s="73"/>
      <c r="U182" s="73"/>
      <c r="V182" s="73"/>
      <c r="W182" s="73"/>
      <c r="X182" s="73"/>
      <c r="Y182" s="77"/>
      <c r="Z182" s="104"/>
      <c r="AA182" s="73"/>
      <c r="AB182" s="104"/>
      <c r="AC182" s="104"/>
      <c r="AD182" s="74"/>
      <c r="AE182" s="106"/>
      <c r="AF182" s="195"/>
      <c r="AG182" s="80"/>
      <c r="AH182" s="104"/>
      <c r="AI182" s="73"/>
      <c r="AJ182" s="114"/>
      <c r="AK182" s="106"/>
      <c r="AL182" s="74"/>
      <c r="AM182" s="73"/>
      <c r="AN182" s="73"/>
      <c r="AO182" s="102"/>
      <c r="AP182" s="73"/>
      <c r="AQ182" s="73"/>
      <c r="AR182" s="74"/>
      <c r="AS182" s="73"/>
      <c r="AT182" s="73"/>
      <c r="AU182" s="73"/>
      <c r="AV182" s="73"/>
      <c r="AW182" s="73"/>
      <c r="AX182" s="74"/>
      <c r="AY182" s="73"/>
      <c r="AZ182" s="73"/>
      <c r="BA182" s="74"/>
      <c r="BB182" s="73"/>
      <c r="BC182" s="73"/>
      <c r="BD182" s="73"/>
      <c r="BE182" s="73"/>
      <c r="BF182" s="73"/>
      <c r="BG182" s="73"/>
      <c r="BH182" s="73"/>
      <c r="BI182" s="73"/>
      <c r="BJ182" s="73"/>
      <c r="BK182" s="73"/>
      <c r="BL182" s="73"/>
      <c r="BM182" s="73"/>
      <c r="BN182" s="73"/>
      <c r="BO182" s="73"/>
      <c r="BP182" s="73"/>
      <c r="BQ182" s="73"/>
      <c r="BR182" s="73"/>
      <c r="BS182" s="73"/>
      <c r="BT182" s="74"/>
      <c r="BU182" s="73"/>
      <c r="BV182" s="73"/>
      <c r="BW182" s="73"/>
      <c r="BX182" s="73"/>
      <c r="BY182" s="73"/>
      <c r="BZ182" s="73"/>
      <c r="CA182" s="73"/>
      <c r="CB182" s="73"/>
      <c r="CC182" s="73"/>
      <c r="CD182" s="73"/>
      <c r="CE182" s="73"/>
    </row>
    <row r="183">
      <c r="A183" s="131" t="str">
        <f>IFERROR(__xludf.DUMMYFUNCTION("""COMPUTED_VALUE"""),"Energy Net Mastery")</f>
        <v>Energy Net Mastery</v>
      </c>
      <c r="B183" s="107">
        <f>IFERROR(__xludf.DUMMYFUNCTION("""COMPUTED_VALUE"""),0.0)</f>
        <v>0</v>
      </c>
      <c r="C183" s="73"/>
      <c r="D183" s="193">
        <f>IFERROR(__xludf.DUMMYFUNCTION("""COMPUTED_VALUE"""),9.0)</f>
        <v>9</v>
      </c>
      <c r="E183" s="73"/>
      <c r="F183" s="73"/>
      <c r="G183" s="73"/>
      <c r="H183" s="73"/>
      <c r="I183" s="73"/>
      <c r="J183" s="73"/>
      <c r="K183" s="92"/>
      <c r="L183" s="73"/>
      <c r="M183" s="73"/>
      <c r="N183" s="73"/>
      <c r="O183" s="73"/>
      <c r="P183" s="73"/>
      <c r="Q183" s="75"/>
      <c r="R183" s="82"/>
      <c r="S183" s="73"/>
      <c r="T183" s="73"/>
      <c r="U183" s="73"/>
      <c r="V183" s="73"/>
      <c r="W183" s="73"/>
      <c r="X183" s="73"/>
      <c r="Y183" s="77"/>
      <c r="Z183" s="104"/>
      <c r="AA183" s="73"/>
      <c r="AB183" s="104"/>
      <c r="AC183" s="104"/>
      <c r="AD183" s="74"/>
      <c r="AE183" s="106"/>
      <c r="AF183" s="195"/>
      <c r="AG183" s="80"/>
      <c r="AH183" s="104"/>
      <c r="AI183" s="73"/>
      <c r="AJ183" s="114"/>
      <c r="AK183" s="106"/>
      <c r="AL183" s="74"/>
      <c r="AM183" s="73"/>
      <c r="AN183" s="73"/>
      <c r="AO183" s="102"/>
      <c r="AP183" s="73"/>
      <c r="AQ183" s="73"/>
      <c r="AR183" s="74"/>
      <c r="AS183" s="73"/>
      <c r="AT183" s="73"/>
      <c r="AU183" s="73"/>
      <c r="AV183" s="73"/>
      <c r="AW183" s="73"/>
      <c r="AX183" s="74"/>
      <c r="AY183" s="73"/>
      <c r="AZ183" s="73"/>
      <c r="BA183" s="74"/>
      <c r="BB183" s="73"/>
      <c r="BC183" s="73"/>
      <c r="BD183" s="73"/>
      <c r="BE183" s="73"/>
      <c r="BF183" s="73"/>
      <c r="BG183" s="73"/>
      <c r="BH183" s="73"/>
      <c r="BI183" s="73"/>
      <c r="BJ183" s="73"/>
      <c r="BK183" s="73"/>
      <c r="BL183" s="73"/>
      <c r="BM183" s="73"/>
      <c r="BN183" s="73"/>
      <c r="BO183" s="73"/>
      <c r="BP183" s="73"/>
      <c r="BQ183" s="73"/>
      <c r="BR183" s="73"/>
      <c r="BS183" s="73"/>
      <c r="BT183" s="74"/>
      <c r="BU183" s="73"/>
      <c r="BV183" s="73"/>
      <c r="BW183" s="73"/>
      <c r="BX183" s="73"/>
      <c r="BY183" s="73"/>
      <c r="BZ183" s="73"/>
      <c r="CA183" s="73"/>
      <c r="CB183" s="73"/>
      <c r="CC183" s="73"/>
      <c r="CD183" s="73"/>
      <c r="CE183" s="73"/>
    </row>
    <row r="184">
      <c r="A184" s="131" t="str">
        <f>IFERROR(__xludf.DUMMYFUNCTION("""COMPUTED_VALUE"""),"Super Tower Mastery")</f>
        <v>Super Tower Mastery</v>
      </c>
      <c r="B184" s="107">
        <f>IFERROR(__xludf.DUMMYFUNCTION("""COMPUTED_VALUE"""),0.0)</f>
        <v>0</v>
      </c>
      <c r="C184" s="73"/>
      <c r="D184" s="193">
        <f>IFERROR(__xludf.DUMMYFUNCTION("""COMPUTED_VALUE"""),9.0)</f>
        <v>9</v>
      </c>
      <c r="E184" s="73"/>
      <c r="F184" s="73"/>
      <c r="G184" s="73"/>
      <c r="H184" s="73"/>
      <c r="I184" s="73"/>
      <c r="J184" s="73"/>
      <c r="K184" s="92"/>
      <c r="L184" s="73"/>
      <c r="M184" s="73"/>
      <c r="N184" s="73"/>
      <c r="O184" s="73"/>
      <c r="P184" s="73"/>
      <c r="Q184" s="75"/>
      <c r="R184" s="82"/>
      <c r="S184" s="73"/>
      <c r="T184" s="73"/>
      <c r="U184" s="73"/>
      <c r="V184" s="73"/>
      <c r="W184" s="73"/>
      <c r="X184" s="73"/>
      <c r="Y184" s="77"/>
      <c r="Z184" s="104"/>
      <c r="AA184" s="73"/>
      <c r="AB184" s="104"/>
      <c r="AC184" s="104"/>
      <c r="AD184" s="74"/>
      <c r="AE184" s="106"/>
      <c r="AF184" s="195"/>
      <c r="AG184" s="80"/>
      <c r="AH184" s="104"/>
      <c r="AI184" s="73"/>
      <c r="AJ184" s="114"/>
      <c r="AK184" s="106"/>
      <c r="AL184" s="74"/>
      <c r="AM184" s="73"/>
      <c r="AN184" s="73"/>
      <c r="AO184" s="102"/>
      <c r="AP184" s="73"/>
      <c r="AQ184" s="73"/>
      <c r="AR184" s="74"/>
      <c r="AS184" s="73"/>
      <c r="AT184" s="73"/>
      <c r="AU184" s="73"/>
      <c r="AV184" s="73"/>
      <c r="AW184" s="73"/>
      <c r="AX184" s="74"/>
      <c r="AY184" s="73"/>
      <c r="AZ184" s="73"/>
      <c r="BA184" s="74"/>
      <c r="BB184" s="73"/>
      <c r="BC184" s="73"/>
      <c r="BD184" s="73"/>
      <c r="BE184" s="73"/>
      <c r="BF184" s="73"/>
      <c r="BG184" s="73"/>
      <c r="BH184" s="73"/>
      <c r="BI184" s="73"/>
      <c r="BJ184" s="73"/>
      <c r="BK184" s="73"/>
      <c r="BL184" s="73"/>
      <c r="BM184" s="73"/>
      <c r="BN184" s="73"/>
      <c r="BO184" s="73"/>
      <c r="BP184" s="73"/>
      <c r="BQ184" s="73"/>
      <c r="BR184" s="73"/>
      <c r="BS184" s="73"/>
      <c r="BT184" s="74"/>
      <c r="BU184" s="73"/>
      <c r="BV184" s="73"/>
      <c r="BW184" s="73"/>
      <c r="BX184" s="73"/>
      <c r="BY184" s="73"/>
      <c r="BZ184" s="73"/>
      <c r="CA184" s="73"/>
      <c r="CB184" s="73"/>
      <c r="CC184" s="73"/>
      <c r="CD184" s="73"/>
      <c r="CE184" s="73"/>
    </row>
    <row r="185">
      <c r="A185" s="131" t="str">
        <f>IFERROR(__xludf.DUMMYFUNCTION("""COMPUTED_VALUE"""),"Second Wind Mastery")</f>
        <v>Second Wind Mastery</v>
      </c>
      <c r="B185" s="107">
        <f>IFERROR(__xludf.DUMMYFUNCTION("""COMPUTED_VALUE"""),0.0)</f>
        <v>0</v>
      </c>
      <c r="C185" s="73"/>
      <c r="D185" s="193">
        <f>IFERROR(__xludf.DUMMYFUNCTION("""COMPUTED_VALUE"""),9.0)</f>
        <v>9</v>
      </c>
      <c r="E185" s="73"/>
      <c r="F185" s="73"/>
      <c r="G185" s="73"/>
      <c r="H185" s="73"/>
      <c r="I185" s="73"/>
      <c r="J185" s="73"/>
      <c r="K185" s="92"/>
      <c r="L185" s="73"/>
      <c r="M185" s="73"/>
      <c r="N185" s="73"/>
      <c r="O185" s="73"/>
      <c r="P185" s="73"/>
      <c r="Q185" s="75"/>
      <c r="R185" s="82"/>
      <c r="S185" s="73"/>
      <c r="T185" s="73"/>
      <c r="U185" s="73"/>
      <c r="V185" s="73"/>
      <c r="W185" s="73"/>
      <c r="X185" s="73"/>
      <c r="Y185" s="77"/>
      <c r="Z185" s="104"/>
      <c r="AA185" s="73"/>
      <c r="AB185" s="104"/>
      <c r="AC185" s="104"/>
      <c r="AD185" s="74"/>
      <c r="AE185" s="106"/>
      <c r="AF185" s="195"/>
      <c r="AG185" s="80"/>
      <c r="AH185" s="104"/>
      <c r="AI185" s="73"/>
      <c r="AJ185" s="114"/>
      <c r="AK185" s="106"/>
      <c r="AL185" s="74"/>
      <c r="AM185" s="73"/>
      <c r="AN185" s="73"/>
      <c r="AO185" s="102"/>
      <c r="AP185" s="73"/>
      <c r="AQ185" s="73"/>
      <c r="AR185" s="74"/>
      <c r="AS185" s="73"/>
      <c r="AT185" s="73"/>
      <c r="AU185" s="73"/>
      <c r="AV185" s="73"/>
      <c r="AW185" s="73"/>
      <c r="AX185" s="74"/>
      <c r="AY185" s="73"/>
      <c r="AZ185" s="73"/>
      <c r="BA185" s="74"/>
      <c r="BB185" s="73"/>
      <c r="BC185" s="73"/>
      <c r="BD185" s="73"/>
      <c r="BE185" s="73"/>
      <c r="BF185" s="73"/>
      <c r="BG185" s="73"/>
      <c r="BH185" s="73"/>
      <c r="BI185" s="73"/>
      <c r="BJ185" s="73"/>
      <c r="BK185" s="73"/>
      <c r="BL185" s="73"/>
      <c r="BM185" s="73"/>
      <c r="BN185" s="73"/>
      <c r="BO185" s="73"/>
      <c r="BP185" s="73"/>
      <c r="BQ185" s="73"/>
      <c r="BR185" s="73"/>
      <c r="BS185" s="73"/>
      <c r="BT185" s="74"/>
      <c r="BU185" s="73"/>
      <c r="BV185" s="73"/>
      <c r="BW185" s="73"/>
      <c r="BX185" s="73"/>
      <c r="BY185" s="73"/>
      <c r="BZ185" s="73"/>
      <c r="CA185" s="73"/>
      <c r="CB185" s="73"/>
      <c r="CC185" s="73"/>
      <c r="CD185" s="73"/>
      <c r="CE185" s="73"/>
    </row>
    <row r="186">
      <c r="A186" s="131" t="str">
        <f>IFERROR(__xludf.DUMMYFUNCTION("""COMPUTED_VALUE"""),"Demon Mode Mastery")</f>
        <v>Demon Mode Mastery</v>
      </c>
      <c r="B186" s="107">
        <f>IFERROR(__xludf.DUMMYFUNCTION("""COMPUTED_VALUE"""),0.0)</f>
        <v>0</v>
      </c>
      <c r="C186" s="73"/>
      <c r="D186" s="193">
        <f>IFERROR(__xludf.DUMMYFUNCTION("""COMPUTED_VALUE"""),9.0)</f>
        <v>9</v>
      </c>
      <c r="E186" s="73"/>
      <c r="F186" s="73"/>
      <c r="G186" s="73"/>
      <c r="H186" s="73"/>
      <c r="I186" s="73"/>
      <c r="J186" s="73"/>
      <c r="K186" s="92"/>
      <c r="L186" s="73"/>
      <c r="M186" s="73"/>
      <c r="N186" s="73"/>
      <c r="O186" s="73"/>
      <c r="P186" s="73"/>
      <c r="Q186" s="75"/>
      <c r="R186" s="82"/>
      <c r="S186" s="73"/>
      <c r="T186" s="73"/>
      <c r="U186" s="73"/>
      <c r="V186" s="73"/>
      <c r="W186" s="73"/>
      <c r="X186" s="73"/>
      <c r="Y186" s="77"/>
      <c r="Z186" s="104"/>
      <c r="AA186" s="73"/>
      <c r="AB186" s="104"/>
      <c r="AC186" s="104"/>
      <c r="AD186" s="74"/>
      <c r="AE186" s="106"/>
      <c r="AF186" s="195"/>
      <c r="AG186" s="80"/>
      <c r="AH186" s="104"/>
      <c r="AI186" s="73"/>
      <c r="AJ186" s="114"/>
      <c r="AK186" s="106"/>
      <c r="AL186" s="74"/>
      <c r="AM186" s="73"/>
      <c r="AN186" s="73"/>
      <c r="AO186" s="102"/>
      <c r="AP186" s="73"/>
      <c r="AQ186" s="73"/>
      <c r="AR186" s="74"/>
      <c r="AS186" s="73"/>
      <c r="AT186" s="73"/>
      <c r="AU186" s="73"/>
      <c r="AV186" s="73"/>
      <c r="AW186" s="73"/>
      <c r="AX186" s="74"/>
      <c r="AY186" s="73"/>
      <c r="AZ186" s="73"/>
      <c r="BA186" s="74"/>
      <c r="BB186" s="73"/>
      <c r="BC186" s="73"/>
      <c r="BD186" s="73"/>
      <c r="BE186" s="73"/>
      <c r="BF186" s="73"/>
      <c r="BG186" s="73"/>
      <c r="BH186" s="73"/>
      <c r="BI186" s="73"/>
      <c r="BJ186" s="73"/>
      <c r="BK186" s="73"/>
      <c r="BL186" s="73"/>
      <c r="BM186" s="73"/>
      <c r="BN186" s="73"/>
      <c r="BO186" s="73"/>
      <c r="BP186" s="73"/>
      <c r="BQ186" s="73"/>
      <c r="BR186" s="73"/>
      <c r="BS186" s="73"/>
      <c r="BT186" s="74"/>
      <c r="BU186" s="73"/>
      <c r="BV186" s="73"/>
      <c r="BW186" s="73"/>
      <c r="BX186" s="73"/>
      <c r="BY186" s="73"/>
      <c r="BZ186" s="73"/>
      <c r="CA186" s="73"/>
      <c r="CB186" s="73"/>
      <c r="CC186" s="73"/>
      <c r="CD186" s="73"/>
      <c r="CE186" s="73"/>
    </row>
    <row r="187">
      <c r="A187" s="131" t="str">
        <f>IFERROR(__xludf.DUMMYFUNCTION("""COMPUTED_VALUE"""),"Energy Shield Mastery")</f>
        <v>Energy Shield Mastery</v>
      </c>
      <c r="B187" s="107">
        <f>IFERROR(__xludf.DUMMYFUNCTION("""COMPUTED_VALUE"""),0.0)</f>
        <v>0</v>
      </c>
      <c r="C187" s="73"/>
      <c r="D187" s="193">
        <f>IFERROR(__xludf.DUMMYFUNCTION("""COMPUTED_VALUE"""),9.0)</f>
        <v>9</v>
      </c>
      <c r="E187" s="73"/>
      <c r="F187" s="73"/>
      <c r="G187" s="73"/>
      <c r="H187" s="73"/>
      <c r="I187" s="73"/>
      <c r="J187" s="73"/>
      <c r="K187" s="92"/>
      <c r="L187" s="73"/>
      <c r="M187" s="73"/>
      <c r="N187" s="73"/>
      <c r="O187" s="73"/>
      <c r="P187" s="73"/>
      <c r="Q187" s="75"/>
      <c r="R187" s="82"/>
      <c r="S187" s="73"/>
      <c r="T187" s="73"/>
      <c r="U187" s="73"/>
      <c r="V187" s="73"/>
      <c r="W187" s="73"/>
      <c r="X187" s="73"/>
      <c r="Y187" s="77"/>
      <c r="Z187" s="104"/>
      <c r="AA187" s="73"/>
      <c r="AB187" s="104"/>
      <c r="AC187" s="104"/>
      <c r="AD187" s="74"/>
      <c r="AE187" s="106"/>
      <c r="AF187" s="195"/>
      <c r="AG187" s="80"/>
      <c r="AH187" s="104"/>
      <c r="AI187" s="73"/>
      <c r="AJ187" s="114"/>
      <c r="AK187" s="106"/>
      <c r="AL187" s="74"/>
      <c r="AM187" s="73"/>
      <c r="AN187" s="73"/>
      <c r="AO187" s="102"/>
      <c r="AP187" s="73"/>
      <c r="AQ187" s="73"/>
      <c r="AR187" s="74"/>
      <c r="AS187" s="73"/>
      <c r="AT187" s="73"/>
      <c r="AU187" s="73"/>
      <c r="AV187" s="73"/>
      <c r="AW187" s="73"/>
      <c r="AX187" s="74"/>
      <c r="AY187" s="73"/>
      <c r="AZ187" s="73"/>
      <c r="BA187" s="74"/>
      <c r="BB187" s="73"/>
      <c r="BC187" s="73"/>
      <c r="BD187" s="73"/>
      <c r="BE187" s="73"/>
      <c r="BF187" s="73"/>
      <c r="BG187" s="73"/>
      <c r="BH187" s="73"/>
      <c r="BI187" s="73"/>
      <c r="BJ187" s="73"/>
      <c r="BK187" s="73"/>
      <c r="BL187" s="73"/>
      <c r="BM187" s="73"/>
      <c r="BN187" s="73"/>
      <c r="BO187" s="73"/>
      <c r="BP187" s="73"/>
      <c r="BQ187" s="73"/>
      <c r="BR187" s="73"/>
      <c r="BS187" s="73"/>
      <c r="BT187" s="74"/>
      <c r="BU187" s="73"/>
      <c r="BV187" s="73"/>
      <c r="BW187" s="73"/>
      <c r="BX187" s="73"/>
      <c r="BY187" s="73"/>
      <c r="BZ187" s="73"/>
      <c r="CA187" s="73"/>
      <c r="CB187" s="73"/>
      <c r="CC187" s="73"/>
      <c r="CD187" s="73"/>
      <c r="CE187" s="73"/>
    </row>
    <row r="188">
      <c r="A188" s="131" t="str">
        <f>IFERROR(__xludf.DUMMYFUNCTION("""COMPUTED_VALUE"""),"Wave Accelerator Mastery")</f>
        <v>Wave Accelerator Mastery</v>
      </c>
      <c r="B188" s="107">
        <f>IFERROR(__xludf.DUMMYFUNCTION("""COMPUTED_VALUE"""),0.0)</f>
        <v>0</v>
      </c>
      <c r="C188" s="73"/>
      <c r="D188" s="193">
        <f>IFERROR(__xludf.DUMMYFUNCTION("""COMPUTED_VALUE"""),9.0)</f>
        <v>9</v>
      </c>
      <c r="E188" s="73"/>
      <c r="F188" s="73"/>
      <c r="G188" s="73"/>
      <c r="H188" s="73"/>
      <c r="I188" s="73"/>
      <c r="J188" s="73"/>
      <c r="K188" s="92"/>
      <c r="L188" s="73"/>
      <c r="M188" s="73"/>
      <c r="N188" s="73"/>
      <c r="O188" s="73"/>
      <c r="P188" s="73"/>
      <c r="Q188" s="75"/>
      <c r="R188" s="82"/>
      <c r="S188" s="73"/>
      <c r="T188" s="73"/>
      <c r="U188" s="73"/>
      <c r="V188" s="73"/>
      <c r="W188" s="73"/>
      <c r="X188" s="73"/>
      <c r="Y188" s="77"/>
      <c r="Z188" s="104"/>
      <c r="AA188" s="73"/>
      <c r="AB188" s="104"/>
      <c r="AC188" s="104"/>
      <c r="AD188" s="74"/>
      <c r="AE188" s="106"/>
      <c r="AF188" s="195"/>
      <c r="AG188" s="80"/>
      <c r="AH188" s="104"/>
      <c r="AI188" s="73"/>
      <c r="AJ188" s="114"/>
      <c r="AK188" s="106"/>
      <c r="AL188" s="74"/>
      <c r="AM188" s="73"/>
      <c r="AN188" s="73"/>
      <c r="AO188" s="102"/>
      <c r="AP188" s="73"/>
      <c r="AQ188" s="73"/>
      <c r="AR188" s="74"/>
      <c r="AS188" s="73"/>
      <c r="AT188" s="73"/>
      <c r="AU188" s="73"/>
      <c r="AV188" s="73"/>
      <c r="AW188" s="73"/>
      <c r="AX188" s="74"/>
      <c r="AY188" s="73"/>
      <c r="AZ188" s="73"/>
      <c r="BA188" s="74"/>
      <c r="BB188" s="73"/>
      <c r="BC188" s="73"/>
      <c r="BD188" s="73"/>
      <c r="BE188" s="73"/>
      <c r="BF188" s="73"/>
      <c r="BG188" s="73"/>
      <c r="BH188" s="73"/>
      <c r="BI188" s="73"/>
      <c r="BJ188" s="73"/>
      <c r="BK188" s="73"/>
      <c r="BL188" s="73"/>
      <c r="BM188" s="73"/>
      <c r="BN188" s="73"/>
      <c r="BO188" s="73"/>
      <c r="BP188" s="73"/>
      <c r="BQ188" s="73"/>
      <c r="BR188" s="73"/>
      <c r="BS188" s="73"/>
      <c r="BT188" s="74"/>
      <c r="BU188" s="73"/>
      <c r="BV188" s="73"/>
      <c r="BW188" s="73"/>
      <c r="BX188" s="73"/>
      <c r="BY188" s="73"/>
      <c r="BZ188" s="73"/>
      <c r="CA188" s="73"/>
      <c r="CB188" s="73"/>
      <c r="CC188" s="73"/>
      <c r="CD188" s="73"/>
      <c r="CE188" s="73"/>
    </row>
    <row r="189">
      <c r="A189" s="131" t="str">
        <f>IFERROR(__xludf.DUMMYFUNCTION("""COMPUTED_VALUE"""),"Berserker Mastery")</f>
        <v>Berserker Mastery</v>
      </c>
      <c r="B189" s="107">
        <f>IFERROR(__xludf.DUMMYFUNCTION("""COMPUTED_VALUE"""),0.0)</f>
        <v>0</v>
      </c>
      <c r="C189" s="73"/>
      <c r="D189" s="193">
        <f>IFERROR(__xludf.DUMMYFUNCTION("""COMPUTED_VALUE"""),9.0)</f>
        <v>9</v>
      </c>
      <c r="E189" s="73"/>
      <c r="F189" s="73"/>
      <c r="G189" s="73"/>
      <c r="H189" s="73"/>
      <c r="I189" s="73"/>
      <c r="J189" s="73"/>
      <c r="K189" s="92"/>
      <c r="L189" s="73"/>
      <c r="M189" s="73"/>
      <c r="N189" s="73"/>
      <c r="O189" s="73"/>
      <c r="P189" s="73"/>
      <c r="Q189" s="75"/>
      <c r="R189" s="82"/>
      <c r="S189" s="73"/>
      <c r="T189" s="73"/>
      <c r="U189" s="73"/>
      <c r="V189" s="73"/>
      <c r="W189" s="73"/>
      <c r="X189" s="73"/>
      <c r="Y189" s="77"/>
      <c r="Z189" s="104"/>
      <c r="AA189" s="73"/>
      <c r="AB189" s="104"/>
      <c r="AC189" s="104"/>
      <c r="AD189" s="74"/>
      <c r="AE189" s="106"/>
      <c r="AF189" s="195"/>
      <c r="AG189" s="80"/>
      <c r="AH189" s="104"/>
      <c r="AI189" s="73"/>
      <c r="AJ189" s="114"/>
      <c r="AK189" s="106"/>
      <c r="AL189" s="74"/>
      <c r="AM189" s="73"/>
      <c r="AN189" s="73"/>
      <c r="AO189" s="102"/>
      <c r="AP189" s="73"/>
      <c r="AQ189" s="73"/>
      <c r="AR189" s="74"/>
      <c r="AS189" s="73"/>
      <c r="AT189" s="73"/>
      <c r="AU189" s="73"/>
      <c r="AV189" s="73"/>
      <c r="AW189" s="73"/>
      <c r="AX189" s="74"/>
      <c r="AY189" s="73"/>
      <c r="AZ189" s="73"/>
      <c r="BA189" s="74"/>
      <c r="BB189" s="73"/>
      <c r="BC189" s="73"/>
      <c r="BD189" s="73"/>
      <c r="BE189" s="73"/>
      <c r="BF189" s="73"/>
      <c r="BG189" s="73"/>
      <c r="BH189" s="73"/>
      <c r="BI189" s="73"/>
      <c r="BJ189" s="73"/>
      <c r="BK189" s="73"/>
      <c r="BL189" s="73"/>
      <c r="BM189" s="73"/>
      <c r="BN189" s="73"/>
      <c r="BO189" s="73"/>
      <c r="BP189" s="73"/>
      <c r="BQ189" s="73"/>
      <c r="BR189" s="73"/>
      <c r="BS189" s="73"/>
      <c r="BT189" s="74"/>
      <c r="BU189" s="73"/>
      <c r="BV189" s="73"/>
      <c r="BW189" s="73"/>
      <c r="BX189" s="73"/>
      <c r="BY189" s="73"/>
      <c r="BZ189" s="73"/>
      <c r="CA189" s="73"/>
      <c r="CB189" s="73"/>
      <c r="CC189" s="73"/>
      <c r="CD189" s="73"/>
      <c r="CE189" s="73"/>
    </row>
    <row r="190">
      <c r="A190" s="131" t="str">
        <f>IFERROR(__xludf.DUMMYFUNCTION("""COMPUTED_VALUE"""),"Ultimate Crit Mastery")</f>
        <v>Ultimate Crit Mastery</v>
      </c>
      <c r="B190" s="107">
        <f>IFERROR(__xludf.DUMMYFUNCTION("""COMPUTED_VALUE"""),0.0)</f>
        <v>0</v>
      </c>
      <c r="C190" s="73"/>
      <c r="D190" s="193">
        <f>IFERROR(__xludf.DUMMYFUNCTION("""COMPUTED_VALUE"""),9.0)</f>
        <v>9</v>
      </c>
      <c r="E190" s="73"/>
      <c r="F190" s="73"/>
      <c r="G190" s="73"/>
      <c r="H190" s="73"/>
      <c r="I190" s="73"/>
      <c r="J190" s="73"/>
      <c r="K190" s="92"/>
      <c r="L190" s="73"/>
      <c r="M190" s="73"/>
      <c r="N190" s="73"/>
      <c r="O190" s="73"/>
      <c r="P190" s="73"/>
      <c r="Q190" s="75"/>
      <c r="R190" s="82"/>
      <c r="S190" s="73"/>
      <c r="T190" s="73"/>
      <c r="U190" s="73"/>
      <c r="V190" s="73"/>
      <c r="W190" s="73"/>
      <c r="X190" s="73"/>
      <c r="Y190" s="77"/>
      <c r="Z190" s="104"/>
      <c r="AA190" s="73"/>
      <c r="AB190" s="104"/>
      <c r="AC190" s="104"/>
      <c r="AD190" s="74"/>
      <c r="AE190" s="106"/>
      <c r="AF190" s="195"/>
      <c r="AG190" s="80"/>
      <c r="AH190" s="104"/>
      <c r="AI190" s="73"/>
      <c r="AJ190" s="114"/>
      <c r="AK190" s="106"/>
      <c r="AL190" s="74"/>
      <c r="AM190" s="73"/>
      <c r="AN190" s="73"/>
      <c r="AO190" s="102"/>
      <c r="AP190" s="73"/>
      <c r="AQ190" s="73"/>
      <c r="AR190" s="74"/>
      <c r="AS190" s="73"/>
      <c r="AT190" s="73"/>
      <c r="AU190" s="73"/>
      <c r="AV190" s="73"/>
      <c r="AW190" s="73"/>
      <c r="AX190" s="74"/>
      <c r="AY190" s="73"/>
      <c r="AZ190" s="73"/>
      <c r="BA190" s="74"/>
      <c r="BB190" s="73"/>
      <c r="BC190" s="73"/>
      <c r="BD190" s="73"/>
      <c r="BE190" s="73"/>
      <c r="BF190" s="73"/>
      <c r="BG190" s="73"/>
      <c r="BH190" s="73"/>
      <c r="BI190" s="73"/>
      <c r="BJ190" s="73"/>
      <c r="BK190" s="73"/>
      <c r="BL190" s="73"/>
      <c r="BM190" s="73"/>
      <c r="BN190" s="73"/>
      <c r="BO190" s="73"/>
      <c r="BP190" s="73"/>
      <c r="BQ190" s="73"/>
      <c r="BR190" s="73"/>
      <c r="BS190" s="73"/>
      <c r="BT190" s="74"/>
      <c r="BU190" s="73"/>
      <c r="BV190" s="73"/>
      <c r="BW190" s="73"/>
      <c r="BX190" s="73"/>
      <c r="BY190" s="73"/>
      <c r="BZ190" s="73"/>
      <c r="CA190" s="73"/>
      <c r="CB190" s="73"/>
      <c r="CC190" s="73"/>
      <c r="CD190" s="73"/>
      <c r="CE190" s="73"/>
    </row>
    <row r="191">
      <c r="A191" s="131" t="str">
        <f>IFERROR(__xludf.DUMMYFUNCTION("""COMPUTED_VALUE"""),"Nuke Mastery")</f>
        <v>Nuke Mastery</v>
      </c>
      <c r="B191" s="107">
        <f>IFERROR(__xludf.DUMMYFUNCTION("""COMPUTED_VALUE"""),0.0)</f>
        <v>0</v>
      </c>
      <c r="C191" s="73"/>
      <c r="D191" s="193">
        <f>IFERROR(__xludf.DUMMYFUNCTION("""COMPUTED_VALUE"""),9.0)</f>
        <v>9</v>
      </c>
      <c r="E191" s="73"/>
      <c r="F191" s="73"/>
      <c r="G191" s="73"/>
      <c r="H191" s="73"/>
      <c r="I191" s="73"/>
      <c r="J191" s="73"/>
      <c r="K191" s="92"/>
      <c r="L191" s="73"/>
      <c r="M191" s="73"/>
      <c r="N191" s="73"/>
      <c r="O191" s="73"/>
      <c r="P191" s="73"/>
      <c r="Q191" s="75"/>
      <c r="R191" s="82"/>
      <c r="S191" s="73"/>
      <c r="T191" s="73"/>
      <c r="U191" s="73"/>
      <c r="V191" s="73"/>
      <c r="W191" s="73"/>
      <c r="X191" s="73"/>
      <c r="Y191" s="77"/>
      <c r="Z191" s="104"/>
      <c r="AA191" s="73"/>
      <c r="AB191" s="104"/>
      <c r="AC191" s="104"/>
      <c r="AD191" s="74"/>
      <c r="AE191" s="106"/>
      <c r="AF191" s="195"/>
      <c r="AG191" s="80"/>
      <c r="AH191" s="104"/>
      <c r="AI191" s="73"/>
      <c r="AJ191" s="114"/>
      <c r="AK191" s="106"/>
      <c r="AL191" s="74"/>
      <c r="AM191" s="73"/>
      <c r="AN191" s="73"/>
      <c r="AO191" s="102"/>
      <c r="AP191" s="73"/>
      <c r="AQ191" s="73"/>
      <c r="AR191" s="74"/>
      <c r="AS191" s="73"/>
      <c r="AT191" s="73"/>
      <c r="AU191" s="73"/>
      <c r="AV191" s="73"/>
      <c r="AW191" s="73"/>
      <c r="AX191" s="74"/>
      <c r="AY191" s="73"/>
      <c r="AZ191" s="73"/>
      <c r="BA191" s="74"/>
      <c r="BB191" s="73"/>
      <c r="BC191" s="73"/>
      <c r="BD191" s="73"/>
      <c r="BE191" s="73"/>
      <c r="BF191" s="73"/>
      <c r="BG191" s="73"/>
      <c r="BH191" s="73"/>
      <c r="BI191" s="73"/>
      <c r="BJ191" s="73"/>
      <c r="BK191" s="73"/>
      <c r="BL191" s="73"/>
      <c r="BM191" s="73"/>
      <c r="BN191" s="73"/>
      <c r="BO191" s="73"/>
      <c r="BP191" s="73"/>
      <c r="BQ191" s="73"/>
      <c r="BR191" s="73"/>
      <c r="BS191" s="73"/>
      <c r="BT191" s="74"/>
      <c r="BU191" s="73"/>
      <c r="BV191" s="73"/>
      <c r="BW191" s="73"/>
      <c r="BX191" s="73"/>
      <c r="BY191" s="73"/>
      <c r="BZ191" s="73"/>
      <c r="CA191" s="73"/>
      <c r="CB191" s="73"/>
      <c r="CC191" s="73"/>
      <c r="CD191" s="73"/>
      <c r="CE191" s="73"/>
    </row>
    <row r="192">
      <c r="A192" s="131" t="str">
        <f>IFERROR(__xludf.DUMMYFUNCTION("""COMPUTED_VALUE"""),"Area of Effect Mastery")</f>
        <v>Area of Effect Mastery</v>
      </c>
      <c r="B192" s="107">
        <f>IFERROR(__xludf.DUMMYFUNCTION("""COMPUTED_VALUE"""),0.0)</f>
        <v>0</v>
      </c>
      <c r="C192" s="73"/>
      <c r="D192" s="193">
        <f>IFERROR(__xludf.DUMMYFUNCTION("""COMPUTED_VALUE"""),9.0)</f>
        <v>9</v>
      </c>
      <c r="E192" s="73"/>
      <c r="F192" s="73"/>
      <c r="G192" s="73"/>
      <c r="H192" s="73"/>
      <c r="I192" s="73"/>
      <c r="J192" s="73"/>
      <c r="K192" s="92"/>
      <c r="L192" s="73"/>
      <c r="M192" s="73"/>
      <c r="N192" s="73"/>
      <c r="O192" s="73"/>
      <c r="P192" s="73"/>
      <c r="Q192" s="75"/>
      <c r="R192" s="82"/>
      <c r="S192" s="73"/>
      <c r="T192" s="73"/>
      <c r="U192" s="73"/>
      <c r="V192" s="73"/>
      <c r="W192" s="73"/>
      <c r="X192" s="73"/>
      <c r="Y192" s="77"/>
      <c r="Z192" s="104"/>
      <c r="AA192" s="73"/>
      <c r="AB192" s="104"/>
      <c r="AC192" s="104"/>
      <c r="AD192" s="74"/>
      <c r="AE192" s="106"/>
      <c r="AF192" s="195"/>
      <c r="AG192" s="80"/>
      <c r="AH192" s="104"/>
      <c r="AI192" s="73"/>
      <c r="AJ192" s="114"/>
      <c r="AK192" s="106"/>
      <c r="AL192" s="74"/>
      <c r="AM192" s="73"/>
      <c r="AN192" s="73"/>
      <c r="AO192" s="102"/>
      <c r="AP192" s="73"/>
      <c r="AQ192" s="73"/>
      <c r="AR192" s="74"/>
      <c r="AS192" s="73"/>
      <c r="AT192" s="73"/>
      <c r="AU192" s="73"/>
      <c r="AV192" s="73"/>
      <c r="AW192" s="73"/>
      <c r="AX192" s="74"/>
      <c r="AY192" s="73"/>
      <c r="AZ192" s="73"/>
      <c r="BA192" s="74"/>
      <c r="BB192" s="73"/>
      <c r="BC192" s="73"/>
      <c r="BD192" s="73"/>
      <c r="BE192" s="73"/>
      <c r="BF192" s="73"/>
      <c r="BG192" s="73"/>
      <c r="BH192" s="73"/>
      <c r="BI192" s="73"/>
      <c r="BJ192" s="73"/>
      <c r="BK192" s="73"/>
      <c r="BL192" s="73"/>
      <c r="BM192" s="73"/>
      <c r="BN192" s="73"/>
      <c r="BO192" s="73"/>
      <c r="BP192" s="73"/>
      <c r="BQ192" s="73"/>
      <c r="BR192" s="73"/>
      <c r="BS192" s="73"/>
      <c r="BT192" s="74"/>
      <c r="BU192" s="73"/>
      <c r="BV192" s="73"/>
      <c r="BW192" s="73"/>
      <c r="BX192" s="73"/>
      <c r="BY192" s="73"/>
      <c r="BZ192" s="73"/>
      <c r="CA192" s="73"/>
      <c r="CB192" s="73"/>
      <c r="CC192" s="73"/>
      <c r="CD192" s="73"/>
      <c r="CE192" s="73"/>
    </row>
    <row r="193">
      <c r="A193" s="196" t="str">
        <f>IFERROR(__xludf.DUMMYFUNCTION("""COMPUTED_VALUE"""),"Battle Condition Reduction")</f>
        <v>Battle Condition Reduction</v>
      </c>
      <c r="B193" s="107">
        <f>IFERROR(__xludf.DUMMYFUNCTION("""COMPUTED_VALUE"""),0.0)</f>
        <v>0</v>
      </c>
      <c r="C193" s="73"/>
      <c r="D193" s="193">
        <f>IFERROR(__xludf.DUMMYFUNCTION("""COMPUTED_VALUE"""),10.0)</f>
        <v>10</v>
      </c>
      <c r="E193" s="73"/>
      <c r="F193" s="73"/>
      <c r="G193" s="73"/>
      <c r="H193" s="73"/>
      <c r="I193" s="73"/>
      <c r="J193" s="73"/>
      <c r="K193" s="92"/>
      <c r="L193" s="73"/>
      <c r="M193" s="73"/>
      <c r="N193" s="73"/>
      <c r="O193" s="73"/>
      <c r="P193" s="73"/>
      <c r="Q193" s="75"/>
      <c r="R193" s="82"/>
      <c r="S193" s="73"/>
      <c r="T193" s="73"/>
      <c r="U193" s="73"/>
      <c r="V193" s="73"/>
      <c r="W193" s="73"/>
      <c r="X193" s="73"/>
      <c r="Y193" s="77"/>
      <c r="Z193" s="104"/>
      <c r="AA193" s="73"/>
      <c r="AB193" s="104"/>
      <c r="AC193" s="104"/>
      <c r="AD193" s="74"/>
      <c r="AE193" s="106"/>
      <c r="AF193" s="195"/>
      <c r="AG193" s="80"/>
      <c r="AH193" s="104"/>
      <c r="AI193" s="73"/>
      <c r="AJ193" s="114"/>
      <c r="AK193" s="106"/>
      <c r="AL193" s="74"/>
      <c r="AM193" s="73"/>
      <c r="AN193" s="73"/>
      <c r="AO193" s="102"/>
      <c r="AP193" s="73"/>
      <c r="AQ193" s="73"/>
      <c r="AR193" s="74"/>
      <c r="AS193" s="73"/>
      <c r="AT193" s="73"/>
      <c r="AU193" s="73"/>
      <c r="AV193" s="73"/>
      <c r="AW193" s="73"/>
      <c r="AX193" s="74"/>
      <c r="AY193" s="73"/>
      <c r="AZ193" s="73"/>
      <c r="BA193" s="74"/>
      <c r="BB193" s="73"/>
      <c r="BC193" s="73"/>
      <c r="BD193" s="73"/>
      <c r="BE193" s="73"/>
      <c r="BF193" s="73"/>
      <c r="BG193" s="73"/>
      <c r="BH193" s="73"/>
      <c r="BI193" s="73"/>
      <c r="BJ193" s="73"/>
      <c r="BK193" s="73"/>
      <c r="BL193" s="73"/>
      <c r="BM193" s="73"/>
      <c r="BN193" s="73"/>
      <c r="BO193" s="73"/>
      <c r="BP193" s="73"/>
      <c r="BQ193" s="73"/>
      <c r="BR193" s="73"/>
      <c r="BS193" s="73"/>
      <c r="BT193" s="74"/>
      <c r="BU193" s="73"/>
      <c r="BV193" s="73"/>
      <c r="BW193" s="73"/>
      <c r="BX193" s="73"/>
      <c r="BY193" s="73"/>
      <c r="BZ193" s="73"/>
      <c r="CA193" s="73"/>
      <c r="CB193" s="73"/>
      <c r="CC193" s="73"/>
      <c r="CD193" s="73"/>
      <c r="CE193" s="73"/>
    </row>
    <row r="194">
      <c r="A194" s="196" t="str">
        <f>IFERROR(__xludf.DUMMYFUNCTION("""COMPUTED_VALUE"""),"Knockback Resistance")</f>
        <v>Knockback Resistance</v>
      </c>
      <c r="B194" s="107">
        <f>IFERROR(__xludf.DUMMYFUNCTION("""COMPUTED_VALUE"""),0.0)</f>
        <v>0</v>
      </c>
      <c r="C194" s="73"/>
      <c r="D194" s="193">
        <f>IFERROR(__xludf.DUMMYFUNCTION("""COMPUTED_VALUE"""),20.0)</f>
        <v>20</v>
      </c>
      <c r="E194" s="73"/>
      <c r="F194" s="73"/>
      <c r="G194" s="73"/>
      <c r="H194" s="73"/>
      <c r="I194" s="73"/>
      <c r="J194" s="73"/>
      <c r="K194" s="92"/>
      <c r="L194" s="73"/>
      <c r="M194" s="73"/>
      <c r="N194" s="73"/>
      <c r="O194" s="73"/>
      <c r="P194" s="73"/>
      <c r="Q194" s="75"/>
      <c r="R194" s="82"/>
      <c r="S194" s="73"/>
      <c r="T194" s="73"/>
      <c r="U194" s="73"/>
      <c r="V194" s="73"/>
      <c r="W194" s="73"/>
      <c r="X194" s="73"/>
      <c r="Y194" s="77"/>
      <c r="Z194" s="104"/>
      <c r="AA194" s="73"/>
      <c r="AB194" s="104"/>
      <c r="AC194" s="104"/>
      <c r="AD194" s="74"/>
      <c r="AE194" s="106"/>
      <c r="AF194" s="195"/>
      <c r="AG194" s="80"/>
      <c r="AH194" s="104"/>
      <c r="AI194" s="73"/>
      <c r="AJ194" s="114"/>
      <c r="AK194" s="106"/>
      <c r="AL194" s="74"/>
      <c r="AM194" s="73"/>
      <c r="AN194" s="73"/>
      <c r="AO194" s="102"/>
      <c r="AP194" s="73"/>
      <c r="AQ194" s="73"/>
      <c r="AR194" s="74"/>
      <c r="AS194" s="73"/>
      <c r="AT194" s="73"/>
      <c r="AU194" s="73"/>
      <c r="AV194" s="73"/>
      <c r="AW194" s="73"/>
      <c r="AX194" s="74"/>
      <c r="AY194" s="73"/>
      <c r="AZ194" s="73"/>
      <c r="BA194" s="74"/>
      <c r="BB194" s="73"/>
      <c r="BC194" s="73"/>
      <c r="BD194" s="73"/>
      <c r="BE194" s="73"/>
      <c r="BF194" s="73"/>
      <c r="BG194" s="73"/>
      <c r="BH194" s="73"/>
      <c r="BI194" s="73"/>
      <c r="BJ194" s="73"/>
      <c r="BK194" s="73"/>
      <c r="BL194" s="73"/>
      <c r="BM194" s="73"/>
      <c r="BN194" s="73"/>
      <c r="BO194" s="73"/>
      <c r="BP194" s="73"/>
      <c r="BQ194" s="73"/>
      <c r="BR194" s="73"/>
      <c r="BS194" s="73"/>
      <c r="BT194" s="74"/>
      <c r="BU194" s="73"/>
      <c r="BV194" s="73"/>
      <c r="BW194" s="73"/>
      <c r="BX194" s="73"/>
      <c r="BY194" s="73"/>
      <c r="BZ194" s="73"/>
      <c r="CA194" s="73"/>
      <c r="CB194" s="73"/>
      <c r="CC194" s="73"/>
      <c r="CD194" s="73"/>
      <c r="CE194" s="73"/>
    </row>
    <row r="195">
      <c r="A195" s="196" t="str">
        <f>IFERROR(__xludf.DUMMYFUNCTION("""COMPUTED_VALUE"""),"Thorns Resistance")</f>
        <v>Thorns Resistance</v>
      </c>
      <c r="B195" s="107">
        <f>IFERROR(__xludf.DUMMYFUNCTION("""COMPUTED_VALUE"""),0.0)</f>
        <v>0</v>
      </c>
      <c r="C195" s="73"/>
      <c r="D195" s="193">
        <f>IFERROR(__xludf.DUMMYFUNCTION("""COMPUTED_VALUE"""),20.0)</f>
        <v>20</v>
      </c>
      <c r="E195" s="73"/>
      <c r="F195" s="73"/>
      <c r="G195" s="73"/>
      <c r="H195" s="73"/>
      <c r="I195" s="73"/>
      <c r="J195" s="73"/>
      <c r="K195" s="92"/>
      <c r="L195" s="73"/>
      <c r="M195" s="73"/>
      <c r="N195" s="73"/>
      <c r="O195" s="73"/>
      <c r="P195" s="73"/>
      <c r="Q195" s="75"/>
      <c r="R195" s="82"/>
      <c r="S195" s="73"/>
      <c r="T195" s="73"/>
      <c r="U195" s="73"/>
      <c r="V195" s="73"/>
      <c r="W195" s="73"/>
      <c r="X195" s="73"/>
      <c r="Y195" s="77"/>
      <c r="Z195" s="104"/>
      <c r="AA195" s="73"/>
      <c r="AB195" s="104"/>
      <c r="AC195" s="104"/>
      <c r="AD195" s="74"/>
      <c r="AE195" s="106"/>
      <c r="AF195" s="195"/>
      <c r="AG195" s="80"/>
      <c r="AH195" s="104"/>
      <c r="AI195" s="73"/>
      <c r="AJ195" s="114"/>
      <c r="AK195" s="106"/>
      <c r="AL195" s="74"/>
      <c r="AM195" s="73"/>
      <c r="AN195" s="73"/>
      <c r="AO195" s="102"/>
      <c r="AP195" s="73"/>
      <c r="AQ195" s="73"/>
      <c r="AR195" s="74"/>
      <c r="AS195" s="73"/>
      <c r="AT195" s="73"/>
      <c r="AU195" s="73"/>
      <c r="AV195" s="73"/>
      <c r="AW195" s="73"/>
      <c r="AX195" s="74"/>
      <c r="AY195" s="73"/>
      <c r="AZ195" s="73"/>
      <c r="BA195" s="74"/>
      <c r="BB195" s="73"/>
      <c r="BC195" s="73"/>
      <c r="BD195" s="73"/>
      <c r="BE195" s="73"/>
      <c r="BF195" s="73"/>
      <c r="BG195" s="73"/>
      <c r="BH195" s="73"/>
      <c r="BI195" s="73"/>
      <c r="BJ195" s="73"/>
      <c r="BK195" s="73"/>
      <c r="BL195" s="73"/>
      <c r="BM195" s="73"/>
      <c r="BN195" s="73"/>
      <c r="BO195" s="73"/>
      <c r="BP195" s="73"/>
      <c r="BQ195" s="73"/>
      <c r="BR195" s="73"/>
      <c r="BS195" s="73"/>
      <c r="BT195" s="74"/>
      <c r="BU195" s="73"/>
      <c r="BV195" s="73"/>
      <c r="BW195" s="73"/>
      <c r="BX195" s="73"/>
      <c r="BY195" s="73"/>
      <c r="BZ195" s="73"/>
      <c r="CA195" s="73"/>
      <c r="CB195" s="73"/>
      <c r="CC195" s="73"/>
      <c r="CD195" s="73"/>
      <c r="CE195" s="73"/>
    </row>
    <row r="196">
      <c r="A196" s="196" t="str">
        <f>IFERROR(__xludf.DUMMYFUNCTION("""COMPUTED_VALUE"""),"Orb Resistance")</f>
        <v>Orb Resistance</v>
      </c>
      <c r="B196" s="107">
        <f>IFERROR(__xludf.DUMMYFUNCTION("""COMPUTED_VALUE"""),0.0)</f>
        <v>0</v>
      </c>
      <c r="C196" s="73"/>
      <c r="D196" s="193">
        <f>IFERROR(__xludf.DUMMYFUNCTION("""COMPUTED_VALUE"""),20.0)</f>
        <v>20</v>
      </c>
      <c r="E196" s="73"/>
      <c r="F196" s="73"/>
      <c r="G196" s="73"/>
      <c r="H196" s="73"/>
      <c r="I196" s="73"/>
      <c r="J196" s="73"/>
      <c r="K196" s="92"/>
      <c r="L196" s="73"/>
      <c r="M196" s="73"/>
      <c r="N196" s="73"/>
      <c r="O196" s="73"/>
      <c r="P196" s="73"/>
      <c r="Q196" s="75"/>
      <c r="R196" s="82"/>
      <c r="S196" s="73"/>
      <c r="T196" s="73"/>
      <c r="U196" s="73"/>
      <c r="V196" s="73"/>
      <c r="W196" s="73"/>
      <c r="X196" s="73"/>
      <c r="Y196" s="77"/>
      <c r="Z196" s="104"/>
      <c r="AA196" s="73"/>
      <c r="AB196" s="104"/>
      <c r="AC196" s="104"/>
      <c r="AD196" s="74"/>
      <c r="AE196" s="106"/>
      <c r="AF196" s="195"/>
      <c r="AG196" s="80"/>
      <c r="AH196" s="104"/>
      <c r="AI196" s="73"/>
      <c r="AJ196" s="114"/>
      <c r="AK196" s="106"/>
      <c r="AL196" s="74"/>
      <c r="AM196" s="73"/>
      <c r="AN196" s="73"/>
      <c r="AO196" s="102"/>
      <c r="AP196" s="73"/>
      <c r="AQ196" s="73"/>
      <c r="AR196" s="74"/>
      <c r="AS196" s="73"/>
      <c r="AT196" s="73"/>
      <c r="AU196" s="73"/>
      <c r="AV196" s="73"/>
      <c r="AW196" s="73"/>
      <c r="AX196" s="74"/>
      <c r="AY196" s="73"/>
      <c r="AZ196" s="73"/>
      <c r="BA196" s="74"/>
      <c r="BB196" s="73"/>
      <c r="BC196" s="73"/>
      <c r="BD196" s="73"/>
      <c r="BE196" s="73"/>
      <c r="BF196" s="73"/>
      <c r="BG196" s="73"/>
      <c r="BH196" s="73"/>
      <c r="BI196" s="73"/>
      <c r="BJ196" s="73"/>
      <c r="BK196" s="73"/>
      <c r="BL196" s="73"/>
      <c r="BM196" s="73"/>
      <c r="BN196" s="73"/>
      <c r="BO196" s="73"/>
      <c r="BP196" s="73"/>
      <c r="BQ196" s="73"/>
      <c r="BR196" s="73"/>
      <c r="BS196" s="73"/>
      <c r="BT196" s="74"/>
      <c r="BU196" s="73"/>
      <c r="BV196" s="73"/>
      <c r="BW196" s="73"/>
      <c r="BX196" s="73"/>
      <c r="BY196" s="73"/>
      <c r="BZ196" s="73"/>
      <c r="CA196" s="73"/>
      <c r="CB196" s="73"/>
      <c r="CC196" s="73"/>
      <c r="CD196" s="73"/>
      <c r="CE196" s="73"/>
    </row>
    <row r="197">
      <c r="A197" s="196" t="str">
        <f>IFERROR(__xludf.DUMMYFUNCTION("""COMPUTED_VALUE"""),"Plasma Cannon Resistance")</f>
        <v>Plasma Cannon Resistance</v>
      </c>
      <c r="B197" s="107">
        <f>IFERROR(__xludf.DUMMYFUNCTION("""COMPUTED_VALUE"""),0.0)</f>
        <v>0</v>
      </c>
      <c r="C197" s="73"/>
      <c r="D197" s="193">
        <f>IFERROR(__xludf.DUMMYFUNCTION("""COMPUTED_VALUE"""),20.0)</f>
        <v>20</v>
      </c>
      <c r="E197" s="73"/>
      <c r="F197" s="73"/>
      <c r="G197" s="73"/>
      <c r="H197" s="73"/>
      <c r="I197" s="73"/>
      <c r="J197" s="73"/>
      <c r="K197" s="92"/>
      <c r="L197" s="73"/>
      <c r="M197" s="73"/>
      <c r="N197" s="73"/>
      <c r="O197" s="73"/>
      <c r="P197" s="73"/>
      <c r="Q197" s="75"/>
      <c r="R197" s="82"/>
      <c r="S197" s="73"/>
      <c r="T197" s="73"/>
      <c r="U197" s="73"/>
      <c r="V197" s="73"/>
      <c r="W197" s="73"/>
      <c r="X197" s="73"/>
      <c r="Y197" s="77"/>
      <c r="Z197" s="104"/>
      <c r="AA197" s="73"/>
      <c r="AB197" s="104"/>
      <c r="AC197" s="104"/>
      <c r="AD197" s="74"/>
      <c r="AE197" s="106"/>
      <c r="AF197" s="195"/>
      <c r="AG197" s="80"/>
      <c r="AH197" s="104"/>
      <c r="AI197" s="73"/>
      <c r="AJ197" s="114"/>
      <c r="AK197" s="106"/>
      <c r="AL197" s="74"/>
      <c r="AM197" s="73"/>
      <c r="AN197" s="73"/>
      <c r="AO197" s="102"/>
      <c r="AP197" s="73"/>
      <c r="AQ197" s="73"/>
      <c r="AR197" s="74"/>
      <c r="AS197" s="73"/>
      <c r="AT197" s="73"/>
      <c r="AU197" s="73"/>
      <c r="AV197" s="73"/>
      <c r="AW197" s="73"/>
      <c r="AX197" s="74"/>
      <c r="AY197" s="73"/>
      <c r="AZ197" s="73"/>
      <c r="BA197" s="74"/>
      <c r="BB197" s="73"/>
      <c r="BC197" s="73"/>
      <c r="BD197" s="73"/>
      <c r="BE197" s="73"/>
      <c r="BF197" s="73"/>
      <c r="BG197" s="73"/>
      <c r="BH197" s="73"/>
      <c r="BI197" s="73"/>
      <c r="BJ197" s="73"/>
      <c r="BK197" s="73"/>
      <c r="BL197" s="73"/>
      <c r="BM197" s="73"/>
      <c r="BN197" s="73"/>
      <c r="BO197" s="73"/>
      <c r="BP197" s="73"/>
      <c r="BQ197" s="73"/>
      <c r="BR197" s="73"/>
      <c r="BS197" s="73"/>
      <c r="BT197" s="74"/>
      <c r="BU197" s="73"/>
      <c r="BV197" s="73"/>
      <c r="BW197" s="73"/>
      <c r="BX197" s="73"/>
      <c r="BY197" s="73"/>
      <c r="BZ197" s="73"/>
      <c r="CA197" s="73"/>
      <c r="CB197" s="73"/>
      <c r="CC197" s="73"/>
      <c r="CD197" s="73"/>
      <c r="CE197" s="73"/>
    </row>
    <row r="198">
      <c r="A198" s="196" t="str">
        <f>IFERROR(__xludf.DUMMYFUNCTION("""COMPUTED_VALUE"""),"Death Ray Resistance")</f>
        <v>Death Ray Resistance</v>
      </c>
      <c r="B198" s="107">
        <f>IFERROR(__xludf.DUMMYFUNCTION("""COMPUTED_VALUE"""),0.0)</f>
        <v>0</v>
      </c>
      <c r="C198" s="73"/>
      <c r="D198" s="193">
        <f>IFERROR(__xludf.DUMMYFUNCTION("""COMPUTED_VALUE"""),20.0)</f>
        <v>20</v>
      </c>
      <c r="E198" s="73"/>
      <c r="F198" s="73"/>
      <c r="G198" s="73"/>
      <c r="H198" s="73"/>
      <c r="I198" s="73"/>
      <c r="J198" s="73"/>
      <c r="K198" s="92"/>
      <c r="L198" s="73"/>
      <c r="M198" s="73"/>
      <c r="N198" s="73"/>
      <c r="O198" s="73"/>
      <c r="P198" s="73"/>
      <c r="Q198" s="75"/>
      <c r="R198" s="82"/>
      <c r="S198" s="73"/>
      <c r="T198" s="73"/>
      <c r="U198" s="73"/>
      <c r="V198" s="73"/>
      <c r="W198" s="73"/>
      <c r="X198" s="73"/>
      <c r="Y198" s="77"/>
      <c r="Z198" s="104"/>
      <c r="AA198" s="73"/>
      <c r="AB198" s="104"/>
      <c r="AC198" s="104"/>
      <c r="AD198" s="74"/>
      <c r="AE198" s="106"/>
      <c r="AF198" s="195"/>
      <c r="AG198" s="80"/>
      <c r="AH198" s="104"/>
      <c r="AI198" s="73"/>
      <c r="AJ198" s="114"/>
      <c r="AK198" s="106"/>
      <c r="AL198" s="74"/>
      <c r="AM198" s="73"/>
      <c r="AN198" s="73"/>
      <c r="AO198" s="102"/>
      <c r="AP198" s="73"/>
      <c r="AQ198" s="73"/>
      <c r="AR198" s="74"/>
      <c r="AS198" s="73"/>
      <c r="AT198" s="73"/>
      <c r="AU198" s="73"/>
      <c r="AV198" s="73"/>
      <c r="AW198" s="73"/>
      <c r="AX198" s="74"/>
      <c r="AY198" s="73"/>
      <c r="AZ198" s="73"/>
      <c r="BA198" s="74"/>
      <c r="BB198" s="73"/>
      <c r="BC198" s="73"/>
      <c r="BD198" s="73"/>
      <c r="BE198" s="73"/>
      <c r="BF198" s="73"/>
      <c r="BG198" s="73"/>
      <c r="BH198" s="73"/>
      <c r="BI198" s="73"/>
      <c r="BJ198" s="73"/>
      <c r="BK198" s="73"/>
      <c r="BL198" s="73"/>
      <c r="BM198" s="73"/>
      <c r="BN198" s="73"/>
      <c r="BO198" s="73"/>
      <c r="BP198" s="73"/>
      <c r="BQ198" s="73"/>
      <c r="BR198" s="73"/>
      <c r="BS198" s="73"/>
      <c r="BT198" s="74"/>
      <c r="BU198" s="73"/>
      <c r="BV198" s="73"/>
      <c r="BW198" s="73"/>
      <c r="BX198" s="73"/>
      <c r="BY198" s="73"/>
      <c r="BZ198" s="73"/>
      <c r="CA198" s="73"/>
      <c r="CB198" s="73"/>
      <c r="CC198" s="73"/>
      <c r="CD198" s="73"/>
      <c r="CE198" s="73"/>
    </row>
    <row r="199">
      <c r="A199" s="196" t="str">
        <f>IFERROR(__xludf.DUMMYFUNCTION("""COMPUTED_VALUE"""),"Armored Enemies")</f>
        <v>Armored Enemies</v>
      </c>
      <c r="B199" s="107">
        <f>IFERROR(__xludf.DUMMYFUNCTION("""COMPUTED_VALUE"""),0.0)</f>
        <v>0</v>
      </c>
      <c r="C199" s="73"/>
      <c r="D199" s="193">
        <f>IFERROR(__xludf.DUMMYFUNCTION("""COMPUTED_VALUE"""),20.0)</f>
        <v>20</v>
      </c>
      <c r="E199" s="73"/>
      <c r="F199" s="73"/>
      <c r="G199" s="73"/>
      <c r="H199" s="73"/>
      <c r="I199" s="73"/>
      <c r="J199" s="73"/>
      <c r="K199" s="92"/>
      <c r="L199" s="73"/>
      <c r="M199" s="73"/>
      <c r="N199" s="73"/>
      <c r="O199" s="73"/>
      <c r="P199" s="73"/>
      <c r="Q199" s="75"/>
      <c r="R199" s="82"/>
      <c r="S199" s="73"/>
      <c r="T199" s="73"/>
      <c r="U199" s="73"/>
      <c r="V199" s="73"/>
      <c r="W199" s="73"/>
      <c r="X199" s="73"/>
      <c r="Y199" s="77"/>
      <c r="Z199" s="104"/>
      <c r="AA199" s="73"/>
      <c r="AB199" s="104"/>
      <c r="AC199" s="104"/>
      <c r="AD199" s="74"/>
      <c r="AE199" s="106"/>
      <c r="AF199" s="195"/>
      <c r="AG199" s="80"/>
      <c r="AH199" s="104"/>
      <c r="AI199" s="73"/>
      <c r="AJ199" s="114"/>
      <c r="AK199" s="106"/>
      <c r="AL199" s="74"/>
      <c r="AM199" s="73"/>
      <c r="AN199" s="73"/>
      <c r="AO199" s="102"/>
      <c r="AP199" s="73"/>
      <c r="AQ199" s="73"/>
      <c r="AR199" s="74"/>
      <c r="AS199" s="73"/>
      <c r="AT199" s="73"/>
      <c r="AU199" s="73"/>
      <c r="AV199" s="73"/>
      <c r="AW199" s="73"/>
      <c r="AX199" s="74"/>
      <c r="AY199" s="73"/>
      <c r="AZ199" s="73"/>
      <c r="BA199" s="74"/>
      <c r="BB199" s="73"/>
      <c r="BC199" s="73"/>
      <c r="BD199" s="73"/>
      <c r="BE199" s="73"/>
      <c r="BF199" s="73"/>
      <c r="BG199" s="73"/>
      <c r="BH199" s="73"/>
      <c r="BI199" s="73"/>
      <c r="BJ199" s="73"/>
      <c r="BK199" s="73"/>
      <c r="BL199" s="73"/>
      <c r="BM199" s="73"/>
      <c r="BN199" s="73"/>
      <c r="BO199" s="73"/>
      <c r="BP199" s="73"/>
      <c r="BQ199" s="73"/>
      <c r="BR199" s="73"/>
      <c r="BS199" s="73"/>
      <c r="BT199" s="74"/>
      <c r="BU199" s="73"/>
      <c r="BV199" s="73"/>
      <c r="BW199" s="73"/>
      <c r="BX199" s="73"/>
      <c r="BY199" s="73"/>
      <c r="BZ199" s="73"/>
      <c r="CA199" s="73"/>
      <c r="CB199" s="73"/>
      <c r="CC199" s="73"/>
      <c r="CD199" s="73"/>
      <c r="CE199" s="73"/>
    </row>
    <row r="200">
      <c r="A200" s="196" t="str">
        <f>IFERROR(__xludf.DUMMYFUNCTION("""COMPUTED_VALUE"""),"Enemy Speed")</f>
        <v>Enemy Speed</v>
      </c>
      <c r="B200" s="107">
        <f>IFERROR(__xludf.DUMMYFUNCTION("""COMPUTED_VALUE"""),0.0)</f>
        <v>0</v>
      </c>
      <c r="C200" s="73"/>
      <c r="D200" s="193">
        <f>IFERROR(__xludf.DUMMYFUNCTION("""COMPUTED_VALUE"""),20.0)</f>
        <v>20</v>
      </c>
      <c r="E200" s="73"/>
      <c r="F200" s="73"/>
      <c r="G200" s="73"/>
      <c r="H200" s="73"/>
      <c r="I200" s="73"/>
      <c r="J200" s="73"/>
      <c r="K200" s="92"/>
      <c r="L200" s="73"/>
      <c r="M200" s="73"/>
      <c r="N200" s="73"/>
      <c r="O200" s="73"/>
      <c r="P200" s="73"/>
      <c r="Q200" s="75"/>
      <c r="R200" s="82"/>
      <c r="S200" s="73"/>
      <c r="T200" s="73"/>
      <c r="U200" s="73"/>
      <c r="V200" s="73"/>
      <c r="W200" s="73"/>
      <c r="X200" s="73"/>
      <c r="Y200" s="77"/>
      <c r="Z200" s="104"/>
      <c r="AA200" s="73"/>
      <c r="AB200" s="104"/>
      <c r="AC200" s="104"/>
      <c r="AD200" s="74"/>
      <c r="AE200" s="106"/>
      <c r="AF200" s="195"/>
      <c r="AG200" s="80"/>
      <c r="AH200" s="104"/>
      <c r="AI200" s="73"/>
      <c r="AJ200" s="114"/>
      <c r="AK200" s="106"/>
      <c r="AL200" s="74"/>
      <c r="AM200" s="73"/>
      <c r="AN200" s="73"/>
      <c r="AO200" s="102"/>
      <c r="AP200" s="73"/>
      <c r="AQ200" s="73"/>
      <c r="AR200" s="74"/>
      <c r="AS200" s="73"/>
      <c r="AT200" s="73"/>
      <c r="AU200" s="73"/>
      <c r="AV200" s="73"/>
      <c r="AW200" s="73"/>
      <c r="AX200" s="74"/>
      <c r="AY200" s="73"/>
      <c r="AZ200" s="73"/>
      <c r="BA200" s="74"/>
      <c r="BB200" s="73"/>
      <c r="BC200" s="73"/>
      <c r="BD200" s="73"/>
      <c r="BE200" s="73"/>
      <c r="BF200" s="73"/>
      <c r="BG200" s="73"/>
      <c r="BH200" s="73"/>
      <c r="BI200" s="73"/>
      <c r="BJ200" s="73"/>
      <c r="BK200" s="73"/>
      <c r="BL200" s="73"/>
      <c r="BM200" s="73"/>
      <c r="BN200" s="73"/>
      <c r="BO200" s="73"/>
      <c r="BP200" s="73"/>
      <c r="BQ200" s="73"/>
      <c r="BR200" s="73"/>
      <c r="BS200" s="73"/>
      <c r="BT200" s="74"/>
      <c r="BU200" s="73"/>
      <c r="BV200" s="73"/>
      <c r="BW200" s="73"/>
      <c r="BX200" s="73"/>
      <c r="BY200" s="73"/>
      <c r="BZ200" s="73"/>
      <c r="CA200" s="73"/>
      <c r="CB200" s="73"/>
      <c r="CC200" s="73"/>
      <c r="CD200" s="73"/>
      <c r="CE200" s="73"/>
    </row>
    <row r="201">
      <c r="A201" s="196" t="str">
        <f>IFERROR(__xludf.DUMMYFUNCTION("""COMPUTED_VALUE"""),"More Enemies")</f>
        <v>More Enemies</v>
      </c>
      <c r="B201" s="107">
        <f>IFERROR(__xludf.DUMMYFUNCTION("""COMPUTED_VALUE"""),0.0)</f>
        <v>0</v>
      </c>
      <c r="C201" s="73"/>
      <c r="D201" s="193">
        <f>IFERROR(__xludf.DUMMYFUNCTION("""COMPUTED_VALUE"""),20.0)</f>
        <v>20</v>
      </c>
      <c r="E201" s="73"/>
      <c r="F201" s="73"/>
      <c r="G201" s="73"/>
      <c r="H201" s="73"/>
      <c r="I201" s="73"/>
      <c r="J201" s="73"/>
      <c r="K201" s="92"/>
      <c r="L201" s="73"/>
      <c r="M201" s="73"/>
      <c r="N201" s="73"/>
      <c r="O201" s="73"/>
      <c r="P201" s="73"/>
      <c r="Q201" s="75"/>
      <c r="R201" s="82"/>
      <c r="S201" s="73"/>
      <c r="T201" s="73"/>
      <c r="U201" s="73"/>
      <c r="V201" s="73"/>
      <c r="W201" s="73"/>
      <c r="X201" s="73"/>
      <c r="Y201" s="77"/>
      <c r="Z201" s="104"/>
      <c r="AA201" s="73"/>
      <c r="AB201" s="104"/>
      <c r="AC201" s="104"/>
      <c r="AD201" s="74"/>
      <c r="AE201" s="106"/>
      <c r="AF201" s="195"/>
      <c r="AG201" s="80"/>
      <c r="AH201" s="78"/>
      <c r="AI201" s="73"/>
      <c r="AJ201" s="114"/>
      <c r="AK201" s="106"/>
      <c r="AL201" s="74"/>
      <c r="AM201" s="73"/>
      <c r="AN201" s="73"/>
      <c r="AO201" s="102"/>
      <c r="AP201" s="73"/>
      <c r="AQ201" s="73"/>
      <c r="AR201" s="74"/>
      <c r="AS201" s="73"/>
      <c r="AT201" s="73"/>
      <c r="AU201" s="73"/>
      <c r="AV201" s="73"/>
      <c r="AW201" s="73"/>
      <c r="AX201" s="74"/>
      <c r="AY201" s="73"/>
      <c r="AZ201" s="73"/>
      <c r="BA201" s="74"/>
      <c r="BB201" s="73"/>
      <c r="BC201" s="73"/>
      <c r="BD201" s="73"/>
      <c r="BE201" s="73"/>
      <c r="BF201" s="73"/>
      <c r="BG201" s="73"/>
      <c r="BH201" s="73"/>
      <c r="BI201" s="73"/>
      <c r="BJ201" s="73"/>
      <c r="BK201" s="73"/>
      <c r="BL201" s="73"/>
      <c r="BM201" s="73"/>
      <c r="BN201" s="73"/>
      <c r="BO201" s="73"/>
      <c r="BP201" s="73"/>
      <c r="BQ201" s="73"/>
      <c r="BR201" s="73"/>
      <c r="BS201" s="73"/>
      <c r="BT201" s="74"/>
      <c r="BU201" s="73"/>
      <c r="BV201" s="73"/>
      <c r="BW201" s="73"/>
      <c r="BX201" s="73"/>
      <c r="BY201" s="73"/>
      <c r="BZ201" s="73"/>
      <c r="CA201" s="73"/>
      <c r="CB201" s="73"/>
      <c r="CC201" s="73"/>
      <c r="CD201" s="73"/>
      <c r="CE201" s="73"/>
    </row>
    <row r="202">
      <c r="A202" s="196" t="str">
        <f>IFERROR(__xludf.DUMMYFUNCTION("""COMPUTED_VALUE"""),"Enemy Attack Speed")</f>
        <v>Enemy Attack Speed</v>
      </c>
      <c r="B202" s="107">
        <f>IFERROR(__xludf.DUMMYFUNCTION("""COMPUTED_VALUE"""),0.0)</f>
        <v>0</v>
      </c>
      <c r="C202" s="73"/>
      <c r="D202" s="193">
        <f>IFERROR(__xludf.DUMMYFUNCTION("""COMPUTED_VALUE"""),20.0)</f>
        <v>20</v>
      </c>
      <c r="E202" s="73"/>
      <c r="F202" s="73"/>
      <c r="G202" s="73"/>
      <c r="H202" s="73"/>
      <c r="I202" s="73"/>
      <c r="J202" s="73"/>
      <c r="K202" s="92"/>
      <c r="L202" s="73"/>
      <c r="M202" s="73"/>
      <c r="N202" s="73"/>
      <c r="O202" s="73"/>
      <c r="P202" s="73"/>
      <c r="Q202" s="75"/>
      <c r="R202" s="82"/>
      <c r="S202" s="92"/>
      <c r="T202" s="73"/>
      <c r="U202" s="73"/>
      <c r="V202" s="73"/>
      <c r="W202" s="73"/>
      <c r="X202" s="73"/>
      <c r="Y202" s="77"/>
      <c r="Z202" s="104"/>
      <c r="AA202" s="73"/>
      <c r="AB202" s="104"/>
      <c r="AC202" s="104"/>
      <c r="AD202" s="74"/>
      <c r="AE202" s="106"/>
      <c r="AF202" s="195"/>
      <c r="AG202" s="80"/>
      <c r="AH202" s="78"/>
      <c r="AI202" s="82"/>
      <c r="AJ202" s="114"/>
      <c r="AK202" s="106"/>
      <c r="AL202" s="74"/>
      <c r="AM202" s="73"/>
      <c r="AN202" s="73"/>
      <c r="AO202" s="102"/>
      <c r="AP202" s="73"/>
      <c r="AQ202" s="104"/>
      <c r="AR202" s="74"/>
      <c r="AS202" s="73"/>
      <c r="AT202" s="104"/>
      <c r="AU202" s="73"/>
      <c r="AV202" s="73"/>
      <c r="AW202" s="106"/>
      <c r="AX202" s="74"/>
      <c r="AY202" s="73"/>
      <c r="AZ202" s="73"/>
      <c r="BA202" s="102"/>
      <c r="BB202" s="73"/>
      <c r="BC202" s="73"/>
      <c r="BD202" s="73"/>
      <c r="BE202" s="73"/>
      <c r="BF202" s="73"/>
      <c r="BG202" s="73"/>
      <c r="BH202" s="73"/>
      <c r="BI202" s="73"/>
      <c r="BJ202" s="73"/>
      <c r="BK202" s="73"/>
      <c r="BL202" s="73"/>
      <c r="BM202" s="73"/>
      <c r="BN202" s="73"/>
      <c r="BO202" s="73"/>
      <c r="BP202" s="73"/>
      <c r="BQ202" s="73"/>
      <c r="BR202" s="73"/>
      <c r="BS202" s="73"/>
      <c r="BT202" s="74"/>
      <c r="BU202" s="73"/>
      <c r="BV202" s="73"/>
      <c r="BW202" s="73"/>
      <c r="BX202" s="73"/>
      <c r="BY202" s="73"/>
      <c r="BZ202" s="73"/>
      <c r="CA202" s="73"/>
      <c r="CB202" s="73"/>
      <c r="CC202" s="73"/>
      <c r="CD202" s="73"/>
      <c r="CE202" s="73"/>
    </row>
    <row r="203">
      <c r="A203" s="196" t="str">
        <f>IFERROR(__xludf.DUMMYFUNCTION("""COMPUTED_VALUE"""),"Fast's Ultimate")</f>
        <v>Fast's Ultimate</v>
      </c>
      <c r="B203" s="107">
        <f>IFERROR(__xludf.DUMMYFUNCTION("""COMPUTED_VALUE"""),0.0)</f>
        <v>0</v>
      </c>
      <c r="C203" s="73"/>
      <c r="D203" s="193">
        <f>IFERROR(__xludf.DUMMYFUNCTION("""COMPUTED_VALUE"""),10.0)</f>
        <v>10</v>
      </c>
      <c r="E203" s="73"/>
      <c r="F203" s="73"/>
      <c r="G203" s="73"/>
      <c r="H203" s="73"/>
      <c r="I203" s="73"/>
      <c r="J203" s="73"/>
      <c r="K203" s="92"/>
      <c r="L203" s="73"/>
      <c r="M203" s="73"/>
      <c r="N203" s="73"/>
      <c r="O203" s="73"/>
      <c r="P203" s="73"/>
      <c r="Q203" s="75"/>
      <c r="R203" s="82"/>
      <c r="S203" s="92"/>
      <c r="T203" s="73"/>
      <c r="U203" s="73"/>
      <c r="V203" s="73"/>
      <c r="W203" s="73"/>
      <c r="X203" s="73"/>
      <c r="Y203" s="77"/>
      <c r="Z203" s="104"/>
      <c r="AA203" s="73"/>
      <c r="AB203" s="104"/>
      <c r="AC203" s="104"/>
      <c r="AD203" s="74"/>
      <c r="AE203" s="106"/>
      <c r="AF203" s="195"/>
      <c r="AG203" s="80"/>
      <c r="AH203" s="113"/>
      <c r="AI203" s="82"/>
      <c r="AJ203" s="114"/>
      <c r="AK203" s="106"/>
      <c r="AL203" s="74"/>
      <c r="AM203" s="73"/>
      <c r="AN203" s="73"/>
      <c r="AO203" s="102"/>
      <c r="AP203" s="73"/>
      <c r="AQ203" s="116"/>
      <c r="AR203" s="74"/>
      <c r="AS203" s="73"/>
      <c r="AT203" s="116"/>
      <c r="AU203" s="73"/>
      <c r="AV203" s="73"/>
      <c r="AW203" s="73"/>
      <c r="AX203" s="74"/>
      <c r="AY203" s="73"/>
      <c r="AZ203" s="73"/>
      <c r="BA203" s="119"/>
      <c r="BB203" s="118"/>
      <c r="BC203" s="73"/>
      <c r="BD203" s="73"/>
      <c r="BE203" s="73"/>
      <c r="BF203" s="73"/>
      <c r="BG203" s="73"/>
      <c r="BH203" s="73"/>
      <c r="BI203" s="73"/>
      <c r="BJ203" s="73"/>
      <c r="BK203" s="73"/>
      <c r="BL203" s="73"/>
      <c r="BM203" s="73"/>
      <c r="BN203" s="73"/>
      <c r="BO203" s="73"/>
      <c r="BP203" s="73"/>
      <c r="BQ203" s="73"/>
      <c r="BR203" s="73"/>
      <c r="BS203" s="73"/>
      <c r="BT203" s="74"/>
      <c r="BU203" s="73"/>
      <c r="BV203" s="73"/>
      <c r="BW203" s="73"/>
      <c r="BX203" s="73"/>
      <c r="BY203" s="73"/>
      <c r="BZ203" s="73"/>
      <c r="CA203" s="73"/>
      <c r="CB203" s="73"/>
      <c r="CC203" s="73"/>
      <c r="CD203" s="73"/>
      <c r="CE203" s="73"/>
    </row>
    <row r="204">
      <c r="A204" s="196" t="str">
        <f>IFERROR(__xludf.DUMMYFUNCTION("""COMPUTED_VALUE"""),"Ranged Ultimate")</f>
        <v>Ranged Ultimate</v>
      </c>
      <c r="B204" s="107">
        <f>IFERROR(__xludf.DUMMYFUNCTION("""COMPUTED_VALUE"""),0.0)</f>
        <v>0</v>
      </c>
      <c r="C204" s="73"/>
      <c r="D204" s="193">
        <f>IFERROR(__xludf.DUMMYFUNCTION("""COMPUTED_VALUE"""),10.0)</f>
        <v>10</v>
      </c>
      <c r="E204" s="73"/>
      <c r="F204" s="73"/>
      <c r="G204" s="73"/>
      <c r="H204" s="73"/>
      <c r="I204" s="73"/>
      <c r="J204" s="73"/>
      <c r="K204" s="92"/>
      <c r="L204" s="73"/>
      <c r="M204" s="73"/>
      <c r="N204" s="73"/>
      <c r="O204" s="73"/>
      <c r="P204" s="73"/>
      <c r="Q204" s="75"/>
      <c r="R204" s="82"/>
      <c r="S204" s="92"/>
      <c r="T204" s="73"/>
      <c r="U204" s="73"/>
      <c r="V204" s="73"/>
      <c r="W204" s="73"/>
      <c r="X204" s="73"/>
      <c r="Y204" s="77"/>
      <c r="Z204" s="104"/>
      <c r="AA204" s="73"/>
      <c r="AB204" s="104"/>
      <c r="AC204" s="104"/>
      <c r="AD204" s="74"/>
      <c r="AE204" s="106"/>
      <c r="AF204" s="195"/>
      <c r="AG204" s="80"/>
      <c r="AH204" s="104"/>
      <c r="AI204" s="82"/>
      <c r="AJ204" s="114"/>
      <c r="AK204" s="106"/>
      <c r="AL204" s="74"/>
      <c r="AM204" s="73"/>
      <c r="AN204" s="73"/>
      <c r="AO204" s="102"/>
      <c r="AP204" s="73"/>
      <c r="AQ204" s="116"/>
      <c r="AR204" s="74"/>
      <c r="AS204" s="73"/>
      <c r="AT204" s="116"/>
      <c r="AU204" s="73"/>
      <c r="AV204" s="73"/>
      <c r="AW204" s="73"/>
      <c r="AX204" s="74"/>
      <c r="AY204" s="73"/>
      <c r="AZ204" s="73"/>
      <c r="BA204" s="91"/>
      <c r="BB204" s="128"/>
      <c r="BC204" s="73"/>
      <c r="BD204" s="73"/>
      <c r="BE204" s="73"/>
      <c r="BF204" s="73"/>
      <c r="BG204" s="73"/>
      <c r="BH204" s="73"/>
      <c r="BI204" s="73"/>
      <c r="BJ204" s="73"/>
      <c r="BK204" s="73"/>
      <c r="BL204" s="73"/>
      <c r="BM204" s="73"/>
      <c r="BN204" s="73"/>
      <c r="BO204" s="73"/>
      <c r="BP204" s="73"/>
      <c r="BQ204" s="73"/>
      <c r="BR204" s="73"/>
      <c r="BS204" s="73"/>
      <c r="BT204" s="74"/>
      <c r="BU204" s="73"/>
      <c r="BV204" s="73"/>
      <c r="BW204" s="73"/>
      <c r="BX204" s="73"/>
      <c r="BY204" s="73"/>
      <c r="BZ204" s="73"/>
      <c r="CA204" s="73"/>
      <c r="CB204" s="73"/>
      <c r="CC204" s="73"/>
      <c r="CD204" s="73"/>
      <c r="CE204" s="73"/>
    </row>
    <row r="205">
      <c r="A205" s="196" t="str">
        <f>IFERROR(__xludf.DUMMYFUNCTION("""COMPUTED_VALUE"""),"Boss's Ultimate")</f>
        <v>Boss's Ultimate</v>
      </c>
      <c r="B205" s="107">
        <f>IFERROR(__xludf.DUMMYFUNCTION("""COMPUTED_VALUE"""),0.0)</f>
        <v>0</v>
      </c>
      <c r="C205" s="73"/>
      <c r="D205" s="193">
        <f>IFERROR(__xludf.DUMMYFUNCTION("""COMPUTED_VALUE"""),10.0)</f>
        <v>10</v>
      </c>
      <c r="E205" s="73"/>
      <c r="F205" s="73"/>
      <c r="G205" s="73"/>
      <c r="H205" s="73"/>
      <c r="I205" s="73"/>
      <c r="J205" s="73"/>
      <c r="K205" s="92"/>
      <c r="L205" s="73"/>
      <c r="M205" s="73"/>
      <c r="N205" s="73"/>
      <c r="O205" s="73"/>
      <c r="P205" s="73"/>
      <c r="Q205" s="75"/>
      <c r="R205" s="82"/>
      <c r="S205" s="92"/>
      <c r="T205" s="73"/>
      <c r="U205" s="73"/>
      <c r="V205" s="73"/>
      <c r="W205" s="73"/>
      <c r="X205" s="73"/>
      <c r="Y205" s="77"/>
      <c r="Z205" s="104"/>
      <c r="AA205" s="73"/>
      <c r="AB205" s="104"/>
      <c r="AC205" s="104"/>
      <c r="AD205" s="74"/>
      <c r="AE205" s="106"/>
      <c r="AF205" s="195"/>
      <c r="AG205" s="80"/>
      <c r="AH205" s="135"/>
      <c r="AI205" s="82"/>
      <c r="AJ205" s="114"/>
      <c r="AK205" s="106"/>
      <c r="AL205" s="74"/>
      <c r="AM205" s="73"/>
      <c r="AN205" s="73"/>
      <c r="AO205" s="102"/>
      <c r="AP205" s="73"/>
      <c r="AQ205" s="116"/>
      <c r="AR205" s="74"/>
      <c r="AS205" s="73"/>
      <c r="AT205" s="116"/>
      <c r="AU205" s="73"/>
      <c r="AV205" s="73"/>
      <c r="AW205" s="73"/>
      <c r="AX205" s="74"/>
      <c r="AY205" s="131"/>
      <c r="AZ205" s="73"/>
      <c r="BA205" s="140"/>
      <c r="BB205" s="139"/>
      <c r="BC205" s="73"/>
      <c r="BD205" s="73"/>
      <c r="BE205" s="73"/>
      <c r="BF205" s="73"/>
      <c r="BG205" s="73"/>
      <c r="BH205" s="73"/>
      <c r="BI205" s="73"/>
      <c r="BJ205" s="73"/>
      <c r="BK205" s="73"/>
      <c r="BL205" s="73"/>
      <c r="BM205" s="73"/>
      <c r="BN205" s="73"/>
      <c r="BO205" s="73"/>
      <c r="BP205" s="73"/>
      <c r="BQ205" s="73"/>
      <c r="BR205" s="73"/>
      <c r="BS205" s="73"/>
      <c r="BT205" s="74"/>
      <c r="BU205" s="73"/>
      <c r="BV205" s="73"/>
      <c r="BW205" s="73"/>
      <c r="BX205" s="73"/>
      <c r="BY205" s="73"/>
      <c r="BZ205" s="73"/>
      <c r="CA205" s="73"/>
      <c r="CB205" s="73"/>
      <c r="CC205" s="73"/>
      <c r="CD205" s="73"/>
      <c r="CE205" s="73"/>
    </row>
    <row r="206">
      <c r="A206" s="196" t="str">
        <f>IFERROR(__xludf.DUMMYFUNCTION("""COMPUTED_VALUE"""),"Basic's Ultimate")</f>
        <v>Basic's Ultimate</v>
      </c>
      <c r="B206" s="107">
        <f>IFERROR(__xludf.DUMMYFUNCTION("""COMPUTED_VALUE"""),0.0)</f>
        <v>0</v>
      </c>
      <c r="C206" s="73"/>
      <c r="D206" s="193">
        <f>IFERROR(__xludf.DUMMYFUNCTION("""COMPUTED_VALUE"""),10.0)</f>
        <v>10</v>
      </c>
      <c r="E206" s="73"/>
      <c r="F206" s="73"/>
      <c r="G206" s="73"/>
      <c r="H206" s="73"/>
      <c r="I206" s="73"/>
      <c r="J206" s="73"/>
      <c r="K206" s="92"/>
      <c r="L206" s="73"/>
      <c r="M206" s="73"/>
      <c r="N206" s="73"/>
      <c r="O206" s="73"/>
      <c r="P206" s="73"/>
      <c r="Q206" s="75"/>
      <c r="R206" s="82"/>
      <c r="S206" s="92"/>
      <c r="T206" s="73"/>
      <c r="U206" s="73"/>
      <c r="V206" s="73"/>
      <c r="W206" s="73"/>
      <c r="X206" s="73"/>
      <c r="Y206" s="77"/>
      <c r="Z206" s="104"/>
      <c r="AA206" s="73"/>
      <c r="AB206" s="104"/>
      <c r="AC206" s="104"/>
      <c r="AD206" s="74"/>
      <c r="AE206" s="106"/>
      <c r="AF206" s="195"/>
      <c r="AG206" s="80"/>
      <c r="AH206" s="143"/>
      <c r="AI206" s="82"/>
      <c r="AJ206" s="114"/>
      <c r="AK206" s="106"/>
      <c r="AL206" s="74"/>
      <c r="AM206" s="73"/>
      <c r="AN206" s="73"/>
      <c r="AO206" s="102"/>
      <c r="AP206" s="73"/>
      <c r="AQ206" s="116"/>
      <c r="AR206" s="74"/>
      <c r="AS206" s="73"/>
      <c r="AT206" s="116"/>
      <c r="AU206" s="73"/>
      <c r="AV206" s="73"/>
      <c r="AW206" s="139"/>
      <c r="AX206" s="74"/>
      <c r="AY206" s="73"/>
      <c r="AZ206" s="73"/>
      <c r="BA206" s="147"/>
      <c r="BB206" s="145"/>
      <c r="BC206" s="73"/>
      <c r="BD206" s="73"/>
      <c r="BE206" s="73"/>
      <c r="BF206" s="73"/>
      <c r="BG206" s="73"/>
      <c r="BH206" s="73"/>
      <c r="BI206" s="73"/>
      <c r="BJ206" s="73"/>
      <c r="BK206" s="73"/>
      <c r="BL206" s="73"/>
      <c r="BM206" s="73"/>
      <c r="BN206" s="73"/>
      <c r="BO206" s="73"/>
      <c r="BP206" s="73"/>
      <c r="BQ206" s="73"/>
      <c r="BR206" s="73"/>
      <c r="BS206" s="73"/>
      <c r="BT206" s="74"/>
      <c r="BU206" s="73"/>
      <c r="BV206" s="73"/>
      <c r="BW206" s="73"/>
      <c r="BX206" s="73"/>
      <c r="BY206" s="73"/>
      <c r="BZ206" s="73"/>
      <c r="CA206" s="73"/>
      <c r="CB206" s="73"/>
      <c r="CC206" s="73"/>
      <c r="CD206" s="73"/>
      <c r="CE206" s="73"/>
    </row>
    <row r="207">
      <c r="A207" s="196" t="str">
        <f>IFERROR(__xludf.DUMMYFUNCTION("""COMPUTED_VALUE"""),"Tank's Ultimate")</f>
        <v>Tank's Ultimate</v>
      </c>
      <c r="B207" s="107">
        <f>IFERROR(__xludf.DUMMYFUNCTION("""COMPUTED_VALUE"""),0.0)</f>
        <v>0</v>
      </c>
      <c r="C207" s="73"/>
      <c r="D207" s="193">
        <f>IFERROR(__xludf.DUMMYFUNCTION("""COMPUTED_VALUE"""),10.0)</f>
        <v>10</v>
      </c>
      <c r="E207" s="73"/>
      <c r="F207" s="73"/>
      <c r="G207" s="73"/>
      <c r="H207" s="73"/>
      <c r="I207" s="73"/>
      <c r="J207" s="73"/>
      <c r="K207" s="92"/>
      <c r="L207" s="73"/>
      <c r="M207" s="73"/>
      <c r="N207" s="73"/>
      <c r="O207" s="73"/>
      <c r="P207" s="73"/>
      <c r="Q207" s="75"/>
      <c r="R207" s="82"/>
      <c r="S207" s="92"/>
      <c r="T207" s="73"/>
      <c r="U207" s="73"/>
      <c r="V207" s="73"/>
      <c r="W207" s="73"/>
      <c r="X207" s="73"/>
      <c r="Y207" s="77"/>
      <c r="Z207" s="104"/>
      <c r="AA207" s="73"/>
      <c r="AB207" s="104"/>
      <c r="AC207" s="104"/>
      <c r="AD207" s="74"/>
      <c r="AE207" s="106"/>
      <c r="AF207" s="195"/>
      <c r="AG207" s="80"/>
      <c r="AH207" s="113"/>
      <c r="AI207" s="73"/>
      <c r="AJ207" s="114"/>
      <c r="AK207" s="106"/>
      <c r="AL207" s="74"/>
      <c r="AM207" s="73"/>
      <c r="AN207" s="73"/>
      <c r="AO207" s="102"/>
      <c r="AP207" s="73"/>
      <c r="AQ207" s="73"/>
      <c r="AR207" s="74"/>
      <c r="AS207" s="73"/>
      <c r="AT207" s="73"/>
      <c r="AU207" s="73"/>
      <c r="AV207" s="73"/>
      <c r="AW207" s="104"/>
      <c r="AX207" s="74"/>
      <c r="AY207" s="73"/>
      <c r="AZ207" s="73"/>
      <c r="BA207" s="151"/>
      <c r="BB207" s="150"/>
      <c r="BC207" s="73"/>
      <c r="BD207" s="73"/>
      <c r="BE207" s="73"/>
      <c r="BF207" s="73"/>
      <c r="BG207" s="73"/>
      <c r="BH207" s="73"/>
      <c r="BI207" s="73"/>
      <c r="BJ207" s="73"/>
      <c r="BK207" s="73"/>
      <c r="BL207" s="73"/>
      <c r="BM207" s="73"/>
      <c r="BN207" s="73"/>
      <c r="BO207" s="73"/>
      <c r="BP207" s="73"/>
      <c r="BQ207" s="73"/>
      <c r="BR207" s="73"/>
      <c r="BS207" s="73"/>
      <c r="BT207" s="74"/>
      <c r="BU207" s="73"/>
      <c r="BV207" s="73"/>
      <c r="BW207" s="73"/>
      <c r="BX207" s="73"/>
      <c r="BY207" s="73"/>
      <c r="BZ207" s="73"/>
      <c r="CA207" s="73"/>
      <c r="CB207" s="73"/>
      <c r="CC207" s="73"/>
      <c r="CD207" s="73"/>
      <c r="CE207" s="73"/>
    </row>
    <row r="208">
      <c r="A208" s="196" t="str">
        <f>IFERROR(__xludf.DUMMYFUNCTION("""COMPUTED_VALUE"""),"Protector's Ultimate")</f>
        <v>Protector's Ultimate</v>
      </c>
      <c r="B208" s="107">
        <f>IFERROR(__xludf.DUMMYFUNCTION("""COMPUTED_VALUE"""),0.0)</f>
        <v>0</v>
      </c>
      <c r="C208" s="73"/>
      <c r="D208" s="193">
        <f>IFERROR(__xludf.DUMMYFUNCTION("""COMPUTED_VALUE"""),10.0)</f>
        <v>10</v>
      </c>
      <c r="E208" s="73"/>
      <c r="F208" s="73"/>
      <c r="G208" s="73"/>
      <c r="H208" s="73"/>
      <c r="I208" s="73"/>
      <c r="J208" s="73"/>
      <c r="K208" s="92"/>
      <c r="L208" s="73"/>
      <c r="M208" s="73"/>
      <c r="N208" s="73"/>
      <c r="O208" s="73"/>
      <c r="P208" s="73"/>
      <c r="Q208" s="75"/>
      <c r="R208" s="82"/>
      <c r="S208" s="92"/>
      <c r="T208" s="73"/>
      <c r="U208" s="73"/>
      <c r="V208" s="73"/>
      <c r="W208" s="73"/>
      <c r="X208" s="73"/>
      <c r="Y208" s="77"/>
      <c r="Z208" s="104"/>
      <c r="AA208" s="73"/>
      <c r="AB208" s="104"/>
      <c r="AC208" s="104"/>
      <c r="AD208" s="74"/>
      <c r="AE208" s="106"/>
      <c r="AF208" s="195"/>
      <c r="AG208" s="80"/>
      <c r="AH208" s="153"/>
      <c r="AI208" s="82"/>
      <c r="AJ208" s="114"/>
      <c r="AK208" s="106"/>
      <c r="AL208" s="74"/>
      <c r="AM208" s="73"/>
      <c r="AN208" s="73"/>
      <c r="AO208" s="102"/>
      <c r="AP208" s="73"/>
      <c r="AQ208" s="73"/>
      <c r="AR208" s="74"/>
      <c r="AS208" s="73"/>
      <c r="AT208" s="104"/>
      <c r="AU208" s="73"/>
      <c r="AV208" s="73"/>
      <c r="AW208" s="104"/>
      <c r="AX208" s="74"/>
      <c r="AY208" s="73"/>
      <c r="AZ208" s="73"/>
      <c r="BA208" s="102"/>
      <c r="BB208" s="73"/>
      <c r="BC208" s="73"/>
      <c r="BD208" s="73"/>
      <c r="BE208" s="73"/>
      <c r="BF208" s="73"/>
      <c r="BG208" s="73"/>
      <c r="BH208" s="73"/>
      <c r="BI208" s="73"/>
      <c r="BJ208" s="73"/>
      <c r="BK208" s="73"/>
      <c r="BL208" s="73"/>
      <c r="BM208" s="73"/>
      <c r="BN208" s="73"/>
      <c r="BO208" s="73"/>
      <c r="BP208" s="73"/>
      <c r="BQ208" s="73"/>
      <c r="BR208" s="73"/>
      <c r="BS208" s="73"/>
      <c r="BT208" s="74"/>
      <c r="BU208" s="73"/>
      <c r="BV208" s="73"/>
      <c r="BW208" s="73"/>
      <c r="BX208" s="73"/>
      <c r="BY208" s="73"/>
      <c r="BZ208" s="73"/>
      <c r="CA208" s="73"/>
      <c r="CB208" s="73"/>
      <c r="CC208" s="73"/>
      <c r="CD208" s="73"/>
      <c r="CE208" s="73"/>
    </row>
    <row r="209">
      <c r="A209" s="196" t="str">
        <f>IFERROR(__xludf.DUMMYFUNCTION("""COMPUTED_VALUE"""),"Ultimate Weapon Durations")</f>
        <v>Ultimate Weapon Durations</v>
      </c>
      <c r="B209" s="107">
        <f>IFERROR(__xludf.DUMMYFUNCTION("""COMPUTED_VALUE"""),0.0)</f>
        <v>0</v>
      </c>
      <c r="C209" s="73"/>
      <c r="D209" s="193">
        <f>IFERROR(__xludf.DUMMYFUNCTION("""COMPUTED_VALUE"""),10.0)</f>
        <v>10</v>
      </c>
      <c r="E209" s="73"/>
      <c r="F209" s="73"/>
      <c r="G209" s="73"/>
      <c r="H209" s="73"/>
      <c r="I209" s="73"/>
      <c r="J209" s="73"/>
      <c r="K209" s="92"/>
      <c r="L209" s="73"/>
      <c r="M209" s="73"/>
      <c r="N209" s="73"/>
      <c r="O209" s="73"/>
      <c r="P209" s="73"/>
      <c r="Q209" s="75"/>
      <c r="R209" s="82"/>
      <c r="S209" s="92"/>
      <c r="T209" s="73"/>
      <c r="U209" s="73"/>
      <c r="V209" s="73"/>
      <c r="W209" s="73"/>
      <c r="X209" s="73"/>
      <c r="Y209" s="77"/>
      <c r="Z209" s="104"/>
      <c r="AA209" s="73"/>
      <c r="AB209" s="104"/>
      <c r="AC209" s="104"/>
      <c r="AD209" s="74"/>
      <c r="AE209" s="106"/>
      <c r="AF209" s="195"/>
      <c r="AG209" s="80"/>
      <c r="AH209" s="153"/>
      <c r="AI209" s="82"/>
      <c r="AJ209" s="114"/>
      <c r="AK209" s="106"/>
      <c r="AL209" s="74"/>
      <c r="AM209" s="73"/>
      <c r="AN209" s="73"/>
      <c r="AO209" s="102"/>
      <c r="AP209" s="73"/>
      <c r="AQ209" s="73"/>
      <c r="AR209" s="74"/>
      <c r="AS209" s="73"/>
      <c r="AT209" s="73"/>
      <c r="AU209" s="73"/>
      <c r="AV209" s="73"/>
      <c r="AW209" s="73"/>
      <c r="AX209" s="74"/>
      <c r="AY209" s="73"/>
      <c r="AZ209" s="73"/>
      <c r="BA209" s="159"/>
      <c r="BB209" s="139"/>
      <c r="BC209" s="73"/>
      <c r="BD209" s="73"/>
      <c r="BE209" s="73"/>
      <c r="BF209" s="73"/>
      <c r="BG209" s="73"/>
      <c r="BH209" s="73"/>
      <c r="BI209" s="73"/>
      <c r="BJ209" s="73"/>
      <c r="BK209" s="73"/>
      <c r="BL209" s="73"/>
      <c r="BM209" s="73"/>
      <c r="BN209" s="73"/>
      <c r="BO209" s="73"/>
      <c r="BP209" s="73"/>
      <c r="BQ209" s="73"/>
      <c r="BR209" s="73"/>
      <c r="BS209" s="73"/>
      <c r="BT209" s="74"/>
      <c r="BU209" s="73"/>
      <c r="BV209" s="73"/>
      <c r="BW209" s="73"/>
      <c r="BX209" s="73"/>
      <c r="BY209" s="73"/>
      <c r="BZ209" s="73"/>
      <c r="CA209" s="73"/>
      <c r="CB209" s="73"/>
      <c r="CC209" s="73"/>
      <c r="CD209" s="73"/>
      <c r="CE209" s="73"/>
    </row>
    <row r="210">
      <c r="A210" s="196" t="str">
        <f>IFERROR(__xludf.DUMMYFUNCTION("""COMPUTED_VALUE"""),"Death Defy Down")</f>
        <v>Death Defy Down</v>
      </c>
      <c r="B210" s="107">
        <f>IFERROR(__xludf.DUMMYFUNCTION("""COMPUTED_VALUE"""),0.0)</f>
        <v>0</v>
      </c>
      <c r="C210" s="73"/>
      <c r="D210" s="193">
        <f>IFERROR(__xludf.DUMMYFUNCTION("""COMPUTED_VALUE"""),10.0)</f>
        <v>10</v>
      </c>
      <c r="E210" s="73"/>
      <c r="F210" s="73"/>
      <c r="G210" s="73"/>
      <c r="H210" s="73"/>
      <c r="I210" s="73"/>
      <c r="J210" s="73"/>
      <c r="K210" s="92"/>
      <c r="L210" s="73"/>
      <c r="M210" s="73"/>
      <c r="N210" s="73"/>
      <c r="O210" s="73"/>
      <c r="P210" s="73"/>
      <c r="Q210" s="75"/>
      <c r="R210" s="82"/>
      <c r="S210" s="92"/>
      <c r="T210" s="73"/>
      <c r="U210" s="73"/>
      <c r="V210" s="73"/>
      <c r="W210" s="73"/>
      <c r="X210" s="73"/>
      <c r="Y210" s="77"/>
      <c r="Z210" s="104"/>
      <c r="AA210" s="73"/>
      <c r="AB210" s="104"/>
      <c r="AC210" s="104"/>
      <c r="AD210" s="74"/>
      <c r="AE210" s="106"/>
      <c r="AF210" s="195"/>
      <c r="AG210" s="80"/>
      <c r="AH210" s="78"/>
      <c r="AI210" s="73"/>
      <c r="AJ210" s="114"/>
      <c r="AK210" s="106"/>
      <c r="AL210" s="74"/>
      <c r="AM210" s="73"/>
      <c r="AN210" s="73"/>
      <c r="AO210" s="102"/>
      <c r="AP210" s="73"/>
      <c r="AQ210" s="104"/>
      <c r="AR210" s="74"/>
      <c r="AS210" s="73"/>
      <c r="AT210" s="104"/>
      <c r="AU210" s="104"/>
      <c r="AV210" s="104"/>
      <c r="AW210" s="104"/>
      <c r="AX210" s="74"/>
      <c r="AY210" s="73"/>
      <c r="AZ210" s="73"/>
      <c r="BA210" s="161"/>
      <c r="BB210" s="82"/>
      <c r="BC210" s="73"/>
      <c r="BD210" s="73"/>
      <c r="BE210" s="73"/>
      <c r="BF210" s="73"/>
      <c r="BG210" s="73"/>
      <c r="BH210" s="73"/>
      <c r="BI210" s="73"/>
      <c r="BJ210" s="73"/>
      <c r="BK210" s="73"/>
      <c r="BL210" s="73"/>
      <c r="BM210" s="73"/>
      <c r="BN210" s="73"/>
      <c r="BO210" s="73"/>
      <c r="BP210" s="73"/>
      <c r="BQ210" s="73"/>
      <c r="BR210" s="73"/>
      <c r="BS210" s="73"/>
      <c r="BT210" s="74"/>
      <c r="BU210" s="73"/>
      <c r="BV210" s="73"/>
      <c r="BW210" s="73"/>
      <c r="BX210" s="73"/>
      <c r="BY210" s="73"/>
      <c r="BZ210" s="73"/>
      <c r="CA210" s="73"/>
      <c r="CB210" s="73"/>
      <c r="CC210" s="73"/>
      <c r="CD210" s="73"/>
      <c r="CE210" s="73"/>
    </row>
    <row r="211">
      <c r="A211" s="196" t="str">
        <f>IFERROR(__xludf.DUMMYFUNCTION("""COMPUTED_VALUE"""),"Energy Shields Down")</f>
        <v>Energy Shields Down</v>
      </c>
      <c r="B211" s="107">
        <f>IFERROR(__xludf.DUMMYFUNCTION("""COMPUTED_VALUE"""),0.0)</f>
        <v>0</v>
      </c>
      <c r="C211" s="73"/>
      <c r="D211" s="193">
        <f>IFERROR(__xludf.DUMMYFUNCTION("""COMPUTED_VALUE"""),10.0)</f>
        <v>10</v>
      </c>
      <c r="E211" s="73"/>
      <c r="F211" s="73"/>
      <c r="G211" s="73"/>
      <c r="H211" s="73"/>
      <c r="I211" s="73"/>
      <c r="J211" s="73"/>
      <c r="K211" s="92"/>
      <c r="L211" s="73"/>
      <c r="M211" s="73"/>
      <c r="N211" s="73"/>
      <c r="O211" s="73"/>
      <c r="P211" s="73"/>
      <c r="Q211" s="75"/>
      <c r="R211" s="82"/>
      <c r="S211" s="92"/>
      <c r="T211" s="73"/>
      <c r="U211" s="73"/>
      <c r="V211" s="73"/>
      <c r="W211" s="73"/>
      <c r="X211" s="73"/>
      <c r="Y211" s="77"/>
      <c r="Z211" s="104"/>
      <c r="AA211" s="73"/>
      <c r="AB211" s="104"/>
      <c r="AC211" s="104"/>
      <c r="AD211" s="74"/>
      <c r="AE211" s="106"/>
      <c r="AF211" s="195"/>
      <c r="AG211" s="80"/>
      <c r="AH211" s="163"/>
      <c r="AI211" s="73"/>
      <c r="AJ211" s="114"/>
      <c r="AK211" s="106"/>
      <c r="AL211" s="74"/>
      <c r="AM211" s="73"/>
      <c r="AN211" s="73"/>
      <c r="AO211" s="102"/>
      <c r="AP211" s="73"/>
      <c r="AQ211" s="139"/>
      <c r="AR211" s="74"/>
      <c r="AS211" s="73"/>
      <c r="AT211" s="139"/>
      <c r="AU211" s="73"/>
      <c r="AV211" s="73"/>
      <c r="AW211" s="73"/>
      <c r="AX211" s="74"/>
      <c r="AY211" s="73"/>
      <c r="AZ211" s="73"/>
      <c r="BA211" s="167"/>
      <c r="BB211" s="82"/>
      <c r="BC211" s="73"/>
      <c r="BD211" s="73"/>
      <c r="BE211" s="73"/>
      <c r="BF211" s="73"/>
      <c r="BG211" s="73"/>
      <c r="BH211" s="73"/>
      <c r="BI211" s="73"/>
      <c r="BJ211" s="73"/>
      <c r="BK211" s="73"/>
      <c r="BL211" s="73"/>
      <c r="BM211" s="73"/>
      <c r="BN211" s="73"/>
      <c r="BO211" s="73"/>
      <c r="BP211" s="73"/>
      <c r="BQ211" s="73"/>
      <c r="BR211" s="73"/>
      <c r="BS211" s="73"/>
      <c r="BT211" s="74"/>
      <c r="BU211" s="73"/>
      <c r="BV211" s="73"/>
      <c r="BW211" s="73"/>
      <c r="BX211" s="73"/>
      <c r="BY211" s="73"/>
      <c r="BZ211" s="73"/>
      <c r="CA211" s="73"/>
      <c r="CB211" s="73"/>
      <c r="CC211" s="73"/>
      <c r="CD211" s="73"/>
      <c r="CE211" s="73"/>
    </row>
    <row r="212">
      <c r="A212" s="196" t="str">
        <f>IFERROR(__xludf.DUMMYFUNCTION("""COMPUTED_VALUE"""),"Enemy Level Skip Reduction")</f>
        <v>Enemy Level Skip Reduction</v>
      </c>
      <c r="B212" s="107">
        <f>IFERROR(__xludf.DUMMYFUNCTION("""COMPUTED_VALUE"""),0.0)</f>
        <v>0</v>
      </c>
      <c r="C212" s="73"/>
      <c r="D212" s="193">
        <f>IFERROR(__xludf.DUMMYFUNCTION("""COMPUTED_VALUE"""),10.0)</f>
        <v>10</v>
      </c>
      <c r="E212" s="73"/>
      <c r="F212" s="73"/>
      <c r="G212" s="73"/>
      <c r="H212" s="73"/>
      <c r="I212" s="73"/>
      <c r="J212" s="73"/>
      <c r="K212" s="92"/>
      <c r="L212" s="73"/>
      <c r="M212" s="73"/>
      <c r="N212" s="73"/>
      <c r="O212" s="73"/>
      <c r="P212" s="73"/>
      <c r="Q212" s="75"/>
      <c r="R212" s="82"/>
      <c r="S212" s="92"/>
      <c r="T212" s="73"/>
      <c r="U212" s="73"/>
      <c r="V212" s="73"/>
      <c r="W212" s="73"/>
      <c r="X212" s="73"/>
      <c r="Y212" s="77"/>
      <c r="Z212" s="104"/>
      <c r="AA212" s="73"/>
      <c r="AB212" s="104"/>
      <c r="AC212" s="104"/>
      <c r="AD212" s="74"/>
      <c r="AE212" s="106"/>
      <c r="AF212" s="195"/>
      <c r="AG212" s="80"/>
      <c r="AH212" s="118"/>
      <c r="AI212" s="73"/>
      <c r="AJ212" s="114"/>
      <c r="AK212" s="106"/>
      <c r="AL212" s="74"/>
      <c r="AM212" s="73"/>
      <c r="AN212" s="73"/>
      <c r="AO212" s="102"/>
      <c r="AP212" s="73"/>
      <c r="AQ212" s="73"/>
      <c r="AR212" s="74"/>
      <c r="AS212" s="73"/>
      <c r="AT212" s="73"/>
      <c r="AU212" s="73"/>
      <c r="AV212" s="73"/>
      <c r="AW212" s="73"/>
      <c r="AX212" s="74"/>
      <c r="AY212" s="73"/>
      <c r="AZ212" s="73"/>
      <c r="BA212" s="171"/>
      <c r="BB212" s="82"/>
      <c r="BC212" s="73"/>
      <c r="BD212" s="73"/>
      <c r="BE212" s="73"/>
      <c r="BF212" s="73"/>
      <c r="BG212" s="73"/>
      <c r="BH212" s="73"/>
      <c r="BI212" s="73"/>
      <c r="BJ212" s="73"/>
      <c r="BK212" s="73"/>
      <c r="BL212" s="73"/>
      <c r="BM212" s="73"/>
      <c r="BN212" s="73"/>
      <c r="BO212" s="73"/>
      <c r="BP212" s="73"/>
      <c r="BQ212" s="73"/>
      <c r="BR212" s="73"/>
      <c r="BS212" s="73"/>
      <c r="BT212" s="74"/>
      <c r="BU212" s="73"/>
      <c r="BV212" s="73"/>
      <c r="BW212" s="73"/>
      <c r="BX212" s="73"/>
      <c r="BY212" s="73"/>
      <c r="BZ212" s="73"/>
      <c r="CA212" s="73"/>
      <c r="CB212" s="73"/>
      <c r="CC212" s="73"/>
      <c r="CD212" s="73"/>
      <c r="CE212" s="73"/>
    </row>
    <row r="213">
      <c r="A213" s="73"/>
      <c r="B213" s="73"/>
      <c r="C213" s="73"/>
      <c r="D213" s="74"/>
      <c r="E213" s="73"/>
      <c r="F213" s="73"/>
      <c r="G213" s="73"/>
      <c r="H213" s="73"/>
      <c r="I213" s="73"/>
      <c r="J213" s="73"/>
      <c r="K213" s="92"/>
      <c r="L213" s="73"/>
      <c r="M213" s="73"/>
      <c r="N213" s="73"/>
      <c r="O213" s="73"/>
      <c r="P213" s="73"/>
      <c r="Q213" s="75"/>
      <c r="R213" s="82"/>
      <c r="S213" s="92"/>
      <c r="T213" s="73"/>
      <c r="U213" s="73"/>
      <c r="V213" s="73"/>
      <c r="W213" s="73"/>
      <c r="X213" s="73"/>
      <c r="Y213" s="77"/>
      <c r="Z213" s="104"/>
      <c r="AA213" s="73"/>
      <c r="AB213" s="104"/>
      <c r="AC213" s="104"/>
      <c r="AD213" s="74"/>
      <c r="AE213" s="106"/>
      <c r="AF213" s="195"/>
      <c r="AG213" s="80"/>
      <c r="AH213" s="173"/>
      <c r="AI213" s="73"/>
      <c r="AJ213" s="114"/>
      <c r="AK213" s="106"/>
      <c r="AL213" s="74"/>
      <c r="AM213" s="73"/>
      <c r="AN213" s="73"/>
      <c r="AO213" s="102"/>
      <c r="AP213" s="73"/>
      <c r="AQ213" s="104"/>
      <c r="AR213" s="74"/>
      <c r="AS213" s="73"/>
      <c r="AT213" s="104"/>
      <c r="AU213" s="73"/>
      <c r="AV213" s="73"/>
      <c r="AW213" s="114"/>
      <c r="AX213" s="74"/>
      <c r="AY213" s="131"/>
      <c r="AZ213" s="73"/>
      <c r="BA213" s="159"/>
      <c r="BB213" s="82"/>
      <c r="BC213" s="73"/>
      <c r="BD213" s="73"/>
      <c r="BE213" s="73"/>
      <c r="BF213" s="73"/>
      <c r="BG213" s="73"/>
      <c r="BH213" s="73"/>
      <c r="BI213" s="73"/>
      <c r="BJ213" s="73"/>
      <c r="BK213" s="73"/>
      <c r="BL213" s="73"/>
      <c r="BM213" s="73"/>
      <c r="BN213" s="73"/>
      <c r="BO213" s="73"/>
      <c r="BP213" s="73"/>
      <c r="BQ213" s="73"/>
      <c r="BR213" s="73"/>
      <c r="BS213" s="73"/>
      <c r="BT213" s="74"/>
      <c r="BU213" s="73"/>
      <c r="BV213" s="73"/>
      <c r="BW213" s="73"/>
      <c r="BX213" s="73"/>
      <c r="BY213" s="73"/>
      <c r="BZ213" s="73"/>
      <c r="CA213" s="73"/>
      <c r="CB213" s="73"/>
      <c r="CC213" s="73"/>
      <c r="CD213" s="73"/>
      <c r="CE213" s="73"/>
    </row>
    <row r="214">
      <c r="A214" s="73"/>
      <c r="B214" s="73"/>
      <c r="C214" s="73"/>
      <c r="D214" s="74"/>
      <c r="E214" s="73"/>
      <c r="F214" s="73"/>
      <c r="G214" s="73"/>
      <c r="H214" s="73"/>
      <c r="I214" s="73"/>
      <c r="J214" s="73"/>
      <c r="K214" s="92"/>
      <c r="L214" s="73"/>
      <c r="M214" s="73"/>
      <c r="N214" s="73"/>
      <c r="O214" s="73"/>
      <c r="P214" s="73"/>
      <c r="Q214" s="75"/>
      <c r="R214" s="82"/>
      <c r="S214" s="92"/>
      <c r="T214" s="73"/>
      <c r="U214" s="73"/>
      <c r="V214" s="73"/>
      <c r="W214" s="73"/>
      <c r="X214" s="73"/>
      <c r="Y214" s="77"/>
      <c r="Z214" s="104"/>
      <c r="AA214" s="73"/>
      <c r="AB214" s="104"/>
      <c r="AC214" s="104"/>
      <c r="AD214" s="74"/>
      <c r="AE214" s="106"/>
      <c r="AF214" s="195"/>
      <c r="AG214" s="80"/>
      <c r="AH214" s="153"/>
      <c r="AI214" s="82"/>
      <c r="AJ214" s="114"/>
      <c r="AK214" s="106"/>
      <c r="AL214" s="74"/>
      <c r="AM214" s="73"/>
      <c r="AN214" s="73"/>
      <c r="AO214" s="102"/>
      <c r="AP214" s="73"/>
      <c r="AQ214" s="104"/>
      <c r="AR214" s="74"/>
      <c r="AS214" s="73"/>
      <c r="AT214" s="104"/>
      <c r="AU214" s="73"/>
      <c r="AV214" s="73"/>
      <c r="AW214" s="114"/>
      <c r="AX214" s="74"/>
      <c r="AY214" s="73"/>
      <c r="AZ214" s="73"/>
      <c r="BA214" s="161"/>
      <c r="BB214" s="82"/>
      <c r="BC214" s="73"/>
      <c r="BD214" s="73"/>
      <c r="BE214" s="73"/>
      <c r="BF214" s="73"/>
      <c r="BG214" s="73"/>
      <c r="BH214" s="73"/>
      <c r="BI214" s="73"/>
      <c r="BJ214" s="73"/>
      <c r="BK214" s="73"/>
      <c r="BL214" s="73"/>
      <c r="BM214" s="73"/>
      <c r="BN214" s="73"/>
      <c r="BO214" s="73"/>
      <c r="BP214" s="73"/>
      <c r="BQ214" s="73"/>
      <c r="BR214" s="73"/>
      <c r="BS214" s="73"/>
      <c r="BT214" s="74"/>
      <c r="BU214" s="73"/>
      <c r="BV214" s="73"/>
      <c r="BW214" s="73"/>
      <c r="BX214" s="73"/>
      <c r="BY214" s="73"/>
      <c r="BZ214" s="73"/>
      <c r="CA214" s="73"/>
      <c r="CB214" s="73"/>
      <c r="CC214" s="73"/>
      <c r="CD214" s="73"/>
      <c r="CE214" s="73"/>
    </row>
    <row r="215">
      <c r="A215" s="73"/>
      <c r="B215" s="73"/>
      <c r="C215" s="73"/>
      <c r="D215" s="74"/>
      <c r="E215" s="73"/>
      <c r="F215" s="73"/>
      <c r="G215" s="73"/>
      <c r="H215" s="73"/>
      <c r="I215" s="73"/>
      <c r="J215" s="73"/>
      <c r="K215" s="92"/>
      <c r="L215" s="73"/>
      <c r="M215" s="73"/>
      <c r="N215" s="73"/>
      <c r="O215" s="73"/>
      <c r="P215" s="73"/>
      <c r="Q215" s="75"/>
      <c r="R215" s="82"/>
      <c r="S215" s="92"/>
      <c r="T215" s="73"/>
      <c r="U215" s="73"/>
      <c r="V215" s="73"/>
      <c r="W215" s="73"/>
      <c r="X215" s="73"/>
      <c r="Y215" s="77"/>
      <c r="Z215" s="104"/>
      <c r="AA215" s="73"/>
      <c r="AB215" s="104"/>
      <c r="AC215" s="104"/>
      <c r="AD215" s="74"/>
      <c r="AE215" s="106"/>
      <c r="AF215" s="195"/>
      <c r="AG215" s="80"/>
      <c r="AH215" s="114"/>
      <c r="AI215" s="82"/>
      <c r="AJ215" s="114"/>
      <c r="AK215" s="106"/>
      <c r="AL215" s="74"/>
      <c r="AM215" s="73"/>
      <c r="AN215" s="73"/>
      <c r="AO215" s="102"/>
      <c r="AP215" s="73"/>
      <c r="AQ215" s="104"/>
      <c r="AR215" s="74"/>
      <c r="AS215" s="73"/>
      <c r="AT215" s="104"/>
      <c r="AU215" s="73"/>
      <c r="AV215" s="73"/>
      <c r="AW215" s="114"/>
      <c r="AX215" s="74"/>
      <c r="AY215" s="73"/>
      <c r="AZ215" s="73"/>
      <c r="BA215" s="178"/>
      <c r="BB215" s="82"/>
      <c r="BC215" s="73"/>
      <c r="BD215" s="73"/>
      <c r="BE215" s="73"/>
      <c r="BF215" s="73"/>
      <c r="BG215" s="73"/>
      <c r="BH215" s="73"/>
      <c r="BI215" s="73"/>
      <c r="BJ215" s="73"/>
      <c r="BK215" s="73"/>
      <c r="BL215" s="73"/>
      <c r="BM215" s="73"/>
      <c r="BN215" s="73"/>
      <c r="BO215" s="73"/>
      <c r="BP215" s="73"/>
      <c r="BQ215" s="73"/>
      <c r="BR215" s="73"/>
      <c r="BS215" s="73"/>
      <c r="BT215" s="74"/>
      <c r="BU215" s="73"/>
      <c r="BV215" s="73"/>
      <c r="BW215" s="73"/>
      <c r="BX215" s="73"/>
      <c r="BY215" s="73"/>
      <c r="BZ215" s="73"/>
      <c r="CA215" s="73"/>
      <c r="CB215" s="73"/>
      <c r="CC215" s="73"/>
      <c r="CD215" s="73"/>
      <c r="CE215" s="73"/>
    </row>
    <row r="216">
      <c r="A216" s="131"/>
      <c r="B216" s="73"/>
      <c r="C216" s="73"/>
      <c r="D216" s="74"/>
      <c r="E216" s="73"/>
      <c r="F216" s="73"/>
      <c r="G216" s="73"/>
      <c r="H216" s="73"/>
      <c r="I216" s="73"/>
      <c r="J216" s="73"/>
      <c r="K216" s="92"/>
      <c r="L216" s="73"/>
      <c r="M216" s="73"/>
      <c r="N216" s="73"/>
      <c r="O216" s="73"/>
      <c r="P216" s="73"/>
      <c r="Q216" s="75"/>
      <c r="R216" s="82"/>
      <c r="S216" s="92"/>
      <c r="T216" s="73"/>
      <c r="U216" s="73"/>
      <c r="V216" s="73"/>
      <c r="W216" s="73"/>
      <c r="X216" s="73"/>
      <c r="Y216" s="77"/>
      <c r="Z216" s="104"/>
      <c r="AA216" s="73"/>
      <c r="AB216" s="104"/>
      <c r="AC216" s="104"/>
      <c r="AD216" s="74"/>
      <c r="AE216" s="106"/>
      <c r="AF216" s="195"/>
      <c r="AG216" s="80"/>
      <c r="AH216" s="153"/>
      <c r="AI216" s="82"/>
      <c r="AJ216" s="114"/>
      <c r="AK216" s="106"/>
      <c r="AL216" s="74"/>
      <c r="AM216" s="73"/>
      <c r="AN216" s="73"/>
      <c r="AO216" s="102"/>
      <c r="AP216" s="73"/>
      <c r="AQ216" s="104"/>
      <c r="AR216" s="74"/>
      <c r="AS216" s="73"/>
      <c r="AT216" s="104"/>
      <c r="AU216" s="73"/>
      <c r="AV216" s="73"/>
      <c r="AW216" s="114"/>
      <c r="AX216" s="74"/>
      <c r="AY216" s="73"/>
      <c r="AZ216" s="73"/>
      <c r="BA216" s="171"/>
      <c r="BB216" s="82"/>
      <c r="BC216" s="73"/>
      <c r="BD216" s="73"/>
      <c r="BE216" s="73"/>
      <c r="BF216" s="73"/>
      <c r="BG216" s="73"/>
      <c r="BH216" s="73"/>
      <c r="BI216" s="73"/>
      <c r="BJ216" s="73"/>
      <c r="BK216" s="73"/>
      <c r="BL216" s="73"/>
      <c r="BM216" s="73"/>
      <c r="BN216" s="73"/>
      <c r="BO216" s="73"/>
      <c r="BP216" s="73"/>
      <c r="BQ216" s="73"/>
      <c r="BR216" s="73"/>
      <c r="BS216" s="73"/>
      <c r="BT216" s="74"/>
      <c r="BU216" s="73"/>
      <c r="BV216" s="73"/>
      <c r="BW216" s="73"/>
      <c r="BX216" s="73"/>
      <c r="BY216" s="73"/>
      <c r="BZ216" s="73"/>
      <c r="CA216" s="73"/>
      <c r="CB216" s="73"/>
      <c r="CC216" s="73"/>
      <c r="CD216" s="73"/>
      <c r="CE216" s="73"/>
    </row>
    <row r="217">
      <c r="A217" s="73"/>
      <c r="B217" s="73"/>
      <c r="C217" s="73"/>
      <c r="D217" s="74"/>
      <c r="E217" s="73"/>
      <c r="F217" s="73"/>
      <c r="G217" s="73"/>
      <c r="H217" s="73"/>
      <c r="I217" s="73"/>
      <c r="J217" s="73"/>
      <c r="K217" s="92"/>
      <c r="L217" s="73"/>
      <c r="M217" s="73"/>
      <c r="N217" s="73"/>
      <c r="O217" s="73"/>
      <c r="P217" s="73"/>
      <c r="Q217" s="75"/>
      <c r="R217" s="82"/>
      <c r="S217" s="92"/>
      <c r="T217" s="73"/>
      <c r="U217" s="73"/>
      <c r="V217" s="73"/>
      <c r="W217" s="73"/>
      <c r="X217" s="73"/>
      <c r="Y217" s="77"/>
      <c r="Z217" s="104"/>
      <c r="AA217" s="73"/>
      <c r="AB217" s="104"/>
      <c r="AC217" s="104"/>
      <c r="AD217" s="74"/>
      <c r="AE217" s="106"/>
      <c r="AF217" s="195"/>
      <c r="AG217" s="80"/>
      <c r="AH217" s="114"/>
      <c r="AI217" s="82"/>
      <c r="AJ217" s="114"/>
      <c r="AK217" s="106"/>
      <c r="AL217" s="74"/>
      <c r="AM217" s="73"/>
      <c r="AN217" s="73"/>
      <c r="AO217" s="102"/>
      <c r="AP217" s="73"/>
      <c r="AQ217" s="104"/>
      <c r="AR217" s="74"/>
      <c r="AS217" s="73"/>
      <c r="AT217" s="104"/>
      <c r="AU217" s="73"/>
      <c r="AV217" s="73"/>
      <c r="AW217" s="114"/>
      <c r="AX217" s="74"/>
      <c r="AY217" s="73"/>
      <c r="AZ217" s="73"/>
      <c r="BA217" s="159"/>
      <c r="BB217" s="82"/>
      <c r="BC217" s="73"/>
      <c r="BD217" s="73"/>
      <c r="BE217" s="73"/>
      <c r="BF217" s="73"/>
      <c r="BG217" s="73"/>
      <c r="BH217" s="73"/>
      <c r="BI217" s="73"/>
      <c r="BJ217" s="73"/>
      <c r="BK217" s="73"/>
      <c r="BL217" s="73"/>
      <c r="BM217" s="73"/>
      <c r="BN217" s="73"/>
      <c r="BO217" s="73"/>
      <c r="BP217" s="73"/>
      <c r="BQ217" s="73"/>
      <c r="BR217" s="73"/>
      <c r="BS217" s="73"/>
      <c r="BT217" s="74"/>
      <c r="BU217" s="73"/>
      <c r="BV217" s="73"/>
      <c r="BW217" s="73"/>
      <c r="BX217" s="73"/>
      <c r="BY217" s="73"/>
      <c r="BZ217" s="73"/>
      <c r="CA217" s="73"/>
      <c r="CB217" s="73"/>
      <c r="CC217" s="73"/>
      <c r="CD217" s="73"/>
      <c r="CE217" s="73"/>
    </row>
    <row r="218">
      <c r="A218" s="73"/>
      <c r="B218" s="73"/>
      <c r="C218" s="73"/>
      <c r="D218" s="74"/>
      <c r="E218" s="73"/>
      <c r="F218" s="73"/>
      <c r="G218" s="73"/>
      <c r="H218" s="73"/>
      <c r="I218" s="73"/>
      <c r="J218" s="73"/>
      <c r="K218" s="92"/>
      <c r="L218" s="73"/>
      <c r="M218" s="73"/>
      <c r="N218" s="73"/>
      <c r="O218" s="73"/>
      <c r="P218" s="73"/>
      <c r="Q218" s="75"/>
      <c r="R218" s="82"/>
      <c r="S218" s="92"/>
      <c r="T218" s="73"/>
      <c r="U218" s="73"/>
      <c r="V218" s="73"/>
      <c r="W218" s="73"/>
      <c r="X218" s="73"/>
      <c r="Y218" s="77"/>
      <c r="Z218" s="104"/>
      <c r="AA218" s="73"/>
      <c r="AB218" s="104"/>
      <c r="AC218" s="104"/>
      <c r="AD218" s="74"/>
      <c r="AE218" s="106"/>
      <c r="AF218" s="195"/>
      <c r="AG218" s="80"/>
      <c r="AH218" s="143"/>
      <c r="AI218" s="82"/>
      <c r="AJ218" s="114"/>
      <c r="AK218" s="106"/>
      <c r="AL218" s="74"/>
      <c r="AM218" s="73"/>
      <c r="AN218" s="73"/>
      <c r="AO218" s="102"/>
      <c r="AP218" s="73"/>
      <c r="AQ218" s="104"/>
      <c r="AR218" s="74"/>
      <c r="AS218" s="73"/>
      <c r="AT218" s="104"/>
      <c r="AU218" s="73"/>
      <c r="AV218" s="73"/>
      <c r="AW218" s="114"/>
      <c r="AX218" s="74"/>
      <c r="AY218" s="73"/>
      <c r="AZ218" s="73"/>
      <c r="BA218" s="74"/>
      <c r="BB218" s="73"/>
      <c r="BC218" s="73"/>
      <c r="BD218" s="73"/>
      <c r="BE218" s="73"/>
      <c r="BF218" s="73"/>
      <c r="BG218" s="73"/>
      <c r="BH218" s="73"/>
      <c r="BI218" s="73"/>
      <c r="BJ218" s="73"/>
      <c r="BK218" s="73"/>
      <c r="BL218" s="73"/>
      <c r="BM218" s="73"/>
      <c r="BN218" s="73"/>
      <c r="BO218" s="73"/>
      <c r="BP218" s="73"/>
      <c r="BQ218" s="73"/>
      <c r="BR218" s="73"/>
      <c r="BS218" s="73"/>
      <c r="BT218" s="74"/>
      <c r="BU218" s="73"/>
      <c r="BV218" s="73"/>
      <c r="BW218" s="73"/>
      <c r="BX218" s="73"/>
      <c r="BY218" s="73"/>
      <c r="BZ218" s="73"/>
      <c r="CA218" s="73"/>
      <c r="CB218" s="73"/>
      <c r="CC218" s="73"/>
      <c r="CD218" s="73"/>
      <c r="CE218" s="73"/>
    </row>
    <row r="219">
      <c r="A219" s="73"/>
      <c r="B219" s="73"/>
      <c r="C219" s="73"/>
      <c r="D219" s="74"/>
      <c r="E219" s="73"/>
      <c r="F219" s="73"/>
      <c r="G219" s="73"/>
      <c r="H219" s="73"/>
      <c r="I219" s="73"/>
      <c r="J219" s="73"/>
      <c r="K219" s="92"/>
      <c r="L219" s="73"/>
      <c r="M219" s="73"/>
      <c r="N219" s="73"/>
      <c r="O219" s="73"/>
      <c r="P219" s="73"/>
      <c r="Q219" s="75"/>
      <c r="R219" s="82"/>
      <c r="S219" s="92"/>
      <c r="T219" s="73"/>
      <c r="U219" s="73"/>
      <c r="V219" s="73"/>
      <c r="W219" s="73"/>
      <c r="X219" s="73"/>
      <c r="Y219" s="77"/>
      <c r="Z219" s="104"/>
      <c r="AA219" s="73"/>
      <c r="AB219" s="104"/>
      <c r="AC219" s="104"/>
      <c r="AD219" s="74"/>
      <c r="AE219" s="106"/>
      <c r="AF219" s="195"/>
      <c r="AG219" s="80"/>
      <c r="AH219" s="113"/>
      <c r="AI219" s="82"/>
      <c r="AJ219" s="114"/>
      <c r="AK219" s="106"/>
      <c r="AL219" s="74"/>
      <c r="AM219" s="73"/>
      <c r="AN219" s="73"/>
      <c r="AO219" s="102"/>
      <c r="AP219" s="73"/>
      <c r="AQ219" s="104"/>
      <c r="AR219" s="74"/>
      <c r="AS219" s="73"/>
      <c r="AT219" s="104"/>
      <c r="AU219" s="73"/>
      <c r="AV219" s="73"/>
      <c r="AW219" s="114"/>
      <c r="AX219" s="74"/>
      <c r="AY219" s="73"/>
      <c r="AZ219" s="73"/>
      <c r="BA219" s="74"/>
      <c r="BB219" s="73"/>
      <c r="BC219" s="73"/>
      <c r="BD219" s="73"/>
      <c r="BE219" s="73"/>
      <c r="BF219" s="73"/>
      <c r="BG219" s="73"/>
      <c r="BH219" s="73"/>
      <c r="BI219" s="73"/>
      <c r="BJ219" s="73"/>
      <c r="BK219" s="73"/>
      <c r="BL219" s="73"/>
      <c r="BM219" s="73"/>
      <c r="BN219" s="73"/>
      <c r="BO219" s="73"/>
      <c r="BP219" s="73"/>
      <c r="BQ219" s="73"/>
      <c r="BR219" s="73"/>
      <c r="BS219" s="73"/>
      <c r="BT219" s="74"/>
      <c r="BU219" s="73"/>
      <c r="BV219" s="73"/>
      <c r="BW219" s="73"/>
      <c r="BX219" s="73"/>
      <c r="BY219" s="73"/>
      <c r="BZ219" s="73"/>
      <c r="CA219" s="73"/>
      <c r="CB219" s="73"/>
      <c r="CC219" s="73"/>
      <c r="CD219" s="73"/>
      <c r="CE219" s="73"/>
    </row>
    <row r="220">
      <c r="A220" s="73"/>
      <c r="B220" s="73"/>
      <c r="C220" s="73"/>
      <c r="D220" s="74"/>
      <c r="E220" s="73"/>
      <c r="F220" s="73"/>
      <c r="G220" s="73"/>
      <c r="H220" s="73"/>
      <c r="I220" s="73"/>
      <c r="J220" s="73"/>
      <c r="K220" s="92"/>
      <c r="L220" s="73"/>
      <c r="M220" s="73"/>
      <c r="N220" s="73"/>
      <c r="O220" s="73"/>
      <c r="P220" s="73"/>
      <c r="Q220" s="75"/>
      <c r="R220" s="82"/>
      <c r="S220" s="73"/>
      <c r="T220" s="73"/>
      <c r="U220" s="73"/>
      <c r="V220" s="73"/>
      <c r="W220" s="73"/>
      <c r="X220" s="73"/>
      <c r="Y220" s="77"/>
      <c r="Z220" s="104"/>
      <c r="AA220" s="73"/>
      <c r="AB220" s="104"/>
      <c r="AC220" s="104"/>
      <c r="AD220" s="74"/>
      <c r="AE220" s="106"/>
      <c r="AF220" s="195"/>
      <c r="AG220" s="80"/>
      <c r="AH220" s="153"/>
      <c r="AI220" s="82"/>
      <c r="AJ220" s="114"/>
      <c r="AK220" s="106"/>
      <c r="AL220" s="74"/>
      <c r="AM220" s="73"/>
      <c r="AN220" s="73"/>
      <c r="AO220" s="102"/>
      <c r="AP220" s="73"/>
      <c r="AQ220" s="73"/>
      <c r="AR220" s="74"/>
      <c r="AS220" s="73"/>
      <c r="AT220" s="104"/>
      <c r="AU220" s="73"/>
      <c r="AV220" s="73"/>
      <c r="AW220" s="114"/>
      <c r="AX220" s="74"/>
      <c r="AY220" s="73"/>
      <c r="AZ220" s="73"/>
      <c r="BA220" s="74"/>
      <c r="BB220" s="73"/>
      <c r="BC220" s="73"/>
      <c r="BD220" s="73"/>
      <c r="BE220" s="73"/>
      <c r="BF220" s="73"/>
      <c r="BG220" s="73"/>
      <c r="BH220" s="73"/>
      <c r="BI220" s="73"/>
      <c r="BJ220" s="73"/>
      <c r="BK220" s="73"/>
      <c r="BL220" s="73"/>
      <c r="BM220" s="73"/>
      <c r="BN220" s="73"/>
      <c r="BO220" s="73"/>
      <c r="BP220" s="73"/>
      <c r="BQ220" s="73"/>
      <c r="BR220" s="73"/>
      <c r="BS220" s="73"/>
      <c r="BT220" s="74"/>
      <c r="BU220" s="73"/>
      <c r="BV220" s="73"/>
      <c r="BW220" s="73"/>
      <c r="BX220" s="73"/>
      <c r="BY220" s="73"/>
      <c r="BZ220" s="73"/>
      <c r="CA220" s="73"/>
      <c r="CB220" s="73"/>
      <c r="CC220" s="73"/>
      <c r="CD220" s="73"/>
      <c r="CE220" s="73"/>
    </row>
    <row r="221">
      <c r="A221" s="73"/>
      <c r="B221" s="73"/>
      <c r="C221" s="73"/>
      <c r="D221" s="74"/>
      <c r="E221" s="73"/>
      <c r="F221" s="73"/>
      <c r="G221" s="73"/>
      <c r="H221" s="73"/>
      <c r="I221" s="73"/>
      <c r="J221" s="73"/>
      <c r="K221" s="92"/>
      <c r="L221" s="73"/>
      <c r="M221" s="73"/>
      <c r="N221" s="73"/>
      <c r="O221" s="73"/>
      <c r="P221" s="73"/>
      <c r="Q221" s="75"/>
      <c r="R221" s="82"/>
      <c r="S221" s="73"/>
      <c r="T221" s="73"/>
      <c r="U221" s="73"/>
      <c r="V221" s="73"/>
      <c r="W221" s="73"/>
      <c r="X221" s="73"/>
      <c r="Y221" s="77"/>
      <c r="Z221" s="104"/>
      <c r="AA221" s="73"/>
      <c r="AB221" s="104"/>
      <c r="AC221" s="104"/>
      <c r="AD221" s="74"/>
      <c r="AE221" s="106"/>
      <c r="AF221" s="195"/>
      <c r="AG221" s="80"/>
      <c r="AH221" s="183"/>
      <c r="AI221" s="82"/>
      <c r="AJ221" s="114"/>
      <c r="AK221" s="106"/>
      <c r="AL221" s="74"/>
      <c r="AM221" s="73"/>
      <c r="AN221" s="73"/>
      <c r="AO221" s="102"/>
      <c r="AP221" s="73"/>
      <c r="AQ221" s="104"/>
      <c r="AR221" s="74"/>
      <c r="AS221" s="73"/>
      <c r="AT221" s="104"/>
      <c r="AU221" s="73"/>
      <c r="AV221" s="73"/>
      <c r="AW221" s="114"/>
      <c r="AX221" s="74"/>
      <c r="AY221" s="73"/>
      <c r="AZ221" s="73"/>
      <c r="BA221" s="74"/>
      <c r="BB221" s="73"/>
      <c r="BC221" s="73"/>
      <c r="BD221" s="73"/>
      <c r="BE221" s="73"/>
      <c r="BF221" s="73"/>
      <c r="BG221" s="73"/>
      <c r="BH221" s="73"/>
      <c r="BI221" s="73"/>
      <c r="BJ221" s="73"/>
      <c r="BK221" s="73"/>
      <c r="BL221" s="73"/>
      <c r="BM221" s="73"/>
      <c r="BN221" s="73"/>
      <c r="BO221" s="73"/>
      <c r="BP221" s="73"/>
      <c r="BQ221" s="73"/>
      <c r="BR221" s="73"/>
      <c r="BS221" s="73"/>
      <c r="BT221" s="74"/>
      <c r="BU221" s="73"/>
      <c r="BV221" s="73"/>
      <c r="BW221" s="73"/>
      <c r="BX221" s="73"/>
      <c r="BY221" s="73"/>
      <c r="BZ221" s="73"/>
      <c r="CA221" s="73"/>
      <c r="CB221" s="73"/>
      <c r="CC221" s="73"/>
      <c r="CD221" s="73"/>
      <c r="CE221" s="73"/>
    </row>
    <row r="222">
      <c r="A222" s="73"/>
      <c r="B222" s="73"/>
      <c r="C222" s="73"/>
      <c r="D222" s="74"/>
      <c r="E222" s="73"/>
      <c r="F222" s="73"/>
      <c r="G222" s="73"/>
      <c r="H222" s="73"/>
      <c r="I222" s="73"/>
      <c r="J222" s="73"/>
      <c r="K222" s="92"/>
      <c r="L222" s="73"/>
      <c r="M222" s="73"/>
      <c r="N222" s="73"/>
      <c r="O222" s="73"/>
      <c r="P222" s="73"/>
      <c r="Q222" s="75"/>
      <c r="R222" s="82"/>
      <c r="S222" s="73"/>
      <c r="T222" s="73"/>
      <c r="U222" s="73"/>
      <c r="V222" s="73"/>
      <c r="W222" s="73"/>
      <c r="X222" s="73"/>
      <c r="Y222" s="77"/>
      <c r="Z222" s="104"/>
      <c r="AA222" s="73"/>
      <c r="AB222" s="104"/>
      <c r="AC222" s="104"/>
      <c r="AD222" s="74"/>
      <c r="AE222" s="106"/>
      <c r="AF222" s="195"/>
      <c r="AG222" s="80"/>
      <c r="AH222" s="185"/>
      <c r="AI222" s="82"/>
      <c r="AJ222" s="114"/>
      <c r="AK222" s="106"/>
      <c r="AL222" s="74"/>
      <c r="AM222" s="73"/>
      <c r="AN222" s="73"/>
      <c r="AO222" s="102"/>
      <c r="AP222" s="73"/>
      <c r="AQ222" s="104"/>
      <c r="AR222" s="74"/>
      <c r="AS222" s="73"/>
      <c r="AT222" s="104"/>
      <c r="AU222" s="73"/>
      <c r="AV222" s="73"/>
      <c r="AW222" s="114"/>
      <c r="AX222" s="74"/>
      <c r="AY222" s="73"/>
      <c r="AZ222" s="73"/>
      <c r="BA222" s="74"/>
      <c r="BB222" s="73"/>
      <c r="BC222" s="73"/>
      <c r="BD222" s="73"/>
      <c r="BE222" s="73"/>
      <c r="BF222" s="73"/>
      <c r="BG222" s="73"/>
      <c r="BH222" s="73"/>
      <c r="BI222" s="73"/>
      <c r="BJ222" s="73"/>
      <c r="BK222" s="73"/>
      <c r="BL222" s="73"/>
      <c r="BM222" s="73"/>
      <c r="BN222" s="73"/>
      <c r="BO222" s="73"/>
      <c r="BP222" s="73"/>
      <c r="BQ222" s="73"/>
      <c r="BR222" s="73"/>
      <c r="BS222" s="73"/>
      <c r="BT222" s="74"/>
      <c r="BU222" s="73"/>
      <c r="BV222" s="73"/>
      <c r="BW222" s="73"/>
      <c r="BX222" s="73"/>
      <c r="BY222" s="73"/>
      <c r="BZ222" s="73"/>
      <c r="CA222" s="73"/>
      <c r="CB222" s="73"/>
      <c r="CC222" s="73"/>
      <c r="CD222" s="73"/>
      <c r="CE222" s="73"/>
    </row>
    <row r="223">
      <c r="A223" s="73"/>
      <c r="B223" s="73"/>
      <c r="C223" s="73"/>
      <c r="D223" s="74"/>
      <c r="E223" s="73"/>
      <c r="F223" s="73"/>
      <c r="G223" s="73"/>
      <c r="H223" s="73"/>
      <c r="I223" s="73"/>
      <c r="J223" s="73"/>
      <c r="K223" s="92"/>
      <c r="L223" s="73"/>
      <c r="M223" s="73"/>
      <c r="N223" s="73"/>
      <c r="O223" s="73"/>
      <c r="P223" s="73"/>
      <c r="Q223" s="75"/>
      <c r="R223" s="82"/>
      <c r="S223" s="73"/>
      <c r="T223" s="73"/>
      <c r="U223" s="73"/>
      <c r="V223" s="73"/>
      <c r="W223" s="73"/>
      <c r="X223" s="73"/>
      <c r="Y223" s="77"/>
      <c r="Z223" s="104"/>
      <c r="AA223" s="73"/>
      <c r="AB223" s="104"/>
      <c r="AC223" s="104"/>
      <c r="AD223" s="74"/>
      <c r="AE223" s="106"/>
      <c r="AF223" s="195"/>
      <c r="AG223" s="80"/>
      <c r="AH223" s="187"/>
      <c r="AI223" s="82"/>
      <c r="AJ223" s="114"/>
      <c r="AK223" s="106"/>
      <c r="AL223" s="74"/>
      <c r="AM223" s="73"/>
      <c r="AN223" s="73"/>
      <c r="AO223" s="102"/>
      <c r="AP223" s="73"/>
      <c r="AQ223" s="104"/>
      <c r="AR223" s="74"/>
      <c r="AS223" s="73"/>
      <c r="AT223" s="104"/>
      <c r="AU223" s="73"/>
      <c r="AV223" s="73"/>
      <c r="AW223" s="114"/>
      <c r="AX223" s="74"/>
      <c r="AY223" s="73"/>
      <c r="AZ223" s="73"/>
      <c r="BA223" s="74"/>
      <c r="BB223" s="73"/>
      <c r="BC223" s="73"/>
      <c r="BD223" s="73"/>
      <c r="BE223" s="73"/>
      <c r="BF223" s="73"/>
      <c r="BG223" s="73"/>
      <c r="BH223" s="73"/>
      <c r="BI223" s="73"/>
      <c r="BJ223" s="73"/>
      <c r="BK223" s="73"/>
      <c r="BL223" s="73"/>
      <c r="BM223" s="73"/>
      <c r="BN223" s="73"/>
      <c r="BO223" s="73"/>
      <c r="BP223" s="73"/>
      <c r="BQ223" s="73"/>
      <c r="BR223" s="73"/>
      <c r="BS223" s="73"/>
      <c r="BT223" s="74"/>
      <c r="BU223" s="73"/>
      <c r="BV223" s="73"/>
      <c r="BW223" s="73"/>
      <c r="BX223" s="73"/>
      <c r="BY223" s="73"/>
      <c r="BZ223" s="73"/>
      <c r="CA223" s="73"/>
      <c r="CB223" s="73"/>
      <c r="CC223" s="73"/>
      <c r="CD223" s="73"/>
      <c r="CE223" s="73"/>
    </row>
    <row r="224">
      <c r="A224" s="73"/>
      <c r="B224" s="73"/>
      <c r="C224" s="73"/>
      <c r="D224" s="74"/>
      <c r="E224" s="73"/>
      <c r="F224" s="73"/>
      <c r="G224" s="73"/>
      <c r="H224" s="73"/>
      <c r="I224" s="73"/>
      <c r="J224" s="73"/>
      <c r="K224" s="92"/>
      <c r="L224" s="73"/>
      <c r="M224" s="73"/>
      <c r="N224" s="73"/>
      <c r="O224" s="73"/>
      <c r="P224" s="73"/>
      <c r="Q224" s="75"/>
      <c r="R224" s="82"/>
      <c r="S224" s="73"/>
      <c r="T224" s="73"/>
      <c r="U224" s="73"/>
      <c r="V224" s="73"/>
      <c r="W224" s="73"/>
      <c r="X224" s="73"/>
      <c r="Y224" s="77"/>
      <c r="Z224" s="104"/>
      <c r="AA224" s="73"/>
      <c r="AB224" s="104"/>
      <c r="AC224" s="104"/>
      <c r="AD224" s="74"/>
      <c r="AE224" s="106"/>
      <c r="AF224" s="195"/>
      <c r="AG224" s="80"/>
      <c r="AH224" s="153"/>
      <c r="AI224" s="82"/>
      <c r="AJ224" s="114"/>
      <c r="AK224" s="106"/>
      <c r="AL224" s="74"/>
      <c r="AM224" s="73"/>
      <c r="AN224" s="73"/>
      <c r="AO224" s="102"/>
      <c r="AP224" s="73"/>
      <c r="AQ224" s="104"/>
      <c r="AR224" s="74"/>
      <c r="AS224" s="73"/>
      <c r="AT224" s="104"/>
      <c r="AU224" s="73"/>
      <c r="AV224" s="73"/>
      <c r="AW224" s="114"/>
      <c r="AX224" s="74"/>
      <c r="AY224" s="73"/>
      <c r="AZ224" s="73"/>
      <c r="BA224" s="74"/>
      <c r="BB224" s="73"/>
      <c r="BC224" s="73"/>
      <c r="BD224" s="73"/>
      <c r="BE224" s="73"/>
      <c r="BF224" s="73"/>
      <c r="BG224" s="73"/>
      <c r="BH224" s="73"/>
      <c r="BI224" s="73"/>
      <c r="BJ224" s="73"/>
      <c r="BK224" s="73"/>
      <c r="BL224" s="73"/>
      <c r="BM224" s="73"/>
      <c r="BN224" s="73"/>
      <c r="BO224" s="73"/>
      <c r="BP224" s="73"/>
      <c r="BQ224" s="73"/>
      <c r="BR224" s="73"/>
      <c r="BS224" s="73"/>
      <c r="BT224" s="74"/>
      <c r="BU224" s="73"/>
      <c r="BV224" s="73"/>
      <c r="BW224" s="73"/>
      <c r="BX224" s="73"/>
      <c r="BY224" s="73"/>
      <c r="BZ224" s="73"/>
      <c r="CA224" s="73"/>
      <c r="CB224" s="73"/>
      <c r="CC224" s="73"/>
      <c r="CD224" s="73"/>
      <c r="CE224" s="73"/>
    </row>
    <row r="225">
      <c r="A225" s="73"/>
      <c r="B225" s="73"/>
      <c r="C225" s="73"/>
      <c r="D225" s="74"/>
      <c r="E225" s="73"/>
      <c r="F225" s="73"/>
      <c r="G225" s="73"/>
      <c r="H225" s="73"/>
      <c r="I225" s="73"/>
      <c r="J225" s="73"/>
      <c r="K225" s="92"/>
      <c r="L225" s="73"/>
      <c r="M225" s="73"/>
      <c r="N225" s="73"/>
      <c r="O225" s="73"/>
      <c r="P225" s="73"/>
      <c r="Q225" s="75"/>
      <c r="R225" s="82"/>
      <c r="S225" s="73"/>
      <c r="T225" s="73"/>
      <c r="U225" s="73"/>
      <c r="V225" s="73"/>
      <c r="W225" s="73"/>
      <c r="X225" s="73"/>
      <c r="Y225" s="77"/>
      <c r="Z225" s="104"/>
      <c r="AA225" s="73"/>
      <c r="AB225" s="104"/>
      <c r="AC225" s="104"/>
      <c r="AD225" s="74"/>
      <c r="AE225" s="106"/>
      <c r="AF225" s="195"/>
      <c r="AG225" s="80"/>
      <c r="AH225" s="135"/>
      <c r="AI225" s="82"/>
      <c r="AJ225" s="114"/>
      <c r="AK225" s="106"/>
      <c r="AL225" s="74"/>
      <c r="AM225" s="73"/>
      <c r="AN225" s="73"/>
      <c r="AO225" s="102"/>
      <c r="AP225" s="73"/>
      <c r="AQ225" s="104"/>
      <c r="AR225" s="74"/>
      <c r="AS225" s="73"/>
      <c r="AT225" s="104"/>
      <c r="AU225" s="73"/>
      <c r="AV225" s="73"/>
      <c r="AW225" s="114"/>
      <c r="AX225" s="74"/>
      <c r="AY225" s="73"/>
      <c r="AZ225" s="73"/>
      <c r="BA225" s="74"/>
      <c r="BB225" s="73"/>
      <c r="BC225" s="73"/>
      <c r="BD225" s="73"/>
      <c r="BE225" s="73"/>
      <c r="BF225" s="73"/>
      <c r="BG225" s="73"/>
      <c r="BH225" s="73"/>
      <c r="BI225" s="73"/>
      <c r="BJ225" s="73"/>
      <c r="BK225" s="73"/>
      <c r="BL225" s="73"/>
      <c r="BM225" s="73"/>
      <c r="BN225" s="73"/>
      <c r="BO225" s="73"/>
      <c r="BP225" s="73"/>
      <c r="BQ225" s="73"/>
      <c r="BR225" s="73"/>
      <c r="BS225" s="73"/>
      <c r="BT225" s="74"/>
      <c r="BU225" s="73"/>
      <c r="BV225" s="73"/>
      <c r="BW225" s="73"/>
      <c r="BX225" s="73"/>
      <c r="BY225" s="73"/>
      <c r="BZ225" s="73"/>
      <c r="CA225" s="73"/>
      <c r="CB225" s="73"/>
      <c r="CC225" s="73"/>
      <c r="CD225" s="73"/>
      <c r="CE225" s="73"/>
    </row>
    <row r="226">
      <c r="A226" s="73"/>
      <c r="B226" s="73"/>
      <c r="C226" s="73"/>
      <c r="D226" s="74"/>
      <c r="E226" s="73"/>
      <c r="F226" s="73"/>
      <c r="G226" s="73"/>
      <c r="H226" s="73"/>
      <c r="I226" s="73"/>
      <c r="J226" s="73"/>
      <c r="K226" s="92"/>
      <c r="L226" s="73"/>
      <c r="M226" s="73"/>
      <c r="N226" s="73"/>
      <c r="O226" s="73"/>
      <c r="P226" s="73"/>
      <c r="Q226" s="75"/>
      <c r="R226" s="82"/>
      <c r="S226" s="73"/>
      <c r="T226" s="73"/>
      <c r="U226" s="73"/>
      <c r="V226" s="73"/>
      <c r="W226" s="73"/>
      <c r="X226" s="73"/>
      <c r="Y226" s="77"/>
      <c r="Z226" s="104"/>
      <c r="AA226" s="73"/>
      <c r="AB226" s="104"/>
      <c r="AC226" s="104"/>
      <c r="AD226" s="74"/>
      <c r="AE226" s="106"/>
      <c r="AF226" s="195"/>
      <c r="AG226" s="80"/>
      <c r="AH226" s="190"/>
      <c r="AI226" s="82"/>
      <c r="AJ226" s="114"/>
      <c r="AK226" s="106"/>
      <c r="AL226" s="74"/>
      <c r="AM226" s="73"/>
      <c r="AN226" s="73"/>
      <c r="AO226" s="102"/>
      <c r="AP226" s="73"/>
      <c r="AQ226" s="73"/>
      <c r="AR226" s="74"/>
      <c r="AS226" s="73"/>
      <c r="AT226" s="104"/>
      <c r="AU226" s="73"/>
      <c r="AV226" s="73"/>
      <c r="AW226" s="73"/>
      <c r="AX226" s="74"/>
      <c r="AY226" s="73"/>
      <c r="AZ226" s="73"/>
      <c r="BA226" s="74"/>
      <c r="BB226" s="73"/>
      <c r="BC226" s="73"/>
      <c r="BD226" s="73"/>
      <c r="BE226" s="73"/>
      <c r="BF226" s="73"/>
      <c r="BG226" s="73"/>
      <c r="BH226" s="73"/>
      <c r="BI226" s="73"/>
      <c r="BJ226" s="73"/>
      <c r="BK226" s="73"/>
      <c r="BL226" s="73"/>
      <c r="BM226" s="73"/>
      <c r="BN226" s="73"/>
      <c r="BO226" s="73"/>
      <c r="BP226" s="73"/>
      <c r="BQ226" s="73"/>
      <c r="BR226" s="73"/>
      <c r="BS226" s="73"/>
      <c r="BT226" s="74"/>
      <c r="BU226" s="73"/>
      <c r="BV226" s="73"/>
      <c r="BW226" s="73"/>
      <c r="BX226" s="73"/>
      <c r="BY226" s="73"/>
      <c r="BZ226" s="73"/>
      <c r="CA226" s="73"/>
      <c r="CB226" s="73"/>
      <c r="CC226" s="73"/>
      <c r="CD226" s="73"/>
      <c r="CE226" s="73"/>
    </row>
    <row r="227">
      <c r="A227" s="73"/>
      <c r="B227" s="73"/>
      <c r="C227" s="73"/>
      <c r="D227" s="74"/>
      <c r="E227" s="73"/>
      <c r="F227" s="73"/>
      <c r="G227" s="73"/>
      <c r="H227" s="73"/>
      <c r="I227" s="73"/>
      <c r="J227" s="73"/>
      <c r="K227" s="92"/>
      <c r="L227" s="73"/>
      <c r="M227" s="73"/>
      <c r="N227" s="73"/>
      <c r="O227" s="73"/>
      <c r="P227" s="73"/>
      <c r="Q227" s="75"/>
      <c r="R227" s="82"/>
      <c r="S227" s="73"/>
      <c r="T227" s="73"/>
      <c r="U227" s="73"/>
      <c r="V227" s="73"/>
      <c r="W227" s="73"/>
      <c r="X227" s="73"/>
      <c r="Y227" s="77"/>
      <c r="Z227" s="104"/>
      <c r="AA227" s="73"/>
      <c r="AB227" s="104"/>
      <c r="AC227" s="104"/>
      <c r="AD227" s="74"/>
      <c r="AE227" s="106"/>
      <c r="AF227" s="195"/>
      <c r="AG227" s="80"/>
      <c r="AH227" s="153"/>
      <c r="AI227" s="82"/>
      <c r="AJ227" s="114"/>
      <c r="AK227" s="106"/>
      <c r="AL227" s="74"/>
      <c r="AM227" s="73"/>
      <c r="AN227" s="73"/>
      <c r="AO227" s="102"/>
      <c r="AP227" s="73"/>
      <c r="AQ227" s="104"/>
      <c r="AR227" s="74"/>
      <c r="AS227" s="73"/>
      <c r="AT227" s="104"/>
      <c r="AU227" s="73"/>
      <c r="AV227" s="73"/>
      <c r="AW227" s="114"/>
      <c r="AX227" s="74"/>
      <c r="AY227" s="73"/>
      <c r="AZ227" s="73"/>
      <c r="BA227" s="74"/>
      <c r="BB227" s="73"/>
      <c r="BC227" s="73"/>
      <c r="BD227" s="73"/>
      <c r="BE227" s="73"/>
      <c r="BF227" s="73"/>
      <c r="BG227" s="73"/>
      <c r="BH227" s="73"/>
      <c r="BI227" s="73"/>
      <c r="BJ227" s="73"/>
      <c r="BK227" s="73"/>
      <c r="BL227" s="73"/>
      <c r="BM227" s="73"/>
      <c r="BN227" s="73"/>
      <c r="BO227" s="73"/>
      <c r="BP227" s="73"/>
      <c r="BQ227" s="73"/>
      <c r="BR227" s="73"/>
      <c r="BS227" s="73"/>
      <c r="BT227" s="74"/>
      <c r="BU227" s="73"/>
      <c r="BV227" s="73"/>
      <c r="BW227" s="73"/>
      <c r="BX227" s="73"/>
      <c r="BY227" s="73"/>
      <c r="BZ227" s="73"/>
      <c r="CA227" s="73"/>
      <c r="CB227" s="73"/>
      <c r="CC227" s="73"/>
      <c r="CD227" s="73"/>
      <c r="CE227" s="73"/>
    </row>
    <row r="228">
      <c r="A228" s="73"/>
      <c r="B228" s="73"/>
      <c r="C228" s="73"/>
      <c r="D228" s="74"/>
      <c r="E228" s="73"/>
      <c r="F228" s="73"/>
      <c r="G228" s="73"/>
      <c r="H228" s="73"/>
      <c r="I228" s="73"/>
      <c r="J228" s="73"/>
      <c r="K228" s="92"/>
      <c r="L228" s="73"/>
      <c r="M228" s="73"/>
      <c r="N228" s="73"/>
      <c r="O228" s="73"/>
      <c r="P228" s="73"/>
      <c r="Q228" s="75"/>
      <c r="R228" s="82"/>
      <c r="S228" s="73"/>
      <c r="T228" s="73"/>
      <c r="U228" s="73"/>
      <c r="V228" s="73"/>
      <c r="W228" s="73"/>
      <c r="X228" s="73"/>
      <c r="Y228" s="77"/>
      <c r="Z228" s="104"/>
      <c r="AA228" s="73"/>
      <c r="AB228" s="104"/>
      <c r="AC228" s="104"/>
      <c r="AD228" s="74"/>
      <c r="AE228" s="106"/>
      <c r="AF228" s="195"/>
      <c r="AG228" s="80"/>
      <c r="AH228" s="153"/>
      <c r="AI228" s="82"/>
      <c r="AJ228" s="114"/>
      <c r="AK228" s="106"/>
      <c r="AL228" s="74"/>
      <c r="AM228" s="73"/>
      <c r="AN228" s="73"/>
      <c r="AO228" s="102"/>
      <c r="AP228" s="73"/>
      <c r="AQ228" s="104"/>
      <c r="AR228" s="74"/>
      <c r="AS228" s="73"/>
      <c r="AT228" s="104"/>
      <c r="AU228" s="73"/>
      <c r="AV228" s="73"/>
      <c r="AW228" s="114"/>
      <c r="AX228" s="74"/>
      <c r="AY228" s="73"/>
      <c r="AZ228" s="73"/>
      <c r="BA228" s="74"/>
      <c r="BB228" s="73"/>
      <c r="BC228" s="73"/>
      <c r="BD228" s="73"/>
      <c r="BE228" s="73"/>
      <c r="BF228" s="73"/>
      <c r="BG228" s="73"/>
      <c r="BH228" s="73"/>
      <c r="BI228" s="73"/>
      <c r="BJ228" s="73"/>
      <c r="BK228" s="73"/>
      <c r="BL228" s="73"/>
      <c r="BM228" s="73"/>
      <c r="BN228" s="73"/>
      <c r="BO228" s="73"/>
      <c r="BP228" s="73"/>
      <c r="BQ228" s="73"/>
      <c r="BR228" s="73"/>
      <c r="BS228" s="73"/>
      <c r="BT228" s="74"/>
      <c r="BU228" s="73"/>
      <c r="BV228" s="73"/>
      <c r="BW228" s="73"/>
      <c r="BX228" s="73"/>
      <c r="BY228" s="73"/>
      <c r="BZ228" s="73"/>
      <c r="CA228" s="73"/>
      <c r="CB228" s="73"/>
      <c r="CC228" s="73"/>
      <c r="CD228" s="73"/>
      <c r="CE228" s="73"/>
    </row>
    <row r="229">
      <c r="A229" s="73"/>
      <c r="B229" s="73"/>
      <c r="C229" s="73"/>
      <c r="D229" s="74"/>
      <c r="E229" s="73"/>
      <c r="F229" s="73"/>
      <c r="G229" s="73"/>
      <c r="H229" s="73"/>
      <c r="I229" s="73"/>
      <c r="J229" s="73"/>
      <c r="K229" s="92"/>
      <c r="L229" s="73"/>
      <c r="M229" s="73"/>
      <c r="N229" s="73"/>
      <c r="O229" s="73"/>
      <c r="P229" s="73"/>
      <c r="Q229" s="75"/>
      <c r="R229" s="82"/>
      <c r="S229" s="73"/>
      <c r="T229" s="73"/>
      <c r="U229" s="73"/>
      <c r="V229" s="73"/>
      <c r="W229" s="73"/>
      <c r="X229" s="73"/>
      <c r="Y229" s="77"/>
      <c r="Z229" s="104"/>
      <c r="AA229" s="73"/>
      <c r="AB229" s="104"/>
      <c r="AC229" s="104"/>
      <c r="AD229" s="74"/>
      <c r="AE229" s="106"/>
      <c r="AF229" s="195"/>
      <c r="AG229" s="80"/>
      <c r="AH229" s="114"/>
      <c r="AI229" s="82"/>
      <c r="AJ229" s="114"/>
      <c r="AK229" s="106"/>
      <c r="AL229" s="74"/>
      <c r="AM229" s="73"/>
      <c r="AN229" s="73"/>
      <c r="AO229" s="102"/>
      <c r="AP229" s="73"/>
      <c r="AQ229" s="104"/>
      <c r="AR229" s="74"/>
      <c r="AS229" s="73"/>
      <c r="AT229" s="104"/>
      <c r="AU229" s="73"/>
      <c r="AV229" s="73"/>
      <c r="AW229" s="104"/>
      <c r="AX229" s="74"/>
      <c r="AY229" s="73"/>
      <c r="AZ229" s="73"/>
      <c r="BA229" s="74"/>
      <c r="BB229" s="73"/>
      <c r="BC229" s="73"/>
      <c r="BD229" s="73"/>
      <c r="BE229" s="73"/>
      <c r="BF229" s="73"/>
      <c r="BG229" s="73"/>
      <c r="BH229" s="73"/>
      <c r="BI229" s="73"/>
      <c r="BJ229" s="73"/>
      <c r="BK229" s="73"/>
      <c r="BL229" s="73"/>
      <c r="BM229" s="73"/>
      <c r="BN229" s="73"/>
      <c r="BO229" s="73"/>
      <c r="BP229" s="73"/>
      <c r="BQ229" s="73"/>
      <c r="BR229" s="73"/>
      <c r="BS229" s="73"/>
      <c r="BT229" s="74"/>
      <c r="BU229" s="73"/>
      <c r="BV229" s="73"/>
      <c r="BW229" s="73"/>
      <c r="BX229" s="73"/>
      <c r="BY229" s="73"/>
      <c r="BZ229" s="73"/>
      <c r="CA229" s="73"/>
      <c r="CB229" s="73"/>
      <c r="CC229" s="73"/>
      <c r="CD229" s="73"/>
      <c r="CE229" s="73"/>
    </row>
    <row r="230">
      <c r="A230" s="73"/>
      <c r="B230" s="73"/>
      <c r="C230" s="73"/>
      <c r="D230" s="74"/>
      <c r="E230" s="73"/>
      <c r="F230" s="73"/>
      <c r="G230" s="73"/>
      <c r="H230" s="73"/>
      <c r="I230" s="73"/>
      <c r="J230" s="73"/>
      <c r="K230" s="92"/>
      <c r="L230" s="73"/>
      <c r="M230" s="73"/>
      <c r="N230" s="73"/>
      <c r="O230" s="73"/>
      <c r="P230" s="73"/>
      <c r="Q230" s="75"/>
      <c r="R230" s="82"/>
      <c r="S230" s="73"/>
      <c r="T230" s="73"/>
      <c r="U230" s="73"/>
      <c r="V230" s="73"/>
      <c r="W230" s="73"/>
      <c r="X230" s="73"/>
      <c r="Y230" s="77"/>
      <c r="Z230" s="104"/>
      <c r="AA230" s="73"/>
      <c r="AB230" s="104"/>
      <c r="AC230" s="104"/>
      <c r="AD230" s="74"/>
      <c r="AE230" s="106"/>
      <c r="AF230" s="195"/>
      <c r="AG230" s="80"/>
      <c r="AH230" s="139"/>
      <c r="AI230" s="82"/>
      <c r="AJ230" s="114"/>
      <c r="AK230" s="106"/>
      <c r="AL230" s="74"/>
      <c r="AM230" s="73"/>
      <c r="AN230" s="73"/>
      <c r="AO230" s="102"/>
      <c r="AP230" s="73"/>
      <c r="AQ230" s="104"/>
      <c r="AR230" s="74"/>
      <c r="AS230" s="73"/>
      <c r="AT230" s="104"/>
      <c r="AU230" s="73"/>
      <c r="AV230" s="73"/>
      <c r="AW230" s="114"/>
      <c r="AX230" s="74"/>
      <c r="AY230" s="73"/>
      <c r="AZ230" s="73"/>
      <c r="BA230" s="74"/>
      <c r="BB230" s="73"/>
      <c r="BC230" s="73"/>
      <c r="BD230" s="73"/>
      <c r="BE230" s="73"/>
      <c r="BF230" s="73"/>
      <c r="BG230" s="73"/>
      <c r="BH230" s="73"/>
      <c r="BI230" s="73"/>
      <c r="BJ230" s="73"/>
      <c r="BK230" s="73"/>
      <c r="BL230" s="73"/>
      <c r="BM230" s="73"/>
      <c r="BN230" s="73"/>
      <c r="BO230" s="73"/>
      <c r="BP230" s="73"/>
      <c r="BQ230" s="73"/>
      <c r="BR230" s="73"/>
      <c r="BS230" s="73"/>
      <c r="BT230" s="74"/>
      <c r="BU230" s="73"/>
      <c r="BV230" s="73"/>
      <c r="BW230" s="73"/>
      <c r="BX230" s="73"/>
      <c r="BY230" s="73"/>
      <c r="BZ230" s="73"/>
      <c r="CA230" s="73"/>
      <c r="CB230" s="73"/>
      <c r="CC230" s="73"/>
      <c r="CD230" s="73"/>
      <c r="CE230" s="73"/>
    </row>
    <row r="231">
      <c r="A231" s="73"/>
      <c r="B231" s="73"/>
      <c r="C231" s="73"/>
      <c r="D231" s="74"/>
      <c r="E231" s="73"/>
      <c r="F231" s="73"/>
      <c r="G231" s="73"/>
      <c r="H231" s="73"/>
      <c r="I231" s="73"/>
      <c r="J231" s="73"/>
      <c r="K231" s="92"/>
      <c r="L231" s="73"/>
      <c r="M231" s="73"/>
      <c r="N231" s="73"/>
      <c r="O231" s="73"/>
      <c r="P231" s="73"/>
      <c r="Q231" s="75"/>
      <c r="R231" s="82"/>
      <c r="S231" s="73"/>
      <c r="T231" s="73"/>
      <c r="U231" s="73"/>
      <c r="V231" s="73"/>
      <c r="W231" s="73"/>
      <c r="X231" s="73"/>
      <c r="Y231" s="77"/>
      <c r="Z231" s="104"/>
      <c r="AA231" s="73"/>
      <c r="AB231" s="104"/>
      <c r="AC231" s="104"/>
      <c r="AD231" s="74"/>
      <c r="AE231" s="106"/>
      <c r="AF231" s="195"/>
      <c r="AG231" s="80"/>
      <c r="AH231" s="118"/>
      <c r="AI231" s="82"/>
      <c r="AJ231" s="114"/>
      <c r="AK231" s="106"/>
      <c r="AL231" s="74"/>
      <c r="AM231" s="73"/>
      <c r="AN231" s="73"/>
      <c r="AO231" s="102"/>
      <c r="AP231" s="73"/>
      <c r="AQ231" s="104"/>
      <c r="AR231" s="74"/>
      <c r="AS231" s="73"/>
      <c r="AT231" s="104"/>
      <c r="AU231" s="73"/>
      <c r="AV231" s="73"/>
      <c r="AW231" s="114"/>
      <c r="AX231" s="74"/>
      <c r="AY231" s="73"/>
      <c r="AZ231" s="73"/>
      <c r="BA231" s="74"/>
      <c r="BB231" s="73"/>
      <c r="BC231" s="73"/>
      <c r="BD231" s="73"/>
      <c r="BE231" s="73"/>
      <c r="BF231" s="73"/>
      <c r="BG231" s="73"/>
      <c r="BH231" s="73"/>
      <c r="BI231" s="73"/>
      <c r="BJ231" s="73"/>
      <c r="BK231" s="73"/>
      <c r="BL231" s="73"/>
      <c r="BM231" s="73"/>
      <c r="BN231" s="73"/>
      <c r="BO231" s="73"/>
      <c r="BP231" s="73"/>
      <c r="BQ231" s="73"/>
      <c r="BR231" s="73"/>
      <c r="BS231" s="73"/>
      <c r="BT231" s="74"/>
      <c r="BU231" s="73"/>
      <c r="BV231" s="73"/>
      <c r="BW231" s="73"/>
      <c r="BX231" s="73"/>
      <c r="BY231" s="73"/>
      <c r="BZ231" s="73"/>
      <c r="CA231" s="73"/>
      <c r="CB231" s="73"/>
      <c r="CC231" s="73"/>
      <c r="CD231" s="73"/>
      <c r="CE231" s="73"/>
    </row>
    <row r="232">
      <c r="A232" s="73"/>
      <c r="B232" s="73"/>
      <c r="C232" s="73"/>
      <c r="D232" s="74"/>
      <c r="E232" s="73"/>
      <c r="F232" s="73"/>
      <c r="G232" s="73"/>
      <c r="H232" s="73"/>
      <c r="I232" s="73"/>
      <c r="J232" s="73"/>
      <c r="K232" s="92"/>
      <c r="L232" s="73"/>
      <c r="M232" s="73"/>
      <c r="N232" s="73"/>
      <c r="O232" s="73"/>
      <c r="P232" s="73"/>
      <c r="Q232" s="75"/>
      <c r="R232" s="82"/>
      <c r="S232" s="73"/>
      <c r="T232" s="73"/>
      <c r="U232" s="73"/>
      <c r="V232" s="73"/>
      <c r="W232" s="73"/>
      <c r="X232" s="73"/>
      <c r="Y232" s="77"/>
      <c r="Z232" s="104"/>
      <c r="AA232" s="73"/>
      <c r="AB232" s="104"/>
      <c r="AC232" s="104"/>
      <c r="AD232" s="74"/>
      <c r="AE232" s="106"/>
      <c r="AF232" s="195"/>
      <c r="AG232" s="80"/>
      <c r="AH232" s="118"/>
      <c r="AI232" s="82"/>
      <c r="AJ232" s="114"/>
      <c r="AK232" s="106"/>
      <c r="AL232" s="74"/>
      <c r="AM232" s="73"/>
      <c r="AN232" s="73"/>
      <c r="AO232" s="102"/>
      <c r="AP232" s="73"/>
      <c r="AQ232" s="73"/>
      <c r="AR232" s="74"/>
      <c r="AS232" s="73"/>
      <c r="AT232" s="104"/>
      <c r="AU232" s="73"/>
      <c r="AV232" s="73"/>
      <c r="AW232" s="114"/>
      <c r="AX232" s="74"/>
      <c r="AY232" s="73"/>
      <c r="AZ232" s="73"/>
      <c r="BA232" s="74"/>
      <c r="BB232" s="73"/>
      <c r="BC232" s="73"/>
      <c r="BD232" s="73"/>
      <c r="BE232" s="73"/>
      <c r="BF232" s="73"/>
      <c r="BG232" s="73"/>
      <c r="BH232" s="73"/>
      <c r="BI232" s="73"/>
      <c r="BJ232" s="73"/>
      <c r="BK232" s="73"/>
      <c r="BL232" s="73"/>
      <c r="BM232" s="73"/>
      <c r="BN232" s="73"/>
      <c r="BO232" s="73"/>
      <c r="BP232" s="73"/>
      <c r="BQ232" s="73"/>
      <c r="BR232" s="73"/>
      <c r="BS232" s="73"/>
      <c r="BT232" s="74"/>
      <c r="BU232" s="73"/>
      <c r="BV232" s="73"/>
      <c r="BW232" s="73"/>
      <c r="BX232" s="73"/>
      <c r="BY232" s="73"/>
      <c r="BZ232" s="73"/>
      <c r="CA232" s="73"/>
      <c r="CB232" s="73"/>
      <c r="CC232" s="73"/>
      <c r="CD232" s="73"/>
      <c r="CE232" s="73"/>
    </row>
    <row r="233">
      <c r="A233" s="73"/>
      <c r="B233" s="73"/>
      <c r="C233" s="73"/>
      <c r="D233" s="74"/>
      <c r="E233" s="73"/>
      <c r="F233" s="73"/>
      <c r="G233" s="73"/>
      <c r="H233" s="73"/>
      <c r="I233" s="73"/>
      <c r="J233" s="73"/>
      <c r="K233" s="92"/>
      <c r="L233" s="73"/>
      <c r="M233" s="73"/>
      <c r="N233" s="73"/>
      <c r="O233" s="73"/>
      <c r="P233" s="73"/>
      <c r="Q233" s="75"/>
      <c r="R233" s="82"/>
      <c r="S233" s="73"/>
      <c r="T233" s="73"/>
      <c r="U233" s="73"/>
      <c r="V233" s="73"/>
      <c r="W233" s="73"/>
      <c r="X233" s="73"/>
      <c r="Y233" s="77"/>
      <c r="Z233" s="104"/>
      <c r="AA233" s="73"/>
      <c r="AB233" s="104"/>
      <c r="AC233" s="104"/>
      <c r="AD233" s="74"/>
      <c r="AE233" s="106"/>
      <c r="AF233" s="195"/>
      <c r="AG233" s="80"/>
      <c r="AH233" s="135"/>
      <c r="AI233" s="82"/>
      <c r="AJ233" s="114"/>
      <c r="AK233" s="106"/>
      <c r="AL233" s="74"/>
      <c r="AM233" s="73"/>
      <c r="AN233" s="73"/>
      <c r="AO233" s="102"/>
      <c r="AP233" s="73"/>
      <c r="AQ233" s="73"/>
      <c r="AR233" s="74"/>
      <c r="AS233" s="73"/>
      <c r="AT233" s="104"/>
      <c r="AU233" s="73"/>
      <c r="AV233" s="73"/>
      <c r="AW233" s="114"/>
      <c r="AX233" s="74"/>
      <c r="AY233" s="73"/>
      <c r="AZ233" s="73"/>
      <c r="BA233" s="74"/>
      <c r="BB233" s="73"/>
      <c r="BC233" s="73"/>
      <c r="BD233" s="73"/>
      <c r="BE233" s="73"/>
      <c r="BF233" s="73"/>
      <c r="BG233" s="73"/>
      <c r="BH233" s="73"/>
      <c r="BI233" s="73"/>
      <c r="BJ233" s="73"/>
      <c r="BK233" s="73"/>
      <c r="BL233" s="73"/>
      <c r="BM233" s="73"/>
      <c r="BN233" s="73"/>
      <c r="BO233" s="73"/>
      <c r="BP233" s="73"/>
      <c r="BQ233" s="73"/>
      <c r="BR233" s="73"/>
      <c r="BS233" s="73"/>
      <c r="BT233" s="74"/>
      <c r="BU233" s="73"/>
      <c r="BV233" s="73"/>
      <c r="BW233" s="73"/>
      <c r="BX233" s="73"/>
      <c r="BY233" s="73"/>
      <c r="BZ233" s="73"/>
      <c r="CA233" s="73"/>
      <c r="CB233" s="73"/>
      <c r="CC233" s="73"/>
      <c r="CD233" s="73"/>
      <c r="CE233" s="73"/>
    </row>
    <row r="234">
      <c r="A234" s="73"/>
      <c r="B234" s="73"/>
      <c r="C234" s="73"/>
      <c r="D234" s="74"/>
      <c r="E234" s="73"/>
      <c r="F234" s="73"/>
      <c r="G234" s="73"/>
      <c r="H234" s="73"/>
      <c r="I234" s="73"/>
      <c r="J234" s="73"/>
      <c r="K234" s="92"/>
      <c r="L234" s="73"/>
      <c r="M234" s="73"/>
      <c r="N234" s="73"/>
      <c r="O234" s="73"/>
      <c r="P234" s="73"/>
      <c r="Q234" s="75"/>
      <c r="R234" s="82"/>
      <c r="S234" s="73"/>
      <c r="T234" s="73"/>
      <c r="U234" s="73"/>
      <c r="V234" s="73"/>
      <c r="W234" s="73"/>
      <c r="X234" s="73"/>
      <c r="Y234" s="77"/>
      <c r="Z234" s="104"/>
      <c r="AA234" s="73"/>
      <c r="AB234" s="104"/>
      <c r="AC234" s="104"/>
      <c r="AD234" s="74"/>
      <c r="AE234" s="106"/>
      <c r="AF234" s="195"/>
      <c r="AG234" s="80"/>
      <c r="AH234" s="185"/>
      <c r="AI234" s="82"/>
      <c r="AJ234" s="114"/>
      <c r="AK234" s="106"/>
      <c r="AL234" s="74"/>
      <c r="AM234" s="73"/>
      <c r="AN234" s="73"/>
      <c r="AO234" s="102"/>
      <c r="AP234" s="73"/>
      <c r="AQ234" s="73"/>
      <c r="AR234" s="74"/>
      <c r="AS234" s="73"/>
      <c r="AT234" s="104"/>
      <c r="AU234" s="73"/>
      <c r="AV234" s="73"/>
      <c r="AW234" s="114"/>
      <c r="AX234" s="74"/>
      <c r="AY234" s="73"/>
      <c r="AZ234" s="73"/>
      <c r="BA234" s="74"/>
      <c r="BB234" s="73"/>
      <c r="BC234" s="73"/>
      <c r="BD234" s="73"/>
      <c r="BE234" s="73"/>
      <c r="BF234" s="73"/>
      <c r="BG234" s="73"/>
      <c r="BH234" s="73"/>
      <c r="BI234" s="73"/>
      <c r="BJ234" s="73"/>
      <c r="BK234" s="73"/>
      <c r="BL234" s="73"/>
      <c r="BM234" s="73"/>
      <c r="BN234" s="73"/>
      <c r="BO234" s="73"/>
      <c r="BP234" s="73"/>
      <c r="BQ234" s="73"/>
      <c r="BR234" s="73"/>
      <c r="BS234" s="73"/>
      <c r="BT234" s="74"/>
      <c r="BU234" s="73"/>
      <c r="BV234" s="73"/>
      <c r="BW234" s="73"/>
      <c r="BX234" s="73"/>
      <c r="BY234" s="73"/>
      <c r="BZ234" s="73"/>
      <c r="CA234" s="73"/>
      <c r="CB234" s="73"/>
      <c r="CC234" s="73"/>
      <c r="CD234" s="73"/>
      <c r="CE234" s="73"/>
    </row>
    <row r="235">
      <c r="A235" s="73"/>
      <c r="B235" s="73"/>
      <c r="C235" s="73"/>
      <c r="D235" s="74"/>
      <c r="E235" s="73"/>
      <c r="F235" s="73"/>
      <c r="G235" s="73"/>
      <c r="H235" s="73"/>
      <c r="I235" s="73"/>
      <c r="J235" s="73"/>
      <c r="K235" s="92"/>
      <c r="L235" s="73"/>
      <c r="M235" s="73"/>
      <c r="N235" s="73"/>
      <c r="O235" s="73"/>
      <c r="P235" s="73"/>
      <c r="Q235" s="75"/>
      <c r="R235" s="82"/>
      <c r="S235" s="73"/>
      <c r="T235" s="73"/>
      <c r="U235" s="73"/>
      <c r="V235" s="73"/>
      <c r="W235" s="73"/>
      <c r="X235" s="73"/>
      <c r="Y235" s="77"/>
      <c r="Z235" s="104"/>
      <c r="AA235" s="73"/>
      <c r="AB235" s="104"/>
      <c r="AC235" s="104"/>
      <c r="AD235" s="74"/>
      <c r="AE235" s="106"/>
      <c r="AF235" s="195"/>
      <c r="AG235" s="80"/>
      <c r="AH235" s="104"/>
      <c r="AI235" s="82"/>
      <c r="AJ235" s="114"/>
      <c r="AK235" s="106"/>
      <c r="AL235" s="74"/>
      <c r="AM235" s="73"/>
      <c r="AN235" s="73"/>
      <c r="AO235" s="102"/>
      <c r="AP235" s="73"/>
      <c r="AQ235" s="73"/>
      <c r="AR235" s="74"/>
      <c r="AS235" s="73"/>
      <c r="AT235" s="104"/>
      <c r="AU235" s="73"/>
      <c r="AV235" s="73"/>
      <c r="AW235" s="73"/>
      <c r="AX235" s="74"/>
      <c r="AY235" s="73"/>
      <c r="AZ235" s="73"/>
      <c r="BA235" s="74"/>
      <c r="BB235" s="73"/>
      <c r="BC235" s="73"/>
      <c r="BD235" s="73"/>
      <c r="BE235" s="73"/>
      <c r="BF235" s="73"/>
      <c r="BG235" s="73"/>
      <c r="BH235" s="73"/>
      <c r="BI235" s="73"/>
      <c r="BJ235" s="73"/>
      <c r="BK235" s="73"/>
      <c r="BL235" s="73"/>
      <c r="BM235" s="73"/>
      <c r="BN235" s="73"/>
      <c r="BO235" s="73"/>
      <c r="BP235" s="73"/>
      <c r="BQ235" s="73"/>
      <c r="BR235" s="73"/>
      <c r="BS235" s="73"/>
      <c r="BT235" s="74"/>
      <c r="BU235" s="73"/>
      <c r="BV235" s="73"/>
      <c r="BW235" s="73"/>
      <c r="BX235" s="73"/>
      <c r="BY235" s="73"/>
      <c r="BZ235" s="73"/>
      <c r="CA235" s="73"/>
      <c r="CB235" s="73"/>
      <c r="CC235" s="73"/>
      <c r="CD235" s="73"/>
      <c r="CE235" s="73"/>
    </row>
    <row r="236">
      <c r="A236" s="73"/>
      <c r="B236" s="73"/>
      <c r="C236" s="73"/>
      <c r="D236" s="74"/>
      <c r="E236" s="73"/>
      <c r="F236" s="73"/>
      <c r="G236" s="73"/>
      <c r="H236" s="73"/>
      <c r="I236" s="73"/>
      <c r="J236" s="73"/>
      <c r="K236" s="92"/>
      <c r="L236" s="73"/>
      <c r="M236" s="73"/>
      <c r="N236" s="73"/>
      <c r="O236" s="73"/>
      <c r="P236" s="73"/>
      <c r="Q236" s="75"/>
      <c r="R236" s="82"/>
      <c r="S236" s="73"/>
      <c r="T236" s="73"/>
      <c r="U236" s="73"/>
      <c r="V236" s="73"/>
      <c r="W236" s="73"/>
      <c r="X236" s="73"/>
      <c r="Y236" s="77"/>
      <c r="Z236" s="104"/>
      <c r="AA236" s="73"/>
      <c r="AB236" s="104"/>
      <c r="AC236" s="104"/>
      <c r="AD236" s="74"/>
      <c r="AE236" s="106"/>
      <c r="AF236" s="195"/>
      <c r="AG236" s="80"/>
      <c r="AH236" s="113"/>
      <c r="AI236" s="82"/>
      <c r="AJ236" s="114"/>
      <c r="AK236" s="106"/>
      <c r="AL236" s="74"/>
      <c r="AM236" s="73"/>
      <c r="AN236" s="73"/>
      <c r="AO236" s="102"/>
      <c r="AP236" s="73"/>
      <c r="AQ236" s="73"/>
      <c r="AR236" s="74"/>
      <c r="AS236" s="73"/>
      <c r="AT236" s="104"/>
      <c r="AU236" s="73"/>
      <c r="AV236" s="73"/>
      <c r="AW236" s="153"/>
      <c r="AX236" s="74"/>
      <c r="AY236" s="73"/>
      <c r="AZ236" s="73"/>
      <c r="BA236" s="74"/>
      <c r="BB236" s="73"/>
      <c r="BC236" s="73"/>
      <c r="BD236" s="73"/>
      <c r="BE236" s="73"/>
      <c r="BF236" s="73"/>
      <c r="BG236" s="73"/>
      <c r="BH236" s="73"/>
      <c r="BI236" s="73"/>
      <c r="BJ236" s="73"/>
      <c r="BK236" s="73"/>
      <c r="BL236" s="73"/>
      <c r="BM236" s="73"/>
      <c r="BN236" s="73"/>
      <c r="BO236" s="73"/>
      <c r="BP236" s="73"/>
      <c r="BQ236" s="73"/>
      <c r="BR236" s="73"/>
      <c r="BS236" s="73"/>
      <c r="BT236" s="74"/>
      <c r="BU236" s="73"/>
      <c r="BV236" s="73"/>
      <c r="BW236" s="73"/>
      <c r="BX236" s="73"/>
      <c r="BY236" s="73"/>
      <c r="BZ236" s="73"/>
      <c r="CA236" s="73"/>
      <c r="CB236" s="73"/>
      <c r="CC236" s="73"/>
      <c r="CD236" s="73"/>
      <c r="CE236" s="73"/>
    </row>
    <row r="237">
      <c r="A237" s="73"/>
      <c r="B237" s="73"/>
      <c r="C237" s="73"/>
      <c r="D237" s="74"/>
      <c r="E237" s="73"/>
      <c r="F237" s="73"/>
      <c r="G237" s="73"/>
      <c r="H237" s="73"/>
      <c r="I237" s="73"/>
      <c r="J237" s="73"/>
      <c r="K237" s="92"/>
      <c r="L237" s="73"/>
      <c r="M237" s="73"/>
      <c r="N237" s="73"/>
      <c r="O237" s="73"/>
      <c r="P237" s="73"/>
      <c r="Q237" s="75"/>
      <c r="R237" s="82"/>
      <c r="S237" s="73"/>
      <c r="T237" s="73"/>
      <c r="U237" s="73"/>
      <c r="V237" s="73"/>
      <c r="W237" s="73"/>
      <c r="X237" s="73"/>
      <c r="Y237" s="77"/>
      <c r="Z237" s="104"/>
      <c r="AA237" s="73"/>
      <c r="AB237" s="104"/>
      <c r="AC237" s="104"/>
      <c r="AD237" s="74"/>
      <c r="AE237" s="106"/>
      <c r="AF237" s="195"/>
      <c r="AG237" s="80"/>
      <c r="AH237" s="114"/>
      <c r="AI237" s="82"/>
      <c r="AJ237" s="114"/>
      <c r="AK237" s="106"/>
      <c r="AL237" s="74"/>
      <c r="AM237" s="73"/>
      <c r="AN237" s="73"/>
      <c r="AO237" s="102"/>
      <c r="AP237" s="73"/>
      <c r="AQ237" s="73"/>
      <c r="AR237" s="74"/>
      <c r="AS237" s="73"/>
      <c r="AT237" s="104"/>
      <c r="AU237" s="73"/>
      <c r="AV237" s="73"/>
      <c r="AW237" s="114"/>
      <c r="AX237" s="74"/>
      <c r="AY237" s="73"/>
      <c r="AZ237" s="73"/>
      <c r="BA237" s="74"/>
      <c r="BB237" s="73"/>
      <c r="BC237" s="73"/>
      <c r="BD237" s="73"/>
      <c r="BE237" s="73"/>
      <c r="BF237" s="73"/>
      <c r="BG237" s="73"/>
      <c r="BH237" s="73"/>
      <c r="BI237" s="73"/>
      <c r="BJ237" s="73"/>
      <c r="BK237" s="73"/>
      <c r="BL237" s="73"/>
      <c r="BM237" s="73"/>
      <c r="BN237" s="73"/>
      <c r="BO237" s="73"/>
      <c r="BP237" s="73"/>
      <c r="BQ237" s="73"/>
      <c r="BR237" s="73"/>
      <c r="BS237" s="73"/>
      <c r="BT237" s="74"/>
      <c r="BU237" s="73"/>
      <c r="BV237" s="73"/>
      <c r="BW237" s="73"/>
      <c r="BX237" s="73"/>
      <c r="BY237" s="73"/>
      <c r="BZ237" s="73"/>
      <c r="CA237" s="73"/>
      <c r="CB237" s="73"/>
      <c r="CC237" s="73"/>
      <c r="CD237" s="73"/>
      <c r="CE237" s="73"/>
    </row>
    <row r="238">
      <c r="A238" s="73"/>
      <c r="B238" s="73"/>
      <c r="C238" s="73"/>
      <c r="D238" s="74"/>
      <c r="E238" s="73"/>
      <c r="F238" s="73"/>
      <c r="G238" s="73"/>
      <c r="H238" s="73"/>
      <c r="I238" s="73"/>
      <c r="J238" s="73"/>
      <c r="K238" s="92"/>
      <c r="L238" s="73"/>
      <c r="M238" s="73"/>
      <c r="N238" s="73"/>
      <c r="O238" s="73"/>
      <c r="P238" s="73"/>
      <c r="Q238" s="75"/>
      <c r="R238" s="82"/>
      <c r="S238" s="73"/>
      <c r="T238" s="73"/>
      <c r="U238" s="73"/>
      <c r="V238" s="73"/>
      <c r="W238" s="73"/>
      <c r="X238" s="73"/>
      <c r="Y238" s="77"/>
      <c r="Z238" s="104"/>
      <c r="AA238" s="73"/>
      <c r="AB238" s="104"/>
      <c r="AC238" s="104"/>
      <c r="AD238" s="74"/>
      <c r="AE238" s="106"/>
      <c r="AF238" s="195"/>
      <c r="AG238" s="80"/>
      <c r="AH238" s="104"/>
      <c r="AI238" s="73"/>
      <c r="AJ238" s="114"/>
      <c r="AK238" s="106"/>
      <c r="AL238" s="74"/>
      <c r="AM238" s="73"/>
      <c r="AN238" s="73"/>
      <c r="AO238" s="102"/>
      <c r="AP238" s="73"/>
      <c r="AQ238" s="73"/>
      <c r="AR238" s="74"/>
      <c r="AS238" s="73"/>
      <c r="AT238" s="73"/>
      <c r="AU238" s="73"/>
      <c r="AV238" s="73"/>
      <c r="AW238" s="153"/>
      <c r="AX238" s="74"/>
      <c r="AY238" s="73"/>
      <c r="AZ238" s="73"/>
      <c r="BA238" s="74"/>
      <c r="BB238" s="73"/>
      <c r="BC238" s="73"/>
      <c r="BD238" s="73"/>
      <c r="BE238" s="73"/>
      <c r="BF238" s="73"/>
      <c r="BG238" s="73"/>
      <c r="BH238" s="73"/>
      <c r="BI238" s="73"/>
      <c r="BJ238" s="73"/>
      <c r="BK238" s="73"/>
      <c r="BL238" s="73"/>
      <c r="BM238" s="73"/>
      <c r="BN238" s="73"/>
      <c r="BO238" s="73"/>
      <c r="BP238" s="73"/>
      <c r="BQ238" s="73"/>
      <c r="BR238" s="73"/>
      <c r="BS238" s="73"/>
      <c r="BT238" s="74"/>
      <c r="BU238" s="73"/>
      <c r="BV238" s="73"/>
      <c r="BW238" s="73"/>
      <c r="BX238" s="73"/>
      <c r="BY238" s="73"/>
      <c r="BZ238" s="73"/>
      <c r="CA238" s="73"/>
      <c r="CB238" s="73"/>
      <c r="CC238" s="73"/>
      <c r="CD238" s="73"/>
      <c r="CE238" s="73"/>
    </row>
    <row r="239">
      <c r="A239" s="73"/>
      <c r="B239" s="73"/>
      <c r="C239" s="73"/>
      <c r="D239" s="74"/>
      <c r="E239" s="73"/>
      <c r="F239" s="73"/>
      <c r="G239" s="73"/>
      <c r="H239" s="73"/>
      <c r="I239" s="73"/>
      <c r="J239" s="73"/>
      <c r="K239" s="92"/>
      <c r="L239" s="73"/>
      <c r="M239" s="73"/>
      <c r="N239" s="73"/>
      <c r="O239" s="73"/>
      <c r="P239" s="73"/>
      <c r="Q239" s="75"/>
      <c r="R239" s="82"/>
      <c r="S239" s="73"/>
      <c r="T239" s="73"/>
      <c r="U239" s="73"/>
      <c r="V239" s="73"/>
      <c r="W239" s="73"/>
      <c r="X239" s="73"/>
      <c r="Y239" s="77"/>
      <c r="Z239" s="104"/>
      <c r="AA239" s="73"/>
      <c r="AB239" s="104"/>
      <c r="AC239" s="104"/>
      <c r="AD239" s="74"/>
      <c r="AE239" s="106"/>
      <c r="AF239" s="195"/>
      <c r="AG239" s="80"/>
      <c r="AH239" s="104"/>
      <c r="AI239" s="73"/>
      <c r="AJ239" s="114"/>
      <c r="AK239" s="106"/>
      <c r="AL239" s="74"/>
      <c r="AM239" s="73"/>
      <c r="AN239" s="73"/>
      <c r="AO239" s="102"/>
      <c r="AP239" s="73"/>
      <c r="AQ239" s="73"/>
      <c r="AR239" s="74"/>
      <c r="AS239" s="73"/>
      <c r="AT239" s="73"/>
      <c r="AU239" s="73"/>
      <c r="AV239" s="73"/>
      <c r="AW239" s="73"/>
      <c r="AX239" s="74"/>
      <c r="AY239" s="73"/>
      <c r="AZ239" s="73"/>
      <c r="BA239" s="74"/>
      <c r="BB239" s="73"/>
      <c r="BC239" s="73"/>
      <c r="BD239" s="73"/>
      <c r="BE239" s="73"/>
      <c r="BF239" s="73"/>
      <c r="BG239" s="73"/>
      <c r="BH239" s="73"/>
      <c r="BI239" s="73"/>
      <c r="BJ239" s="73"/>
      <c r="BK239" s="73"/>
      <c r="BL239" s="73"/>
      <c r="BM239" s="73"/>
      <c r="BN239" s="73"/>
      <c r="BO239" s="73"/>
      <c r="BP239" s="73"/>
      <c r="BQ239" s="73"/>
      <c r="BR239" s="73"/>
      <c r="BS239" s="73"/>
      <c r="BT239" s="74"/>
      <c r="BU239" s="73"/>
      <c r="BV239" s="73"/>
      <c r="BW239" s="73"/>
      <c r="BX239" s="73"/>
      <c r="BY239" s="73"/>
      <c r="BZ239" s="73"/>
      <c r="CA239" s="73"/>
      <c r="CB239" s="73"/>
      <c r="CC239" s="73"/>
      <c r="CD239" s="73"/>
      <c r="CE239" s="73"/>
    </row>
    <row r="240">
      <c r="A240" s="73"/>
      <c r="B240" s="73"/>
      <c r="C240" s="73"/>
      <c r="D240" s="74"/>
      <c r="E240" s="73"/>
      <c r="F240" s="73"/>
      <c r="G240" s="73"/>
      <c r="H240" s="73"/>
      <c r="I240" s="73"/>
      <c r="J240" s="73"/>
      <c r="K240" s="92"/>
      <c r="L240" s="73"/>
      <c r="M240" s="73"/>
      <c r="N240" s="73"/>
      <c r="O240" s="73"/>
      <c r="P240" s="73"/>
      <c r="Q240" s="75"/>
      <c r="R240" s="82"/>
      <c r="S240" s="73"/>
      <c r="T240" s="73"/>
      <c r="U240" s="73"/>
      <c r="V240" s="73"/>
      <c r="W240" s="73"/>
      <c r="X240" s="73"/>
      <c r="Y240" s="77"/>
      <c r="Z240" s="104"/>
      <c r="AA240" s="73"/>
      <c r="AB240" s="104"/>
      <c r="AC240" s="104"/>
      <c r="AD240" s="74"/>
      <c r="AE240" s="106"/>
      <c r="AF240" s="195"/>
      <c r="AG240" s="80"/>
      <c r="AH240" s="104"/>
      <c r="AI240" s="73"/>
      <c r="AJ240" s="114"/>
      <c r="AK240" s="106"/>
      <c r="AL240" s="74"/>
      <c r="AM240" s="73"/>
      <c r="AN240" s="73"/>
      <c r="AO240" s="102"/>
      <c r="AP240" s="73"/>
      <c r="AQ240" s="73"/>
      <c r="AR240" s="74"/>
      <c r="AS240" s="73"/>
      <c r="AT240" s="73"/>
      <c r="AU240" s="73"/>
      <c r="AV240" s="73"/>
      <c r="AW240" s="114"/>
      <c r="AX240" s="74"/>
      <c r="AY240" s="73"/>
      <c r="AZ240" s="73"/>
      <c r="BA240" s="74"/>
      <c r="BB240" s="73"/>
      <c r="BC240" s="73"/>
      <c r="BD240" s="73"/>
      <c r="BE240" s="73"/>
      <c r="BF240" s="73"/>
      <c r="BG240" s="73"/>
      <c r="BH240" s="73"/>
      <c r="BI240" s="73"/>
      <c r="BJ240" s="73"/>
      <c r="BK240" s="73"/>
      <c r="BL240" s="73"/>
      <c r="BM240" s="73"/>
      <c r="BN240" s="73"/>
      <c r="BO240" s="73"/>
      <c r="BP240" s="73"/>
      <c r="BQ240" s="73"/>
      <c r="BR240" s="73"/>
      <c r="BS240" s="73"/>
      <c r="BT240" s="74"/>
      <c r="BU240" s="73"/>
      <c r="BV240" s="73"/>
      <c r="BW240" s="73"/>
      <c r="BX240" s="73"/>
      <c r="BY240" s="73"/>
      <c r="BZ240" s="73"/>
      <c r="CA240" s="73"/>
      <c r="CB240" s="73"/>
      <c r="CC240" s="73"/>
      <c r="CD240" s="73"/>
      <c r="CE240" s="73"/>
    </row>
    <row r="241">
      <c r="A241" s="73"/>
      <c r="B241" s="73"/>
      <c r="C241" s="73"/>
      <c r="D241" s="74"/>
      <c r="E241" s="73"/>
      <c r="F241" s="73"/>
      <c r="G241" s="73"/>
      <c r="H241" s="73"/>
      <c r="I241" s="73"/>
      <c r="J241" s="73"/>
      <c r="K241" s="92"/>
      <c r="L241" s="73"/>
      <c r="M241" s="73"/>
      <c r="N241" s="73"/>
      <c r="O241" s="73"/>
      <c r="P241" s="73"/>
      <c r="Q241" s="75"/>
      <c r="R241" s="82"/>
      <c r="S241" s="73"/>
      <c r="T241" s="73"/>
      <c r="U241" s="73"/>
      <c r="V241" s="73"/>
      <c r="W241" s="73"/>
      <c r="X241" s="73"/>
      <c r="Y241" s="77"/>
      <c r="Z241" s="104"/>
      <c r="AA241" s="73"/>
      <c r="AB241" s="104"/>
      <c r="AC241" s="104"/>
      <c r="AD241" s="74"/>
      <c r="AE241" s="106"/>
      <c r="AF241" s="195"/>
      <c r="AG241" s="80"/>
      <c r="AH241" s="104"/>
      <c r="AI241" s="73"/>
      <c r="AJ241" s="114"/>
      <c r="AK241" s="106"/>
      <c r="AL241" s="74"/>
      <c r="AM241" s="73"/>
      <c r="AN241" s="73"/>
      <c r="AO241" s="102"/>
      <c r="AP241" s="73"/>
      <c r="AQ241" s="73"/>
      <c r="AR241" s="74"/>
      <c r="AS241" s="73"/>
      <c r="AT241" s="73"/>
      <c r="AU241" s="73"/>
      <c r="AV241" s="73"/>
      <c r="AW241" s="114"/>
      <c r="AX241" s="74"/>
      <c r="AY241" s="73"/>
      <c r="AZ241" s="73"/>
      <c r="BA241" s="74"/>
      <c r="BB241" s="73"/>
      <c r="BC241" s="73"/>
      <c r="BD241" s="73"/>
      <c r="BE241" s="73"/>
      <c r="BF241" s="73"/>
      <c r="BG241" s="73"/>
      <c r="BH241" s="73"/>
      <c r="BI241" s="73"/>
      <c r="BJ241" s="73"/>
      <c r="BK241" s="73"/>
      <c r="BL241" s="73"/>
      <c r="BM241" s="73"/>
      <c r="BN241" s="73"/>
      <c r="BO241" s="73"/>
      <c r="BP241" s="73"/>
      <c r="BQ241" s="73"/>
      <c r="BR241" s="73"/>
      <c r="BS241" s="73"/>
      <c r="BT241" s="74"/>
      <c r="BU241" s="73"/>
      <c r="BV241" s="73"/>
      <c r="BW241" s="73"/>
      <c r="BX241" s="73"/>
      <c r="BY241" s="73"/>
      <c r="BZ241" s="73"/>
      <c r="CA241" s="73"/>
      <c r="CB241" s="73"/>
      <c r="CC241" s="73"/>
      <c r="CD241" s="73"/>
      <c r="CE241" s="73"/>
    </row>
    <row r="242">
      <c r="A242" s="73"/>
      <c r="B242" s="73"/>
      <c r="C242" s="73"/>
      <c r="D242" s="74"/>
      <c r="E242" s="73"/>
      <c r="F242" s="73"/>
      <c r="G242" s="73"/>
      <c r="H242" s="73"/>
      <c r="I242" s="73"/>
      <c r="J242" s="73"/>
      <c r="K242" s="92"/>
      <c r="L242" s="73"/>
      <c r="M242" s="73"/>
      <c r="N242" s="73"/>
      <c r="O242" s="73"/>
      <c r="P242" s="73"/>
      <c r="Q242" s="75"/>
      <c r="R242" s="82"/>
      <c r="S242" s="73"/>
      <c r="T242" s="73"/>
      <c r="U242" s="73"/>
      <c r="V242" s="73"/>
      <c r="W242" s="73"/>
      <c r="X242" s="73"/>
      <c r="Y242" s="77"/>
      <c r="Z242" s="104"/>
      <c r="AA242" s="73"/>
      <c r="AB242" s="104"/>
      <c r="AC242" s="104"/>
      <c r="AD242" s="74"/>
      <c r="AE242" s="106"/>
      <c r="AF242" s="195"/>
      <c r="AG242" s="80"/>
      <c r="AH242" s="104"/>
      <c r="AI242" s="73"/>
      <c r="AJ242" s="114"/>
      <c r="AK242" s="106"/>
      <c r="AL242" s="74"/>
      <c r="AM242" s="73"/>
      <c r="AN242" s="73"/>
      <c r="AO242" s="102"/>
      <c r="AP242" s="73"/>
      <c r="AQ242" s="73"/>
      <c r="AR242" s="74"/>
      <c r="AS242" s="73"/>
      <c r="AT242" s="73"/>
      <c r="AU242" s="73"/>
      <c r="AV242" s="73"/>
      <c r="AW242" s="114"/>
      <c r="AX242" s="74"/>
      <c r="AY242" s="73"/>
      <c r="AZ242" s="73"/>
      <c r="BA242" s="74"/>
      <c r="BB242" s="73"/>
      <c r="BC242" s="73"/>
      <c r="BD242" s="73"/>
      <c r="BE242" s="73"/>
      <c r="BF242" s="73"/>
      <c r="BG242" s="73"/>
      <c r="BH242" s="73"/>
      <c r="BI242" s="73"/>
      <c r="BJ242" s="73"/>
      <c r="BK242" s="73"/>
      <c r="BL242" s="73"/>
      <c r="BM242" s="73"/>
      <c r="BN242" s="73"/>
      <c r="BO242" s="73"/>
      <c r="BP242" s="73"/>
      <c r="BQ242" s="73"/>
      <c r="BR242" s="73"/>
      <c r="BS242" s="73"/>
      <c r="BT242" s="74"/>
      <c r="BU242" s="73"/>
      <c r="BV242" s="73"/>
      <c r="BW242" s="73"/>
      <c r="BX242" s="73"/>
      <c r="BY242" s="73"/>
      <c r="BZ242" s="73"/>
      <c r="CA242" s="73"/>
      <c r="CB242" s="73"/>
      <c r="CC242" s="73"/>
      <c r="CD242" s="73"/>
      <c r="CE242" s="73"/>
    </row>
    <row r="243">
      <c r="A243" s="73"/>
      <c r="B243" s="73"/>
      <c r="C243" s="73"/>
      <c r="D243" s="74"/>
      <c r="E243" s="73"/>
      <c r="F243" s="73"/>
      <c r="G243" s="73"/>
      <c r="H243" s="73"/>
      <c r="I243" s="73"/>
      <c r="J243" s="73"/>
      <c r="K243" s="92"/>
      <c r="L243" s="73"/>
      <c r="M243" s="73"/>
      <c r="N243" s="73"/>
      <c r="O243" s="73"/>
      <c r="P243" s="73"/>
      <c r="Q243" s="75"/>
      <c r="R243" s="82"/>
      <c r="S243" s="73"/>
      <c r="T243" s="73"/>
      <c r="U243" s="73"/>
      <c r="V243" s="73"/>
      <c r="W243" s="73"/>
      <c r="X243" s="73"/>
      <c r="Y243" s="77"/>
      <c r="Z243" s="104"/>
      <c r="AA243" s="73"/>
      <c r="AB243" s="104"/>
      <c r="AC243" s="104"/>
      <c r="AD243" s="74"/>
      <c r="AE243" s="106"/>
      <c r="AF243" s="195"/>
      <c r="AG243" s="80"/>
      <c r="AH243" s="104"/>
      <c r="AI243" s="73"/>
      <c r="AJ243" s="114"/>
      <c r="AK243" s="106"/>
      <c r="AL243" s="74"/>
      <c r="AM243" s="73"/>
      <c r="AN243" s="73"/>
      <c r="AO243" s="102"/>
      <c r="AP243" s="73"/>
      <c r="AQ243" s="73"/>
      <c r="AR243" s="74"/>
      <c r="AS243" s="73"/>
      <c r="AT243" s="73"/>
      <c r="AU243" s="73"/>
      <c r="AV243" s="73"/>
      <c r="AW243" s="114"/>
      <c r="AX243" s="74"/>
      <c r="AY243" s="73"/>
      <c r="AZ243" s="73"/>
      <c r="BA243" s="74"/>
      <c r="BB243" s="73"/>
      <c r="BC243" s="73"/>
      <c r="BD243" s="73"/>
      <c r="BE243" s="73"/>
      <c r="BF243" s="73"/>
      <c r="BG243" s="73"/>
      <c r="BH243" s="73"/>
      <c r="BI243" s="73"/>
      <c r="BJ243" s="73"/>
      <c r="BK243" s="73"/>
      <c r="BL243" s="73"/>
      <c r="BM243" s="73"/>
      <c r="BN243" s="73"/>
      <c r="BO243" s="73"/>
      <c r="BP243" s="73"/>
      <c r="BQ243" s="73"/>
      <c r="BR243" s="73"/>
      <c r="BS243" s="73"/>
      <c r="BT243" s="74"/>
      <c r="BU243" s="73"/>
      <c r="BV243" s="73"/>
      <c r="BW243" s="73"/>
      <c r="BX243" s="73"/>
      <c r="BY243" s="73"/>
      <c r="BZ243" s="73"/>
      <c r="CA243" s="73"/>
      <c r="CB243" s="73"/>
      <c r="CC243" s="73"/>
      <c r="CD243" s="73"/>
      <c r="CE243" s="73"/>
    </row>
    <row r="244">
      <c r="A244" s="73"/>
      <c r="B244" s="73"/>
      <c r="C244" s="73"/>
      <c r="D244" s="74"/>
      <c r="E244" s="73"/>
      <c r="F244" s="73"/>
      <c r="G244" s="73"/>
      <c r="H244" s="73"/>
      <c r="I244" s="73"/>
      <c r="J244" s="73"/>
      <c r="K244" s="92"/>
      <c r="L244" s="73"/>
      <c r="M244" s="73"/>
      <c r="N244" s="73"/>
      <c r="O244" s="73"/>
      <c r="P244" s="73"/>
      <c r="Q244" s="75"/>
      <c r="R244" s="82"/>
      <c r="S244" s="73"/>
      <c r="T244" s="73"/>
      <c r="U244" s="73"/>
      <c r="V244" s="73"/>
      <c r="W244" s="73"/>
      <c r="X244" s="73"/>
      <c r="Y244" s="77"/>
      <c r="Z244" s="104"/>
      <c r="AA244" s="73"/>
      <c r="AB244" s="104"/>
      <c r="AC244" s="104"/>
      <c r="AD244" s="74"/>
      <c r="AE244" s="106"/>
      <c r="AF244" s="195"/>
      <c r="AG244" s="80"/>
      <c r="AH244" s="104"/>
      <c r="AI244" s="73"/>
      <c r="AJ244" s="114"/>
      <c r="AK244" s="106"/>
      <c r="AL244" s="74"/>
      <c r="AM244" s="73"/>
      <c r="AN244" s="73"/>
      <c r="AO244" s="102"/>
      <c r="AP244" s="73"/>
      <c r="AQ244" s="73"/>
      <c r="AR244" s="74"/>
      <c r="AS244" s="73"/>
      <c r="AT244" s="73"/>
      <c r="AU244" s="73"/>
      <c r="AV244" s="73"/>
      <c r="AW244" s="114"/>
      <c r="AX244" s="74"/>
      <c r="AY244" s="73"/>
      <c r="AZ244" s="73"/>
      <c r="BA244" s="74"/>
      <c r="BB244" s="73"/>
      <c r="BC244" s="73"/>
      <c r="BD244" s="73"/>
      <c r="BE244" s="73"/>
      <c r="BF244" s="73"/>
      <c r="BG244" s="73"/>
      <c r="BH244" s="73"/>
      <c r="BI244" s="73"/>
      <c r="BJ244" s="73"/>
      <c r="BK244" s="73"/>
      <c r="BL244" s="73"/>
      <c r="BM244" s="73"/>
      <c r="BN244" s="73"/>
      <c r="BO244" s="73"/>
      <c r="BP244" s="73"/>
      <c r="BQ244" s="73"/>
      <c r="BR244" s="73"/>
      <c r="BS244" s="73"/>
      <c r="BT244" s="74"/>
      <c r="BU244" s="73"/>
      <c r="BV244" s="73"/>
      <c r="BW244" s="73"/>
      <c r="BX244" s="73"/>
      <c r="BY244" s="73"/>
      <c r="BZ244" s="73"/>
      <c r="CA244" s="73"/>
      <c r="CB244" s="73"/>
      <c r="CC244" s="73"/>
      <c r="CD244" s="73"/>
      <c r="CE244" s="73"/>
    </row>
    <row r="245">
      <c r="A245" s="73"/>
      <c r="B245" s="73"/>
      <c r="C245" s="73"/>
      <c r="D245" s="74"/>
      <c r="E245" s="73"/>
      <c r="F245" s="73"/>
      <c r="G245" s="73"/>
      <c r="H245" s="73"/>
      <c r="I245" s="73"/>
      <c r="J245" s="73"/>
      <c r="K245" s="92"/>
      <c r="L245" s="73"/>
      <c r="M245" s="73"/>
      <c r="N245" s="73"/>
      <c r="O245" s="73"/>
      <c r="P245" s="73"/>
      <c r="Q245" s="75"/>
      <c r="R245" s="82"/>
      <c r="S245" s="73"/>
      <c r="T245" s="73"/>
      <c r="U245" s="73"/>
      <c r="V245" s="73"/>
      <c r="W245" s="73"/>
      <c r="X245" s="73"/>
      <c r="Y245" s="77"/>
      <c r="Z245" s="104"/>
      <c r="AA245" s="73"/>
      <c r="AB245" s="104"/>
      <c r="AC245" s="104"/>
      <c r="AD245" s="74"/>
      <c r="AE245" s="106"/>
      <c r="AF245" s="195"/>
      <c r="AG245" s="80"/>
      <c r="AH245" s="104"/>
      <c r="AI245" s="73"/>
      <c r="AJ245" s="114"/>
      <c r="AK245" s="106"/>
      <c r="AL245" s="74"/>
      <c r="AM245" s="73"/>
      <c r="AN245" s="73"/>
      <c r="AO245" s="102"/>
      <c r="AP245" s="73"/>
      <c r="AQ245" s="73"/>
      <c r="AR245" s="74"/>
      <c r="AS245" s="73"/>
      <c r="AT245" s="73"/>
      <c r="AU245" s="73"/>
      <c r="AV245" s="73"/>
      <c r="AW245" s="114"/>
      <c r="AX245" s="74"/>
      <c r="AY245" s="73"/>
      <c r="AZ245" s="73"/>
      <c r="BA245" s="74"/>
      <c r="BB245" s="73"/>
      <c r="BC245" s="73"/>
      <c r="BD245" s="73"/>
      <c r="BE245" s="73"/>
      <c r="BF245" s="73"/>
      <c r="BG245" s="73"/>
      <c r="BH245" s="73"/>
      <c r="BI245" s="73"/>
      <c r="BJ245" s="73"/>
      <c r="BK245" s="73"/>
      <c r="BL245" s="73"/>
      <c r="BM245" s="73"/>
      <c r="BN245" s="73"/>
      <c r="BO245" s="73"/>
      <c r="BP245" s="73"/>
      <c r="BQ245" s="73"/>
      <c r="BR245" s="73"/>
      <c r="BS245" s="73"/>
      <c r="BT245" s="74"/>
      <c r="BU245" s="73"/>
      <c r="BV245" s="73"/>
      <c r="BW245" s="73"/>
      <c r="BX245" s="73"/>
      <c r="BY245" s="73"/>
      <c r="BZ245" s="73"/>
      <c r="CA245" s="73"/>
      <c r="CB245" s="73"/>
      <c r="CC245" s="73"/>
      <c r="CD245" s="73"/>
      <c r="CE245" s="73"/>
    </row>
    <row r="246">
      <c r="A246" s="73"/>
      <c r="B246" s="73"/>
      <c r="C246" s="73"/>
      <c r="D246" s="74"/>
      <c r="E246" s="73"/>
      <c r="F246" s="73"/>
      <c r="G246" s="73"/>
      <c r="H246" s="73"/>
      <c r="I246" s="73"/>
      <c r="J246" s="73"/>
      <c r="K246" s="92"/>
      <c r="L246" s="73"/>
      <c r="M246" s="73"/>
      <c r="N246" s="73"/>
      <c r="O246" s="73"/>
      <c r="P246" s="73"/>
      <c r="Q246" s="75"/>
      <c r="R246" s="82"/>
      <c r="S246" s="73"/>
      <c r="T246" s="73"/>
      <c r="U246" s="73"/>
      <c r="V246" s="73"/>
      <c r="W246" s="73"/>
      <c r="X246" s="73"/>
      <c r="Y246" s="77"/>
      <c r="Z246" s="104"/>
      <c r="AA246" s="73"/>
      <c r="AB246" s="104"/>
      <c r="AC246" s="104"/>
      <c r="AD246" s="74"/>
      <c r="AE246" s="106"/>
      <c r="AF246" s="195"/>
      <c r="AG246" s="80"/>
      <c r="AH246" s="104"/>
      <c r="AI246" s="73"/>
      <c r="AJ246" s="114"/>
      <c r="AK246" s="106"/>
      <c r="AL246" s="74"/>
      <c r="AM246" s="73"/>
      <c r="AN246" s="73"/>
      <c r="AO246" s="102"/>
      <c r="AP246" s="73"/>
      <c r="AQ246" s="73"/>
      <c r="AR246" s="74"/>
      <c r="AS246" s="73"/>
      <c r="AT246" s="73"/>
      <c r="AU246" s="73"/>
      <c r="AV246" s="73"/>
      <c r="AW246" s="114"/>
      <c r="AX246" s="74"/>
      <c r="AY246" s="73"/>
      <c r="AZ246" s="73"/>
      <c r="BA246" s="74"/>
      <c r="BB246" s="73"/>
      <c r="BC246" s="73"/>
      <c r="BD246" s="73"/>
      <c r="BE246" s="73"/>
      <c r="BF246" s="73"/>
      <c r="BG246" s="73"/>
      <c r="BH246" s="73"/>
      <c r="BI246" s="73"/>
      <c r="BJ246" s="73"/>
      <c r="BK246" s="73"/>
      <c r="BL246" s="73"/>
      <c r="BM246" s="73"/>
      <c r="BN246" s="73"/>
      <c r="BO246" s="73"/>
      <c r="BP246" s="73"/>
      <c r="BQ246" s="73"/>
      <c r="BR246" s="73"/>
      <c r="BS246" s="73"/>
      <c r="BT246" s="74"/>
      <c r="BU246" s="73"/>
      <c r="BV246" s="73"/>
      <c r="BW246" s="73"/>
      <c r="BX246" s="73"/>
      <c r="BY246" s="73"/>
      <c r="BZ246" s="73"/>
      <c r="CA246" s="73"/>
      <c r="CB246" s="73"/>
      <c r="CC246" s="73"/>
      <c r="CD246" s="73"/>
      <c r="CE246" s="73"/>
    </row>
    <row r="247">
      <c r="A247" s="73"/>
      <c r="B247" s="73"/>
      <c r="C247" s="73"/>
      <c r="D247" s="74"/>
      <c r="E247" s="73"/>
      <c r="F247" s="73"/>
      <c r="G247" s="73"/>
      <c r="H247" s="73"/>
      <c r="I247" s="73"/>
      <c r="J247" s="73"/>
      <c r="K247" s="92"/>
      <c r="L247" s="73"/>
      <c r="M247" s="73"/>
      <c r="N247" s="73"/>
      <c r="O247" s="73"/>
      <c r="P247" s="73"/>
      <c r="Q247" s="75"/>
      <c r="R247" s="82"/>
      <c r="S247" s="73"/>
      <c r="T247" s="73"/>
      <c r="U247" s="73"/>
      <c r="V247" s="73"/>
      <c r="W247" s="73"/>
      <c r="X247" s="73"/>
      <c r="Y247" s="77"/>
      <c r="Z247" s="104"/>
      <c r="AA247" s="73"/>
      <c r="AB247" s="104"/>
      <c r="AC247" s="104"/>
      <c r="AD247" s="74"/>
      <c r="AE247" s="106"/>
      <c r="AF247" s="195"/>
      <c r="AG247" s="80"/>
      <c r="AH247" s="104"/>
      <c r="AI247" s="73"/>
      <c r="AJ247" s="114"/>
      <c r="AK247" s="106"/>
      <c r="AL247" s="74"/>
      <c r="AM247" s="73"/>
      <c r="AN247" s="73"/>
      <c r="AO247" s="102"/>
      <c r="AP247" s="73"/>
      <c r="AQ247" s="73"/>
      <c r="AR247" s="74"/>
      <c r="AS247" s="73"/>
      <c r="AT247" s="73"/>
      <c r="AU247" s="73"/>
      <c r="AV247" s="73"/>
      <c r="AW247" s="114"/>
      <c r="AX247" s="74"/>
      <c r="AY247" s="73"/>
      <c r="AZ247" s="73"/>
      <c r="BA247" s="74"/>
      <c r="BB247" s="73"/>
      <c r="BC247" s="73"/>
      <c r="BD247" s="73"/>
      <c r="BE247" s="73"/>
      <c r="BF247" s="73"/>
      <c r="BG247" s="73"/>
      <c r="BH247" s="73"/>
      <c r="BI247" s="73"/>
      <c r="BJ247" s="73"/>
      <c r="BK247" s="73"/>
      <c r="BL247" s="73"/>
      <c r="BM247" s="73"/>
      <c r="BN247" s="73"/>
      <c r="BO247" s="73"/>
      <c r="BP247" s="73"/>
      <c r="BQ247" s="73"/>
      <c r="BR247" s="73"/>
      <c r="BS247" s="73"/>
      <c r="BT247" s="74"/>
      <c r="BU247" s="73"/>
      <c r="BV247" s="73"/>
      <c r="BW247" s="73"/>
      <c r="BX247" s="73"/>
      <c r="BY247" s="73"/>
      <c r="BZ247" s="73"/>
      <c r="CA247" s="73"/>
      <c r="CB247" s="73"/>
      <c r="CC247" s="73"/>
      <c r="CD247" s="73"/>
      <c r="CE247" s="73"/>
    </row>
    <row r="248">
      <c r="A248" s="73"/>
      <c r="B248" s="73"/>
      <c r="C248" s="73"/>
      <c r="D248" s="74"/>
      <c r="E248" s="73"/>
      <c r="F248" s="73"/>
      <c r="G248" s="73"/>
      <c r="H248" s="73"/>
      <c r="I248" s="73"/>
      <c r="J248" s="73"/>
      <c r="K248" s="92"/>
      <c r="L248" s="73"/>
      <c r="M248" s="73"/>
      <c r="N248" s="73"/>
      <c r="O248" s="73"/>
      <c r="P248" s="73"/>
      <c r="Q248" s="75"/>
      <c r="R248" s="82"/>
      <c r="S248" s="73"/>
      <c r="T248" s="73"/>
      <c r="U248" s="73"/>
      <c r="V248" s="73"/>
      <c r="W248" s="73"/>
      <c r="X248" s="73"/>
      <c r="Y248" s="77"/>
      <c r="Z248" s="104"/>
      <c r="AA248" s="73"/>
      <c r="AB248" s="104"/>
      <c r="AC248" s="104"/>
      <c r="AD248" s="74"/>
      <c r="AE248" s="106"/>
      <c r="AF248" s="195"/>
      <c r="AG248" s="80"/>
      <c r="AH248" s="104"/>
      <c r="AI248" s="73"/>
      <c r="AJ248" s="114"/>
      <c r="AK248" s="106"/>
      <c r="AL248" s="74"/>
      <c r="AM248" s="73"/>
      <c r="AN248" s="73"/>
      <c r="AO248" s="102"/>
      <c r="AP248" s="73"/>
      <c r="AQ248" s="73"/>
      <c r="AR248" s="74"/>
      <c r="AS248" s="73"/>
      <c r="AT248" s="73"/>
      <c r="AU248" s="73"/>
      <c r="AV248" s="73"/>
      <c r="AW248" s="114"/>
      <c r="AX248" s="74"/>
      <c r="AY248" s="73"/>
      <c r="AZ248" s="73"/>
      <c r="BA248" s="74"/>
      <c r="BB248" s="73"/>
      <c r="BC248" s="73"/>
      <c r="BD248" s="73"/>
      <c r="BE248" s="73"/>
      <c r="BF248" s="73"/>
      <c r="BG248" s="73"/>
      <c r="BH248" s="73"/>
      <c r="BI248" s="73"/>
      <c r="BJ248" s="73"/>
      <c r="BK248" s="73"/>
      <c r="BL248" s="73"/>
      <c r="BM248" s="73"/>
      <c r="BN248" s="73"/>
      <c r="BO248" s="73"/>
      <c r="BP248" s="73"/>
      <c r="BQ248" s="73"/>
      <c r="BR248" s="73"/>
      <c r="BS248" s="73"/>
      <c r="BT248" s="74"/>
      <c r="BU248" s="73"/>
      <c r="BV248" s="73"/>
      <c r="BW248" s="73"/>
      <c r="BX248" s="73"/>
      <c r="BY248" s="73"/>
      <c r="BZ248" s="73"/>
      <c r="CA248" s="73"/>
      <c r="CB248" s="73"/>
      <c r="CC248" s="73"/>
      <c r="CD248" s="73"/>
      <c r="CE248" s="73"/>
    </row>
    <row r="249">
      <c r="A249" s="73"/>
      <c r="B249" s="73"/>
      <c r="C249" s="73"/>
      <c r="D249" s="74"/>
      <c r="E249" s="73"/>
      <c r="F249" s="73"/>
      <c r="G249" s="73"/>
      <c r="H249" s="73"/>
      <c r="I249" s="73"/>
      <c r="J249" s="73"/>
      <c r="K249" s="92"/>
      <c r="L249" s="73"/>
      <c r="M249" s="73"/>
      <c r="N249" s="73"/>
      <c r="O249" s="73"/>
      <c r="P249" s="73"/>
      <c r="Q249" s="75"/>
      <c r="R249" s="82"/>
      <c r="S249" s="73"/>
      <c r="T249" s="73"/>
      <c r="U249" s="73"/>
      <c r="V249" s="73"/>
      <c r="W249" s="73"/>
      <c r="X249" s="73"/>
      <c r="Y249" s="77"/>
      <c r="Z249" s="104"/>
      <c r="AA249" s="73"/>
      <c r="AB249" s="104"/>
      <c r="AC249" s="104"/>
      <c r="AD249" s="74"/>
      <c r="AE249" s="106"/>
      <c r="AF249" s="195"/>
      <c r="AG249" s="80"/>
      <c r="AH249" s="104"/>
      <c r="AI249" s="73"/>
      <c r="AJ249" s="114"/>
      <c r="AK249" s="106"/>
      <c r="AL249" s="74"/>
      <c r="AM249" s="73"/>
      <c r="AN249" s="73"/>
      <c r="AO249" s="102"/>
      <c r="AP249" s="73"/>
      <c r="AQ249" s="73"/>
      <c r="AR249" s="74"/>
      <c r="AS249" s="73"/>
      <c r="AT249" s="73"/>
      <c r="AU249" s="73"/>
      <c r="AV249" s="73"/>
      <c r="AW249" s="114"/>
      <c r="AX249" s="74"/>
      <c r="AY249" s="73"/>
      <c r="AZ249" s="73"/>
      <c r="BA249" s="74"/>
      <c r="BB249" s="73"/>
      <c r="BC249" s="73"/>
      <c r="BD249" s="73"/>
      <c r="BE249" s="73"/>
      <c r="BF249" s="73"/>
      <c r="BG249" s="73"/>
      <c r="BH249" s="73"/>
      <c r="BI249" s="73"/>
      <c r="BJ249" s="73"/>
      <c r="BK249" s="73"/>
      <c r="BL249" s="73"/>
      <c r="BM249" s="73"/>
      <c r="BN249" s="73"/>
      <c r="BO249" s="73"/>
      <c r="BP249" s="73"/>
      <c r="BQ249" s="73"/>
      <c r="BR249" s="73"/>
      <c r="BS249" s="73"/>
      <c r="BT249" s="74"/>
      <c r="BU249" s="73"/>
      <c r="BV249" s="73"/>
      <c r="BW249" s="73"/>
      <c r="BX249" s="73"/>
      <c r="BY249" s="73"/>
      <c r="BZ249" s="73"/>
      <c r="CA249" s="73"/>
      <c r="CB249" s="73"/>
      <c r="CC249" s="73"/>
      <c r="CD249" s="73"/>
      <c r="CE249" s="73"/>
    </row>
    <row r="250">
      <c r="A250" s="73"/>
      <c r="B250" s="73"/>
      <c r="C250" s="73"/>
      <c r="D250" s="74"/>
      <c r="E250" s="73"/>
      <c r="F250" s="73"/>
      <c r="G250" s="73"/>
      <c r="H250" s="73"/>
      <c r="I250" s="73"/>
      <c r="J250" s="73"/>
      <c r="K250" s="92"/>
      <c r="L250" s="73"/>
      <c r="M250" s="73"/>
      <c r="N250" s="73"/>
      <c r="O250" s="73"/>
      <c r="P250" s="73"/>
      <c r="Q250" s="75"/>
      <c r="R250" s="82"/>
      <c r="S250" s="73"/>
      <c r="T250" s="73"/>
      <c r="U250" s="73"/>
      <c r="V250" s="73"/>
      <c r="W250" s="73"/>
      <c r="X250" s="73"/>
      <c r="Y250" s="77"/>
      <c r="Z250" s="104"/>
      <c r="AA250" s="73"/>
      <c r="AB250" s="104"/>
      <c r="AC250" s="104"/>
      <c r="AD250" s="74"/>
      <c r="AE250" s="106"/>
      <c r="AF250" s="195"/>
      <c r="AG250" s="80"/>
      <c r="AH250" s="104"/>
      <c r="AI250" s="73"/>
      <c r="AJ250" s="114"/>
      <c r="AK250" s="106"/>
      <c r="AL250" s="74"/>
      <c r="AM250" s="73"/>
      <c r="AN250" s="73"/>
      <c r="AO250" s="102"/>
      <c r="AP250" s="73"/>
      <c r="AQ250" s="73"/>
      <c r="AR250" s="74"/>
      <c r="AS250" s="73"/>
      <c r="AT250" s="73"/>
      <c r="AU250" s="73"/>
      <c r="AV250" s="73"/>
      <c r="AW250" s="104"/>
      <c r="AX250" s="74"/>
      <c r="AY250" s="73"/>
      <c r="AZ250" s="73"/>
      <c r="BA250" s="74"/>
      <c r="BB250" s="73"/>
      <c r="BC250" s="73"/>
      <c r="BD250" s="73"/>
      <c r="BE250" s="73"/>
      <c r="BF250" s="73"/>
      <c r="BG250" s="73"/>
      <c r="BH250" s="73"/>
      <c r="BI250" s="73"/>
      <c r="BJ250" s="73"/>
      <c r="BK250" s="73"/>
      <c r="BL250" s="73"/>
      <c r="BM250" s="73"/>
      <c r="BN250" s="73"/>
      <c r="BO250" s="73"/>
      <c r="BP250" s="73"/>
      <c r="BQ250" s="73"/>
      <c r="BR250" s="73"/>
      <c r="BS250" s="73"/>
      <c r="BT250" s="74"/>
      <c r="BU250" s="73"/>
      <c r="BV250" s="73"/>
      <c r="BW250" s="73"/>
      <c r="BX250" s="73"/>
      <c r="BY250" s="73"/>
      <c r="BZ250" s="73"/>
      <c r="CA250" s="73"/>
      <c r="CB250" s="73"/>
      <c r="CC250" s="73"/>
      <c r="CD250" s="73"/>
      <c r="CE250" s="73"/>
    </row>
    <row r="251">
      <c r="A251" s="73"/>
      <c r="B251" s="73"/>
      <c r="C251" s="73"/>
      <c r="D251" s="74"/>
      <c r="E251" s="73"/>
      <c r="F251" s="73"/>
      <c r="G251" s="73"/>
      <c r="H251" s="73"/>
      <c r="I251" s="73"/>
      <c r="J251" s="73"/>
      <c r="K251" s="92"/>
      <c r="L251" s="73"/>
      <c r="M251" s="73"/>
      <c r="N251" s="73"/>
      <c r="O251" s="73"/>
      <c r="P251" s="73"/>
      <c r="Q251" s="75"/>
      <c r="R251" s="82"/>
      <c r="S251" s="73"/>
      <c r="T251" s="73"/>
      <c r="U251" s="73"/>
      <c r="V251" s="73"/>
      <c r="W251" s="73"/>
      <c r="X251" s="73"/>
      <c r="Y251" s="77"/>
      <c r="Z251" s="104"/>
      <c r="AA251" s="73"/>
      <c r="AB251" s="104"/>
      <c r="AC251" s="104"/>
      <c r="AD251" s="74"/>
      <c r="AE251" s="106"/>
      <c r="AF251" s="195"/>
      <c r="AG251" s="80"/>
      <c r="AH251" s="104"/>
      <c r="AI251" s="73"/>
      <c r="AJ251" s="114"/>
      <c r="AK251" s="106"/>
      <c r="AL251" s="74"/>
      <c r="AM251" s="73"/>
      <c r="AN251" s="73"/>
      <c r="AO251" s="102"/>
      <c r="AP251" s="73"/>
      <c r="AQ251" s="73"/>
      <c r="AR251" s="74"/>
      <c r="AS251" s="73"/>
      <c r="AT251" s="73"/>
      <c r="AU251" s="73"/>
      <c r="AV251" s="73"/>
      <c r="AW251" s="104"/>
      <c r="AX251" s="74"/>
      <c r="AY251" s="73"/>
      <c r="AZ251" s="73"/>
      <c r="BA251" s="74"/>
      <c r="BB251" s="73"/>
      <c r="BC251" s="73"/>
      <c r="BD251" s="73"/>
      <c r="BE251" s="73"/>
      <c r="BF251" s="73"/>
      <c r="BG251" s="73"/>
      <c r="BH251" s="73"/>
      <c r="BI251" s="73"/>
      <c r="BJ251" s="73"/>
      <c r="BK251" s="73"/>
      <c r="BL251" s="73"/>
      <c r="BM251" s="73"/>
      <c r="BN251" s="73"/>
      <c r="BO251" s="73"/>
      <c r="BP251" s="73"/>
      <c r="BQ251" s="73"/>
      <c r="BR251" s="73"/>
      <c r="BS251" s="73"/>
      <c r="BT251" s="74"/>
      <c r="BU251" s="73"/>
      <c r="BV251" s="73"/>
      <c r="BW251" s="73"/>
      <c r="BX251" s="73"/>
      <c r="BY251" s="73"/>
      <c r="BZ251" s="73"/>
      <c r="CA251" s="73"/>
      <c r="CB251" s="73"/>
      <c r="CC251" s="73"/>
      <c r="CD251" s="73"/>
      <c r="CE251" s="73"/>
    </row>
    <row r="252">
      <c r="A252" s="73"/>
      <c r="B252" s="73"/>
      <c r="C252" s="73"/>
      <c r="D252" s="74"/>
      <c r="E252" s="73"/>
      <c r="F252" s="73"/>
      <c r="G252" s="73"/>
      <c r="H252" s="73"/>
      <c r="I252" s="73"/>
      <c r="J252" s="73"/>
      <c r="K252" s="92"/>
      <c r="L252" s="73"/>
      <c r="M252" s="73"/>
      <c r="N252" s="73"/>
      <c r="O252" s="73"/>
      <c r="P252" s="73"/>
      <c r="Q252" s="75"/>
      <c r="R252" s="82"/>
      <c r="S252" s="73"/>
      <c r="T252" s="73"/>
      <c r="U252" s="73"/>
      <c r="V252" s="73"/>
      <c r="W252" s="73"/>
      <c r="X252" s="73"/>
      <c r="Y252" s="77"/>
      <c r="Z252" s="104"/>
      <c r="AA252" s="73"/>
      <c r="AB252" s="104"/>
      <c r="AC252" s="104"/>
      <c r="AD252" s="74"/>
      <c r="AE252" s="106"/>
      <c r="AF252" s="195"/>
      <c r="AG252" s="80"/>
      <c r="AH252" s="104"/>
      <c r="AI252" s="73"/>
      <c r="AJ252" s="114"/>
      <c r="AK252" s="106"/>
      <c r="AL252" s="74"/>
      <c r="AM252" s="73"/>
      <c r="AN252" s="73"/>
      <c r="AO252" s="102"/>
      <c r="AP252" s="73"/>
      <c r="AQ252" s="73"/>
      <c r="AR252" s="74"/>
      <c r="AS252" s="73"/>
      <c r="AT252" s="73"/>
      <c r="AU252" s="73"/>
      <c r="AV252" s="73"/>
      <c r="AW252" s="73"/>
      <c r="AX252" s="74"/>
      <c r="AY252" s="73"/>
      <c r="AZ252" s="73"/>
      <c r="BA252" s="74"/>
      <c r="BB252" s="73"/>
      <c r="BC252" s="73"/>
      <c r="BD252" s="73"/>
      <c r="BE252" s="73"/>
      <c r="BF252" s="73"/>
      <c r="BG252" s="73"/>
      <c r="BH252" s="73"/>
      <c r="BI252" s="73"/>
      <c r="BJ252" s="73"/>
      <c r="BK252" s="73"/>
      <c r="BL252" s="73"/>
      <c r="BM252" s="73"/>
      <c r="BN252" s="73"/>
      <c r="BO252" s="73"/>
      <c r="BP252" s="73"/>
      <c r="BQ252" s="73"/>
      <c r="BR252" s="73"/>
      <c r="BS252" s="73"/>
      <c r="BT252" s="74"/>
      <c r="BU252" s="73"/>
      <c r="BV252" s="73"/>
      <c r="BW252" s="73"/>
      <c r="BX252" s="73"/>
      <c r="BY252" s="73"/>
      <c r="BZ252" s="73"/>
      <c r="CA252" s="73"/>
      <c r="CB252" s="73"/>
      <c r="CC252" s="73"/>
      <c r="CD252" s="73"/>
      <c r="CE252" s="73"/>
    </row>
    <row r="253">
      <c r="A253" s="73"/>
      <c r="B253" s="73"/>
      <c r="C253" s="73"/>
      <c r="D253" s="74"/>
      <c r="E253" s="73"/>
      <c r="F253" s="73"/>
      <c r="G253" s="73"/>
      <c r="H253" s="73"/>
      <c r="I253" s="73"/>
      <c r="J253" s="73"/>
      <c r="K253" s="92"/>
      <c r="L253" s="73"/>
      <c r="M253" s="73"/>
      <c r="N253" s="73"/>
      <c r="O253" s="73"/>
      <c r="P253" s="73"/>
      <c r="Q253" s="75"/>
      <c r="R253" s="82"/>
      <c r="S253" s="73"/>
      <c r="T253" s="73"/>
      <c r="U253" s="73"/>
      <c r="V253" s="73"/>
      <c r="W253" s="73"/>
      <c r="X253" s="73"/>
      <c r="Y253" s="77"/>
      <c r="Z253" s="104"/>
      <c r="AA253" s="73"/>
      <c r="AB253" s="104"/>
      <c r="AC253" s="104"/>
      <c r="AD253" s="74"/>
      <c r="AE253" s="106"/>
      <c r="AF253" s="195"/>
      <c r="AG253" s="80"/>
      <c r="AH253" s="104"/>
      <c r="AI253" s="73"/>
      <c r="AJ253" s="114"/>
      <c r="AK253" s="106"/>
      <c r="AL253" s="74"/>
      <c r="AM253" s="73"/>
      <c r="AN253" s="73"/>
      <c r="AO253" s="102"/>
      <c r="AP253" s="73"/>
      <c r="AQ253" s="73"/>
      <c r="AR253" s="74"/>
      <c r="AS253" s="73"/>
      <c r="AT253" s="73"/>
      <c r="AU253" s="73"/>
      <c r="AV253" s="73"/>
      <c r="AW253" s="73"/>
      <c r="AX253" s="74"/>
      <c r="AY253" s="73"/>
      <c r="AZ253" s="73"/>
      <c r="BA253" s="74"/>
      <c r="BB253" s="73"/>
      <c r="BC253" s="73"/>
      <c r="BD253" s="73"/>
      <c r="BE253" s="73"/>
      <c r="BF253" s="73"/>
      <c r="BG253" s="73"/>
      <c r="BH253" s="73"/>
      <c r="BI253" s="73"/>
      <c r="BJ253" s="73"/>
      <c r="BK253" s="73"/>
      <c r="BL253" s="73"/>
      <c r="BM253" s="73"/>
      <c r="BN253" s="73"/>
      <c r="BO253" s="73"/>
      <c r="BP253" s="73"/>
      <c r="BQ253" s="73"/>
      <c r="BR253" s="73"/>
      <c r="BS253" s="73"/>
      <c r="BT253" s="74"/>
      <c r="BU253" s="73"/>
      <c r="BV253" s="73"/>
      <c r="BW253" s="73"/>
      <c r="BX253" s="73"/>
      <c r="BY253" s="73"/>
      <c r="BZ253" s="73"/>
      <c r="CA253" s="73"/>
      <c r="CB253" s="73"/>
      <c r="CC253" s="73"/>
      <c r="CD253" s="73"/>
      <c r="CE253" s="73"/>
    </row>
    <row r="254">
      <c r="A254" s="73"/>
      <c r="B254" s="73"/>
      <c r="C254" s="73"/>
      <c r="D254" s="74"/>
      <c r="E254" s="73"/>
      <c r="F254" s="73"/>
      <c r="G254" s="73"/>
      <c r="H254" s="73"/>
      <c r="I254" s="73"/>
      <c r="J254" s="73"/>
      <c r="K254" s="92"/>
      <c r="L254" s="73"/>
      <c r="M254" s="73"/>
      <c r="N254" s="73"/>
      <c r="O254" s="73"/>
      <c r="P254" s="73"/>
      <c r="Q254" s="75"/>
      <c r="R254" s="82"/>
      <c r="S254" s="73"/>
      <c r="T254" s="73"/>
      <c r="U254" s="73"/>
      <c r="V254" s="73"/>
      <c r="W254" s="73"/>
      <c r="X254" s="73"/>
      <c r="Y254" s="77"/>
      <c r="Z254" s="104"/>
      <c r="AA254" s="73"/>
      <c r="AB254" s="104"/>
      <c r="AC254" s="104"/>
      <c r="AD254" s="74"/>
      <c r="AE254" s="106"/>
      <c r="AF254" s="195"/>
      <c r="AG254" s="80"/>
      <c r="AH254" s="104"/>
      <c r="AI254" s="73"/>
      <c r="AJ254" s="114"/>
      <c r="AK254" s="106"/>
      <c r="AL254" s="74"/>
      <c r="AM254" s="73"/>
      <c r="AN254" s="73"/>
      <c r="AO254" s="102"/>
      <c r="AP254" s="73"/>
      <c r="AQ254" s="73"/>
      <c r="AR254" s="74"/>
      <c r="AS254" s="73"/>
      <c r="AT254" s="73"/>
      <c r="AU254" s="73"/>
      <c r="AV254" s="73"/>
      <c r="AW254" s="73"/>
      <c r="AX254" s="74"/>
      <c r="AY254" s="73"/>
      <c r="AZ254" s="73"/>
      <c r="BA254" s="74"/>
      <c r="BB254" s="73"/>
      <c r="BC254" s="73"/>
      <c r="BD254" s="73"/>
      <c r="BE254" s="73"/>
      <c r="BF254" s="73"/>
      <c r="BG254" s="73"/>
      <c r="BH254" s="73"/>
      <c r="BI254" s="73"/>
      <c r="BJ254" s="73"/>
      <c r="BK254" s="73"/>
      <c r="BL254" s="73"/>
      <c r="BM254" s="73"/>
      <c r="BN254" s="73"/>
      <c r="BO254" s="73"/>
      <c r="BP254" s="73"/>
      <c r="BQ254" s="73"/>
      <c r="BR254" s="73"/>
      <c r="BS254" s="73"/>
      <c r="BT254" s="74"/>
      <c r="BU254" s="73"/>
      <c r="BV254" s="73"/>
      <c r="BW254" s="73"/>
      <c r="BX254" s="73"/>
      <c r="BY254" s="73"/>
      <c r="BZ254" s="73"/>
      <c r="CA254" s="73"/>
      <c r="CB254" s="73"/>
      <c r="CC254" s="73"/>
      <c r="CD254" s="73"/>
      <c r="CE254" s="73"/>
    </row>
    <row r="255">
      <c r="A255" s="73"/>
      <c r="B255" s="73"/>
      <c r="C255" s="73"/>
      <c r="D255" s="74"/>
      <c r="E255" s="73"/>
      <c r="F255" s="73"/>
      <c r="G255" s="73"/>
      <c r="H255" s="73"/>
      <c r="I255" s="73"/>
      <c r="J255" s="73"/>
      <c r="K255" s="92"/>
      <c r="L255" s="73"/>
      <c r="M255" s="73"/>
      <c r="N255" s="73"/>
      <c r="O255" s="73"/>
      <c r="P255" s="73"/>
      <c r="Q255" s="75"/>
      <c r="R255" s="82"/>
      <c r="S255" s="73"/>
      <c r="T255" s="73"/>
      <c r="U255" s="73"/>
      <c r="V255" s="73"/>
      <c r="W255" s="73"/>
      <c r="X255" s="73"/>
      <c r="Y255" s="77"/>
      <c r="Z255" s="104"/>
      <c r="AA255" s="73"/>
      <c r="AB255" s="104"/>
      <c r="AC255" s="104"/>
      <c r="AD255" s="74"/>
      <c r="AE255" s="106"/>
      <c r="AF255" s="195"/>
      <c r="AG255" s="80"/>
      <c r="AH255" s="104"/>
      <c r="AI255" s="73"/>
      <c r="AJ255" s="114"/>
      <c r="AK255" s="106"/>
      <c r="AL255" s="74"/>
      <c r="AM255" s="73"/>
      <c r="AN255" s="73"/>
      <c r="AO255" s="102"/>
      <c r="AP255" s="73"/>
      <c r="AQ255" s="73"/>
      <c r="AR255" s="74"/>
      <c r="AS255" s="73"/>
      <c r="AT255" s="73"/>
      <c r="AU255" s="73"/>
      <c r="AV255" s="73"/>
      <c r="AW255" s="73"/>
      <c r="AX255" s="74"/>
      <c r="AY255" s="73"/>
      <c r="AZ255" s="73"/>
      <c r="BA255" s="74"/>
      <c r="BB255" s="73"/>
      <c r="BC255" s="73"/>
      <c r="BD255" s="73"/>
      <c r="BE255" s="73"/>
      <c r="BF255" s="73"/>
      <c r="BG255" s="73"/>
      <c r="BH255" s="73"/>
      <c r="BI255" s="73"/>
      <c r="BJ255" s="73"/>
      <c r="BK255" s="73"/>
      <c r="BL255" s="73"/>
      <c r="BM255" s="73"/>
      <c r="BN255" s="73"/>
      <c r="BO255" s="73"/>
      <c r="BP255" s="73"/>
      <c r="BQ255" s="73"/>
      <c r="BR255" s="73"/>
      <c r="BS255" s="73"/>
      <c r="BT255" s="74"/>
      <c r="BU255" s="73"/>
      <c r="BV255" s="73"/>
      <c r="BW255" s="73"/>
      <c r="BX255" s="73"/>
      <c r="BY255" s="73"/>
      <c r="BZ255" s="73"/>
      <c r="CA255" s="73"/>
      <c r="CB255" s="73"/>
      <c r="CC255" s="73"/>
      <c r="CD255" s="73"/>
      <c r="CE255" s="73"/>
    </row>
    <row r="256">
      <c r="A256" s="73"/>
      <c r="B256" s="73"/>
      <c r="C256" s="73"/>
      <c r="D256" s="74"/>
      <c r="E256" s="73"/>
      <c r="F256" s="73"/>
      <c r="G256" s="73"/>
      <c r="H256" s="73"/>
      <c r="I256" s="73"/>
      <c r="J256" s="73"/>
      <c r="K256" s="92"/>
      <c r="L256" s="73"/>
      <c r="M256" s="73"/>
      <c r="N256" s="73"/>
      <c r="O256" s="73"/>
      <c r="P256" s="73"/>
      <c r="Q256" s="75"/>
      <c r="R256" s="82"/>
      <c r="S256" s="73"/>
      <c r="T256" s="73"/>
      <c r="U256" s="73"/>
      <c r="V256" s="73"/>
      <c r="W256" s="73"/>
      <c r="X256" s="73"/>
      <c r="Y256" s="77"/>
      <c r="Z256" s="104"/>
      <c r="AA256" s="73"/>
      <c r="AB256" s="104"/>
      <c r="AC256" s="104"/>
      <c r="AD256" s="74"/>
      <c r="AE256" s="106"/>
      <c r="AF256" s="195"/>
      <c r="AG256" s="80"/>
      <c r="AH256" s="104"/>
      <c r="AI256" s="73"/>
      <c r="AJ256" s="114"/>
      <c r="AK256" s="106"/>
      <c r="AL256" s="74"/>
      <c r="AM256" s="73"/>
      <c r="AN256" s="73"/>
      <c r="AO256" s="102"/>
      <c r="AP256" s="73"/>
      <c r="AQ256" s="73"/>
      <c r="AR256" s="74"/>
      <c r="AS256" s="73"/>
      <c r="AT256" s="73"/>
      <c r="AU256" s="73"/>
      <c r="AV256" s="73"/>
      <c r="AW256" s="73"/>
      <c r="AX256" s="74"/>
      <c r="AY256" s="73"/>
      <c r="AZ256" s="73"/>
      <c r="BA256" s="74"/>
      <c r="BB256" s="73"/>
      <c r="BC256" s="73"/>
      <c r="BD256" s="73"/>
      <c r="BE256" s="73"/>
      <c r="BF256" s="73"/>
      <c r="BG256" s="73"/>
      <c r="BH256" s="73"/>
      <c r="BI256" s="73"/>
      <c r="BJ256" s="73"/>
      <c r="BK256" s="73"/>
      <c r="BL256" s="73"/>
      <c r="BM256" s="73"/>
      <c r="BN256" s="73"/>
      <c r="BO256" s="73"/>
      <c r="BP256" s="73"/>
      <c r="BQ256" s="73"/>
      <c r="BR256" s="73"/>
      <c r="BS256" s="73"/>
      <c r="BT256" s="74"/>
      <c r="BU256" s="73"/>
      <c r="BV256" s="73"/>
      <c r="BW256" s="73"/>
      <c r="BX256" s="73"/>
      <c r="BY256" s="73"/>
      <c r="BZ256" s="73"/>
      <c r="CA256" s="73"/>
      <c r="CB256" s="73"/>
      <c r="CC256" s="73"/>
      <c r="CD256" s="73"/>
      <c r="CE256" s="73"/>
    </row>
    <row r="257">
      <c r="A257" s="73"/>
      <c r="B257" s="73"/>
      <c r="C257" s="73"/>
      <c r="D257" s="74"/>
      <c r="E257" s="73"/>
      <c r="F257" s="73"/>
      <c r="G257" s="73"/>
      <c r="H257" s="73"/>
      <c r="I257" s="73"/>
      <c r="J257" s="73"/>
      <c r="K257" s="92"/>
      <c r="L257" s="73"/>
      <c r="M257" s="73"/>
      <c r="N257" s="73"/>
      <c r="O257" s="73"/>
      <c r="P257" s="73"/>
      <c r="Q257" s="75"/>
      <c r="R257" s="82"/>
      <c r="S257" s="73"/>
      <c r="T257" s="73"/>
      <c r="U257" s="73"/>
      <c r="V257" s="73"/>
      <c r="W257" s="73"/>
      <c r="X257" s="73"/>
      <c r="Y257" s="77"/>
      <c r="Z257" s="104"/>
      <c r="AA257" s="73"/>
      <c r="AB257" s="104"/>
      <c r="AC257" s="104"/>
      <c r="AD257" s="74"/>
      <c r="AE257" s="106"/>
      <c r="AF257" s="195"/>
      <c r="AG257" s="80"/>
      <c r="AH257" s="104"/>
      <c r="AI257" s="73"/>
      <c r="AJ257" s="114"/>
      <c r="AK257" s="106"/>
      <c r="AL257" s="74"/>
      <c r="AM257" s="73"/>
      <c r="AN257" s="73"/>
      <c r="AO257" s="102"/>
      <c r="AP257" s="73"/>
      <c r="AQ257" s="73"/>
      <c r="AR257" s="74"/>
      <c r="AS257" s="73"/>
      <c r="AT257" s="73"/>
      <c r="AU257" s="73"/>
      <c r="AV257" s="73"/>
      <c r="AW257" s="73"/>
      <c r="AX257" s="74"/>
      <c r="AY257" s="73"/>
      <c r="AZ257" s="73"/>
      <c r="BA257" s="74"/>
      <c r="BB257" s="73"/>
      <c r="BC257" s="73"/>
      <c r="BD257" s="73"/>
      <c r="BE257" s="73"/>
      <c r="BF257" s="73"/>
      <c r="BG257" s="73"/>
      <c r="BH257" s="73"/>
      <c r="BI257" s="73"/>
      <c r="BJ257" s="73"/>
      <c r="BK257" s="73"/>
      <c r="BL257" s="73"/>
      <c r="BM257" s="73"/>
      <c r="BN257" s="73"/>
      <c r="BO257" s="73"/>
      <c r="BP257" s="73"/>
      <c r="BQ257" s="73"/>
      <c r="BR257" s="73"/>
      <c r="BS257" s="73"/>
      <c r="BT257" s="74"/>
      <c r="BU257" s="73"/>
      <c r="BV257" s="73"/>
      <c r="BW257" s="73"/>
      <c r="BX257" s="73"/>
      <c r="BY257" s="73"/>
      <c r="BZ257" s="73"/>
      <c r="CA257" s="73"/>
      <c r="CB257" s="73"/>
      <c r="CC257" s="73"/>
      <c r="CD257" s="73"/>
      <c r="CE257" s="73"/>
    </row>
    <row r="258">
      <c r="A258" s="73"/>
      <c r="B258" s="73"/>
      <c r="C258" s="73"/>
      <c r="D258" s="74"/>
      <c r="E258" s="73"/>
      <c r="F258" s="73"/>
      <c r="G258" s="73"/>
      <c r="H258" s="73"/>
      <c r="I258" s="73"/>
      <c r="J258" s="73"/>
      <c r="K258" s="92"/>
      <c r="L258" s="73"/>
      <c r="M258" s="73"/>
      <c r="N258" s="73"/>
      <c r="O258" s="73"/>
      <c r="P258" s="73"/>
      <c r="Q258" s="75"/>
      <c r="R258" s="82"/>
      <c r="S258" s="73"/>
      <c r="T258" s="73"/>
      <c r="U258" s="73"/>
      <c r="V258" s="73"/>
      <c r="W258" s="73"/>
      <c r="X258" s="73"/>
      <c r="Y258" s="77"/>
      <c r="Z258" s="104"/>
      <c r="AA258" s="73"/>
      <c r="AB258" s="104"/>
      <c r="AC258" s="104"/>
      <c r="AD258" s="74"/>
      <c r="AE258" s="106"/>
      <c r="AF258" s="195"/>
      <c r="AG258" s="80"/>
      <c r="AH258" s="104"/>
      <c r="AI258" s="73"/>
      <c r="AJ258" s="114"/>
      <c r="AK258" s="106"/>
      <c r="AL258" s="74"/>
      <c r="AM258" s="73"/>
      <c r="AN258" s="73"/>
      <c r="AO258" s="102"/>
      <c r="AP258" s="73"/>
      <c r="AQ258" s="73"/>
      <c r="AR258" s="74"/>
      <c r="AS258" s="73"/>
      <c r="AT258" s="73"/>
      <c r="AU258" s="73"/>
      <c r="AV258" s="73"/>
      <c r="AW258" s="73"/>
      <c r="AX258" s="74"/>
      <c r="AY258" s="73"/>
      <c r="AZ258" s="73"/>
      <c r="BA258" s="74"/>
      <c r="BB258" s="73"/>
      <c r="BC258" s="73"/>
      <c r="BD258" s="73"/>
      <c r="BE258" s="73"/>
      <c r="BF258" s="73"/>
      <c r="BG258" s="73"/>
      <c r="BH258" s="73"/>
      <c r="BI258" s="73"/>
      <c r="BJ258" s="73"/>
      <c r="BK258" s="73"/>
      <c r="BL258" s="73"/>
      <c r="BM258" s="73"/>
      <c r="BN258" s="73"/>
      <c r="BO258" s="73"/>
      <c r="BP258" s="73"/>
      <c r="BQ258" s="73"/>
      <c r="BR258" s="73"/>
      <c r="BS258" s="73"/>
      <c r="BT258" s="74"/>
      <c r="BU258" s="73"/>
      <c r="BV258" s="73"/>
      <c r="BW258" s="73"/>
      <c r="BX258" s="73"/>
      <c r="BY258" s="73"/>
      <c r="BZ258" s="73"/>
      <c r="CA258" s="73"/>
      <c r="CB258" s="73"/>
      <c r="CC258" s="73"/>
      <c r="CD258" s="73"/>
      <c r="CE258" s="73"/>
    </row>
    <row r="259">
      <c r="A259" s="73"/>
      <c r="B259" s="73"/>
      <c r="C259" s="73"/>
      <c r="D259" s="74"/>
      <c r="E259" s="73"/>
      <c r="F259" s="73"/>
      <c r="G259" s="73"/>
      <c r="H259" s="73"/>
      <c r="I259" s="73"/>
      <c r="J259" s="73"/>
      <c r="K259" s="92"/>
      <c r="L259" s="73"/>
      <c r="M259" s="73"/>
      <c r="N259" s="73"/>
      <c r="O259" s="73"/>
      <c r="P259" s="73"/>
      <c r="Q259" s="75"/>
      <c r="R259" s="82"/>
      <c r="S259" s="73"/>
      <c r="T259" s="73"/>
      <c r="U259" s="73"/>
      <c r="V259" s="73"/>
      <c r="W259" s="73"/>
      <c r="X259" s="73"/>
      <c r="Y259" s="77"/>
      <c r="Z259" s="104"/>
      <c r="AA259" s="73"/>
      <c r="AB259" s="104"/>
      <c r="AC259" s="104"/>
      <c r="AD259" s="74"/>
      <c r="AE259" s="106"/>
      <c r="AF259" s="195"/>
      <c r="AG259" s="80"/>
      <c r="AH259" s="104"/>
      <c r="AI259" s="73"/>
      <c r="AJ259" s="114"/>
      <c r="AK259" s="106"/>
      <c r="AL259" s="74"/>
      <c r="AM259" s="73"/>
      <c r="AN259" s="73"/>
      <c r="AO259" s="102"/>
      <c r="AP259" s="73"/>
      <c r="AQ259" s="73"/>
      <c r="AR259" s="74"/>
      <c r="AS259" s="73"/>
      <c r="AT259" s="73"/>
      <c r="AU259" s="73"/>
      <c r="AV259" s="73"/>
      <c r="AW259" s="73"/>
      <c r="AX259" s="74"/>
      <c r="AY259" s="73"/>
      <c r="AZ259" s="73"/>
      <c r="BA259" s="74"/>
      <c r="BB259" s="73"/>
      <c r="BC259" s="73"/>
      <c r="BD259" s="73"/>
      <c r="BE259" s="73"/>
      <c r="BF259" s="73"/>
      <c r="BG259" s="73"/>
      <c r="BH259" s="73"/>
      <c r="BI259" s="73"/>
      <c r="BJ259" s="73"/>
      <c r="BK259" s="73"/>
      <c r="BL259" s="73"/>
      <c r="BM259" s="73"/>
      <c r="BN259" s="73"/>
      <c r="BO259" s="73"/>
      <c r="BP259" s="73"/>
      <c r="BQ259" s="73"/>
      <c r="BR259" s="73"/>
      <c r="BS259" s="73"/>
      <c r="BT259" s="74"/>
      <c r="BU259" s="73"/>
      <c r="BV259" s="73"/>
      <c r="BW259" s="73"/>
      <c r="BX259" s="73"/>
      <c r="BY259" s="73"/>
      <c r="BZ259" s="73"/>
      <c r="CA259" s="73"/>
      <c r="CB259" s="73"/>
      <c r="CC259" s="73"/>
      <c r="CD259" s="73"/>
      <c r="CE259" s="73"/>
    </row>
    <row r="260">
      <c r="A260" s="73"/>
      <c r="B260" s="73"/>
      <c r="C260" s="73"/>
      <c r="D260" s="74"/>
      <c r="E260" s="73"/>
      <c r="F260" s="73"/>
      <c r="G260" s="73"/>
      <c r="H260" s="73"/>
      <c r="I260" s="73"/>
      <c r="J260" s="73"/>
      <c r="K260" s="92"/>
      <c r="L260" s="73"/>
      <c r="M260" s="73"/>
      <c r="N260" s="73"/>
      <c r="O260" s="73"/>
      <c r="P260" s="73"/>
      <c r="Q260" s="75"/>
      <c r="R260" s="82"/>
      <c r="S260" s="73"/>
      <c r="T260" s="73"/>
      <c r="U260" s="73"/>
      <c r="V260" s="73"/>
      <c r="W260" s="73"/>
      <c r="X260" s="73"/>
      <c r="Y260" s="77"/>
      <c r="Z260" s="104"/>
      <c r="AA260" s="73"/>
      <c r="AB260" s="104"/>
      <c r="AC260" s="104"/>
      <c r="AD260" s="74"/>
      <c r="AE260" s="106"/>
      <c r="AF260" s="195"/>
      <c r="AG260" s="80"/>
      <c r="AH260" s="104"/>
      <c r="AI260" s="73"/>
      <c r="AJ260" s="114"/>
      <c r="AK260" s="106"/>
      <c r="AL260" s="74"/>
      <c r="AM260" s="73"/>
      <c r="AN260" s="73"/>
      <c r="AO260" s="102"/>
      <c r="AP260" s="73"/>
      <c r="AQ260" s="73"/>
      <c r="AR260" s="74"/>
      <c r="AS260" s="73"/>
      <c r="AT260" s="73"/>
      <c r="AU260" s="73"/>
      <c r="AV260" s="73"/>
      <c r="AW260" s="73"/>
      <c r="AX260" s="74"/>
      <c r="AY260" s="73"/>
      <c r="AZ260" s="73"/>
      <c r="BA260" s="74"/>
      <c r="BB260" s="73"/>
      <c r="BC260" s="73"/>
      <c r="BD260" s="73"/>
      <c r="BE260" s="73"/>
      <c r="BF260" s="73"/>
      <c r="BG260" s="73"/>
      <c r="BH260" s="73"/>
      <c r="BI260" s="73"/>
      <c r="BJ260" s="73"/>
      <c r="BK260" s="73"/>
      <c r="BL260" s="73"/>
      <c r="BM260" s="73"/>
      <c r="BN260" s="73"/>
      <c r="BO260" s="73"/>
      <c r="BP260" s="73"/>
      <c r="BQ260" s="73"/>
      <c r="BR260" s="73"/>
      <c r="BS260" s="73"/>
      <c r="BT260" s="74"/>
      <c r="BU260" s="73"/>
      <c r="BV260" s="73"/>
      <c r="BW260" s="73"/>
      <c r="BX260" s="73"/>
      <c r="BY260" s="73"/>
      <c r="BZ260" s="73"/>
      <c r="CA260" s="73"/>
      <c r="CB260" s="73"/>
      <c r="CC260" s="73"/>
      <c r="CD260" s="73"/>
      <c r="CE260" s="73"/>
    </row>
    <row r="261">
      <c r="A261" s="73"/>
      <c r="B261" s="73"/>
      <c r="C261" s="73"/>
      <c r="D261" s="74"/>
      <c r="E261" s="73"/>
      <c r="F261" s="73"/>
      <c r="G261" s="73"/>
      <c r="H261" s="73"/>
      <c r="I261" s="73"/>
      <c r="J261" s="73"/>
      <c r="K261" s="92"/>
      <c r="L261" s="73"/>
      <c r="M261" s="73"/>
      <c r="N261" s="73"/>
      <c r="O261" s="73"/>
      <c r="P261" s="73"/>
      <c r="Q261" s="75"/>
      <c r="R261" s="82"/>
      <c r="S261" s="73"/>
      <c r="T261" s="73"/>
      <c r="U261" s="73"/>
      <c r="V261" s="73"/>
      <c r="W261" s="73"/>
      <c r="X261" s="73"/>
      <c r="Y261" s="77"/>
      <c r="Z261" s="104"/>
      <c r="AA261" s="73"/>
      <c r="AB261" s="104"/>
      <c r="AC261" s="104"/>
      <c r="AD261" s="74"/>
      <c r="AE261" s="106"/>
      <c r="AF261" s="195"/>
      <c r="AG261" s="80"/>
      <c r="AH261" s="104"/>
      <c r="AI261" s="73"/>
      <c r="AJ261" s="114"/>
      <c r="AK261" s="106"/>
      <c r="AL261" s="74"/>
      <c r="AM261" s="73"/>
      <c r="AN261" s="73"/>
      <c r="AO261" s="102"/>
      <c r="AP261" s="73"/>
      <c r="AQ261" s="73"/>
      <c r="AR261" s="74"/>
      <c r="AS261" s="73"/>
      <c r="AT261" s="73"/>
      <c r="AU261" s="73"/>
      <c r="AV261" s="73"/>
      <c r="AW261" s="73"/>
      <c r="AX261" s="74"/>
      <c r="AY261" s="73"/>
      <c r="AZ261" s="73"/>
      <c r="BA261" s="74"/>
      <c r="BB261" s="73"/>
      <c r="BC261" s="73"/>
      <c r="BD261" s="73"/>
      <c r="BE261" s="73"/>
      <c r="BF261" s="73"/>
      <c r="BG261" s="73"/>
      <c r="BH261" s="73"/>
      <c r="BI261" s="73"/>
      <c r="BJ261" s="73"/>
      <c r="BK261" s="73"/>
      <c r="BL261" s="73"/>
      <c r="BM261" s="73"/>
      <c r="BN261" s="73"/>
      <c r="BO261" s="73"/>
      <c r="BP261" s="73"/>
      <c r="BQ261" s="73"/>
      <c r="BR261" s="73"/>
      <c r="BS261" s="73"/>
      <c r="BT261" s="74"/>
      <c r="BU261" s="73"/>
      <c r="BV261" s="73"/>
      <c r="BW261" s="73"/>
      <c r="BX261" s="73"/>
      <c r="BY261" s="73"/>
      <c r="BZ261" s="73"/>
      <c r="CA261" s="73"/>
      <c r="CB261" s="73"/>
      <c r="CC261" s="73"/>
      <c r="CD261" s="73"/>
      <c r="CE261" s="73"/>
    </row>
    <row r="262">
      <c r="A262" s="73"/>
      <c r="B262" s="73"/>
      <c r="C262" s="73"/>
      <c r="D262" s="74"/>
      <c r="E262" s="73"/>
      <c r="F262" s="73"/>
      <c r="G262" s="73"/>
      <c r="H262" s="73"/>
      <c r="I262" s="73"/>
      <c r="J262" s="73"/>
      <c r="K262" s="92"/>
      <c r="L262" s="73"/>
      <c r="M262" s="73"/>
      <c r="N262" s="73"/>
      <c r="O262" s="73"/>
      <c r="P262" s="73"/>
      <c r="Q262" s="75"/>
      <c r="R262" s="82"/>
      <c r="S262" s="73"/>
      <c r="T262" s="73"/>
      <c r="U262" s="73"/>
      <c r="V262" s="73"/>
      <c r="W262" s="73"/>
      <c r="X262" s="73"/>
      <c r="Y262" s="77"/>
      <c r="Z262" s="104"/>
      <c r="AA262" s="73"/>
      <c r="AB262" s="104"/>
      <c r="AC262" s="104"/>
      <c r="AD262" s="74"/>
      <c r="AE262" s="106"/>
      <c r="AF262" s="195"/>
      <c r="AG262" s="80"/>
      <c r="AH262" s="104"/>
      <c r="AI262" s="73"/>
      <c r="AJ262" s="114"/>
      <c r="AK262" s="106"/>
      <c r="AL262" s="74"/>
      <c r="AM262" s="73"/>
      <c r="AN262" s="73"/>
      <c r="AO262" s="102"/>
      <c r="AP262" s="73"/>
      <c r="AQ262" s="73"/>
      <c r="AR262" s="74"/>
      <c r="AS262" s="73"/>
      <c r="AT262" s="73"/>
      <c r="AU262" s="73"/>
      <c r="AV262" s="73"/>
      <c r="AW262" s="73"/>
      <c r="AX262" s="74"/>
      <c r="AY262" s="73"/>
      <c r="AZ262" s="73"/>
      <c r="BA262" s="74"/>
      <c r="BB262" s="73"/>
      <c r="BC262" s="73"/>
      <c r="BD262" s="73"/>
      <c r="BE262" s="73"/>
      <c r="BF262" s="73"/>
      <c r="BG262" s="73"/>
      <c r="BH262" s="73"/>
      <c r="BI262" s="73"/>
      <c r="BJ262" s="73"/>
      <c r="BK262" s="73"/>
      <c r="BL262" s="73"/>
      <c r="BM262" s="73"/>
      <c r="BN262" s="73"/>
      <c r="BO262" s="73"/>
      <c r="BP262" s="73"/>
      <c r="BQ262" s="73"/>
      <c r="BR262" s="73"/>
      <c r="BS262" s="73"/>
      <c r="BT262" s="74"/>
      <c r="BU262" s="73"/>
      <c r="BV262" s="73"/>
      <c r="BW262" s="73"/>
      <c r="BX262" s="73"/>
      <c r="BY262" s="73"/>
      <c r="BZ262" s="73"/>
      <c r="CA262" s="73"/>
      <c r="CB262" s="73"/>
      <c r="CC262" s="73"/>
      <c r="CD262" s="73"/>
      <c r="CE262" s="73"/>
    </row>
    <row r="263">
      <c r="A263" s="73"/>
      <c r="B263" s="73"/>
      <c r="C263" s="73"/>
      <c r="D263" s="74"/>
      <c r="E263" s="73"/>
      <c r="F263" s="73"/>
      <c r="G263" s="73"/>
      <c r="H263" s="73"/>
      <c r="I263" s="73"/>
      <c r="J263" s="73"/>
      <c r="K263" s="92"/>
      <c r="L263" s="73"/>
      <c r="M263" s="73"/>
      <c r="N263" s="73"/>
      <c r="O263" s="73"/>
      <c r="P263" s="73"/>
      <c r="Q263" s="75"/>
      <c r="R263" s="82"/>
      <c r="S263" s="73"/>
      <c r="T263" s="73"/>
      <c r="U263" s="73"/>
      <c r="V263" s="73"/>
      <c r="W263" s="73"/>
      <c r="X263" s="73"/>
      <c r="Y263" s="77"/>
      <c r="Z263" s="104"/>
      <c r="AA263" s="73"/>
      <c r="AB263" s="104"/>
      <c r="AC263" s="104"/>
      <c r="AD263" s="74"/>
      <c r="AE263" s="106"/>
      <c r="AF263" s="195"/>
      <c r="AG263" s="80"/>
      <c r="AH263" s="104"/>
      <c r="AI263" s="73"/>
      <c r="AJ263" s="114"/>
      <c r="AK263" s="106"/>
      <c r="AL263" s="74"/>
      <c r="AM263" s="73"/>
      <c r="AN263" s="73"/>
      <c r="AO263" s="102"/>
      <c r="AP263" s="73"/>
      <c r="AQ263" s="73"/>
      <c r="AR263" s="74"/>
      <c r="AS263" s="73"/>
      <c r="AT263" s="73"/>
      <c r="AU263" s="73"/>
      <c r="AV263" s="73"/>
      <c r="AW263" s="73"/>
      <c r="AX263" s="74"/>
      <c r="AY263" s="73"/>
      <c r="AZ263" s="73"/>
      <c r="BA263" s="74"/>
      <c r="BB263" s="73"/>
      <c r="BC263" s="73"/>
      <c r="BD263" s="73"/>
      <c r="BE263" s="73"/>
      <c r="BF263" s="73"/>
      <c r="BG263" s="73"/>
      <c r="BH263" s="73"/>
      <c r="BI263" s="73"/>
      <c r="BJ263" s="73"/>
      <c r="BK263" s="73"/>
      <c r="BL263" s="73"/>
      <c r="BM263" s="73"/>
      <c r="BN263" s="73"/>
      <c r="BO263" s="73"/>
      <c r="BP263" s="73"/>
      <c r="BQ263" s="73"/>
      <c r="BR263" s="73"/>
      <c r="BS263" s="73"/>
      <c r="BT263" s="74"/>
      <c r="BU263" s="73"/>
      <c r="BV263" s="73"/>
      <c r="BW263" s="73"/>
      <c r="BX263" s="73"/>
      <c r="BY263" s="73"/>
      <c r="BZ263" s="73"/>
      <c r="CA263" s="73"/>
      <c r="CB263" s="73"/>
      <c r="CC263" s="73"/>
      <c r="CD263" s="73"/>
      <c r="CE263" s="73"/>
    </row>
    <row r="264">
      <c r="A264" s="73"/>
      <c r="B264" s="73"/>
      <c r="C264" s="73"/>
      <c r="D264" s="74"/>
      <c r="E264" s="73"/>
      <c r="F264" s="73"/>
      <c r="G264" s="73"/>
      <c r="H264" s="73"/>
      <c r="I264" s="73"/>
      <c r="J264" s="73"/>
      <c r="K264" s="92"/>
      <c r="L264" s="73"/>
      <c r="M264" s="73"/>
      <c r="N264" s="73"/>
      <c r="O264" s="73"/>
      <c r="P264" s="73"/>
      <c r="Q264" s="75"/>
      <c r="R264" s="82"/>
      <c r="S264" s="73"/>
      <c r="T264" s="73"/>
      <c r="U264" s="73"/>
      <c r="V264" s="73"/>
      <c r="W264" s="73"/>
      <c r="X264" s="73"/>
      <c r="Y264" s="77"/>
      <c r="Z264" s="104"/>
      <c r="AA264" s="73"/>
      <c r="AB264" s="104"/>
      <c r="AC264" s="104"/>
      <c r="AD264" s="74"/>
      <c r="AE264" s="106"/>
      <c r="AF264" s="195"/>
      <c r="AG264" s="80"/>
      <c r="AH264" s="104"/>
      <c r="AI264" s="73"/>
      <c r="AJ264" s="114"/>
      <c r="AK264" s="106"/>
      <c r="AL264" s="74"/>
      <c r="AM264" s="73"/>
      <c r="AN264" s="73"/>
      <c r="AO264" s="102"/>
      <c r="AP264" s="73"/>
      <c r="AQ264" s="73"/>
      <c r="AR264" s="74"/>
      <c r="AS264" s="73"/>
      <c r="AT264" s="73"/>
      <c r="AU264" s="73"/>
      <c r="AV264" s="73"/>
      <c r="AW264" s="73"/>
      <c r="AX264" s="74"/>
      <c r="AY264" s="73"/>
      <c r="AZ264" s="73"/>
      <c r="BA264" s="74"/>
      <c r="BB264" s="73"/>
      <c r="BC264" s="73"/>
      <c r="BD264" s="73"/>
      <c r="BE264" s="73"/>
      <c r="BF264" s="73"/>
      <c r="BG264" s="73"/>
      <c r="BH264" s="73"/>
      <c r="BI264" s="73"/>
      <c r="BJ264" s="73"/>
      <c r="BK264" s="73"/>
      <c r="BL264" s="73"/>
      <c r="BM264" s="73"/>
      <c r="BN264" s="73"/>
      <c r="BO264" s="73"/>
      <c r="BP264" s="73"/>
      <c r="BQ264" s="73"/>
      <c r="BR264" s="73"/>
      <c r="BS264" s="73"/>
      <c r="BT264" s="74"/>
      <c r="BU264" s="73"/>
      <c r="BV264" s="73"/>
      <c r="BW264" s="73"/>
      <c r="BX264" s="73"/>
      <c r="BY264" s="73"/>
      <c r="BZ264" s="73"/>
      <c r="CA264" s="73"/>
      <c r="CB264" s="73"/>
      <c r="CC264" s="73"/>
      <c r="CD264" s="73"/>
      <c r="CE264" s="73"/>
    </row>
    <row r="265">
      <c r="A265" s="73"/>
      <c r="B265" s="73"/>
      <c r="C265" s="73"/>
      <c r="D265" s="74"/>
      <c r="E265" s="73"/>
      <c r="F265" s="73"/>
      <c r="G265" s="73"/>
      <c r="H265" s="73"/>
      <c r="I265" s="73"/>
      <c r="J265" s="73"/>
      <c r="K265" s="92"/>
      <c r="L265" s="73"/>
      <c r="M265" s="73"/>
      <c r="N265" s="73"/>
      <c r="O265" s="73"/>
      <c r="P265" s="73"/>
      <c r="Q265" s="75"/>
      <c r="R265" s="82"/>
      <c r="S265" s="73"/>
      <c r="T265" s="73"/>
      <c r="U265" s="73"/>
      <c r="V265" s="73"/>
      <c r="W265" s="73"/>
      <c r="X265" s="73"/>
      <c r="Y265" s="77"/>
      <c r="Z265" s="104"/>
      <c r="AA265" s="73"/>
      <c r="AB265" s="104"/>
      <c r="AC265" s="104"/>
      <c r="AD265" s="74"/>
      <c r="AE265" s="106"/>
      <c r="AF265" s="195"/>
      <c r="AG265" s="80"/>
      <c r="AH265" s="104"/>
      <c r="AI265" s="73"/>
      <c r="AJ265" s="114"/>
      <c r="AK265" s="106"/>
      <c r="AL265" s="74"/>
      <c r="AM265" s="73"/>
      <c r="AN265" s="73"/>
      <c r="AO265" s="102"/>
      <c r="AP265" s="73"/>
      <c r="AQ265" s="73"/>
      <c r="AR265" s="74"/>
      <c r="AS265" s="73"/>
      <c r="AT265" s="73"/>
      <c r="AU265" s="73"/>
      <c r="AV265" s="73"/>
      <c r="AW265" s="73"/>
      <c r="AX265" s="74"/>
      <c r="AY265" s="73"/>
      <c r="AZ265" s="73"/>
      <c r="BA265" s="74"/>
      <c r="BB265" s="73"/>
      <c r="BC265" s="73"/>
      <c r="BD265" s="73"/>
      <c r="BE265" s="73"/>
      <c r="BF265" s="73"/>
      <c r="BG265" s="73"/>
      <c r="BH265" s="73"/>
      <c r="BI265" s="73"/>
      <c r="BJ265" s="73"/>
      <c r="BK265" s="73"/>
      <c r="BL265" s="73"/>
      <c r="BM265" s="73"/>
      <c r="BN265" s="73"/>
      <c r="BO265" s="73"/>
      <c r="BP265" s="73"/>
      <c r="BQ265" s="73"/>
      <c r="BR265" s="73"/>
      <c r="BS265" s="73"/>
      <c r="BT265" s="74"/>
      <c r="BU265" s="73"/>
      <c r="BV265" s="73"/>
      <c r="BW265" s="73"/>
      <c r="BX265" s="73"/>
      <c r="BY265" s="73"/>
      <c r="BZ265" s="73"/>
      <c r="CA265" s="73"/>
      <c r="CB265" s="73"/>
      <c r="CC265" s="73"/>
      <c r="CD265" s="73"/>
      <c r="CE265" s="73"/>
    </row>
    <row r="266">
      <c r="A266" s="73"/>
      <c r="B266" s="73"/>
      <c r="C266" s="73"/>
      <c r="D266" s="74"/>
      <c r="E266" s="73"/>
      <c r="F266" s="73"/>
      <c r="G266" s="73"/>
      <c r="H266" s="73"/>
      <c r="I266" s="73"/>
      <c r="J266" s="73"/>
      <c r="K266" s="92"/>
      <c r="L266" s="73"/>
      <c r="M266" s="73"/>
      <c r="N266" s="73"/>
      <c r="O266" s="73"/>
      <c r="P266" s="73"/>
      <c r="Q266" s="75"/>
      <c r="R266" s="82"/>
      <c r="S266" s="73"/>
      <c r="T266" s="73"/>
      <c r="U266" s="73"/>
      <c r="V266" s="73"/>
      <c r="W266" s="73"/>
      <c r="X266" s="73"/>
      <c r="Y266" s="77"/>
      <c r="Z266" s="104"/>
      <c r="AA266" s="73"/>
      <c r="AB266" s="104"/>
      <c r="AC266" s="104"/>
      <c r="AD266" s="74"/>
      <c r="AE266" s="106"/>
      <c r="AF266" s="195"/>
      <c r="AG266" s="80"/>
      <c r="AH266" s="104"/>
      <c r="AI266" s="73"/>
      <c r="AJ266" s="114"/>
      <c r="AK266" s="106"/>
      <c r="AL266" s="74"/>
      <c r="AM266" s="73"/>
      <c r="AN266" s="73"/>
      <c r="AO266" s="102"/>
      <c r="AP266" s="73"/>
      <c r="AQ266" s="73"/>
      <c r="AR266" s="74"/>
      <c r="AS266" s="73"/>
      <c r="AT266" s="73"/>
      <c r="AU266" s="73"/>
      <c r="AV266" s="73"/>
      <c r="AW266" s="73"/>
      <c r="AX266" s="74"/>
      <c r="AY266" s="73"/>
      <c r="AZ266" s="73"/>
      <c r="BA266" s="74"/>
      <c r="BB266" s="73"/>
      <c r="BC266" s="73"/>
      <c r="BD266" s="73"/>
      <c r="BE266" s="73"/>
      <c r="BF266" s="73"/>
      <c r="BG266" s="73"/>
      <c r="BH266" s="73"/>
      <c r="BI266" s="73"/>
      <c r="BJ266" s="73"/>
      <c r="BK266" s="73"/>
      <c r="BL266" s="73"/>
      <c r="BM266" s="73"/>
      <c r="BN266" s="73"/>
      <c r="BO266" s="73"/>
      <c r="BP266" s="73"/>
      <c r="BQ266" s="73"/>
      <c r="BR266" s="73"/>
      <c r="BS266" s="73"/>
      <c r="BT266" s="74"/>
      <c r="BU266" s="73"/>
      <c r="BV266" s="73"/>
      <c r="BW266" s="73"/>
      <c r="BX266" s="73"/>
      <c r="BY266" s="73"/>
      <c r="BZ266" s="73"/>
      <c r="CA266" s="73"/>
      <c r="CB266" s="73"/>
      <c r="CC266" s="73"/>
      <c r="CD266" s="73"/>
      <c r="CE266" s="73"/>
    </row>
    <row r="267">
      <c r="A267" s="73"/>
      <c r="B267" s="73"/>
      <c r="C267" s="73"/>
      <c r="D267" s="74"/>
      <c r="E267" s="73"/>
      <c r="F267" s="73"/>
      <c r="G267" s="73"/>
      <c r="H267" s="73"/>
      <c r="I267" s="73"/>
      <c r="J267" s="73"/>
      <c r="K267" s="92"/>
      <c r="L267" s="73"/>
      <c r="M267" s="73"/>
      <c r="N267" s="73"/>
      <c r="O267" s="73"/>
      <c r="P267" s="73"/>
      <c r="Q267" s="75"/>
      <c r="R267" s="82"/>
      <c r="S267" s="73"/>
      <c r="T267" s="73"/>
      <c r="U267" s="73"/>
      <c r="V267" s="73"/>
      <c r="W267" s="73"/>
      <c r="X267" s="73"/>
      <c r="Y267" s="77"/>
      <c r="Z267" s="104"/>
      <c r="AA267" s="73"/>
      <c r="AB267" s="104"/>
      <c r="AC267" s="104"/>
      <c r="AD267" s="74"/>
      <c r="AE267" s="106"/>
      <c r="AF267" s="195"/>
      <c r="AG267" s="80"/>
      <c r="AH267" s="104"/>
      <c r="AI267" s="73"/>
      <c r="AJ267" s="114"/>
      <c r="AK267" s="106"/>
      <c r="AL267" s="74"/>
      <c r="AM267" s="73"/>
      <c r="AN267" s="73"/>
      <c r="AO267" s="102"/>
      <c r="AP267" s="73"/>
      <c r="AQ267" s="73"/>
      <c r="AR267" s="74"/>
      <c r="AS267" s="73"/>
      <c r="AT267" s="73"/>
      <c r="AU267" s="73"/>
      <c r="AV267" s="73"/>
      <c r="AW267" s="73"/>
      <c r="AX267" s="74"/>
      <c r="AY267" s="73"/>
      <c r="AZ267" s="73"/>
      <c r="BA267" s="74"/>
      <c r="BB267" s="73"/>
      <c r="BC267" s="73"/>
      <c r="BD267" s="73"/>
      <c r="BE267" s="73"/>
      <c r="BF267" s="73"/>
      <c r="BG267" s="73"/>
      <c r="BH267" s="73"/>
      <c r="BI267" s="73"/>
      <c r="BJ267" s="73"/>
      <c r="BK267" s="73"/>
      <c r="BL267" s="73"/>
      <c r="BM267" s="73"/>
      <c r="BN267" s="73"/>
      <c r="BO267" s="73"/>
      <c r="BP267" s="73"/>
      <c r="BQ267" s="73"/>
      <c r="BR267" s="73"/>
      <c r="BS267" s="73"/>
      <c r="BT267" s="74"/>
      <c r="BU267" s="73"/>
      <c r="BV267" s="73"/>
      <c r="BW267" s="73"/>
      <c r="BX267" s="73"/>
      <c r="BY267" s="73"/>
      <c r="BZ267" s="73"/>
      <c r="CA267" s="73"/>
      <c r="CB267" s="73"/>
      <c r="CC267" s="73"/>
      <c r="CD267" s="73"/>
      <c r="CE267" s="73"/>
    </row>
    <row r="268">
      <c r="A268" s="73"/>
      <c r="B268" s="73"/>
      <c r="C268" s="73"/>
      <c r="D268" s="74"/>
      <c r="E268" s="73"/>
      <c r="F268" s="73"/>
      <c r="G268" s="73"/>
      <c r="H268" s="73"/>
      <c r="I268" s="73"/>
      <c r="J268" s="73"/>
      <c r="K268" s="92"/>
      <c r="L268" s="73"/>
      <c r="M268" s="73"/>
      <c r="N268" s="73"/>
      <c r="O268" s="73"/>
      <c r="P268" s="73"/>
      <c r="Q268" s="75"/>
      <c r="R268" s="82"/>
      <c r="S268" s="73"/>
      <c r="T268" s="73"/>
      <c r="U268" s="73"/>
      <c r="V268" s="73"/>
      <c r="W268" s="73"/>
      <c r="X268" s="73"/>
      <c r="Y268" s="77"/>
      <c r="Z268" s="104"/>
      <c r="AA268" s="73"/>
      <c r="AB268" s="104"/>
      <c r="AC268" s="104"/>
      <c r="AD268" s="74"/>
      <c r="AE268" s="106"/>
      <c r="AF268" s="195"/>
      <c r="AG268" s="80"/>
      <c r="AH268" s="104"/>
      <c r="AI268" s="73"/>
      <c r="AJ268" s="114"/>
      <c r="AK268" s="106"/>
      <c r="AL268" s="74"/>
      <c r="AM268" s="73"/>
      <c r="AN268" s="73"/>
      <c r="AO268" s="102"/>
      <c r="AP268" s="73"/>
      <c r="AQ268" s="73"/>
      <c r="AR268" s="74"/>
      <c r="AS268" s="73"/>
      <c r="AT268" s="73"/>
      <c r="AU268" s="73"/>
      <c r="AV268" s="73"/>
      <c r="AW268" s="73"/>
      <c r="AX268" s="74"/>
      <c r="AY268" s="73"/>
      <c r="AZ268" s="73"/>
      <c r="BA268" s="74"/>
      <c r="BB268" s="73"/>
      <c r="BC268" s="73"/>
      <c r="BD268" s="73"/>
      <c r="BE268" s="73"/>
      <c r="BF268" s="73"/>
      <c r="BG268" s="73"/>
      <c r="BH268" s="73"/>
      <c r="BI268" s="73"/>
      <c r="BJ268" s="73"/>
      <c r="BK268" s="73"/>
      <c r="BL268" s="73"/>
      <c r="BM268" s="73"/>
      <c r="BN268" s="73"/>
      <c r="BO268" s="73"/>
      <c r="BP268" s="73"/>
      <c r="BQ268" s="73"/>
      <c r="BR268" s="73"/>
      <c r="BS268" s="73"/>
      <c r="BT268" s="74"/>
      <c r="BU268" s="73"/>
      <c r="BV268" s="73"/>
      <c r="BW268" s="73"/>
      <c r="BX268" s="73"/>
      <c r="BY268" s="73"/>
      <c r="BZ268" s="73"/>
      <c r="CA268" s="73"/>
      <c r="CB268" s="73"/>
      <c r="CC268" s="73"/>
      <c r="CD268" s="73"/>
      <c r="CE268" s="73"/>
    </row>
    <row r="269">
      <c r="A269" s="73"/>
      <c r="B269" s="73"/>
      <c r="C269" s="73"/>
      <c r="D269" s="74"/>
      <c r="E269" s="73"/>
      <c r="F269" s="73"/>
      <c r="G269" s="73"/>
      <c r="H269" s="73"/>
      <c r="I269" s="73"/>
      <c r="J269" s="73"/>
      <c r="K269" s="92"/>
      <c r="L269" s="73"/>
      <c r="M269" s="73"/>
      <c r="N269" s="73"/>
      <c r="O269" s="73"/>
      <c r="P269" s="73"/>
      <c r="Q269" s="75"/>
      <c r="R269" s="82"/>
      <c r="S269" s="73"/>
      <c r="T269" s="73"/>
      <c r="U269" s="73"/>
      <c r="V269" s="73"/>
      <c r="W269" s="73"/>
      <c r="X269" s="73"/>
      <c r="Y269" s="77"/>
      <c r="Z269" s="104"/>
      <c r="AA269" s="73"/>
      <c r="AB269" s="104"/>
      <c r="AC269" s="104"/>
      <c r="AD269" s="74"/>
      <c r="AE269" s="106"/>
      <c r="AF269" s="195"/>
      <c r="AG269" s="80"/>
      <c r="AH269" s="104"/>
      <c r="AI269" s="73"/>
      <c r="AJ269" s="114"/>
      <c r="AK269" s="106"/>
      <c r="AL269" s="74"/>
      <c r="AM269" s="73"/>
      <c r="AN269" s="73"/>
      <c r="AO269" s="102"/>
      <c r="AP269" s="73"/>
      <c r="AQ269" s="73"/>
      <c r="AR269" s="74"/>
      <c r="AS269" s="73"/>
      <c r="AT269" s="73"/>
      <c r="AU269" s="73"/>
      <c r="AV269" s="73"/>
      <c r="AW269" s="73"/>
      <c r="AX269" s="74"/>
      <c r="AY269" s="73"/>
      <c r="AZ269" s="73"/>
      <c r="BA269" s="74"/>
      <c r="BB269" s="73"/>
      <c r="BC269" s="73"/>
      <c r="BD269" s="73"/>
      <c r="BE269" s="73"/>
      <c r="BF269" s="73"/>
      <c r="BG269" s="73"/>
      <c r="BH269" s="73"/>
      <c r="BI269" s="73"/>
      <c r="BJ269" s="73"/>
      <c r="BK269" s="73"/>
      <c r="BL269" s="73"/>
      <c r="BM269" s="73"/>
      <c r="BN269" s="73"/>
      <c r="BO269" s="73"/>
      <c r="BP269" s="73"/>
      <c r="BQ269" s="73"/>
      <c r="BR269" s="73"/>
      <c r="BS269" s="73"/>
      <c r="BT269" s="74"/>
      <c r="BU269" s="73"/>
      <c r="BV269" s="73"/>
      <c r="BW269" s="73"/>
      <c r="BX269" s="73"/>
      <c r="BY269" s="73"/>
      <c r="BZ269" s="73"/>
      <c r="CA269" s="73"/>
      <c r="CB269" s="73"/>
      <c r="CC269" s="73"/>
      <c r="CD269" s="73"/>
      <c r="CE269" s="73"/>
    </row>
    <row r="270">
      <c r="A270" s="73"/>
      <c r="B270" s="73"/>
      <c r="C270" s="73"/>
      <c r="D270" s="74"/>
      <c r="E270" s="73"/>
      <c r="F270" s="73"/>
      <c r="G270" s="73"/>
      <c r="H270" s="73"/>
      <c r="I270" s="73"/>
      <c r="J270" s="73"/>
      <c r="K270" s="92"/>
      <c r="L270" s="73"/>
      <c r="M270" s="73"/>
      <c r="N270" s="73"/>
      <c r="O270" s="73"/>
      <c r="P270" s="73"/>
      <c r="Q270" s="75"/>
      <c r="R270" s="82"/>
      <c r="S270" s="73"/>
      <c r="T270" s="73"/>
      <c r="U270" s="73"/>
      <c r="V270" s="73"/>
      <c r="W270" s="73"/>
      <c r="X270" s="73"/>
      <c r="Y270" s="77"/>
      <c r="Z270" s="104"/>
      <c r="AA270" s="73"/>
      <c r="AB270" s="104"/>
      <c r="AC270" s="104"/>
      <c r="AD270" s="74"/>
      <c r="AE270" s="106"/>
      <c r="AF270" s="195"/>
      <c r="AG270" s="80"/>
      <c r="AH270" s="104"/>
      <c r="AI270" s="73"/>
      <c r="AJ270" s="114"/>
      <c r="AK270" s="106"/>
      <c r="AL270" s="74"/>
      <c r="AM270" s="73"/>
      <c r="AN270" s="73"/>
      <c r="AO270" s="102"/>
      <c r="AP270" s="73"/>
      <c r="AQ270" s="73"/>
      <c r="AR270" s="74"/>
      <c r="AS270" s="73"/>
      <c r="AT270" s="73"/>
      <c r="AU270" s="73"/>
      <c r="AV270" s="73"/>
      <c r="AW270" s="73"/>
      <c r="AX270" s="74"/>
      <c r="AY270" s="73"/>
      <c r="AZ270" s="73"/>
      <c r="BA270" s="74"/>
      <c r="BB270" s="73"/>
      <c r="BC270" s="73"/>
      <c r="BD270" s="73"/>
      <c r="BE270" s="73"/>
      <c r="BF270" s="73"/>
      <c r="BG270" s="73"/>
      <c r="BH270" s="73"/>
      <c r="BI270" s="73"/>
      <c r="BJ270" s="73"/>
      <c r="BK270" s="73"/>
      <c r="BL270" s="73"/>
      <c r="BM270" s="73"/>
      <c r="BN270" s="73"/>
      <c r="BO270" s="73"/>
      <c r="BP270" s="73"/>
      <c r="BQ270" s="73"/>
      <c r="BR270" s="73"/>
      <c r="BS270" s="73"/>
      <c r="BT270" s="74"/>
      <c r="BU270" s="73"/>
      <c r="BV270" s="73"/>
      <c r="BW270" s="73"/>
      <c r="BX270" s="73"/>
      <c r="BY270" s="73"/>
      <c r="BZ270" s="73"/>
      <c r="CA270" s="73"/>
      <c r="CB270" s="73"/>
      <c r="CC270" s="73"/>
      <c r="CD270" s="73"/>
      <c r="CE270" s="73"/>
    </row>
    <row r="271">
      <c r="A271" s="73"/>
      <c r="B271" s="73"/>
      <c r="C271" s="73"/>
      <c r="D271" s="74"/>
      <c r="E271" s="73"/>
      <c r="F271" s="73"/>
      <c r="G271" s="73"/>
      <c r="H271" s="73"/>
      <c r="I271" s="73"/>
      <c r="J271" s="73"/>
      <c r="K271" s="92"/>
      <c r="L271" s="73"/>
      <c r="M271" s="73"/>
      <c r="N271" s="73"/>
      <c r="O271" s="73"/>
      <c r="P271" s="73"/>
      <c r="Q271" s="75"/>
      <c r="R271" s="82"/>
      <c r="S271" s="73"/>
      <c r="T271" s="73"/>
      <c r="U271" s="73"/>
      <c r="V271" s="73"/>
      <c r="W271" s="73"/>
      <c r="X271" s="73"/>
      <c r="Y271" s="77"/>
      <c r="Z271" s="104"/>
      <c r="AA271" s="73"/>
      <c r="AB271" s="104"/>
      <c r="AC271" s="104"/>
      <c r="AD271" s="74"/>
      <c r="AE271" s="106"/>
      <c r="AF271" s="195"/>
      <c r="AG271" s="80"/>
      <c r="AH271" s="104"/>
      <c r="AI271" s="73"/>
      <c r="AJ271" s="114"/>
      <c r="AK271" s="106"/>
      <c r="AL271" s="74"/>
      <c r="AM271" s="73"/>
      <c r="AN271" s="73"/>
      <c r="AO271" s="102"/>
      <c r="AP271" s="73"/>
      <c r="AQ271" s="73"/>
      <c r="AR271" s="74"/>
      <c r="AS271" s="73"/>
      <c r="AT271" s="73"/>
      <c r="AU271" s="73"/>
      <c r="AV271" s="73"/>
      <c r="AW271" s="73"/>
      <c r="AX271" s="74"/>
      <c r="AY271" s="73"/>
      <c r="AZ271" s="73"/>
      <c r="BA271" s="74"/>
      <c r="BB271" s="73"/>
      <c r="BC271" s="73"/>
      <c r="BD271" s="73"/>
      <c r="BE271" s="73"/>
      <c r="BF271" s="73"/>
      <c r="BG271" s="73"/>
      <c r="BH271" s="73"/>
      <c r="BI271" s="73"/>
      <c r="BJ271" s="73"/>
      <c r="BK271" s="73"/>
      <c r="BL271" s="73"/>
      <c r="BM271" s="73"/>
      <c r="BN271" s="73"/>
      <c r="BO271" s="73"/>
      <c r="BP271" s="73"/>
      <c r="BQ271" s="73"/>
      <c r="BR271" s="73"/>
      <c r="BS271" s="73"/>
      <c r="BT271" s="74"/>
      <c r="BU271" s="73"/>
      <c r="BV271" s="73"/>
      <c r="BW271" s="73"/>
      <c r="BX271" s="73"/>
      <c r="BY271" s="73"/>
      <c r="BZ271" s="73"/>
      <c r="CA271" s="73"/>
      <c r="CB271" s="73"/>
      <c r="CC271" s="73"/>
      <c r="CD271" s="73"/>
      <c r="CE271" s="73"/>
    </row>
    <row r="272">
      <c r="A272" s="73"/>
      <c r="B272" s="73"/>
      <c r="C272" s="73"/>
      <c r="D272" s="74"/>
      <c r="E272" s="73"/>
      <c r="F272" s="73"/>
      <c r="G272" s="73"/>
      <c r="H272" s="73"/>
      <c r="I272" s="73"/>
      <c r="J272" s="73"/>
      <c r="K272" s="92"/>
      <c r="L272" s="73"/>
      <c r="M272" s="73"/>
      <c r="N272" s="73"/>
      <c r="O272" s="73"/>
      <c r="P272" s="73"/>
      <c r="Q272" s="75"/>
      <c r="R272" s="82"/>
      <c r="S272" s="73"/>
      <c r="T272" s="73"/>
      <c r="U272" s="73"/>
      <c r="V272" s="73"/>
      <c r="W272" s="73"/>
      <c r="X272" s="73"/>
      <c r="Y272" s="77"/>
      <c r="Z272" s="104"/>
      <c r="AA272" s="73"/>
      <c r="AB272" s="104"/>
      <c r="AC272" s="104"/>
      <c r="AD272" s="74"/>
      <c r="AE272" s="106"/>
      <c r="AF272" s="195"/>
      <c r="AG272" s="80"/>
      <c r="AH272" s="104"/>
      <c r="AI272" s="73"/>
      <c r="AJ272" s="114"/>
      <c r="AK272" s="106"/>
      <c r="AL272" s="74"/>
      <c r="AM272" s="73"/>
      <c r="AN272" s="73"/>
      <c r="AO272" s="102"/>
      <c r="AP272" s="73"/>
      <c r="AQ272" s="73"/>
      <c r="AR272" s="74"/>
      <c r="AS272" s="73"/>
      <c r="AT272" s="73"/>
      <c r="AU272" s="73"/>
      <c r="AV272" s="73"/>
      <c r="AW272" s="73"/>
      <c r="AX272" s="74"/>
      <c r="AY272" s="73"/>
      <c r="AZ272" s="73"/>
      <c r="BA272" s="74"/>
      <c r="BB272" s="73"/>
      <c r="BC272" s="73"/>
      <c r="BD272" s="73"/>
      <c r="BE272" s="73"/>
      <c r="BF272" s="73"/>
      <c r="BG272" s="73"/>
      <c r="BH272" s="73"/>
      <c r="BI272" s="73"/>
      <c r="BJ272" s="73"/>
      <c r="BK272" s="73"/>
      <c r="BL272" s="73"/>
      <c r="BM272" s="73"/>
      <c r="BN272" s="73"/>
      <c r="BO272" s="73"/>
      <c r="BP272" s="73"/>
      <c r="BQ272" s="73"/>
      <c r="BR272" s="73"/>
      <c r="BS272" s="73"/>
      <c r="BT272" s="74"/>
      <c r="BU272" s="73"/>
      <c r="BV272" s="73"/>
      <c r="BW272" s="73"/>
      <c r="BX272" s="73"/>
      <c r="BY272" s="73"/>
      <c r="BZ272" s="73"/>
      <c r="CA272" s="73"/>
      <c r="CB272" s="73"/>
      <c r="CC272" s="73"/>
      <c r="CD272" s="73"/>
      <c r="CE272" s="73"/>
    </row>
    <row r="273">
      <c r="A273" s="73"/>
      <c r="B273" s="73"/>
      <c r="C273" s="73"/>
      <c r="D273" s="74"/>
      <c r="E273" s="73"/>
      <c r="F273" s="73"/>
      <c r="G273" s="73"/>
      <c r="H273" s="73"/>
      <c r="I273" s="73"/>
      <c r="J273" s="73"/>
      <c r="K273" s="92"/>
      <c r="L273" s="73"/>
      <c r="M273" s="73"/>
      <c r="N273" s="73"/>
      <c r="O273" s="73"/>
      <c r="P273" s="73"/>
      <c r="Q273" s="75"/>
      <c r="R273" s="82"/>
      <c r="S273" s="73"/>
      <c r="T273" s="73"/>
      <c r="U273" s="73"/>
      <c r="V273" s="73"/>
      <c r="W273" s="73"/>
      <c r="X273" s="73"/>
      <c r="Y273" s="77"/>
      <c r="Z273" s="104"/>
      <c r="AA273" s="73"/>
      <c r="AB273" s="104"/>
      <c r="AC273" s="104"/>
      <c r="AD273" s="74"/>
      <c r="AE273" s="106"/>
      <c r="AF273" s="195"/>
      <c r="AG273" s="80"/>
      <c r="AH273" s="104"/>
      <c r="AI273" s="73"/>
      <c r="AJ273" s="114"/>
      <c r="AK273" s="106"/>
      <c r="AL273" s="74"/>
      <c r="AM273" s="73"/>
      <c r="AN273" s="73"/>
      <c r="AO273" s="102"/>
      <c r="AP273" s="73"/>
      <c r="AQ273" s="73"/>
      <c r="AR273" s="74"/>
      <c r="AS273" s="73"/>
      <c r="AT273" s="73"/>
      <c r="AU273" s="73"/>
      <c r="AV273" s="73"/>
      <c r="AW273" s="73"/>
      <c r="AX273" s="74"/>
      <c r="AY273" s="73"/>
      <c r="AZ273" s="73"/>
      <c r="BA273" s="74"/>
      <c r="BB273" s="73"/>
      <c r="BC273" s="73"/>
      <c r="BD273" s="73"/>
      <c r="BE273" s="73"/>
      <c r="BF273" s="73"/>
      <c r="BG273" s="73"/>
      <c r="BH273" s="73"/>
      <c r="BI273" s="73"/>
      <c r="BJ273" s="73"/>
      <c r="BK273" s="73"/>
      <c r="BL273" s="73"/>
      <c r="BM273" s="73"/>
      <c r="BN273" s="73"/>
      <c r="BO273" s="73"/>
      <c r="BP273" s="73"/>
      <c r="BQ273" s="73"/>
      <c r="BR273" s="73"/>
      <c r="BS273" s="73"/>
      <c r="BT273" s="74"/>
      <c r="BU273" s="73"/>
      <c r="BV273" s="73"/>
      <c r="BW273" s="73"/>
      <c r="BX273" s="73"/>
      <c r="BY273" s="73"/>
      <c r="BZ273" s="73"/>
      <c r="CA273" s="73"/>
      <c r="CB273" s="73"/>
      <c r="CC273" s="73"/>
      <c r="CD273" s="73"/>
      <c r="CE273" s="73"/>
    </row>
    <row r="274">
      <c r="A274" s="73"/>
      <c r="B274" s="73"/>
      <c r="C274" s="73"/>
      <c r="D274" s="74"/>
      <c r="E274" s="73"/>
      <c r="F274" s="73"/>
      <c r="G274" s="73"/>
      <c r="H274" s="73"/>
      <c r="I274" s="73"/>
      <c r="J274" s="73"/>
      <c r="K274" s="92"/>
      <c r="L274" s="73"/>
      <c r="M274" s="73"/>
      <c r="N274" s="73"/>
      <c r="O274" s="73"/>
      <c r="P274" s="73"/>
      <c r="Q274" s="75"/>
      <c r="R274" s="82"/>
      <c r="S274" s="73"/>
      <c r="T274" s="73"/>
      <c r="U274" s="73"/>
      <c r="V274" s="73"/>
      <c r="W274" s="73"/>
      <c r="X274" s="73"/>
      <c r="Y274" s="77"/>
      <c r="Z274" s="104"/>
      <c r="AA274" s="73"/>
      <c r="AB274" s="104"/>
      <c r="AC274" s="104"/>
      <c r="AD274" s="74"/>
      <c r="AE274" s="106"/>
      <c r="AF274" s="195"/>
      <c r="AG274" s="80"/>
      <c r="AH274" s="104"/>
      <c r="AI274" s="73"/>
      <c r="AJ274" s="114"/>
      <c r="AK274" s="106"/>
      <c r="AL274" s="74"/>
      <c r="AM274" s="73"/>
      <c r="AN274" s="73"/>
      <c r="AO274" s="102"/>
      <c r="AP274" s="73"/>
      <c r="AQ274" s="73"/>
      <c r="AR274" s="74"/>
      <c r="AS274" s="73"/>
      <c r="AT274" s="73"/>
      <c r="AU274" s="73"/>
      <c r="AV274" s="73"/>
      <c r="AW274" s="73"/>
      <c r="AX274" s="74"/>
      <c r="AY274" s="73"/>
      <c r="AZ274" s="73"/>
      <c r="BA274" s="74"/>
      <c r="BB274" s="73"/>
      <c r="BC274" s="73"/>
      <c r="BD274" s="73"/>
      <c r="BE274" s="73"/>
      <c r="BF274" s="73"/>
      <c r="BG274" s="73"/>
      <c r="BH274" s="73"/>
      <c r="BI274" s="73"/>
      <c r="BJ274" s="73"/>
      <c r="BK274" s="73"/>
      <c r="BL274" s="73"/>
      <c r="BM274" s="73"/>
      <c r="BN274" s="73"/>
      <c r="BO274" s="73"/>
      <c r="BP274" s="73"/>
      <c r="BQ274" s="73"/>
      <c r="BR274" s="73"/>
      <c r="BS274" s="73"/>
      <c r="BT274" s="74"/>
      <c r="BU274" s="73"/>
      <c r="BV274" s="73"/>
      <c r="BW274" s="73"/>
      <c r="BX274" s="73"/>
      <c r="BY274" s="73"/>
      <c r="BZ274" s="73"/>
      <c r="CA274" s="73"/>
      <c r="CB274" s="73"/>
      <c r="CC274" s="73"/>
      <c r="CD274" s="73"/>
      <c r="CE274" s="73"/>
    </row>
    <row r="275">
      <c r="A275" s="73"/>
      <c r="B275" s="73"/>
      <c r="C275" s="73"/>
      <c r="D275" s="74"/>
      <c r="E275" s="73"/>
      <c r="F275" s="73"/>
      <c r="G275" s="73"/>
      <c r="H275" s="73"/>
      <c r="I275" s="73"/>
      <c r="J275" s="73"/>
      <c r="K275" s="92"/>
      <c r="L275" s="73"/>
      <c r="M275" s="73"/>
      <c r="N275" s="73"/>
      <c r="O275" s="73"/>
      <c r="P275" s="73"/>
      <c r="Q275" s="75"/>
      <c r="R275" s="82"/>
      <c r="S275" s="73"/>
      <c r="T275" s="73"/>
      <c r="U275" s="73"/>
      <c r="V275" s="73"/>
      <c r="W275" s="73"/>
      <c r="X275" s="73"/>
      <c r="Y275" s="77"/>
      <c r="Z275" s="104"/>
      <c r="AA275" s="73"/>
      <c r="AB275" s="104"/>
      <c r="AC275" s="104"/>
      <c r="AD275" s="74"/>
      <c r="AE275" s="106"/>
      <c r="AF275" s="195"/>
      <c r="AG275" s="80"/>
      <c r="AH275" s="104"/>
      <c r="AI275" s="73"/>
      <c r="AJ275" s="114"/>
      <c r="AK275" s="106"/>
      <c r="AL275" s="74"/>
      <c r="AM275" s="73"/>
      <c r="AN275" s="73"/>
      <c r="AO275" s="102"/>
      <c r="AP275" s="73"/>
      <c r="AQ275" s="73"/>
      <c r="AR275" s="74"/>
      <c r="AS275" s="73"/>
      <c r="AT275" s="73"/>
      <c r="AU275" s="73"/>
      <c r="AV275" s="73"/>
      <c r="AW275" s="73"/>
      <c r="AX275" s="74"/>
      <c r="AY275" s="73"/>
      <c r="AZ275" s="73"/>
      <c r="BA275" s="74"/>
      <c r="BB275" s="73"/>
      <c r="BC275" s="73"/>
      <c r="BD275" s="73"/>
      <c r="BE275" s="73"/>
      <c r="BF275" s="73"/>
      <c r="BG275" s="73"/>
      <c r="BH275" s="73"/>
      <c r="BI275" s="73"/>
      <c r="BJ275" s="73"/>
      <c r="BK275" s="73"/>
      <c r="BL275" s="73"/>
      <c r="BM275" s="73"/>
      <c r="BN275" s="73"/>
      <c r="BO275" s="73"/>
      <c r="BP275" s="73"/>
      <c r="BQ275" s="73"/>
      <c r="BR275" s="73"/>
      <c r="BS275" s="73"/>
      <c r="BT275" s="74"/>
      <c r="BU275" s="73"/>
      <c r="BV275" s="73"/>
      <c r="BW275" s="73"/>
      <c r="BX275" s="73"/>
      <c r="BY275" s="73"/>
      <c r="BZ275" s="73"/>
      <c r="CA275" s="73"/>
      <c r="CB275" s="73"/>
      <c r="CC275" s="73"/>
      <c r="CD275" s="73"/>
      <c r="CE275" s="73"/>
    </row>
    <row r="276">
      <c r="A276" s="73"/>
      <c r="B276" s="73"/>
      <c r="C276" s="73"/>
      <c r="D276" s="74"/>
      <c r="E276" s="73"/>
      <c r="F276" s="73"/>
      <c r="G276" s="73"/>
      <c r="H276" s="73"/>
      <c r="I276" s="73"/>
      <c r="J276" s="73"/>
      <c r="K276" s="92"/>
      <c r="L276" s="73"/>
      <c r="M276" s="73"/>
      <c r="N276" s="73"/>
      <c r="O276" s="73"/>
      <c r="P276" s="73"/>
      <c r="Q276" s="75"/>
      <c r="R276" s="82"/>
      <c r="S276" s="73"/>
      <c r="T276" s="73"/>
      <c r="U276" s="73"/>
      <c r="V276" s="73"/>
      <c r="W276" s="73"/>
      <c r="X276" s="73"/>
      <c r="Y276" s="77"/>
      <c r="Z276" s="104"/>
      <c r="AA276" s="73"/>
      <c r="AB276" s="104"/>
      <c r="AC276" s="104"/>
      <c r="AD276" s="74"/>
      <c r="AE276" s="106"/>
      <c r="AF276" s="195"/>
      <c r="AG276" s="80"/>
      <c r="AH276" s="104"/>
      <c r="AI276" s="73"/>
      <c r="AJ276" s="114"/>
      <c r="AK276" s="106"/>
      <c r="AL276" s="74"/>
      <c r="AM276" s="73"/>
      <c r="AN276" s="73"/>
      <c r="AO276" s="102"/>
      <c r="AP276" s="73"/>
      <c r="AQ276" s="73"/>
      <c r="AR276" s="74"/>
      <c r="AS276" s="73"/>
      <c r="AT276" s="73"/>
      <c r="AU276" s="73"/>
      <c r="AV276" s="73"/>
      <c r="AW276" s="73"/>
      <c r="AX276" s="74"/>
      <c r="AY276" s="73"/>
      <c r="AZ276" s="73"/>
      <c r="BA276" s="74"/>
      <c r="BB276" s="73"/>
      <c r="BC276" s="73"/>
      <c r="BD276" s="73"/>
      <c r="BE276" s="73"/>
      <c r="BF276" s="73"/>
      <c r="BG276" s="73"/>
      <c r="BH276" s="73"/>
      <c r="BI276" s="73"/>
      <c r="BJ276" s="73"/>
      <c r="BK276" s="73"/>
      <c r="BL276" s="73"/>
      <c r="BM276" s="73"/>
      <c r="BN276" s="73"/>
      <c r="BO276" s="73"/>
      <c r="BP276" s="73"/>
      <c r="BQ276" s="73"/>
      <c r="BR276" s="73"/>
      <c r="BS276" s="73"/>
      <c r="BT276" s="74"/>
      <c r="BU276" s="73"/>
      <c r="BV276" s="73"/>
      <c r="BW276" s="73"/>
      <c r="BX276" s="73"/>
      <c r="BY276" s="73"/>
      <c r="BZ276" s="73"/>
      <c r="CA276" s="73"/>
      <c r="CB276" s="73"/>
      <c r="CC276" s="73"/>
      <c r="CD276" s="73"/>
      <c r="CE276" s="73"/>
    </row>
    <row r="277">
      <c r="A277" s="73"/>
      <c r="B277" s="73"/>
      <c r="C277" s="73"/>
      <c r="D277" s="74"/>
      <c r="E277" s="73"/>
      <c r="F277" s="73"/>
      <c r="G277" s="73"/>
      <c r="H277" s="73"/>
      <c r="I277" s="73"/>
      <c r="J277" s="73"/>
      <c r="K277" s="92"/>
      <c r="L277" s="73"/>
      <c r="M277" s="73"/>
      <c r="N277" s="73"/>
      <c r="O277" s="73"/>
      <c r="P277" s="73"/>
      <c r="Q277" s="75"/>
      <c r="R277" s="82"/>
      <c r="S277" s="73"/>
      <c r="T277" s="73"/>
      <c r="U277" s="73"/>
      <c r="V277" s="73"/>
      <c r="W277" s="73"/>
      <c r="X277" s="73"/>
      <c r="Y277" s="77"/>
      <c r="Z277" s="104"/>
      <c r="AA277" s="73"/>
      <c r="AB277" s="104"/>
      <c r="AC277" s="104"/>
      <c r="AD277" s="74"/>
      <c r="AE277" s="106"/>
      <c r="AF277" s="195"/>
      <c r="AG277" s="80"/>
      <c r="AH277" s="104"/>
      <c r="AI277" s="73"/>
      <c r="AJ277" s="114"/>
      <c r="AK277" s="106"/>
      <c r="AL277" s="74"/>
      <c r="AM277" s="73"/>
      <c r="AN277" s="73"/>
      <c r="AO277" s="102"/>
      <c r="AP277" s="73"/>
      <c r="AQ277" s="73"/>
      <c r="AR277" s="74"/>
      <c r="AS277" s="73"/>
      <c r="AT277" s="73"/>
      <c r="AU277" s="73"/>
      <c r="AV277" s="73"/>
      <c r="AW277" s="73"/>
      <c r="AX277" s="74"/>
      <c r="AY277" s="73"/>
      <c r="AZ277" s="73"/>
      <c r="BA277" s="74"/>
      <c r="BB277" s="73"/>
      <c r="BC277" s="73"/>
      <c r="BD277" s="73"/>
      <c r="BE277" s="73"/>
      <c r="BF277" s="73"/>
      <c r="BG277" s="73"/>
      <c r="BH277" s="73"/>
      <c r="BI277" s="73"/>
      <c r="BJ277" s="73"/>
      <c r="BK277" s="73"/>
      <c r="BL277" s="73"/>
      <c r="BM277" s="73"/>
      <c r="BN277" s="73"/>
      <c r="BO277" s="73"/>
      <c r="BP277" s="73"/>
      <c r="BQ277" s="73"/>
      <c r="BR277" s="73"/>
      <c r="BS277" s="73"/>
      <c r="BT277" s="74"/>
      <c r="BU277" s="73"/>
      <c r="BV277" s="73"/>
      <c r="BW277" s="73"/>
      <c r="BX277" s="73"/>
      <c r="BY277" s="73"/>
      <c r="BZ277" s="73"/>
      <c r="CA277" s="73"/>
      <c r="CB277" s="73"/>
      <c r="CC277" s="73"/>
      <c r="CD277" s="73"/>
      <c r="CE277" s="73"/>
    </row>
    <row r="278">
      <c r="A278" s="73"/>
      <c r="B278" s="73"/>
      <c r="C278" s="73"/>
      <c r="D278" s="74"/>
      <c r="E278" s="73"/>
      <c r="F278" s="73"/>
      <c r="G278" s="73"/>
      <c r="H278" s="73"/>
      <c r="I278" s="73"/>
      <c r="J278" s="73"/>
      <c r="K278" s="92"/>
      <c r="L278" s="73"/>
      <c r="M278" s="73"/>
      <c r="N278" s="73"/>
      <c r="O278" s="73"/>
      <c r="P278" s="73"/>
      <c r="Q278" s="75"/>
      <c r="R278" s="82"/>
      <c r="S278" s="73"/>
      <c r="T278" s="73"/>
      <c r="U278" s="73"/>
      <c r="V278" s="73"/>
      <c r="W278" s="73"/>
      <c r="X278" s="73"/>
      <c r="Y278" s="77"/>
      <c r="Z278" s="104"/>
      <c r="AA278" s="73"/>
      <c r="AB278" s="104"/>
      <c r="AC278" s="104"/>
      <c r="AD278" s="74"/>
      <c r="AE278" s="106"/>
      <c r="AF278" s="195"/>
      <c r="AG278" s="80"/>
      <c r="AH278" s="104"/>
      <c r="AI278" s="73"/>
      <c r="AJ278" s="114"/>
      <c r="AK278" s="106"/>
      <c r="AL278" s="74"/>
      <c r="AM278" s="73"/>
      <c r="AN278" s="73"/>
      <c r="AO278" s="102"/>
      <c r="AP278" s="73"/>
      <c r="AQ278" s="73"/>
      <c r="AR278" s="74"/>
      <c r="AS278" s="73"/>
      <c r="AT278" s="73"/>
      <c r="AU278" s="73"/>
      <c r="AV278" s="73"/>
      <c r="AW278" s="73"/>
      <c r="AX278" s="74"/>
      <c r="AY278" s="73"/>
      <c r="AZ278" s="73"/>
      <c r="BA278" s="74"/>
      <c r="BB278" s="73"/>
      <c r="BC278" s="73"/>
      <c r="BD278" s="73"/>
      <c r="BE278" s="73"/>
      <c r="BF278" s="73"/>
      <c r="BG278" s="73"/>
      <c r="BH278" s="73"/>
      <c r="BI278" s="73"/>
      <c r="BJ278" s="73"/>
      <c r="BK278" s="73"/>
      <c r="BL278" s="73"/>
      <c r="BM278" s="73"/>
      <c r="BN278" s="73"/>
      <c r="BO278" s="73"/>
      <c r="BP278" s="73"/>
      <c r="BQ278" s="73"/>
      <c r="BR278" s="73"/>
      <c r="BS278" s="73"/>
      <c r="BT278" s="74"/>
      <c r="BU278" s="73"/>
      <c r="BV278" s="73"/>
      <c r="BW278" s="73"/>
      <c r="BX278" s="73"/>
      <c r="BY278" s="73"/>
      <c r="BZ278" s="73"/>
      <c r="CA278" s="73"/>
      <c r="CB278" s="73"/>
      <c r="CC278" s="73"/>
      <c r="CD278" s="73"/>
      <c r="CE278" s="73"/>
    </row>
    <row r="279">
      <c r="A279" s="73"/>
      <c r="B279" s="73"/>
      <c r="C279" s="73"/>
      <c r="D279" s="74"/>
      <c r="E279" s="73"/>
      <c r="F279" s="73"/>
      <c r="G279" s="73"/>
      <c r="H279" s="73"/>
      <c r="I279" s="73"/>
      <c r="J279" s="73"/>
      <c r="K279" s="92"/>
      <c r="L279" s="73"/>
      <c r="M279" s="73"/>
      <c r="N279" s="73"/>
      <c r="O279" s="73"/>
      <c r="P279" s="73"/>
      <c r="Q279" s="75"/>
      <c r="R279" s="82"/>
      <c r="S279" s="73"/>
      <c r="T279" s="73"/>
      <c r="U279" s="73"/>
      <c r="V279" s="73"/>
      <c r="W279" s="73"/>
      <c r="X279" s="73"/>
      <c r="Y279" s="77"/>
      <c r="Z279" s="104"/>
      <c r="AA279" s="73"/>
      <c r="AB279" s="104"/>
      <c r="AC279" s="104"/>
      <c r="AD279" s="74"/>
      <c r="AE279" s="106"/>
      <c r="AF279" s="195"/>
      <c r="AG279" s="80"/>
      <c r="AH279" s="104"/>
      <c r="AI279" s="73"/>
      <c r="AJ279" s="114"/>
      <c r="AK279" s="106"/>
      <c r="AL279" s="74"/>
      <c r="AM279" s="73"/>
      <c r="AN279" s="73"/>
      <c r="AO279" s="102"/>
      <c r="AP279" s="73"/>
      <c r="AQ279" s="73"/>
      <c r="AR279" s="74"/>
      <c r="AS279" s="73"/>
      <c r="AT279" s="73"/>
      <c r="AU279" s="73"/>
      <c r="AV279" s="73"/>
      <c r="AW279" s="73"/>
      <c r="AX279" s="74"/>
      <c r="AY279" s="73"/>
      <c r="AZ279" s="73"/>
      <c r="BA279" s="74"/>
      <c r="BB279" s="73"/>
      <c r="BC279" s="73"/>
      <c r="BD279" s="73"/>
      <c r="BE279" s="73"/>
      <c r="BF279" s="73"/>
      <c r="BG279" s="73"/>
      <c r="BH279" s="73"/>
      <c r="BI279" s="73"/>
      <c r="BJ279" s="73"/>
      <c r="BK279" s="73"/>
      <c r="BL279" s="73"/>
      <c r="BM279" s="73"/>
      <c r="BN279" s="73"/>
      <c r="BO279" s="73"/>
      <c r="BP279" s="73"/>
      <c r="BQ279" s="73"/>
      <c r="BR279" s="73"/>
      <c r="BS279" s="73"/>
      <c r="BT279" s="74"/>
      <c r="BU279" s="73"/>
      <c r="BV279" s="73"/>
      <c r="BW279" s="73"/>
      <c r="BX279" s="73"/>
      <c r="BY279" s="73"/>
      <c r="BZ279" s="73"/>
      <c r="CA279" s="73"/>
      <c r="CB279" s="73"/>
      <c r="CC279" s="73"/>
      <c r="CD279" s="73"/>
      <c r="CE279" s="73"/>
    </row>
    <row r="280">
      <c r="A280" s="73"/>
      <c r="B280" s="73"/>
      <c r="C280" s="73"/>
      <c r="D280" s="74"/>
      <c r="E280" s="73"/>
      <c r="F280" s="73"/>
      <c r="G280" s="73"/>
      <c r="H280" s="73"/>
      <c r="I280" s="73"/>
      <c r="J280" s="73"/>
      <c r="K280" s="92"/>
      <c r="L280" s="73"/>
      <c r="M280" s="73"/>
      <c r="N280" s="73"/>
      <c r="O280" s="73"/>
      <c r="P280" s="73"/>
      <c r="Q280" s="75"/>
      <c r="R280" s="82"/>
      <c r="S280" s="73"/>
      <c r="T280" s="73"/>
      <c r="U280" s="73"/>
      <c r="V280" s="73"/>
      <c r="W280" s="73"/>
      <c r="X280" s="73"/>
      <c r="Y280" s="77"/>
      <c r="Z280" s="104"/>
      <c r="AA280" s="73"/>
      <c r="AB280" s="104"/>
      <c r="AC280" s="104"/>
      <c r="AD280" s="74"/>
      <c r="AE280" s="106"/>
      <c r="AF280" s="195"/>
      <c r="AG280" s="80"/>
      <c r="AH280" s="104"/>
      <c r="AI280" s="73"/>
      <c r="AJ280" s="114"/>
      <c r="AK280" s="106"/>
      <c r="AL280" s="74"/>
      <c r="AM280" s="73"/>
      <c r="AN280" s="73"/>
      <c r="AO280" s="102"/>
      <c r="AP280" s="73"/>
      <c r="AQ280" s="73"/>
      <c r="AR280" s="74"/>
      <c r="AS280" s="73"/>
      <c r="AT280" s="73"/>
      <c r="AU280" s="73"/>
      <c r="AV280" s="73"/>
      <c r="AW280" s="73"/>
      <c r="AX280" s="74"/>
      <c r="AY280" s="73"/>
      <c r="AZ280" s="73"/>
      <c r="BA280" s="74"/>
      <c r="BB280" s="73"/>
      <c r="BC280" s="73"/>
      <c r="BD280" s="73"/>
      <c r="BE280" s="73"/>
      <c r="BF280" s="73"/>
      <c r="BG280" s="73"/>
      <c r="BH280" s="73"/>
      <c r="BI280" s="73"/>
      <c r="BJ280" s="73"/>
      <c r="BK280" s="73"/>
      <c r="BL280" s="73"/>
      <c r="BM280" s="73"/>
      <c r="BN280" s="73"/>
      <c r="BO280" s="73"/>
      <c r="BP280" s="73"/>
      <c r="BQ280" s="73"/>
      <c r="BR280" s="73"/>
      <c r="BS280" s="73"/>
      <c r="BT280" s="74"/>
      <c r="BU280" s="73"/>
      <c r="BV280" s="73"/>
      <c r="BW280" s="73"/>
      <c r="BX280" s="73"/>
      <c r="BY280" s="73"/>
      <c r="BZ280" s="73"/>
      <c r="CA280" s="73"/>
      <c r="CB280" s="73"/>
      <c r="CC280" s="73"/>
      <c r="CD280" s="73"/>
      <c r="CE280" s="73"/>
    </row>
    <row r="281">
      <c r="A281" s="73"/>
      <c r="B281" s="73"/>
      <c r="C281" s="73"/>
      <c r="D281" s="74"/>
      <c r="E281" s="73"/>
      <c r="F281" s="73"/>
      <c r="G281" s="73"/>
      <c r="H281" s="73"/>
      <c r="I281" s="73"/>
      <c r="J281" s="73"/>
      <c r="K281" s="92"/>
      <c r="L281" s="73"/>
      <c r="M281" s="73"/>
      <c r="N281" s="73"/>
      <c r="O281" s="73"/>
      <c r="P281" s="73"/>
      <c r="Q281" s="75"/>
      <c r="R281" s="82"/>
      <c r="S281" s="73"/>
      <c r="T281" s="73"/>
      <c r="U281" s="73"/>
      <c r="V281" s="73"/>
      <c r="W281" s="73"/>
      <c r="X281" s="73"/>
      <c r="Y281" s="77"/>
      <c r="Z281" s="104"/>
      <c r="AA281" s="73"/>
      <c r="AB281" s="104"/>
      <c r="AC281" s="104"/>
      <c r="AD281" s="74"/>
      <c r="AE281" s="106"/>
      <c r="AF281" s="195"/>
      <c r="AG281" s="80"/>
      <c r="AH281" s="104"/>
      <c r="AI281" s="73"/>
      <c r="AJ281" s="114"/>
      <c r="AK281" s="106"/>
      <c r="AL281" s="74"/>
      <c r="AM281" s="73"/>
      <c r="AN281" s="73"/>
      <c r="AO281" s="102"/>
      <c r="AP281" s="73"/>
      <c r="AQ281" s="73"/>
      <c r="AR281" s="74"/>
      <c r="AS281" s="73"/>
      <c r="AT281" s="73"/>
      <c r="AU281" s="73"/>
      <c r="AV281" s="73"/>
      <c r="AW281" s="73"/>
      <c r="AX281" s="74"/>
      <c r="AY281" s="73"/>
      <c r="AZ281" s="73"/>
      <c r="BA281" s="74"/>
      <c r="BB281" s="73"/>
      <c r="BC281" s="73"/>
      <c r="BD281" s="73"/>
      <c r="BE281" s="73"/>
      <c r="BF281" s="73"/>
      <c r="BG281" s="73"/>
      <c r="BH281" s="73"/>
      <c r="BI281" s="73"/>
      <c r="BJ281" s="73"/>
      <c r="BK281" s="73"/>
      <c r="BL281" s="73"/>
      <c r="BM281" s="73"/>
      <c r="BN281" s="73"/>
      <c r="BO281" s="73"/>
      <c r="BP281" s="73"/>
      <c r="BQ281" s="73"/>
      <c r="BR281" s="73"/>
      <c r="BS281" s="73"/>
      <c r="BT281" s="74"/>
      <c r="BU281" s="73"/>
      <c r="BV281" s="73"/>
      <c r="BW281" s="73"/>
      <c r="BX281" s="73"/>
      <c r="BY281" s="73"/>
      <c r="BZ281" s="73"/>
      <c r="CA281" s="73"/>
      <c r="CB281" s="73"/>
      <c r="CC281" s="73"/>
      <c r="CD281" s="73"/>
      <c r="CE281" s="73"/>
    </row>
    <row r="282">
      <c r="A282" s="73"/>
      <c r="B282" s="73"/>
      <c r="C282" s="73"/>
      <c r="D282" s="74"/>
      <c r="E282" s="73"/>
      <c r="F282" s="73"/>
      <c r="G282" s="73"/>
      <c r="H282" s="73"/>
      <c r="I282" s="73"/>
      <c r="J282" s="73"/>
      <c r="K282" s="92"/>
      <c r="L282" s="73"/>
      <c r="M282" s="73"/>
      <c r="N282" s="73"/>
      <c r="O282" s="73"/>
      <c r="P282" s="73"/>
      <c r="Q282" s="75"/>
      <c r="R282" s="82"/>
      <c r="S282" s="73"/>
      <c r="T282" s="73"/>
      <c r="U282" s="73"/>
      <c r="V282" s="73"/>
      <c r="W282" s="73"/>
      <c r="X282" s="73"/>
      <c r="Y282" s="77"/>
      <c r="Z282" s="104"/>
      <c r="AA282" s="73"/>
      <c r="AB282" s="104"/>
      <c r="AC282" s="104"/>
      <c r="AD282" s="74"/>
      <c r="AE282" s="106"/>
      <c r="AF282" s="195"/>
      <c r="AG282" s="80"/>
      <c r="AH282" s="104"/>
      <c r="AI282" s="73"/>
      <c r="AJ282" s="114"/>
      <c r="AK282" s="106"/>
      <c r="AL282" s="74"/>
      <c r="AM282" s="73"/>
      <c r="AN282" s="73"/>
      <c r="AO282" s="102"/>
      <c r="AP282" s="73"/>
      <c r="AQ282" s="73"/>
      <c r="AR282" s="74"/>
      <c r="AS282" s="73"/>
      <c r="AT282" s="73"/>
      <c r="AU282" s="73"/>
      <c r="AV282" s="73"/>
      <c r="AW282" s="73"/>
      <c r="AX282" s="74"/>
      <c r="AY282" s="73"/>
      <c r="AZ282" s="73"/>
      <c r="BA282" s="74"/>
      <c r="BB282" s="73"/>
      <c r="BC282" s="73"/>
      <c r="BD282" s="73"/>
      <c r="BE282" s="73"/>
      <c r="BF282" s="73"/>
      <c r="BG282" s="73"/>
      <c r="BH282" s="73"/>
      <c r="BI282" s="73"/>
      <c r="BJ282" s="73"/>
      <c r="BK282" s="73"/>
      <c r="BL282" s="73"/>
      <c r="BM282" s="73"/>
      <c r="BN282" s="73"/>
      <c r="BO282" s="73"/>
      <c r="BP282" s="73"/>
      <c r="BQ282" s="73"/>
      <c r="BR282" s="73"/>
      <c r="BS282" s="73"/>
      <c r="BT282" s="74"/>
      <c r="BU282" s="73"/>
      <c r="BV282" s="73"/>
      <c r="BW282" s="73"/>
      <c r="BX282" s="73"/>
      <c r="BY282" s="73"/>
      <c r="BZ282" s="73"/>
      <c r="CA282" s="73"/>
      <c r="CB282" s="73"/>
      <c r="CC282" s="73"/>
      <c r="CD282" s="73"/>
      <c r="CE282" s="73"/>
    </row>
    <row r="283">
      <c r="A283" s="73"/>
      <c r="B283" s="73"/>
      <c r="C283" s="73"/>
      <c r="D283" s="74"/>
      <c r="E283" s="73"/>
      <c r="F283" s="73"/>
      <c r="G283" s="73"/>
      <c r="H283" s="73"/>
      <c r="I283" s="73"/>
      <c r="J283" s="73"/>
      <c r="K283" s="92"/>
      <c r="L283" s="73"/>
      <c r="M283" s="73"/>
      <c r="N283" s="73"/>
      <c r="O283" s="73"/>
      <c r="P283" s="73"/>
      <c r="Q283" s="75"/>
      <c r="R283" s="82"/>
      <c r="S283" s="73"/>
      <c r="T283" s="73"/>
      <c r="U283" s="73"/>
      <c r="V283" s="73"/>
      <c r="W283" s="73"/>
      <c r="X283" s="73"/>
      <c r="Y283" s="77"/>
      <c r="Z283" s="104"/>
      <c r="AA283" s="73"/>
      <c r="AB283" s="104"/>
      <c r="AC283" s="104"/>
      <c r="AD283" s="74"/>
      <c r="AE283" s="106"/>
      <c r="AF283" s="195"/>
      <c r="AG283" s="80"/>
      <c r="AH283" s="104"/>
      <c r="AI283" s="73"/>
      <c r="AJ283" s="114"/>
      <c r="AK283" s="106"/>
      <c r="AL283" s="74"/>
      <c r="AM283" s="73"/>
      <c r="AN283" s="73"/>
      <c r="AO283" s="102"/>
      <c r="AP283" s="73"/>
      <c r="AQ283" s="73"/>
      <c r="AR283" s="74"/>
      <c r="AS283" s="73"/>
      <c r="AT283" s="73"/>
      <c r="AU283" s="73"/>
      <c r="AV283" s="73"/>
      <c r="AW283" s="73"/>
      <c r="AX283" s="74"/>
      <c r="AY283" s="73"/>
      <c r="AZ283" s="73"/>
      <c r="BA283" s="74"/>
      <c r="BB283" s="73"/>
      <c r="BC283" s="73"/>
      <c r="BD283" s="73"/>
      <c r="BE283" s="73"/>
      <c r="BF283" s="73"/>
      <c r="BG283" s="73"/>
      <c r="BH283" s="73"/>
      <c r="BI283" s="73"/>
      <c r="BJ283" s="73"/>
      <c r="BK283" s="73"/>
      <c r="BL283" s="73"/>
      <c r="BM283" s="73"/>
      <c r="BN283" s="73"/>
      <c r="BO283" s="73"/>
      <c r="BP283" s="73"/>
      <c r="BQ283" s="73"/>
      <c r="BR283" s="73"/>
      <c r="BS283" s="73"/>
      <c r="BT283" s="74"/>
      <c r="BU283" s="73"/>
      <c r="BV283" s="73"/>
      <c r="BW283" s="73"/>
      <c r="BX283" s="73"/>
      <c r="BY283" s="73"/>
      <c r="BZ283" s="73"/>
      <c r="CA283" s="73"/>
      <c r="CB283" s="73"/>
      <c r="CC283" s="73"/>
      <c r="CD283" s="73"/>
      <c r="CE283" s="73"/>
    </row>
    <row r="284">
      <c r="A284" s="73"/>
      <c r="B284" s="73"/>
      <c r="C284" s="73"/>
      <c r="D284" s="74"/>
      <c r="E284" s="73"/>
      <c r="F284" s="73"/>
      <c r="G284" s="73"/>
      <c r="H284" s="73"/>
      <c r="I284" s="73"/>
      <c r="J284" s="73"/>
      <c r="K284" s="92"/>
      <c r="L284" s="73"/>
      <c r="M284" s="73"/>
      <c r="N284" s="73"/>
      <c r="O284" s="73"/>
      <c r="P284" s="73"/>
      <c r="Q284" s="75"/>
      <c r="R284" s="82"/>
      <c r="S284" s="73"/>
      <c r="T284" s="73"/>
      <c r="U284" s="73"/>
      <c r="V284" s="73"/>
      <c r="W284" s="73"/>
      <c r="X284" s="73"/>
      <c r="Y284" s="77"/>
      <c r="Z284" s="104"/>
      <c r="AA284" s="73"/>
      <c r="AB284" s="104"/>
      <c r="AC284" s="104"/>
      <c r="AD284" s="74"/>
      <c r="AE284" s="106"/>
      <c r="AF284" s="195"/>
      <c r="AG284" s="80"/>
      <c r="AH284" s="104"/>
      <c r="AI284" s="73"/>
      <c r="AJ284" s="114"/>
      <c r="AK284" s="106"/>
      <c r="AL284" s="74"/>
      <c r="AM284" s="73"/>
      <c r="AN284" s="73"/>
      <c r="AO284" s="102"/>
      <c r="AP284" s="73"/>
      <c r="AQ284" s="73"/>
      <c r="AR284" s="74"/>
      <c r="AS284" s="73"/>
      <c r="AT284" s="73"/>
      <c r="AU284" s="73"/>
      <c r="AV284" s="73"/>
      <c r="AW284" s="73"/>
      <c r="AX284" s="74"/>
      <c r="AY284" s="73"/>
      <c r="AZ284" s="73"/>
      <c r="BA284" s="74"/>
      <c r="BB284" s="73"/>
      <c r="BC284" s="73"/>
      <c r="BD284" s="73"/>
      <c r="BE284" s="73"/>
      <c r="BF284" s="73"/>
      <c r="BG284" s="73"/>
      <c r="BH284" s="73"/>
      <c r="BI284" s="73"/>
      <c r="BJ284" s="73"/>
      <c r="BK284" s="73"/>
      <c r="BL284" s="73"/>
      <c r="BM284" s="73"/>
      <c r="BN284" s="73"/>
      <c r="BO284" s="73"/>
      <c r="BP284" s="73"/>
      <c r="BQ284" s="73"/>
      <c r="BR284" s="73"/>
      <c r="BS284" s="73"/>
      <c r="BT284" s="74"/>
      <c r="BU284" s="73"/>
      <c r="BV284" s="73"/>
      <c r="BW284" s="73"/>
      <c r="BX284" s="73"/>
      <c r="BY284" s="73"/>
      <c r="BZ284" s="73"/>
      <c r="CA284" s="73"/>
      <c r="CB284" s="73"/>
      <c r="CC284" s="73"/>
      <c r="CD284" s="73"/>
      <c r="CE284" s="73"/>
    </row>
    <row r="285">
      <c r="A285" s="73"/>
      <c r="B285" s="73"/>
      <c r="C285" s="73"/>
      <c r="D285" s="74"/>
      <c r="E285" s="73"/>
      <c r="F285" s="73"/>
      <c r="G285" s="73"/>
      <c r="H285" s="73"/>
      <c r="I285" s="73"/>
      <c r="J285" s="73"/>
      <c r="K285" s="92"/>
      <c r="L285" s="73"/>
      <c r="M285" s="73"/>
      <c r="N285" s="73"/>
      <c r="O285" s="73"/>
      <c r="P285" s="73"/>
      <c r="Q285" s="75"/>
      <c r="R285" s="82"/>
      <c r="S285" s="73"/>
      <c r="T285" s="73"/>
      <c r="U285" s="73"/>
      <c r="V285" s="73"/>
      <c r="W285" s="73"/>
      <c r="X285" s="73"/>
      <c r="Y285" s="77"/>
      <c r="Z285" s="104"/>
      <c r="AA285" s="73"/>
      <c r="AB285" s="104"/>
      <c r="AC285" s="104"/>
      <c r="AD285" s="74"/>
      <c r="AE285" s="106"/>
      <c r="AF285" s="195"/>
      <c r="AG285" s="80"/>
      <c r="AH285" s="104"/>
      <c r="AI285" s="73"/>
      <c r="AJ285" s="114"/>
      <c r="AK285" s="106"/>
      <c r="AL285" s="74"/>
      <c r="AM285" s="73"/>
      <c r="AN285" s="73"/>
      <c r="AO285" s="102"/>
      <c r="AP285" s="73"/>
      <c r="AQ285" s="73"/>
      <c r="AR285" s="74"/>
      <c r="AS285" s="73"/>
      <c r="AT285" s="73"/>
      <c r="AU285" s="73"/>
      <c r="AV285" s="73"/>
      <c r="AW285" s="73"/>
      <c r="AX285" s="74"/>
      <c r="AY285" s="73"/>
      <c r="AZ285" s="73"/>
      <c r="BA285" s="74"/>
      <c r="BB285" s="73"/>
      <c r="BC285" s="73"/>
      <c r="BD285" s="73"/>
      <c r="BE285" s="73"/>
      <c r="BF285" s="73"/>
      <c r="BG285" s="73"/>
      <c r="BH285" s="73"/>
      <c r="BI285" s="73"/>
      <c r="BJ285" s="73"/>
      <c r="BK285" s="73"/>
      <c r="BL285" s="73"/>
      <c r="BM285" s="73"/>
      <c r="BN285" s="73"/>
      <c r="BO285" s="73"/>
      <c r="BP285" s="73"/>
      <c r="BQ285" s="73"/>
      <c r="BR285" s="73"/>
      <c r="BS285" s="73"/>
      <c r="BT285" s="74"/>
      <c r="BU285" s="73"/>
      <c r="BV285" s="73"/>
      <c r="BW285" s="73"/>
      <c r="BX285" s="73"/>
      <c r="BY285" s="73"/>
      <c r="BZ285" s="73"/>
      <c r="CA285" s="73"/>
      <c r="CB285" s="73"/>
      <c r="CC285" s="73"/>
      <c r="CD285" s="73"/>
      <c r="CE285" s="73"/>
    </row>
    <row r="286">
      <c r="A286" s="73"/>
      <c r="B286" s="73"/>
      <c r="C286" s="73"/>
      <c r="D286" s="74"/>
      <c r="E286" s="73"/>
      <c r="F286" s="73"/>
      <c r="G286" s="73"/>
      <c r="H286" s="73"/>
      <c r="I286" s="73"/>
      <c r="J286" s="73"/>
      <c r="K286" s="92"/>
      <c r="L286" s="73"/>
      <c r="M286" s="73"/>
      <c r="N286" s="73"/>
      <c r="O286" s="73"/>
      <c r="P286" s="73"/>
      <c r="Q286" s="75"/>
      <c r="R286" s="82"/>
      <c r="S286" s="73"/>
      <c r="T286" s="73"/>
      <c r="U286" s="73"/>
      <c r="V286" s="73"/>
      <c r="W286" s="73"/>
      <c r="X286" s="73"/>
      <c r="Y286" s="77"/>
      <c r="Z286" s="104"/>
      <c r="AA286" s="73"/>
      <c r="AB286" s="104"/>
      <c r="AC286" s="104"/>
      <c r="AD286" s="74"/>
      <c r="AE286" s="106"/>
      <c r="AF286" s="195"/>
      <c r="AG286" s="80"/>
      <c r="AH286" s="104"/>
      <c r="AI286" s="73"/>
      <c r="AJ286" s="114"/>
      <c r="AK286" s="106"/>
      <c r="AL286" s="74"/>
      <c r="AM286" s="73"/>
      <c r="AN286" s="73"/>
      <c r="AO286" s="102"/>
      <c r="AP286" s="73"/>
      <c r="AQ286" s="73"/>
      <c r="AR286" s="74"/>
      <c r="AS286" s="73"/>
      <c r="AT286" s="73"/>
      <c r="AU286" s="73"/>
      <c r="AV286" s="73"/>
      <c r="AW286" s="73"/>
      <c r="AX286" s="74"/>
      <c r="AY286" s="73"/>
      <c r="AZ286" s="73"/>
      <c r="BA286" s="74"/>
      <c r="BB286" s="73"/>
      <c r="BC286" s="73"/>
      <c r="BD286" s="73"/>
      <c r="BE286" s="73"/>
      <c r="BF286" s="73"/>
      <c r="BG286" s="73"/>
      <c r="BH286" s="73"/>
      <c r="BI286" s="73"/>
      <c r="BJ286" s="73"/>
      <c r="BK286" s="73"/>
      <c r="BL286" s="73"/>
      <c r="BM286" s="73"/>
      <c r="BN286" s="73"/>
      <c r="BO286" s="73"/>
      <c r="BP286" s="73"/>
      <c r="BQ286" s="73"/>
      <c r="BR286" s="73"/>
      <c r="BS286" s="73"/>
      <c r="BT286" s="74"/>
      <c r="BU286" s="73"/>
      <c r="BV286" s="73"/>
      <c r="BW286" s="73"/>
      <c r="BX286" s="73"/>
      <c r="BY286" s="73"/>
      <c r="BZ286" s="73"/>
      <c r="CA286" s="73"/>
      <c r="CB286" s="73"/>
      <c r="CC286" s="73"/>
      <c r="CD286" s="73"/>
      <c r="CE286" s="73"/>
    </row>
    <row r="287">
      <c r="A287" s="73"/>
      <c r="B287" s="73"/>
      <c r="C287" s="73"/>
      <c r="D287" s="74"/>
      <c r="E287" s="73"/>
      <c r="F287" s="73"/>
      <c r="G287" s="73"/>
      <c r="H287" s="73"/>
      <c r="I287" s="73"/>
      <c r="J287" s="73"/>
      <c r="K287" s="92"/>
      <c r="L287" s="73"/>
      <c r="M287" s="73"/>
      <c r="N287" s="73"/>
      <c r="O287" s="73"/>
      <c r="P287" s="73"/>
      <c r="Q287" s="75"/>
      <c r="R287" s="82"/>
      <c r="S287" s="73"/>
      <c r="T287" s="73"/>
      <c r="U287" s="73"/>
      <c r="V287" s="73"/>
      <c r="W287" s="73"/>
      <c r="X287" s="73"/>
      <c r="Y287" s="77"/>
      <c r="Z287" s="104"/>
      <c r="AA287" s="73"/>
      <c r="AB287" s="104"/>
      <c r="AC287" s="104"/>
      <c r="AD287" s="74"/>
      <c r="AE287" s="106"/>
      <c r="AF287" s="195"/>
      <c r="AG287" s="80"/>
      <c r="AH287" s="104"/>
      <c r="AI287" s="73"/>
      <c r="AJ287" s="114"/>
      <c r="AK287" s="106"/>
      <c r="AL287" s="74"/>
      <c r="AM287" s="73"/>
      <c r="AN287" s="73"/>
      <c r="AO287" s="102"/>
      <c r="AP287" s="73"/>
      <c r="AQ287" s="73"/>
      <c r="AR287" s="74"/>
      <c r="AS287" s="73"/>
      <c r="AT287" s="73"/>
      <c r="AU287" s="73"/>
      <c r="AV287" s="73"/>
      <c r="AW287" s="73"/>
      <c r="AX287" s="74"/>
      <c r="AY287" s="73"/>
      <c r="AZ287" s="73"/>
      <c r="BA287" s="74"/>
      <c r="BB287" s="73"/>
      <c r="BC287" s="73"/>
      <c r="BD287" s="73"/>
      <c r="BE287" s="73"/>
      <c r="BF287" s="73"/>
      <c r="BG287" s="73"/>
      <c r="BH287" s="73"/>
      <c r="BI287" s="73"/>
      <c r="BJ287" s="73"/>
      <c r="BK287" s="73"/>
      <c r="BL287" s="73"/>
      <c r="BM287" s="73"/>
      <c r="BN287" s="73"/>
      <c r="BO287" s="73"/>
      <c r="BP287" s="73"/>
      <c r="BQ287" s="73"/>
      <c r="BR287" s="73"/>
      <c r="BS287" s="73"/>
      <c r="BT287" s="74"/>
      <c r="BU287" s="73"/>
      <c r="BV287" s="73"/>
      <c r="BW287" s="73"/>
      <c r="BX287" s="73"/>
      <c r="BY287" s="73"/>
      <c r="BZ287" s="73"/>
      <c r="CA287" s="73"/>
      <c r="CB287" s="73"/>
      <c r="CC287" s="73"/>
      <c r="CD287" s="73"/>
      <c r="CE287" s="73"/>
    </row>
    <row r="288">
      <c r="A288" s="73"/>
      <c r="B288" s="73"/>
      <c r="C288" s="73"/>
      <c r="D288" s="74"/>
      <c r="E288" s="73"/>
      <c r="F288" s="73"/>
      <c r="G288" s="73"/>
      <c r="H288" s="73"/>
      <c r="I288" s="73"/>
      <c r="J288" s="73"/>
      <c r="K288" s="92"/>
      <c r="L288" s="73"/>
      <c r="M288" s="73"/>
      <c r="N288" s="73"/>
      <c r="O288" s="73"/>
      <c r="P288" s="73"/>
      <c r="Q288" s="75"/>
      <c r="R288" s="82"/>
      <c r="S288" s="73"/>
      <c r="T288" s="73"/>
      <c r="U288" s="73"/>
      <c r="V288" s="73"/>
      <c r="W288" s="73"/>
      <c r="X288" s="73"/>
      <c r="Y288" s="77"/>
      <c r="Z288" s="104"/>
      <c r="AA288" s="73"/>
      <c r="AB288" s="104"/>
      <c r="AC288" s="104"/>
      <c r="AD288" s="74"/>
      <c r="AE288" s="106"/>
      <c r="AF288" s="195"/>
      <c r="AG288" s="80"/>
      <c r="AH288" s="104"/>
      <c r="AI288" s="73"/>
      <c r="AJ288" s="114"/>
      <c r="AK288" s="106"/>
      <c r="AL288" s="74"/>
      <c r="AM288" s="73"/>
      <c r="AN288" s="73"/>
      <c r="AO288" s="102"/>
      <c r="AP288" s="73"/>
      <c r="AQ288" s="73"/>
      <c r="AR288" s="74"/>
      <c r="AS288" s="73"/>
      <c r="AT288" s="73"/>
      <c r="AU288" s="73"/>
      <c r="AV288" s="73"/>
      <c r="AW288" s="73"/>
      <c r="AX288" s="74"/>
      <c r="AY288" s="73"/>
      <c r="AZ288" s="73"/>
      <c r="BA288" s="74"/>
      <c r="BB288" s="73"/>
      <c r="BC288" s="73"/>
      <c r="BD288" s="73"/>
      <c r="BE288" s="73"/>
      <c r="BF288" s="73"/>
      <c r="BG288" s="73"/>
      <c r="BH288" s="73"/>
      <c r="BI288" s="73"/>
      <c r="BJ288" s="73"/>
      <c r="BK288" s="73"/>
      <c r="BL288" s="73"/>
      <c r="BM288" s="73"/>
      <c r="BN288" s="73"/>
      <c r="BO288" s="73"/>
      <c r="BP288" s="73"/>
      <c r="BQ288" s="73"/>
      <c r="BR288" s="73"/>
      <c r="BS288" s="73"/>
      <c r="BT288" s="74"/>
      <c r="BU288" s="73"/>
      <c r="BV288" s="73"/>
      <c r="BW288" s="73"/>
      <c r="BX288" s="73"/>
      <c r="BY288" s="73"/>
      <c r="BZ288" s="73"/>
      <c r="CA288" s="73"/>
      <c r="CB288" s="73"/>
      <c r="CC288" s="73"/>
      <c r="CD288" s="73"/>
      <c r="CE288" s="73"/>
    </row>
    <row r="289">
      <c r="A289" s="73"/>
      <c r="B289" s="73"/>
      <c r="C289" s="73"/>
      <c r="D289" s="74"/>
      <c r="E289" s="73"/>
      <c r="F289" s="73"/>
      <c r="G289" s="73"/>
      <c r="H289" s="73"/>
      <c r="I289" s="73"/>
      <c r="J289" s="73"/>
      <c r="K289" s="92"/>
      <c r="L289" s="73"/>
      <c r="M289" s="73"/>
      <c r="N289" s="73"/>
      <c r="O289" s="73"/>
      <c r="P289" s="73"/>
      <c r="Q289" s="75"/>
      <c r="R289" s="82"/>
      <c r="S289" s="73"/>
      <c r="T289" s="73"/>
      <c r="U289" s="73"/>
      <c r="V289" s="73"/>
      <c r="W289" s="73"/>
      <c r="X289" s="73"/>
      <c r="Y289" s="77"/>
      <c r="Z289" s="104"/>
      <c r="AA289" s="73"/>
      <c r="AB289" s="104"/>
      <c r="AC289" s="104"/>
      <c r="AD289" s="74"/>
      <c r="AE289" s="106"/>
      <c r="AF289" s="195"/>
      <c r="AG289" s="80"/>
      <c r="AH289" s="104"/>
      <c r="AI289" s="73"/>
      <c r="AJ289" s="114"/>
      <c r="AK289" s="106"/>
      <c r="AL289" s="74"/>
      <c r="AM289" s="73"/>
      <c r="AN289" s="73"/>
      <c r="AO289" s="102"/>
      <c r="AP289" s="73"/>
      <c r="AQ289" s="73"/>
      <c r="AR289" s="74"/>
      <c r="AS289" s="73"/>
      <c r="AT289" s="73"/>
      <c r="AU289" s="73"/>
      <c r="AV289" s="73"/>
      <c r="AW289" s="73"/>
      <c r="AX289" s="74"/>
      <c r="AY289" s="73"/>
      <c r="AZ289" s="73"/>
      <c r="BA289" s="74"/>
      <c r="BB289" s="73"/>
      <c r="BC289" s="73"/>
      <c r="BD289" s="73"/>
      <c r="BE289" s="73"/>
      <c r="BF289" s="73"/>
      <c r="BG289" s="73"/>
      <c r="BH289" s="73"/>
      <c r="BI289" s="73"/>
      <c r="BJ289" s="73"/>
      <c r="BK289" s="73"/>
      <c r="BL289" s="73"/>
      <c r="BM289" s="73"/>
      <c r="BN289" s="73"/>
      <c r="BO289" s="73"/>
      <c r="BP289" s="73"/>
      <c r="BQ289" s="73"/>
      <c r="BR289" s="73"/>
      <c r="BS289" s="73"/>
      <c r="BT289" s="74"/>
      <c r="BU289" s="73"/>
      <c r="BV289" s="73"/>
      <c r="BW289" s="73"/>
      <c r="BX289" s="73"/>
      <c r="BY289" s="73"/>
      <c r="BZ289" s="73"/>
      <c r="CA289" s="73"/>
      <c r="CB289" s="73"/>
      <c r="CC289" s="73"/>
      <c r="CD289" s="73"/>
      <c r="CE289" s="73"/>
    </row>
    <row r="290">
      <c r="A290" s="73"/>
      <c r="B290" s="73"/>
      <c r="C290" s="73"/>
      <c r="D290" s="74"/>
      <c r="E290" s="73"/>
      <c r="F290" s="73"/>
      <c r="G290" s="73"/>
      <c r="H290" s="73"/>
      <c r="I290" s="73"/>
      <c r="J290" s="73"/>
      <c r="K290" s="92"/>
      <c r="L290" s="73"/>
      <c r="M290" s="73"/>
      <c r="N290" s="73"/>
      <c r="O290" s="73"/>
      <c r="P290" s="73"/>
      <c r="Q290" s="75"/>
      <c r="R290" s="82"/>
      <c r="S290" s="73"/>
      <c r="T290" s="73"/>
      <c r="U290" s="73"/>
      <c r="V290" s="73"/>
      <c r="W290" s="73"/>
      <c r="X290" s="73"/>
      <c r="Y290" s="77"/>
      <c r="Z290" s="104"/>
      <c r="AA290" s="73"/>
      <c r="AB290" s="104"/>
      <c r="AC290" s="104"/>
      <c r="AD290" s="74"/>
      <c r="AE290" s="106"/>
      <c r="AF290" s="195"/>
      <c r="AG290" s="80"/>
      <c r="AH290" s="104"/>
      <c r="AI290" s="73"/>
      <c r="AJ290" s="114"/>
      <c r="AK290" s="106"/>
      <c r="AL290" s="74"/>
      <c r="AM290" s="73"/>
      <c r="AN290" s="73"/>
      <c r="AO290" s="102"/>
      <c r="AP290" s="73"/>
      <c r="AQ290" s="73"/>
      <c r="AR290" s="74"/>
      <c r="AS290" s="73"/>
      <c r="AT290" s="73"/>
      <c r="AU290" s="73"/>
      <c r="AV290" s="73"/>
      <c r="AW290" s="73"/>
      <c r="AX290" s="74"/>
      <c r="AY290" s="73"/>
      <c r="AZ290" s="73"/>
      <c r="BA290" s="74"/>
      <c r="BB290" s="73"/>
      <c r="BC290" s="73"/>
      <c r="BD290" s="73"/>
      <c r="BE290" s="73"/>
      <c r="BF290" s="73"/>
      <c r="BG290" s="73"/>
      <c r="BH290" s="73"/>
      <c r="BI290" s="73"/>
      <c r="BJ290" s="73"/>
      <c r="BK290" s="73"/>
      <c r="BL290" s="73"/>
      <c r="BM290" s="73"/>
      <c r="BN290" s="73"/>
      <c r="BO290" s="73"/>
      <c r="BP290" s="73"/>
      <c r="BQ290" s="73"/>
      <c r="BR290" s="73"/>
      <c r="BS290" s="73"/>
      <c r="BT290" s="74"/>
      <c r="BU290" s="73"/>
      <c r="BV290" s="73"/>
      <c r="BW290" s="73"/>
      <c r="BX290" s="73"/>
      <c r="BY290" s="73"/>
      <c r="BZ290" s="73"/>
      <c r="CA290" s="73"/>
      <c r="CB290" s="73"/>
      <c r="CC290" s="73"/>
      <c r="CD290" s="73"/>
      <c r="CE290" s="73"/>
    </row>
    <row r="291">
      <c r="A291" s="73"/>
      <c r="B291" s="73"/>
      <c r="C291" s="73"/>
      <c r="D291" s="74"/>
      <c r="E291" s="73"/>
      <c r="F291" s="73"/>
      <c r="G291" s="73"/>
      <c r="H291" s="73"/>
      <c r="I291" s="73"/>
      <c r="J291" s="73"/>
      <c r="K291" s="92"/>
      <c r="L291" s="73"/>
      <c r="M291" s="73"/>
      <c r="N291" s="73"/>
      <c r="O291" s="73"/>
      <c r="P291" s="73"/>
      <c r="Q291" s="75"/>
      <c r="R291" s="82"/>
      <c r="S291" s="73"/>
      <c r="T291" s="73"/>
      <c r="U291" s="73"/>
      <c r="V291" s="73"/>
      <c r="W291" s="73"/>
      <c r="X291" s="73"/>
      <c r="Y291" s="77"/>
      <c r="Z291" s="104"/>
      <c r="AA291" s="73"/>
      <c r="AB291" s="104"/>
      <c r="AC291" s="104"/>
      <c r="AD291" s="74"/>
      <c r="AE291" s="106"/>
      <c r="AF291" s="195"/>
      <c r="AG291" s="80"/>
      <c r="AH291" s="104"/>
      <c r="AI291" s="73"/>
      <c r="AJ291" s="114"/>
      <c r="AK291" s="106"/>
      <c r="AL291" s="74"/>
      <c r="AM291" s="73"/>
      <c r="AN291" s="73"/>
      <c r="AO291" s="102"/>
      <c r="AP291" s="73"/>
      <c r="AQ291" s="73"/>
      <c r="AR291" s="74"/>
      <c r="AS291" s="73"/>
      <c r="AT291" s="73"/>
      <c r="AU291" s="73"/>
      <c r="AV291" s="73"/>
      <c r="AW291" s="73"/>
      <c r="AX291" s="74"/>
      <c r="AY291" s="73"/>
      <c r="AZ291" s="73"/>
      <c r="BA291" s="74"/>
      <c r="BB291" s="73"/>
      <c r="BC291" s="73"/>
      <c r="BD291" s="73"/>
      <c r="BE291" s="73"/>
      <c r="BF291" s="73"/>
      <c r="BG291" s="73"/>
      <c r="BH291" s="73"/>
      <c r="BI291" s="73"/>
      <c r="BJ291" s="73"/>
      <c r="BK291" s="73"/>
      <c r="BL291" s="73"/>
      <c r="BM291" s="73"/>
      <c r="BN291" s="73"/>
      <c r="BO291" s="73"/>
      <c r="BP291" s="73"/>
      <c r="BQ291" s="73"/>
      <c r="BR291" s="73"/>
      <c r="BS291" s="73"/>
      <c r="BT291" s="74"/>
      <c r="BU291" s="73"/>
      <c r="BV291" s="73"/>
      <c r="BW291" s="73"/>
      <c r="BX291" s="73"/>
      <c r="BY291" s="73"/>
      <c r="BZ291" s="73"/>
      <c r="CA291" s="73"/>
      <c r="CB291" s="73"/>
      <c r="CC291" s="73"/>
      <c r="CD291" s="73"/>
      <c r="CE291" s="73"/>
    </row>
    <row r="292">
      <c r="A292" s="131"/>
      <c r="B292" s="73"/>
      <c r="C292" s="73"/>
      <c r="D292" s="74"/>
      <c r="E292" s="73"/>
      <c r="F292" s="73"/>
      <c r="G292" s="73"/>
      <c r="H292" s="73"/>
      <c r="I292" s="73"/>
      <c r="J292" s="73"/>
      <c r="K292" s="92"/>
      <c r="L292" s="73"/>
      <c r="M292" s="73"/>
      <c r="N292" s="73"/>
      <c r="O292" s="73"/>
      <c r="P292" s="73"/>
      <c r="Q292" s="75"/>
      <c r="R292" s="82"/>
      <c r="S292" s="73"/>
      <c r="T292" s="73"/>
      <c r="U292" s="73"/>
      <c r="V292" s="73"/>
      <c r="W292" s="73"/>
      <c r="X292" s="73"/>
      <c r="Y292" s="77"/>
      <c r="Z292" s="104"/>
      <c r="AA292" s="73"/>
      <c r="AB292" s="104"/>
      <c r="AC292" s="104"/>
      <c r="AD292" s="74"/>
      <c r="AE292" s="106"/>
      <c r="AF292" s="195"/>
      <c r="AG292" s="80"/>
      <c r="AH292" s="104"/>
      <c r="AI292" s="73"/>
      <c r="AJ292" s="114"/>
      <c r="AK292" s="106"/>
      <c r="AL292" s="74"/>
      <c r="AM292" s="73"/>
      <c r="AN292" s="73"/>
      <c r="AO292" s="102"/>
      <c r="AP292" s="73"/>
      <c r="AQ292" s="73"/>
      <c r="AR292" s="74"/>
      <c r="AS292" s="73"/>
      <c r="AT292" s="73"/>
      <c r="AU292" s="73"/>
      <c r="AV292" s="73"/>
      <c r="AW292" s="73"/>
      <c r="AX292" s="74"/>
      <c r="AY292" s="73"/>
      <c r="AZ292" s="73"/>
      <c r="BA292" s="74"/>
      <c r="BB292" s="73"/>
      <c r="BC292" s="73"/>
      <c r="BD292" s="73"/>
      <c r="BE292" s="73"/>
      <c r="BF292" s="73"/>
      <c r="BG292" s="73"/>
      <c r="BH292" s="73"/>
      <c r="BI292" s="73"/>
      <c r="BJ292" s="73"/>
      <c r="BK292" s="73"/>
      <c r="BL292" s="73"/>
      <c r="BM292" s="73"/>
      <c r="BN292" s="73"/>
      <c r="BO292" s="73"/>
      <c r="BP292" s="73"/>
      <c r="BQ292" s="73"/>
      <c r="BR292" s="73"/>
      <c r="BS292" s="73"/>
      <c r="BT292" s="74"/>
      <c r="BU292" s="73"/>
      <c r="BV292" s="73"/>
      <c r="BW292" s="73"/>
      <c r="BX292" s="73"/>
      <c r="BY292" s="73"/>
      <c r="BZ292" s="73"/>
      <c r="CA292" s="73"/>
      <c r="CB292" s="73"/>
      <c r="CC292" s="73"/>
      <c r="CD292" s="73"/>
      <c r="CE292" s="73"/>
    </row>
    <row r="293">
      <c r="A293" s="73"/>
      <c r="B293" s="73"/>
      <c r="C293" s="73"/>
      <c r="D293" s="74"/>
      <c r="E293" s="73"/>
      <c r="F293" s="73"/>
      <c r="G293" s="73"/>
      <c r="H293" s="73"/>
      <c r="I293" s="73"/>
      <c r="J293" s="73"/>
      <c r="K293" s="92"/>
      <c r="L293" s="73"/>
      <c r="M293" s="73"/>
      <c r="N293" s="73"/>
      <c r="O293" s="73"/>
      <c r="P293" s="73"/>
      <c r="Q293" s="75"/>
      <c r="R293" s="82"/>
      <c r="S293" s="73"/>
      <c r="T293" s="73"/>
      <c r="U293" s="73"/>
      <c r="V293" s="73"/>
      <c r="W293" s="73"/>
      <c r="X293" s="73"/>
      <c r="Y293" s="77"/>
      <c r="Z293" s="104"/>
      <c r="AA293" s="73"/>
      <c r="AB293" s="104"/>
      <c r="AC293" s="104"/>
      <c r="AD293" s="74"/>
      <c r="AE293" s="106"/>
      <c r="AF293" s="195"/>
      <c r="AG293" s="80"/>
      <c r="AH293" s="104"/>
      <c r="AI293" s="73"/>
      <c r="AJ293" s="114"/>
      <c r="AK293" s="106"/>
      <c r="AL293" s="74"/>
      <c r="AM293" s="73"/>
      <c r="AN293" s="73"/>
      <c r="AO293" s="102"/>
      <c r="AP293" s="73"/>
      <c r="AQ293" s="73"/>
      <c r="AR293" s="74"/>
      <c r="AS293" s="73"/>
      <c r="AT293" s="73"/>
      <c r="AU293" s="73"/>
      <c r="AV293" s="73"/>
      <c r="AW293" s="73"/>
      <c r="AX293" s="74"/>
      <c r="AY293" s="73"/>
      <c r="AZ293" s="73"/>
      <c r="BA293" s="74"/>
      <c r="BB293" s="73"/>
      <c r="BC293" s="73"/>
      <c r="BD293" s="73"/>
      <c r="BE293" s="73"/>
      <c r="BF293" s="73"/>
      <c r="BG293" s="73"/>
      <c r="BH293" s="73"/>
      <c r="BI293" s="73"/>
      <c r="BJ293" s="73"/>
      <c r="BK293" s="73"/>
      <c r="BL293" s="73"/>
      <c r="BM293" s="73"/>
      <c r="BN293" s="73"/>
      <c r="BO293" s="73"/>
      <c r="BP293" s="73"/>
      <c r="BQ293" s="73"/>
      <c r="BR293" s="73"/>
      <c r="BS293" s="73"/>
      <c r="BT293" s="74"/>
      <c r="BU293" s="73"/>
      <c r="BV293" s="73"/>
      <c r="BW293" s="73"/>
      <c r="BX293" s="73"/>
      <c r="BY293" s="73"/>
      <c r="BZ293" s="73"/>
      <c r="CA293" s="73"/>
      <c r="CB293" s="73"/>
      <c r="CC293" s="73"/>
      <c r="CD293" s="73"/>
      <c r="CE293" s="73"/>
    </row>
    <row r="294">
      <c r="A294" s="73"/>
      <c r="B294" s="73"/>
      <c r="C294" s="73"/>
      <c r="D294" s="74"/>
      <c r="E294" s="73"/>
      <c r="F294" s="73"/>
      <c r="G294" s="73"/>
      <c r="H294" s="73"/>
      <c r="I294" s="73"/>
      <c r="J294" s="73"/>
      <c r="K294" s="92"/>
      <c r="L294" s="73"/>
      <c r="M294" s="73"/>
      <c r="N294" s="73"/>
      <c r="O294" s="73"/>
      <c r="P294" s="73"/>
      <c r="Q294" s="75"/>
      <c r="R294" s="82"/>
      <c r="S294" s="73"/>
      <c r="T294" s="73"/>
      <c r="U294" s="73"/>
      <c r="V294" s="73"/>
      <c r="W294" s="73"/>
      <c r="X294" s="73"/>
      <c r="Y294" s="77"/>
      <c r="Z294" s="104"/>
      <c r="AA294" s="73"/>
      <c r="AB294" s="104"/>
      <c r="AC294" s="104"/>
      <c r="AD294" s="74"/>
      <c r="AE294" s="106"/>
      <c r="AF294" s="195"/>
      <c r="AG294" s="80"/>
      <c r="AH294" s="104"/>
      <c r="AI294" s="73"/>
      <c r="AJ294" s="114"/>
      <c r="AK294" s="106"/>
      <c r="AL294" s="74"/>
      <c r="AM294" s="73"/>
      <c r="AN294" s="73"/>
      <c r="AO294" s="102"/>
      <c r="AP294" s="73"/>
      <c r="AQ294" s="73"/>
      <c r="AR294" s="74"/>
      <c r="AS294" s="73"/>
      <c r="AT294" s="73"/>
      <c r="AU294" s="73"/>
      <c r="AV294" s="73"/>
      <c r="AW294" s="73"/>
      <c r="AX294" s="74"/>
      <c r="AY294" s="73"/>
      <c r="AZ294" s="73"/>
      <c r="BA294" s="74"/>
      <c r="BB294" s="73"/>
      <c r="BC294" s="73"/>
      <c r="BD294" s="73"/>
      <c r="BE294" s="73"/>
      <c r="BF294" s="73"/>
      <c r="BG294" s="73"/>
      <c r="BH294" s="73"/>
      <c r="BI294" s="73"/>
      <c r="BJ294" s="73"/>
      <c r="BK294" s="73"/>
      <c r="BL294" s="73"/>
      <c r="BM294" s="73"/>
      <c r="BN294" s="73"/>
      <c r="BO294" s="73"/>
      <c r="BP294" s="73"/>
      <c r="BQ294" s="73"/>
      <c r="BR294" s="73"/>
      <c r="BS294" s="73"/>
      <c r="BT294" s="74"/>
      <c r="BU294" s="73"/>
      <c r="BV294" s="73"/>
      <c r="BW294" s="73"/>
      <c r="BX294" s="73"/>
      <c r="BY294" s="73"/>
      <c r="BZ294" s="73"/>
      <c r="CA294" s="73"/>
      <c r="CB294" s="73"/>
      <c r="CC294" s="73"/>
      <c r="CD294" s="73"/>
      <c r="CE294" s="73"/>
    </row>
    <row r="295">
      <c r="A295" s="73"/>
      <c r="B295" s="73"/>
      <c r="C295" s="73"/>
      <c r="D295" s="74"/>
      <c r="E295" s="73"/>
      <c r="F295" s="73"/>
      <c r="G295" s="73"/>
      <c r="H295" s="73"/>
      <c r="I295" s="73"/>
      <c r="J295" s="73"/>
      <c r="K295" s="92"/>
      <c r="L295" s="73"/>
      <c r="M295" s="73"/>
      <c r="N295" s="73"/>
      <c r="O295" s="73"/>
      <c r="P295" s="73"/>
      <c r="Q295" s="75"/>
      <c r="R295" s="82"/>
      <c r="S295" s="73"/>
      <c r="T295" s="73"/>
      <c r="U295" s="73"/>
      <c r="V295" s="73"/>
      <c r="W295" s="73"/>
      <c r="X295" s="73"/>
      <c r="Y295" s="77"/>
      <c r="Z295" s="104"/>
      <c r="AA295" s="73"/>
      <c r="AB295" s="104"/>
      <c r="AC295" s="104"/>
      <c r="AD295" s="74"/>
      <c r="AE295" s="106"/>
      <c r="AF295" s="195"/>
      <c r="AG295" s="80"/>
      <c r="AH295" s="104"/>
      <c r="AI295" s="73"/>
      <c r="AJ295" s="114"/>
      <c r="AK295" s="106"/>
      <c r="AL295" s="74"/>
      <c r="AM295" s="73"/>
      <c r="AN295" s="73"/>
      <c r="AO295" s="102"/>
      <c r="AP295" s="73"/>
      <c r="AQ295" s="73"/>
      <c r="AR295" s="74"/>
      <c r="AS295" s="73"/>
      <c r="AT295" s="73"/>
      <c r="AU295" s="73"/>
      <c r="AV295" s="73"/>
      <c r="AW295" s="73"/>
      <c r="AX295" s="74"/>
      <c r="AY295" s="73"/>
      <c r="AZ295" s="73"/>
      <c r="BA295" s="74"/>
      <c r="BB295" s="73"/>
      <c r="BC295" s="73"/>
      <c r="BD295" s="73"/>
      <c r="BE295" s="73"/>
      <c r="BF295" s="73"/>
      <c r="BG295" s="73"/>
      <c r="BH295" s="73"/>
      <c r="BI295" s="73"/>
      <c r="BJ295" s="73"/>
      <c r="BK295" s="73"/>
      <c r="BL295" s="73"/>
      <c r="BM295" s="73"/>
      <c r="BN295" s="73"/>
      <c r="BO295" s="73"/>
      <c r="BP295" s="73"/>
      <c r="BQ295" s="73"/>
      <c r="BR295" s="73"/>
      <c r="BS295" s="73"/>
      <c r="BT295" s="74"/>
      <c r="BU295" s="73"/>
      <c r="BV295" s="73"/>
      <c r="BW295" s="73"/>
      <c r="BX295" s="73"/>
      <c r="BY295" s="73"/>
      <c r="BZ295" s="73"/>
      <c r="CA295" s="73"/>
      <c r="CB295" s="73"/>
      <c r="CC295" s="73"/>
      <c r="CD295" s="73"/>
      <c r="CE295" s="73"/>
    </row>
    <row r="296">
      <c r="A296" s="73"/>
      <c r="B296" s="73"/>
      <c r="C296" s="73"/>
      <c r="D296" s="74"/>
      <c r="E296" s="73"/>
      <c r="F296" s="73"/>
      <c r="G296" s="73"/>
      <c r="H296" s="73"/>
      <c r="I296" s="73"/>
      <c r="J296" s="73"/>
      <c r="K296" s="92"/>
      <c r="L296" s="73"/>
      <c r="M296" s="73"/>
      <c r="N296" s="73"/>
      <c r="O296" s="73"/>
      <c r="P296" s="73"/>
      <c r="Q296" s="75"/>
      <c r="R296" s="82"/>
      <c r="S296" s="73"/>
      <c r="T296" s="73"/>
      <c r="U296" s="73"/>
      <c r="V296" s="73"/>
      <c r="W296" s="73"/>
      <c r="X296" s="73"/>
      <c r="Y296" s="77"/>
      <c r="Z296" s="104"/>
      <c r="AA296" s="73"/>
      <c r="AB296" s="104"/>
      <c r="AC296" s="104"/>
      <c r="AD296" s="74"/>
      <c r="AE296" s="106"/>
      <c r="AF296" s="195"/>
      <c r="AG296" s="80"/>
      <c r="AH296" s="104"/>
      <c r="AI296" s="73"/>
      <c r="AJ296" s="114"/>
      <c r="AK296" s="106"/>
      <c r="AL296" s="74"/>
      <c r="AM296" s="73"/>
      <c r="AN296" s="73"/>
      <c r="AO296" s="102"/>
      <c r="AP296" s="73"/>
      <c r="AQ296" s="73"/>
      <c r="AR296" s="74"/>
      <c r="AS296" s="73"/>
      <c r="AT296" s="73"/>
      <c r="AU296" s="73"/>
      <c r="AV296" s="73"/>
      <c r="AW296" s="73"/>
      <c r="AX296" s="74"/>
      <c r="AY296" s="73"/>
      <c r="AZ296" s="73"/>
      <c r="BA296" s="74"/>
      <c r="BB296" s="73"/>
      <c r="BC296" s="73"/>
      <c r="BD296" s="73"/>
      <c r="BE296" s="73"/>
      <c r="BF296" s="73"/>
      <c r="BG296" s="73"/>
      <c r="BH296" s="73"/>
      <c r="BI296" s="73"/>
      <c r="BJ296" s="73"/>
      <c r="BK296" s="73"/>
      <c r="BL296" s="73"/>
      <c r="BM296" s="73"/>
      <c r="BN296" s="73"/>
      <c r="BO296" s="73"/>
      <c r="BP296" s="73"/>
      <c r="BQ296" s="73"/>
      <c r="BR296" s="73"/>
      <c r="BS296" s="73"/>
      <c r="BT296" s="74"/>
      <c r="BU296" s="73"/>
      <c r="BV296" s="73"/>
      <c r="BW296" s="73"/>
      <c r="BX296" s="73"/>
      <c r="BY296" s="73"/>
      <c r="BZ296" s="73"/>
      <c r="CA296" s="73"/>
      <c r="CB296" s="73"/>
      <c r="CC296" s="73"/>
      <c r="CD296" s="73"/>
      <c r="CE296" s="73"/>
    </row>
    <row r="297">
      <c r="A297" s="73"/>
      <c r="B297" s="73"/>
      <c r="C297" s="73"/>
      <c r="D297" s="74"/>
      <c r="E297" s="73"/>
      <c r="F297" s="73"/>
      <c r="G297" s="73"/>
      <c r="H297" s="73"/>
      <c r="I297" s="73"/>
      <c r="J297" s="73"/>
      <c r="K297" s="92"/>
      <c r="L297" s="73"/>
      <c r="M297" s="73"/>
      <c r="N297" s="73"/>
      <c r="O297" s="73"/>
      <c r="P297" s="73"/>
      <c r="Q297" s="75"/>
      <c r="R297" s="82"/>
      <c r="S297" s="73"/>
      <c r="T297" s="73"/>
      <c r="U297" s="73"/>
      <c r="V297" s="73"/>
      <c r="W297" s="73"/>
      <c r="X297" s="73"/>
      <c r="Y297" s="77"/>
      <c r="Z297" s="104"/>
      <c r="AA297" s="73"/>
      <c r="AB297" s="104"/>
      <c r="AC297" s="104"/>
      <c r="AD297" s="74"/>
      <c r="AE297" s="106"/>
      <c r="AF297" s="195"/>
      <c r="AG297" s="80"/>
      <c r="AH297" s="104"/>
      <c r="AI297" s="73"/>
      <c r="AJ297" s="114"/>
      <c r="AK297" s="106"/>
      <c r="AL297" s="74"/>
      <c r="AM297" s="73"/>
      <c r="AN297" s="73"/>
      <c r="AO297" s="102"/>
      <c r="AP297" s="73"/>
      <c r="AQ297" s="73"/>
      <c r="AR297" s="74"/>
      <c r="AS297" s="73"/>
      <c r="AT297" s="73"/>
      <c r="AU297" s="73"/>
      <c r="AV297" s="73"/>
      <c r="AW297" s="73"/>
      <c r="AX297" s="74"/>
      <c r="AY297" s="73"/>
      <c r="AZ297" s="73"/>
      <c r="BA297" s="74"/>
      <c r="BB297" s="73"/>
      <c r="BC297" s="73"/>
      <c r="BD297" s="73"/>
      <c r="BE297" s="73"/>
      <c r="BF297" s="73"/>
      <c r="BG297" s="73"/>
      <c r="BH297" s="73"/>
      <c r="BI297" s="73"/>
      <c r="BJ297" s="73"/>
      <c r="BK297" s="73"/>
      <c r="BL297" s="73"/>
      <c r="BM297" s="73"/>
      <c r="BN297" s="73"/>
      <c r="BO297" s="73"/>
      <c r="BP297" s="73"/>
      <c r="BQ297" s="73"/>
      <c r="BR297" s="73"/>
      <c r="BS297" s="73"/>
      <c r="BT297" s="74"/>
      <c r="BU297" s="73"/>
      <c r="BV297" s="73"/>
      <c r="BW297" s="73"/>
      <c r="BX297" s="73"/>
      <c r="BY297" s="73"/>
      <c r="BZ297" s="73"/>
      <c r="CA297" s="73"/>
      <c r="CB297" s="73"/>
      <c r="CC297" s="73"/>
      <c r="CD297" s="73"/>
      <c r="CE297" s="73"/>
    </row>
    <row r="298">
      <c r="A298" s="73"/>
      <c r="B298" s="73"/>
      <c r="C298" s="73"/>
      <c r="D298" s="74"/>
      <c r="E298" s="73"/>
      <c r="F298" s="73"/>
      <c r="G298" s="73"/>
      <c r="H298" s="73"/>
      <c r="I298" s="73"/>
      <c r="J298" s="73"/>
      <c r="K298" s="92"/>
      <c r="L298" s="73"/>
      <c r="M298" s="73"/>
      <c r="N298" s="73"/>
      <c r="O298" s="73"/>
      <c r="P298" s="73"/>
      <c r="Q298" s="75"/>
      <c r="R298" s="82"/>
      <c r="S298" s="73"/>
      <c r="T298" s="73"/>
      <c r="U298" s="73"/>
      <c r="V298" s="73"/>
      <c r="W298" s="73"/>
      <c r="X298" s="73"/>
      <c r="Y298" s="77"/>
      <c r="Z298" s="104"/>
      <c r="AA298" s="73"/>
      <c r="AB298" s="104"/>
      <c r="AC298" s="104"/>
      <c r="AD298" s="74"/>
      <c r="AE298" s="106"/>
      <c r="AF298" s="195"/>
      <c r="AG298" s="80"/>
      <c r="AH298" s="104"/>
      <c r="AI298" s="73"/>
      <c r="AJ298" s="114"/>
      <c r="AK298" s="106"/>
      <c r="AL298" s="74"/>
      <c r="AM298" s="73"/>
      <c r="AN298" s="73"/>
      <c r="AO298" s="102"/>
      <c r="AP298" s="73"/>
      <c r="AQ298" s="73"/>
      <c r="AR298" s="74"/>
      <c r="AS298" s="73"/>
      <c r="AT298" s="73"/>
      <c r="AU298" s="73"/>
      <c r="AV298" s="73"/>
      <c r="AW298" s="73"/>
      <c r="AX298" s="74"/>
      <c r="AY298" s="73"/>
      <c r="AZ298" s="73"/>
      <c r="BA298" s="74"/>
      <c r="BB298" s="73"/>
      <c r="BC298" s="73"/>
      <c r="BD298" s="73"/>
      <c r="BE298" s="73"/>
      <c r="BF298" s="73"/>
      <c r="BG298" s="73"/>
      <c r="BH298" s="73"/>
      <c r="BI298" s="73"/>
      <c r="BJ298" s="73"/>
      <c r="BK298" s="73"/>
      <c r="BL298" s="73"/>
      <c r="BM298" s="73"/>
      <c r="BN298" s="73"/>
      <c r="BO298" s="73"/>
      <c r="BP298" s="73"/>
      <c r="BQ298" s="73"/>
      <c r="BR298" s="73"/>
      <c r="BS298" s="73"/>
      <c r="BT298" s="74"/>
      <c r="BU298" s="73"/>
      <c r="BV298" s="73"/>
      <c r="BW298" s="73"/>
      <c r="BX298" s="73"/>
      <c r="BY298" s="73"/>
      <c r="BZ298" s="73"/>
      <c r="CA298" s="73"/>
      <c r="CB298" s="73"/>
      <c r="CC298" s="73"/>
      <c r="CD298" s="73"/>
      <c r="CE298" s="73"/>
    </row>
    <row r="299">
      <c r="A299" s="73"/>
      <c r="B299" s="73"/>
      <c r="C299" s="73"/>
      <c r="D299" s="74"/>
      <c r="E299" s="73"/>
      <c r="F299" s="73"/>
      <c r="G299" s="73"/>
      <c r="H299" s="73"/>
      <c r="I299" s="73"/>
      <c r="J299" s="73"/>
      <c r="K299" s="92"/>
      <c r="L299" s="73"/>
      <c r="M299" s="73"/>
      <c r="N299" s="73"/>
      <c r="O299" s="73"/>
      <c r="P299" s="73"/>
      <c r="Q299" s="75"/>
      <c r="R299" s="82"/>
      <c r="S299" s="73"/>
      <c r="T299" s="73"/>
      <c r="U299" s="73"/>
      <c r="V299" s="73"/>
      <c r="W299" s="73"/>
      <c r="X299" s="73"/>
      <c r="Y299" s="77"/>
      <c r="Z299" s="104"/>
      <c r="AA299" s="73"/>
      <c r="AB299" s="104"/>
      <c r="AC299" s="104"/>
      <c r="AD299" s="74"/>
      <c r="AE299" s="106"/>
      <c r="AF299" s="195"/>
      <c r="AG299" s="80"/>
      <c r="AH299" s="104"/>
      <c r="AI299" s="73"/>
      <c r="AJ299" s="114"/>
      <c r="AK299" s="106"/>
      <c r="AL299" s="74"/>
      <c r="AM299" s="73"/>
      <c r="AN299" s="73"/>
      <c r="AO299" s="102"/>
      <c r="AP299" s="73"/>
      <c r="AQ299" s="73"/>
      <c r="AR299" s="74"/>
      <c r="AS299" s="73"/>
      <c r="AT299" s="73"/>
      <c r="AU299" s="73"/>
      <c r="AV299" s="73"/>
      <c r="AW299" s="73"/>
      <c r="AX299" s="74"/>
      <c r="AY299" s="73"/>
      <c r="AZ299" s="73"/>
      <c r="BA299" s="74"/>
      <c r="BB299" s="73"/>
      <c r="BC299" s="73"/>
      <c r="BD299" s="73"/>
      <c r="BE299" s="73"/>
      <c r="BF299" s="73"/>
      <c r="BG299" s="73"/>
      <c r="BH299" s="73"/>
      <c r="BI299" s="73"/>
      <c r="BJ299" s="73"/>
      <c r="BK299" s="73"/>
      <c r="BL299" s="73"/>
      <c r="BM299" s="73"/>
      <c r="BN299" s="73"/>
      <c r="BO299" s="73"/>
      <c r="BP299" s="73"/>
      <c r="BQ299" s="73"/>
      <c r="BR299" s="73"/>
      <c r="BS299" s="73"/>
      <c r="BT299" s="74"/>
      <c r="BU299" s="73"/>
      <c r="BV299" s="73"/>
      <c r="BW299" s="73"/>
      <c r="BX299" s="73"/>
      <c r="BY299" s="73"/>
      <c r="BZ299" s="73"/>
      <c r="CA299" s="73"/>
      <c r="CB299" s="73"/>
      <c r="CC299" s="73"/>
      <c r="CD299" s="73"/>
      <c r="CE299" s="73"/>
    </row>
    <row r="300">
      <c r="A300" s="73"/>
      <c r="B300" s="73"/>
      <c r="C300" s="73"/>
      <c r="D300" s="74"/>
      <c r="E300" s="73"/>
      <c r="F300" s="73"/>
      <c r="G300" s="73"/>
      <c r="H300" s="73"/>
      <c r="I300" s="73"/>
      <c r="J300" s="73"/>
      <c r="K300" s="92"/>
      <c r="L300" s="73"/>
      <c r="M300" s="73"/>
      <c r="N300" s="73"/>
      <c r="O300" s="73"/>
      <c r="P300" s="73"/>
      <c r="Q300" s="75"/>
      <c r="R300" s="82"/>
      <c r="S300" s="73"/>
      <c r="T300" s="73"/>
      <c r="U300" s="73"/>
      <c r="V300" s="73"/>
      <c r="W300" s="73"/>
      <c r="X300" s="73"/>
      <c r="Y300" s="77"/>
      <c r="Z300" s="104"/>
      <c r="AA300" s="73"/>
      <c r="AB300" s="104"/>
      <c r="AC300" s="104"/>
      <c r="AD300" s="74"/>
      <c r="AE300" s="106"/>
      <c r="AF300" s="195"/>
      <c r="AG300" s="80"/>
      <c r="AH300" s="104"/>
      <c r="AI300" s="73"/>
      <c r="AJ300" s="114"/>
      <c r="AK300" s="106"/>
      <c r="AL300" s="74"/>
      <c r="AM300" s="73"/>
      <c r="AN300" s="73"/>
      <c r="AO300" s="102"/>
      <c r="AP300" s="73"/>
      <c r="AQ300" s="73"/>
      <c r="AR300" s="74"/>
      <c r="AS300" s="73"/>
      <c r="AT300" s="73"/>
      <c r="AU300" s="73"/>
      <c r="AV300" s="73"/>
      <c r="AW300" s="73"/>
      <c r="AX300" s="74"/>
      <c r="AY300" s="73"/>
      <c r="AZ300" s="73"/>
      <c r="BA300" s="74"/>
      <c r="BB300" s="73"/>
      <c r="BC300" s="73"/>
      <c r="BD300" s="73"/>
      <c r="BE300" s="73"/>
      <c r="BF300" s="73"/>
      <c r="BG300" s="73"/>
      <c r="BH300" s="73"/>
      <c r="BI300" s="73"/>
      <c r="BJ300" s="73"/>
      <c r="BK300" s="73"/>
      <c r="BL300" s="73"/>
      <c r="BM300" s="73"/>
      <c r="BN300" s="73"/>
      <c r="BO300" s="73"/>
      <c r="BP300" s="73"/>
      <c r="BQ300" s="73"/>
      <c r="BR300" s="73"/>
      <c r="BS300" s="73"/>
      <c r="BT300" s="74"/>
      <c r="BU300" s="73"/>
      <c r="BV300" s="73"/>
      <c r="BW300" s="73"/>
      <c r="BX300" s="73"/>
      <c r="BY300" s="73"/>
      <c r="BZ300" s="73"/>
      <c r="CA300" s="73"/>
      <c r="CB300" s="73"/>
      <c r="CC300" s="73"/>
      <c r="CD300" s="73"/>
      <c r="CE300" s="73"/>
    </row>
    <row r="301">
      <c r="A301" s="73"/>
      <c r="B301" s="73"/>
      <c r="C301" s="73"/>
      <c r="D301" s="74"/>
      <c r="E301" s="73"/>
      <c r="F301" s="73"/>
      <c r="G301" s="73"/>
      <c r="H301" s="73"/>
      <c r="I301" s="73"/>
      <c r="J301" s="73"/>
      <c r="K301" s="92"/>
      <c r="L301" s="73"/>
      <c r="M301" s="73"/>
      <c r="N301" s="73"/>
      <c r="O301" s="73"/>
      <c r="P301" s="73"/>
      <c r="Q301" s="75"/>
      <c r="R301" s="82"/>
      <c r="S301" s="73"/>
      <c r="T301" s="73"/>
      <c r="U301" s="73"/>
      <c r="V301" s="73"/>
      <c r="W301" s="73"/>
      <c r="X301" s="73"/>
      <c r="Y301" s="77"/>
      <c r="Z301" s="104"/>
      <c r="AA301" s="73"/>
      <c r="AB301" s="104"/>
      <c r="AC301" s="104"/>
      <c r="AD301" s="74"/>
      <c r="AE301" s="106"/>
      <c r="AF301" s="195"/>
      <c r="AG301" s="80"/>
      <c r="AH301" s="104"/>
      <c r="AI301" s="73"/>
      <c r="AJ301" s="114"/>
      <c r="AK301" s="106"/>
      <c r="AL301" s="74"/>
      <c r="AM301" s="73"/>
      <c r="AN301" s="73"/>
      <c r="AO301" s="102"/>
      <c r="AP301" s="73"/>
      <c r="AQ301" s="73"/>
      <c r="AR301" s="74"/>
      <c r="AS301" s="73"/>
      <c r="AT301" s="73"/>
      <c r="AU301" s="73"/>
      <c r="AV301" s="73"/>
      <c r="AW301" s="73"/>
      <c r="AX301" s="74"/>
      <c r="AY301" s="73"/>
      <c r="AZ301" s="73"/>
      <c r="BA301" s="74"/>
      <c r="BB301" s="73"/>
      <c r="BC301" s="73"/>
      <c r="BD301" s="73"/>
      <c r="BE301" s="73"/>
      <c r="BF301" s="73"/>
      <c r="BG301" s="73"/>
      <c r="BH301" s="73"/>
      <c r="BI301" s="73"/>
      <c r="BJ301" s="73"/>
      <c r="BK301" s="73"/>
      <c r="BL301" s="73"/>
      <c r="BM301" s="73"/>
      <c r="BN301" s="73"/>
      <c r="BO301" s="73"/>
      <c r="BP301" s="73"/>
      <c r="BQ301" s="73"/>
      <c r="BR301" s="73"/>
      <c r="BS301" s="73"/>
      <c r="BT301" s="74"/>
      <c r="BU301" s="73"/>
      <c r="BV301" s="73"/>
      <c r="BW301" s="73"/>
      <c r="BX301" s="73"/>
      <c r="BY301" s="73"/>
      <c r="BZ301" s="73"/>
      <c r="CA301" s="73"/>
      <c r="CB301" s="73"/>
      <c r="CC301" s="73"/>
      <c r="CD301" s="73"/>
      <c r="CE301" s="73"/>
    </row>
    <row r="302">
      <c r="A302" s="73"/>
      <c r="B302" s="73"/>
      <c r="C302" s="73"/>
      <c r="D302" s="74"/>
      <c r="E302" s="73"/>
      <c r="F302" s="73"/>
      <c r="G302" s="73"/>
      <c r="H302" s="73"/>
      <c r="I302" s="73"/>
      <c r="J302" s="73"/>
      <c r="K302" s="92"/>
      <c r="L302" s="73"/>
      <c r="M302" s="73"/>
      <c r="N302" s="73"/>
      <c r="O302" s="73"/>
      <c r="P302" s="73"/>
      <c r="Q302" s="75"/>
      <c r="R302" s="82"/>
      <c r="S302" s="73"/>
      <c r="T302" s="73"/>
      <c r="U302" s="73"/>
      <c r="V302" s="73"/>
      <c r="W302" s="73"/>
      <c r="X302" s="73"/>
      <c r="Y302" s="77"/>
      <c r="Z302" s="104"/>
      <c r="AA302" s="73"/>
      <c r="AB302" s="104"/>
      <c r="AC302" s="104"/>
      <c r="AD302" s="74"/>
      <c r="AE302" s="106"/>
      <c r="AF302" s="195"/>
      <c r="AG302" s="80"/>
      <c r="AH302" s="104"/>
      <c r="AI302" s="73"/>
      <c r="AJ302" s="114"/>
      <c r="AK302" s="106"/>
      <c r="AL302" s="74"/>
      <c r="AM302" s="73"/>
      <c r="AN302" s="73"/>
      <c r="AO302" s="102"/>
      <c r="AP302" s="73"/>
      <c r="AQ302" s="73"/>
      <c r="AR302" s="74"/>
      <c r="AS302" s="73"/>
      <c r="AT302" s="73"/>
      <c r="AU302" s="73"/>
      <c r="AV302" s="73"/>
      <c r="AW302" s="73"/>
      <c r="AX302" s="74"/>
      <c r="AY302" s="73"/>
      <c r="AZ302" s="73"/>
      <c r="BA302" s="74"/>
      <c r="BB302" s="73"/>
      <c r="BC302" s="73"/>
      <c r="BD302" s="73"/>
      <c r="BE302" s="73"/>
      <c r="BF302" s="73"/>
      <c r="BG302" s="73"/>
      <c r="BH302" s="73"/>
      <c r="BI302" s="73"/>
      <c r="BJ302" s="73"/>
      <c r="BK302" s="73"/>
      <c r="BL302" s="73"/>
      <c r="BM302" s="73"/>
      <c r="BN302" s="73"/>
      <c r="BO302" s="73"/>
      <c r="BP302" s="73"/>
      <c r="BQ302" s="73"/>
      <c r="BR302" s="73"/>
      <c r="BS302" s="73"/>
      <c r="BT302" s="74"/>
      <c r="BU302" s="73"/>
      <c r="BV302" s="73"/>
      <c r="BW302" s="73"/>
      <c r="BX302" s="73"/>
      <c r="BY302" s="73"/>
      <c r="BZ302" s="73"/>
      <c r="CA302" s="73"/>
      <c r="CB302" s="73"/>
      <c r="CC302" s="73"/>
      <c r="CD302" s="73"/>
      <c r="CE302" s="73"/>
    </row>
    <row r="303">
      <c r="A303" s="73"/>
      <c r="B303" s="73"/>
      <c r="C303" s="73"/>
      <c r="D303" s="74"/>
      <c r="E303" s="73"/>
      <c r="F303" s="73"/>
      <c r="G303" s="73"/>
      <c r="H303" s="73"/>
      <c r="I303" s="73"/>
      <c r="J303" s="73"/>
      <c r="K303" s="92"/>
      <c r="L303" s="73"/>
      <c r="M303" s="73"/>
      <c r="N303" s="73"/>
      <c r="O303" s="73"/>
      <c r="P303" s="73"/>
      <c r="Q303" s="75"/>
      <c r="R303" s="82"/>
      <c r="S303" s="73"/>
      <c r="T303" s="73"/>
      <c r="U303" s="73"/>
      <c r="V303" s="73"/>
      <c r="W303" s="73"/>
      <c r="X303" s="73"/>
      <c r="Y303" s="77"/>
      <c r="Z303" s="104"/>
      <c r="AA303" s="73"/>
      <c r="AB303" s="104"/>
      <c r="AC303" s="104"/>
      <c r="AD303" s="74"/>
      <c r="AE303" s="106"/>
      <c r="AF303" s="195"/>
      <c r="AG303" s="80"/>
      <c r="AH303" s="104"/>
      <c r="AI303" s="73"/>
      <c r="AJ303" s="114"/>
      <c r="AK303" s="106"/>
      <c r="AL303" s="74"/>
      <c r="AM303" s="73"/>
      <c r="AN303" s="73"/>
      <c r="AO303" s="102"/>
      <c r="AP303" s="73"/>
      <c r="AQ303" s="73"/>
      <c r="AR303" s="74"/>
      <c r="AS303" s="73"/>
      <c r="AT303" s="73"/>
      <c r="AU303" s="73"/>
      <c r="AV303" s="73"/>
      <c r="AW303" s="73"/>
      <c r="AX303" s="74"/>
      <c r="AY303" s="73"/>
      <c r="AZ303" s="73"/>
      <c r="BA303" s="74"/>
      <c r="BB303" s="73"/>
      <c r="BC303" s="73"/>
      <c r="BD303" s="73"/>
      <c r="BE303" s="73"/>
      <c r="BF303" s="73"/>
      <c r="BG303" s="73"/>
      <c r="BH303" s="73"/>
      <c r="BI303" s="73"/>
      <c r="BJ303" s="73"/>
      <c r="BK303" s="73"/>
      <c r="BL303" s="73"/>
      <c r="BM303" s="73"/>
      <c r="BN303" s="73"/>
      <c r="BO303" s="73"/>
      <c r="BP303" s="73"/>
      <c r="BQ303" s="73"/>
      <c r="BR303" s="73"/>
      <c r="BS303" s="73"/>
      <c r="BT303" s="74"/>
      <c r="BU303" s="73"/>
      <c r="BV303" s="73"/>
      <c r="BW303" s="73"/>
      <c r="BX303" s="73"/>
      <c r="BY303" s="73"/>
      <c r="BZ303" s="73"/>
      <c r="CA303" s="73"/>
      <c r="CB303" s="73"/>
      <c r="CC303" s="73"/>
      <c r="CD303" s="73"/>
      <c r="CE303" s="73"/>
    </row>
    <row r="304">
      <c r="A304" s="73"/>
      <c r="B304" s="73"/>
      <c r="C304" s="73"/>
      <c r="D304" s="74"/>
      <c r="E304" s="73"/>
      <c r="F304" s="73"/>
      <c r="G304" s="73"/>
      <c r="H304" s="73"/>
      <c r="I304" s="73"/>
      <c r="J304" s="73"/>
      <c r="K304" s="92"/>
      <c r="L304" s="73"/>
      <c r="M304" s="73"/>
      <c r="N304" s="73"/>
      <c r="O304" s="73"/>
      <c r="P304" s="73"/>
      <c r="Q304" s="75"/>
      <c r="R304" s="82"/>
      <c r="S304" s="73"/>
      <c r="T304" s="73"/>
      <c r="U304" s="73"/>
      <c r="V304" s="73"/>
      <c r="W304" s="73"/>
      <c r="X304" s="73"/>
      <c r="Y304" s="77"/>
      <c r="Z304" s="104"/>
      <c r="AA304" s="73"/>
      <c r="AB304" s="104"/>
      <c r="AC304" s="104"/>
      <c r="AD304" s="74"/>
      <c r="AE304" s="106"/>
      <c r="AF304" s="195"/>
      <c r="AG304" s="80"/>
      <c r="AH304" s="104"/>
      <c r="AI304" s="73"/>
      <c r="AJ304" s="114"/>
      <c r="AK304" s="106"/>
      <c r="AL304" s="74"/>
      <c r="AM304" s="73"/>
      <c r="AN304" s="73"/>
      <c r="AO304" s="102"/>
      <c r="AP304" s="73"/>
      <c r="AQ304" s="73"/>
      <c r="AR304" s="74"/>
      <c r="AS304" s="73"/>
      <c r="AT304" s="73"/>
      <c r="AU304" s="73"/>
      <c r="AV304" s="73"/>
      <c r="AW304" s="73"/>
      <c r="AX304" s="74"/>
      <c r="AY304" s="73"/>
      <c r="AZ304" s="73"/>
      <c r="BA304" s="74"/>
      <c r="BB304" s="73"/>
      <c r="BC304" s="73"/>
      <c r="BD304" s="73"/>
      <c r="BE304" s="73"/>
      <c r="BF304" s="73"/>
      <c r="BG304" s="73"/>
      <c r="BH304" s="73"/>
      <c r="BI304" s="73"/>
      <c r="BJ304" s="73"/>
      <c r="BK304" s="73"/>
      <c r="BL304" s="73"/>
      <c r="BM304" s="73"/>
      <c r="BN304" s="73"/>
      <c r="BO304" s="73"/>
      <c r="BP304" s="73"/>
      <c r="BQ304" s="73"/>
      <c r="BR304" s="73"/>
      <c r="BS304" s="73"/>
      <c r="BT304" s="74"/>
      <c r="BU304" s="73"/>
      <c r="BV304" s="73"/>
      <c r="BW304" s="73"/>
      <c r="BX304" s="73"/>
      <c r="BY304" s="73"/>
      <c r="BZ304" s="73"/>
      <c r="CA304" s="73"/>
      <c r="CB304" s="73"/>
      <c r="CC304" s="73"/>
      <c r="CD304" s="73"/>
      <c r="CE304" s="73"/>
    </row>
    <row r="305">
      <c r="A305" s="73"/>
      <c r="B305" s="73"/>
      <c r="C305" s="73"/>
      <c r="D305" s="74"/>
      <c r="E305" s="73"/>
      <c r="F305" s="73"/>
      <c r="G305" s="73"/>
      <c r="H305" s="73"/>
      <c r="I305" s="73"/>
      <c r="J305" s="73"/>
      <c r="K305" s="92"/>
      <c r="L305" s="73"/>
      <c r="M305" s="73"/>
      <c r="N305" s="73"/>
      <c r="O305" s="73"/>
      <c r="P305" s="73"/>
      <c r="Q305" s="75"/>
      <c r="R305" s="82"/>
      <c r="S305" s="73"/>
      <c r="T305" s="73"/>
      <c r="U305" s="73"/>
      <c r="V305" s="73"/>
      <c r="W305" s="73"/>
      <c r="X305" s="73"/>
      <c r="Y305" s="77"/>
      <c r="Z305" s="104"/>
      <c r="AA305" s="73"/>
      <c r="AB305" s="104"/>
      <c r="AC305" s="104"/>
      <c r="AD305" s="74"/>
      <c r="AE305" s="106"/>
      <c r="AF305" s="195"/>
      <c r="AG305" s="80"/>
      <c r="AH305" s="104"/>
      <c r="AI305" s="73"/>
      <c r="AJ305" s="114"/>
      <c r="AK305" s="106"/>
      <c r="AL305" s="74"/>
      <c r="AM305" s="73"/>
      <c r="AN305" s="73"/>
      <c r="AO305" s="102"/>
      <c r="AP305" s="73"/>
      <c r="AQ305" s="73"/>
      <c r="AR305" s="74"/>
      <c r="AS305" s="73"/>
      <c r="AT305" s="73"/>
      <c r="AU305" s="73"/>
      <c r="AV305" s="73"/>
      <c r="AW305" s="73"/>
      <c r="AX305" s="74"/>
      <c r="AY305" s="73"/>
      <c r="AZ305" s="73"/>
      <c r="BA305" s="74"/>
      <c r="BB305" s="73"/>
      <c r="BC305" s="73"/>
      <c r="BD305" s="73"/>
      <c r="BE305" s="73"/>
      <c r="BF305" s="73"/>
      <c r="BG305" s="73"/>
      <c r="BH305" s="73"/>
      <c r="BI305" s="73"/>
      <c r="BJ305" s="73"/>
      <c r="BK305" s="73"/>
      <c r="BL305" s="73"/>
      <c r="BM305" s="73"/>
      <c r="BN305" s="73"/>
      <c r="BO305" s="73"/>
      <c r="BP305" s="73"/>
      <c r="BQ305" s="73"/>
      <c r="BR305" s="73"/>
      <c r="BS305" s="73"/>
      <c r="BT305" s="74"/>
      <c r="BU305" s="73"/>
      <c r="BV305" s="73"/>
      <c r="BW305" s="73"/>
      <c r="BX305" s="73"/>
      <c r="BY305" s="73"/>
      <c r="BZ305" s="73"/>
      <c r="CA305" s="73"/>
      <c r="CB305" s="73"/>
      <c r="CC305" s="73"/>
      <c r="CD305" s="73"/>
      <c r="CE305" s="73"/>
    </row>
    <row r="306">
      <c r="A306" s="73"/>
      <c r="B306" s="73"/>
      <c r="C306" s="73"/>
      <c r="D306" s="74"/>
      <c r="E306" s="73"/>
      <c r="F306" s="73"/>
      <c r="G306" s="73"/>
      <c r="H306" s="73"/>
      <c r="I306" s="73"/>
      <c r="J306" s="73"/>
      <c r="K306" s="92"/>
      <c r="L306" s="73"/>
      <c r="M306" s="73"/>
      <c r="N306" s="73"/>
      <c r="O306" s="73"/>
      <c r="P306" s="73"/>
      <c r="Q306" s="75"/>
      <c r="R306" s="82"/>
      <c r="S306" s="73"/>
      <c r="T306" s="73"/>
      <c r="U306" s="73"/>
      <c r="V306" s="73"/>
      <c r="W306" s="73"/>
      <c r="X306" s="73"/>
      <c r="Y306" s="77"/>
      <c r="Z306" s="104"/>
      <c r="AA306" s="73"/>
      <c r="AB306" s="104"/>
      <c r="AC306" s="104"/>
      <c r="AD306" s="74"/>
      <c r="AE306" s="106"/>
      <c r="AF306" s="195"/>
      <c r="AG306" s="80"/>
      <c r="AH306" s="104"/>
      <c r="AI306" s="73"/>
      <c r="AJ306" s="114"/>
      <c r="AK306" s="106"/>
      <c r="AL306" s="74"/>
      <c r="AM306" s="73"/>
      <c r="AN306" s="73"/>
      <c r="AO306" s="102"/>
      <c r="AP306" s="73"/>
      <c r="AQ306" s="73"/>
      <c r="AR306" s="74"/>
      <c r="AS306" s="73"/>
      <c r="AT306" s="73"/>
      <c r="AU306" s="73"/>
      <c r="AV306" s="73"/>
      <c r="AW306" s="73"/>
      <c r="AX306" s="74"/>
      <c r="AY306" s="73"/>
      <c r="AZ306" s="73"/>
      <c r="BA306" s="74"/>
      <c r="BB306" s="73"/>
      <c r="BC306" s="73"/>
      <c r="BD306" s="73"/>
      <c r="BE306" s="73"/>
      <c r="BF306" s="73"/>
      <c r="BG306" s="73"/>
      <c r="BH306" s="73"/>
      <c r="BI306" s="73"/>
      <c r="BJ306" s="73"/>
      <c r="BK306" s="73"/>
      <c r="BL306" s="73"/>
      <c r="BM306" s="73"/>
      <c r="BN306" s="73"/>
      <c r="BO306" s="73"/>
      <c r="BP306" s="73"/>
      <c r="BQ306" s="73"/>
      <c r="BR306" s="73"/>
      <c r="BS306" s="73"/>
      <c r="BT306" s="74"/>
      <c r="BU306" s="73"/>
      <c r="BV306" s="73"/>
      <c r="BW306" s="73"/>
      <c r="BX306" s="73"/>
      <c r="BY306" s="73"/>
      <c r="BZ306" s="73"/>
      <c r="CA306" s="73"/>
      <c r="CB306" s="73"/>
      <c r="CC306" s="73"/>
      <c r="CD306" s="73"/>
      <c r="CE306" s="73"/>
    </row>
    <row r="307">
      <c r="A307" s="73"/>
      <c r="B307" s="73"/>
      <c r="C307" s="73"/>
      <c r="D307" s="74"/>
      <c r="E307" s="73"/>
      <c r="F307" s="73"/>
      <c r="G307" s="73"/>
      <c r="H307" s="73"/>
      <c r="I307" s="73"/>
      <c r="J307" s="73"/>
      <c r="K307" s="92"/>
      <c r="L307" s="73"/>
      <c r="M307" s="73"/>
      <c r="N307" s="73"/>
      <c r="O307" s="73"/>
      <c r="P307" s="73"/>
      <c r="Q307" s="75"/>
      <c r="R307" s="82"/>
      <c r="S307" s="73"/>
      <c r="T307" s="73"/>
      <c r="U307" s="73"/>
      <c r="V307" s="73"/>
      <c r="W307" s="73"/>
      <c r="X307" s="73"/>
      <c r="Y307" s="77"/>
      <c r="Z307" s="104"/>
      <c r="AA307" s="73"/>
      <c r="AB307" s="104"/>
      <c r="AC307" s="104"/>
      <c r="AD307" s="74"/>
      <c r="AE307" s="106"/>
      <c r="AF307" s="195"/>
      <c r="AG307" s="80"/>
      <c r="AH307" s="104"/>
      <c r="AI307" s="73"/>
      <c r="AJ307" s="114"/>
      <c r="AK307" s="106"/>
      <c r="AL307" s="74"/>
      <c r="AM307" s="73"/>
      <c r="AN307" s="73"/>
      <c r="AO307" s="102"/>
      <c r="AP307" s="73"/>
      <c r="AQ307" s="73"/>
      <c r="AR307" s="74"/>
      <c r="AS307" s="73"/>
      <c r="AT307" s="73"/>
      <c r="AU307" s="73"/>
      <c r="AV307" s="73"/>
      <c r="AW307" s="73"/>
      <c r="AX307" s="74"/>
      <c r="AY307" s="73"/>
      <c r="AZ307" s="73"/>
      <c r="BA307" s="74"/>
      <c r="BB307" s="73"/>
      <c r="BC307" s="73"/>
      <c r="BD307" s="73"/>
      <c r="BE307" s="73"/>
      <c r="BF307" s="73"/>
      <c r="BG307" s="73"/>
      <c r="BH307" s="73"/>
      <c r="BI307" s="73"/>
      <c r="BJ307" s="73"/>
      <c r="BK307" s="73"/>
      <c r="BL307" s="73"/>
      <c r="BM307" s="73"/>
      <c r="BN307" s="73"/>
      <c r="BO307" s="73"/>
      <c r="BP307" s="73"/>
      <c r="BQ307" s="73"/>
      <c r="BR307" s="73"/>
      <c r="BS307" s="73"/>
      <c r="BT307" s="74"/>
      <c r="BU307" s="73"/>
      <c r="BV307" s="73"/>
      <c r="BW307" s="73"/>
      <c r="BX307" s="73"/>
      <c r="BY307" s="73"/>
      <c r="BZ307" s="73"/>
      <c r="CA307" s="73"/>
      <c r="CB307" s="73"/>
      <c r="CC307" s="73"/>
      <c r="CD307" s="73"/>
      <c r="CE307" s="73"/>
    </row>
    <row r="308">
      <c r="A308" s="73"/>
      <c r="B308" s="73"/>
      <c r="C308" s="73"/>
      <c r="D308" s="74"/>
      <c r="E308" s="73"/>
      <c r="F308" s="73"/>
      <c r="G308" s="73"/>
      <c r="H308" s="73"/>
      <c r="I308" s="73"/>
      <c r="J308" s="73"/>
      <c r="K308" s="92"/>
      <c r="L308" s="73"/>
      <c r="M308" s="73"/>
      <c r="N308" s="73"/>
      <c r="O308" s="73"/>
      <c r="P308" s="73"/>
      <c r="Q308" s="75"/>
      <c r="R308" s="82"/>
      <c r="S308" s="73"/>
      <c r="T308" s="73"/>
      <c r="U308" s="73"/>
      <c r="V308" s="73"/>
      <c r="W308" s="73"/>
      <c r="X308" s="73"/>
      <c r="Y308" s="77"/>
      <c r="Z308" s="104"/>
      <c r="AA308" s="73"/>
      <c r="AB308" s="104"/>
      <c r="AC308" s="104"/>
      <c r="AD308" s="74"/>
      <c r="AE308" s="106"/>
      <c r="AF308" s="195"/>
      <c r="AG308" s="80"/>
      <c r="AH308" s="104"/>
      <c r="AI308" s="73"/>
      <c r="AJ308" s="114"/>
      <c r="AK308" s="106"/>
      <c r="AL308" s="74"/>
      <c r="AM308" s="73"/>
      <c r="AN308" s="73"/>
      <c r="AO308" s="102"/>
      <c r="AP308" s="73"/>
      <c r="AQ308" s="73"/>
      <c r="AR308" s="74"/>
      <c r="AS308" s="73"/>
      <c r="AT308" s="73"/>
      <c r="AU308" s="73"/>
      <c r="AV308" s="73"/>
      <c r="AW308" s="73"/>
      <c r="AX308" s="74"/>
      <c r="AY308" s="73"/>
      <c r="AZ308" s="73"/>
      <c r="BA308" s="74"/>
      <c r="BB308" s="73"/>
      <c r="BC308" s="73"/>
      <c r="BD308" s="73"/>
      <c r="BE308" s="73"/>
      <c r="BF308" s="73"/>
      <c r="BG308" s="73"/>
      <c r="BH308" s="73"/>
      <c r="BI308" s="73"/>
      <c r="BJ308" s="73"/>
      <c r="BK308" s="73"/>
      <c r="BL308" s="73"/>
      <c r="BM308" s="73"/>
      <c r="BN308" s="73"/>
      <c r="BO308" s="73"/>
      <c r="BP308" s="73"/>
      <c r="BQ308" s="73"/>
      <c r="BR308" s="73"/>
      <c r="BS308" s="73"/>
      <c r="BT308" s="74"/>
      <c r="BU308" s="73"/>
      <c r="BV308" s="73"/>
      <c r="BW308" s="73"/>
      <c r="BX308" s="73"/>
      <c r="BY308" s="73"/>
      <c r="BZ308" s="73"/>
      <c r="CA308" s="73"/>
      <c r="CB308" s="73"/>
      <c r="CC308" s="73"/>
      <c r="CD308" s="73"/>
      <c r="CE308" s="73"/>
    </row>
    <row r="309">
      <c r="A309" s="73"/>
      <c r="B309" s="73"/>
      <c r="C309" s="73"/>
      <c r="D309" s="74"/>
      <c r="E309" s="73"/>
      <c r="F309" s="73"/>
      <c r="G309" s="73"/>
      <c r="H309" s="73"/>
      <c r="I309" s="73"/>
      <c r="J309" s="73"/>
      <c r="K309" s="92"/>
      <c r="L309" s="73"/>
      <c r="M309" s="73"/>
      <c r="N309" s="73"/>
      <c r="O309" s="73"/>
      <c r="P309" s="73"/>
      <c r="Q309" s="75"/>
      <c r="R309" s="82"/>
      <c r="S309" s="73"/>
      <c r="T309" s="73"/>
      <c r="U309" s="73"/>
      <c r="V309" s="73"/>
      <c r="W309" s="73"/>
      <c r="X309" s="73"/>
      <c r="Y309" s="77"/>
      <c r="Z309" s="104"/>
      <c r="AA309" s="73"/>
      <c r="AB309" s="104"/>
      <c r="AC309" s="104"/>
      <c r="AD309" s="74"/>
      <c r="AE309" s="106"/>
      <c r="AF309" s="195"/>
      <c r="AG309" s="80"/>
      <c r="AH309" s="104"/>
      <c r="AI309" s="73"/>
      <c r="AJ309" s="114"/>
      <c r="AK309" s="106"/>
      <c r="AL309" s="74"/>
      <c r="AM309" s="73"/>
      <c r="AN309" s="73"/>
      <c r="AO309" s="102"/>
      <c r="AP309" s="73"/>
      <c r="AQ309" s="73"/>
      <c r="AR309" s="74"/>
      <c r="AS309" s="73"/>
      <c r="AT309" s="73"/>
      <c r="AU309" s="73"/>
      <c r="AV309" s="73"/>
      <c r="AW309" s="73"/>
      <c r="AX309" s="74"/>
      <c r="AY309" s="73"/>
      <c r="AZ309" s="73"/>
      <c r="BA309" s="74"/>
      <c r="BB309" s="73"/>
      <c r="BC309" s="73"/>
      <c r="BD309" s="73"/>
      <c r="BE309" s="73"/>
      <c r="BF309" s="73"/>
      <c r="BG309" s="73"/>
      <c r="BH309" s="73"/>
      <c r="BI309" s="73"/>
      <c r="BJ309" s="73"/>
      <c r="BK309" s="73"/>
      <c r="BL309" s="73"/>
      <c r="BM309" s="73"/>
      <c r="BN309" s="73"/>
      <c r="BO309" s="73"/>
      <c r="BP309" s="73"/>
      <c r="BQ309" s="73"/>
      <c r="BR309" s="73"/>
      <c r="BS309" s="73"/>
      <c r="BT309" s="74"/>
      <c r="BU309" s="73"/>
      <c r="BV309" s="73"/>
      <c r="BW309" s="73"/>
      <c r="BX309" s="73"/>
      <c r="BY309" s="73"/>
      <c r="BZ309" s="73"/>
      <c r="CA309" s="73"/>
      <c r="CB309" s="73"/>
      <c r="CC309" s="73"/>
      <c r="CD309" s="73"/>
      <c r="CE309" s="73"/>
    </row>
    <row r="310">
      <c r="A310" s="73"/>
      <c r="B310" s="73"/>
      <c r="C310" s="73"/>
      <c r="D310" s="74"/>
      <c r="E310" s="73"/>
      <c r="F310" s="73"/>
      <c r="G310" s="73"/>
      <c r="H310" s="73"/>
      <c r="I310" s="73"/>
      <c r="J310" s="73"/>
      <c r="K310" s="92"/>
      <c r="L310" s="73"/>
      <c r="M310" s="73"/>
      <c r="N310" s="73"/>
      <c r="O310" s="73"/>
      <c r="P310" s="73"/>
      <c r="Q310" s="75"/>
      <c r="R310" s="82"/>
      <c r="S310" s="73"/>
      <c r="T310" s="73"/>
      <c r="U310" s="73"/>
      <c r="V310" s="73"/>
      <c r="W310" s="73"/>
      <c r="X310" s="73"/>
      <c r="Y310" s="77"/>
      <c r="Z310" s="104"/>
      <c r="AA310" s="73"/>
      <c r="AB310" s="104"/>
      <c r="AC310" s="104"/>
      <c r="AD310" s="74"/>
      <c r="AE310" s="106"/>
      <c r="AF310" s="195"/>
      <c r="AG310" s="80"/>
      <c r="AH310" s="104"/>
      <c r="AI310" s="73"/>
      <c r="AJ310" s="114"/>
      <c r="AK310" s="106"/>
      <c r="AL310" s="74"/>
      <c r="AM310" s="73"/>
      <c r="AN310" s="73"/>
      <c r="AO310" s="102"/>
      <c r="AP310" s="73"/>
      <c r="AQ310" s="73"/>
      <c r="AR310" s="74"/>
      <c r="AS310" s="73"/>
      <c r="AT310" s="73"/>
      <c r="AU310" s="73"/>
      <c r="AV310" s="73"/>
      <c r="AW310" s="73"/>
      <c r="AX310" s="74"/>
      <c r="AY310" s="73"/>
      <c r="AZ310" s="73"/>
      <c r="BA310" s="74"/>
      <c r="BB310" s="73"/>
      <c r="BC310" s="73"/>
      <c r="BD310" s="73"/>
      <c r="BE310" s="73"/>
      <c r="BF310" s="73"/>
      <c r="BG310" s="73"/>
      <c r="BH310" s="73"/>
      <c r="BI310" s="73"/>
      <c r="BJ310" s="73"/>
      <c r="BK310" s="73"/>
      <c r="BL310" s="73"/>
      <c r="BM310" s="73"/>
      <c r="BN310" s="73"/>
      <c r="BO310" s="73"/>
      <c r="BP310" s="73"/>
      <c r="BQ310" s="73"/>
      <c r="BR310" s="73"/>
      <c r="BS310" s="73"/>
      <c r="BT310" s="74"/>
      <c r="BU310" s="73"/>
      <c r="BV310" s="73"/>
      <c r="BW310" s="73"/>
      <c r="BX310" s="73"/>
      <c r="BY310" s="73"/>
      <c r="BZ310" s="73"/>
      <c r="CA310" s="73"/>
      <c r="CB310" s="73"/>
      <c r="CC310" s="73"/>
      <c r="CD310" s="73"/>
      <c r="CE310" s="73"/>
    </row>
    <row r="311">
      <c r="A311" s="73"/>
      <c r="B311" s="73"/>
      <c r="C311" s="73"/>
      <c r="D311" s="74"/>
      <c r="E311" s="73"/>
      <c r="F311" s="73"/>
      <c r="G311" s="73"/>
      <c r="H311" s="73"/>
      <c r="I311" s="73"/>
      <c r="J311" s="73"/>
      <c r="K311" s="92"/>
      <c r="L311" s="73"/>
      <c r="M311" s="73"/>
      <c r="N311" s="73"/>
      <c r="O311" s="73"/>
      <c r="P311" s="73"/>
      <c r="Q311" s="75"/>
      <c r="R311" s="82"/>
      <c r="S311" s="73"/>
      <c r="T311" s="73"/>
      <c r="U311" s="73"/>
      <c r="V311" s="73"/>
      <c r="W311" s="73"/>
      <c r="X311" s="73"/>
      <c r="Y311" s="77"/>
      <c r="Z311" s="104"/>
      <c r="AA311" s="73"/>
      <c r="AB311" s="104"/>
      <c r="AC311" s="104"/>
      <c r="AD311" s="74"/>
      <c r="AE311" s="106"/>
      <c r="AF311" s="195"/>
      <c r="AG311" s="80"/>
      <c r="AH311" s="104"/>
      <c r="AI311" s="73"/>
      <c r="AJ311" s="114"/>
      <c r="AK311" s="106"/>
      <c r="AL311" s="74"/>
      <c r="AM311" s="73"/>
      <c r="AN311" s="73"/>
      <c r="AO311" s="102"/>
      <c r="AP311" s="73"/>
      <c r="AQ311" s="73"/>
      <c r="AR311" s="74"/>
      <c r="AS311" s="73"/>
      <c r="AT311" s="73"/>
      <c r="AU311" s="73"/>
      <c r="AV311" s="73"/>
      <c r="AW311" s="73"/>
      <c r="AX311" s="74"/>
      <c r="AY311" s="73"/>
      <c r="AZ311" s="73"/>
      <c r="BA311" s="74"/>
      <c r="BB311" s="73"/>
      <c r="BC311" s="73"/>
      <c r="BD311" s="73"/>
      <c r="BE311" s="73"/>
      <c r="BF311" s="73"/>
      <c r="BG311" s="73"/>
      <c r="BH311" s="73"/>
      <c r="BI311" s="73"/>
      <c r="BJ311" s="73"/>
      <c r="BK311" s="73"/>
      <c r="BL311" s="73"/>
      <c r="BM311" s="73"/>
      <c r="BN311" s="73"/>
      <c r="BO311" s="73"/>
      <c r="BP311" s="73"/>
      <c r="BQ311" s="73"/>
      <c r="BR311" s="73"/>
      <c r="BS311" s="73"/>
      <c r="BT311" s="74"/>
      <c r="BU311" s="73"/>
      <c r="BV311" s="73"/>
      <c r="BW311" s="73"/>
      <c r="BX311" s="73"/>
      <c r="BY311" s="73"/>
      <c r="BZ311" s="73"/>
      <c r="CA311" s="73"/>
      <c r="CB311" s="73"/>
      <c r="CC311" s="73"/>
      <c r="CD311" s="73"/>
      <c r="CE311" s="73"/>
    </row>
    <row r="312">
      <c r="A312" s="73"/>
      <c r="B312" s="73"/>
      <c r="C312" s="73"/>
      <c r="D312" s="74"/>
      <c r="E312" s="73"/>
      <c r="F312" s="73"/>
      <c r="G312" s="73"/>
      <c r="H312" s="73"/>
      <c r="I312" s="73"/>
      <c r="J312" s="73"/>
      <c r="K312" s="92"/>
      <c r="L312" s="73"/>
      <c r="M312" s="73"/>
      <c r="N312" s="73"/>
      <c r="O312" s="73"/>
      <c r="P312" s="73"/>
      <c r="Q312" s="75"/>
      <c r="R312" s="82"/>
      <c r="S312" s="73"/>
      <c r="T312" s="73"/>
      <c r="U312" s="73"/>
      <c r="V312" s="73"/>
      <c r="W312" s="73"/>
      <c r="X312" s="73"/>
      <c r="Y312" s="77"/>
      <c r="Z312" s="104"/>
      <c r="AA312" s="73"/>
      <c r="AB312" s="104"/>
      <c r="AC312" s="104"/>
      <c r="AD312" s="74"/>
      <c r="AE312" s="106"/>
      <c r="AF312" s="195"/>
      <c r="AG312" s="80"/>
      <c r="AH312" s="104"/>
      <c r="AI312" s="73"/>
      <c r="AJ312" s="114"/>
      <c r="AK312" s="106"/>
      <c r="AL312" s="74"/>
      <c r="AM312" s="73"/>
      <c r="AN312" s="73"/>
      <c r="AO312" s="102"/>
      <c r="AP312" s="73"/>
      <c r="AQ312" s="73"/>
      <c r="AR312" s="74"/>
      <c r="AS312" s="73"/>
      <c r="AT312" s="73"/>
      <c r="AU312" s="73"/>
      <c r="AV312" s="73"/>
      <c r="AW312" s="73"/>
      <c r="AX312" s="74"/>
      <c r="AY312" s="73"/>
      <c r="AZ312" s="73"/>
      <c r="BA312" s="74"/>
      <c r="BB312" s="73"/>
      <c r="BC312" s="73"/>
      <c r="BD312" s="73"/>
      <c r="BE312" s="73"/>
      <c r="BF312" s="73"/>
      <c r="BG312" s="73"/>
      <c r="BH312" s="73"/>
      <c r="BI312" s="73"/>
      <c r="BJ312" s="73"/>
      <c r="BK312" s="73"/>
      <c r="BL312" s="73"/>
      <c r="BM312" s="73"/>
      <c r="BN312" s="73"/>
      <c r="BO312" s="73"/>
      <c r="BP312" s="73"/>
      <c r="BQ312" s="73"/>
      <c r="BR312" s="73"/>
      <c r="BS312" s="73"/>
      <c r="BT312" s="74"/>
      <c r="BU312" s="73"/>
      <c r="BV312" s="73"/>
      <c r="BW312" s="73"/>
      <c r="BX312" s="73"/>
      <c r="BY312" s="73"/>
      <c r="BZ312" s="73"/>
      <c r="CA312" s="73"/>
      <c r="CB312" s="73"/>
      <c r="CC312" s="73"/>
      <c r="CD312" s="73"/>
      <c r="CE312" s="73"/>
    </row>
    <row r="313">
      <c r="A313" s="73"/>
      <c r="B313" s="73"/>
      <c r="C313" s="73"/>
      <c r="D313" s="74"/>
      <c r="E313" s="73"/>
      <c r="F313" s="73"/>
      <c r="G313" s="73"/>
      <c r="H313" s="73"/>
      <c r="I313" s="73"/>
      <c r="J313" s="73"/>
      <c r="K313" s="92"/>
      <c r="L313" s="73"/>
      <c r="M313" s="73"/>
      <c r="N313" s="73"/>
      <c r="O313" s="73"/>
      <c r="P313" s="73"/>
      <c r="Q313" s="75"/>
      <c r="R313" s="82"/>
      <c r="S313" s="73"/>
      <c r="T313" s="73"/>
      <c r="U313" s="73"/>
      <c r="V313" s="73"/>
      <c r="W313" s="73"/>
      <c r="X313" s="73"/>
      <c r="Y313" s="77"/>
      <c r="Z313" s="104"/>
      <c r="AA313" s="73"/>
      <c r="AB313" s="104"/>
      <c r="AC313" s="104"/>
      <c r="AD313" s="74"/>
      <c r="AE313" s="106"/>
      <c r="AF313" s="195"/>
      <c r="AG313" s="80"/>
      <c r="AH313" s="104"/>
      <c r="AI313" s="73"/>
      <c r="AJ313" s="114"/>
      <c r="AK313" s="106"/>
      <c r="AL313" s="74"/>
      <c r="AM313" s="73"/>
      <c r="AN313" s="73"/>
      <c r="AO313" s="102"/>
      <c r="AP313" s="73"/>
      <c r="AQ313" s="73"/>
      <c r="AR313" s="74"/>
      <c r="AS313" s="73"/>
      <c r="AT313" s="73"/>
      <c r="AU313" s="73"/>
      <c r="AV313" s="73"/>
      <c r="AW313" s="73"/>
      <c r="AX313" s="74"/>
      <c r="AY313" s="73"/>
      <c r="AZ313" s="73"/>
      <c r="BA313" s="74"/>
      <c r="BB313" s="73"/>
      <c r="BC313" s="73"/>
      <c r="BD313" s="73"/>
      <c r="BE313" s="73"/>
      <c r="BF313" s="73"/>
      <c r="BG313" s="73"/>
      <c r="BH313" s="73"/>
      <c r="BI313" s="73"/>
      <c r="BJ313" s="73"/>
      <c r="BK313" s="73"/>
      <c r="BL313" s="73"/>
      <c r="BM313" s="73"/>
      <c r="BN313" s="73"/>
      <c r="BO313" s="73"/>
      <c r="BP313" s="73"/>
      <c r="BQ313" s="73"/>
      <c r="BR313" s="73"/>
      <c r="BS313" s="73"/>
      <c r="BT313" s="74"/>
      <c r="BU313" s="73"/>
      <c r="BV313" s="73"/>
      <c r="BW313" s="73"/>
      <c r="BX313" s="73"/>
      <c r="BY313" s="73"/>
      <c r="BZ313" s="73"/>
      <c r="CA313" s="73"/>
      <c r="CB313" s="73"/>
      <c r="CC313" s="73"/>
      <c r="CD313" s="73"/>
      <c r="CE313" s="73"/>
    </row>
    <row r="314">
      <c r="A314" s="73"/>
      <c r="B314" s="73"/>
      <c r="C314" s="73"/>
      <c r="D314" s="74"/>
      <c r="E314" s="73"/>
      <c r="F314" s="73"/>
      <c r="G314" s="73"/>
      <c r="H314" s="73"/>
      <c r="I314" s="73"/>
      <c r="J314" s="73"/>
      <c r="K314" s="92"/>
      <c r="L314" s="73"/>
      <c r="M314" s="73"/>
      <c r="N314" s="73"/>
      <c r="O314" s="73"/>
      <c r="P314" s="73"/>
      <c r="Q314" s="75"/>
      <c r="R314" s="82"/>
      <c r="S314" s="73"/>
      <c r="T314" s="73"/>
      <c r="U314" s="73"/>
      <c r="V314" s="73"/>
      <c r="W314" s="73"/>
      <c r="X314" s="73"/>
      <c r="Y314" s="77"/>
      <c r="Z314" s="104"/>
      <c r="AA314" s="73"/>
      <c r="AB314" s="104"/>
      <c r="AC314" s="104"/>
      <c r="AD314" s="74"/>
      <c r="AE314" s="106"/>
      <c r="AF314" s="195"/>
      <c r="AG314" s="80"/>
      <c r="AH314" s="104"/>
      <c r="AI314" s="73"/>
      <c r="AJ314" s="114"/>
      <c r="AK314" s="106"/>
      <c r="AL314" s="74"/>
      <c r="AM314" s="73"/>
      <c r="AN314" s="73"/>
      <c r="AO314" s="102"/>
      <c r="AP314" s="73"/>
      <c r="AQ314" s="73"/>
      <c r="AR314" s="74"/>
      <c r="AS314" s="73"/>
      <c r="AT314" s="73"/>
      <c r="AU314" s="73"/>
      <c r="AV314" s="73"/>
      <c r="AW314" s="73"/>
      <c r="AX314" s="74"/>
      <c r="AY314" s="73"/>
      <c r="AZ314" s="73"/>
      <c r="BA314" s="74"/>
      <c r="BB314" s="73"/>
      <c r="BC314" s="73"/>
      <c r="BD314" s="73"/>
      <c r="BE314" s="73"/>
      <c r="BF314" s="73"/>
      <c r="BG314" s="73"/>
      <c r="BH314" s="73"/>
      <c r="BI314" s="73"/>
      <c r="BJ314" s="73"/>
      <c r="BK314" s="73"/>
      <c r="BL314" s="73"/>
      <c r="BM314" s="73"/>
      <c r="BN314" s="73"/>
      <c r="BO314" s="73"/>
      <c r="BP314" s="73"/>
      <c r="BQ314" s="73"/>
      <c r="BR314" s="73"/>
      <c r="BS314" s="73"/>
      <c r="BT314" s="74"/>
      <c r="BU314" s="73"/>
      <c r="BV314" s="73"/>
      <c r="BW314" s="73"/>
      <c r="BX314" s="73"/>
      <c r="BY314" s="73"/>
      <c r="BZ314" s="73"/>
      <c r="CA314" s="73"/>
      <c r="CB314" s="73"/>
      <c r="CC314" s="73"/>
      <c r="CD314" s="73"/>
      <c r="CE314" s="73"/>
    </row>
    <row r="315">
      <c r="A315" s="73"/>
      <c r="B315" s="73"/>
      <c r="C315" s="73"/>
      <c r="D315" s="74"/>
      <c r="E315" s="73"/>
      <c r="F315" s="73"/>
      <c r="G315" s="73"/>
      <c r="H315" s="73"/>
      <c r="I315" s="73"/>
      <c r="J315" s="73"/>
      <c r="K315" s="92"/>
      <c r="L315" s="73"/>
      <c r="M315" s="73"/>
      <c r="N315" s="73"/>
      <c r="O315" s="73"/>
      <c r="P315" s="73"/>
      <c r="Q315" s="75"/>
      <c r="R315" s="82"/>
      <c r="S315" s="73"/>
      <c r="T315" s="73"/>
      <c r="U315" s="73"/>
      <c r="V315" s="73"/>
      <c r="W315" s="73"/>
      <c r="X315" s="73"/>
      <c r="Y315" s="77"/>
      <c r="Z315" s="104"/>
      <c r="AA315" s="73"/>
      <c r="AB315" s="104"/>
      <c r="AC315" s="104"/>
      <c r="AD315" s="74"/>
      <c r="AE315" s="106"/>
      <c r="AF315" s="195"/>
      <c r="AG315" s="80"/>
      <c r="AH315" s="104"/>
      <c r="AI315" s="73"/>
      <c r="AJ315" s="114"/>
      <c r="AK315" s="106"/>
      <c r="AL315" s="74"/>
      <c r="AM315" s="73"/>
      <c r="AN315" s="73"/>
      <c r="AO315" s="102"/>
      <c r="AP315" s="73"/>
      <c r="AQ315" s="73"/>
      <c r="AR315" s="74"/>
      <c r="AS315" s="73"/>
      <c r="AT315" s="73"/>
      <c r="AU315" s="73"/>
      <c r="AV315" s="73"/>
      <c r="AW315" s="73"/>
      <c r="AX315" s="74"/>
      <c r="AY315" s="73"/>
      <c r="AZ315" s="73"/>
      <c r="BA315" s="74"/>
      <c r="BB315" s="73"/>
      <c r="BC315" s="73"/>
      <c r="BD315" s="73"/>
      <c r="BE315" s="73"/>
      <c r="BF315" s="73"/>
      <c r="BG315" s="73"/>
      <c r="BH315" s="73"/>
      <c r="BI315" s="73"/>
      <c r="BJ315" s="73"/>
      <c r="BK315" s="73"/>
      <c r="BL315" s="73"/>
      <c r="BM315" s="73"/>
      <c r="BN315" s="73"/>
      <c r="BO315" s="73"/>
      <c r="BP315" s="73"/>
      <c r="BQ315" s="73"/>
      <c r="BR315" s="73"/>
      <c r="BS315" s="73"/>
      <c r="BT315" s="74"/>
      <c r="BU315" s="73"/>
      <c r="BV315" s="73"/>
      <c r="BW315" s="73"/>
      <c r="BX315" s="73"/>
      <c r="BY315" s="73"/>
      <c r="BZ315" s="73"/>
      <c r="CA315" s="73"/>
      <c r="CB315" s="73"/>
      <c r="CC315" s="73"/>
      <c r="CD315" s="73"/>
      <c r="CE315" s="73"/>
    </row>
    <row r="316">
      <c r="A316" s="73"/>
      <c r="B316" s="73"/>
      <c r="C316" s="73"/>
      <c r="D316" s="74"/>
      <c r="E316" s="73"/>
      <c r="F316" s="73"/>
      <c r="G316" s="73"/>
      <c r="H316" s="73"/>
      <c r="I316" s="73"/>
      <c r="J316" s="73"/>
      <c r="K316" s="92"/>
      <c r="L316" s="73"/>
      <c r="M316" s="73"/>
      <c r="N316" s="73"/>
      <c r="O316" s="73"/>
      <c r="P316" s="73"/>
      <c r="Q316" s="75"/>
      <c r="R316" s="82"/>
      <c r="S316" s="73"/>
      <c r="T316" s="73"/>
      <c r="U316" s="73"/>
      <c r="V316" s="73"/>
      <c r="W316" s="73"/>
      <c r="X316" s="73"/>
      <c r="Y316" s="77"/>
      <c r="Z316" s="104"/>
      <c r="AA316" s="73"/>
      <c r="AB316" s="104"/>
      <c r="AC316" s="104"/>
      <c r="AD316" s="74"/>
      <c r="AE316" s="106"/>
      <c r="AF316" s="195"/>
      <c r="AG316" s="80"/>
      <c r="AH316" s="104"/>
      <c r="AI316" s="73"/>
      <c r="AJ316" s="114"/>
      <c r="AK316" s="106"/>
      <c r="AL316" s="74"/>
      <c r="AM316" s="73"/>
      <c r="AN316" s="73"/>
      <c r="AO316" s="102"/>
      <c r="AP316" s="73"/>
      <c r="AQ316" s="73"/>
      <c r="AR316" s="74"/>
      <c r="AS316" s="73"/>
      <c r="AT316" s="73"/>
      <c r="AU316" s="73"/>
      <c r="AV316" s="73"/>
      <c r="AW316" s="73"/>
      <c r="AX316" s="74"/>
      <c r="AY316" s="73"/>
      <c r="AZ316" s="73"/>
      <c r="BA316" s="74"/>
      <c r="BB316" s="73"/>
      <c r="BC316" s="73"/>
      <c r="BD316" s="73"/>
      <c r="BE316" s="73"/>
      <c r="BF316" s="73"/>
      <c r="BG316" s="73"/>
      <c r="BH316" s="73"/>
      <c r="BI316" s="73"/>
      <c r="BJ316" s="73"/>
      <c r="BK316" s="73"/>
      <c r="BL316" s="73"/>
      <c r="BM316" s="73"/>
      <c r="BN316" s="73"/>
      <c r="BO316" s="73"/>
      <c r="BP316" s="73"/>
      <c r="BQ316" s="73"/>
      <c r="BR316" s="73"/>
      <c r="BS316" s="73"/>
      <c r="BT316" s="74"/>
      <c r="BU316" s="73"/>
      <c r="BV316" s="73"/>
      <c r="BW316" s="73"/>
      <c r="BX316" s="73"/>
      <c r="BY316" s="73"/>
      <c r="BZ316" s="73"/>
      <c r="CA316" s="73"/>
      <c r="CB316" s="73"/>
      <c r="CC316" s="73"/>
      <c r="CD316" s="73"/>
      <c r="CE316" s="73"/>
    </row>
    <row r="317">
      <c r="A317" s="73"/>
      <c r="B317" s="73"/>
      <c r="C317" s="73"/>
      <c r="D317" s="74"/>
      <c r="E317" s="73"/>
      <c r="F317" s="73"/>
      <c r="G317" s="73"/>
      <c r="H317" s="73"/>
      <c r="I317" s="73"/>
      <c r="J317" s="73"/>
      <c r="K317" s="92"/>
      <c r="L317" s="73"/>
      <c r="M317" s="73"/>
      <c r="N317" s="73"/>
      <c r="O317" s="73"/>
      <c r="P317" s="73"/>
      <c r="Q317" s="75"/>
      <c r="R317" s="82"/>
      <c r="S317" s="73"/>
      <c r="T317" s="73"/>
      <c r="U317" s="73"/>
      <c r="V317" s="73"/>
      <c r="W317" s="73"/>
      <c r="X317" s="73"/>
      <c r="Y317" s="77"/>
      <c r="Z317" s="104"/>
      <c r="AA317" s="73"/>
      <c r="AB317" s="104"/>
      <c r="AC317" s="104"/>
      <c r="AD317" s="74"/>
      <c r="AE317" s="106"/>
      <c r="AF317" s="195"/>
      <c r="AG317" s="80"/>
      <c r="AH317" s="104"/>
      <c r="AI317" s="73"/>
      <c r="AJ317" s="114"/>
      <c r="AK317" s="106"/>
      <c r="AL317" s="74"/>
      <c r="AM317" s="73"/>
      <c r="AN317" s="73"/>
      <c r="AO317" s="102"/>
      <c r="AP317" s="73"/>
      <c r="AQ317" s="73"/>
      <c r="AR317" s="74"/>
      <c r="AS317" s="73"/>
      <c r="AT317" s="73"/>
      <c r="AU317" s="73"/>
      <c r="AV317" s="73"/>
      <c r="AW317" s="73"/>
      <c r="AX317" s="74"/>
      <c r="AY317" s="73"/>
      <c r="AZ317" s="73"/>
      <c r="BA317" s="74"/>
      <c r="BB317" s="73"/>
      <c r="BC317" s="73"/>
      <c r="BD317" s="73"/>
      <c r="BE317" s="73"/>
      <c r="BF317" s="73"/>
      <c r="BG317" s="73"/>
      <c r="BH317" s="73"/>
      <c r="BI317" s="73"/>
      <c r="BJ317" s="73"/>
      <c r="BK317" s="73"/>
      <c r="BL317" s="73"/>
      <c r="BM317" s="73"/>
      <c r="BN317" s="73"/>
      <c r="BO317" s="73"/>
      <c r="BP317" s="73"/>
      <c r="BQ317" s="73"/>
      <c r="BR317" s="73"/>
      <c r="BS317" s="73"/>
      <c r="BT317" s="74"/>
      <c r="BU317" s="73"/>
      <c r="BV317" s="73"/>
      <c r="BW317" s="73"/>
      <c r="BX317" s="73"/>
      <c r="BY317" s="73"/>
      <c r="BZ317" s="73"/>
      <c r="CA317" s="73"/>
      <c r="CB317" s="73"/>
      <c r="CC317" s="73"/>
      <c r="CD317" s="73"/>
      <c r="CE317" s="73"/>
    </row>
    <row r="318">
      <c r="A318" s="73"/>
      <c r="B318" s="73"/>
      <c r="C318" s="73"/>
      <c r="D318" s="74"/>
      <c r="E318" s="73"/>
      <c r="F318" s="73"/>
      <c r="G318" s="73"/>
      <c r="H318" s="73"/>
      <c r="I318" s="73"/>
      <c r="J318" s="73"/>
      <c r="K318" s="92"/>
      <c r="L318" s="73"/>
      <c r="M318" s="73"/>
      <c r="N318" s="73"/>
      <c r="O318" s="73"/>
      <c r="P318" s="73"/>
      <c r="Q318" s="75"/>
      <c r="R318" s="82"/>
      <c r="S318" s="73"/>
      <c r="T318" s="73"/>
      <c r="U318" s="73"/>
      <c r="V318" s="73"/>
      <c r="W318" s="73"/>
      <c r="X318" s="73"/>
      <c r="Y318" s="77"/>
      <c r="Z318" s="104"/>
      <c r="AA318" s="73"/>
      <c r="AB318" s="104"/>
      <c r="AC318" s="104"/>
      <c r="AD318" s="74"/>
      <c r="AE318" s="106"/>
      <c r="AF318" s="195"/>
      <c r="AG318" s="80"/>
      <c r="AH318" s="104"/>
      <c r="AI318" s="73"/>
      <c r="AJ318" s="114"/>
      <c r="AK318" s="106"/>
      <c r="AL318" s="74"/>
      <c r="AM318" s="73"/>
      <c r="AN318" s="73"/>
      <c r="AO318" s="102"/>
      <c r="AP318" s="73"/>
      <c r="AQ318" s="73"/>
      <c r="AR318" s="74"/>
      <c r="AS318" s="73"/>
      <c r="AT318" s="73"/>
      <c r="AU318" s="73"/>
      <c r="AV318" s="73"/>
      <c r="AW318" s="73"/>
      <c r="AX318" s="74"/>
      <c r="AY318" s="73"/>
      <c r="AZ318" s="73"/>
      <c r="BA318" s="74"/>
      <c r="BB318" s="73"/>
      <c r="BC318" s="73"/>
      <c r="BD318" s="73"/>
      <c r="BE318" s="73"/>
      <c r="BF318" s="73"/>
      <c r="BG318" s="73"/>
      <c r="BH318" s="73"/>
      <c r="BI318" s="73"/>
      <c r="BJ318" s="73"/>
      <c r="BK318" s="73"/>
      <c r="BL318" s="73"/>
      <c r="BM318" s="73"/>
      <c r="BN318" s="73"/>
      <c r="BO318" s="73"/>
      <c r="BP318" s="73"/>
      <c r="BQ318" s="73"/>
      <c r="BR318" s="73"/>
      <c r="BS318" s="73"/>
      <c r="BT318" s="74"/>
      <c r="BU318" s="73"/>
      <c r="BV318" s="73"/>
      <c r="BW318" s="73"/>
      <c r="BX318" s="73"/>
      <c r="BY318" s="73"/>
      <c r="BZ318" s="73"/>
      <c r="CA318" s="73"/>
      <c r="CB318" s="73"/>
      <c r="CC318" s="73"/>
      <c r="CD318" s="73"/>
      <c r="CE318" s="73"/>
    </row>
    <row r="319">
      <c r="A319" s="73"/>
      <c r="B319" s="73"/>
      <c r="C319" s="73"/>
      <c r="D319" s="74"/>
      <c r="E319" s="73"/>
      <c r="F319" s="73"/>
      <c r="G319" s="73"/>
      <c r="H319" s="73"/>
      <c r="I319" s="73"/>
      <c r="J319" s="73"/>
      <c r="K319" s="92"/>
      <c r="L319" s="73"/>
      <c r="M319" s="73"/>
      <c r="N319" s="73"/>
      <c r="O319" s="73"/>
      <c r="P319" s="73"/>
      <c r="Q319" s="75"/>
      <c r="R319" s="82"/>
      <c r="S319" s="73"/>
      <c r="T319" s="73"/>
      <c r="U319" s="73"/>
      <c r="V319" s="73"/>
      <c r="W319" s="73"/>
      <c r="X319" s="73"/>
      <c r="Y319" s="77"/>
      <c r="Z319" s="104"/>
      <c r="AA319" s="73"/>
      <c r="AB319" s="104"/>
      <c r="AC319" s="104"/>
      <c r="AD319" s="74"/>
      <c r="AE319" s="106"/>
      <c r="AF319" s="195"/>
      <c r="AG319" s="80"/>
      <c r="AH319" s="104"/>
      <c r="AI319" s="73"/>
      <c r="AJ319" s="114"/>
      <c r="AK319" s="106"/>
      <c r="AL319" s="74"/>
      <c r="AM319" s="73"/>
      <c r="AN319" s="73"/>
      <c r="AO319" s="102"/>
      <c r="AP319" s="73"/>
      <c r="AQ319" s="73"/>
      <c r="AR319" s="74"/>
      <c r="AS319" s="73"/>
      <c r="AT319" s="73"/>
      <c r="AU319" s="73"/>
      <c r="AV319" s="73"/>
      <c r="AW319" s="73"/>
      <c r="AX319" s="74"/>
      <c r="AY319" s="73"/>
      <c r="AZ319" s="73"/>
      <c r="BA319" s="74"/>
      <c r="BB319" s="73"/>
      <c r="BC319" s="73"/>
      <c r="BD319" s="73"/>
      <c r="BE319" s="73"/>
      <c r="BF319" s="73"/>
      <c r="BG319" s="73"/>
      <c r="BH319" s="73"/>
      <c r="BI319" s="73"/>
      <c r="BJ319" s="73"/>
      <c r="BK319" s="73"/>
      <c r="BL319" s="73"/>
      <c r="BM319" s="73"/>
      <c r="BN319" s="73"/>
      <c r="BO319" s="73"/>
      <c r="BP319" s="73"/>
      <c r="BQ319" s="73"/>
      <c r="BR319" s="73"/>
      <c r="BS319" s="73"/>
      <c r="BT319" s="74"/>
      <c r="BU319" s="73"/>
      <c r="BV319" s="73"/>
      <c r="BW319" s="73"/>
      <c r="BX319" s="73"/>
      <c r="BY319" s="73"/>
      <c r="BZ319" s="73"/>
      <c r="CA319" s="73"/>
      <c r="CB319" s="73"/>
      <c r="CC319" s="73"/>
      <c r="CD319" s="73"/>
      <c r="CE319" s="73"/>
    </row>
    <row r="320">
      <c r="A320" s="73"/>
      <c r="B320" s="73"/>
      <c r="C320" s="73"/>
      <c r="D320" s="74"/>
      <c r="E320" s="73"/>
      <c r="F320" s="73"/>
      <c r="G320" s="73"/>
      <c r="H320" s="73"/>
      <c r="I320" s="73"/>
      <c r="J320" s="73"/>
      <c r="K320" s="92"/>
      <c r="L320" s="73"/>
      <c r="M320" s="73"/>
      <c r="N320" s="73"/>
      <c r="O320" s="73"/>
      <c r="P320" s="73"/>
      <c r="Q320" s="75"/>
      <c r="R320" s="82"/>
      <c r="S320" s="73"/>
      <c r="T320" s="73"/>
      <c r="U320" s="73"/>
      <c r="V320" s="73"/>
      <c r="W320" s="73"/>
      <c r="X320" s="73"/>
      <c r="Y320" s="77"/>
      <c r="Z320" s="104"/>
      <c r="AA320" s="73"/>
      <c r="AB320" s="104"/>
      <c r="AC320" s="104"/>
      <c r="AD320" s="74"/>
      <c r="AE320" s="106"/>
      <c r="AF320" s="195"/>
      <c r="AG320" s="80"/>
      <c r="AH320" s="104"/>
      <c r="AI320" s="73"/>
      <c r="AJ320" s="114"/>
      <c r="AK320" s="106"/>
      <c r="AL320" s="74"/>
      <c r="AM320" s="73"/>
      <c r="AN320" s="73"/>
      <c r="AO320" s="102"/>
      <c r="AP320" s="73"/>
      <c r="AQ320" s="73"/>
      <c r="AR320" s="74"/>
      <c r="AS320" s="73"/>
      <c r="AT320" s="73"/>
      <c r="AU320" s="73"/>
      <c r="AV320" s="73"/>
      <c r="AW320" s="73"/>
      <c r="AX320" s="74"/>
      <c r="AY320" s="73"/>
      <c r="AZ320" s="73"/>
      <c r="BA320" s="74"/>
      <c r="BB320" s="73"/>
      <c r="BC320" s="73"/>
      <c r="BD320" s="73"/>
      <c r="BE320" s="73"/>
      <c r="BF320" s="73"/>
      <c r="BG320" s="73"/>
      <c r="BH320" s="73"/>
      <c r="BI320" s="73"/>
      <c r="BJ320" s="73"/>
      <c r="BK320" s="73"/>
      <c r="BL320" s="73"/>
      <c r="BM320" s="73"/>
      <c r="BN320" s="73"/>
      <c r="BO320" s="73"/>
      <c r="BP320" s="73"/>
      <c r="BQ320" s="73"/>
      <c r="BR320" s="73"/>
      <c r="BS320" s="73"/>
      <c r="BT320" s="74"/>
      <c r="BU320" s="73"/>
      <c r="BV320" s="73"/>
      <c r="BW320" s="73"/>
      <c r="BX320" s="73"/>
      <c r="BY320" s="73"/>
      <c r="BZ320" s="73"/>
      <c r="CA320" s="73"/>
      <c r="CB320" s="73"/>
      <c r="CC320" s="73"/>
      <c r="CD320" s="73"/>
      <c r="CE320" s="73"/>
    </row>
    <row r="321">
      <c r="A321" s="73"/>
      <c r="B321" s="73"/>
      <c r="C321" s="73"/>
      <c r="D321" s="74"/>
      <c r="E321" s="73"/>
      <c r="F321" s="73"/>
      <c r="G321" s="73"/>
      <c r="H321" s="73"/>
      <c r="I321" s="73"/>
      <c r="J321" s="73"/>
      <c r="K321" s="92"/>
      <c r="L321" s="73"/>
      <c r="M321" s="73"/>
      <c r="N321" s="73"/>
      <c r="O321" s="73"/>
      <c r="P321" s="73"/>
      <c r="Q321" s="75"/>
      <c r="R321" s="82"/>
      <c r="S321" s="73"/>
      <c r="T321" s="73"/>
      <c r="U321" s="73"/>
      <c r="V321" s="73"/>
      <c r="W321" s="73"/>
      <c r="X321" s="73"/>
      <c r="Y321" s="77"/>
      <c r="Z321" s="104"/>
      <c r="AA321" s="73"/>
      <c r="AB321" s="104"/>
      <c r="AC321" s="104"/>
      <c r="AD321" s="74"/>
      <c r="AE321" s="106"/>
      <c r="AF321" s="195"/>
      <c r="AG321" s="80"/>
      <c r="AH321" s="104"/>
      <c r="AI321" s="73"/>
      <c r="AJ321" s="114"/>
      <c r="AK321" s="106"/>
      <c r="AL321" s="74"/>
      <c r="AM321" s="73"/>
      <c r="AN321" s="73"/>
      <c r="AO321" s="102"/>
      <c r="AP321" s="73"/>
      <c r="AQ321" s="73"/>
      <c r="AR321" s="74"/>
      <c r="AS321" s="73"/>
      <c r="AT321" s="73"/>
      <c r="AU321" s="73"/>
      <c r="AV321" s="73"/>
      <c r="AW321" s="73"/>
      <c r="AX321" s="74"/>
      <c r="AY321" s="73"/>
      <c r="AZ321" s="73"/>
      <c r="BA321" s="74"/>
      <c r="BB321" s="73"/>
      <c r="BC321" s="73"/>
      <c r="BD321" s="73"/>
      <c r="BE321" s="73"/>
      <c r="BF321" s="73"/>
      <c r="BG321" s="73"/>
      <c r="BH321" s="73"/>
      <c r="BI321" s="73"/>
      <c r="BJ321" s="73"/>
      <c r="BK321" s="73"/>
      <c r="BL321" s="73"/>
      <c r="BM321" s="73"/>
      <c r="BN321" s="73"/>
      <c r="BO321" s="73"/>
      <c r="BP321" s="73"/>
      <c r="BQ321" s="73"/>
      <c r="BR321" s="73"/>
      <c r="BS321" s="73"/>
      <c r="BT321" s="74"/>
      <c r="BU321" s="73"/>
      <c r="BV321" s="73"/>
      <c r="BW321" s="73"/>
      <c r="BX321" s="73"/>
      <c r="BY321" s="73"/>
      <c r="BZ321" s="73"/>
      <c r="CA321" s="73"/>
      <c r="CB321" s="73"/>
      <c r="CC321" s="73"/>
      <c r="CD321" s="73"/>
      <c r="CE321" s="73"/>
    </row>
    <row r="322">
      <c r="A322" s="73"/>
      <c r="B322" s="73"/>
      <c r="C322" s="73"/>
      <c r="D322" s="74"/>
      <c r="E322" s="73"/>
      <c r="F322" s="73"/>
      <c r="G322" s="73"/>
      <c r="H322" s="73"/>
      <c r="I322" s="73"/>
      <c r="J322" s="73"/>
      <c r="K322" s="92"/>
      <c r="L322" s="73"/>
      <c r="M322" s="73"/>
      <c r="N322" s="73"/>
      <c r="O322" s="73"/>
      <c r="P322" s="73"/>
      <c r="Q322" s="75"/>
      <c r="R322" s="82"/>
      <c r="S322" s="73"/>
      <c r="T322" s="73"/>
      <c r="U322" s="73"/>
      <c r="V322" s="73"/>
      <c r="W322" s="73"/>
      <c r="X322" s="73"/>
      <c r="Y322" s="77"/>
      <c r="Z322" s="104"/>
      <c r="AA322" s="73"/>
      <c r="AB322" s="104"/>
      <c r="AC322" s="104"/>
      <c r="AD322" s="74"/>
      <c r="AE322" s="106"/>
      <c r="AF322" s="195"/>
      <c r="AG322" s="80"/>
      <c r="AH322" s="104"/>
      <c r="AI322" s="73"/>
      <c r="AJ322" s="114"/>
      <c r="AK322" s="106"/>
      <c r="AL322" s="74"/>
      <c r="AM322" s="73"/>
      <c r="AN322" s="73"/>
      <c r="AO322" s="102"/>
      <c r="AP322" s="73"/>
      <c r="AQ322" s="73"/>
      <c r="AR322" s="74"/>
      <c r="AS322" s="73"/>
      <c r="AT322" s="73"/>
      <c r="AU322" s="73"/>
      <c r="AV322" s="73"/>
      <c r="AW322" s="73"/>
      <c r="AX322" s="74"/>
      <c r="AY322" s="73"/>
      <c r="AZ322" s="73"/>
      <c r="BA322" s="74"/>
      <c r="BB322" s="73"/>
      <c r="BC322" s="73"/>
      <c r="BD322" s="73"/>
      <c r="BE322" s="73"/>
      <c r="BF322" s="73"/>
      <c r="BG322" s="73"/>
      <c r="BH322" s="73"/>
      <c r="BI322" s="73"/>
      <c r="BJ322" s="73"/>
      <c r="BK322" s="73"/>
      <c r="BL322" s="73"/>
      <c r="BM322" s="73"/>
      <c r="BN322" s="73"/>
      <c r="BO322" s="73"/>
      <c r="BP322" s="73"/>
      <c r="BQ322" s="73"/>
      <c r="BR322" s="73"/>
      <c r="BS322" s="73"/>
      <c r="BT322" s="74"/>
      <c r="BU322" s="73"/>
      <c r="BV322" s="73"/>
      <c r="BW322" s="73"/>
      <c r="BX322" s="73"/>
      <c r="BY322" s="73"/>
      <c r="BZ322" s="73"/>
      <c r="CA322" s="73"/>
      <c r="CB322" s="73"/>
      <c r="CC322" s="73"/>
      <c r="CD322" s="73"/>
      <c r="CE322" s="73"/>
    </row>
    <row r="323">
      <c r="A323" s="73"/>
      <c r="B323" s="73"/>
      <c r="C323" s="73"/>
      <c r="D323" s="74"/>
      <c r="E323" s="73"/>
      <c r="F323" s="73"/>
      <c r="G323" s="73"/>
      <c r="H323" s="73"/>
      <c r="I323" s="73"/>
      <c r="J323" s="73"/>
      <c r="K323" s="92"/>
      <c r="L323" s="73"/>
      <c r="M323" s="73"/>
      <c r="N323" s="73"/>
      <c r="O323" s="73"/>
      <c r="P323" s="73"/>
      <c r="Q323" s="75"/>
      <c r="R323" s="82"/>
      <c r="S323" s="73"/>
      <c r="T323" s="73"/>
      <c r="U323" s="73"/>
      <c r="V323" s="73"/>
      <c r="W323" s="73"/>
      <c r="X323" s="73"/>
      <c r="Y323" s="77"/>
      <c r="Z323" s="104"/>
      <c r="AA323" s="73"/>
      <c r="AB323" s="104"/>
      <c r="AC323" s="104"/>
      <c r="AD323" s="74"/>
      <c r="AE323" s="106"/>
      <c r="AF323" s="195"/>
      <c r="AG323" s="80"/>
      <c r="AH323" s="104"/>
      <c r="AI323" s="73"/>
      <c r="AJ323" s="114"/>
      <c r="AK323" s="106"/>
      <c r="AL323" s="74"/>
      <c r="AM323" s="73"/>
      <c r="AN323" s="73"/>
      <c r="AO323" s="102"/>
      <c r="AP323" s="73"/>
      <c r="AQ323" s="73"/>
      <c r="AR323" s="74"/>
      <c r="AS323" s="73"/>
      <c r="AT323" s="73"/>
      <c r="AU323" s="73"/>
      <c r="AV323" s="73"/>
      <c r="AW323" s="73"/>
      <c r="AX323" s="74"/>
      <c r="AY323" s="73"/>
      <c r="AZ323" s="73"/>
      <c r="BA323" s="74"/>
      <c r="BB323" s="73"/>
      <c r="BC323" s="73"/>
      <c r="BD323" s="73"/>
      <c r="BE323" s="73"/>
      <c r="BF323" s="73"/>
      <c r="BG323" s="73"/>
      <c r="BH323" s="73"/>
      <c r="BI323" s="73"/>
      <c r="BJ323" s="73"/>
      <c r="BK323" s="73"/>
      <c r="BL323" s="73"/>
      <c r="BM323" s="73"/>
      <c r="BN323" s="73"/>
      <c r="BO323" s="73"/>
      <c r="BP323" s="73"/>
      <c r="BQ323" s="73"/>
      <c r="BR323" s="73"/>
      <c r="BS323" s="73"/>
      <c r="BT323" s="74"/>
      <c r="BU323" s="73"/>
      <c r="BV323" s="73"/>
      <c r="BW323" s="73"/>
      <c r="BX323" s="73"/>
      <c r="BY323" s="73"/>
      <c r="BZ323" s="73"/>
      <c r="CA323" s="73"/>
      <c r="CB323" s="73"/>
      <c r="CC323" s="73"/>
      <c r="CD323" s="73"/>
      <c r="CE323" s="73"/>
    </row>
    <row r="324">
      <c r="A324" s="73"/>
      <c r="B324" s="73"/>
      <c r="C324" s="73"/>
      <c r="D324" s="74"/>
      <c r="E324" s="73"/>
      <c r="F324" s="73"/>
      <c r="G324" s="73"/>
      <c r="H324" s="73"/>
      <c r="I324" s="73"/>
      <c r="J324" s="73"/>
      <c r="K324" s="92"/>
      <c r="L324" s="73"/>
      <c r="M324" s="73"/>
      <c r="N324" s="73"/>
      <c r="O324" s="73"/>
      <c r="P324" s="73"/>
      <c r="Q324" s="75"/>
      <c r="R324" s="82"/>
      <c r="S324" s="73"/>
      <c r="T324" s="73"/>
      <c r="U324" s="73"/>
      <c r="V324" s="73"/>
      <c r="W324" s="73"/>
      <c r="X324" s="73"/>
      <c r="Y324" s="77"/>
      <c r="Z324" s="104"/>
      <c r="AA324" s="73"/>
      <c r="AB324" s="104"/>
      <c r="AC324" s="104"/>
      <c r="AD324" s="74"/>
      <c r="AE324" s="106"/>
      <c r="AF324" s="195"/>
      <c r="AG324" s="80"/>
      <c r="AH324" s="104"/>
      <c r="AI324" s="73"/>
      <c r="AJ324" s="114"/>
      <c r="AK324" s="106"/>
      <c r="AL324" s="74"/>
      <c r="AM324" s="73"/>
      <c r="AN324" s="73"/>
      <c r="AO324" s="102"/>
      <c r="AP324" s="73"/>
      <c r="AQ324" s="73"/>
      <c r="AR324" s="74"/>
      <c r="AS324" s="73"/>
      <c r="AT324" s="73"/>
      <c r="AU324" s="73"/>
      <c r="AV324" s="73"/>
      <c r="AW324" s="73"/>
      <c r="AX324" s="74"/>
      <c r="AY324" s="73"/>
      <c r="AZ324" s="73"/>
      <c r="BA324" s="74"/>
      <c r="BB324" s="73"/>
      <c r="BC324" s="73"/>
      <c r="BD324" s="73"/>
      <c r="BE324" s="73"/>
      <c r="BF324" s="73"/>
      <c r="BG324" s="73"/>
      <c r="BH324" s="73"/>
      <c r="BI324" s="73"/>
      <c r="BJ324" s="73"/>
      <c r="BK324" s="73"/>
      <c r="BL324" s="73"/>
      <c r="BM324" s="73"/>
      <c r="BN324" s="73"/>
      <c r="BO324" s="73"/>
      <c r="BP324" s="73"/>
      <c r="BQ324" s="73"/>
      <c r="BR324" s="73"/>
      <c r="BS324" s="73"/>
      <c r="BT324" s="74"/>
      <c r="BU324" s="73"/>
      <c r="BV324" s="73"/>
      <c r="BW324" s="73"/>
      <c r="BX324" s="73"/>
      <c r="BY324" s="73"/>
      <c r="BZ324" s="73"/>
      <c r="CA324" s="73"/>
      <c r="CB324" s="73"/>
      <c r="CC324" s="73"/>
      <c r="CD324" s="73"/>
      <c r="CE324" s="73"/>
    </row>
    <row r="325">
      <c r="A325" s="73"/>
      <c r="B325" s="73"/>
      <c r="C325" s="73"/>
      <c r="D325" s="74"/>
      <c r="E325" s="73"/>
      <c r="F325" s="73"/>
      <c r="G325" s="73"/>
      <c r="H325" s="73"/>
      <c r="I325" s="73"/>
      <c r="J325" s="73"/>
      <c r="K325" s="92"/>
      <c r="L325" s="73"/>
      <c r="M325" s="73"/>
      <c r="N325" s="73"/>
      <c r="O325" s="73"/>
      <c r="P325" s="73"/>
      <c r="Q325" s="75"/>
      <c r="R325" s="82"/>
      <c r="S325" s="73"/>
      <c r="T325" s="73"/>
      <c r="U325" s="73"/>
      <c r="V325" s="73"/>
      <c r="W325" s="73"/>
      <c r="X325" s="73"/>
      <c r="Y325" s="77"/>
      <c r="Z325" s="104"/>
      <c r="AA325" s="73"/>
      <c r="AB325" s="104"/>
      <c r="AC325" s="104"/>
      <c r="AD325" s="74"/>
      <c r="AE325" s="106"/>
      <c r="AF325" s="195"/>
      <c r="AG325" s="80"/>
      <c r="AH325" s="104"/>
      <c r="AI325" s="73"/>
      <c r="AJ325" s="114"/>
      <c r="AK325" s="106"/>
      <c r="AL325" s="74"/>
      <c r="AM325" s="73"/>
      <c r="AN325" s="73"/>
      <c r="AO325" s="102"/>
      <c r="AP325" s="73"/>
      <c r="AQ325" s="73"/>
      <c r="AR325" s="74"/>
      <c r="AS325" s="73"/>
      <c r="AT325" s="73"/>
      <c r="AU325" s="73"/>
      <c r="AV325" s="73"/>
      <c r="AW325" s="73"/>
      <c r="AX325" s="74"/>
      <c r="AY325" s="73"/>
      <c r="AZ325" s="73"/>
      <c r="BA325" s="74"/>
      <c r="BB325" s="73"/>
      <c r="BC325" s="73"/>
      <c r="BD325" s="73"/>
      <c r="BE325" s="73"/>
      <c r="BF325" s="73"/>
      <c r="BG325" s="73"/>
      <c r="BH325" s="73"/>
      <c r="BI325" s="73"/>
      <c r="BJ325" s="73"/>
      <c r="BK325" s="73"/>
      <c r="BL325" s="73"/>
      <c r="BM325" s="73"/>
      <c r="BN325" s="73"/>
      <c r="BO325" s="73"/>
      <c r="BP325" s="73"/>
      <c r="BQ325" s="73"/>
      <c r="BR325" s="73"/>
      <c r="BS325" s="73"/>
      <c r="BT325" s="74"/>
      <c r="BU325" s="73"/>
      <c r="BV325" s="73"/>
      <c r="BW325" s="73"/>
      <c r="BX325" s="73"/>
      <c r="BY325" s="73"/>
      <c r="BZ325" s="73"/>
      <c r="CA325" s="73"/>
      <c r="CB325" s="73"/>
      <c r="CC325" s="73"/>
      <c r="CD325" s="73"/>
      <c r="CE325" s="73"/>
    </row>
    <row r="326">
      <c r="A326" s="73"/>
      <c r="B326" s="73"/>
      <c r="C326" s="73"/>
      <c r="D326" s="74"/>
      <c r="E326" s="73"/>
      <c r="F326" s="73"/>
      <c r="G326" s="73"/>
      <c r="H326" s="73"/>
      <c r="I326" s="73"/>
      <c r="J326" s="73"/>
      <c r="K326" s="92"/>
      <c r="L326" s="73"/>
      <c r="M326" s="73"/>
      <c r="N326" s="73"/>
      <c r="O326" s="73"/>
      <c r="P326" s="73"/>
      <c r="Q326" s="75"/>
      <c r="R326" s="82"/>
      <c r="S326" s="73"/>
      <c r="T326" s="73"/>
      <c r="U326" s="73"/>
      <c r="V326" s="73"/>
      <c r="W326" s="73"/>
      <c r="X326" s="73"/>
      <c r="Y326" s="77"/>
      <c r="Z326" s="104"/>
      <c r="AA326" s="73"/>
      <c r="AB326" s="104"/>
      <c r="AC326" s="104"/>
      <c r="AD326" s="74"/>
      <c r="AE326" s="106"/>
      <c r="AF326" s="195"/>
      <c r="AG326" s="80"/>
      <c r="AH326" s="104"/>
      <c r="AI326" s="73"/>
      <c r="AJ326" s="114"/>
      <c r="AK326" s="106"/>
      <c r="AL326" s="74"/>
      <c r="AM326" s="73"/>
      <c r="AN326" s="73"/>
      <c r="AO326" s="102"/>
      <c r="AP326" s="73"/>
      <c r="AQ326" s="73"/>
      <c r="AR326" s="74"/>
      <c r="AS326" s="73"/>
      <c r="AT326" s="73"/>
      <c r="AU326" s="73"/>
      <c r="AV326" s="73"/>
      <c r="AW326" s="73"/>
      <c r="AX326" s="74"/>
      <c r="AY326" s="73"/>
      <c r="AZ326" s="73"/>
      <c r="BA326" s="74"/>
      <c r="BB326" s="73"/>
      <c r="BC326" s="73"/>
      <c r="BD326" s="73"/>
      <c r="BE326" s="73"/>
      <c r="BF326" s="73"/>
      <c r="BG326" s="73"/>
      <c r="BH326" s="73"/>
      <c r="BI326" s="73"/>
      <c r="BJ326" s="73"/>
      <c r="BK326" s="73"/>
      <c r="BL326" s="73"/>
      <c r="BM326" s="73"/>
      <c r="BN326" s="73"/>
      <c r="BO326" s="73"/>
      <c r="BP326" s="73"/>
      <c r="BQ326" s="73"/>
      <c r="BR326" s="73"/>
      <c r="BS326" s="73"/>
      <c r="BT326" s="74"/>
      <c r="BU326" s="73"/>
      <c r="BV326" s="73"/>
      <c r="BW326" s="73"/>
      <c r="BX326" s="73"/>
      <c r="BY326" s="73"/>
      <c r="BZ326" s="73"/>
      <c r="CA326" s="73"/>
      <c r="CB326" s="73"/>
      <c r="CC326" s="73"/>
      <c r="CD326" s="73"/>
      <c r="CE326" s="73"/>
    </row>
    <row r="327">
      <c r="A327" s="73"/>
      <c r="B327" s="73"/>
      <c r="C327" s="73"/>
      <c r="D327" s="74"/>
      <c r="E327" s="73"/>
      <c r="F327" s="73"/>
      <c r="G327" s="73"/>
      <c r="H327" s="73"/>
      <c r="I327" s="73"/>
      <c r="J327" s="73"/>
      <c r="K327" s="92"/>
      <c r="L327" s="73"/>
      <c r="M327" s="73"/>
      <c r="N327" s="73"/>
      <c r="O327" s="73"/>
      <c r="P327" s="73"/>
      <c r="Q327" s="75"/>
      <c r="R327" s="82"/>
      <c r="S327" s="73"/>
      <c r="T327" s="73"/>
      <c r="U327" s="73"/>
      <c r="V327" s="73"/>
      <c r="W327" s="73"/>
      <c r="X327" s="73"/>
      <c r="Y327" s="77"/>
      <c r="Z327" s="104"/>
      <c r="AA327" s="73"/>
      <c r="AB327" s="104"/>
      <c r="AC327" s="104"/>
      <c r="AD327" s="74"/>
      <c r="AE327" s="106"/>
      <c r="AF327" s="195"/>
      <c r="AG327" s="80"/>
      <c r="AH327" s="104"/>
      <c r="AI327" s="73"/>
      <c r="AJ327" s="114"/>
      <c r="AK327" s="106"/>
      <c r="AL327" s="74"/>
      <c r="AM327" s="73"/>
      <c r="AN327" s="73"/>
      <c r="AO327" s="102"/>
      <c r="AP327" s="73"/>
      <c r="AQ327" s="73"/>
      <c r="AR327" s="74"/>
      <c r="AS327" s="73"/>
      <c r="AT327" s="73"/>
      <c r="AU327" s="73"/>
      <c r="AV327" s="73"/>
      <c r="AW327" s="73"/>
      <c r="AX327" s="74"/>
      <c r="AY327" s="73"/>
      <c r="AZ327" s="73"/>
      <c r="BA327" s="74"/>
      <c r="BB327" s="73"/>
      <c r="BC327" s="73"/>
      <c r="BD327" s="73"/>
      <c r="BE327" s="73"/>
      <c r="BF327" s="73"/>
      <c r="BG327" s="73"/>
      <c r="BH327" s="73"/>
      <c r="BI327" s="73"/>
      <c r="BJ327" s="73"/>
      <c r="BK327" s="73"/>
      <c r="BL327" s="73"/>
      <c r="BM327" s="73"/>
      <c r="BN327" s="73"/>
      <c r="BO327" s="73"/>
      <c r="BP327" s="73"/>
      <c r="BQ327" s="73"/>
      <c r="BR327" s="73"/>
      <c r="BS327" s="73"/>
      <c r="BT327" s="74"/>
      <c r="BU327" s="73"/>
      <c r="BV327" s="73"/>
      <c r="BW327" s="73"/>
      <c r="BX327" s="73"/>
      <c r="BY327" s="73"/>
      <c r="BZ327" s="73"/>
      <c r="CA327" s="73"/>
      <c r="CB327" s="73"/>
      <c r="CC327" s="73"/>
      <c r="CD327" s="73"/>
      <c r="CE327" s="73"/>
    </row>
    <row r="328">
      <c r="A328" s="73"/>
      <c r="B328" s="73"/>
      <c r="C328" s="73"/>
      <c r="D328" s="74"/>
      <c r="E328" s="73"/>
      <c r="F328" s="73"/>
      <c r="G328" s="73"/>
      <c r="H328" s="73"/>
      <c r="I328" s="73"/>
      <c r="J328" s="73"/>
      <c r="K328" s="92"/>
      <c r="L328" s="73"/>
      <c r="M328" s="73"/>
      <c r="N328" s="73"/>
      <c r="O328" s="73"/>
      <c r="P328" s="73"/>
      <c r="Q328" s="75"/>
      <c r="R328" s="82"/>
      <c r="S328" s="73"/>
      <c r="T328" s="73"/>
      <c r="U328" s="73"/>
      <c r="V328" s="73"/>
      <c r="W328" s="73"/>
      <c r="X328" s="73"/>
      <c r="Y328" s="77"/>
      <c r="Z328" s="104"/>
      <c r="AA328" s="73"/>
      <c r="AB328" s="104"/>
      <c r="AC328" s="104"/>
      <c r="AD328" s="74"/>
      <c r="AE328" s="106"/>
      <c r="AF328" s="195"/>
      <c r="AG328" s="80"/>
      <c r="AH328" s="104"/>
      <c r="AI328" s="73"/>
      <c r="AJ328" s="114"/>
      <c r="AK328" s="106"/>
      <c r="AL328" s="74"/>
      <c r="AM328" s="73"/>
      <c r="AN328" s="73"/>
      <c r="AO328" s="102"/>
      <c r="AP328" s="73"/>
      <c r="AQ328" s="73"/>
      <c r="AR328" s="74"/>
      <c r="AS328" s="73"/>
      <c r="AT328" s="73"/>
      <c r="AU328" s="73"/>
      <c r="AV328" s="73"/>
      <c r="AW328" s="73"/>
      <c r="AX328" s="74"/>
      <c r="AY328" s="73"/>
      <c r="AZ328" s="73"/>
      <c r="BA328" s="74"/>
      <c r="BB328" s="73"/>
      <c r="BC328" s="73"/>
      <c r="BD328" s="73"/>
      <c r="BE328" s="73"/>
      <c r="BF328" s="73"/>
      <c r="BG328" s="73"/>
      <c r="BH328" s="73"/>
      <c r="BI328" s="73"/>
      <c r="BJ328" s="73"/>
      <c r="BK328" s="73"/>
      <c r="BL328" s="73"/>
      <c r="BM328" s="73"/>
      <c r="BN328" s="73"/>
      <c r="BO328" s="73"/>
      <c r="BP328" s="73"/>
      <c r="BQ328" s="73"/>
      <c r="BR328" s="73"/>
      <c r="BS328" s="73"/>
      <c r="BT328" s="74"/>
      <c r="BU328" s="73"/>
      <c r="BV328" s="73"/>
      <c r="BW328" s="73"/>
      <c r="BX328" s="73"/>
      <c r="BY328" s="73"/>
      <c r="BZ328" s="73"/>
      <c r="CA328" s="73"/>
      <c r="CB328" s="73"/>
      <c r="CC328" s="73"/>
      <c r="CD328" s="73"/>
      <c r="CE328" s="73"/>
    </row>
    <row r="329">
      <c r="A329" s="73"/>
      <c r="B329" s="73"/>
      <c r="C329" s="73"/>
      <c r="D329" s="74"/>
      <c r="E329" s="73"/>
      <c r="F329" s="73"/>
      <c r="G329" s="73"/>
      <c r="H329" s="73"/>
      <c r="I329" s="73"/>
      <c r="J329" s="73"/>
      <c r="K329" s="92"/>
      <c r="L329" s="73"/>
      <c r="M329" s="73"/>
      <c r="N329" s="73"/>
      <c r="O329" s="73"/>
      <c r="P329" s="73"/>
      <c r="Q329" s="75"/>
      <c r="R329" s="82"/>
      <c r="S329" s="73"/>
      <c r="T329" s="73"/>
      <c r="U329" s="73"/>
      <c r="V329" s="73"/>
      <c r="W329" s="73"/>
      <c r="X329" s="73"/>
      <c r="Y329" s="77"/>
      <c r="Z329" s="104"/>
      <c r="AA329" s="73"/>
      <c r="AB329" s="104"/>
      <c r="AC329" s="104"/>
      <c r="AD329" s="74"/>
      <c r="AE329" s="106"/>
      <c r="AF329" s="195"/>
      <c r="AG329" s="80"/>
      <c r="AH329" s="104"/>
      <c r="AI329" s="73"/>
      <c r="AJ329" s="114"/>
      <c r="AK329" s="106"/>
      <c r="AL329" s="74"/>
      <c r="AM329" s="73"/>
      <c r="AN329" s="73"/>
      <c r="AO329" s="102"/>
      <c r="AP329" s="73"/>
      <c r="AQ329" s="73"/>
      <c r="AR329" s="74"/>
      <c r="AS329" s="73"/>
      <c r="AT329" s="73"/>
      <c r="AU329" s="73"/>
      <c r="AV329" s="73"/>
      <c r="AW329" s="73"/>
      <c r="AX329" s="74"/>
      <c r="AY329" s="73"/>
      <c r="AZ329" s="73"/>
      <c r="BA329" s="74"/>
      <c r="BB329" s="73"/>
      <c r="BC329" s="73"/>
      <c r="BD329" s="73"/>
      <c r="BE329" s="73"/>
      <c r="BF329" s="73"/>
      <c r="BG329" s="73"/>
      <c r="BH329" s="73"/>
      <c r="BI329" s="73"/>
      <c r="BJ329" s="73"/>
      <c r="BK329" s="73"/>
      <c r="BL329" s="73"/>
      <c r="BM329" s="73"/>
      <c r="BN329" s="73"/>
      <c r="BO329" s="73"/>
      <c r="BP329" s="73"/>
      <c r="BQ329" s="73"/>
      <c r="BR329" s="73"/>
      <c r="BS329" s="73"/>
      <c r="BT329" s="74"/>
      <c r="BU329" s="73"/>
      <c r="BV329" s="73"/>
      <c r="BW329" s="73"/>
      <c r="BX329" s="73"/>
      <c r="BY329" s="73"/>
      <c r="BZ329" s="73"/>
      <c r="CA329" s="73"/>
      <c r="CB329" s="73"/>
      <c r="CC329" s="73"/>
      <c r="CD329" s="73"/>
      <c r="CE329" s="73"/>
    </row>
    <row r="330">
      <c r="A330" s="73"/>
      <c r="B330" s="73"/>
      <c r="C330" s="73"/>
      <c r="D330" s="74"/>
      <c r="E330" s="73"/>
      <c r="F330" s="73"/>
      <c r="G330" s="73"/>
      <c r="H330" s="73"/>
      <c r="I330" s="73"/>
      <c r="J330" s="73"/>
      <c r="K330" s="92"/>
      <c r="L330" s="73"/>
      <c r="M330" s="73"/>
      <c r="N330" s="73"/>
      <c r="O330" s="73"/>
      <c r="P330" s="73"/>
      <c r="Q330" s="75"/>
      <c r="R330" s="82"/>
      <c r="S330" s="73"/>
      <c r="T330" s="73"/>
      <c r="U330" s="73"/>
      <c r="V330" s="73"/>
      <c r="W330" s="73"/>
      <c r="X330" s="73"/>
      <c r="Y330" s="77"/>
      <c r="Z330" s="104"/>
      <c r="AA330" s="73"/>
      <c r="AB330" s="104"/>
      <c r="AC330" s="104"/>
      <c r="AD330" s="74"/>
      <c r="AE330" s="106"/>
      <c r="AF330" s="195"/>
      <c r="AG330" s="80"/>
      <c r="AH330" s="104"/>
      <c r="AI330" s="73"/>
      <c r="AJ330" s="114"/>
      <c r="AK330" s="106"/>
      <c r="AL330" s="74"/>
      <c r="AM330" s="73"/>
      <c r="AN330" s="73"/>
      <c r="AO330" s="102"/>
      <c r="AP330" s="73"/>
      <c r="AQ330" s="73"/>
      <c r="AR330" s="74"/>
      <c r="AS330" s="73"/>
      <c r="AT330" s="73"/>
      <c r="AU330" s="73"/>
      <c r="AV330" s="73"/>
      <c r="AW330" s="73"/>
      <c r="AX330" s="74"/>
      <c r="AY330" s="73"/>
      <c r="AZ330" s="73"/>
      <c r="BA330" s="74"/>
      <c r="BB330" s="73"/>
      <c r="BC330" s="73"/>
      <c r="BD330" s="73"/>
      <c r="BE330" s="73"/>
      <c r="BF330" s="73"/>
      <c r="BG330" s="73"/>
      <c r="BH330" s="73"/>
      <c r="BI330" s="73"/>
      <c r="BJ330" s="73"/>
      <c r="BK330" s="73"/>
      <c r="BL330" s="73"/>
      <c r="BM330" s="73"/>
      <c r="BN330" s="73"/>
      <c r="BO330" s="73"/>
      <c r="BP330" s="73"/>
      <c r="BQ330" s="73"/>
      <c r="BR330" s="73"/>
      <c r="BS330" s="73"/>
      <c r="BT330" s="74"/>
      <c r="BU330" s="73"/>
      <c r="BV330" s="73"/>
      <c r="BW330" s="73"/>
      <c r="BX330" s="73"/>
      <c r="BY330" s="73"/>
      <c r="BZ330" s="73"/>
      <c r="CA330" s="73"/>
      <c r="CB330" s="73"/>
      <c r="CC330" s="73"/>
      <c r="CD330" s="73"/>
      <c r="CE330" s="73"/>
    </row>
    <row r="331">
      <c r="A331" s="73"/>
      <c r="B331" s="73"/>
      <c r="C331" s="73"/>
      <c r="D331" s="74"/>
      <c r="E331" s="73"/>
      <c r="F331" s="73"/>
      <c r="G331" s="73"/>
      <c r="H331" s="73"/>
      <c r="I331" s="73"/>
      <c r="J331" s="73"/>
      <c r="K331" s="92"/>
      <c r="L331" s="73"/>
      <c r="M331" s="73"/>
      <c r="N331" s="73"/>
      <c r="O331" s="73"/>
      <c r="P331" s="73"/>
      <c r="Q331" s="75"/>
      <c r="R331" s="82"/>
      <c r="S331" s="73"/>
      <c r="T331" s="73"/>
      <c r="U331" s="73"/>
      <c r="V331" s="73"/>
      <c r="W331" s="73"/>
      <c r="X331" s="73"/>
      <c r="Y331" s="77"/>
      <c r="Z331" s="104"/>
      <c r="AA331" s="73"/>
      <c r="AB331" s="104"/>
      <c r="AC331" s="104"/>
      <c r="AD331" s="74"/>
      <c r="AE331" s="106"/>
      <c r="AF331" s="195"/>
      <c r="AG331" s="80"/>
      <c r="AH331" s="104"/>
      <c r="AI331" s="73"/>
      <c r="AJ331" s="114"/>
      <c r="AK331" s="106"/>
      <c r="AL331" s="74"/>
      <c r="AM331" s="73"/>
      <c r="AN331" s="73"/>
      <c r="AO331" s="102"/>
      <c r="AP331" s="73"/>
      <c r="AQ331" s="73"/>
      <c r="AR331" s="74"/>
      <c r="AS331" s="73"/>
      <c r="AT331" s="73"/>
      <c r="AU331" s="73"/>
      <c r="AV331" s="73"/>
      <c r="AW331" s="73"/>
      <c r="AX331" s="74"/>
      <c r="AY331" s="73"/>
      <c r="AZ331" s="73"/>
      <c r="BA331" s="74"/>
      <c r="BB331" s="73"/>
      <c r="BC331" s="73"/>
      <c r="BD331" s="73"/>
      <c r="BE331" s="73"/>
      <c r="BF331" s="73"/>
      <c r="BG331" s="73"/>
      <c r="BH331" s="73"/>
      <c r="BI331" s="73"/>
      <c r="BJ331" s="73"/>
      <c r="BK331" s="73"/>
      <c r="BL331" s="73"/>
      <c r="BM331" s="73"/>
      <c r="BN331" s="73"/>
      <c r="BO331" s="73"/>
      <c r="BP331" s="73"/>
      <c r="BQ331" s="73"/>
      <c r="BR331" s="73"/>
      <c r="BS331" s="73"/>
      <c r="BT331" s="74"/>
      <c r="BU331" s="73"/>
      <c r="BV331" s="73"/>
      <c r="BW331" s="73"/>
      <c r="BX331" s="73"/>
      <c r="BY331" s="73"/>
      <c r="BZ331" s="73"/>
      <c r="CA331" s="73"/>
      <c r="CB331" s="73"/>
      <c r="CC331" s="73"/>
      <c r="CD331" s="73"/>
      <c r="CE331" s="73"/>
    </row>
    <row r="332">
      <c r="A332" s="73"/>
      <c r="B332" s="73"/>
      <c r="C332" s="73"/>
      <c r="D332" s="74"/>
      <c r="E332" s="73"/>
      <c r="F332" s="73"/>
      <c r="G332" s="73"/>
      <c r="H332" s="73"/>
      <c r="I332" s="73"/>
      <c r="J332" s="73"/>
      <c r="K332" s="92"/>
      <c r="L332" s="73"/>
      <c r="M332" s="73"/>
      <c r="N332" s="73"/>
      <c r="O332" s="73"/>
      <c r="P332" s="73"/>
      <c r="Q332" s="75"/>
      <c r="R332" s="82"/>
      <c r="S332" s="73"/>
      <c r="T332" s="73"/>
      <c r="U332" s="73"/>
      <c r="V332" s="73"/>
      <c r="W332" s="73"/>
      <c r="X332" s="73"/>
      <c r="Y332" s="77"/>
      <c r="Z332" s="104"/>
      <c r="AA332" s="73"/>
      <c r="AB332" s="104"/>
      <c r="AC332" s="104"/>
      <c r="AD332" s="74"/>
      <c r="AE332" s="106"/>
      <c r="AF332" s="195"/>
      <c r="AG332" s="80"/>
      <c r="AH332" s="104"/>
      <c r="AI332" s="73"/>
      <c r="AJ332" s="114"/>
      <c r="AK332" s="106"/>
      <c r="AL332" s="74"/>
      <c r="AM332" s="73"/>
      <c r="AN332" s="73"/>
      <c r="AO332" s="102"/>
      <c r="AP332" s="73"/>
      <c r="AQ332" s="73"/>
      <c r="AR332" s="74"/>
      <c r="AS332" s="73"/>
      <c r="AT332" s="73"/>
      <c r="AU332" s="73"/>
      <c r="AV332" s="73"/>
      <c r="AW332" s="73"/>
      <c r="AX332" s="74"/>
      <c r="AY332" s="73"/>
      <c r="AZ332" s="73"/>
      <c r="BA332" s="74"/>
      <c r="BB332" s="73"/>
      <c r="BC332" s="73"/>
      <c r="BD332" s="73"/>
      <c r="BE332" s="73"/>
      <c r="BF332" s="73"/>
      <c r="BG332" s="73"/>
      <c r="BH332" s="73"/>
      <c r="BI332" s="73"/>
      <c r="BJ332" s="73"/>
      <c r="BK332" s="73"/>
      <c r="BL332" s="73"/>
      <c r="BM332" s="73"/>
      <c r="BN332" s="73"/>
      <c r="BO332" s="73"/>
      <c r="BP332" s="73"/>
      <c r="BQ332" s="73"/>
      <c r="BR332" s="73"/>
      <c r="BS332" s="73"/>
      <c r="BT332" s="74"/>
      <c r="BU332" s="73"/>
      <c r="BV332" s="73"/>
      <c r="BW332" s="73"/>
      <c r="BX332" s="73"/>
      <c r="BY332" s="73"/>
      <c r="BZ332" s="73"/>
      <c r="CA332" s="73"/>
      <c r="CB332" s="73"/>
      <c r="CC332" s="73"/>
      <c r="CD332" s="73"/>
      <c r="CE332" s="73"/>
    </row>
    <row r="333">
      <c r="A333" s="73"/>
      <c r="B333" s="73"/>
      <c r="C333" s="73"/>
      <c r="D333" s="74"/>
      <c r="E333" s="73"/>
      <c r="F333" s="73"/>
      <c r="G333" s="73"/>
      <c r="H333" s="73"/>
      <c r="I333" s="73"/>
      <c r="J333" s="73"/>
      <c r="K333" s="92"/>
      <c r="L333" s="73"/>
      <c r="M333" s="73"/>
      <c r="N333" s="73"/>
      <c r="O333" s="73"/>
      <c r="P333" s="73"/>
      <c r="Q333" s="75"/>
      <c r="R333" s="82"/>
      <c r="S333" s="73"/>
      <c r="T333" s="73"/>
      <c r="U333" s="73"/>
      <c r="V333" s="73"/>
      <c r="W333" s="73"/>
      <c r="X333" s="73"/>
      <c r="Y333" s="77"/>
      <c r="Z333" s="104"/>
      <c r="AA333" s="73"/>
      <c r="AB333" s="104"/>
      <c r="AC333" s="104"/>
      <c r="AD333" s="74"/>
      <c r="AE333" s="106"/>
      <c r="AF333" s="195"/>
      <c r="AG333" s="80"/>
      <c r="AH333" s="104"/>
      <c r="AI333" s="73"/>
      <c r="AJ333" s="114"/>
      <c r="AK333" s="106"/>
      <c r="AL333" s="74"/>
      <c r="AM333" s="73"/>
      <c r="AN333" s="73"/>
      <c r="AO333" s="102"/>
      <c r="AP333" s="73"/>
      <c r="AQ333" s="73"/>
      <c r="AR333" s="74"/>
      <c r="AS333" s="73"/>
      <c r="AT333" s="73"/>
      <c r="AU333" s="73"/>
      <c r="AV333" s="73"/>
      <c r="AW333" s="73"/>
      <c r="AX333" s="74"/>
      <c r="AY333" s="73"/>
      <c r="AZ333" s="73"/>
      <c r="BA333" s="74"/>
      <c r="BB333" s="73"/>
      <c r="BC333" s="73"/>
      <c r="BD333" s="73"/>
      <c r="BE333" s="73"/>
      <c r="BF333" s="73"/>
      <c r="BG333" s="73"/>
      <c r="BH333" s="73"/>
      <c r="BI333" s="73"/>
      <c r="BJ333" s="73"/>
      <c r="BK333" s="73"/>
      <c r="BL333" s="73"/>
      <c r="BM333" s="73"/>
      <c r="BN333" s="73"/>
      <c r="BO333" s="73"/>
      <c r="BP333" s="73"/>
      <c r="BQ333" s="73"/>
      <c r="BR333" s="73"/>
      <c r="BS333" s="73"/>
      <c r="BT333" s="74"/>
      <c r="BU333" s="73"/>
      <c r="BV333" s="73"/>
      <c r="BW333" s="73"/>
      <c r="BX333" s="73"/>
      <c r="BY333" s="73"/>
      <c r="BZ333" s="73"/>
      <c r="CA333" s="73"/>
      <c r="CB333" s="73"/>
      <c r="CC333" s="73"/>
      <c r="CD333" s="73"/>
      <c r="CE333" s="73"/>
    </row>
    <row r="334">
      <c r="A334" s="73"/>
      <c r="B334" s="73"/>
      <c r="C334" s="73"/>
      <c r="D334" s="74"/>
      <c r="E334" s="73"/>
      <c r="F334" s="73"/>
      <c r="G334" s="73"/>
      <c r="H334" s="73"/>
      <c r="I334" s="73"/>
      <c r="J334" s="73"/>
      <c r="K334" s="92"/>
      <c r="L334" s="73"/>
      <c r="M334" s="73"/>
      <c r="N334" s="73"/>
      <c r="O334" s="73"/>
      <c r="P334" s="73"/>
      <c r="Q334" s="75"/>
      <c r="R334" s="82"/>
      <c r="S334" s="73"/>
      <c r="T334" s="73"/>
      <c r="U334" s="73"/>
      <c r="V334" s="73"/>
      <c r="W334" s="73"/>
      <c r="X334" s="73"/>
      <c r="Y334" s="77"/>
      <c r="Z334" s="104"/>
      <c r="AA334" s="73"/>
      <c r="AB334" s="104"/>
      <c r="AC334" s="104"/>
      <c r="AD334" s="74"/>
      <c r="AE334" s="106"/>
      <c r="AF334" s="195"/>
      <c r="AG334" s="80"/>
      <c r="AH334" s="104"/>
      <c r="AI334" s="73"/>
      <c r="AJ334" s="114"/>
      <c r="AK334" s="106"/>
      <c r="AL334" s="74"/>
      <c r="AM334" s="73"/>
      <c r="AN334" s="73"/>
      <c r="AO334" s="102"/>
      <c r="AP334" s="73"/>
      <c r="AQ334" s="73"/>
      <c r="AR334" s="74"/>
      <c r="AS334" s="73"/>
      <c r="AT334" s="73"/>
      <c r="AU334" s="73"/>
      <c r="AV334" s="73"/>
      <c r="AW334" s="73"/>
      <c r="AX334" s="74"/>
      <c r="AY334" s="73"/>
      <c r="AZ334" s="73"/>
      <c r="BA334" s="74"/>
      <c r="BB334" s="73"/>
      <c r="BC334" s="73"/>
      <c r="BD334" s="73"/>
      <c r="BE334" s="73"/>
      <c r="BF334" s="73"/>
      <c r="BG334" s="73"/>
      <c r="BH334" s="73"/>
      <c r="BI334" s="73"/>
      <c r="BJ334" s="73"/>
      <c r="BK334" s="73"/>
      <c r="BL334" s="73"/>
      <c r="BM334" s="73"/>
      <c r="BN334" s="73"/>
      <c r="BO334" s="73"/>
      <c r="BP334" s="73"/>
      <c r="BQ334" s="73"/>
      <c r="BR334" s="73"/>
      <c r="BS334" s="73"/>
      <c r="BT334" s="74"/>
      <c r="BU334" s="73"/>
      <c r="BV334" s="73"/>
      <c r="BW334" s="73"/>
      <c r="BX334" s="73"/>
      <c r="BY334" s="73"/>
      <c r="BZ334" s="73"/>
      <c r="CA334" s="73"/>
      <c r="CB334" s="73"/>
      <c r="CC334" s="73"/>
      <c r="CD334" s="73"/>
      <c r="CE334" s="73"/>
    </row>
    <row r="335">
      <c r="A335" s="73"/>
      <c r="B335" s="73"/>
      <c r="C335" s="73"/>
      <c r="D335" s="74"/>
      <c r="E335" s="73"/>
      <c r="F335" s="73"/>
      <c r="G335" s="73"/>
      <c r="H335" s="73"/>
      <c r="I335" s="73"/>
      <c r="J335" s="73"/>
      <c r="K335" s="92"/>
      <c r="L335" s="73"/>
      <c r="M335" s="73"/>
      <c r="N335" s="73"/>
      <c r="O335" s="73"/>
      <c r="P335" s="73"/>
      <c r="Q335" s="75"/>
      <c r="R335" s="82"/>
      <c r="S335" s="73"/>
      <c r="T335" s="73"/>
      <c r="U335" s="73"/>
      <c r="V335" s="73"/>
      <c r="W335" s="73"/>
      <c r="X335" s="73"/>
      <c r="Y335" s="77"/>
      <c r="Z335" s="104"/>
      <c r="AA335" s="73"/>
      <c r="AB335" s="104"/>
      <c r="AC335" s="104"/>
      <c r="AD335" s="74"/>
      <c r="AE335" s="106"/>
      <c r="AF335" s="195"/>
      <c r="AG335" s="80"/>
      <c r="AH335" s="104"/>
      <c r="AI335" s="73"/>
      <c r="AJ335" s="114"/>
      <c r="AK335" s="106"/>
      <c r="AL335" s="74"/>
      <c r="AM335" s="73"/>
      <c r="AN335" s="73"/>
      <c r="AO335" s="102"/>
      <c r="AP335" s="73"/>
      <c r="AQ335" s="73"/>
      <c r="AR335" s="74"/>
      <c r="AS335" s="73"/>
      <c r="AT335" s="73"/>
      <c r="AU335" s="73"/>
      <c r="AV335" s="73"/>
      <c r="AW335" s="73"/>
      <c r="AX335" s="74"/>
      <c r="AY335" s="73"/>
      <c r="AZ335" s="73"/>
      <c r="BA335" s="74"/>
      <c r="BB335" s="73"/>
      <c r="BC335" s="73"/>
      <c r="BD335" s="73"/>
      <c r="BE335" s="73"/>
      <c r="BF335" s="73"/>
      <c r="BG335" s="73"/>
      <c r="BH335" s="73"/>
      <c r="BI335" s="73"/>
      <c r="BJ335" s="73"/>
      <c r="BK335" s="73"/>
      <c r="BL335" s="73"/>
      <c r="BM335" s="73"/>
      <c r="BN335" s="73"/>
      <c r="BO335" s="73"/>
      <c r="BP335" s="73"/>
      <c r="BQ335" s="73"/>
      <c r="BR335" s="73"/>
      <c r="BS335" s="73"/>
      <c r="BT335" s="74"/>
      <c r="BU335" s="73"/>
      <c r="BV335" s="73"/>
      <c r="BW335" s="73"/>
      <c r="BX335" s="73"/>
      <c r="BY335" s="73"/>
      <c r="BZ335" s="73"/>
      <c r="CA335" s="73"/>
      <c r="CB335" s="73"/>
      <c r="CC335" s="73"/>
      <c r="CD335" s="73"/>
      <c r="CE335" s="73"/>
    </row>
    <row r="336">
      <c r="A336" s="73"/>
      <c r="B336" s="73"/>
      <c r="C336" s="73"/>
      <c r="D336" s="74"/>
      <c r="E336" s="73"/>
      <c r="F336" s="73"/>
      <c r="G336" s="73"/>
      <c r="H336" s="73"/>
      <c r="I336" s="73"/>
      <c r="J336" s="73"/>
      <c r="K336" s="92"/>
      <c r="L336" s="73"/>
      <c r="M336" s="73"/>
      <c r="N336" s="73"/>
      <c r="O336" s="73"/>
      <c r="P336" s="73"/>
      <c r="Q336" s="75"/>
      <c r="R336" s="82"/>
      <c r="S336" s="73"/>
      <c r="T336" s="73"/>
      <c r="U336" s="73"/>
      <c r="V336" s="73"/>
      <c r="W336" s="73"/>
      <c r="X336" s="73"/>
      <c r="Y336" s="77"/>
      <c r="Z336" s="104"/>
      <c r="AA336" s="73"/>
      <c r="AB336" s="104"/>
      <c r="AC336" s="104"/>
      <c r="AD336" s="74"/>
      <c r="AE336" s="106"/>
      <c r="AF336" s="195"/>
      <c r="AG336" s="80"/>
      <c r="AH336" s="104"/>
      <c r="AI336" s="73"/>
      <c r="AJ336" s="114"/>
      <c r="AK336" s="106"/>
      <c r="AL336" s="74"/>
      <c r="AM336" s="73"/>
      <c r="AN336" s="73"/>
      <c r="AO336" s="102"/>
      <c r="AP336" s="73"/>
      <c r="AQ336" s="73"/>
      <c r="AR336" s="74"/>
      <c r="AS336" s="73"/>
      <c r="AT336" s="73"/>
      <c r="AU336" s="73"/>
      <c r="AV336" s="73"/>
      <c r="AW336" s="73"/>
      <c r="AX336" s="74"/>
      <c r="AY336" s="73"/>
      <c r="AZ336" s="73"/>
      <c r="BA336" s="74"/>
      <c r="BB336" s="73"/>
      <c r="BC336" s="73"/>
      <c r="BD336" s="73"/>
      <c r="BE336" s="73"/>
      <c r="BF336" s="73"/>
      <c r="BG336" s="73"/>
      <c r="BH336" s="73"/>
      <c r="BI336" s="73"/>
      <c r="BJ336" s="73"/>
      <c r="BK336" s="73"/>
      <c r="BL336" s="73"/>
      <c r="BM336" s="73"/>
      <c r="BN336" s="73"/>
      <c r="BO336" s="73"/>
      <c r="BP336" s="73"/>
      <c r="BQ336" s="73"/>
      <c r="BR336" s="73"/>
      <c r="BS336" s="73"/>
      <c r="BT336" s="74"/>
      <c r="BU336" s="73"/>
      <c r="BV336" s="73"/>
      <c r="BW336" s="73"/>
      <c r="BX336" s="73"/>
      <c r="BY336" s="73"/>
      <c r="BZ336" s="73"/>
      <c r="CA336" s="73"/>
      <c r="CB336" s="73"/>
      <c r="CC336" s="73"/>
      <c r="CD336" s="73"/>
      <c r="CE336" s="73"/>
    </row>
    <row r="337">
      <c r="A337" s="73"/>
      <c r="B337" s="73"/>
      <c r="C337" s="73"/>
      <c r="D337" s="74"/>
      <c r="E337" s="73"/>
      <c r="F337" s="73"/>
      <c r="G337" s="73"/>
      <c r="H337" s="73"/>
      <c r="I337" s="73"/>
      <c r="J337" s="73"/>
      <c r="K337" s="92"/>
      <c r="L337" s="73"/>
      <c r="M337" s="73"/>
      <c r="N337" s="73"/>
      <c r="O337" s="73"/>
      <c r="P337" s="73"/>
      <c r="Q337" s="75"/>
      <c r="R337" s="82"/>
      <c r="S337" s="73"/>
      <c r="T337" s="73"/>
      <c r="U337" s="73"/>
      <c r="V337" s="73"/>
      <c r="W337" s="73"/>
      <c r="X337" s="73"/>
      <c r="Y337" s="77"/>
      <c r="Z337" s="104"/>
      <c r="AA337" s="73"/>
      <c r="AB337" s="104"/>
      <c r="AC337" s="104"/>
      <c r="AD337" s="74"/>
      <c r="AE337" s="106"/>
      <c r="AF337" s="195"/>
      <c r="AG337" s="80"/>
      <c r="AH337" s="104"/>
      <c r="AI337" s="73"/>
      <c r="AJ337" s="114"/>
      <c r="AK337" s="106"/>
      <c r="AL337" s="74"/>
      <c r="AM337" s="73"/>
      <c r="AN337" s="73"/>
      <c r="AO337" s="102"/>
      <c r="AP337" s="73"/>
      <c r="AQ337" s="73"/>
      <c r="AR337" s="74"/>
      <c r="AS337" s="73"/>
      <c r="AT337" s="73"/>
      <c r="AU337" s="73"/>
      <c r="AV337" s="73"/>
      <c r="AW337" s="73"/>
      <c r="AX337" s="74"/>
      <c r="AY337" s="73"/>
      <c r="AZ337" s="73"/>
      <c r="BA337" s="74"/>
      <c r="BB337" s="73"/>
      <c r="BC337" s="73"/>
      <c r="BD337" s="73"/>
      <c r="BE337" s="73"/>
      <c r="BF337" s="73"/>
      <c r="BG337" s="73"/>
      <c r="BH337" s="73"/>
      <c r="BI337" s="73"/>
      <c r="BJ337" s="73"/>
      <c r="BK337" s="73"/>
      <c r="BL337" s="73"/>
      <c r="BM337" s="73"/>
      <c r="BN337" s="73"/>
      <c r="BO337" s="73"/>
      <c r="BP337" s="73"/>
      <c r="BQ337" s="73"/>
      <c r="BR337" s="73"/>
      <c r="BS337" s="73"/>
      <c r="BT337" s="74"/>
      <c r="BU337" s="73"/>
      <c r="BV337" s="73"/>
      <c r="BW337" s="73"/>
      <c r="BX337" s="73"/>
      <c r="BY337" s="73"/>
      <c r="BZ337" s="73"/>
      <c r="CA337" s="73"/>
      <c r="CB337" s="73"/>
      <c r="CC337" s="73"/>
      <c r="CD337" s="73"/>
      <c r="CE337" s="73"/>
    </row>
    <row r="338">
      <c r="A338" s="73"/>
      <c r="B338" s="73"/>
      <c r="C338" s="73"/>
      <c r="D338" s="74"/>
      <c r="E338" s="73"/>
      <c r="F338" s="73"/>
      <c r="G338" s="73"/>
      <c r="H338" s="73"/>
      <c r="I338" s="73"/>
      <c r="J338" s="73"/>
      <c r="K338" s="92"/>
      <c r="L338" s="73"/>
      <c r="M338" s="73"/>
      <c r="N338" s="73"/>
      <c r="O338" s="73"/>
      <c r="P338" s="73"/>
      <c r="Q338" s="75"/>
      <c r="R338" s="82"/>
      <c r="S338" s="73"/>
      <c r="T338" s="73"/>
      <c r="U338" s="73"/>
      <c r="V338" s="73"/>
      <c r="W338" s="73"/>
      <c r="X338" s="73"/>
      <c r="Y338" s="77"/>
      <c r="Z338" s="104"/>
      <c r="AA338" s="73"/>
      <c r="AB338" s="104"/>
      <c r="AC338" s="104"/>
      <c r="AD338" s="74"/>
      <c r="AE338" s="106"/>
      <c r="AF338" s="195"/>
      <c r="AG338" s="80"/>
      <c r="AH338" s="104"/>
      <c r="AI338" s="73"/>
      <c r="AJ338" s="114"/>
      <c r="AK338" s="106"/>
      <c r="AL338" s="74"/>
      <c r="AM338" s="73"/>
      <c r="AN338" s="73"/>
      <c r="AO338" s="102"/>
      <c r="AP338" s="73"/>
      <c r="AQ338" s="73"/>
      <c r="AR338" s="74"/>
      <c r="AS338" s="73"/>
      <c r="AT338" s="73"/>
      <c r="AU338" s="73"/>
      <c r="AV338" s="73"/>
      <c r="AW338" s="73"/>
      <c r="AX338" s="74"/>
      <c r="AY338" s="73"/>
      <c r="AZ338" s="73"/>
      <c r="BA338" s="74"/>
      <c r="BB338" s="73"/>
      <c r="BC338" s="73"/>
      <c r="BD338" s="73"/>
      <c r="BE338" s="73"/>
      <c r="BF338" s="73"/>
      <c r="BG338" s="73"/>
      <c r="BH338" s="73"/>
      <c r="BI338" s="73"/>
      <c r="BJ338" s="73"/>
      <c r="BK338" s="73"/>
      <c r="BL338" s="73"/>
      <c r="BM338" s="73"/>
      <c r="BN338" s="73"/>
      <c r="BO338" s="73"/>
      <c r="BP338" s="73"/>
      <c r="BQ338" s="73"/>
      <c r="BR338" s="73"/>
      <c r="BS338" s="73"/>
      <c r="BT338" s="74"/>
      <c r="BU338" s="73"/>
      <c r="BV338" s="73"/>
      <c r="BW338" s="73"/>
      <c r="BX338" s="73"/>
      <c r="BY338" s="73"/>
      <c r="BZ338" s="73"/>
      <c r="CA338" s="73"/>
      <c r="CB338" s="73"/>
      <c r="CC338" s="73"/>
      <c r="CD338" s="73"/>
      <c r="CE338" s="73"/>
    </row>
    <row r="339">
      <c r="A339" s="73"/>
      <c r="B339" s="73"/>
      <c r="C339" s="73"/>
      <c r="D339" s="74"/>
      <c r="E339" s="73"/>
      <c r="F339" s="73"/>
      <c r="G339" s="73"/>
      <c r="H339" s="73"/>
      <c r="I339" s="73"/>
      <c r="J339" s="73"/>
      <c r="K339" s="92"/>
      <c r="L339" s="73"/>
      <c r="M339" s="73"/>
      <c r="N339" s="73"/>
      <c r="O339" s="73"/>
      <c r="P339" s="73"/>
      <c r="Q339" s="75"/>
      <c r="R339" s="82"/>
      <c r="S339" s="73"/>
      <c r="T339" s="73"/>
      <c r="U339" s="73"/>
      <c r="V339" s="73"/>
      <c r="W339" s="73"/>
      <c r="X339" s="73"/>
      <c r="Y339" s="77"/>
      <c r="Z339" s="104"/>
      <c r="AA339" s="73"/>
      <c r="AB339" s="104"/>
      <c r="AC339" s="104"/>
      <c r="AD339" s="74"/>
      <c r="AE339" s="106"/>
      <c r="AF339" s="195"/>
      <c r="AG339" s="80"/>
      <c r="AH339" s="104"/>
      <c r="AI339" s="73"/>
      <c r="AJ339" s="114"/>
      <c r="AK339" s="106"/>
      <c r="AL339" s="74"/>
      <c r="AM339" s="73"/>
      <c r="AN339" s="73"/>
      <c r="AO339" s="102"/>
      <c r="AP339" s="73"/>
      <c r="AQ339" s="73"/>
      <c r="AR339" s="74"/>
      <c r="AS339" s="73"/>
      <c r="AT339" s="73"/>
      <c r="AU339" s="73"/>
      <c r="AV339" s="73"/>
      <c r="AW339" s="73"/>
      <c r="AX339" s="74"/>
      <c r="AY339" s="73"/>
      <c r="AZ339" s="73"/>
      <c r="BA339" s="74"/>
      <c r="BB339" s="73"/>
      <c r="BC339" s="73"/>
      <c r="BD339" s="73"/>
      <c r="BE339" s="73"/>
      <c r="BF339" s="73"/>
      <c r="BG339" s="73"/>
      <c r="BH339" s="73"/>
      <c r="BI339" s="73"/>
      <c r="BJ339" s="73"/>
      <c r="BK339" s="73"/>
      <c r="BL339" s="73"/>
      <c r="BM339" s="73"/>
      <c r="BN339" s="73"/>
      <c r="BO339" s="73"/>
      <c r="BP339" s="73"/>
      <c r="BQ339" s="73"/>
      <c r="BR339" s="73"/>
      <c r="BS339" s="73"/>
      <c r="BT339" s="74"/>
      <c r="BU339" s="73"/>
      <c r="BV339" s="73"/>
      <c r="BW339" s="73"/>
      <c r="BX339" s="73"/>
      <c r="BY339" s="73"/>
      <c r="BZ339" s="73"/>
      <c r="CA339" s="73"/>
      <c r="CB339" s="73"/>
      <c r="CC339" s="73"/>
      <c r="CD339" s="73"/>
      <c r="CE339" s="73"/>
    </row>
    <row r="340">
      <c r="A340" s="73"/>
      <c r="B340" s="73"/>
      <c r="C340" s="73"/>
      <c r="D340" s="74"/>
      <c r="E340" s="73"/>
      <c r="F340" s="73"/>
      <c r="G340" s="73"/>
      <c r="H340" s="73"/>
      <c r="I340" s="73"/>
      <c r="J340" s="73"/>
      <c r="K340" s="92"/>
      <c r="L340" s="73"/>
      <c r="M340" s="73"/>
      <c r="N340" s="73"/>
      <c r="O340" s="73"/>
      <c r="P340" s="73"/>
      <c r="Q340" s="75"/>
      <c r="R340" s="82"/>
      <c r="S340" s="73"/>
      <c r="T340" s="73"/>
      <c r="U340" s="73"/>
      <c r="V340" s="73"/>
      <c r="W340" s="73"/>
      <c r="X340" s="73"/>
      <c r="Y340" s="77"/>
      <c r="Z340" s="104"/>
      <c r="AA340" s="73"/>
      <c r="AB340" s="104"/>
      <c r="AC340" s="104"/>
      <c r="AD340" s="74"/>
      <c r="AE340" s="106"/>
      <c r="AF340" s="195"/>
      <c r="AG340" s="80"/>
      <c r="AH340" s="104"/>
      <c r="AI340" s="73"/>
      <c r="AJ340" s="114"/>
      <c r="AK340" s="106"/>
      <c r="AL340" s="74"/>
      <c r="AM340" s="73"/>
      <c r="AN340" s="73"/>
      <c r="AO340" s="102"/>
      <c r="AP340" s="73"/>
      <c r="AQ340" s="73"/>
      <c r="AR340" s="74"/>
      <c r="AS340" s="73"/>
      <c r="AT340" s="73"/>
      <c r="AU340" s="73"/>
      <c r="AV340" s="73"/>
      <c r="AW340" s="73"/>
      <c r="AX340" s="74"/>
      <c r="AY340" s="73"/>
      <c r="AZ340" s="73"/>
      <c r="BA340" s="74"/>
      <c r="BB340" s="73"/>
      <c r="BC340" s="73"/>
      <c r="BD340" s="73"/>
      <c r="BE340" s="73"/>
      <c r="BF340" s="73"/>
      <c r="BG340" s="73"/>
      <c r="BH340" s="73"/>
      <c r="BI340" s="73"/>
      <c r="BJ340" s="73"/>
      <c r="BK340" s="73"/>
      <c r="BL340" s="73"/>
      <c r="BM340" s="73"/>
      <c r="BN340" s="73"/>
      <c r="BO340" s="73"/>
      <c r="BP340" s="73"/>
      <c r="BQ340" s="73"/>
      <c r="BR340" s="73"/>
      <c r="BS340" s="73"/>
      <c r="BT340" s="74"/>
      <c r="BU340" s="73"/>
      <c r="BV340" s="73"/>
      <c r="BW340" s="73"/>
      <c r="BX340" s="73"/>
      <c r="BY340" s="73"/>
      <c r="BZ340" s="73"/>
      <c r="CA340" s="73"/>
      <c r="CB340" s="73"/>
      <c r="CC340" s="73"/>
      <c r="CD340" s="73"/>
      <c r="CE340" s="73"/>
    </row>
    <row r="341">
      <c r="A341" s="73"/>
      <c r="B341" s="73"/>
      <c r="C341" s="73"/>
      <c r="D341" s="74"/>
      <c r="E341" s="73"/>
      <c r="F341" s="73"/>
      <c r="G341" s="73"/>
      <c r="H341" s="73"/>
      <c r="I341" s="73"/>
      <c r="J341" s="73"/>
      <c r="K341" s="92"/>
      <c r="L341" s="73"/>
      <c r="M341" s="73"/>
      <c r="N341" s="73"/>
      <c r="O341" s="73"/>
      <c r="P341" s="73"/>
      <c r="Q341" s="75"/>
      <c r="R341" s="82"/>
      <c r="S341" s="73"/>
      <c r="T341" s="73"/>
      <c r="U341" s="73"/>
      <c r="V341" s="73"/>
      <c r="W341" s="73"/>
      <c r="X341" s="73"/>
      <c r="Y341" s="77"/>
      <c r="Z341" s="104"/>
      <c r="AA341" s="73"/>
      <c r="AB341" s="104"/>
      <c r="AC341" s="104"/>
      <c r="AD341" s="74"/>
      <c r="AE341" s="106"/>
      <c r="AF341" s="195"/>
      <c r="AG341" s="80"/>
      <c r="AH341" s="104"/>
      <c r="AI341" s="73"/>
      <c r="AJ341" s="114"/>
      <c r="AK341" s="106"/>
      <c r="AL341" s="74"/>
      <c r="AM341" s="73"/>
      <c r="AN341" s="73"/>
      <c r="AO341" s="102"/>
      <c r="AP341" s="73"/>
      <c r="AQ341" s="73"/>
      <c r="AR341" s="74"/>
      <c r="AS341" s="73"/>
      <c r="AT341" s="73"/>
      <c r="AU341" s="73"/>
      <c r="AV341" s="73"/>
      <c r="AW341" s="73"/>
      <c r="AX341" s="74"/>
      <c r="AY341" s="73"/>
      <c r="AZ341" s="73"/>
      <c r="BA341" s="74"/>
      <c r="BB341" s="73"/>
      <c r="BC341" s="73"/>
      <c r="BD341" s="73"/>
      <c r="BE341" s="73"/>
      <c r="BF341" s="73"/>
      <c r="BG341" s="73"/>
      <c r="BH341" s="73"/>
      <c r="BI341" s="73"/>
      <c r="BJ341" s="73"/>
      <c r="BK341" s="73"/>
      <c r="BL341" s="73"/>
      <c r="BM341" s="73"/>
      <c r="BN341" s="73"/>
      <c r="BO341" s="73"/>
      <c r="BP341" s="73"/>
      <c r="BQ341" s="73"/>
      <c r="BR341" s="73"/>
      <c r="BS341" s="73"/>
      <c r="BT341" s="74"/>
      <c r="BU341" s="73"/>
      <c r="BV341" s="73"/>
      <c r="BW341" s="73"/>
      <c r="BX341" s="73"/>
      <c r="BY341" s="73"/>
      <c r="BZ341" s="73"/>
      <c r="CA341" s="73"/>
      <c r="CB341" s="73"/>
      <c r="CC341" s="73"/>
      <c r="CD341" s="73"/>
      <c r="CE341" s="73"/>
    </row>
    <row r="342">
      <c r="A342" s="73"/>
      <c r="B342" s="73"/>
      <c r="C342" s="73"/>
      <c r="D342" s="74"/>
      <c r="E342" s="73"/>
      <c r="F342" s="73"/>
      <c r="G342" s="73"/>
      <c r="H342" s="73"/>
      <c r="I342" s="73"/>
      <c r="J342" s="73"/>
      <c r="K342" s="92"/>
      <c r="L342" s="73"/>
      <c r="M342" s="73"/>
      <c r="N342" s="73"/>
      <c r="O342" s="73"/>
      <c r="P342" s="73"/>
      <c r="Q342" s="75"/>
      <c r="R342" s="82"/>
      <c r="S342" s="73"/>
      <c r="T342" s="73"/>
      <c r="U342" s="73"/>
      <c r="V342" s="73"/>
      <c r="W342" s="73"/>
      <c r="X342" s="73"/>
      <c r="Y342" s="77"/>
      <c r="Z342" s="104"/>
      <c r="AA342" s="73"/>
      <c r="AB342" s="104"/>
      <c r="AC342" s="104"/>
      <c r="AD342" s="74"/>
      <c r="AE342" s="106"/>
      <c r="AF342" s="195"/>
      <c r="AG342" s="80"/>
      <c r="AH342" s="104"/>
      <c r="AI342" s="73"/>
      <c r="AJ342" s="114"/>
      <c r="AK342" s="106"/>
      <c r="AL342" s="74"/>
      <c r="AM342" s="73"/>
      <c r="AN342" s="73"/>
      <c r="AO342" s="102"/>
      <c r="AP342" s="73"/>
      <c r="AQ342" s="73"/>
      <c r="AR342" s="74"/>
      <c r="AS342" s="73"/>
      <c r="AT342" s="73"/>
      <c r="AU342" s="73"/>
      <c r="AV342" s="73"/>
      <c r="AW342" s="73"/>
      <c r="AX342" s="74"/>
      <c r="AY342" s="73"/>
      <c r="AZ342" s="73"/>
      <c r="BA342" s="74"/>
      <c r="BB342" s="73"/>
      <c r="BC342" s="73"/>
      <c r="BD342" s="73"/>
      <c r="BE342" s="73"/>
      <c r="BF342" s="73"/>
      <c r="BG342" s="73"/>
      <c r="BH342" s="73"/>
      <c r="BI342" s="73"/>
      <c r="BJ342" s="73"/>
      <c r="BK342" s="73"/>
      <c r="BL342" s="73"/>
      <c r="BM342" s="73"/>
      <c r="BN342" s="73"/>
      <c r="BO342" s="73"/>
      <c r="BP342" s="73"/>
      <c r="BQ342" s="73"/>
      <c r="BR342" s="73"/>
      <c r="BS342" s="73"/>
      <c r="BT342" s="74"/>
      <c r="BU342" s="73"/>
      <c r="BV342" s="73"/>
      <c r="BW342" s="73"/>
      <c r="BX342" s="73"/>
      <c r="BY342" s="73"/>
      <c r="BZ342" s="73"/>
      <c r="CA342" s="73"/>
      <c r="CB342" s="73"/>
      <c r="CC342" s="73"/>
      <c r="CD342" s="73"/>
      <c r="CE342" s="73"/>
    </row>
    <row r="343">
      <c r="A343" s="73"/>
      <c r="B343" s="73"/>
      <c r="C343" s="73"/>
      <c r="D343" s="74"/>
      <c r="E343" s="73"/>
      <c r="F343" s="73"/>
      <c r="G343" s="73"/>
      <c r="H343" s="73"/>
      <c r="I343" s="73"/>
      <c r="J343" s="73"/>
      <c r="K343" s="92"/>
      <c r="L343" s="73"/>
      <c r="M343" s="73"/>
      <c r="N343" s="73"/>
      <c r="O343" s="73"/>
      <c r="P343" s="73"/>
      <c r="Q343" s="75"/>
      <c r="R343" s="82"/>
      <c r="S343" s="73"/>
      <c r="T343" s="73"/>
      <c r="U343" s="73"/>
      <c r="V343" s="73"/>
      <c r="W343" s="73"/>
      <c r="X343" s="73"/>
      <c r="Y343" s="77"/>
      <c r="Z343" s="104"/>
      <c r="AA343" s="73"/>
      <c r="AB343" s="104"/>
      <c r="AC343" s="104"/>
      <c r="AD343" s="74"/>
      <c r="AE343" s="106"/>
      <c r="AF343" s="195"/>
      <c r="AG343" s="80"/>
      <c r="AH343" s="104"/>
      <c r="AI343" s="73"/>
      <c r="AJ343" s="114"/>
      <c r="AK343" s="106"/>
      <c r="AL343" s="74"/>
      <c r="AM343" s="73"/>
      <c r="AN343" s="73"/>
      <c r="AO343" s="102"/>
      <c r="AP343" s="73"/>
      <c r="AQ343" s="73"/>
      <c r="AR343" s="74"/>
      <c r="AS343" s="73"/>
      <c r="AT343" s="73"/>
      <c r="AU343" s="73"/>
      <c r="AV343" s="73"/>
      <c r="AW343" s="73"/>
      <c r="AX343" s="74"/>
      <c r="AY343" s="73"/>
      <c r="AZ343" s="73"/>
      <c r="BA343" s="74"/>
      <c r="BB343" s="73"/>
      <c r="BC343" s="73"/>
      <c r="BD343" s="73"/>
      <c r="BE343" s="73"/>
      <c r="BF343" s="73"/>
      <c r="BG343" s="73"/>
      <c r="BH343" s="73"/>
      <c r="BI343" s="73"/>
      <c r="BJ343" s="73"/>
      <c r="BK343" s="73"/>
      <c r="BL343" s="73"/>
      <c r="BM343" s="73"/>
      <c r="BN343" s="73"/>
      <c r="BO343" s="73"/>
      <c r="BP343" s="73"/>
      <c r="BQ343" s="73"/>
      <c r="BR343" s="73"/>
      <c r="BS343" s="73"/>
      <c r="BT343" s="74"/>
      <c r="BU343" s="73"/>
      <c r="BV343" s="73"/>
      <c r="BW343" s="73"/>
      <c r="BX343" s="73"/>
      <c r="BY343" s="73"/>
      <c r="BZ343" s="73"/>
      <c r="CA343" s="73"/>
      <c r="CB343" s="73"/>
      <c r="CC343" s="73"/>
      <c r="CD343" s="73"/>
      <c r="CE343" s="73"/>
    </row>
    <row r="344">
      <c r="A344" s="73"/>
      <c r="B344" s="73"/>
      <c r="C344" s="73"/>
      <c r="D344" s="74"/>
      <c r="E344" s="73"/>
      <c r="F344" s="73"/>
      <c r="G344" s="73"/>
      <c r="H344" s="73"/>
      <c r="I344" s="73"/>
      <c r="J344" s="73"/>
      <c r="K344" s="92"/>
      <c r="L344" s="73"/>
      <c r="M344" s="73"/>
      <c r="N344" s="73"/>
      <c r="O344" s="73"/>
      <c r="P344" s="73"/>
      <c r="Q344" s="75"/>
      <c r="R344" s="82"/>
      <c r="S344" s="73"/>
      <c r="T344" s="73"/>
      <c r="U344" s="73"/>
      <c r="V344" s="73"/>
      <c r="W344" s="73"/>
      <c r="X344" s="73"/>
      <c r="Y344" s="77"/>
      <c r="Z344" s="104"/>
      <c r="AA344" s="73"/>
      <c r="AB344" s="104"/>
      <c r="AC344" s="104"/>
      <c r="AD344" s="74"/>
      <c r="AE344" s="106"/>
      <c r="AF344" s="195"/>
      <c r="AG344" s="80"/>
      <c r="AH344" s="104"/>
      <c r="AI344" s="73"/>
      <c r="AJ344" s="114"/>
      <c r="AK344" s="106"/>
      <c r="AL344" s="74"/>
      <c r="AM344" s="73"/>
      <c r="AN344" s="73"/>
      <c r="AO344" s="102"/>
      <c r="AP344" s="73"/>
      <c r="AQ344" s="73"/>
      <c r="AR344" s="74"/>
      <c r="AS344" s="73"/>
      <c r="AT344" s="73"/>
      <c r="AU344" s="73"/>
      <c r="AV344" s="73"/>
      <c r="AW344" s="73"/>
      <c r="AX344" s="74"/>
      <c r="AY344" s="73"/>
      <c r="AZ344" s="73"/>
      <c r="BA344" s="74"/>
      <c r="BB344" s="73"/>
      <c r="BC344" s="73"/>
      <c r="BD344" s="73"/>
      <c r="BE344" s="73"/>
      <c r="BF344" s="73"/>
      <c r="BG344" s="73"/>
      <c r="BH344" s="73"/>
      <c r="BI344" s="73"/>
      <c r="BJ344" s="73"/>
      <c r="BK344" s="73"/>
      <c r="BL344" s="73"/>
      <c r="BM344" s="73"/>
      <c r="BN344" s="73"/>
      <c r="BO344" s="73"/>
      <c r="BP344" s="73"/>
      <c r="BQ344" s="73"/>
      <c r="BR344" s="73"/>
      <c r="BS344" s="73"/>
      <c r="BT344" s="74"/>
      <c r="BU344" s="73"/>
      <c r="BV344" s="73"/>
      <c r="BW344" s="73"/>
      <c r="BX344" s="73"/>
      <c r="BY344" s="73"/>
      <c r="BZ344" s="73"/>
      <c r="CA344" s="73"/>
      <c r="CB344" s="73"/>
      <c r="CC344" s="73"/>
      <c r="CD344" s="73"/>
      <c r="CE344" s="73"/>
    </row>
    <row r="345">
      <c r="A345" s="131"/>
      <c r="B345" s="73"/>
      <c r="C345" s="73"/>
      <c r="D345" s="74"/>
      <c r="E345" s="73"/>
      <c r="F345" s="73"/>
      <c r="G345" s="73"/>
      <c r="H345" s="73"/>
      <c r="I345" s="73"/>
      <c r="J345" s="73"/>
      <c r="K345" s="92"/>
      <c r="L345" s="73"/>
      <c r="M345" s="73"/>
      <c r="N345" s="73"/>
      <c r="O345" s="73"/>
      <c r="P345" s="73"/>
      <c r="Q345" s="75"/>
      <c r="R345" s="82"/>
      <c r="S345" s="73"/>
      <c r="T345" s="73"/>
      <c r="U345" s="73"/>
      <c r="V345" s="73"/>
      <c r="W345" s="73"/>
      <c r="X345" s="73"/>
      <c r="Y345" s="77"/>
      <c r="Z345" s="104"/>
      <c r="AA345" s="73"/>
      <c r="AB345" s="104"/>
      <c r="AC345" s="104"/>
      <c r="AD345" s="74"/>
      <c r="AE345" s="106"/>
      <c r="AF345" s="195"/>
      <c r="AG345" s="80"/>
      <c r="AH345" s="104"/>
      <c r="AI345" s="73"/>
      <c r="AJ345" s="114"/>
      <c r="AK345" s="106"/>
      <c r="AL345" s="74"/>
      <c r="AM345" s="73"/>
      <c r="AN345" s="73"/>
      <c r="AO345" s="102"/>
      <c r="AP345" s="73"/>
      <c r="AQ345" s="73"/>
      <c r="AR345" s="74"/>
      <c r="AS345" s="73"/>
      <c r="AT345" s="73"/>
      <c r="AU345" s="73"/>
      <c r="AV345" s="73"/>
      <c r="AW345" s="73"/>
      <c r="AX345" s="74"/>
      <c r="AY345" s="73"/>
      <c r="AZ345" s="73"/>
      <c r="BA345" s="74"/>
      <c r="BB345" s="73"/>
      <c r="BC345" s="73"/>
      <c r="BD345" s="73"/>
      <c r="BE345" s="73"/>
      <c r="BF345" s="73"/>
      <c r="BG345" s="73"/>
      <c r="BH345" s="73"/>
      <c r="BI345" s="73"/>
      <c r="BJ345" s="73"/>
      <c r="BK345" s="73"/>
      <c r="BL345" s="73"/>
      <c r="BM345" s="73"/>
      <c r="BN345" s="73"/>
      <c r="BO345" s="73"/>
      <c r="BP345" s="73"/>
      <c r="BQ345" s="73"/>
      <c r="BR345" s="73"/>
      <c r="BS345" s="73"/>
      <c r="BT345" s="74"/>
      <c r="BU345" s="73"/>
      <c r="BV345" s="73"/>
      <c r="BW345" s="73"/>
      <c r="BX345" s="73"/>
      <c r="BY345" s="73"/>
      <c r="BZ345" s="73"/>
      <c r="CA345" s="73"/>
      <c r="CB345" s="73"/>
      <c r="CC345" s="73"/>
      <c r="CD345" s="73"/>
      <c r="CE345" s="73"/>
    </row>
    <row r="346">
      <c r="A346" s="131"/>
      <c r="B346" s="73"/>
      <c r="C346" s="73"/>
      <c r="D346" s="74"/>
      <c r="E346" s="73"/>
      <c r="F346" s="73"/>
      <c r="G346" s="73"/>
      <c r="H346" s="73"/>
      <c r="I346" s="73"/>
      <c r="J346" s="73"/>
      <c r="K346" s="92"/>
      <c r="L346" s="73"/>
      <c r="M346" s="73"/>
      <c r="N346" s="73"/>
      <c r="O346" s="73"/>
      <c r="P346" s="73"/>
      <c r="Q346" s="75"/>
      <c r="R346" s="82"/>
      <c r="S346" s="73"/>
      <c r="T346" s="73"/>
      <c r="U346" s="73"/>
      <c r="V346" s="73"/>
      <c r="W346" s="73"/>
      <c r="X346" s="73"/>
      <c r="Y346" s="77"/>
      <c r="Z346" s="104"/>
      <c r="AA346" s="73"/>
      <c r="AB346" s="104"/>
      <c r="AC346" s="104"/>
      <c r="AD346" s="74"/>
      <c r="AE346" s="106"/>
      <c r="AF346" s="195"/>
      <c r="AG346" s="80"/>
      <c r="AH346" s="104"/>
      <c r="AI346" s="73"/>
      <c r="AJ346" s="114"/>
      <c r="AK346" s="106"/>
      <c r="AL346" s="74"/>
      <c r="AM346" s="73"/>
      <c r="AN346" s="73"/>
      <c r="AO346" s="102"/>
      <c r="AP346" s="73"/>
      <c r="AQ346" s="73"/>
      <c r="AR346" s="74"/>
      <c r="AS346" s="73"/>
      <c r="AT346" s="73"/>
      <c r="AU346" s="73"/>
      <c r="AV346" s="73"/>
      <c r="AW346" s="73"/>
      <c r="AX346" s="74"/>
      <c r="AY346" s="73"/>
      <c r="AZ346" s="73"/>
      <c r="BA346" s="74"/>
      <c r="BB346" s="73"/>
      <c r="BC346" s="73"/>
      <c r="BD346" s="73"/>
      <c r="BE346" s="73"/>
      <c r="BF346" s="73"/>
      <c r="BG346" s="73"/>
      <c r="BH346" s="73"/>
      <c r="BI346" s="73"/>
      <c r="BJ346" s="73"/>
      <c r="BK346" s="73"/>
      <c r="BL346" s="73"/>
      <c r="BM346" s="73"/>
      <c r="BN346" s="73"/>
      <c r="BO346" s="73"/>
      <c r="BP346" s="73"/>
      <c r="BQ346" s="73"/>
      <c r="BR346" s="73"/>
      <c r="BS346" s="73"/>
      <c r="BT346" s="74"/>
      <c r="BU346" s="73"/>
      <c r="BV346" s="73"/>
      <c r="BW346" s="73"/>
      <c r="BX346" s="73"/>
      <c r="BY346" s="73"/>
      <c r="BZ346" s="73"/>
      <c r="CA346" s="73"/>
      <c r="CB346" s="73"/>
      <c r="CC346" s="73"/>
      <c r="CD346" s="73"/>
      <c r="CE346" s="73"/>
    </row>
    <row r="347">
      <c r="A347" s="131"/>
      <c r="B347" s="73"/>
      <c r="C347" s="73"/>
      <c r="D347" s="74"/>
      <c r="E347" s="73"/>
      <c r="F347" s="73"/>
      <c r="G347" s="73"/>
      <c r="H347" s="73"/>
      <c r="I347" s="73"/>
      <c r="J347" s="73"/>
      <c r="K347" s="92"/>
      <c r="L347" s="73"/>
      <c r="M347" s="73"/>
      <c r="N347" s="73"/>
      <c r="O347" s="73"/>
      <c r="P347" s="73"/>
      <c r="Q347" s="75"/>
      <c r="R347" s="82"/>
      <c r="S347" s="73"/>
      <c r="T347" s="73"/>
      <c r="U347" s="73"/>
      <c r="V347" s="73"/>
      <c r="W347" s="73"/>
      <c r="X347" s="73"/>
      <c r="Y347" s="77"/>
      <c r="Z347" s="104"/>
      <c r="AA347" s="73"/>
      <c r="AB347" s="104"/>
      <c r="AC347" s="104"/>
      <c r="AD347" s="74"/>
      <c r="AE347" s="106"/>
      <c r="AF347" s="195"/>
      <c r="AG347" s="80"/>
      <c r="AH347" s="104"/>
      <c r="AI347" s="73"/>
      <c r="AJ347" s="114"/>
      <c r="AK347" s="106"/>
      <c r="AL347" s="74"/>
      <c r="AM347" s="73"/>
      <c r="AN347" s="73"/>
      <c r="AO347" s="102"/>
      <c r="AP347" s="73"/>
      <c r="AQ347" s="73"/>
      <c r="AR347" s="74"/>
      <c r="AS347" s="73"/>
      <c r="AT347" s="73"/>
      <c r="AU347" s="73"/>
      <c r="AV347" s="73"/>
      <c r="AW347" s="73"/>
      <c r="AX347" s="74"/>
      <c r="AY347" s="73"/>
      <c r="AZ347" s="73"/>
      <c r="BA347" s="74"/>
      <c r="BB347" s="73"/>
      <c r="BC347" s="73"/>
      <c r="BD347" s="73"/>
      <c r="BE347" s="73"/>
      <c r="BF347" s="73"/>
      <c r="BG347" s="73"/>
      <c r="BH347" s="73"/>
      <c r="BI347" s="73"/>
      <c r="BJ347" s="73"/>
      <c r="BK347" s="73"/>
      <c r="BL347" s="73"/>
      <c r="BM347" s="73"/>
      <c r="BN347" s="73"/>
      <c r="BO347" s="73"/>
      <c r="BP347" s="73"/>
      <c r="BQ347" s="73"/>
      <c r="BR347" s="73"/>
      <c r="BS347" s="73"/>
      <c r="BT347" s="74"/>
      <c r="BU347" s="73"/>
      <c r="BV347" s="73"/>
      <c r="BW347" s="73"/>
      <c r="BX347" s="73"/>
      <c r="BY347" s="73"/>
      <c r="BZ347" s="73"/>
      <c r="CA347" s="73"/>
      <c r="CB347" s="73"/>
      <c r="CC347" s="73"/>
      <c r="CD347" s="73"/>
      <c r="CE347" s="73"/>
    </row>
    <row r="348">
      <c r="A348" s="131"/>
      <c r="B348" s="73"/>
      <c r="C348" s="73"/>
      <c r="D348" s="74"/>
      <c r="E348" s="73"/>
      <c r="F348" s="73"/>
      <c r="G348" s="73"/>
      <c r="H348" s="73"/>
      <c r="I348" s="73"/>
      <c r="J348" s="73"/>
      <c r="K348" s="92"/>
      <c r="L348" s="73"/>
      <c r="M348" s="73"/>
      <c r="N348" s="73"/>
      <c r="O348" s="73"/>
      <c r="P348" s="73"/>
      <c r="Q348" s="75"/>
      <c r="R348" s="82"/>
      <c r="S348" s="73"/>
      <c r="T348" s="73"/>
      <c r="U348" s="73"/>
      <c r="V348" s="73"/>
      <c r="W348" s="73"/>
      <c r="X348" s="73"/>
      <c r="Y348" s="77"/>
      <c r="Z348" s="104"/>
      <c r="AA348" s="73"/>
      <c r="AB348" s="104"/>
      <c r="AC348" s="104"/>
      <c r="AD348" s="74"/>
      <c r="AE348" s="106"/>
      <c r="AF348" s="195"/>
      <c r="AG348" s="80"/>
      <c r="AH348" s="104"/>
      <c r="AI348" s="73"/>
      <c r="AJ348" s="114"/>
      <c r="AK348" s="106"/>
      <c r="AL348" s="74"/>
      <c r="AM348" s="73"/>
      <c r="AN348" s="73"/>
      <c r="AO348" s="102"/>
      <c r="AP348" s="73"/>
      <c r="AQ348" s="73"/>
      <c r="AR348" s="74"/>
      <c r="AS348" s="73"/>
      <c r="AT348" s="73"/>
      <c r="AU348" s="73"/>
      <c r="AV348" s="73"/>
      <c r="AW348" s="73"/>
      <c r="AX348" s="74"/>
      <c r="AY348" s="73"/>
      <c r="AZ348" s="73"/>
      <c r="BA348" s="74"/>
      <c r="BB348" s="73"/>
      <c r="BC348" s="73"/>
      <c r="BD348" s="73"/>
      <c r="BE348" s="73"/>
      <c r="BF348" s="73"/>
      <c r="BG348" s="73"/>
      <c r="BH348" s="73"/>
      <c r="BI348" s="73"/>
      <c r="BJ348" s="73"/>
      <c r="BK348" s="73"/>
      <c r="BL348" s="73"/>
      <c r="BM348" s="73"/>
      <c r="BN348" s="73"/>
      <c r="BO348" s="73"/>
      <c r="BP348" s="73"/>
      <c r="BQ348" s="73"/>
      <c r="BR348" s="73"/>
      <c r="BS348" s="73"/>
      <c r="BT348" s="74"/>
      <c r="BU348" s="73"/>
      <c r="BV348" s="73"/>
      <c r="BW348" s="73"/>
      <c r="BX348" s="73"/>
      <c r="BY348" s="73"/>
      <c r="BZ348" s="73"/>
      <c r="CA348" s="73"/>
      <c r="CB348" s="73"/>
      <c r="CC348" s="73"/>
      <c r="CD348" s="73"/>
      <c r="CE348" s="73"/>
    </row>
    <row r="349">
      <c r="A349" s="131"/>
      <c r="B349" s="73"/>
      <c r="C349" s="73"/>
      <c r="D349" s="74"/>
      <c r="E349" s="73"/>
      <c r="F349" s="73"/>
      <c r="G349" s="73"/>
      <c r="H349" s="73"/>
      <c r="I349" s="73"/>
      <c r="J349" s="73"/>
      <c r="K349" s="92"/>
      <c r="L349" s="73"/>
      <c r="M349" s="73"/>
      <c r="N349" s="73"/>
      <c r="O349" s="73"/>
      <c r="P349" s="73"/>
      <c r="Q349" s="75"/>
      <c r="R349" s="82"/>
      <c r="S349" s="73"/>
      <c r="T349" s="73"/>
      <c r="U349" s="73"/>
      <c r="V349" s="73"/>
      <c r="W349" s="73"/>
      <c r="X349" s="73"/>
      <c r="Y349" s="77"/>
      <c r="Z349" s="104"/>
      <c r="AA349" s="73"/>
      <c r="AB349" s="104"/>
      <c r="AC349" s="104"/>
      <c r="AD349" s="74"/>
      <c r="AE349" s="106"/>
      <c r="AF349" s="195"/>
      <c r="AG349" s="80"/>
      <c r="AH349" s="104"/>
      <c r="AI349" s="73"/>
      <c r="AJ349" s="114"/>
      <c r="AK349" s="106"/>
      <c r="AL349" s="74"/>
      <c r="AM349" s="73"/>
      <c r="AN349" s="73"/>
      <c r="AO349" s="102"/>
      <c r="AP349" s="73"/>
      <c r="AQ349" s="73"/>
      <c r="AR349" s="74"/>
      <c r="AS349" s="73"/>
      <c r="AT349" s="73"/>
      <c r="AU349" s="73"/>
      <c r="AV349" s="73"/>
      <c r="AW349" s="73"/>
      <c r="AX349" s="74"/>
      <c r="AY349" s="73"/>
      <c r="AZ349" s="73"/>
      <c r="BA349" s="74"/>
      <c r="BB349" s="73"/>
      <c r="BC349" s="73"/>
      <c r="BD349" s="73"/>
      <c r="BE349" s="73"/>
      <c r="BF349" s="73"/>
      <c r="BG349" s="73"/>
      <c r="BH349" s="73"/>
      <c r="BI349" s="73"/>
      <c r="BJ349" s="73"/>
      <c r="BK349" s="73"/>
      <c r="BL349" s="73"/>
      <c r="BM349" s="73"/>
      <c r="BN349" s="73"/>
      <c r="BO349" s="73"/>
      <c r="BP349" s="73"/>
      <c r="BQ349" s="73"/>
      <c r="BR349" s="73"/>
      <c r="BS349" s="73"/>
      <c r="BT349" s="74"/>
      <c r="BU349" s="73"/>
      <c r="BV349" s="73"/>
      <c r="BW349" s="73"/>
      <c r="BX349" s="73"/>
      <c r="BY349" s="73"/>
      <c r="BZ349" s="73"/>
      <c r="CA349" s="73"/>
      <c r="CB349" s="73"/>
      <c r="CC349" s="73"/>
      <c r="CD349" s="73"/>
      <c r="CE349" s="73"/>
    </row>
    <row r="350">
      <c r="A350" s="131"/>
      <c r="B350" s="73"/>
      <c r="C350" s="73"/>
      <c r="D350" s="74"/>
      <c r="E350" s="73"/>
      <c r="F350" s="73"/>
      <c r="G350" s="73"/>
      <c r="H350" s="73"/>
      <c r="I350" s="73"/>
      <c r="J350" s="73"/>
      <c r="K350" s="92"/>
      <c r="L350" s="73"/>
      <c r="M350" s="73"/>
      <c r="N350" s="73"/>
      <c r="O350" s="73"/>
      <c r="P350" s="73"/>
      <c r="Q350" s="75"/>
      <c r="R350" s="82"/>
      <c r="S350" s="73"/>
      <c r="T350" s="73"/>
      <c r="U350" s="73"/>
      <c r="V350" s="73"/>
      <c r="W350" s="73"/>
      <c r="X350" s="73"/>
      <c r="Y350" s="77"/>
      <c r="Z350" s="104"/>
      <c r="AA350" s="73"/>
      <c r="AB350" s="104"/>
      <c r="AC350" s="104"/>
      <c r="AD350" s="74"/>
      <c r="AE350" s="106"/>
      <c r="AF350" s="195"/>
      <c r="AG350" s="80"/>
      <c r="AH350" s="104"/>
      <c r="AI350" s="73"/>
      <c r="AJ350" s="114"/>
      <c r="AK350" s="106"/>
      <c r="AL350" s="74"/>
      <c r="AM350" s="73"/>
      <c r="AN350" s="73"/>
      <c r="AO350" s="102"/>
      <c r="AP350" s="73"/>
      <c r="AQ350" s="73"/>
      <c r="AR350" s="74"/>
      <c r="AS350" s="73"/>
      <c r="AT350" s="73"/>
      <c r="AU350" s="73"/>
      <c r="AV350" s="73"/>
      <c r="AW350" s="73"/>
      <c r="AX350" s="74"/>
      <c r="AY350" s="73"/>
      <c r="AZ350" s="73"/>
      <c r="BA350" s="74"/>
      <c r="BB350" s="73"/>
      <c r="BC350" s="73"/>
      <c r="BD350" s="73"/>
      <c r="BE350" s="73"/>
      <c r="BF350" s="73"/>
      <c r="BG350" s="73"/>
      <c r="BH350" s="73"/>
      <c r="BI350" s="73"/>
      <c r="BJ350" s="73"/>
      <c r="BK350" s="73"/>
      <c r="BL350" s="73"/>
      <c r="BM350" s="73"/>
      <c r="BN350" s="73"/>
      <c r="BO350" s="73"/>
      <c r="BP350" s="73"/>
      <c r="BQ350" s="73"/>
      <c r="BR350" s="73"/>
      <c r="BS350" s="73"/>
      <c r="BT350" s="74"/>
      <c r="BU350" s="73"/>
      <c r="BV350" s="73"/>
      <c r="BW350" s="73"/>
      <c r="BX350" s="73"/>
      <c r="BY350" s="73"/>
      <c r="BZ350" s="73"/>
      <c r="CA350" s="73"/>
      <c r="CB350" s="73"/>
      <c r="CC350" s="73"/>
      <c r="CD350" s="73"/>
      <c r="CE350" s="73"/>
    </row>
    <row r="351">
      <c r="A351" s="131"/>
      <c r="B351" s="73"/>
      <c r="C351" s="73"/>
      <c r="D351" s="74"/>
      <c r="E351" s="73"/>
      <c r="F351" s="73"/>
      <c r="G351" s="73"/>
      <c r="H351" s="73"/>
      <c r="I351" s="73"/>
      <c r="J351" s="73"/>
      <c r="K351" s="92"/>
      <c r="L351" s="73"/>
      <c r="M351" s="73"/>
      <c r="N351" s="73"/>
      <c r="O351" s="73"/>
      <c r="P351" s="73"/>
      <c r="Q351" s="75"/>
      <c r="R351" s="82"/>
      <c r="S351" s="73"/>
      <c r="T351" s="73"/>
      <c r="U351" s="73"/>
      <c r="V351" s="73"/>
      <c r="W351" s="73"/>
      <c r="X351" s="73"/>
      <c r="Y351" s="77"/>
      <c r="Z351" s="104"/>
      <c r="AA351" s="73"/>
      <c r="AB351" s="104"/>
      <c r="AC351" s="104"/>
      <c r="AD351" s="74"/>
      <c r="AE351" s="106"/>
      <c r="AF351" s="195"/>
      <c r="AG351" s="80"/>
      <c r="AH351" s="104"/>
      <c r="AI351" s="73"/>
      <c r="AJ351" s="114"/>
      <c r="AK351" s="106"/>
      <c r="AL351" s="74"/>
      <c r="AM351" s="73"/>
      <c r="AN351" s="73"/>
      <c r="AO351" s="102"/>
      <c r="AP351" s="73"/>
      <c r="AQ351" s="73"/>
      <c r="AR351" s="74"/>
      <c r="AS351" s="73"/>
      <c r="AT351" s="73"/>
      <c r="AU351" s="73"/>
      <c r="AV351" s="73"/>
      <c r="AW351" s="73"/>
      <c r="AX351" s="74"/>
      <c r="AY351" s="73"/>
      <c r="AZ351" s="73"/>
      <c r="BA351" s="74"/>
      <c r="BB351" s="73"/>
      <c r="BC351" s="73"/>
      <c r="BD351" s="73"/>
      <c r="BE351" s="73"/>
      <c r="BF351" s="73"/>
      <c r="BG351" s="73"/>
      <c r="BH351" s="73"/>
      <c r="BI351" s="73"/>
      <c r="BJ351" s="73"/>
      <c r="BK351" s="73"/>
      <c r="BL351" s="73"/>
      <c r="BM351" s="73"/>
      <c r="BN351" s="73"/>
      <c r="BO351" s="73"/>
      <c r="BP351" s="73"/>
      <c r="BQ351" s="73"/>
      <c r="BR351" s="73"/>
      <c r="BS351" s="73"/>
      <c r="BT351" s="74"/>
      <c r="BU351" s="73"/>
      <c r="BV351" s="73"/>
      <c r="BW351" s="73"/>
      <c r="BX351" s="73"/>
      <c r="BY351" s="73"/>
      <c r="BZ351" s="73"/>
      <c r="CA351" s="73"/>
      <c r="CB351" s="73"/>
      <c r="CC351" s="73"/>
      <c r="CD351" s="73"/>
      <c r="CE351" s="73"/>
    </row>
    <row r="352">
      <c r="A352" s="131"/>
      <c r="B352" s="73"/>
      <c r="C352" s="73"/>
      <c r="D352" s="74"/>
      <c r="E352" s="73"/>
      <c r="F352" s="73"/>
      <c r="G352" s="73"/>
      <c r="H352" s="73"/>
      <c r="I352" s="73"/>
      <c r="J352" s="73"/>
      <c r="K352" s="92"/>
      <c r="L352" s="73"/>
      <c r="M352" s="73"/>
      <c r="N352" s="73"/>
      <c r="O352" s="73"/>
      <c r="P352" s="73"/>
      <c r="Q352" s="75"/>
      <c r="R352" s="82"/>
      <c r="S352" s="73"/>
      <c r="T352" s="73"/>
      <c r="U352" s="73"/>
      <c r="V352" s="73"/>
      <c r="W352" s="73"/>
      <c r="X352" s="73"/>
      <c r="Y352" s="77"/>
      <c r="Z352" s="104"/>
      <c r="AA352" s="73"/>
      <c r="AB352" s="104"/>
      <c r="AC352" s="104"/>
      <c r="AD352" s="74"/>
      <c r="AE352" s="106"/>
      <c r="AF352" s="195"/>
      <c r="AG352" s="80"/>
      <c r="AH352" s="104"/>
      <c r="AI352" s="73"/>
      <c r="AJ352" s="114"/>
      <c r="AK352" s="106"/>
      <c r="AL352" s="74"/>
      <c r="AM352" s="73"/>
      <c r="AN352" s="73"/>
      <c r="AO352" s="102"/>
      <c r="AP352" s="73"/>
      <c r="AQ352" s="73"/>
      <c r="AR352" s="74"/>
      <c r="AS352" s="73"/>
      <c r="AT352" s="73"/>
      <c r="AU352" s="73"/>
      <c r="AV352" s="73"/>
      <c r="AW352" s="73"/>
      <c r="AX352" s="74"/>
      <c r="AY352" s="73"/>
      <c r="AZ352" s="73"/>
      <c r="BA352" s="74"/>
      <c r="BB352" s="73"/>
      <c r="BC352" s="73"/>
      <c r="BD352" s="73"/>
      <c r="BE352" s="73"/>
      <c r="BF352" s="73"/>
      <c r="BG352" s="73"/>
      <c r="BH352" s="73"/>
      <c r="BI352" s="73"/>
      <c r="BJ352" s="73"/>
      <c r="BK352" s="73"/>
      <c r="BL352" s="73"/>
      <c r="BM352" s="73"/>
      <c r="BN352" s="73"/>
      <c r="BO352" s="73"/>
      <c r="BP352" s="73"/>
      <c r="BQ352" s="73"/>
      <c r="BR352" s="73"/>
      <c r="BS352" s="73"/>
      <c r="BT352" s="74"/>
      <c r="BU352" s="73"/>
      <c r="BV352" s="73"/>
      <c r="BW352" s="73"/>
      <c r="BX352" s="73"/>
      <c r="BY352" s="73"/>
      <c r="BZ352" s="73"/>
      <c r="CA352" s="73"/>
      <c r="CB352" s="73"/>
      <c r="CC352" s="73"/>
      <c r="CD352" s="73"/>
      <c r="CE352" s="73"/>
    </row>
    <row r="353">
      <c r="A353" s="131"/>
      <c r="B353" s="73"/>
      <c r="C353" s="73"/>
      <c r="D353" s="74"/>
      <c r="E353" s="73"/>
      <c r="F353" s="73"/>
      <c r="G353" s="73"/>
      <c r="H353" s="73"/>
      <c r="I353" s="73"/>
      <c r="J353" s="73"/>
      <c r="K353" s="92"/>
      <c r="L353" s="73"/>
      <c r="M353" s="73"/>
      <c r="N353" s="73"/>
      <c r="O353" s="73"/>
      <c r="P353" s="73"/>
      <c r="Q353" s="75"/>
      <c r="R353" s="82"/>
      <c r="S353" s="73"/>
      <c r="T353" s="73"/>
      <c r="U353" s="73"/>
      <c r="V353" s="73"/>
      <c r="W353" s="73"/>
      <c r="X353" s="73"/>
      <c r="Y353" s="77"/>
      <c r="Z353" s="104"/>
      <c r="AA353" s="73"/>
      <c r="AB353" s="104"/>
      <c r="AC353" s="104"/>
      <c r="AD353" s="74"/>
      <c r="AE353" s="106"/>
      <c r="AF353" s="195"/>
      <c r="AG353" s="80"/>
      <c r="AH353" s="104"/>
      <c r="AI353" s="73"/>
      <c r="AJ353" s="114"/>
      <c r="AK353" s="106"/>
      <c r="AL353" s="74"/>
      <c r="AM353" s="73"/>
      <c r="AN353" s="73"/>
      <c r="AO353" s="102"/>
      <c r="AP353" s="73"/>
      <c r="AQ353" s="73"/>
      <c r="AR353" s="74"/>
      <c r="AS353" s="73"/>
      <c r="AT353" s="73"/>
      <c r="AU353" s="73"/>
      <c r="AV353" s="73"/>
      <c r="AW353" s="73"/>
      <c r="AX353" s="74"/>
      <c r="AY353" s="73"/>
      <c r="AZ353" s="73"/>
      <c r="BA353" s="74"/>
      <c r="BB353" s="73"/>
      <c r="BC353" s="73"/>
      <c r="BD353" s="73"/>
      <c r="BE353" s="73"/>
      <c r="BF353" s="73"/>
      <c r="BG353" s="73"/>
      <c r="BH353" s="73"/>
      <c r="BI353" s="73"/>
      <c r="BJ353" s="73"/>
      <c r="BK353" s="73"/>
      <c r="BL353" s="73"/>
      <c r="BM353" s="73"/>
      <c r="BN353" s="73"/>
      <c r="BO353" s="73"/>
      <c r="BP353" s="73"/>
      <c r="BQ353" s="73"/>
      <c r="BR353" s="73"/>
      <c r="BS353" s="73"/>
      <c r="BT353" s="74"/>
      <c r="BU353" s="73"/>
      <c r="BV353" s="73"/>
      <c r="BW353" s="73"/>
      <c r="BX353" s="73"/>
      <c r="BY353" s="73"/>
      <c r="BZ353" s="73"/>
      <c r="CA353" s="73"/>
      <c r="CB353" s="73"/>
      <c r="CC353" s="73"/>
      <c r="CD353" s="73"/>
      <c r="CE353" s="73"/>
    </row>
    <row r="354">
      <c r="A354" s="131"/>
      <c r="B354" s="73"/>
      <c r="C354" s="73"/>
      <c r="D354" s="74"/>
      <c r="E354" s="73"/>
      <c r="F354" s="73"/>
      <c r="G354" s="73"/>
      <c r="H354" s="73"/>
      <c r="I354" s="73"/>
      <c r="J354" s="73"/>
      <c r="K354" s="92"/>
      <c r="L354" s="73"/>
      <c r="M354" s="73"/>
      <c r="N354" s="73"/>
      <c r="O354" s="73"/>
      <c r="P354" s="73"/>
      <c r="Q354" s="75"/>
      <c r="R354" s="82"/>
      <c r="S354" s="73"/>
      <c r="T354" s="73"/>
      <c r="U354" s="73"/>
      <c r="V354" s="73"/>
      <c r="W354" s="73"/>
      <c r="X354" s="73"/>
      <c r="Y354" s="77"/>
      <c r="Z354" s="104"/>
      <c r="AA354" s="73"/>
      <c r="AB354" s="104"/>
      <c r="AC354" s="104"/>
      <c r="AD354" s="74"/>
      <c r="AE354" s="106"/>
      <c r="AF354" s="195"/>
      <c r="AG354" s="80"/>
      <c r="AH354" s="104"/>
      <c r="AI354" s="73"/>
      <c r="AJ354" s="114"/>
      <c r="AK354" s="106"/>
      <c r="AL354" s="74"/>
      <c r="AM354" s="73"/>
      <c r="AN354" s="73"/>
      <c r="AO354" s="102"/>
      <c r="AP354" s="73"/>
      <c r="AQ354" s="73"/>
      <c r="AR354" s="74"/>
      <c r="AS354" s="73"/>
      <c r="AT354" s="73"/>
      <c r="AU354" s="73"/>
      <c r="AV354" s="73"/>
      <c r="AW354" s="73"/>
      <c r="AX354" s="74"/>
      <c r="AY354" s="73"/>
      <c r="AZ354" s="73"/>
      <c r="BA354" s="74"/>
      <c r="BB354" s="73"/>
      <c r="BC354" s="73"/>
      <c r="BD354" s="73"/>
      <c r="BE354" s="73"/>
      <c r="BF354" s="73"/>
      <c r="BG354" s="73"/>
      <c r="BH354" s="73"/>
      <c r="BI354" s="73"/>
      <c r="BJ354" s="73"/>
      <c r="BK354" s="73"/>
      <c r="BL354" s="73"/>
      <c r="BM354" s="73"/>
      <c r="BN354" s="73"/>
      <c r="BO354" s="73"/>
      <c r="BP354" s="73"/>
      <c r="BQ354" s="73"/>
      <c r="BR354" s="73"/>
      <c r="BS354" s="73"/>
      <c r="BT354" s="74"/>
      <c r="BU354" s="73"/>
      <c r="BV354" s="73"/>
      <c r="BW354" s="73"/>
      <c r="BX354" s="73"/>
      <c r="BY354" s="73"/>
      <c r="BZ354" s="73"/>
      <c r="CA354" s="73"/>
      <c r="CB354" s="73"/>
      <c r="CC354" s="73"/>
      <c r="CD354" s="73"/>
      <c r="CE354" s="73"/>
    </row>
    <row r="355">
      <c r="A355" s="131"/>
      <c r="B355" s="73"/>
      <c r="C355" s="73"/>
      <c r="D355" s="74"/>
      <c r="E355" s="73"/>
      <c r="F355" s="73"/>
      <c r="G355" s="73"/>
      <c r="H355" s="73"/>
      <c r="I355" s="73"/>
      <c r="J355" s="73"/>
      <c r="K355" s="92"/>
      <c r="L355" s="73"/>
      <c r="M355" s="73"/>
      <c r="N355" s="73"/>
      <c r="O355" s="73"/>
      <c r="P355" s="73"/>
      <c r="Q355" s="75"/>
      <c r="R355" s="82"/>
      <c r="S355" s="73"/>
      <c r="T355" s="73"/>
      <c r="U355" s="73"/>
      <c r="V355" s="73"/>
      <c r="W355" s="73"/>
      <c r="X355" s="73"/>
      <c r="Y355" s="77"/>
      <c r="Z355" s="104"/>
      <c r="AA355" s="73"/>
      <c r="AB355" s="104"/>
      <c r="AC355" s="104"/>
      <c r="AD355" s="74"/>
      <c r="AE355" s="106"/>
      <c r="AF355" s="195"/>
      <c r="AG355" s="80"/>
      <c r="AH355" s="104"/>
      <c r="AI355" s="73"/>
      <c r="AJ355" s="114"/>
      <c r="AK355" s="106"/>
      <c r="AL355" s="74"/>
      <c r="AM355" s="73"/>
      <c r="AN355" s="73"/>
      <c r="AO355" s="102"/>
      <c r="AP355" s="73"/>
      <c r="AQ355" s="73"/>
      <c r="AR355" s="74"/>
      <c r="AS355" s="73"/>
      <c r="AT355" s="73"/>
      <c r="AU355" s="73"/>
      <c r="AV355" s="73"/>
      <c r="AW355" s="73"/>
      <c r="AX355" s="74"/>
      <c r="AY355" s="73"/>
      <c r="AZ355" s="73"/>
      <c r="BA355" s="74"/>
      <c r="BB355" s="73"/>
      <c r="BC355" s="73"/>
      <c r="BD355" s="73"/>
      <c r="BE355" s="73"/>
      <c r="BF355" s="73"/>
      <c r="BG355" s="73"/>
      <c r="BH355" s="73"/>
      <c r="BI355" s="73"/>
      <c r="BJ355" s="73"/>
      <c r="BK355" s="73"/>
      <c r="BL355" s="73"/>
      <c r="BM355" s="73"/>
      <c r="BN355" s="73"/>
      <c r="BO355" s="73"/>
      <c r="BP355" s="73"/>
      <c r="BQ355" s="73"/>
      <c r="BR355" s="73"/>
      <c r="BS355" s="73"/>
      <c r="BT355" s="74"/>
      <c r="BU355" s="73"/>
      <c r="BV355" s="73"/>
      <c r="BW355" s="73"/>
      <c r="BX355" s="73"/>
      <c r="BY355" s="73"/>
      <c r="BZ355" s="73"/>
      <c r="CA355" s="73"/>
      <c r="CB355" s="73"/>
      <c r="CC355" s="73"/>
      <c r="CD355" s="73"/>
      <c r="CE355" s="73"/>
    </row>
    <row r="356">
      <c r="A356" s="131"/>
      <c r="B356" s="73"/>
      <c r="C356" s="73"/>
      <c r="D356" s="74"/>
      <c r="E356" s="73"/>
      <c r="F356" s="73"/>
      <c r="G356" s="73"/>
      <c r="H356" s="73"/>
      <c r="I356" s="73"/>
      <c r="J356" s="73"/>
      <c r="K356" s="92"/>
      <c r="L356" s="73"/>
      <c r="M356" s="73"/>
      <c r="N356" s="73"/>
      <c r="O356" s="73"/>
      <c r="P356" s="73"/>
      <c r="Q356" s="75"/>
      <c r="R356" s="82"/>
      <c r="S356" s="73"/>
      <c r="T356" s="73"/>
      <c r="U356" s="73"/>
      <c r="V356" s="73"/>
      <c r="W356" s="73"/>
      <c r="X356" s="73"/>
      <c r="Y356" s="77"/>
      <c r="Z356" s="104"/>
      <c r="AA356" s="73"/>
      <c r="AB356" s="104"/>
      <c r="AC356" s="104"/>
      <c r="AD356" s="74"/>
      <c r="AE356" s="106"/>
      <c r="AF356" s="195"/>
      <c r="AG356" s="80"/>
      <c r="AH356" s="104"/>
      <c r="AI356" s="73"/>
      <c r="AJ356" s="114"/>
      <c r="AK356" s="106"/>
      <c r="AL356" s="74"/>
      <c r="AM356" s="73"/>
      <c r="AN356" s="73"/>
      <c r="AO356" s="102"/>
      <c r="AP356" s="73"/>
      <c r="AQ356" s="73"/>
      <c r="AR356" s="74"/>
      <c r="AS356" s="73"/>
      <c r="AT356" s="73"/>
      <c r="AU356" s="73"/>
      <c r="AV356" s="73"/>
      <c r="AW356" s="73"/>
      <c r="AX356" s="74"/>
      <c r="AY356" s="73"/>
      <c r="AZ356" s="73"/>
      <c r="BA356" s="74"/>
      <c r="BB356" s="73"/>
      <c r="BC356" s="73"/>
      <c r="BD356" s="73"/>
      <c r="BE356" s="73"/>
      <c r="BF356" s="73"/>
      <c r="BG356" s="73"/>
      <c r="BH356" s="73"/>
      <c r="BI356" s="73"/>
      <c r="BJ356" s="73"/>
      <c r="BK356" s="73"/>
      <c r="BL356" s="73"/>
      <c r="BM356" s="73"/>
      <c r="BN356" s="73"/>
      <c r="BO356" s="73"/>
      <c r="BP356" s="73"/>
      <c r="BQ356" s="73"/>
      <c r="BR356" s="73"/>
      <c r="BS356" s="73"/>
      <c r="BT356" s="74"/>
      <c r="BU356" s="73"/>
      <c r="BV356" s="73"/>
      <c r="BW356" s="73"/>
      <c r="BX356" s="73"/>
      <c r="BY356" s="73"/>
      <c r="BZ356" s="73"/>
      <c r="CA356" s="73"/>
      <c r="CB356" s="73"/>
      <c r="CC356" s="73"/>
      <c r="CD356" s="73"/>
      <c r="CE356" s="73"/>
    </row>
    <row r="357">
      <c r="A357" s="131"/>
      <c r="B357" s="73"/>
      <c r="C357" s="73"/>
      <c r="D357" s="74"/>
      <c r="E357" s="73"/>
      <c r="F357" s="73"/>
      <c r="G357" s="73"/>
      <c r="H357" s="73"/>
      <c r="I357" s="73"/>
      <c r="J357" s="73"/>
      <c r="K357" s="92"/>
      <c r="L357" s="73"/>
      <c r="M357" s="73"/>
      <c r="N357" s="73"/>
      <c r="O357" s="73"/>
      <c r="P357" s="73"/>
      <c r="Q357" s="75"/>
      <c r="R357" s="82"/>
      <c r="S357" s="73"/>
      <c r="T357" s="73"/>
      <c r="U357" s="73"/>
      <c r="V357" s="73"/>
      <c r="W357" s="73"/>
      <c r="X357" s="73"/>
      <c r="Y357" s="77"/>
      <c r="Z357" s="104"/>
      <c r="AA357" s="73"/>
      <c r="AB357" s="104"/>
      <c r="AC357" s="104"/>
      <c r="AD357" s="74"/>
      <c r="AE357" s="106"/>
      <c r="AF357" s="195"/>
      <c r="AG357" s="80"/>
      <c r="AH357" s="104"/>
      <c r="AI357" s="73"/>
      <c r="AJ357" s="114"/>
      <c r="AK357" s="106"/>
      <c r="AL357" s="74"/>
      <c r="AM357" s="73"/>
      <c r="AN357" s="73"/>
      <c r="AO357" s="102"/>
      <c r="AP357" s="73"/>
      <c r="AQ357" s="73"/>
      <c r="AR357" s="74"/>
      <c r="AS357" s="73"/>
      <c r="AT357" s="73"/>
      <c r="AU357" s="73"/>
      <c r="AV357" s="73"/>
      <c r="AW357" s="73"/>
      <c r="AX357" s="74"/>
      <c r="AY357" s="73"/>
      <c r="AZ357" s="73"/>
      <c r="BA357" s="74"/>
      <c r="BB357" s="73"/>
      <c r="BC357" s="73"/>
      <c r="BD357" s="73"/>
      <c r="BE357" s="73"/>
      <c r="BF357" s="73"/>
      <c r="BG357" s="73"/>
      <c r="BH357" s="73"/>
      <c r="BI357" s="73"/>
      <c r="BJ357" s="73"/>
      <c r="BK357" s="73"/>
      <c r="BL357" s="73"/>
      <c r="BM357" s="73"/>
      <c r="BN357" s="73"/>
      <c r="BO357" s="73"/>
      <c r="BP357" s="73"/>
      <c r="BQ357" s="73"/>
      <c r="BR357" s="73"/>
      <c r="BS357" s="73"/>
      <c r="BT357" s="74"/>
      <c r="BU357" s="73"/>
      <c r="BV357" s="73"/>
      <c r="BW357" s="73"/>
      <c r="BX357" s="73"/>
      <c r="BY357" s="73"/>
      <c r="BZ357" s="73"/>
      <c r="CA357" s="73"/>
      <c r="CB357" s="73"/>
      <c r="CC357" s="73"/>
      <c r="CD357" s="73"/>
      <c r="CE357" s="73"/>
    </row>
    <row r="358">
      <c r="A358" s="131"/>
      <c r="B358" s="73"/>
      <c r="C358" s="73"/>
      <c r="D358" s="74"/>
      <c r="E358" s="73"/>
      <c r="F358" s="73"/>
      <c r="G358" s="73"/>
      <c r="H358" s="73"/>
      <c r="I358" s="73"/>
      <c r="J358" s="73"/>
      <c r="K358" s="92"/>
      <c r="L358" s="73"/>
      <c r="M358" s="73"/>
      <c r="N358" s="73"/>
      <c r="O358" s="73"/>
      <c r="P358" s="73"/>
      <c r="Q358" s="75"/>
      <c r="R358" s="82"/>
      <c r="S358" s="73"/>
      <c r="T358" s="73"/>
      <c r="U358" s="73"/>
      <c r="V358" s="73"/>
      <c r="W358" s="73"/>
      <c r="X358" s="73"/>
      <c r="Y358" s="77"/>
      <c r="Z358" s="104"/>
      <c r="AA358" s="73"/>
      <c r="AB358" s="104"/>
      <c r="AC358" s="104"/>
      <c r="AD358" s="74"/>
      <c r="AE358" s="106"/>
      <c r="AF358" s="195"/>
      <c r="AG358" s="80"/>
      <c r="AH358" s="104"/>
      <c r="AI358" s="73"/>
      <c r="AJ358" s="114"/>
      <c r="AK358" s="106"/>
      <c r="AL358" s="74"/>
      <c r="AM358" s="73"/>
      <c r="AN358" s="73"/>
      <c r="AO358" s="102"/>
      <c r="AP358" s="73"/>
      <c r="AQ358" s="73"/>
      <c r="AR358" s="74"/>
      <c r="AS358" s="73"/>
      <c r="AT358" s="73"/>
      <c r="AU358" s="73"/>
      <c r="AV358" s="73"/>
      <c r="AW358" s="73"/>
      <c r="AX358" s="74"/>
      <c r="AY358" s="73"/>
      <c r="AZ358" s="73"/>
      <c r="BA358" s="74"/>
      <c r="BB358" s="73"/>
      <c r="BC358" s="73"/>
      <c r="BD358" s="73"/>
      <c r="BE358" s="73"/>
      <c r="BF358" s="73"/>
      <c r="BG358" s="73"/>
      <c r="BH358" s="73"/>
      <c r="BI358" s="73"/>
      <c r="BJ358" s="73"/>
      <c r="BK358" s="73"/>
      <c r="BL358" s="73"/>
      <c r="BM358" s="73"/>
      <c r="BN358" s="73"/>
      <c r="BO358" s="73"/>
      <c r="BP358" s="73"/>
      <c r="BQ358" s="73"/>
      <c r="BR358" s="73"/>
      <c r="BS358" s="73"/>
      <c r="BT358" s="74"/>
      <c r="BU358" s="73"/>
      <c r="BV358" s="73"/>
      <c r="BW358" s="73"/>
      <c r="BX358" s="73"/>
      <c r="BY358" s="73"/>
      <c r="BZ358" s="73"/>
      <c r="CA358" s="73"/>
      <c r="CB358" s="73"/>
      <c r="CC358" s="73"/>
      <c r="CD358" s="73"/>
      <c r="CE358" s="73"/>
    </row>
    <row r="359">
      <c r="A359" s="131"/>
      <c r="B359" s="73"/>
      <c r="C359" s="73"/>
      <c r="D359" s="74"/>
      <c r="E359" s="73"/>
      <c r="F359" s="73"/>
      <c r="G359" s="73"/>
      <c r="H359" s="73"/>
      <c r="I359" s="73"/>
      <c r="J359" s="73"/>
      <c r="K359" s="92"/>
      <c r="L359" s="73"/>
      <c r="M359" s="73"/>
      <c r="N359" s="73"/>
      <c r="O359" s="73"/>
      <c r="P359" s="73"/>
      <c r="Q359" s="75"/>
      <c r="R359" s="82"/>
      <c r="S359" s="73"/>
      <c r="T359" s="73"/>
      <c r="U359" s="73"/>
      <c r="V359" s="73"/>
      <c r="W359" s="73"/>
      <c r="X359" s="73"/>
      <c r="Y359" s="77"/>
      <c r="Z359" s="104"/>
      <c r="AA359" s="73"/>
      <c r="AB359" s="104"/>
      <c r="AC359" s="104"/>
      <c r="AD359" s="74"/>
      <c r="AE359" s="106"/>
      <c r="AF359" s="195"/>
      <c r="AG359" s="80"/>
      <c r="AH359" s="104"/>
      <c r="AI359" s="73"/>
      <c r="AJ359" s="114"/>
      <c r="AK359" s="106"/>
      <c r="AL359" s="74"/>
      <c r="AM359" s="73"/>
      <c r="AN359" s="73"/>
      <c r="AO359" s="102"/>
      <c r="AP359" s="73"/>
      <c r="AQ359" s="73"/>
      <c r="AR359" s="74"/>
      <c r="AS359" s="73"/>
      <c r="AT359" s="73"/>
      <c r="AU359" s="73"/>
      <c r="AV359" s="73"/>
      <c r="AW359" s="73"/>
      <c r="AX359" s="74"/>
      <c r="AY359" s="73"/>
      <c r="AZ359" s="73"/>
      <c r="BA359" s="74"/>
      <c r="BB359" s="73"/>
      <c r="BC359" s="73"/>
      <c r="BD359" s="73"/>
      <c r="BE359" s="73"/>
      <c r="BF359" s="73"/>
      <c r="BG359" s="73"/>
      <c r="BH359" s="73"/>
      <c r="BI359" s="73"/>
      <c r="BJ359" s="73"/>
      <c r="BK359" s="73"/>
      <c r="BL359" s="73"/>
      <c r="BM359" s="73"/>
      <c r="BN359" s="73"/>
      <c r="BO359" s="73"/>
      <c r="BP359" s="73"/>
      <c r="BQ359" s="73"/>
      <c r="BR359" s="73"/>
      <c r="BS359" s="73"/>
      <c r="BT359" s="74"/>
      <c r="BU359" s="73"/>
      <c r="BV359" s="73"/>
      <c r="BW359" s="73"/>
      <c r="BX359" s="73"/>
      <c r="BY359" s="73"/>
      <c r="BZ359" s="73"/>
      <c r="CA359" s="73"/>
      <c r="CB359" s="73"/>
      <c r="CC359" s="73"/>
      <c r="CD359" s="73"/>
      <c r="CE359" s="73"/>
    </row>
    <row r="360">
      <c r="A360" s="131"/>
      <c r="B360" s="73"/>
      <c r="C360" s="73"/>
      <c r="D360" s="74"/>
      <c r="E360" s="73"/>
      <c r="F360" s="73"/>
      <c r="G360" s="73"/>
      <c r="H360" s="73"/>
      <c r="I360" s="73"/>
      <c r="J360" s="73"/>
      <c r="K360" s="92"/>
      <c r="L360" s="73"/>
      <c r="M360" s="73"/>
      <c r="N360" s="73"/>
      <c r="O360" s="73"/>
      <c r="P360" s="73"/>
      <c r="Q360" s="75"/>
      <c r="R360" s="82"/>
      <c r="S360" s="73"/>
      <c r="T360" s="73"/>
      <c r="U360" s="73"/>
      <c r="V360" s="73"/>
      <c r="W360" s="73"/>
      <c r="X360" s="73"/>
      <c r="Y360" s="77"/>
      <c r="Z360" s="104"/>
      <c r="AA360" s="73"/>
      <c r="AB360" s="104"/>
      <c r="AC360" s="104"/>
      <c r="AD360" s="74"/>
      <c r="AE360" s="106"/>
      <c r="AF360" s="195"/>
      <c r="AG360" s="80"/>
      <c r="AH360" s="104"/>
      <c r="AI360" s="73"/>
      <c r="AJ360" s="114"/>
      <c r="AK360" s="106"/>
      <c r="AL360" s="74"/>
      <c r="AM360" s="73"/>
      <c r="AN360" s="73"/>
      <c r="AO360" s="102"/>
      <c r="AP360" s="73"/>
      <c r="AQ360" s="73"/>
      <c r="AR360" s="74"/>
      <c r="AS360" s="73"/>
      <c r="AT360" s="73"/>
      <c r="AU360" s="73"/>
      <c r="AV360" s="73"/>
      <c r="AW360" s="73"/>
      <c r="AX360" s="74"/>
      <c r="AY360" s="73"/>
      <c r="AZ360" s="73"/>
      <c r="BA360" s="74"/>
      <c r="BB360" s="73"/>
      <c r="BC360" s="73"/>
      <c r="BD360" s="73"/>
      <c r="BE360" s="73"/>
      <c r="BF360" s="73"/>
      <c r="BG360" s="73"/>
      <c r="BH360" s="73"/>
      <c r="BI360" s="73"/>
      <c r="BJ360" s="73"/>
      <c r="BK360" s="73"/>
      <c r="BL360" s="73"/>
      <c r="BM360" s="73"/>
      <c r="BN360" s="73"/>
      <c r="BO360" s="73"/>
      <c r="BP360" s="73"/>
      <c r="BQ360" s="73"/>
      <c r="BR360" s="73"/>
      <c r="BS360" s="73"/>
      <c r="BT360" s="74"/>
      <c r="BU360" s="73"/>
      <c r="BV360" s="73"/>
      <c r="BW360" s="73"/>
      <c r="BX360" s="73"/>
      <c r="BY360" s="73"/>
      <c r="BZ360" s="73"/>
      <c r="CA360" s="73"/>
      <c r="CB360" s="73"/>
      <c r="CC360" s="73"/>
      <c r="CD360" s="73"/>
      <c r="CE360" s="73"/>
    </row>
    <row r="361">
      <c r="A361" s="131"/>
      <c r="B361" s="73"/>
      <c r="C361" s="73"/>
      <c r="D361" s="74"/>
      <c r="E361" s="73"/>
      <c r="F361" s="73"/>
      <c r="G361" s="73"/>
      <c r="H361" s="73"/>
      <c r="I361" s="73"/>
      <c r="J361" s="73"/>
      <c r="K361" s="92"/>
      <c r="L361" s="73"/>
      <c r="M361" s="73"/>
      <c r="N361" s="73"/>
      <c r="O361" s="73"/>
      <c r="P361" s="73"/>
      <c r="Q361" s="75"/>
      <c r="R361" s="82"/>
      <c r="S361" s="73"/>
      <c r="T361" s="73"/>
      <c r="U361" s="73"/>
      <c r="V361" s="73"/>
      <c r="W361" s="73"/>
      <c r="X361" s="73"/>
      <c r="Y361" s="77"/>
      <c r="Z361" s="104"/>
      <c r="AA361" s="73"/>
      <c r="AB361" s="104"/>
      <c r="AC361" s="104"/>
      <c r="AD361" s="74"/>
      <c r="AE361" s="106"/>
      <c r="AF361" s="195"/>
      <c r="AG361" s="80"/>
      <c r="AH361" s="104"/>
      <c r="AI361" s="73"/>
      <c r="AJ361" s="114"/>
      <c r="AK361" s="106"/>
      <c r="AL361" s="74"/>
      <c r="AM361" s="73"/>
      <c r="AN361" s="73"/>
      <c r="AO361" s="102"/>
      <c r="AP361" s="73"/>
      <c r="AQ361" s="73"/>
      <c r="AR361" s="74"/>
      <c r="AS361" s="73"/>
      <c r="AT361" s="73"/>
      <c r="AU361" s="73"/>
      <c r="AV361" s="73"/>
      <c r="AW361" s="73"/>
      <c r="AX361" s="74"/>
      <c r="AY361" s="73"/>
      <c r="AZ361" s="73"/>
      <c r="BA361" s="74"/>
      <c r="BB361" s="73"/>
      <c r="BC361" s="73"/>
      <c r="BD361" s="73"/>
      <c r="BE361" s="73"/>
      <c r="BF361" s="73"/>
      <c r="BG361" s="73"/>
      <c r="BH361" s="73"/>
      <c r="BI361" s="73"/>
      <c r="BJ361" s="73"/>
      <c r="BK361" s="73"/>
      <c r="BL361" s="73"/>
      <c r="BM361" s="73"/>
      <c r="BN361" s="73"/>
      <c r="BO361" s="73"/>
      <c r="BP361" s="73"/>
      <c r="BQ361" s="73"/>
      <c r="BR361" s="73"/>
      <c r="BS361" s="73"/>
      <c r="BT361" s="74"/>
      <c r="BU361" s="73"/>
      <c r="BV361" s="73"/>
      <c r="BW361" s="73"/>
      <c r="BX361" s="73"/>
      <c r="BY361" s="73"/>
      <c r="BZ361" s="73"/>
      <c r="CA361" s="73"/>
      <c r="CB361" s="73"/>
      <c r="CC361" s="73"/>
      <c r="CD361" s="73"/>
      <c r="CE361" s="73"/>
    </row>
    <row r="362">
      <c r="A362" s="131"/>
      <c r="B362" s="73"/>
      <c r="C362" s="73"/>
      <c r="D362" s="74"/>
      <c r="E362" s="73"/>
      <c r="F362" s="73"/>
      <c r="G362" s="73"/>
      <c r="H362" s="73"/>
      <c r="I362" s="73"/>
      <c r="J362" s="73"/>
      <c r="K362" s="92"/>
      <c r="L362" s="73"/>
      <c r="M362" s="73"/>
      <c r="N362" s="73"/>
      <c r="O362" s="73"/>
      <c r="P362" s="73"/>
      <c r="Q362" s="75"/>
      <c r="R362" s="82"/>
      <c r="S362" s="73"/>
      <c r="T362" s="73"/>
      <c r="U362" s="73"/>
      <c r="V362" s="73"/>
      <c r="W362" s="73"/>
      <c r="X362" s="73"/>
      <c r="Y362" s="77"/>
      <c r="Z362" s="104"/>
      <c r="AA362" s="73"/>
      <c r="AB362" s="104"/>
      <c r="AC362" s="104"/>
      <c r="AD362" s="74"/>
      <c r="AE362" s="106"/>
      <c r="AF362" s="195"/>
      <c r="AG362" s="80"/>
      <c r="AH362" s="104"/>
      <c r="AI362" s="73"/>
      <c r="AJ362" s="114"/>
      <c r="AK362" s="106"/>
      <c r="AL362" s="74"/>
      <c r="AM362" s="73"/>
      <c r="AN362" s="73"/>
      <c r="AO362" s="102"/>
      <c r="AP362" s="73"/>
      <c r="AQ362" s="73"/>
      <c r="AR362" s="74"/>
      <c r="AS362" s="73"/>
      <c r="AT362" s="73"/>
      <c r="AU362" s="73"/>
      <c r="AV362" s="73"/>
      <c r="AW362" s="73"/>
      <c r="AX362" s="74"/>
      <c r="AY362" s="73"/>
      <c r="AZ362" s="73"/>
      <c r="BA362" s="74"/>
      <c r="BB362" s="73"/>
      <c r="BC362" s="73"/>
      <c r="BD362" s="73"/>
      <c r="BE362" s="73"/>
      <c r="BF362" s="73"/>
      <c r="BG362" s="73"/>
      <c r="BH362" s="73"/>
      <c r="BI362" s="73"/>
      <c r="BJ362" s="73"/>
      <c r="BK362" s="73"/>
      <c r="BL362" s="73"/>
      <c r="BM362" s="73"/>
      <c r="BN362" s="73"/>
      <c r="BO362" s="73"/>
      <c r="BP362" s="73"/>
      <c r="BQ362" s="73"/>
      <c r="BR362" s="73"/>
      <c r="BS362" s="73"/>
      <c r="BT362" s="74"/>
      <c r="BU362" s="73"/>
      <c r="BV362" s="73"/>
      <c r="BW362" s="73"/>
      <c r="BX362" s="73"/>
      <c r="BY362" s="73"/>
      <c r="BZ362" s="73"/>
      <c r="CA362" s="73"/>
      <c r="CB362" s="73"/>
      <c r="CC362" s="73"/>
      <c r="CD362" s="73"/>
      <c r="CE362" s="73"/>
    </row>
    <row r="363">
      <c r="A363" s="131"/>
      <c r="B363" s="73"/>
      <c r="C363" s="73"/>
      <c r="D363" s="74"/>
      <c r="E363" s="73"/>
      <c r="F363" s="73"/>
      <c r="G363" s="73"/>
      <c r="H363" s="73"/>
      <c r="I363" s="73"/>
      <c r="J363" s="73"/>
      <c r="K363" s="92"/>
      <c r="L363" s="73"/>
      <c r="M363" s="73"/>
      <c r="N363" s="73"/>
      <c r="O363" s="73"/>
      <c r="P363" s="73"/>
      <c r="Q363" s="75"/>
      <c r="R363" s="82"/>
      <c r="S363" s="73"/>
      <c r="T363" s="73"/>
      <c r="U363" s="73"/>
      <c r="V363" s="73"/>
      <c r="W363" s="73"/>
      <c r="X363" s="73"/>
      <c r="Y363" s="77"/>
      <c r="Z363" s="104"/>
      <c r="AA363" s="73"/>
      <c r="AB363" s="104"/>
      <c r="AC363" s="104"/>
      <c r="AD363" s="74"/>
      <c r="AE363" s="106"/>
      <c r="AF363" s="195"/>
      <c r="AG363" s="80"/>
      <c r="AH363" s="104"/>
      <c r="AI363" s="73"/>
      <c r="AJ363" s="114"/>
      <c r="AK363" s="106"/>
      <c r="AL363" s="74"/>
      <c r="AM363" s="73"/>
      <c r="AN363" s="73"/>
      <c r="AO363" s="102"/>
      <c r="AP363" s="73"/>
      <c r="AQ363" s="73"/>
      <c r="AR363" s="74"/>
      <c r="AS363" s="73"/>
      <c r="AT363" s="73"/>
      <c r="AU363" s="73"/>
      <c r="AV363" s="73"/>
      <c r="AW363" s="73"/>
      <c r="AX363" s="74"/>
      <c r="AY363" s="73"/>
      <c r="AZ363" s="73"/>
      <c r="BA363" s="74"/>
      <c r="BB363" s="73"/>
      <c r="BC363" s="73"/>
      <c r="BD363" s="73"/>
      <c r="BE363" s="73"/>
      <c r="BF363" s="73"/>
      <c r="BG363" s="73"/>
      <c r="BH363" s="73"/>
      <c r="BI363" s="73"/>
      <c r="BJ363" s="73"/>
      <c r="BK363" s="73"/>
      <c r="BL363" s="73"/>
      <c r="BM363" s="73"/>
      <c r="BN363" s="73"/>
      <c r="BO363" s="73"/>
      <c r="BP363" s="73"/>
      <c r="BQ363" s="73"/>
      <c r="BR363" s="73"/>
      <c r="BS363" s="73"/>
      <c r="BT363" s="74"/>
      <c r="BU363" s="73"/>
      <c r="BV363" s="73"/>
      <c r="BW363" s="73"/>
      <c r="BX363" s="73"/>
      <c r="BY363" s="73"/>
      <c r="BZ363" s="73"/>
      <c r="CA363" s="73"/>
      <c r="CB363" s="73"/>
      <c r="CC363" s="73"/>
      <c r="CD363" s="73"/>
      <c r="CE363" s="73"/>
    </row>
    <row r="364">
      <c r="A364" s="131"/>
      <c r="B364" s="73"/>
      <c r="C364" s="73"/>
      <c r="D364" s="74"/>
      <c r="E364" s="73"/>
      <c r="F364" s="73"/>
      <c r="G364" s="73"/>
      <c r="H364" s="73"/>
      <c r="I364" s="73"/>
      <c r="J364" s="73"/>
      <c r="K364" s="92"/>
      <c r="L364" s="73"/>
      <c r="M364" s="73"/>
      <c r="N364" s="73"/>
      <c r="O364" s="73"/>
      <c r="P364" s="73"/>
      <c r="Q364" s="75"/>
      <c r="R364" s="82"/>
      <c r="S364" s="73"/>
      <c r="T364" s="73"/>
      <c r="U364" s="73"/>
      <c r="V364" s="73"/>
      <c r="W364" s="73"/>
      <c r="X364" s="73"/>
      <c r="Y364" s="77"/>
      <c r="Z364" s="104"/>
      <c r="AA364" s="73"/>
      <c r="AB364" s="104"/>
      <c r="AC364" s="104"/>
      <c r="AD364" s="74"/>
      <c r="AE364" s="106"/>
      <c r="AF364" s="195"/>
      <c r="AG364" s="80"/>
      <c r="AH364" s="104"/>
      <c r="AI364" s="73"/>
      <c r="AJ364" s="114"/>
      <c r="AK364" s="106"/>
      <c r="AL364" s="74"/>
      <c r="AM364" s="73"/>
      <c r="AN364" s="73"/>
      <c r="AO364" s="102"/>
      <c r="AP364" s="73"/>
      <c r="AQ364" s="73"/>
      <c r="AR364" s="74"/>
      <c r="AS364" s="73"/>
      <c r="AT364" s="73"/>
      <c r="AU364" s="73"/>
      <c r="AV364" s="73"/>
      <c r="AW364" s="73"/>
      <c r="AX364" s="74"/>
      <c r="AY364" s="73"/>
      <c r="AZ364" s="73"/>
      <c r="BA364" s="74"/>
      <c r="BB364" s="73"/>
      <c r="BC364" s="73"/>
      <c r="BD364" s="73"/>
      <c r="BE364" s="73"/>
      <c r="BF364" s="73"/>
      <c r="BG364" s="73"/>
      <c r="BH364" s="73"/>
      <c r="BI364" s="73"/>
      <c r="BJ364" s="73"/>
      <c r="BK364" s="73"/>
      <c r="BL364" s="73"/>
      <c r="BM364" s="73"/>
      <c r="BN364" s="73"/>
      <c r="BO364" s="73"/>
      <c r="BP364" s="73"/>
      <c r="BQ364" s="73"/>
      <c r="BR364" s="73"/>
      <c r="BS364" s="73"/>
      <c r="BT364" s="74"/>
      <c r="BU364" s="73"/>
      <c r="BV364" s="73"/>
      <c r="BW364" s="73"/>
      <c r="BX364" s="73"/>
      <c r="BY364" s="73"/>
      <c r="BZ364" s="73"/>
      <c r="CA364" s="73"/>
      <c r="CB364" s="73"/>
      <c r="CC364" s="73"/>
      <c r="CD364" s="73"/>
      <c r="CE364" s="73"/>
    </row>
    <row r="365">
      <c r="A365" s="131"/>
      <c r="B365" s="73"/>
      <c r="C365" s="73"/>
      <c r="D365" s="74"/>
      <c r="E365" s="73"/>
      <c r="F365" s="73"/>
      <c r="G365" s="73"/>
      <c r="H365" s="73"/>
      <c r="I365" s="73"/>
      <c r="J365" s="73"/>
      <c r="K365" s="92"/>
      <c r="L365" s="73"/>
      <c r="M365" s="73"/>
      <c r="N365" s="73"/>
      <c r="O365" s="73"/>
      <c r="P365" s="73"/>
      <c r="Q365" s="75"/>
      <c r="R365" s="82"/>
      <c r="S365" s="73"/>
      <c r="T365" s="73"/>
      <c r="U365" s="73"/>
      <c r="V365" s="73"/>
      <c r="W365" s="73"/>
      <c r="X365" s="73"/>
      <c r="Y365" s="77"/>
      <c r="Z365" s="104"/>
      <c r="AA365" s="73"/>
      <c r="AB365" s="104"/>
      <c r="AC365" s="104"/>
      <c r="AD365" s="74"/>
      <c r="AE365" s="106"/>
      <c r="AF365" s="195"/>
      <c r="AG365" s="80"/>
      <c r="AH365" s="104"/>
      <c r="AI365" s="73"/>
      <c r="AJ365" s="114"/>
      <c r="AK365" s="106"/>
      <c r="AL365" s="74"/>
      <c r="AM365" s="73"/>
      <c r="AN365" s="73"/>
      <c r="AO365" s="102"/>
      <c r="AP365" s="73"/>
      <c r="AQ365" s="73"/>
      <c r="AR365" s="74"/>
      <c r="AS365" s="73"/>
      <c r="AT365" s="73"/>
      <c r="AU365" s="73"/>
      <c r="AV365" s="73"/>
      <c r="AW365" s="73"/>
      <c r="AX365" s="74"/>
      <c r="AY365" s="73"/>
      <c r="AZ365" s="73"/>
      <c r="BA365" s="74"/>
      <c r="BB365" s="73"/>
      <c r="BC365" s="73"/>
      <c r="BD365" s="73"/>
      <c r="BE365" s="73"/>
      <c r="BF365" s="73"/>
      <c r="BG365" s="73"/>
      <c r="BH365" s="73"/>
      <c r="BI365" s="73"/>
      <c r="BJ365" s="73"/>
      <c r="BK365" s="73"/>
      <c r="BL365" s="73"/>
      <c r="BM365" s="73"/>
      <c r="BN365" s="73"/>
      <c r="BO365" s="73"/>
      <c r="BP365" s="73"/>
      <c r="BQ365" s="73"/>
      <c r="BR365" s="73"/>
      <c r="BS365" s="73"/>
      <c r="BT365" s="74"/>
      <c r="BU365" s="73"/>
      <c r="BV365" s="73"/>
      <c r="BW365" s="73"/>
      <c r="BX365" s="73"/>
      <c r="BY365" s="73"/>
      <c r="BZ365" s="73"/>
      <c r="CA365" s="73"/>
      <c r="CB365" s="73"/>
      <c r="CC365" s="73"/>
      <c r="CD365" s="73"/>
      <c r="CE365" s="73"/>
    </row>
    <row r="366">
      <c r="A366" s="131"/>
      <c r="B366" s="73"/>
      <c r="C366" s="73"/>
      <c r="D366" s="74"/>
      <c r="E366" s="73"/>
      <c r="F366" s="73"/>
      <c r="G366" s="73"/>
      <c r="H366" s="73"/>
      <c r="I366" s="73"/>
      <c r="J366" s="73"/>
      <c r="K366" s="92"/>
      <c r="L366" s="73"/>
      <c r="M366" s="73"/>
      <c r="N366" s="73"/>
      <c r="O366" s="73"/>
      <c r="P366" s="73"/>
      <c r="Q366" s="75"/>
      <c r="R366" s="82"/>
      <c r="S366" s="73"/>
      <c r="T366" s="73"/>
      <c r="U366" s="73"/>
      <c r="V366" s="73"/>
      <c r="W366" s="73"/>
      <c r="X366" s="73"/>
      <c r="Y366" s="77"/>
      <c r="Z366" s="104"/>
      <c r="AA366" s="73"/>
      <c r="AB366" s="104"/>
      <c r="AC366" s="104"/>
      <c r="AD366" s="74"/>
      <c r="AE366" s="106"/>
      <c r="AF366" s="195"/>
      <c r="AG366" s="80"/>
      <c r="AH366" s="104"/>
      <c r="AI366" s="73"/>
      <c r="AJ366" s="114"/>
      <c r="AK366" s="106"/>
      <c r="AL366" s="74"/>
      <c r="AM366" s="73"/>
      <c r="AN366" s="73"/>
      <c r="AO366" s="102"/>
      <c r="AP366" s="73"/>
      <c r="AQ366" s="73"/>
      <c r="AR366" s="74"/>
      <c r="AS366" s="73"/>
      <c r="AT366" s="73"/>
      <c r="AU366" s="73"/>
      <c r="AV366" s="73"/>
      <c r="AW366" s="73"/>
      <c r="AX366" s="74"/>
      <c r="AY366" s="73"/>
      <c r="AZ366" s="73"/>
      <c r="BA366" s="74"/>
      <c r="BB366" s="73"/>
      <c r="BC366" s="73"/>
      <c r="BD366" s="73"/>
      <c r="BE366" s="73"/>
      <c r="BF366" s="73"/>
      <c r="BG366" s="73"/>
      <c r="BH366" s="73"/>
      <c r="BI366" s="73"/>
      <c r="BJ366" s="73"/>
      <c r="BK366" s="73"/>
      <c r="BL366" s="73"/>
      <c r="BM366" s="73"/>
      <c r="BN366" s="73"/>
      <c r="BO366" s="73"/>
      <c r="BP366" s="73"/>
      <c r="BQ366" s="73"/>
      <c r="BR366" s="73"/>
      <c r="BS366" s="73"/>
      <c r="BT366" s="74"/>
      <c r="BU366" s="73"/>
      <c r="BV366" s="73"/>
      <c r="BW366" s="73"/>
      <c r="BX366" s="73"/>
      <c r="BY366" s="73"/>
      <c r="BZ366" s="73"/>
      <c r="CA366" s="73"/>
      <c r="CB366" s="73"/>
      <c r="CC366" s="73"/>
      <c r="CD366" s="73"/>
      <c r="CE366" s="73"/>
    </row>
    <row r="367">
      <c r="A367" s="131"/>
      <c r="B367" s="73"/>
      <c r="C367" s="73"/>
      <c r="D367" s="74"/>
      <c r="E367" s="73"/>
      <c r="F367" s="73"/>
      <c r="G367" s="73"/>
      <c r="H367" s="73"/>
      <c r="I367" s="73"/>
      <c r="J367" s="73"/>
      <c r="K367" s="92"/>
      <c r="L367" s="73"/>
      <c r="M367" s="73"/>
      <c r="N367" s="73"/>
      <c r="O367" s="73"/>
      <c r="P367" s="73"/>
      <c r="Q367" s="75"/>
      <c r="R367" s="82"/>
      <c r="S367" s="73"/>
      <c r="T367" s="73"/>
      <c r="U367" s="73"/>
      <c r="V367" s="73"/>
      <c r="W367" s="73"/>
      <c r="X367" s="73"/>
      <c r="Y367" s="77"/>
      <c r="Z367" s="104"/>
      <c r="AA367" s="73"/>
      <c r="AB367" s="104"/>
      <c r="AC367" s="104"/>
      <c r="AD367" s="74"/>
      <c r="AE367" s="106"/>
      <c r="AF367" s="195"/>
      <c r="AG367" s="80"/>
      <c r="AH367" s="104"/>
      <c r="AI367" s="73"/>
      <c r="AJ367" s="114"/>
      <c r="AK367" s="106"/>
      <c r="AL367" s="74"/>
      <c r="AM367" s="73"/>
      <c r="AN367" s="73"/>
      <c r="AO367" s="102"/>
      <c r="AP367" s="73"/>
      <c r="AQ367" s="73"/>
      <c r="AR367" s="74"/>
      <c r="AS367" s="73"/>
      <c r="AT367" s="73"/>
      <c r="AU367" s="73"/>
      <c r="AV367" s="73"/>
      <c r="AW367" s="73"/>
      <c r="AX367" s="74"/>
      <c r="AY367" s="73"/>
      <c r="AZ367" s="73"/>
      <c r="BA367" s="74"/>
      <c r="BB367" s="73"/>
      <c r="BC367" s="73"/>
      <c r="BD367" s="73"/>
      <c r="BE367" s="73"/>
      <c r="BF367" s="73"/>
      <c r="BG367" s="73"/>
      <c r="BH367" s="73"/>
      <c r="BI367" s="73"/>
      <c r="BJ367" s="73"/>
      <c r="BK367" s="73"/>
      <c r="BL367" s="73"/>
      <c r="BM367" s="73"/>
      <c r="BN367" s="73"/>
      <c r="BO367" s="73"/>
      <c r="BP367" s="73"/>
      <c r="BQ367" s="73"/>
      <c r="BR367" s="73"/>
      <c r="BS367" s="73"/>
      <c r="BT367" s="74"/>
      <c r="BU367" s="73"/>
      <c r="BV367" s="73"/>
      <c r="BW367" s="73"/>
      <c r="BX367" s="73"/>
      <c r="BY367" s="73"/>
      <c r="BZ367" s="73"/>
      <c r="CA367" s="73"/>
      <c r="CB367" s="73"/>
      <c r="CC367" s="73"/>
      <c r="CD367" s="73"/>
      <c r="CE367" s="73"/>
    </row>
    <row r="368">
      <c r="A368" s="131"/>
      <c r="B368" s="73"/>
      <c r="C368" s="73"/>
      <c r="D368" s="74"/>
      <c r="E368" s="73"/>
      <c r="F368" s="73"/>
      <c r="G368" s="73"/>
      <c r="H368" s="73"/>
      <c r="I368" s="73"/>
      <c r="J368" s="73"/>
      <c r="K368" s="92"/>
      <c r="L368" s="73"/>
      <c r="M368" s="73"/>
      <c r="N368" s="73"/>
      <c r="O368" s="73"/>
      <c r="P368" s="73"/>
      <c r="Q368" s="75"/>
      <c r="R368" s="82"/>
      <c r="S368" s="73"/>
      <c r="T368" s="73"/>
      <c r="U368" s="73"/>
      <c r="V368" s="73"/>
      <c r="W368" s="73"/>
      <c r="X368" s="73"/>
      <c r="Y368" s="77"/>
      <c r="Z368" s="104"/>
      <c r="AA368" s="73"/>
      <c r="AB368" s="104"/>
      <c r="AC368" s="104"/>
      <c r="AD368" s="74"/>
      <c r="AE368" s="106"/>
      <c r="AF368" s="195"/>
      <c r="AG368" s="80"/>
      <c r="AH368" s="104"/>
      <c r="AI368" s="73"/>
      <c r="AJ368" s="114"/>
      <c r="AK368" s="106"/>
      <c r="AL368" s="74"/>
      <c r="AM368" s="73"/>
      <c r="AN368" s="73"/>
      <c r="AO368" s="102"/>
      <c r="AP368" s="73"/>
      <c r="AQ368" s="73"/>
      <c r="AR368" s="74"/>
      <c r="AS368" s="73"/>
      <c r="AT368" s="73"/>
      <c r="AU368" s="73"/>
      <c r="AV368" s="73"/>
      <c r="AW368" s="73"/>
      <c r="AX368" s="74"/>
      <c r="AY368" s="73"/>
      <c r="AZ368" s="73"/>
      <c r="BA368" s="74"/>
      <c r="BB368" s="73"/>
      <c r="BC368" s="73"/>
      <c r="BD368" s="73"/>
      <c r="BE368" s="73"/>
      <c r="BF368" s="73"/>
      <c r="BG368" s="73"/>
      <c r="BH368" s="73"/>
      <c r="BI368" s="73"/>
      <c r="BJ368" s="73"/>
      <c r="BK368" s="73"/>
      <c r="BL368" s="73"/>
      <c r="BM368" s="73"/>
      <c r="BN368" s="73"/>
      <c r="BO368" s="73"/>
      <c r="BP368" s="73"/>
      <c r="BQ368" s="73"/>
      <c r="BR368" s="73"/>
      <c r="BS368" s="73"/>
      <c r="BT368" s="74"/>
      <c r="BU368" s="73"/>
      <c r="BV368" s="73"/>
      <c r="BW368" s="73"/>
      <c r="BX368" s="73"/>
      <c r="BY368" s="73"/>
      <c r="BZ368" s="73"/>
      <c r="CA368" s="73"/>
      <c r="CB368" s="73"/>
      <c r="CC368" s="73"/>
      <c r="CD368" s="73"/>
      <c r="CE368" s="73"/>
    </row>
    <row r="369">
      <c r="A369" s="131"/>
      <c r="B369" s="73"/>
      <c r="C369" s="73"/>
      <c r="D369" s="74"/>
      <c r="E369" s="73"/>
      <c r="F369" s="73"/>
      <c r="G369" s="73"/>
      <c r="H369" s="73"/>
      <c r="I369" s="73"/>
      <c r="J369" s="73"/>
      <c r="K369" s="92"/>
      <c r="L369" s="73"/>
      <c r="M369" s="73"/>
      <c r="N369" s="73"/>
      <c r="O369" s="73"/>
      <c r="P369" s="73"/>
      <c r="Q369" s="75"/>
      <c r="R369" s="82"/>
      <c r="S369" s="73"/>
      <c r="T369" s="73"/>
      <c r="U369" s="73"/>
      <c r="V369" s="73"/>
      <c r="W369" s="73"/>
      <c r="X369" s="73"/>
      <c r="Y369" s="77"/>
      <c r="Z369" s="104"/>
      <c r="AA369" s="73"/>
      <c r="AB369" s="104"/>
      <c r="AC369" s="104"/>
      <c r="AD369" s="74"/>
      <c r="AE369" s="106"/>
      <c r="AF369" s="195"/>
      <c r="AG369" s="80"/>
      <c r="AH369" s="104"/>
      <c r="AI369" s="73"/>
      <c r="AJ369" s="114"/>
      <c r="AK369" s="106"/>
      <c r="AL369" s="74"/>
      <c r="AM369" s="73"/>
      <c r="AN369" s="73"/>
      <c r="AO369" s="102"/>
      <c r="AP369" s="73"/>
      <c r="AQ369" s="73"/>
      <c r="AR369" s="74"/>
      <c r="AS369" s="73"/>
      <c r="AT369" s="73"/>
      <c r="AU369" s="73"/>
      <c r="AV369" s="73"/>
      <c r="AW369" s="73"/>
      <c r="AX369" s="74"/>
      <c r="AY369" s="73"/>
      <c r="AZ369" s="73"/>
      <c r="BA369" s="74"/>
      <c r="BB369" s="73"/>
      <c r="BC369" s="73"/>
      <c r="BD369" s="73"/>
      <c r="BE369" s="73"/>
      <c r="BF369" s="73"/>
      <c r="BG369" s="73"/>
      <c r="BH369" s="73"/>
      <c r="BI369" s="73"/>
      <c r="BJ369" s="73"/>
      <c r="BK369" s="73"/>
      <c r="BL369" s="73"/>
      <c r="BM369" s="73"/>
      <c r="BN369" s="73"/>
      <c r="BO369" s="73"/>
      <c r="BP369" s="73"/>
      <c r="BQ369" s="73"/>
      <c r="BR369" s="73"/>
      <c r="BS369" s="73"/>
      <c r="BT369" s="74"/>
      <c r="BU369" s="73"/>
      <c r="BV369" s="73"/>
      <c r="BW369" s="73"/>
      <c r="BX369" s="73"/>
      <c r="BY369" s="73"/>
      <c r="BZ369" s="73"/>
      <c r="CA369" s="73"/>
      <c r="CB369" s="73"/>
      <c r="CC369" s="73"/>
      <c r="CD369" s="73"/>
      <c r="CE369" s="73"/>
    </row>
    <row r="370">
      <c r="A370" s="131"/>
      <c r="B370" s="73"/>
      <c r="C370" s="73"/>
      <c r="D370" s="74"/>
      <c r="E370" s="73"/>
      <c r="F370" s="73"/>
      <c r="G370" s="73"/>
      <c r="H370" s="73"/>
      <c r="I370" s="73"/>
      <c r="J370" s="73"/>
      <c r="K370" s="92"/>
      <c r="L370" s="73"/>
      <c r="M370" s="73"/>
      <c r="N370" s="73"/>
      <c r="O370" s="73"/>
      <c r="P370" s="73"/>
      <c r="Q370" s="75"/>
      <c r="R370" s="82"/>
      <c r="S370" s="73"/>
      <c r="T370" s="73"/>
      <c r="U370" s="73"/>
      <c r="V370" s="73"/>
      <c r="W370" s="73"/>
      <c r="X370" s="73"/>
      <c r="Y370" s="77"/>
      <c r="Z370" s="104"/>
      <c r="AA370" s="73"/>
      <c r="AB370" s="104"/>
      <c r="AC370" s="104"/>
      <c r="AD370" s="74"/>
      <c r="AE370" s="106"/>
      <c r="AF370" s="195"/>
      <c r="AG370" s="80"/>
      <c r="AH370" s="104"/>
      <c r="AI370" s="73"/>
      <c r="AJ370" s="114"/>
      <c r="AK370" s="106"/>
      <c r="AL370" s="74"/>
      <c r="AM370" s="73"/>
      <c r="AN370" s="73"/>
      <c r="AO370" s="102"/>
      <c r="AP370" s="73"/>
      <c r="AQ370" s="73"/>
      <c r="AR370" s="74"/>
      <c r="AS370" s="73"/>
      <c r="AT370" s="73"/>
      <c r="AU370" s="73"/>
      <c r="AV370" s="73"/>
      <c r="AW370" s="73"/>
      <c r="AX370" s="74"/>
      <c r="AY370" s="73"/>
      <c r="AZ370" s="73"/>
      <c r="BA370" s="74"/>
      <c r="BB370" s="73"/>
      <c r="BC370" s="73"/>
      <c r="BD370" s="73"/>
      <c r="BE370" s="73"/>
      <c r="BF370" s="73"/>
      <c r="BG370" s="73"/>
      <c r="BH370" s="73"/>
      <c r="BI370" s="73"/>
      <c r="BJ370" s="73"/>
      <c r="BK370" s="73"/>
      <c r="BL370" s="73"/>
      <c r="BM370" s="73"/>
      <c r="BN370" s="73"/>
      <c r="BO370" s="73"/>
      <c r="BP370" s="73"/>
      <c r="BQ370" s="73"/>
      <c r="BR370" s="73"/>
      <c r="BS370" s="73"/>
      <c r="BT370" s="74"/>
      <c r="BU370" s="73"/>
      <c r="BV370" s="73"/>
      <c r="BW370" s="73"/>
      <c r="BX370" s="73"/>
      <c r="BY370" s="73"/>
      <c r="BZ370" s="73"/>
      <c r="CA370" s="73"/>
      <c r="CB370" s="73"/>
      <c r="CC370" s="73"/>
      <c r="CD370" s="73"/>
      <c r="CE370" s="73"/>
    </row>
    <row r="371">
      <c r="A371" s="131"/>
      <c r="B371" s="73"/>
      <c r="C371" s="73"/>
      <c r="D371" s="74"/>
      <c r="E371" s="73"/>
      <c r="F371" s="73"/>
      <c r="G371" s="73"/>
      <c r="H371" s="73"/>
      <c r="I371" s="73"/>
      <c r="J371" s="73"/>
      <c r="K371" s="92"/>
      <c r="L371" s="73"/>
      <c r="M371" s="73"/>
      <c r="N371" s="73"/>
      <c r="O371" s="73"/>
      <c r="P371" s="73"/>
      <c r="Q371" s="75"/>
      <c r="R371" s="82"/>
      <c r="S371" s="73"/>
      <c r="T371" s="73"/>
      <c r="U371" s="73"/>
      <c r="V371" s="73"/>
      <c r="W371" s="73"/>
      <c r="X371" s="73"/>
      <c r="Y371" s="77"/>
      <c r="Z371" s="104"/>
      <c r="AA371" s="73"/>
      <c r="AB371" s="104"/>
      <c r="AC371" s="104"/>
      <c r="AD371" s="74"/>
      <c r="AE371" s="106"/>
      <c r="AF371" s="195"/>
      <c r="AG371" s="80"/>
      <c r="AH371" s="104"/>
      <c r="AI371" s="73"/>
      <c r="AJ371" s="114"/>
      <c r="AK371" s="106"/>
      <c r="AL371" s="74"/>
      <c r="AM371" s="73"/>
      <c r="AN371" s="73"/>
      <c r="AO371" s="102"/>
      <c r="AP371" s="73"/>
      <c r="AQ371" s="73"/>
      <c r="AR371" s="74"/>
      <c r="AS371" s="73"/>
      <c r="AT371" s="73"/>
      <c r="AU371" s="73"/>
      <c r="AV371" s="73"/>
      <c r="AW371" s="73"/>
      <c r="AX371" s="74"/>
      <c r="AY371" s="73"/>
      <c r="AZ371" s="73"/>
      <c r="BA371" s="74"/>
      <c r="BB371" s="73"/>
      <c r="BC371" s="73"/>
      <c r="BD371" s="73"/>
      <c r="BE371" s="73"/>
      <c r="BF371" s="73"/>
      <c r="BG371" s="73"/>
      <c r="BH371" s="73"/>
      <c r="BI371" s="73"/>
      <c r="BJ371" s="73"/>
      <c r="BK371" s="73"/>
      <c r="BL371" s="73"/>
      <c r="BM371" s="73"/>
      <c r="BN371" s="73"/>
      <c r="BO371" s="73"/>
      <c r="BP371" s="73"/>
      <c r="BQ371" s="73"/>
      <c r="BR371" s="73"/>
      <c r="BS371" s="73"/>
      <c r="BT371" s="74"/>
      <c r="BU371" s="73"/>
      <c r="BV371" s="73"/>
      <c r="BW371" s="73"/>
      <c r="BX371" s="73"/>
      <c r="BY371" s="73"/>
      <c r="BZ371" s="73"/>
      <c r="CA371" s="73"/>
      <c r="CB371" s="73"/>
      <c r="CC371" s="73"/>
      <c r="CD371" s="73"/>
      <c r="CE371" s="73"/>
    </row>
    <row r="372">
      <c r="A372" s="131"/>
      <c r="B372" s="73"/>
      <c r="C372" s="73"/>
      <c r="D372" s="74"/>
      <c r="E372" s="73"/>
      <c r="F372" s="73"/>
      <c r="G372" s="73"/>
      <c r="H372" s="73"/>
      <c r="I372" s="73"/>
      <c r="J372" s="73"/>
      <c r="K372" s="92"/>
      <c r="L372" s="73"/>
      <c r="M372" s="73"/>
      <c r="N372" s="73"/>
      <c r="O372" s="73"/>
      <c r="P372" s="73"/>
      <c r="Q372" s="75"/>
      <c r="R372" s="82"/>
      <c r="S372" s="73"/>
      <c r="T372" s="73"/>
      <c r="U372" s="73"/>
      <c r="V372" s="73"/>
      <c r="W372" s="73"/>
      <c r="X372" s="73"/>
      <c r="Y372" s="77"/>
      <c r="Z372" s="104"/>
      <c r="AA372" s="73"/>
      <c r="AB372" s="104"/>
      <c r="AC372" s="104"/>
      <c r="AD372" s="74"/>
      <c r="AE372" s="106"/>
      <c r="AF372" s="195"/>
      <c r="AG372" s="80"/>
      <c r="AH372" s="104"/>
      <c r="AI372" s="73"/>
      <c r="AJ372" s="114"/>
      <c r="AK372" s="106"/>
      <c r="AL372" s="74"/>
      <c r="AM372" s="73"/>
      <c r="AN372" s="73"/>
      <c r="AO372" s="102"/>
      <c r="AP372" s="73"/>
      <c r="AQ372" s="73"/>
      <c r="AR372" s="74"/>
      <c r="AS372" s="73"/>
      <c r="AT372" s="73"/>
      <c r="AU372" s="73"/>
      <c r="AV372" s="73"/>
      <c r="AW372" s="73"/>
      <c r="AX372" s="74"/>
      <c r="AY372" s="73"/>
      <c r="AZ372" s="73"/>
      <c r="BA372" s="74"/>
      <c r="BB372" s="73"/>
      <c r="BC372" s="73"/>
      <c r="BD372" s="73"/>
      <c r="BE372" s="73"/>
      <c r="BF372" s="73"/>
      <c r="BG372" s="73"/>
      <c r="BH372" s="73"/>
      <c r="BI372" s="73"/>
      <c r="BJ372" s="73"/>
      <c r="BK372" s="73"/>
      <c r="BL372" s="73"/>
      <c r="BM372" s="73"/>
      <c r="BN372" s="73"/>
      <c r="BO372" s="73"/>
      <c r="BP372" s="73"/>
      <c r="BQ372" s="73"/>
      <c r="BR372" s="73"/>
      <c r="BS372" s="73"/>
      <c r="BT372" s="74"/>
      <c r="BU372" s="73"/>
      <c r="BV372" s="73"/>
      <c r="BW372" s="73"/>
      <c r="BX372" s="73"/>
      <c r="BY372" s="73"/>
      <c r="BZ372" s="73"/>
      <c r="CA372" s="73"/>
      <c r="CB372" s="73"/>
      <c r="CC372" s="73"/>
      <c r="CD372" s="73"/>
      <c r="CE372" s="73"/>
    </row>
    <row r="373">
      <c r="A373" s="131"/>
      <c r="B373" s="73"/>
      <c r="C373" s="73"/>
      <c r="D373" s="74"/>
      <c r="E373" s="73"/>
      <c r="F373" s="73"/>
      <c r="G373" s="73"/>
      <c r="H373" s="73"/>
      <c r="I373" s="73"/>
      <c r="J373" s="73"/>
      <c r="K373" s="92"/>
      <c r="L373" s="73"/>
      <c r="M373" s="73"/>
      <c r="N373" s="73"/>
      <c r="O373" s="73"/>
      <c r="P373" s="73"/>
      <c r="Q373" s="75"/>
      <c r="R373" s="82"/>
      <c r="S373" s="73"/>
      <c r="T373" s="73"/>
      <c r="U373" s="73"/>
      <c r="V373" s="73"/>
      <c r="W373" s="73"/>
      <c r="X373" s="73"/>
      <c r="Y373" s="77"/>
      <c r="Z373" s="104"/>
      <c r="AA373" s="73"/>
      <c r="AB373" s="104"/>
      <c r="AC373" s="104"/>
      <c r="AD373" s="74"/>
      <c r="AE373" s="106"/>
      <c r="AF373" s="195"/>
      <c r="AG373" s="80"/>
      <c r="AH373" s="104"/>
      <c r="AI373" s="73"/>
      <c r="AJ373" s="114"/>
      <c r="AK373" s="106"/>
      <c r="AL373" s="74"/>
      <c r="AM373" s="73"/>
      <c r="AN373" s="73"/>
      <c r="AO373" s="102"/>
      <c r="AP373" s="73"/>
      <c r="AQ373" s="73"/>
      <c r="AR373" s="74"/>
      <c r="AS373" s="73"/>
      <c r="AT373" s="73"/>
      <c r="AU373" s="73"/>
      <c r="AV373" s="73"/>
      <c r="AW373" s="73"/>
      <c r="AX373" s="74"/>
      <c r="AY373" s="73"/>
      <c r="AZ373" s="73"/>
      <c r="BA373" s="74"/>
      <c r="BB373" s="73"/>
      <c r="BC373" s="73"/>
      <c r="BD373" s="73"/>
      <c r="BE373" s="73"/>
      <c r="BF373" s="73"/>
      <c r="BG373" s="73"/>
      <c r="BH373" s="73"/>
      <c r="BI373" s="73"/>
      <c r="BJ373" s="73"/>
      <c r="BK373" s="73"/>
      <c r="BL373" s="73"/>
      <c r="BM373" s="73"/>
      <c r="BN373" s="73"/>
      <c r="BO373" s="73"/>
      <c r="BP373" s="73"/>
      <c r="BQ373" s="73"/>
      <c r="BR373" s="73"/>
      <c r="BS373" s="73"/>
      <c r="BT373" s="74"/>
      <c r="BU373" s="73"/>
      <c r="BV373" s="73"/>
      <c r="BW373" s="73"/>
      <c r="BX373" s="73"/>
      <c r="BY373" s="73"/>
      <c r="BZ373" s="73"/>
      <c r="CA373" s="73"/>
      <c r="CB373" s="73"/>
      <c r="CC373" s="73"/>
      <c r="CD373" s="73"/>
      <c r="CE373" s="73"/>
    </row>
    <row r="374">
      <c r="A374" s="131"/>
      <c r="B374" s="73"/>
      <c r="C374" s="73"/>
      <c r="D374" s="74"/>
      <c r="E374" s="73"/>
      <c r="F374" s="73"/>
      <c r="G374" s="73"/>
      <c r="H374" s="73"/>
      <c r="I374" s="73"/>
      <c r="J374" s="73"/>
      <c r="K374" s="92"/>
      <c r="L374" s="73"/>
      <c r="M374" s="73"/>
      <c r="N374" s="73"/>
      <c r="O374" s="73"/>
      <c r="P374" s="73"/>
      <c r="Q374" s="75"/>
      <c r="R374" s="82"/>
      <c r="S374" s="73"/>
      <c r="T374" s="73"/>
      <c r="U374" s="73"/>
      <c r="V374" s="73"/>
      <c r="W374" s="73"/>
      <c r="X374" s="73"/>
      <c r="Y374" s="77"/>
      <c r="Z374" s="104"/>
      <c r="AA374" s="73"/>
      <c r="AB374" s="104"/>
      <c r="AC374" s="104"/>
      <c r="AD374" s="74"/>
      <c r="AE374" s="106"/>
      <c r="AF374" s="195"/>
      <c r="AG374" s="80"/>
      <c r="AH374" s="104"/>
      <c r="AI374" s="73"/>
      <c r="AJ374" s="114"/>
      <c r="AK374" s="106"/>
      <c r="AL374" s="74"/>
      <c r="AM374" s="73"/>
      <c r="AN374" s="73"/>
      <c r="AO374" s="102"/>
      <c r="AP374" s="73"/>
      <c r="AQ374" s="73"/>
      <c r="AR374" s="74"/>
      <c r="AS374" s="73"/>
      <c r="AT374" s="73"/>
      <c r="AU374" s="73"/>
      <c r="AV374" s="73"/>
      <c r="AW374" s="73"/>
      <c r="AX374" s="74"/>
      <c r="AY374" s="73"/>
      <c r="AZ374" s="73"/>
      <c r="BA374" s="74"/>
      <c r="BB374" s="73"/>
      <c r="BC374" s="73"/>
      <c r="BD374" s="73"/>
      <c r="BE374" s="73"/>
      <c r="BF374" s="73"/>
      <c r="BG374" s="73"/>
      <c r="BH374" s="73"/>
      <c r="BI374" s="73"/>
      <c r="BJ374" s="73"/>
      <c r="BK374" s="73"/>
      <c r="BL374" s="73"/>
      <c r="BM374" s="73"/>
      <c r="BN374" s="73"/>
      <c r="BO374" s="73"/>
      <c r="BP374" s="73"/>
      <c r="BQ374" s="73"/>
      <c r="BR374" s="73"/>
      <c r="BS374" s="73"/>
      <c r="BT374" s="74"/>
      <c r="BU374" s="73"/>
      <c r="BV374" s="73"/>
      <c r="BW374" s="73"/>
      <c r="BX374" s="73"/>
      <c r="BY374" s="73"/>
      <c r="BZ374" s="73"/>
      <c r="CA374" s="73"/>
      <c r="CB374" s="73"/>
      <c r="CC374" s="73"/>
      <c r="CD374" s="73"/>
      <c r="CE374" s="73"/>
    </row>
    <row r="375">
      <c r="A375" s="73"/>
      <c r="B375" s="73"/>
      <c r="C375" s="73"/>
      <c r="D375" s="74"/>
      <c r="E375" s="73"/>
      <c r="F375" s="73"/>
      <c r="G375" s="73"/>
      <c r="H375" s="73"/>
      <c r="I375" s="73"/>
      <c r="J375" s="73"/>
      <c r="K375" s="92"/>
      <c r="L375" s="73"/>
      <c r="M375" s="73"/>
      <c r="N375" s="73"/>
      <c r="O375" s="73"/>
      <c r="P375" s="73"/>
      <c r="Q375" s="75"/>
      <c r="R375" s="82"/>
      <c r="S375" s="73"/>
      <c r="T375" s="73"/>
      <c r="U375" s="73"/>
      <c r="V375" s="73"/>
      <c r="W375" s="73"/>
      <c r="X375" s="73"/>
      <c r="Y375" s="77"/>
      <c r="Z375" s="104"/>
      <c r="AA375" s="73"/>
      <c r="AB375" s="104"/>
      <c r="AC375" s="104"/>
      <c r="AD375" s="74"/>
      <c r="AE375" s="106"/>
      <c r="AF375" s="195"/>
      <c r="AG375" s="80"/>
      <c r="AH375" s="104"/>
      <c r="AI375" s="73"/>
      <c r="AJ375" s="114"/>
      <c r="AK375" s="106"/>
      <c r="AL375" s="74"/>
      <c r="AM375" s="73"/>
      <c r="AN375" s="73"/>
      <c r="AO375" s="102"/>
      <c r="AP375" s="73"/>
      <c r="AQ375" s="73"/>
      <c r="AR375" s="74"/>
      <c r="AS375" s="73"/>
      <c r="AT375" s="73"/>
      <c r="AU375" s="73"/>
      <c r="AV375" s="73"/>
      <c r="AW375" s="73"/>
      <c r="AX375" s="74"/>
      <c r="AY375" s="73"/>
      <c r="AZ375" s="73"/>
      <c r="BA375" s="74"/>
      <c r="BB375" s="73"/>
      <c r="BC375" s="73"/>
      <c r="BD375" s="73"/>
      <c r="BE375" s="73"/>
      <c r="BF375" s="73"/>
      <c r="BG375" s="73"/>
      <c r="BH375" s="73"/>
      <c r="BI375" s="73"/>
      <c r="BJ375" s="73"/>
      <c r="BK375" s="73"/>
      <c r="BL375" s="73"/>
      <c r="BM375" s="73"/>
      <c r="BN375" s="73"/>
      <c r="BO375" s="73"/>
      <c r="BP375" s="73"/>
      <c r="BQ375" s="73"/>
      <c r="BR375" s="73"/>
      <c r="BS375" s="73"/>
      <c r="BT375" s="74"/>
      <c r="BU375" s="73"/>
      <c r="BV375" s="73"/>
      <c r="BW375" s="73"/>
      <c r="BX375" s="73"/>
      <c r="BY375" s="73"/>
      <c r="BZ375" s="73"/>
      <c r="CA375" s="73"/>
      <c r="CB375" s="73"/>
      <c r="CC375" s="73"/>
      <c r="CD375" s="73"/>
      <c r="CE375" s="73"/>
    </row>
    <row r="376">
      <c r="A376" s="73"/>
      <c r="B376" s="73"/>
      <c r="C376" s="73"/>
      <c r="D376" s="74"/>
      <c r="E376" s="73"/>
      <c r="F376" s="73"/>
      <c r="G376" s="73"/>
      <c r="H376" s="73"/>
      <c r="I376" s="73"/>
      <c r="J376" s="73"/>
      <c r="K376" s="92"/>
      <c r="L376" s="73"/>
      <c r="M376" s="73"/>
      <c r="N376" s="73"/>
      <c r="O376" s="73"/>
      <c r="P376" s="73"/>
      <c r="Q376" s="75"/>
      <c r="R376" s="82"/>
      <c r="S376" s="73"/>
      <c r="T376" s="73"/>
      <c r="U376" s="73"/>
      <c r="V376" s="73"/>
      <c r="W376" s="73"/>
      <c r="X376" s="73"/>
      <c r="Y376" s="77"/>
      <c r="Z376" s="104"/>
      <c r="AA376" s="73"/>
      <c r="AB376" s="104"/>
      <c r="AC376" s="104"/>
      <c r="AD376" s="74"/>
      <c r="AE376" s="106"/>
      <c r="AF376" s="195"/>
      <c r="AG376" s="80"/>
      <c r="AH376" s="104"/>
      <c r="AI376" s="73"/>
      <c r="AJ376" s="114"/>
      <c r="AK376" s="106"/>
      <c r="AL376" s="74"/>
      <c r="AM376" s="73"/>
      <c r="AN376" s="73"/>
      <c r="AO376" s="102"/>
      <c r="AP376" s="73"/>
      <c r="AQ376" s="73"/>
      <c r="AR376" s="74"/>
      <c r="AS376" s="73"/>
      <c r="AT376" s="73"/>
      <c r="AU376" s="73"/>
      <c r="AV376" s="73"/>
      <c r="AW376" s="73"/>
      <c r="AX376" s="74"/>
      <c r="AY376" s="73"/>
      <c r="AZ376" s="73"/>
      <c r="BA376" s="74"/>
      <c r="BB376" s="73"/>
      <c r="BC376" s="73"/>
      <c r="BD376" s="73"/>
      <c r="BE376" s="73"/>
      <c r="BF376" s="73"/>
      <c r="BG376" s="73"/>
      <c r="BH376" s="73"/>
      <c r="BI376" s="73"/>
      <c r="BJ376" s="73"/>
      <c r="BK376" s="73"/>
      <c r="BL376" s="73"/>
      <c r="BM376" s="73"/>
      <c r="BN376" s="73"/>
      <c r="BO376" s="73"/>
      <c r="BP376" s="73"/>
      <c r="BQ376" s="73"/>
      <c r="BR376" s="73"/>
      <c r="BS376" s="73"/>
      <c r="BT376" s="74"/>
      <c r="BU376" s="73"/>
      <c r="BV376" s="73"/>
      <c r="BW376" s="73"/>
      <c r="BX376" s="73"/>
      <c r="BY376" s="73"/>
      <c r="BZ376" s="73"/>
      <c r="CA376" s="73"/>
      <c r="CB376" s="73"/>
      <c r="CC376" s="73"/>
      <c r="CD376" s="73"/>
      <c r="CE376" s="73"/>
    </row>
    <row r="377">
      <c r="A377" s="73"/>
      <c r="B377" s="73"/>
      <c r="C377" s="73"/>
      <c r="D377" s="74"/>
      <c r="E377" s="73"/>
      <c r="F377" s="73"/>
      <c r="G377" s="73"/>
      <c r="H377" s="73"/>
      <c r="I377" s="73"/>
      <c r="J377" s="73"/>
      <c r="K377" s="92"/>
      <c r="L377" s="73"/>
      <c r="M377" s="73"/>
      <c r="N377" s="73"/>
      <c r="O377" s="73"/>
      <c r="P377" s="73"/>
      <c r="Q377" s="75"/>
      <c r="R377" s="82"/>
      <c r="S377" s="73"/>
      <c r="T377" s="73"/>
      <c r="U377" s="73"/>
      <c r="V377" s="73"/>
      <c r="W377" s="73"/>
      <c r="X377" s="73"/>
      <c r="Y377" s="77"/>
      <c r="Z377" s="104"/>
      <c r="AA377" s="73"/>
      <c r="AB377" s="104"/>
      <c r="AC377" s="104"/>
      <c r="AD377" s="74"/>
      <c r="AE377" s="106"/>
      <c r="AF377" s="195"/>
      <c r="AG377" s="80"/>
      <c r="AH377" s="104"/>
      <c r="AI377" s="73"/>
      <c r="AJ377" s="114"/>
      <c r="AK377" s="106"/>
      <c r="AL377" s="74"/>
      <c r="AM377" s="73"/>
      <c r="AN377" s="73"/>
      <c r="AO377" s="102"/>
      <c r="AP377" s="73"/>
      <c r="AQ377" s="73"/>
      <c r="AR377" s="74"/>
      <c r="AS377" s="73"/>
      <c r="AT377" s="73"/>
      <c r="AU377" s="73"/>
      <c r="AV377" s="73"/>
      <c r="AW377" s="73"/>
      <c r="AX377" s="74"/>
      <c r="AY377" s="73"/>
      <c r="AZ377" s="73"/>
      <c r="BA377" s="74"/>
      <c r="BB377" s="73"/>
      <c r="BC377" s="73"/>
      <c r="BD377" s="73"/>
      <c r="BE377" s="73"/>
      <c r="BF377" s="73"/>
      <c r="BG377" s="73"/>
      <c r="BH377" s="73"/>
      <c r="BI377" s="73"/>
      <c r="BJ377" s="73"/>
      <c r="BK377" s="73"/>
      <c r="BL377" s="73"/>
      <c r="BM377" s="73"/>
      <c r="BN377" s="73"/>
      <c r="BO377" s="73"/>
      <c r="BP377" s="73"/>
      <c r="BQ377" s="73"/>
      <c r="BR377" s="73"/>
      <c r="BS377" s="73"/>
      <c r="BT377" s="74"/>
      <c r="BU377" s="73"/>
      <c r="BV377" s="73"/>
      <c r="BW377" s="73"/>
      <c r="BX377" s="73"/>
      <c r="BY377" s="73"/>
      <c r="BZ377" s="73"/>
      <c r="CA377" s="73"/>
      <c r="CB377" s="73"/>
      <c r="CC377" s="73"/>
      <c r="CD377" s="73"/>
      <c r="CE377" s="73"/>
    </row>
    <row r="378">
      <c r="A378" s="73"/>
      <c r="B378" s="73"/>
      <c r="C378" s="73"/>
      <c r="D378" s="74"/>
      <c r="E378" s="73"/>
      <c r="F378" s="73"/>
      <c r="G378" s="73"/>
      <c r="H378" s="73"/>
      <c r="I378" s="73"/>
      <c r="J378" s="73"/>
      <c r="K378" s="92"/>
      <c r="L378" s="73"/>
      <c r="M378" s="73"/>
      <c r="N378" s="73"/>
      <c r="O378" s="73"/>
      <c r="P378" s="73"/>
      <c r="Q378" s="75"/>
      <c r="R378" s="82"/>
      <c r="S378" s="73"/>
      <c r="T378" s="73"/>
      <c r="U378" s="73"/>
      <c r="V378" s="73"/>
      <c r="W378" s="73"/>
      <c r="X378" s="73"/>
      <c r="Y378" s="77"/>
      <c r="Z378" s="104"/>
      <c r="AA378" s="73"/>
      <c r="AB378" s="104"/>
      <c r="AC378" s="104"/>
      <c r="AD378" s="74"/>
      <c r="AE378" s="106"/>
      <c r="AF378" s="195"/>
      <c r="AG378" s="80"/>
      <c r="AH378" s="104"/>
      <c r="AI378" s="73"/>
      <c r="AJ378" s="114"/>
      <c r="AK378" s="106"/>
      <c r="AL378" s="74"/>
      <c r="AM378" s="73"/>
      <c r="AN378" s="73"/>
      <c r="AO378" s="102"/>
      <c r="AP378" s="73"/>
      <c r="AQ378" s="73"/>
      <c r="AR378" s="74"/>
      <c r="AS378" s="73"/>
      <c r="AT378" s="73"/>
      <c r="AU378" s="73"/>
      <c r="AV378" s="73"/>
      <c r="AW378" s="73"/>
      <c r="AX378" s="74"/>
      <c r="AY378" s="73"/>
      <c r="AZ378" s="73"/>
      <c r="BA378" s="74"/>
      <c r="BB378" s="73"/>
      <c r="BC378" s="73"/>
      <c r="BD378" s="73"/>
      <c r="BE378" s="73"/>
      <c r="BF378" s="73"/>
      <c r="BG378" s="73"/>
      <c r="BH378" s="73"/>
      <c r="BI378" s="73"/>
      <c r="BJ378" s="73"/>
      <c r="BK378" s="73"/>
      <c r="BL378" s="73"/>
      <c r="BM378" s="73"/>
      <c r="BN378" s="73"/>
      <c r="BO378" s="73"/>
      <c r="BP378" s="73"/>
      <c r="BQ378" s="73"/>
      <c r="BR378" s="73"/>
      <c r="BS378" s="73"/>
      <c r="BT378" s="74"/>
      <c r="BU378" s="73"/>
      <c r="BV378" s="73"/>
      <c r="BW378" s="73"/>
      <c r="BX378" s="73"/>
      <c r="BY378" s="73"/>
      <c r="BZ378" s="73"/>
      <c r="CA378" s="73"/>
      <c r="CB378" s="73"/>
      <c r="CC378" s="73"/>
      <c r="CD378" s="73"/>
      <c r="CE378" s="73"/>
    </row>
    <row r="379">
      <c r="A379" s="73"/>
      <c r="B379" s="73"/>
      <c r="C379" s="73"/>
      <c r="D379" s="74"/>
      <c r="E379" s="73"/>
      <c r="F379" s="73"/>
      <c r="G379" s="73"/>
      <c r="H379" s="73"/>
      <c r="I379" s="73"/>
      <c r="J379" s="73"/>
      <c r="K379" s="92"/>
      <c r="L379" s="73"/>
      <c r="M379" s="73"/>
      <c r="N379" s="73"/>
      <c r="O379" s="73"/>
      <c r="P379" s="73"/>
      <c r="Q379" s="75"/>
      <c r="R379" s="82"/>
      <c r="S379" s="73"/>
      <c r="T379" s="73"/>
      <c r="U379" s="73"/>
      <c r="V379" s="73"/>
      <c r="W379" s="73"/>
      <c r="X379" s="73"/>
      <c r="Y379" s="77"/>
      <c r="Z379" s="104"/>
      <c r="AA379" s="73"/>
      <c r="AB379" s="104"/>
      <c r="AC379" s="104"/>
      <c r="AD379" s="74"/>
      <c r="AE379" s="106"/>
      <c r="AF379" s="195"/>
      <c r="AG379" s="80"/>
      <c r="AH379" s="104"/>
      <c r="AI379" s="73"/>
      <c r="AJ379" s="114"/>
      <c r="AK379" s="106"/>
      <c r="AL379" s="74"/>
      <c r="AM379" s="73"/>
      <c r="AN379" s="73"/>
      <c r="AO379" s="102"/>
      <c r="AP379" s="73"/>
      <c r="AQ379" s="73"/>
      <c r="AR379" s="74"/>
      <c r="AS379" s="73"/>
      <c r="AT379" s="73"/>
      <c r="AU379" s="73"/>
      <c r="AV379" s="73"/>
      <c r="AW379" s="73"/>
      <c r="AX379" s="74"/>
      <c r="AY379" s="73"/>
      <c r="AZ379" s="73"/>
      <c r="BA379" s="74"/>
      <c r="BB379" s="73"/>
      <c r="BC379" s="73"/>
      <c r="BD379" s="73"/>
      <c r="BE379" s="73"/>
      <c r="BF379" s="73"/>
      <c r="BG379" s="73"/>
      <c r="BH379" s="73"/>
      <c r="BI379" s="73"/>
      <c r="BJ379" s="73"/>
      <c r="BK379" s="73"/>
      <c r="BL379" s="73"/>
      <c r="BM379" s="73"/>
      <c r="BN379" s="73"/>
      <c r="BO379" s="73"/>
      <c r="BP379" s="73"/>
      <c r="BQ379" s="73"/>
      <c r="BR379" s="73"/>
      <c r="BS379" s="73"/>
      <c r="BT379" s="74"/>
      <c r="BU379" s="73"/>
      <c r="BV379" s="73"/>
      <c r="BW379" s="73"/>
      <c r="BX379" s="73"/>
      <c r="BY379" s="73"/>
      <c r="BZ379" s="73"/>
      <c r="CA379" s="73"/>
      <c r="CB379" s="73"/>
      <c r="CC379" s="73"/>
      <c r="CD379" s="73"/>
      <c r="CE379" s="73"/>
    </row>
    <row r="380">
      <c r="A380" s="73"/>
      <c r="B380" s="73"/>
      <c r="C380" s="73"/>
      <c r="D380" s="74"/>
      <c r="E380" s="73"/>
      <c r="F380" s="73"/>
      <c r="G380" s="73"/>
      <c r="H380" s="73"/>
      <c r="I380" s="73"/>
      <c r="J380" s="73"/>
      <c r="K380" s="92"/>
      <c r="L380" s="73"/>
      <c r="M380" s="73"/>
      <c r="N380" s="73"/>
      <c r="O380" s="73"/>
      <c r="P380" s="73"/>
      <c r="Q380" s="75"/>
      <c r="R380" s="82"/>
      <c r="S380" s="73"/>
      <c r="T380" s="73"/>
      <c r="U380" s="73"/>
      <c r="V380" s="73"/>
      <c r="W380" s="73"/>
      <c r="X380" s="73"/>
      <c r="Y380" s="77"/>
      <c r="Z380" s="104"/>
      <c r="AA380" s="73"/>
      <c r="AB380" s="104"/>
      <c r="AC380" s="104"/>
      <c r="AD380" s="74"/>
      <c r="AE380" s="106"/>
      <c r="AF380" s="195"/>
      <c r="AG380" s="80"/>
      <c r="AH380" s="104"/>
      <c r="AI380" s="73"/>
      <c r="AJ380" s="114"/>
      <c r="AK380" s="106"/>
      <c r="AL380" s="74"/>
      <c r="AM380" s="73"/>
      <c r="AN380" s="73"/>
      <c r="AO380" s="102"/>
      <c r="AP380" s="73"/>
      <c r="AQ380" s="73"/>
      <c r="AR380" s="74"/>
      <c r="AS380" s="73"/>
      <c r="AT380" s="73"/>
      <c r="AU380" s="73"/>
      <c r="AV380" s="73"/>
      <c r="AW380" s="73"/>
      <c r="AX380" s="74"/>
      <c r="AY380" s="73"/>
      <c r="AZ380" s="73"/>
      <c r="BA380" s="74"/>
      <c r="BB380" s="73"/>
      <c r="BC380" s="73"/>
      <c r="BD380" s="73"/>
      <c r="BE380" s="73"/>
      <c r="BF380" s="73"/>
      <c r="BG380" s="73"/>
      <c r="BH380" s="73"/>
      <c r="BI380" s="73"/>
      <c r="BJ380" s="73"/>
      <c r="BK380" s="73"/>
      <c r="BL380" s="73"/>
      <c r="BM380" s="73"/>
      <c r="BN380" s="73"/>
      <c r="BO380" s="73"/>
      <c r="BP380" s="73"/>
      <c r="BQ380" s="73"/>
      <c r="BR380" s="73"/>
      <c r="BS380" s="73"/>
      <c r="BT380" s="74"/>
      <c r="BU380" s="73"/>
      <c r="BV380" s="73"/>
      <c r="BW380" s="73"/>
      <c r="BX380" s="73"/>
      <c r="BY380" s="73"/>
      <c r="BZ380" s="73"/>
      <c r="CA380" s="73"/>
      <c r="CB380" s="73"/>
      <c r="CC380" s="73"/>
      <c r="CD380" s="73"/>
      <c r="CE380" s="73"/>
    </row>
    <row r="381">
      <c r="A381" s="73"/>
      <c r="B381" s="73"/>
      <c r="C381" s="73"/>
      <c r="D381" s="74"/>
      <c r="E381" s="73"/>
      <c r="F381" s="73"/>
      <c r="G381" s="73"/>
      <c r="H381" s="73"/>
      <c r="I381" s="73"/>
      <c r="J381" s="73"/>
      <c r="K381" s="92"/>
      <c r="L381" s="73"/>
      <c r="M381" s="73"/>
      <c r="N381" s="73"/>
      <c r="O381" s="73"/>
      <c r="P381" s="73"/>
      <c r="Q381" s="75"/>
      <c r="R381" s="82"/>
      <c r="S381" s="73"/>
      <c r="T381" s="73"/>
      <c r="U381" s="73"/>
      <c r="V381" s="73"/>
      <c r="W381" s="73"/>
      <c r="X381" s="73"/>
      <c r="Y381" s="77"/>
      <c r="Z381" s="104"/>
      <c r="AA381" s="73"/>
      <c r="AB381" s="104"/>
      <c r="AC381" s="104"/>
      <c r="AD381" s="74"/>
      <c r="AE381" s="106"/>
      <c r="AF381" s="195"/>
      <c r="AG381" s="80"/>
      <c r="AH381" s="104"/>
      <c r="AI381" s="73"/>
      <c r="AJ381" s="114"/>
      <c r="AK381" s="106"/>
      <c r="AL381" s="74"/>
      <c r="AM381" s="73"/>
      <c r="AN381" s="73"/>
      <c r="AO381" s="102"/>
      <c r="AP381" s="73"/>
      <c r="AQ381" s="73"/>
      <c r="AR381" s="74"/>
      <c r="AS381" s="73"/>
      <c r="AT381" s="73"/>
      <c r="AU381" s="73"/>
      <c r="AV381" s="73"/>
      <c r="AW381" s="73"/>
      <c r="AX381" s="74"/>
      <c r="AY381" s="73"/>
      <c r="AZ381" s="73"/>
      <c r="BA381" s="74"/>
      <c r="BB381" s="73"/>
      <c r="BC381" s="73"/>
      <c r="BD381" s="73"/>
      <c r="BE381" s="73"/>
      <c r="BF381" s="73"/>
      <c r="BG381" s="73"/>
      <c r="BH381" s="73"/>
      <c r="BI381" s="73"/>
      <c r="BJ381" s="73"/>
      <c r="BK381" s="73"/>
      <c r="BL381" s="73"/>
      <c r="BM381" s="73"/>
      <c r="BN381" s="73"/>
      <c r="BO381" s="73"/>
      <c r="BP381" s="73"/>
      <c r="BQ381" s="73"/>
      <c r="BR381" s="73"/>
      <c r="BS381" s="73"/>
      <c r="BT381" s="74"/>
      <c r="BU381" s="73"/>
      <c r="BV381" s="73"/>
      <c r="BW381" s="73"/>
      <c r="BX381" s="73"/>
      <c r="BY381" s="73"/>
      <c r="BZ381" s="73"/>
      <c r="CA381" s="73"/>
      <c r="CB381" s="73"/>
      <c r="CC381" s="73"/>
      <c r="CD381" s="73"/>
      <c r="CE381" s="73"/>
    </row>
    <row r="382">
      <c r="A382" s="73"/>
      <c r="B382" s="73"/>
      <c r="C382" s="73"/>
      <c r="D382" s="74"/>
      <c r="E382" s="73"/>
      <c r="F382" s="73"/>
      <c r="G382" s="73"/>
      <c r="H382" s="73"/>
      <c r="I382" s="73"/>
      <c r="J382" s="73"/>
      <c r="K382" s="92"/>
      <c r="L382" s="73"/>
      <c r="M382" s="73"/>
      <c r="N382" s="73"/>
      <c r="O382" s="73"/>
      <c r="P382" s="73"/>
      <c r="Q382" s="75"/>
      <c r="R382" s="82"/>
      <c r="S382" s="73"/>
      <c r="T382" s="73"/>
      <c r="U382" s="73"/>
      <c r="V382" s="73"/>
      <c r="W382" s="73"/>
      <c r="X382" s="73"/>
      <c r="Y382" s="77"/>
      <c r="Z382" s="104"/>
      <c r="AA382" s="73"/>
      <c r="AB382" s="104"/>
      <c r="AC382" s="104"/>
      <c r="AD382" s="74"/>
      <c r="AE382" s="106"/>
      <c r="AF382" s="195"/>
      <c r="AG382" s="80"/>
      <c r="AH382" s="104"/>
      <c r="AI382" s="73"/>
      <c r="AJ382" s="114"/>
      <c r="AK382" s="106"/>
      <c r="AL382" s="74"/>
      <c r="AM382" s="73"/>
      <c r="AN382" s="73"/>
      <c r="AO382" s="102"/>
      <c r="AP382" s="73"/>
      <c r="AQ382" s="73"/>
      <c r="AR382" s="74"/>
      <c r="AS382" s="73"/>
      <c r="AT382" s="73"/>
      <c r="AU382" s="73"/>
      <c r="AV382" s="73"/>
      <c r="AW382" s="73"/>
      <c r="AX382" s="74"/>
      <c r="AY382" s="73"/>
      <c r="AZ382" s="73"/>
      <c r="BA382" s="74"/>
      <c r="BB382" s="73"/>
      <c r="BC382" s="73"/>
      <c r="BD382" s="73"/>
      <c r="BE382" s="73"/>
      <c r="BF382" s="73"/>
      <c r="BG382" s="73"/>
      <c r="BH382" s="73"/>
      <c r="BI382" s="73"/>
      <c r="BJ382" s="73"/>
      <c r="BK382" s="73"/>
      <c r="BL382" s="73"/>
      <c r="BM382" s="73"/>
      <c r="BN382" s="73"/>
      <c r="BO382" s="73"/>
      <c r="BP382" s="73"/>
      <c r="BQ382" s="73"/>
      <c r="BR382" s="73"/>
      <c r="BS382" s="73"/>
      <c r="BT382" s="74"/>
      <c r="BU382" s="73"/>
      <c r="BV382" s="73"/>
      <c r="BW382" s="73"/>
      <c r="BX382" s="73"/>
      <c r="BY382" s="73"/>
      <c r="BZ382" s="73"/>
      <c r="CA382" s="73"/>
      <c r="CB382" s="73"/>
      <c r="CC382" s="73"/>
      <c r="CD382" s="73"/>
      <c r="CE382" s="73"/>
    </row>
    <row r="383">
      <c r="A383" s="73"/>
      <c r="B383" s="73"/>
      <c r="C383" s="73"/>
      <c r="D383" s="74"/>
      <c r="E383" s="73"/>
      <c r="F383" s="73"/>
      <c r="G383" s="73"/>
      <c r="H383" s="73"/>
      <c r="I383" s="73"/>
      <c r="J383" s="73"/>
      <c r="K383" s="92"/>
      <c r="L383" s="73"/>
      <c r="M383" s="73"/>
      <c r="N383" s="73"/>
      <c r="O383" s="73"/>
      <c r="P383" s="73"/>
      <c r="Q383" s="75"/>
      <c r="R383" s="82"/>
      <c r="S383" s="73"/>
      <c r="T383" s="73"/>
      <c r="U383" s="73"/>
      <c r="V383" s="73"/>
      <c r="W383" s="73"/>
      <c r="X383" s="73"/>
      <c r="Y383" s="77"/>
      <c r="Z383" s="104"/>
      <c r="AA383" s="73"/>
      <c r="AB383" s="104"/>
      <c r="AC383" s="104"/>
      <c r="AD383" s="74"/>
      <c r="AE383" s="106"/>
      <c r="AF383" s="195"/>
      <c r="AG383" s="80"/>
      <c r="AH383" s="104"/>
      <c r="AI383" s="73"/>
      <c r="AJ383" s="114"/>
      <c r="AK383" s="106"/>
      <c r="AL383" s="74"/>
      <c r="AM383" s="73"/>
      <c r="AN383" s="73"/>
      <c r="AO383" s="102"/>
      <c r="AP383" s="73"/>
      <c r="AQ383" s="73"/>
      <c r="AR383" s="74"/>
      <c r="AS383" s="73"/>
      <c r="AT383" s="73"/>
      <c r="AU383" s="73"/>
      <c r="AV383" s="73"/>
      <c r="AW383" s="73"/>
      <c r="AX383" s="74"/>
      <c r="AY383" s="73"/>
      <c r="AZ383" s="73"/>
      <c r="BA383" s="74"/>
      <c r="BB383" s="73"/>
      <c r="BC383" s="73"/>
      <c r="BD383" s="73"/>
      <c r="BE383" s="73"/>
      <c r="BF383" s="73"/>
      <c r="BG383" s="73"/>
      <c r="BH383" s="73"/>
      <c r="BI383" s="73"/>
      <c r="BJ383" s="73"/>
      <c r="BK383" s="73"/>
      <c r="BL383" s="73"/>
      <c r="BM383" s="73"/>
      <c r="BN383" s="73"/>
      <c r="BO383" s="73"/>
      <c r="BP383" s="73"/>
      <c r="BQ383" s="73"/>
      <c r="BR383" s="73"/>
      <c r="BS383" s="73"/>
      <c r="BT383" s="74"/>
      <c r="BU383" s="73"/>
      <c r="BV383" s="73"/>
      <c r="BW383" s="73"/>
      <c r="BX383" s="73"/>
      <c r="BY383" s="73"/>
      <c r="BZ383" s="73"/>
      <c r="CA383" s="73"/>
      <c r="CB383" s="73"/>
      <c r="CC383" s="73"/>
      <c r="CD383" s="73"/>
      <c r="CE383" s="73"/>
    </row>
    <row r="384">
      <c r="A384" s="73"/>
      <c r="B384" s="73"/>
      <c r="C384" s="73"/>
      <c r="D384" s="74"/>
      <c r="E384" s="73"/>
      <c r="F384" s="73"/>
      <c r="G384" s="73"/>
      <c r="H384" s="73"/>
      <c r="I384" s="73"/>
      <c r="J384" s="73"/>
      <c r="K384" s="92"/>
      <c r="L384" s="73"/>
      <c r="M384" s="73"/>
      <c r="N384" s="73"/>
      <c r="O384" s="73"/>
      <c r="P384" s="73"/>
      <c r="Q384" s="75"/>
      <c r="R384" s="82"/>
      <c r="S384" s="73"/>
      <c r="T384" s="73"/>
      <c r="U384" s="73"/>
      <c r="V384" s="73"/>
      <c r="W384" s="73"/>
      <c r="X384" s="73"/>
      <c r="Y384" s="77"/>
      <c r="Z384" s="104"/>
      <c r="AA384" s="73"/>
      <c r="AB384" s="104"/>
      <c r="AC384" s="104"/>
      <c r="AD384" s="74"/>
      <c r="AE384" s="106"/>
      <c r="AF384" s="195"/>
      <c r="AG384" s="80"/>
      <c r="AH384" s="104"/>
      <c r="AI384" s="73"/>
      <c r="AJ384" s="114"/>
      <c r="AK384" s="106"/>
      <c r="AL384" s="74"/>
      <c r="AM384" s="73"/>
      <c r="AN384" s="73"/>
      <c r="AO384" s="102"/>
      <c r="AP384" s="73"/>
      <c r="AQ384" s="73"/>
      <c r="AR384" s="74"/>
      <c r="AS384" s="73"/>
      <c r="AT384" s="73"/>
      <c r="AU384" s="73"/>
      <c r="AV384" s="73"/>
      <c r="AW384" s="73"/>
      <c r="AX384" s="74"/>
      <c r="AY384" s="73"/>
      <c r="AZ384" s="73"/>
      <c r="BA384" s="74"/>
      <c r="BB384" s="73"/>
      <c r="BC384" s="73"/>
      <c r="BD384" s="73"/>
      <c r="BE384" s="73"/>
      <c r="BF384" s="73"/>
      <c r="BG384" s="73"/>
      <c r="BH384" s="73"/>
      <c r="BI384" s="73"/>
      <c r="BJ384" s="73"/>
      <c r="BK384" s="73"/>
      <c r="BL384" s="73"/>
      <c r="BM384" s="73"/>
      <c r="BN384" s="73"/>
      <c r="BO384" s="73"/>
      <c r="BP384" s="73"/>
      <c r="BQ384" s="73"/>
      <c r="BR384" s="73"/>
      <c r="BS384" s="73"/>
      <c r="BT384" s="74"/>
      <c r="BU384" s="73"/>
      <c r="BV384" s="73"/>
      <c r="BW384" s="73"/>
      <c r="BX384" s="73"/>
      <c r="BY384" s="73"/>
      <c r="BZ384" s="73"/>
      <c r="CA384" s="73"/>
      <c r="CB384" s="73"/>
      <c r="CC384" s="73"/>
      <c r="CD384" s="73"/>
      <c r="CE384" s="73"/>
    </row>
    <row r="385">
      <c r="A385" s="73"/>
      <c r="B385" s="73"/>
      <c r="C385" s="73"/>
      <c r="D385" s="74"/>
      <c r="E385" s="73"/>
      <c r="F385" s="73"/>
      <c r="G385" s="73"/>
      <c r="H385" s="73"/>
      <c r="I385" s="73"/>
      <c r="J385" s="73"/>
      <c r="K385" s="92"/>
      <c r="L385" s="73"/>
      <c r="M385" s="73"/>
      <c r="N385" s="73"/>
      <c r="O385" s="73"/>
      <c r="P385" s="73"/>
      <c r="Q385" s="75"/>
      <c r="R385" s="82"/>
      <c r="S385" s="73"/>
      <c r="T385" s="73"/>
      <c r="U385" s="73"/>
      <c r="V385" s="73"/>
      <c r="W385" s="73"/>
      <c r="X385" s="73"/>
      <c r="Y385" s="77"/>
      <c r="Z385" s="104"/>
      <c r="AA385" s="73"/>
      <c r="AB385" s="104"/>
      <c r="AC385" s="104"/>
      <c r="AD385" s="74"/>
      <c r="AE385" s="106"/>
      <c r="AF385" s="195"/>
      <c r="AG385" s="80"/>
      <c r="AH385" s="104"/>
      <c r="AI385" s="73"/>
      <c r="AJ385" s="114"/>
      <c r="AK385" s="106"/>
      <c r="AL385" s="74"/>
      <c r="AM385" s="73"/>
      <c r="AN385" s="73"/>
      <c r="AO385" s="102"/>
      <c r="AP385" s="73"/>
      <c r="AQ385" s="73"/>
      <c r="AR385" s="74"/>
      <c r="AS385" s="73"/>
      <c r="AT385" s="73"/>
      <c r="AU385" s="73"/>
      <c r="AV385" s="73"/>
      <c r="AW385" s="73"/>
      <c r="AX385" s="74"/>
      <c r="AY385" s="73"/>
      <c r="AZ385" s="73"/>
      <c r="BA385" s="74"/>
      <c r="BB385" s="73"/>
      <c r="BC385" s="73"/>
      <c r="BD385" s="73"/>
      <c r="BE385" s="73"/>
      <c r="BF385" s="73"/>
      <c r="BG385" s="73"/>
      <c r="BH385" s="73"/>
      <c r="BI385" s="73"/>
      <c r="BJ385" s="73"/>
      <c r="BK385" s="73"/>
      <c r="BL385" s="73"/>
      <c r="BM385" s="73"/>
      <c r="BN385" s="73"/>
      <c r="BO385" s="73"/>
      <c r="BP385" s="73"/>
      <c r="BQ385" s="73"/>
      <c r="BR385" s="73"/>
      <c r="BS385" s="73"/>
      <c r="BT385" s="74"/>
      <c r="BU385" s="73"/>
      <c r="BV385" s="73"/>
      <c r="BW385" s="73"/>
      <c r="BX385" s="73"/>
      <c r="BY385" s="73"/>
      <c r="BZ385" s="73"/>
      <c r="CA385" s="73"/>
      <c r="CB385" s="73"/>
      <c r="CC385" s="73"/>
      <c r="CD385" s="73"/>
      <c r="CE385" s="73"/>
    </row>
    <row r="386">
      <c r="A386" s="73"/>
      <c r="B386" s="73"/>
      <c r="C386" s="73"/>
      <c r="D386" s="74"/>
      <c r="E386" s="73"/>
      <c r="F386" s="73"/>
      <c r="G386" s="73"/>
      <c r="H386" s="73"/>
      <c r="I386" s="73"/>
      <c r="J386" s="73"/>
      <c r="K386" s="92"/>
      <c r="L386" s="73"/>
      <c r="M386" s="73"/>
      <c r="N386" s="73"/>
      <c r="O386" s="73"/>
      <c r="P386" s="73"/>
      <c r="Q386" s="75"/>
      <c r="R386" s="82"/>
      <c r="S386" s="73"/>
      <c r="T386" s="73"/>
      <c r="U386" s="73"/>
      <c r="V386" s="73"/>
      <c r="W386" s="73"/>
      <c r="X386" s="73"/>
      <c r="Y386" s="77"/>
      <c r="Z386" s="104"/>
      <c r="AA386" s="73"/>
      <c r="AB386" s="104"/>
      <c r="AC386" s="104"/>
      <c r="AD386" s="74"/>
      <c r="AE386" s="106"/>
      <c r="AF386" s="195"/>
      <c r="AG386" s="80"/>
      <c r="AH386" s="104"/>
      <c r="AI386" s="73"/>
      <c r="AJ386" s="114"/>
      <c r="AK386" s="106"/>
      <c r="AL386" s="74"/>
      <c r="AM386" s="73"/>
      <c r="AN386" s="73"/>
      <c r="AO386" s="102"/>
      <c r="AP386" s="73"/>
      <c r="AQ386" s="73"/>
      <c r="AR386" s="74"/>
      <c r="AS386" s="73"/>
      <c r="AT386" s="73"/>
      <c r="AU386" s="73"/>
      <c r="AV386" s="73"/>
      <c r="AW386" s="73"/>
      <c r="AX386" s="74"/>
      <c r="AY386" s="73"/>
      <c r="AZ386" s="73"/>
      <c r="BA386" s="74"/>
      <c r="BB386" s="73"/>
      <c r="BC386" s="73"/>
      <c r="BD386" s="73"/>
      <c r="BE386" s="73"/>
      <c r="BF386" s="73"/>
      <c r="BG386" s="73"/>
      <c r="BH386" s="73"/>
      <c r="BI386" s="73"/>
      <c r="BJ386" s="73"/>
      <c r="BK386" s="73"/>
      <c r="BL386" s="73"/>
      <c r="BM386" s="73"/>
      <c r="BN386" s="73"/>
      <c r="BO386" s="73"/>
      <c r="BP386" s="73"/>
      <c r="BQ386" s="73"/>
      <c r="BR386" s="73"/>
      <c r="BS386" s="73"/>
      <c r="BT386" s="74"/>
      <c r="BU386" s="73"/>
      <c r="BV386" s="73"/>
      <c r="BW386" s="73"/>
      <c r="BX386" s="73"/>
      <c r="BY386" s="73"/>
      <c r="BZ386" s="73"/>
      <c r="CA386" s="73"/>
      <c r="CB386" s="73"/>
      <c r="CC386" s="73"/>
      <c r="CD386" s="73"/>
      <c r="CE386" s="73"/>
    </row>
    <row r="387">
      <c r="A387" s="73"/>
      <c r="B387" s="73"/>
      <c r="C387" s="73"/>
      <c r="D387" s="74"/>
      <c r="E387" s="73"/>
      <c r="F387" s="73"/>
      <c r="G387" s="73"/>
      <c r="H387" s="73"/>
      <c r="I387" s="73"/>
      <c r="J387" s="73"/>
      <c r="K387" s="92"/>
      <c r="L387" s="73"/>
      <c r="M387" s="73"/>
      <c r="N387" s="73"/>
      <c r="O387" s="73"/>
      <c r="P387" s="73"/>
      <c r="Q387" s="75"/>
      <c r="R387" s="82"/>
      <c r="S387" s="73"/>
      <c r="T387" s="73"/>
      <c r="U387" s="73"/>
      <c r="V387" s="73"/>
      <c r="W387" s="73"/>
      <c r="X387" s="73"/>
      <c r="Y387" s="77"/>
      <c r="Z387" s="104"/>
      <c r="AA387" s="73"/>
      <c r="AB387" s="104"/>
      <c r="AC387" s="104"/>
      <c r="AD387" s="74"/>
      <c r="AE387" s="106"/>
      <c r="AF387" s="195"/>
      <c r="AG387" s="80"/>
      <c r="AH387" s="104"/>
      <c r="AI387" s="73"/>
      <c r="AJ387" s="114"/>
      <c r="AK387" s="106"/>
      <c r="AL387" s="74"/>
      <c r="AM387" s="73"/>
      <c r="AN387" s="73"/>
      <c r="AO387" s="102"/>
      <c r="AP387" s="73"/>
      <c r="AQ387" s="73"/>
      <c r="AR387" s="74"/>
      <c r="AS387" s="73"/>
      <c r="AT387" s="73"/>
      <c r="AU387" s="73"/>
      <c r="AV387" s="73"/>
      <c r="AW387" s="73"/>
      <c r="AX387" s="74"/>
      <c r="AY387" s="73"/>
      <c r="AZ387" s="73"/>
      <c r="BA387" s="74"/>
      <c r="BB387" s="73"/>
      <c r="BC387" s="73"/>
      <c r="BD387" s="73"/>
      <c r="BE387" s="73"/>
      <c r="BF387" s="73"/>
      <c r="BG387" s="73"/>
      <c r="BH387" s="73"/>
      <c r="BI387" s="73"/>
      <c r="BJ387" s="73"/>
      <c r="BK387" s="73"/>
      <c r="BL387" s="73"/>
      <c r="BM387" s="73"/>
      <c r="BN387" s="73"/>
      <c r="BO387" s="73"/>
      <c r="BP387" s="73"/>
      <c r="BQ387" s="73"/>
      <c r="BR387" s="73"/>
      <c r="BS387" s="73"/>
      <c r="BT387" s="74"/>
      <c r="BU387" s="73"/>
      <c r="BV387" s="73"/>
      <c r="BW387" s="73"/>
      <c r="BX387" s="73"/>
      <c r="BY387" s="73"/>
      <c r="BZ387" s="73"/>
      <c r="CA387" s="73"/>
      <c r="CB387" s="73"/>
      <c r="CC387" s="73"/>
      <c r="CD387" s="73"/>
      <c r="CE387" s="73"/>
    </row>
    <row r="388">
      <c r="A388" s="73"/>
      <c r="B388" s="73"/>
      <c r="C388" s="73"/>
      <c r="D388" s="74"/>
      <c r="E388" s="73"/>
      <c r="F388" s="73"/>
      <c r="G388" s="73"/>
      <c r="H388" s="73"/>
      <c r="I388" s="73"/>
      <c r="J388" s="73"/>
      <c r="K388" s="92"/>
      <c r="L388" s="73"/>
      <c r="M388" s="73"/>
      <c r="N388" s="73"/>
      <c r="O388" s="73"/>
      <c r="P388" s="73"/>
      <c r="Q388" s="75"/>
      <c r="R388" s="82"/>
      <c r="S388" s="73"/>
      <c r="T388" s="73"/>
      <c r="U388" s="73"/>
      <c r="V388" s="73"/>
      <c r="W388" s="73"/>
      <c r="X388" s="73"/>
      <c r="Y388" s="77"/>
      <c r="Z388" s="104"/>
      <c r="AA388" s="73"/>
      <c r="AB388" s="104"/>
      <c r="AC388" s="104"/>
      <c r="AD388" s="74"/>
      <c r="AE388" s="106"/>
      <c r="AF388" s="195"/>
      <c r="AG388" s="80"/>
      <c r="AH388" s="104"/>
      <c r="AI388" s="73"/>
      <c r="AJ388" s="114"/>
      <c r="AK388" s="106"/>
      <c r="AL388" s="74"/>
      <c r="AM388" s="73"/>
      <c r="AN388" s="73"/>
      <c r="AO388" s="102"/>
      <c r="AP388" s="73"/>
      <c r="AQ388" s="73"/>
      <c r="AR388" s="74"/>
      <c r="AS388" s="73"/>
      <c r="AT388" s="73"/>
      <c r="AU388" s="73"/>
      <c r="AV388" s="73"/>
      <c r="AW388" s="73"/>
      <c r="AX388" s="74"/>
      <c r="AY388" s="73"/>
      <c r="AZ388" s="73"/>
      <c r="BA388" s="74"/>
      <c r="BB388" s="73"/>
      <c r="BC388" s="73"/>
      <c r="BD388" s="73"/>
      <c r="BE388" s="73"/>
      <c r="BF388" s="73"/>
      <c r="BG388" s="73"/>
      <c r="BH388" s="73"/>
      <c r="BI388" s="73"/>
      <c r="BJ388" s="73"/>
      <c r="BK388" s="73"/>
      <c r="BL388" s="73"/>
      <c r="BM388" s="73"/>
      <c r="BN388" s="73"/>
      <c r="BO388" s="73"/>
      <c r="BP388" s="73"/>
      <c r="BQ388" s="73"/>
      <c r="BR388" s="73"/>
      <c r="BS388" s="73"/>
      <c r="BT388" s="74"/>
      <c r="BU388" s="73"/>
      <c r="BV388" s="73"/>
      <c r="BW388" s="73"/>
      <c r="BX388" s="73"/>
      <c r="BY388" s="73"/>
      <c r="BZ388" s="73"/>
      <c r="CA388" s="73"/>
      <c r="CB388" s="73"/>
      <c r="CC388" s="73"/>
      <c r="CD388" s="73"/>
      <c r="CE388" s="73"/>
    </row>
    <row r="389">
      <c r="A389" s="73"/>
      <c r="B389" s="73"/>
      <c r="C389" s="73"/>
      <c r="D389" s="74"/>
      <c r="E389" s="73"/>
      <c r="F389" s="73"/>
      <c r="G389" s="73"/>
      <c r="H389" s="73"/>
      <c r="I389" s="73"/>
      <c r="J389" s="73"/>
      <c r="K389" s="92"/>
      <c r="L389" s="73"/>
      <c r="M389" s="73"/>
      <c r="N389" s="73"/>
      <c r="O389" s="73"/>
      <c r="P389" s="73"/>
      <c r="Q389" s="75"/>
      <c r="R389" s="82"/>
      <c r="S389" s="73"/>
      <c r="T389" s="73"/>
      <c r="U389" s="73"/>
      <c r="V389" s="73"/>
      <c r="W389" s="73"/>
      <c r="X389" s="73"/>
      <c r="Y389" s="77"/>
      <c r="Z389" s="104"/>
      <c r="AA389" s="73"/>
      <c r="AB389" s="104"/>
      <c r="AC389" s="104"/>
      <c r="AD389" s="74"/>
      <c r="AE389" s="106"/>
      <c r="AF389" s="195"/>
      <c r="AG389" s="80"/>
      <c r="AH389" s="104"/>
      <c r="AI389" s="73"/>
      <c r="AJ389" s="114"/>
      <c r="AK389" s="106"/>
      <c r="AL389" s="74"/>
      <c r="AM389" s="73"/>
      <c r="AN389" s="73"/>
      <c r="AO389" s="102"/>
      <c r="AP389" s="73"/>
      <c r="AQ389" s="73"/>
      <c r="AR389" s="74"/>
      <c r="AS389" s="73"/>
      <c r="AT389" s="73"/>
      <c r="AU389" s="73"/>
      <c r="AV389" s="73"/>
      <c r="AW389" s="73"/>
      <c r="AX389" s="74"/>
      <c r="AY389" s="73"/>
      <c r="AZ389" s="73"/>
      <c r="BA389" s="74"/>
      <c r="BB389" s="73"/>
      <c r="BC389" s="73"/>
      <c r="BD389" s="73"/>
      <c r="BE389" s="73"/>
      <c r="BF389" s="73"/>
      <c r="BG389" s="73"/>
      <c r="BH389" s="73"/>
      <c r="BI389" s="73"/>
      <c r="BJ389" s="73"/>
      <c r="BK389" s="73"/>
      <c r="BL389" s="73"/>
      <c r="BM389" s="73"/>
      <c r="BN389" s="73"/>
      <c r="BO389" s="73"/>
      <c r="BP389" s="73"/>
      <c r="BQ389" s="73"/>
      <c r="BR389" s="73"/>
      <c r="BS389" s="73"/>
      <c r="BT389" s="74"/>
      <c r="BU389" s="73"/>
      <c r="BV389" s="73"/>
      <c r="BW389" s="73"/>
      <c r="BX389" s="73"/>
      <c r="BY389" s="73"/>
      <c r="BZ389" s="73"/>
      <c r="CA389" s="73"/>
      <c r="CB389" s="73"/>
      <c r="CC389" s="73"/>
      <c r="CD389" s="73"/>
      <c r="CE389" s="73"/>
    </row>
    <row r="390">
      <c r="A390" s="73"/>
      <c r="B390" s="73"/>
      <c r="C390" s="73"/>
      <c r="D390" s="74"/>
      <c r="E390" s="73"/>
      <c r="F390" s="73"/>
      <c r="G390" s="73"/>
      <c r="H390" s="73"/>
      <c r="I390" s="73"/>
      <c r="J390" s="73"/>
      <c r="K390" s="92"/>
      <c r="L390" s="73"/>
      <c r="M390" s="73"/>
      <c r="N390" s="73"/>
      <c r="O390" s="73"/>
      <c r="P390" s="73"/>
      <c r="Q390" s="75"/>
      <c r="R390" s="82"/>
      <c r="S390" s="73"/>
      <c r="T390" s="73"/>
      <c r="U390" s="73"/>
      <c r="V390" s="73"/>
      <c r="W390" s="73"/>
      <c r="X390" s="73"/>
      <c r="Y390" s="77"/>
      <c r="Z390" s="104"/>
      <c r="AA390" s="73"/>
      <c r="AB390" s="104"/>
      <c r="AC390" s="104"/>
      <c r="AD390" s="74"/>
      <c r="AE390" s="106"/>
      <c r="AF390" s="195"/>
      <c r="AG390" s="80"/>
      <c r="AH390" s="104"/>
      <c r="AI390" s="73"/>
      <c r="AJ390" s="114"/>
      <c r="AK390" s="106"/>
      <c r="AL390" s="74"/>
      <c r="AM390" s="73"/>
      <c r="AN390" s="73"/>
      <c r="AO390" s="102"/>
      <c r="AP390" s="73"/>
      <c r="AQ390" s="73"/>
      <c r="AR390" s="74"/>
      <c r="AS390" s="73"/>
      <c r="AT390" s="73"/>
      <c r="AU390" s="73"/>
      <c r="AV390" s="73"/>
      <c r="AW390" s="73"/>
      <c r="AX390" s="74"/>
      <c r="AY390" s="73"/>
      <c r="AZ390" s="73"/>
      <c r="BA390" s="74"/>
      <c r="BB390" s="73"/>
      <c r="BC390" s="73"/>
      <c r="BD390" s="73"/>
      <c r="BE390" s="73"/>
      <c r="BF390" s="73"/>
      <c r="BG390" s="73"/>
      <c r="BH390" s="73"/>
      <c r="BI390" s="73"/>
      <c r="BJ390" s="73"/>
      <c r="BK390" s="73"/>
      <c r="BL390" s="73"/>
      <c r="BM390" s="73"/>
      <c r="BN390" s="73"/>
      <c r="BO390" s="73"/>
      <c r="BP390" s="73"/>
      <c r="BQ390" s="73"/>
      <c r="BR390" s="73"/>
      <c r="BS390" s="73"/>
      <c r="BT390" s="74"/>
      <c r="BU390" s="73"/>
      <c r="BV390" s="73"/>
      <c r="BW390" s="73"/>
      <c r="BX390" s="73"/>
      <c r="BY390" s="73"/>
      <c r="BZ390" s="73"/>
      <c r="CA390" s="73"/>
      <c r="CB390" s="73"/>
      <c r="CC390" s="73"/>
      <c r="CD390" s="73"/>
      <c r="CE390" s="73"/>
    </row>
    <row r="391">
      <c r="A391" s="73"/>
      <c r="B391" s="73"/>
      <c r="C391" s="73"/>
      <c r="D391" s="74"/>
      <c r="E391" s="73"/>
      <c r="F391" s="73"/>
      <c r="G391" s="73"/>
      <c r="H391" s="73"/>
      <c r="I391" s="73"/>
      <c r="J391" s="73"/>
      <c r="K391" s="92"/>
      <c r="L391" s="73"/>
      <c r="M391" s="73"/>
      <c r="N391" s="73"/>
      <c r="O391" s="73"/>
      <c r="P391" s="73"/>
      <c r="Q391" s="75"/>
      <c r="R391" s="82"/>
      <c r="S391" s="73"/>
      <c r="T391" s="73"/>
      <c r="U391" s="73"/>
      <c r="V391" s="73"/>
      <c r="W391" s="73"/>
      <c r="X391" s="73"/>
      <c r="Y391" s="77"/>
      <c r="Z391" s="104"/>
      <c r="AA391" s="73"/>
      <c r="AB391" s="104"/>
      <c r="AC391" s="104"/>
      <c r="AD391" s="74"/>
      <c r="AE391" s="106"/>
      <c r="AF391" s="195"/>
      <c r="AG391" s="80"/>
      <c r="AH391" s="104"/>
      <c r="AI391" s="73"/>
      <c r="AJ391" s="114"/>
      <c r="AK391" s="106"/>
      <c r="AL391" s="74"/>
      <c r="AM391" s="73"/>
      <c r="AN391" s="73"/>
      <c r="AO391" s="102"/>
      <c r="AP391" s="73"/>
      <c r="AQ391" s="73"/>
      <c r="AR391" s="74"/>
      <c r="AS391" s="73"/>
      <c r="AT391" s="73"/>
      <c r="AU391" s="73"/>
      <c r="AV391" s="73"/>
      <c r="AW391" s="73"/>
      <c r="AX391" s="74"/>
      <c r="AY391" s="73"/>
      <c r="AZ391" s="73"/>
      <c r="BA391" s="74"/>
      <c r="BB391" s="73"/>
      <c r="BC391" s="73"/>
      <c r="BD391" s="73"/>
      <c r="BE391" s="73"/>
      <c r="BF391" s="73"/>
      <c r="BG391" s="73"/>
      <c r="BH391" s="73"/>
      <c r="BI391" s="73"/>
      <c r="BJ391" s="73"/>
      <c r="BK391" s="73"/>
      <c r="BL391" s="73"/>
      <c r="BM391" s="73"/>
      <c r="BN391" s="73"/>
      <c r="BO391" s="73"/>
      <c r="BP391" s="73"/>
      <c r="BQ391" s="73"/>
      <c r="BR391" s="73"/>
      <c r="BS391" s="73"/>
      <c r="BT391" s="74"/>
      <c r="BU391" s="73"/>
      <c r="BV391" s="73"/>
      <c r="BW391" s="73"/>
      <c r="BX391" s="73"/>
      <c r="BY391" s="73"/>
      <c r="BZ391" s="73"/>
      <c r="CA391" s="73"/>
      <c r="CB391" s="73"/>
      <c r="CC391" s="73"/>
      <c r="CD391" s="73"/>
      <c r="CE391" s="73"/>
    </row>
    <row r="392">
      <c r="A392" s="73"/>
      <c r="B392" s="73"/>
      <c r="C392" s="73"/>
      <c r="D392" s="74"/>
      <c r="E392" s="73"/>
      <c r="F392" s="73"/>
      <c r="G392" s="73"/>
      <c r="H392" s="73"/>
      <c r="I392" s="73"/>
      <c r="J392" s="73"/>
      <c r="K392" s="92"/>
      <c r="L392" s="73"/>
      <c r="M392" s="73"/>
      <c r="N392" s="73"/>
      <c r="O392" s="73"/>
      <c r="P392" s="73"/>
      <c r="Q392" s="75"/>
      <c r="R392" s="82"/>
      <c r="S392" s="73"/>
      <c r="T392" s="73"/>
      <c r="U392" s="73"/>
      <c r="V392" s="73"/>
      <c r="W392" s="73"/>
      <c r="X392" s="73"/>
      <c r="Y392" s="77"/>
      <c r="Z392" s="104"/>
      <c r="AA392" s="73"/>
      <c r="AB392" s="104"/>
      <c r="AC392" s="104"/>
      <c r="AD392" s="74"/>
      <c r="AE392" s="106"/>
      <c r="AF392" s="195"/>
      <c r="AG392" s="80"/>
      <c r="AH392" s="104"/>
      <c r="AI392" s="73"/>
      <c r="AJ392" s="114"/>
      <c r="AK392" s="106"/>
      <c r="AL392" s="74"/>
      <c r="AM392" s="73"/>
      <c r="AN392" s="73"/>
      <c r="AO392" s="102"/>
      <c r="AP392" s="73"/>
      <c r="AQ392" s="73"/>
      <c r="AR392" s="74"/>
      <c r="AS392" s="73"/>
      <c r="AT392" s="73"/>
      <c r="AU392" s="73"/>
      <c r="AV392" s="73"/>
      <c r="AW392" s="73"/>
      <c r="AX392" s="74"/>
      <c r="AY392" s="73"/>
      <c r="AZ392" s="73"/>
      <c r="BA392" s="74"/>
      <c r="BB392" s="73"/>
      <c r="BC392" s="73"/>
      <c r="BD392" s="73"/>
      <c r="BE392" s="73"/>
      <c r="BF392" s="73"/>
      <c r="BG392" s="73"/>
      <c r="BH392" s="73"/>
      <c r="BI392" s="73"/>
      <c r="BJ392" s="73"/>
      <c r="BK392" s="73"/>
      <c r="BL392" s="73"/>
      <c r="BM392" s="73"/>
      <c r="BN392" s="73"/>
      <c r="BO392" s="73"/>
      <c r="BP392" s="73"/>
      <c r="BQ392" s="73"/>
      <c r="BR392" s="73"/>
      <c r="BS392" s="73"/>
      <c r="BT392" s="74"/>
      <c r="BU392" s="73"/>
      <c r="BV392" s="73"/>
      <c r="BW392" s="73"/>
      <c r="BX392" s="73"/>
      <c r="BY392" s="73"/>
      <c r="BZ392" s="73"/>
      <c r="CA392" s="73"/>
      <c r="CB392" s="73"/>
      <c r="CC392" s="73"/>
      <c r="CD392" s="73"/>
      <c r="CE392" s="73"/>
    </row>
    <row r="393">
      <c r="A393" s="73"/>
      <c r="B393" s="73"/>
      <c r="C393" s="73"/>
      <c r="D393" s="74"/>
      <c r="E393" s="73"/>
      <c r="F393" s="73"/>
      <c r="G393" s="73"/>
      <c r="H393" s="73"/>
      <c r="I393" s="73"/>
      <c r="J393" s="73"/>
      <c r="K393" s="92"/>
      <c r="L393" s="73"/>
      <c r="M393" s="73"/>
      <c r="N393" s="73"/>
      <c r="O393" s="73"/>
      <c r="P393" s="73"/>
      <c r="Q393" s="75"/>
      <c r="R393" s="82"/>
      <c r="S393" s="73"/>
      <c r="T393" s="73"/>
      <c r="U393" s="73"/>
      <c r="V393" s="73"/>
      <c r="W393" s="73"/>
      <c r="X393" s="73"/>
      <c r="Y393" s="77"/>
      <c r="Z393" s="104"/>
      <c r="AA393" s="73"/>
      <c r="AB393" s="104"/>
      <c r="AC393" s="104"/>
      <c r="AD393" s="74"/>
      <c r="AE393" s="106"/>
      <c r="AF393" s="195"/>
      <c r="AG393" s="80"/>
      <c r="AH393" s="104"/>
      <c r="AI393" s="73"/>
      <c r="AJ393" s="114"/>
      <c r="AK393" s="106"/>
      <c r="AL393" s="74"/>
      <c r="AM393" s="73"/>
      <c r="AN393" s="73"/>
      <c r="AO393" s="102"/>
      <c r="AP393" s="73"/>
      <c r="AQ393" s="73"/>
      <c r="AR393" s="74"/>
      <c r="AS393" s="73"/>
      <c r="AT393" s="73"/>
      <c r="AU393" s="73"/>
      <c r="AV393" s="73"/>
      <c r="AW393" s="73"/>
      <c r="AX393" s="74"/>
      <c r="AY393" s="73"/>
      <c r="AZ393" s="73"/>
      <c r="BA393" s="74"/>
      <c r="BB393" s="73"/>
      <c r="BC393" s="73"/>
      <c r="BD393" s="73"/>
      <c r="BE393" s="73"/>
      <c r="BF393" s="73"/>
      <c r="BG393" s="73"/>
      <c r="BH393" s="73"/>
      <c r="BI393" s="73"/>
      <c r="BJ393" s="73"/>
      <c r="BK393" s="73"/>
      <c r="BL393" s="73"/>
      <c r="BM393" s="73"/>
      <c r="BN393" s="73"/>
      <c r="BO393" s="73"/>
      <c r="BP393" s="73"/>
      <c r="BQ393" s="73"/>
      <c r="BR393" s="73"/>
      <c r="BS393" s="73"/>
      <c r="BT393" s="74"/>
      <c r="BU393" s="73"/>
      <c r="BV393" s="73"/>
      <c r="BW393" s="73"/>
      <c r="BX393" s="73"/>
      <c r="BY393" s="73"/>
      <c r="BZ393" s="73"/>
      <c r="CA393" s="73"/>
      <c r="CB393" s="73"/>
      <c r="CC393" s="73"/>
      <c r="CD393" s="73"/>
      <c r="CE393" s="73"/>
    </row>
    <row r="394">
      <c r="A394" s="73"/>
      <c r="B394" s="73"/>
      <c r="C394" s="73"/>
      <c r="D394" s="74"/>
      <c r="E394" s="73"/>
      <c r="F394" s="73"/>
      <c r="G394" s="73"/>
      <c r="H394" s="73"/>
      <c r="I394" s="73"/>
      <c r="J394" s="73"/>
      <c r="K394" s="92"/>
      <c r="L394" s="73"/>
      <c r="M394" s="73"/>
      <c r="N394" s="73"/>
      <c r="O394" s="73"/>
      <c r="P394" s="73"/>
      <c r="Q394" s="75"/>
      <c r="R394" s="82"/>
      <c r="S394" s="73"/>
      <c r="T394" s="73"/>
      <c r="U394" s="73"/>
      <c r="V394" s="73"/>
      <c r="W394" s="73"/>
      <c r="X394" s="73"/>
      <c r="Y394" s="77"/>
      <c r="Z394" s="104"/>
      <c r="AA394" s="73"/>
      <c r="AB394" s="104"/>
      <c r="AC394" s="104"/>
      <c r="AD394" s="74"/>
      <c r="AE394" s="106"/>
      <c r="AF394" s="195"/>
      <c r="AG394" s="80"/>
      <c r="AH394" s="104"/>
      <c r="AI394" s="73"/>
      <c r="AJ394" s="114"/>
      <c r="AK394" s="106"/>
      <c r="AL394" s="74"/>
      <c r="AM394" s="73"/>
      <c r="AN394" s="73"/>
      <c r="AO394" s="102"/>
      <c r="AP394" s="73"/>
      <c r="AQ394" s="73"/>
      <c r="AR394" s="74"/>
      <c r="AS394" s="73"/>
      <c r="AT394" s="73"/>
      <c r="AU394" s="73"/>
      <c r="AV394" s="73"/>
      <c r="AW394" s="73"/>
      <c r="AX394" s="74"/>
      <c r="AY394" s="73"/>
      <c r="AZ394" s="73"/>
      <c r="BA394" s="74"/>
      <c r="BB394" s="73"/>
      <c r="BC394" s="73"/>
      <c r="BD394" s="73"/>
      <c r="BE394" s="73"/>
      <c r="BF394" s="73"/>
      <c r="BG394" s="73"/>
      <c r="BH394" s="73"/>
      <c r="BI394" s="73"/>
      <c r="BJ394" s="73"/>
      <c r="BK394" s="73"/>
      <c r="BL394" s="73"/>
      <c r="BM394" s="73"/>
      <c r="BN394" s="73"/>
      <c r="BO394" s="73"/>
      <c r="BP394" s="73"/>
      <c r="BQ394" s="73"/>
      <c r="BR394" s="73"/>
      <c r="BS394" s="73"/>
      <c r="BT394" s="74"/>
      <c r="BU394" s="73"/>
      <c r="BV394" s="73"/>
      <c r="BW394" s="73"/>
      <c r="BX394" s="73"/>
      <c r="BY394" s="73"/>
      <c r="BZ394" s="73"/>
      <c r="CA394" s="73"/>
      <c r="CB394" s="73"/>
      <c r="CC394" s="73"/>
      <c r="CD394" s="73"/>
      <c r="CE394" s="73"/>
    </row>
    <row r="395">
      <c r="A395" s="73"/>
      <c r="B395" s="73"/>
      <c r="C395" s="73"/>
      <c r="D395" s="74"/>
      <c r="E395" s="73"/>
      <c r="F395" s="73"/>
      <c r="G395" s="73"/>
      <c r="H395" s="73"/>
      <c r="I395" s="73"/>
      <c r="J395" s="73"/>
      <c r="K395" s="92"/>
      <c r="L395" s="73"/>
      <c r="M395" s="73"/>
      <c r="N395" s="73"/>
      <c r="O395" s="73"/>
      <c r="P395" s="73"/>
      <c r="Q395" s="75"/>
      <c r="R395" s="82"/>
      <c r="S395" s="73"/>
      <c r="T395" s="73"/>
      <c r="U395" s="73"/>
      <c r="V395" s="73"/>
      <c r="W395" s="73"/>
      <c r="X395" s="73"/>
      <c r="Y395" s="77"/>
      <c r="Z395" s="104"/>
      <c r="AA395" s="73"/>
      <c r="AB395" s="104"/>
      <c r="AC395" s="104"/>
      <c r="AD395" s="74"/>
      <c r="AE395" s="106"/>
      <c r="AF395" s="195"/>
      <c r="AG395" s="80"/>
      <c r="AH395" s="104"/>
      <c r="AI395" s="73"/>
      <c r="AJ395" s="114"/>
      <c r="AK395" s="106"/>
      <c r="AL395" s="74"/>
      <c r="AM395" s="73"/>
      <c r="AN395" s="73"/>
      <c r="AO395" s="102"/>
      <c r="AP395" s="73"/>
      <c r="AQ395" s="73"/>
      <c r="AR395" s="74"/>
      <c r="AS395" s="73"/>
      <c r="AT395" s="73"/>
      <c r="AU395" s="73"/>
      <c r="AV395" s="73"/>
      <c r="AW395" s="73"/>
      <c r="AX395" s="74"/>
      <c r="AY395" s="73"/>
      <c r="AZ395" s="73"/>
      <c r="BA395" s="74"/>
      <c r="BB395" s="73"/>
      <c r="BC395" s="73"/>
      <c r="BD395" s="73"/>
      <c r="BE395" s="73"/>
      <c r="BF395" s="73"/>
      <c r="BG395" s="73"/>
      <c r="BH395" s="73"/>
      <c r="BI395" s="73"/>
      <c r="BJ395" s="73"/>
      <c r="BK395" s="73"/>
      <c r="BL395" s="73"/>
      <c r="BM395" s="73"/>
      <c r="BN395" s="73"/>
      <c r="BO395" s="73"/>
      <c r="BP395" s="73"/>
      <c r="BQ395" s="73"/>
      <c r="BR395" s="73"/>
      <c r="BS395" s="73"/>
      <c r="BT395" s="74"/>
      <c r="BU395" s="73"/>
      <c r="BV395" s="73"/>
      <c r="BW395" s="73"/>
      <c r="BX395" s="73"/>
      <c r="BY395" s="73"/>
      <c r="BZ395" s="73"/>
      <c r="CA395" s="73"/>
      <c r="CB395" s="73"/>
      <c r="CC395" s="73"/>
      <c r="CD395" s="73"/>
      <c r="CE395" s="73"/>
    </row>
    <row r="396">
      <c r="A396" s="73"/>
      <c r="B396" s="73"/>
      <c r="C396" s="73"/>
      <c r="D396" s="74"/>
      <c r="E396" s="73"/>
      <c r="F396" s="73"/>
      <c r="G396" s="73"/>
      <c r="H396" s="73"/>
      <c r="I396" s="73"/>
      <c r="J396" s="73"/>
      <c r="K396" s="92"/>
      <c r="L396" s="73"/>
      <c r="M396" s="73"/>
      <c r="N396" s="73"/>
      <c r="O396" s="73"/>
      <c r="P396" s="73"/>
      <c r="Q396" s="75"/>
      <c r="R396" s="82"/>
      <c r="S396" s="73"/>
      <c r="T396" s="73"/>
      <c r="U396" s="73"/>
      <c r="V396" s="73"/>
      <c r="W396" s="73"/>
      <c r="X396" s="73"/>
      <c r="Y396" s="77"/>
      <c r="Z396" s="104"/>
      <c r="AA396" s="73"/>
      <c r="AB396" s="104"/>
      <c r="AC396" s="104"/>
      <c r="AD396" s="74"/>
      <c r="AE396" s="106"/>
      <c r="AF396" s="195"/>
      <c r="AG396" s="80"/>
      <c r="AH396" s="104"/>
      <c r="AI396" s="73"/>
      <c r="AJ396" s="114"/>
      <c r="AK396" s="106"/>
      <c r="AL396" s="74"/>
      <c r="AM396" s="73"/>
      <c r="AN396" s="73"/>
      <c r="AO396" s="102"/>
      <c r="AP396" s="73"/>
      <c r="AQ396" s="73"/>
      <c r="AR396" s="74"/>
      <c r="AS396" s="73"/>
      <c r="AT396" s="73"/>
      <c r="AU396" s="73"/>
      <c r="AV396" s="73"/>
      <c r="AW396" s="73"/>
      <c r="AX396" s="74"/>
      <c r="AY396" s="73"/>
      <c r="AZ396" s="73"/>
      <c r="BA396" s="74"/>
      <c r="BB396" s="73"/>
      <c r="BC396" s="73"/>
      <c r="BD396" s="73"/>
      <c r="BE396" s="73"/>
      <c r="BF396" s="73"/>
      <c r="BG396" s="73"/>
      <c r="BH396" s="73"/>
      <c r="BI396" s="73"/>
      <c r="BJ396" s="73"/>
      <c r="BK396" s="73"/>
      <c r="BL396" s="73"/>
      <c r="BM396" s="73"/>
      <c r="BN396" s="73"/>
      <c r="BO396" s="73"/>
      <c r="BP396" s="73"/>
      <c r="BQ396" s="73"/>
      <c r="BR396" s="73"/>
      <c r="BS396" s="73"/>
      <c r="BT396" s="74"/>
      <c r="BU396" s="73"/>
      <c r="BV396" s="73"/>
      <c r="BW396" s="73"/>
      <c r="BX396" s="73"/>
      <c r="BY396" s="73"/>
      <c r="BZ396" s="73"/>
      <c r="CA396" s="73"/>
      <c r="CB396" s="73"/>
      <c r="CC396" s="73"/>
      <c r="CD396" s="73"/>
      <c r="CE396" s="73"/>
    </row>
    <row r="397">
      <c r="A397" s="73"/>
      <c r="B397" s="73"/>
      <c r="C397" s="73"/>
      <c r="D397" s="74"/>
      <c r="E397" s="73"/>
      <c r="F397" s="73"/>
      <c r="G397" s="73"/>
      <c r="H397" s="73"/>
      <c r="I397" s="73"/>
      <c r="J397" s="73"/>
      <c r="K397" s="92"/>
      <c r="L397" s="73"/>
      <c r="M397" s="73"/>
      <c r="N397" s="73"/>
      <c r="O397" s="73"/>
      <c r="P397" s="73"/>
      <c r="Q397" s="75"/>
      <c r="R397" s="82"/>
      <c r="S397" s="73"/>
      <c r="T397" s="73"/>
      <c r="U397" s="73"/>
      <c r="V397" s="73"/>
      <c r="W397" s="73"/>
      <c r="X397" s="73"/>
      <c r="Y397" s="77"/>
      <c r="Z397" s="104"/>
      <c r="AA397" s="73"/>
      <c r="AB397" s="104"/>
      <c r="AC397" s="104"/>
      <c r="AD397" s="74"/>
      <c r="AE397" s="106"/>
      <c r="AF397" s="195"/>
      <c r="AG397" s="80"/>
      <c r="AH397" s="104"/>
      <c r="AI397" s="73"/>
      <c r="AJ397" s="114"/>
      <c r="AK397" s="106"/>
      <c r="AL397" s="74"/>
      <c r="AM397" s="73"/>
      <c r="AN397" s="73"/>
      <c r="AO397" s="102"/>
      <c r="AP397" s="73"/>
      <c r="AQ397" s="73"/>
      <c r="AR397" s="74"/>
      <c r="AS397" s="73"/>
      <c r="AT397" s="73"/>
      <c r="AU397" s="73"/>
      <c r="AV397" s="73"/>
      <c r="AW397" s="73"/>
      <c r="AX397" s="74"/>
      <c r="AY397" s="73"/>
      <c r="AZ397" s="73"/>
      <c r="BA397" s="74"/>
      <c r="BB397" s="73"/>
      <c r="BC397" s="73"/>
      <c r="BD397" s="73"/>
      <c r="BE397" s="73"/>
      <c r="BF397" s="73"/>
      <c r="BG397" s="73"/>
      <c r="BH397" s="73"/>
      <c r="BI397" s="73"/>
      <c r="BJ397" s="73"/>
      <c r="BK397" s="73"/>
      <c r="BL397" s="73"/>
      <c r="BM397" s="73"/>
      <c r="BN397" s="73"/>
      <c r="BO397" s="73"/>
      <c r="BP397" s="73"/>
      <c r="BQ397" s="73"/>
      <c r="BR397" s="73"/>
      <c r="BS397" s="73"/>
      <c r="BT397" s="74"/>
      <c r="BU397" s="73"/>
      <c r="BV397" s="73"/>
      <c r="BW397" s="73"/>
      <c r="BX397" s="73"/>
      <c r="BY397" s="73"/>
      <c r="BZ397" s="73"/>
      <c r="CA397" s="73"/>
      <c r="CB397" s="73"/>
      <c r="CC397" s="73"/>
      <c r="CD397" s="73"/>
      <c r="CE397" s="73"/>
    </row>
    <row r="398">
      <c r="A398" s="73"/>
      <c r="B398" s="73"/>
      <c r="C398" s="73"/>
      <c r="D398" s="74"/>
      <c r="E398" s="73"/>
      <c r="F398" s="73"/>
      <c r="G398" s="73"/>
      <c r="H398" s="73"/>
      <c r="I398" s="73"/>
      <c r="J398" s="73"/>
      <c r="K398" s="92"/>
      <c r="L398" s="73"/>
      <c r="M398" s="73"/>
      <c r="N398" s="73"/>
      <c r="O398" s="73"/>
      <c r="P398" s="73"/>
      <c r="Q398" s="75"/>
      <c r="R398" s="82"/>
      <c r="S398" s="73"/>
      <c r="T398" s="73"/>
      <c r="U398" s="73"/>
      <c r="V398" s="73"/>
      <c r="W398" s="73"/>
      <c r="X398" s="73"/>
      <c r="Y398" s="77"/>
      <c r="Z398" s="104"/>
      <c r="AA398" s="73"/>
      <c r="AB398" s="104"/>
      <c r="AC398" s="104"/>
      <c r="AD398" s="74"/>
      <c r="AE398" s="106"/>
      <c r="AF398" s="195"/>
      <c r="AG398" s="80"/>
      <c r="AH398" s="104"/>
      <c r="AI398" s="73"/>
      <c r="AJ398" s="114"/>
      <c r="AK398" s="106"/>
      <c r="AL398" s="74"/>
      <c r="AM398" s="73"/>
      <c r="AN398" s="73"/>
      <c r="AO398" s="102"/>
      <c r="AP398" s="73"/>
      <c r="AQ398" s="73"/>
      <c r="AR398" s="74"/>
      <c r="AS398" s="73"/>
      <c r="AT398" s="73"/>
      <c r="AU398" s="73"/>
      <c r="AV398" s="73"/>
      <c r="AW398" s="73"/>
      <c r="AX398" s="74"/>
      <c r="AY398" s="73"/>
      <c r="AZ398" s="73"/>
      <c r="BA398" s="74"/>
      <c r="BB398" s="73"/>
      <c r="BC398" s="73"/>
      <c r="BD398" s="73"/>
      <c r="BE398" s="73"/>
      <c r="BF398" s="73"/>
      <c r="BG398" s="73"/>
      <c r="BH398" s="73"/>
      <c r="BI398" s="73"/>
      <c r="BJ398" s="73"/>
      <c r="BK398" s="73"/>
      <c r="BL398" s="73"/>
      <c r="BM398" s="73"/>
      <c r="BN398" s="73"/>
      <c r="BO398" s="73"/>
      <c r="BP398" s="73"/>
      <c r="BQ398" s="73"/>
      <c r="BR398" s="73"/>
      <c r="BS398" s="73"/>
      <c r="BT398" s="74"/>
      <c r="BU398" s="73"/>
      <c r="BV398" s="73"/>
      <c r="BW398" s="73"/>
      <c r="BX398" s="73"/>
      <c r="BY398" s="73"/>
      <c r="BZ398" s="73"/>
      <c r="CA398" s="73"/>
      <c r="CB398" s="73"/>
      <c r="CC398" s="73"/>
      <c r="CD398" s="73"/>
      <c r="CE398" s="73"/>
    </row>
    <row r="399">
      <c r="A399" s="73"/>
      <c r="B399" s="73"/>
      <c r="C399" s="73"/>
      <c r="D399" s="74"/>
      <c r="E399" s="73"/>
      <c r="F399" s="73"/>
      <c r="G399" s="73"/>
      <c r="H399" s="73"/>
      <c r="I399" s="73"/>
      <c r="J399" s="73"/>
      <c r="K399" s="92"/>
      <c r="L399" s="73"/>
      <c r="M399" s="73"/>
      <c r="N399" s="73"/>
      <c r="O399" s="73"/>
      <c r="P399" s="73"/>
      <c r="Q399" s="75"/>
      <c r="R399" s="82"/>
      <c r="S399" s="73"/>
      <c r="T399" s="73"/>
      <c r="U399" s="73"/>
      <c r="V399" s="73"/>
      <c r="W399" s="73"/>
      <c r="X399" s="73"/>
      <c r="Y399" s="77"/>
      <c r="Z399" s="104"/>
      <c r="AA399" s="73"/>
      <c r="AB399" s="104"/>
      <c r="AC399" s="104"/>
      <c r="AD399" s="74"/>
      <c r="AE399" s="106"/>
      <c r="AF399" s="195"/>
      <c r="AG399" s="80"/>
      <c r="AH399" s="104"/>
      <c r="AI399" s="73"/>
      <c r="AJ399" s="114"/>
      <c r="AK399" s="106"/>
      <c r="AL399" s="74"/>
      <c r="AM399" s="73"/>
      <c r="AN399" s="73"/>
      <c r="AO399" s="102"/>
      <c r="AP399" s="73"/>
      <c r="AQ399" s="73"/>
      <c r="AR399" s="74"/>
      <c r="AS399" s="73"/>
      <c r="AT399" s="73"/>
      <c r="AU399" s="73"/>
      <c r="AV399" s="73"/>
      <c r="AW399" s="73"/>
      <c r="AX399" s="74"/>
      <c r="AY399" s="73"/>
      <c r="AZ399" s="73"/>
      <c r="BA399" s="74"/>
      <c r="BB399" s="73"/>
      <c r="BC399" s="73"/>
      <c r="BD399" s="73"/>
      <c r="BE399" s="73"/>
      <c r="BF399" s="73"/>
      <c r="BG399" s="73"/>
      <c r="BH399" s="73"/>
      <c r="BI399" s="73"/>
      <c r="BJ399" s="73"/>
      <c r="BK399" s="73"/>
      <c r="BL399" s="73"/>
      <c r="BM399" s="73"/>
      <c r="BN399" s="73"/>
      <c r="BO399" s="73"/>
      <c r="BP399" s="73"/>
      <c r="BQ399" s="73"/>
      <c r="BR399" s="73"/>
      <c r="BS399" s="73"/>
      <c r="BT399" s="74"/>
      <c r="BU399" s="73"/>
      <c r="BV399" s="73"/>
      <c r="BW399" s="73"/>
      <c r="BX399" s="73"/>
      <c r="BY399" s="73"/>
      <c r="BZ399" s="73"/>
      <c r="CA399" s="73"/>
      <c r="CB399" s="73"/>
      <c r="CC399" s="73"/>
      <c r="CD399" s="73"/>
      <c r="CE399" s="73"/>
    </row>
    <row r="400">
      <c r="A400" s="73"/>
      <c r="B400" s="73"/>
      <c r="C400" s="73"/>
      <c r="D400" s="74"/>
      <c r="E400" s="73"/>
      <c r="F400" s="73"/>
      <c r="G400" s="73"/>
      <c r="H400" s="73"/>
      <c r="I400" s="73"/>
      <c r="J400" s="73"/>
      <c r="K400" s="92"/>
      <c r="L400" s="73"/>
      <c r="M400" s="73"/>
      <c r="N400" s="73"/>
      <c r="O400" s="73"/>
      <c r="P400" s="73"/>
      <c r="Q400" s="75"/>
      <c r="R400" s="82"/>
      <c r="S400" s="73"/>
      <c r="T400" s="73"/>
      <c r="U400" s="73"/>
      <c r="V400" s="73"/>
      <c r="W400" s="73"/>
      <c r="X400" s="73"/>
      <c r="Y400" s="77"/>
      <c r="Z400" s="104"/>
      <c r="AA400" s="73"/>
      <c r="AB400" s="104"/>
      <c r="AC400" s="104"/>
      <c r="AD400" s="74"/>
      <c r="AE400" s="106"/>
      <c r="AF400" s="195"/>
      <c r="AG400" s="80"/>
      <c r="AH400" s="104"/>
      <c r="AI400" s="73"/>
      <c r="AJ400" s="114"/>
      <c r="AK400" s="106"/>
      <c r="AL400" s="74"/>
      <c r="AM400" s="73"/>
      <c r="AN400" s="73"/>
      <c r="AO400" s="102"/>
      <c r="AP400" s="73"/>
      <c r="AQ400" s="73"/>
      <c r="AR400" s="74"/>
      <c r="AS400" s="73"/>
      <c r="AT400" s="73"/>
      <c r="AU400" s="73"/>
      <c r="AV400" s="73"/>
      <c r="AW400" s="73"/>
      <c r="AX400" s="74"/>
      <c r="AY400" s="73"/>
      <c r="AZ400" s="73"/>
      <c r="BA400" s="74"/>
      <c r="BB400" s="73"/>
      <c r="BC400" s="73"/>
      <c r="BD400" s="73"/>
      <c r="BE400" s="73"/>
      <c r="BF400" s="73"/>
      <c r="BG400" s="73"/>
      <c r="BH400" s="73"/>
      <c r="BI400" s="73"/>
      <c r="BJ400" s="73"/>
      <c r="BK400" s="73"/>
      <c r="BL400" s="73"/>
      <c r="BM400" s="73"/>
      <c r="BN400" s="73"/>
      <c r="BO400" s="73"/>
      <c r="BP400" s="73"/>
      <c r="BQ400" s="73"/>
      <c r="BR400" s="73"/>
      <c r="BS400" s="73"/>
      <c r="BT400" s="74"/>
      <c r="BU400" s="73"/>
      <c r="BV400" s="73"/>
      <c r="BW400" s="73"/>
      <c r="BX400" s="73"/>
      <c r="BY400" s="73"/>
      <c r="BZ400" s="73"/>
      <c r="CA400" s="73"/>
      <c r="CB400" s="73"/>
      <c r="CC400" s="73"/>
      <c r="CD400" s="73"/>
      <c r="CE400" s="73"/>
    </row>
    <row r="401">
      <c r="A401" s="73"/>
      <c r="B401" s="73"/>
      <c r="C401" s="73"/>
      <c r="D401" s="74"/>
      <c r="E401" s="73"/>
      <c r="F401" s="73"/>
      <c r="G401" s="73"/>
      <c r="H401" s="73"/>
      <c r="I401" s="73"/>
      <c r="J401" s="73"/>
      <c r="K401" s="92"/>
      <c r="L401" s="73"/>
      <c r="M401" s="73"/>
      <c r="N401" s="73"/>
      <c r="O401" s="73"/>
      <c r="P401" s="73"/>
      <c r="Q401" s="75"/>
      <c r="R401" s="82"/>
      <c r="S401" s="73"/>
      <c r="T401" s="73"/>
      <c r="U401" s="73"/>
      <c r="V401" s="73"/>
      <c r="W401" s="73"/>
      <c r="X401" s="73"/>
      <c r="Y401" s="77"/>
      <c r="Z401" s="104"/>
      <c r="AA401" s="73"/>
      <c r="AB401" s="104"/>
      <c r="AC401" s="104"/>
      <c r="AD401" s="74"/>
      <c r="AE401" s="106"/>
      <c r="AF401" s="195"/>
      <c r="AG401" s="80"/>
      <c r="AH401" s="78"/>
      <c r="AI401" s="73"/>
      <c r="AJ401" s="114"/>
      <c r="AK401" s="106"/>
      <c r="AL401" s="74"/>
      <c r="AM401" s="73"/>
      <c r="AN401" s="73"/>
      <c r="AO401" s="102"/>
      <c r="AP401" s="73"/>
      <c r="AQ401" s="73"/>
      <c r="AR401" s="74"/>
      <c r="AS401" s="73"/>
      <c r="AT401" s="73"/>
      <c r="AU401" s="73"/>
      <c r="AV401" s="73"/>
      <c r="AW401" s="73"/>
      <c r="AX401" s="74"/>
      <c r="AY401" s="73"/>
      <c r="AZ401" s="73"/>
      <c r="BA401" s="74"/>
      <c r="BB401" s="73"/>
      <c r="BC401" s="73"/>
      <c r="BD401" s="73"/>
      <c r="BE401" s="73"/>
      <c r="BF401" s="73"/>
      <c r="BG401" s="73"/>
      <c r="BH401" s="73"/>
      <c r="BI401" s="73"/>
      <c r="BJ401" s="73"/>
      <c r="BK401" s="73"/>
      <c r="BL401" s="73"/>
      <c r="BM401" s="73"/>
      <c r="BN401" s="73"/>
      <c r="BO401" s="73"/>
      <c r="BP401" s="73"/>
      <c r="BQ401" s="73"/>
      <c r="BR401" s="73"/>
      <c r="BS401" s="73"/>
      <c r="BT401" s="74"/>
      <c r="BU401" s="73"/>
      <c r="BV401" s="73"/>
      <c r="BW401" s="73"/>
      <c r="BX401" s="73"/>
      <c r="BY401" s="73"/>
      <c r="BZ401" s="73"/>
      <c r="CA401" s="73"/>
      <c r="CB401" s="73"/>
      <c r="CC401" s="73"/>
      <c r="CD401" s="73"/>
      <c r="CE401" s="73"/>
    </row>
    <row r="402">
      <c r="A402" s="73"/>
      <c r="B402" s="73"/>
      <c r="C402" s="73"/>
      <c r="D402" s="74"/>
      <c r="E402" s="73"/>
      <c r="F402" s="73"/>
      <c r="G402" s="73"/>
      <c r="H402" s="73"/>
      <c r="I402" s="73"/>
      <c r="J402" s="73"/>
      <c r="K402" s="92"/>
      <c r="L402" s="73"/>
      <c r="M402" s="73"/>
      <c r="N402" s="73"/>
      <c r="O402" s="73"/>
      <c r="P402" s="73"/>
      <c r="Q402" s="75"/>
      <c r="R402" s="82"/>
      <c r="S402" s="92"/>
      <c r="T402" s="73"/>
      <c r="U402" s="73"/>
      <c r="V402" s="73"/>
      <c r="W402" s="73"/>
      <c r="X402" s="73"/>
      <c r="Y402" s="77"/>
      <c r="Z402" s="104"/>
      <c r="AA402" s="73"/>
      <c r="AB402" s="104"/>
      <c r="AC402" s="104"/>
      <c r="AD402" s="74"/>
      <c r="AE402" s="106"/>
      <c r="AF402" s="195"/>
      <c r="AG402" s="80"/>
      <c r="AH402" s="78"/>
      <c r="AI402" s="82"/>
      <c r="AJ402" s="114"/>
      <c r="AK402" s="106"/>
      <c r="AL402" s="74"/>
      <c r="AM402" s="73"/>
      <c r="AN402" s="73"/>
      <c r="AO402" s="102"/>
      <c r="AP402" s="73"/>
      <c r="AQ402" s="104"/>
      <c r="AR402" s="74"/>
      <c r="AS402" s="73"/>
      <c r="AT402" s="104"/>
      <c r="AU402" s="73"/>
      <c r="AV402" s="73"/>
      <c r="AW402" s="106"/>
      <c r="AX402" s="74"/>
      <c r="AY402" s="73"/>
      <c r="AZ402" s="73"/>
      <c r="BA402" s="102"/>
      <c r="BB402" s="73"/>
      <c r="BC402" s="73"/>
      <c r="BD402" s="73"/>
      <c r="BE402" s="73"/>
      <c r="BF402" s="73"/>
      <c r="BG402" s="73"/>
      <c r="BH402" s="73"/>
      <c r="BI402" s="73"/>
      <c r="BJ402" s="73"/>
      <c r="BK402" s="73"/>
      <c r="BL402" s="73"/>
      <c r="BM402" s="73"/>
      <c r="BN402" s="73"/>
      <c r="BO402" s="73"/>
      <c r="BP402" s="73"/>
      <c r="BQ402" s="73"/>
      <c r="BR402" s="73"/>
      <c r="BS402" s="73"/>
      <c r="BT402" s="74"/>
      <c r="BU402" s="73"/>
      <c r="BV402" s="73"/>
      <c r="BW402" s="73"/>
      <c r="BX402" s="73"/>
      <c r="BY402" s="73"/>
      <c r="BZ402" s="73"/>
      <c r="CA402" s="73"/>
      <c r="CB402" s="73"/>
      <c r="CC402" s="73"/>
      <c r="CD402" s="73"/>
      <c r="CE402" s="73"/>
    </row>
    <row r="403">
      <c r="A403" s="73"/>
      <c r="B403" s="73"/>
      <c r="C403" s="73"/>
      <c r="D403" s="74"/>
      <c r="E403" s="73"/>
      <c r="F403" s="73"/>
      <c r="G403" s="73"/>
      <c r="H403" s="73"/>
      <c r="I403" s="73"/>
      <c r="J403" s="73"/>
      <c r="K403" s="92"/>
      <c r="L403" s="73"/>
      <c r="M403" s="73"/>
      <c r="N403" s="73"/>
      <c r="O403" s="73"/>
      <c r="P403" s="73"/>
      <c r="Q403" s="75"/>
      <c r="R403" s="82"/>
      <c r="S403" s="92"/>
      <c r="T403" s="73"/>
      <c r="U403" s="73"/>
      <c r="V403" s="73"/>
      <c r="W403" s="73"/>
      <c r="X403" s="73"/>
      <c r="Y403" s="77"/>
      <c r="Z403" s="104"/>
      <c r="AA403" s="73"/>
      <c r="AB403" s="104"/>
      <c r="AC403" s="104"/>
      <c r="AD403" s="74"/>
      <c r="AE403" s="106"/>
      <c r="AF403" s="195"/>
      <c r="AG403" s="80"/>
      <c r="AH403" s="113"/>
      <c r="AI403" s="82"/>
      <c r="AJ403" s="114"/>
      <c r="AK403" s="106"/>
      <c r="AL403" s="74"/>
      <c r="AM403" s="73"/>
      <c r="AN403" s="73"/>
      <c r="AO403" s="102"/>
      <c r="AP403" s="73"/>
      <c r="AQ403" s="116"/>
      <c r="AR403" s="74"/>
      <c r="AS403" s="73"/>
      <c r="AT403" s="116"/>
      <c r="AU403" s="73"/>
      <c r="AV403" s="73"/>
      <c r="AW403" s="73"/>
      <c r="AX403" s="74"/>
      <c r="AY403" s="73"/>
      <c r="AZ403" s="73"/>
      <c r="BA403" s="119"/>
      <c r="BB403" s="118"/>
      <c r="BC403" s="73"/>
      <c r="BD403" s="73"/>
      <c r="BE403" s="73"/>
      <c r="BF403" s="73"/>
      <c r="BG403" s="73"/>
      <c r="BH403" s="73"/>
      <c r="BI403" s="73"/>
      <c r="BJ403" s="73"/>
      <c r="BK403" s="73"/>
      <c r="BL403" s="73"/>
      <c r="BM403" s="73"/>
      <c r="BN403" s="73"/>
      <c r="BO403" s="73"/>
      <c r="BP403" s="73"/>
      <c r="BQ403" s="73"/>
      <c r="BR403" s="73"/>
      <c r="BS403" s="73"/>
      <c r="BT403" s="74"/>
      <c r="BU403" s="73"/>
      <c r="BV403" s="73"/>
      <c r="BW403" s="73"/>
      <c r="BX403" s="73"/>
      <c r="BY403" s="73"/>
      <c r="BZ403" s="73"/>
      <c r="CA403" s="73"/>
      <c r="CB403" s="73"/>
      <c r="CC403" s="73"/>
      <c r="CD403" s="73"/>
      <c r="CE403" s="73"/>
    </row>
    <row r="404">
      <c r="A404" s="73"/>
      <c r="B404" s="73"/>
      <c r="C404" s="73"/>
      <c r="D404" s="74"/>
      <c r="E404" s="73"/>
      <c r="F404" s="73"/>
      <c r="G404" s="73"/>
      <c r="H404" s="73"/>
      <c r="I404" s="73"/>
      <c r="J404" s="73"/>
      <c r="K404" s="92"/>
      <c r="L404" s="73"/>
      <c r="M404" s="73"/>
      <c r="N404" s="73"/>
      <c r="O404" s="73"/>
      <c r="P404" s="73"/>
      <c r="Q404" s="75"/>
      <c r="R404" s="82"/>
      <c r="S404" s="92"/>
      <c r="T404" s="73"/>
      <c r="U404" s="73"/>
      <c r="V404" s="73"/>
      <c r="W404" s="73"/>
      <c r="X404" s="73"/>
      <c r="Y404" s="77"/>
      <c r="Z404" s="104"/>
      <c r="AA404" s="73"/>
      <c r="AB404" s="104"/>
      <c r="AC404" s="104"/>
      <c r="AD404" s="74"/>
      <c r="AE404" s="106"/>
      <c r="AF404" s="195"/>
      <c r="AG404" s="80"/>
      <c r="AH404" s="104"/>
      <c r="AI404" s="82"/>
      <c r="AJ404" s="114"/>
      <c r="AK404" s="106"/>
      <c r="AL404" s="74"/>
      <c r="AM404" s="73"/>
      <c r="AN404" s="73"/>
      <c r="AO404" s="102"/>
      <c r="AP404" s="73"/>
      <c r="AQ404" s="116"/>
      <c r="AR404" s="74"/>
      <c r="AS404" s="73"/>
      <c r="AT404" s="116"/>
      <c r="AU404" s="73"/>
      <c r="AV404" s="73"/>
      <c r="AW404" s="73"/>
      <c r="AX404" s="74"/>
      <c r="AY404" s="73"/>
      <c r="AZ404" s="73"/>
      <c r="BA404" s="91"/>
      <c r="BB404" s="128"/>
      <c r="BC404" s="73"/>
      <c r="BD404" s="73"/>
      <c r="BE404" s="73"/>
      <c r="BF404" s="73"/>
      <c r="BG404" s="73"/>
      <c r="BH404" s="73"/>
      <c r="BI404" s="73"/>
      <c r="BJ404" s="73"/>
      <c r="BK404" s="73"/>
      <c r="BL404" s="73"/>
      <c r="BM404" s="73"/>
      <c r="BN404" s="73"/>
      <c r="BO404" s="73"/>
      <c r="BP404" s="73"/>
      <c r="BQ404" s="73"/>
      <c r="BR404" s="73"/>
      <c r="BS404" s="73"/>
      <c r="BT404" s="74"/>
      <c r="BU404" s="73"/>
      <c r="BV404" s="73"/>
      <c r="BW404" s="73"/>
      <c r="BX404" s="73"/>
      <c r="BY404" s="73"/>
      <c r="BZ404" s="73"/>
      <c r="CA404" s="73"/>
      <c r="CB404" s="73"/>
      <c r="CC404" s="73"/>
      <c r="CD404" s="73"/>
      <c r="CE404" s="73"/>
    </row>
    <row r="405">
      <c r="A405" s="73"/>
      <c r="B405" s="73"/>
      <c r="C405" s="73"/>
      <c r="D405" s="74"/>
      <c r="E405" s="73"/>
      <c r="F405" s="73"/>
      <c r="G405" s="73"/>
      <c r="H405" s="73"/>
      <c r="I405" s="73"/>
      <c r="J405" s="73"/>
      <c r="K405" s="92"/>
      <c r="L405" s="73"/>
      <c r="M405" s="73"/>
      <c r="N405" s="73"/>
      <c r="O405" s="73"/>
      <c r="P405" s="73"/>
      <c r="Q405" s="75"/>
      <c r="R405" s="82"/>
      <c r="S405" s="92"/>
      <c r="T405" s="73"/>
      <c r="U405" s="73"/>
      <c r="V405" s="73"/>
      <c r="W405" s="73"/>
      <c r="X405" s="73"/>
      <c r="Y405" s="77"/>
      <c r="Z405" s="104"/>
      <c r="AA405" s="73"/>
      <c r="AB405" s="104"/>
      <c r="AC405" s="104"/>
      <c r="AD405" s="74"/>
      <c r="AE405" s="106"/>
      <c r="AF405" s="195"/>
      <c r="AG405" s="80"/>
      <c r="AH405" s="135"/>
      <c r="AI405" s="82"/>
      <c r="AJ405" s="114"/>
      <c r="AK405" s="106"/>
      <c r="AL405" s="74"/>
      <c r="AM405" s="73"/>
      <c r="AN405" s="73"/>
      <c r="AO405" s="102"/>
      <c r="AP405" s="73"/>
      <c r="AQ405" s="116"/>
      <c r="AR405" s="74"/>
      <c r="AS405" s="73"/>
      <c r="AT405" s="116"/>
      <c r="AU405" s="73"/>
      <c r="AV405" s="73"/>
      <c r="AW405" s="73"/>
      <c r="AX405" s="74"/>
      <c r="AY405" s="131"/>
      <c r="AZ405" s="73"/>
      <c r="BA405" s="140"/>
      <c r="BB405" s="139"/>
      <c r="BC405" s="73"/>
      <c r="BD405" s="73"/>
      <c r="BE405" s="73"/>
      <c r="BF405" s="73"/>
      <c r="BG405" s="73"/>
      <c r="BH405" s="73"/>
      <c r="BI405" s="73"/>
      <c r="BJ405" s="73"/>
      <c r="BK405" s="73"/>
      <c r="BL405" s="73"/>
      <c r="BM405" s="73"/>
      <c r="BN405" s="73"/>
      <c r="BO405" s="73"/>
      <c r="BP405" s="73"/>
      <c r="BQ405" s="73"/>
      <c r="BR405" s="73"/>
      <c r="BS405" s="73"/>
      <c r="BT405" s="74"/>
      <c r="BU405" s="73"/>
      <c r="BV405" s="73"/>
      <c r="BW405" s="73"/>
      <c r="BX405" s="73"/>
      <c r="BY405" s="73"/>
      <c r="BZ405" s="73"/>
      <c r="CA405" s="73"/>
      <c r="CB405" s="73"/>
      <c r="CC405" s="73"/>
      <c r="CD405" s="73"/>
      <c r="CE405" s="73"/>
    </row>
    <row r="406">
      <c r="A406" s="73"/>
      <c r="B406" s="73"/>
      <c r="C406" s="73"/>
      <c r="D406" s="74"/>
      <c r="E406" s="73"/>
      <c r="F406" s="73"/>
      <c r="G406" s="73"/>
      <c r="H406" s="73"/>
      <c r="I406" s="73"/>
      <c r="J406" s="73"/>
      <c r="K406" s="92"/>
      <c r="L406" s="73"/>
      <c r="M406" s="73"/>
      <c r="N406" s="73"/>
      <c r="O406" s="73"/>
      <c r="P406" s="73"/>
      <c r="Q406" s="75"/>
      <c r="R406" s="82"/>
      <c r="S406" s="92"/>
      <c r="T406" s="73"/>
      <c r="U406" s="73"/>
      <c r="V406" s="73"/>
      <c r="W406" s="73"/>
      <c r="X406" s="73"/>
      <c r="Y406" s="77"/>
      <c r="Z406" s="104"/>
      <c r="AA406" s="73"/>
      <c r="AB406" s="104"/>
      <c r="AC406" s="104"/>
      <c r="AD406" s="74"/>
      <c r="AE406" s="106"/>
      <c r="AF406" s="195"/>
      <c r="AG406" s="80"/>
      <c r="AH406" s="143"/>
      <c r="AI406" s="82"/>
      <c r="AJ406" s="114"/>
      <c r="AK406" s="106"/>
      <c r="AL406" s="74"/>
      <c r="AM406" s="73"/>
      <c r="AN406" s="73"/>
      <c r="AO406" s="102"/>
      <c r="AP406" s="73"/>
      <c r="AQ406" s="116"/>
      <c r="AR406" s="74"/>
      <c r="AS406" s="73"/>
      <c r="AT406" s="116"/>
      <c r="AU406" s="73"/>
      <c r="AV406" s="73"/>
      <c r="AW406" s="139"/>
      <c r="AX406" s="74"/>
      <c r="AY406" s="73"/>
      <c r="AZ406" s="73"/>
      <c r="BA406" s="147"/>
      <c r="BB406" s="145"/>
      <c r="BC406" s="73"/>
      <c r="BD406" s="73"/>
      <c r="BE406" s="73"/>
      <c r="BF406" s="73"/>
      <c r="BG406" s="73"/>
      <c r="BH406" s="73"/>
      <c r="BI406" s="73"/>
      <c r="BJ406" s="73"/>
      <c r="BK406" s="73"/>
      <c r="BL406" s="73"/>
      <c r="BM406" s="73"/>
      <c r="BN406" s="73"/>
      <c r="BO406" s="73"/>
      <c r="BP406" s="73"/>
      <c r="BQ406" s="73"/>
      <c r="BR406" s="73"/>
      <c r="BS406" s="73"/>
      <c r="BT406" s="74"/>
      <c r="BU406" s="73"/>
      <c r="BV406" s="73"/>
      <c r="BW406" s="73"/>
      <c r="BX406" s="73"/>
      <c r="BY406" s="73"/>
      <c r="BZ406" s="73"/>
      <c r="CA406" s="73"/>
      <c r="CB406" s="73"/>
      <c r="CC406" s="73"/>
      <c r="CD406" s="73"/>
      <c r="CE406" s="73"/>
    </row>
    <row r="407">
      <c r="A407" s="73"/>
      <c r="B407" s="73"/>
      <c r="C407" s="73"/>
      <c r="D407" s="74"/>
      <c r="E407" s="73"/>
      <c r="F407" s="73"/>
      <c r="G407" s="73"/>
      <c r="H407" s="73"/>
      <c r="I407" s="73"/>
      <c r="J407" s="73"/>
      <c r="K407" s="92"/>
      <c r="L407" s="73"/>
      <c r="M407" s="73"/>
      <c r="N407" s="73"/>
      <c r="O407" s="73"/>
      <c r="P407" s="73"/>
      <c r="Q407" s="75"/>
      <c r="R407" s="82"/>
      <c r="S407" s="92"/>
      <c r="T407" s="73"/>
      <c r="U407" s="73"/>
      <c r="V407" s="73"/>
      <c r="W407" s="73"/>
      <c r="X407" s="73"/>
      <c r="Y407" s="77"/>
      <c r="Z407" s="104"/>
      <c r="AA407" s="73"/>
      <c r="AB407" s="104"/>
      <c r="AC407" s="104"/>
      <c r="AD407" s="74"/>
      <c r="AE407" s="106"/>
      <c r="AF407" s="195"/>
      <c r="AG407" s="80"/>
      <c r="AH407" s="113"/>
      <c r="AI407" s="73"/>
      <c r="AJ407" s="114"/>
      <c r="AK407" s="106"/>
      <c r="AL407" s="74"/>
      <c r="AM407" s="73"/>
      <c r="AN407" s="73"/>
      <c r="AO407" s="102"/>
      <c r="AP407" s="73"/>
      <c r="AQ407" s="73"/>
      <c r="AR407" s="74"/>
      <c r="AS407" s="73"/>
      <c r="AT407" s="73"/>
      <c r="AU407" s="73"/>
      <c r="AV407" s="73"/>
      <c r="AW407" s="104"/>
      <c r="AX407" s="74"/>
      <c r="AY407" s="73"/>
      <c r="AZ407" s="73"/>
      <c r="BA407" s="151"/>
      <c r="BB407" s="150"/>
      <c r="BC407" s="73"/>
      <c r="BD407" s="73"/>
      <c r="BE407" s="73"/>
      <c r="BF407" s="73"/>
      <c r="BG407" s="73"/>
      <c r="BH407" s="73"/>
      <c r="BI407" s="73"/>
      <c r="BJ407" s="73"/>
      <c r="BK407" s="73"/>
      <c r="BL407" s="73"/>
      <c r="BM407" s="73"/>
      <c r="BN407" s="73"/>
      <c r="BO407" s="73"/>
      <c r="BP407" s="73"/>
      <c r="BQ407" s="73"/>
      <c r="BR407" s="73"/>
      <c r="BS407" s="73"/>
      <c r="BT407" s="74"/>
      <c r="BU407" s="73"/>
      <c r="BV407" s="73"/>
      <c r="BW407" s="73"/>
      <c r="BX407" s="73"/>
      <c r="BY407" s="73"/>
      <c r="BZ407" s="73"/>
      <c r="CA407" s="73"/>
      <c r="CB407" s="73"/>
      <c r="CC407" s="73"/>
      <c r="CD407" s="73"/>
      <c r="CE407" s="73"/>
    </row>
    <row r="408">
      <c r="A408" s="73"/>
      <c r="B408" s="73"/>
      <c r="C408" s="73"/>
      <c r="D408" s="74"/>
      <c r="E408" s="73"/>
      <c r="F408" s="73"/>
      <c r="G408" s="73"/>
      <c r="H408" s="73"/>
      <c r="I408" s="73"/>
      <c r="J408" s="73"/>
      <c r="K408" s="92"/>
      <c r="L408" s="73"/>
      <c r="M408" s="73"/>
      <c r="N408" s="73"/>
      <c r="O408" s="73"/>
      <c r="P408" s="73"/>
      <c r="Q408" s="75"/>
      <c r="R408" s="82"/>
      <c r="S408" s="92"/>
      <c r="T408" s="73"/>
      <c r="U408" s="73"/>
      <c r="V408" s="73"/>
      <c r="W408" s="73"/>
      <c r="X408" s="73"/>
      <c r="Y408" s="77"/>
      <c r="Z408" s="104"/>
      <c r="AA408" s="73"/>
      <c r="AB408" s="104"/>
      <c r="AC408" s="104"/>
      <c r="AD408" s="74"/>
      <c r="AE408" s="106"/>
      <c r="AF408" s="195"/>
      <c r="AG408" s="80"/>
      <c r="AH408" s="153"/>
      <c r="AI408" s="82"/>
      <c r="AJ408" s="114"/>
      <c r="AK408" s="106"/>
      <c r="AL408" s="74"/>
      <c r="AM408" s="73"/>
      <c r="AN408" s="73"/>
      <c r="AO408" s="102"/>
      <c r="AP408" s="73"/>
      <c r="AQ408" s="73"/>
      <c r="AR408" s="74"/>
      <c r="AS408" s="73"/>
      <c r="AT408" s="104"/>
      <c r="AU408" s="73"/>
      <c r="AV408" s="73"/>
      <c r="AW408" s="104"/>
      <c r="AX408" s="74"/>
      <c r="AY408" s="73"/>
      <c r="AZ408" s="73"/>
      <c r="BA408" s="102"/>
      <c r="BB408" s="73"/>
      <c r="BC408" s="73"/>
      <c r="BD408" s="73"/>
      <c r="BE408" s="73"/>
      <c r="BF408" s="73"/>
      <c r="BG408" s="73"/>
      <c r="BH408" s="73"/>
      <c r="BI408" s="73"/>
      <c r="BJ408" s="73"/>
      <c r="BK408" s="73"/>
      <c r="BL408" s="73"/>
      <c r="BM408" s="73"/>
      <c r="BN408" s="73"/>
      <c r="BO408" s="73"/>
      <c r="BP408" s="73"/>
      <c r="BQ408" s="73"/>
      <c r="BR408" s="73"/>
      <c r="BS408" s="73"/>
      <c r="BT408" s="74"/>
      <c r="BU408" s="73"/>
      <c r="BV408" s="73"/>
      <c r="BW408" s="73"/>
      <c r="BX408" s="73"/>
      <c r="BY408" s="73"/>
      <c r="BZ408" s="73"/>
      <c r="CA408" s="73"/>
      <c r="CB408" s="73"/>
      <c r="CC408" s="73"/>
      <c r="CD408" s="73"/>
      <c r="CE408" s="73"/>
    </row>
    <row r="409">
      <c r="A409" s="73"/>
      <c r="B409" s="73"/>
      <c r="C409" s="73"/>
      <c r="D409" s="74"/>
      <c r="E409" s="73"/>
      <c r="F409" s="73"/>
      <c r="G409" s="73"/>
      <c r="H409" s="73"/>
      <c r="I409" s="73"/>
      <c r="J409" s="73"/>
      <c r="K409" s="92"/>
      <c r="L409" s="73"/>
      <c r="M409" s="73"/>
      <c r="N409" s="73"/>
      <c r="O409" s="73"/>
      <c r="P409" s="73"/>
      <c r="Q409" s="75"/>
      <c r="R409" s="82"/>
      <c r="S409" s="92"/>
      <c r="T409" s="73"/>
      <c r="U409" s="73"/>
      <c r="V409" s="73"/>
      <c r="W409" s="73"/>
      <c r="X409" s="73"/>
      <c r="Y409" s="77"/>
      <c r="Z409" s="104"/>
      <c r="AA409" s="73"/>
      <c r="AB409" s="104"/>
      <c r="AC409" s="104"/>
      <c r="AD409" s="74"/>
      <c r="AE409" s="106"/>
      <c r="AF409" s="195"/>
      <c r="AG409" s="80"/>
      <c r="AH409" s="153"/>
      <c r="AI409" s="82"/>
      <c r="AJ409" s="114"/>
      <c r="AK409" s="106"/>
      <c r="AL409" s="74"/>
      <c r="AM409" s="73"/>
      <c r="AN409" s="73"/>
      <c r="AO409" s="102"/>
      <c r="AP409" s="73"/>
      <c r="AQ409" s="73"/>
      <c r="AR409" s="74"/>
      <c r="AS409" s="73"/>
      <c r="AT409" s="73"/>
      <c r="AU409" s="73"/>
      <c r="AV409" s="73"/>
      <c r="AW409" s="73"/>
      <c r="AX409" s="74"/>
      <c r="AY409" s="73"/>
      <c r="AZ409" s="73"/>
      <c r="BA409" s="159"/>
      <c r="BB409" s="139"/>
      <c r="BC409" s="73"/>
      <c r="BD409" s="73"/>
      <c r="BE409" s="73"/>
      <c r="BF409" s="73"/>
      <c r="BG409" s="73"/>
      <c r="BH409" s="73"/>
      <c r="BI409" s="73"/>
      <c r="BJ409" s="73"/>
      <c r="BK409" s="73"/>
      <c r="BL409" s="73"/>
      <c r="BM409" s="73"/>
      <c r="BN409" s="73"/>
      <c r="BO409" s="73"/>
      <c r="BP409" s="73"/>
      <c r="BQ409" s="73"/>
      <c r="BR409" s="73"/>
      <c r="BS409" s="73"/>
      <c r="BT409" s="74"/>
      <c r="BU409" s="73"/>
      <c r="BV409" s="73"/>
      <c r="BW409" s="73"/>
      <c r="BX409" s="73"/>
      <c r="BY409" s="73"/>
      <c r="BZ409" s="73"/>
      <c r="CA409" s="73"/>
      <c r="CB409" s="73"/>
      <c r="CC409" s="73"/>
      <c r="CD409" s="73"/>
      <c r="CE409" s="73"/>
    </row>
    <row r="410">
      <c r="A410" s="73"/>
      <c r="B410" s="73"/>
      <c r="C410" s="73"/>
      <c r="D410" s="74"/>
      <c r="E410" s="73"/>
      <c r="F410" s="73"/>
      <c r="G410" s="73"/>
      <c r="H410" s="73"/>
      <c r="I410" s="73"/>
      <c r="J410" s="73"/>
      <c r="K410" s="92"/>
      <c r="L410" s="73"/>
      <c r="M410" s="73"/>
      <c r="N410" s="73"/>
      <c r="O410" s="73"/>
      <c r="P410" s="73"/>
      <c r="Q410" s="75"/>
      <c r="R410" s="82"/>
      <c r="S410" s="92"/>
      <c r="T410" s="73"/>
      <c r="U410" s="73"/>
      <c r="V410" s="73"/>
      <c r="W410" s="73"/>
      <c r="X410" s="73"/>
      <c r="Y410" s="77"/>
      <c r="Z410" s="104"/>
      <c r="AA410" s="73"/>
      <c r="AB410" s="104"/>
      <c r="AC410" s="104"/>
      <c r="AD410" s="74"/>
      <c r="AE410" s="106"/>
      <c r="AF410" s="195"/>
      <c r="AG410" s="80"/>
      <c r="AH410" s="78"/>
      <c r="AI410" s="73"/>
      <c r="AJ410" s="114"/>
      <c r="AK410" s="106"/>
      <c r="AL410" s="74"/>
      <c r="AM410" s="73"/>
      <c r="AN410" s="73"/>
      <c r="AO410" s="102"/>
      <c r="AP410" s="73"/>
      <c r="AQ410" s="104"/>
      <c r="AR410" s="74"/>
      <c r="AS410" s="73"/>
      <c r="AT410" s="104"/>
      <c r="AU410" s="104"/>
      <c r="AV410" s="104"/>
      <c r="AW410" s="104"/>
      <c r="AX410" s="74"/>
      <c r="AY410" s="73"/>
      <c r="AZ410" s="73"/>
      <c r="BA410" s="161"/>
      <c r="BB410" s="82"/>
      <c r="BC410" s="73"/>
      <c r="BD410" s="73"/>
      <c r="BE410" s="73"/>
      <c r="BF410" s="73"/>
      <c r="BG410" s="73"/>
      <c r="BH410" s="73"/>
      <c r="BI410" s="73"/>
      <c r="BJ410" s="73"/>
      <c r="BK410" s="73"/>
      <c r="BL410" s="73"/>
      <c r="BM410" s="73"/>
      <c r="BN410" s="73"/>
      <c r="BO410" s="73"/>
      <c r="BP410" s="73"/>
      <c r="BQ410" s="73"/>
      <c r="BR410" s="73"/>
      <c r="BS410" s="73"/>
      <c r="BT410" s="74"/>
      <c r="BU410" s="73"/>
      <c r="BV410" s="73"/>
      <c r="BW410" s="73"/>
      <c r="BX410" s="73"/>
      <c r="BY410" s="73"/>
      <c r="BZ410" s="73"/>
      <c r="CA410" s="73"/>
      <c r="CB410" s="73"/>
      <c r="CC410" s="73"/>
      <c r="CD410" s="73"/>
      <c r="CE410" s="73"/>
    </row>
    <row r="411">
      <c r="A411" s="73"/>
      <c r="B411" s="73"/>
      <c r="C411" s="73"/>
      <c r="D411" s="74"/>
      <c r="E411" s="73"/>
      <c r="F411" s="73"/>
      <c r="G411" s="73"/>
      <c r="H411" s="73"/>
      <c r="I411" s="73"/>
      <c r="J411" s="73"/>
      <c r="K411" s="92"/>
      <c r="L411" s="73"/>
      <c r="M411" s="73"/>
      <c r="N411" s="73"/>
      <c r="O411" s="73"/>
      <c r="P411" s="73"/>
      <c r="Q411" s="75"/>
      <c r="R411" s="82"/>
      <c r="S411" s="92"/>
      <c r="T411" s="73"/>
      <c r="U411" s="73"/>
      <c r="V411" s="73"/>
      <c r="W411" s="73"/>
      <c r="X411" s="73"/>
      <c r="Y411" s="77"/>
      <c r="Z411" s="104"/>
      <c r="AA411" s="73"/>
      <c r="AB411" s="104"/>
      <c r="AC411" s="104"/>
      <c r="AD411" s="74"/>
      <c r="AE411" s="106"/>
      <c r="AF411" s="195"/>
      <c r="AG411" s="80"/>
      <c r="AH411" s="163"/>
      <c r="AI411" s="73"/>
      <c r="AJ411" s="114"/>
      <c r="AK411" s="106"/>
      <c r="AL411" s="74"/>
      <c r="AM411" s="73"/>
      <c r="AN411" s="73"/>
      <c r="AO411" s="102"/>
      <c r="AP411" s="73"/>
      <c r="AQ411" s="139"/>
      <c r="AR411" s="74"/>
      <c r="AS411" s="73"/>
      <c r="AT411" s="139"/>
      <c r="AU411" s="73"/>
      <c r="AV411" s="73"/>
      <c r="AW411" s="73"/>
      <c r="AX411" s="74"/>
      <c r="AY411" s="73"/>
      <c r="AZ411" s="73"/>
      <c r="BA411" s="167"/>
      <c r="BB411" s="82"/>
      <c r="BC411" s="73"/>
      <c r="BD411" s="73"/>
      <c r="BE411" s="73"/>
      <c r="BF411" s="73"/>
      <c r="BG411" s="73"/>
      <c r="BH411" s="73"/>
      <c r="BI411" s="73"/>
      <c r="BJ411" s="73"/>
      <c r="BK411" s="73"/>
      <c r="BL411" s="73"/>
      <c r="BM411" s="73"/>
      <c r="BN411" s="73"/>
      <c r="BO411" s="73"/>
      <c r="BP411" s="73"/>
      <c r="BQ411" s="73"/>
      <c r="BR411" s="73"/>
      <c r="BS411" s="73"/>
      <c r="BT411" s="74"/>
      <c r="BU411" s="73"/>
      <c r="BV411" s="73"/>
      <c r="BW411" s="73"/>
      <c r="BX411" s="73"/>
      <c r="BY411" s="73"/>
      <c r="BZ411" s="73"/>
      <c r="CA411" s="73"/>
      <c r="CB411" s="73"/>
      <c r="CC411" s="73"/>
      <c r="CD411" s="73"/>
      <c r="CE411" s="73"/>
    </row>
    <row r="412">
      <c r="A412" s="73"/>
      <c r="B412" s="73"/>
      <c r="C412" s="73"/>
      <c r="D412" s="74"/>
      <c r="E412" s="73"/>
      <c r="F412" s="73"/>
      <c r="G412" s="73"/>
      <c r="H412" s="73"/>
      <c r="I412" s="73"/>
      <c r="J412" s="73"/>
      <c r="K412" s="92"/>
      <c r="L412" s="73"/>
      <c r="M412" s="73"/>
      <c r="N412" s="73"/>
      <c r="O412" s="73"/>
      <c r="P412" s="73"/>
      <c r="Q412" s="75"/>
      <c r="R412" s="82"/>
      <c r="S412" s="92"/>
      <c r="T412" s="73"/>
      <c r="U412" s="73"/>
      <c r="V412" s="73"/>
      <c r="W412" s="73"/>
      <c r="X412" s="73"/>
      <c r="Y412" s="77"/>
      <c r="Z412" s="104"/>
      <c r="AA412" s="73"/>
      <c r="AB412" s="104"/>
      <c r="AC412" s="104"/>
      <c r="AD412" s="74"/>
      <c r="AE412" s="106"/>
      <c r="AF412" s="195"/>
      <c r="AG412" s="80"/>
      <c r="AH412" s="118"/>
      <c r="AI412" s="73"/>
      <c r="AJ412" s="114"/>
      <c r="AK412" s="106"/>
      <c r="AL412" s="74"/>
      <c r="AM412" s="73"/>
      <c r="AN412" s="73"/>
      <c r="AO412" s="102"/>
      <c r="AP412" s="73"/>
      <c r="AQ412" s="73"/>
      <c r="AR412" s="74"/>
      <c r="AS412" s="73"/>
      <c r="AT412" s="73"/>
      <c r="AU412" s="73"/>
      <c r="AV412" s="73"/>
      <c r="AW412" s="73"/>
      <c r="AX412" s="74"/>
      <c r="AY412" s="73"/>
      <c r="AZ412" s="73"/>
      <c r="BA412" s="171"/>
      <c r="BB412" s="82"/>
      <c r="BC412" s="73"/>
      <c r="BD412" s="73"/>
      <c r="BE412" s="73"/>
      <c r="BF412" s="73"/>
      <c r="BG412" s="73"/>
      <c r="BH412" s="73"/>
      <c r="BI412" s="73"/>
      <c r="BJ412" s="73"/>
      <c r="BK412" s="73"/>
      <c r="BL412" s="73"/>
      <c r="BM412" s="73"/>
      <c r="BN412" s="73"/>
      <c r="BO412" s="73"/>
      <c r="BP412" s="73"/>
      <c r="BQ412" s="73"/>
      <c r="BR412" s="73"/>
      <c r="BS412" s="73"/>
      <c r="BT412" s="74"/>
      <c r="BU412" s="73"/>
      <c r="BV412" s="73"/>
      <c r="BW412" s="73"/>
      <c r="BX412" s="73"/>
      <c r="BY412" s="73"/>
      <c r="BZ412" s="73"/>
      <c r="CA412" s="73"/>
      <c r="CB412" s="73"/>
      <c r="CC412" s="73"/>
      <c r="CD412" s="73"/>
      <c r="CE412" s="73"/>
    </row>
    <row r="413">
      <c r="A413" s="73"/>
      <c r="B413" s="73"/>
      <c r="C413" s="73"/>
      <c r="D413" s="74"/>
      <c r="E413" s="73"/>
      <c r="F413" s="73"/>
      <c r="G413" s="73"/>
      <c r="H413" s="73"/>
      <c r="I413" s="73"/>
      <c r="J413" s="73"/>
      <c r="K413" s="92"/>
      <c r="L413" s="73"/>
      <c r="M413" s="73"/>
      <c r="N413" s="73"/>
      <c r="O413" s="73"/>
      <c r="P413" s="73"/>
      <c r="Q413" s="75"/>
      <c r="R413" s="82"/>
      <c r="S413" s="92"/>
      <c r="T413" s="73"/>
      <c r="U413" s="73"/>
      <c r="V413" s="73"/>
      <c r="W413" s="73"/>
      <c r="X413" s="73"/>
      <c r="Y413" s="77"/>
      <c r="Z413" s="104"/>
      <c r="AA413" s="73"/>
      <c r="AB413" s="104"/>
      <c r="AC413" s="104"/>
      <c r="AD413" s="74"/>
      <c r="AE413" s="106"/>
      <c r="AF413" s="195"/>
      <c r="AG413" s="80"/>
      <c r="AH413" s="173"/>
      <c r="AI413" s="73"/>
      <c r="AJ413" s="114"/>
      <c r="AK413" s="106"/>
      <c r="AL413" s="74"/>
      <c r="AM413" s="73"/>
      <c r="AN413" s="73"/>
      <c r="AO413" s="102"/>
      <c r="AP413" s="73"/>
      <c r="AQ413" s="104"/>
      <c r="AR413" s="74"/>
      <c r="AS413" s="73"/>
      <c r="AT413" s="104"/>
      <c r="AU413" s="73"/>
      <c r="AV413" s="73"/>
      <c r="AW413" s="114"/>
      <c r="AX413" s="74"/>
      <c r="AY413" s="131"/>
      <c r="AZ413" s="73"/>
      <c r="BA413" s="159"/>
      <c r="BB413" s="82"/>
      <c r="BC413" s="73"/>
      <c r="BD413" s="73"/>
      <c r="BE413" s="73"/>
      <c r="BF413" s="73"/>
      <c r="BG413" s="73"/>
      <c r="BH413" s="73"/>
      <c r="BI413" s="73"/>
      <c r="BJ413" s="73"/>
      <c r="BK413" s="73"/>
      <c r="BL413" s="73"/>
      <c r="BM413" s="73"/>
      <c r="BN413" s="73"/>
      <c r="BO413" s="73"/>
      <c r="BP413" s="73"/>
      <c r="BQ413" s="73"/>
      <c r="BR413" s="73"/>
      <c r="BS413" s="73"/>
      <c r="BT413" s="74"/>
      <c r="BU413" s="73"/>
      <c r="BV413" s="73"/>
      <c r="BW413" s="73"/>
      <c r="BX413" s="73"/>
      <c r="BY413" s="73"/>
      <c r="BZ413" s="73"/>
      <c r="CA413" s="73"/>
      <c r="CB413" s="73"/>
      <c r="CC413" s="73"/>
      <c r="CD413" s="73"/>
      <c r="CE413" s="73"/>
    </row>
    <row r="414">
      <c r="A414" s="73"/>
      <c r="B414" s="73"/>
      <c r="C414" s="73"/>
      <c r="D414" s="74"/>
      <c r="E414" s="73"/>
      <c r="F414" s="73"/>
      <c r="G414" s="73"/>
      <c r="H414" s="73"/>
      <c r="I414" s="73"/>
      <c r="J414" s="73"/>
      <c r="K414" s="92"/>
      <c r="L414" s="73"/>
      <c r="M414" s="73"/>
      <c r="N414" s="73"/>
      <c r="O414" s="73"/>
      <c r="P414" s="73"/>
      <c r="Q414" s="75"/>
      <c r="R414" s="82"/>
      <c r="S414" s="92"/>
      <c r="T414" s="73"/>
      <c r="U414" s="73"/>
      <c r="V414" s="73"/>
      <c r="W414" s="73"/>
      <c r="X414" s="73"/>
      <c r="Y414" s="77"/>
      <c r="Z414" s="104"/>
      <c r="AA414" s="73"/>
      <c r="AB414" s="104"/>
      <c r="AC414" s="104"/>
      <c r="AD414" s="74"/>
      <c r="AE414" s="106"/>
      <c r="AF414" s="195"/>
      <c r="AG414" s="80"/>
      <c r="AH414" s="153"/>
      <c r="AI414" s="82"/>
      <c r="AJ414" s="114"/>
      <c r="AK414" s="106"/>
      <c r="AL414" s="74"/>
      <c r="AM414" s="73"/>
      <c r="AN414" s="73"/>
      <c r="AO414" s="102"/>
      <c r="AP414" s="73"/>
      <c r="AQ414" s="104"/>
      <c r="AR414" s="74"/>
      <c r="AS414" s="73"/>
      <c r="AT414" s="104"/>
      <c r="AU414" s="73"/>
      <c r="AV414" s="73"/>
      <c r="AW414" s="114"/>
      <c r="AX414" s="74"/>
      <c r="AY414" s="73"/>
      <c r="AZ414" s="73"/>
      <c r="BA414" s="161"/>
      <c r="BB414" s="82"/>
      <c r="BC414" s="73"/>
      <c r="BD414" s="73"/>
      <c r="BE414" s="73"/>
      <c r="BF414" s="73"/>
      <c r="BG414" s="73"/>
      <c r="BH414" s="73"/>
      <c r="BI414" s="73"/>
      <c r="BJ414" s="73"/>
      <c r="BK414" s="73"/>
      <c r="BL414" s="73"/>
      <c r="BM414" s="73"/>
      <c r="BN414" s="73"/>
      <c r="BO414" s="73"/>
      <c r="BP414" s="73"/>
      <c r="BQ414" s="73"/>
      <c r="BR414" s="73"/>
      <c r="BS414" s="73"/>
      <c r="BT414" s="74"/>
      <c r="BU414" s="73"/>
      <c r="BV414" s="73"/>
      <c r="BW414" s="73"/>
      <c r="BX414" s="73"/>
      <c r="BY414" s="73"/>
      <c r="BZ414" s="73"/>
      <c r="CA414" s="73"/>
      <c r="CB414" s="73"/>
      <c r="CC414" s="73"/>
      <c r="CD414" s="73"/>
      <c r="CE414" s="73"/>
    </row>
    <row r="415">
      <c r="A415" s="73"/>
      <c r="B415" s="73"/>
      <c r="C415" s="73"/>
      <c r="D415" s="74"/>
      <c r="E415" s="73"/>
      <c r="F415" s="73"/>
      <c r="G415" s="73"/>
      <c r="H415" s="73"/>
      <c r="I415" s="73"/>
      <c r="J415" s="73"/>
      <c r="K415" s="92"/>
      <c r="L415" s="73"/>
      <c r="M415" s="73"/>
      <c r="N415" s="73"/>
      <c r="O415" s="73"/>
      <c r="P415" s="73"/>
      <c r="Q415" s="75"/>
      <c r="R415" s="82"/>
      <c r="S415" s="92"/>
      <c r="T415" s="73"/>
      <c r="U415" s="73"/>
      <c r="V415" s="73"/>
      <c r="W415" s="73"/>
      <c r="X415" s="73"/>
      <c r="Y415" s="77"/>
      <c r="Z415" s="104"/>
      <c r="AA415" s="73"/>
      <c r="AB415" s="104"/>
      <c r="AC415" s="104"/>
      <c r="AD415" s="74"/>
      <c r="AE415" s="106"/>
      <c r="AF415" s="195"/>
      <c r="AG415" s="80"/>
      <c r="AH415" s="114"/>
      <c r="AI415" s="82"/>
      <c r="AJ415" s="114"/>
      <c r="AK415" s="106"/>
      <c r="AL415" s="74"/>
      <c r="AM415" s="73"/>
      <c r="AN415" s="73"/>
      <c r="AO415" s="102"/>
      <c r="AP415" s="73"/>
      <c r="AQ415" s="104"/>
      <c r="AR415" s="74"/>
      <c r="AS415" s="73"/>
      <c r="AT415" s="104"/>
      <c r="AU415" s="73"/>
      <c r="AV415" s="73"/>
      <c r="AW415" s="114"/>
      <c r="AX415" s="74"/>
      <c r="AY415" s="73"/>
      <c r="AZ415" s="73"/>
      <c r="BA415" s="178"/>
      <c r="BB415" s="82"/>
      <c r="BC415" s="73"/>
      <c r="BD415" s="73"/>
      <c r="BE415" s="73"/>
      <c r="BF415" s="73"/>
      <c r="BG415" s="73"/>
      <c r="BH415" s="73"/>
      <c r="BI415" s="73"/>
      <c r="BJ415" s="73"/>
      <c r="BK415" s="73"/>
      <c r="BL415" s="73"/>
      <c r="BM415" s="73"/>
      <c r="BN415" s="73"/>
      <c r="BO415" s="73"/>
      <c r="BP415" s="73"/>
      <c r="BQ415" s="73"/>
      <c r="BR415" s="73"/>
      <c r="BS415" s="73"/>
      <c r="BT415" s="74"/>
      <c r="BU415" s="73"/>
      <c r="BV415" s="73"/>
      <c r="BW415" s="73"/>
      <c r="BX415" s="73"/>
      <c r="BY415" s="73"/>
      <c r="BZ415" s="73"/>
      <c r="CA415" s="73"/>
      <c r="CB415" s="73"/>
      <c r="CC415" s="73"/>
      <c r="CD415" s="73"/>
      <c r="CE415" s="73"/>
    </row>
    <row r="416">
      <c r="A416" s="131"/>
      <c r="B416" s="73"/>
      <c r="C416" s="73"/>
      <c r="D416" s="74"/>
      <c r="E416" s="73"/>
      <c r="F416" s="73"/>
      <c r="G416" s="73"/>
      <c r="H416" s="73"/>
      <c r="I416" s="73"/>
      <c r="J416" s="73"/>
      <c r="K416" s="92"/>
      <c r="L416" s="73"/>
      <c r="M416" s="73"/>
      <c r="N416" s="73"/>
      <c r="O416" s="73"/>
      <c r="P416" s="73"/>
      <c r="Q416" s="75"/>
      <c r="R416" s="82"/>
      <c r="S416" s="92"/>
      <c r="T416" s="73"/>
      <c r="U416" s="73"/>
      <c r="V416" s="73"/>
      <c r="W416" s="73"/>
      <c r="X416" s="73"/>
      <c r="Y416" s="77"/>
      <c r="Z416" s="104"/>
      <c r="AA416" s="73"/>
      <c r="AB416" s="104"/>
      <c r="AC416" s="104"/>
      <c r="AD416" s="74"/>
      <c r="AE416" s="106"/>
      <c r="AF416" s="195"/>
      <c r="AG416" s="80"/>
      <c r="AH416" s="153"/>
      <c r="AI416" s="82"/>
      <c r="AJ416" s="114"/>
      <c r="AK416" s="106"/>
      <c r="AL416" s="74"/>
      <c r="AM416" s="73"/>
      <c r="AN416" s="73"/>
      <c r="AO416" s="102"/>
      <c r="AP416" s="73"/>
      <c r="AQ416" s="104"/>
      <c r="AR416" s="74"/>
      <c r="AS416" s="73"/>
      <c r="AT416" s="104"/>
      <c r="AU416" s="73"/>
      <c r="AV416" s="73"/>
      <c r="AW416" s="114"/>
      <c r="AX416" s="74"/>
      <c r="AY416" s="73"/>
      <c r="AZ416" s="73"/>
      <c r="BA416" s="171"/>
      <c r="BB416" s="82"/>
      <c r="BC416" s="73"/>
      <c r="BD416" s="73"/>
      <c r="BE416" s="73"/>
      <c r="BF416" s="73"/>
      <c r="BG416" s="73"/>
      <c r="BH416" s="73"/>
      <c r="BI416" s="73"/>
      <c r="BJ416" s="73"/>
      <c r="BK416" s="73"/>
      <c r="BL416" s="73"/>
      <c r="BM416" s="73"/>
      <c r="BN416" s="73"/>
      <c r="BO416" s="73"/>
      <c r="BP416" s="73"/>
      <c r="BQ416" s="73"/>
      <c r="BR416" s="73"/>
      <c r="BS416" s="73"/>
      <c r="BT416" s="74"/>
      <c r="BU416" s="73"/>
      <c r="BV416" s="73"/>
      <c r="BW416" s="73"/>
      <c r="BX416" s="73"/>
      <c r="BY416" s="73"/>
      <c r="BZ416" s="73"/>
      <c r="CA416" s="73"/>
      <c r="CB416" s="73"/>
      <c r="CC416" s="73"/>
      <c r="CD416" s="73"/>
      <c r="CE416" s="73"/>
    </row>
    <row r="417">
      <c r="A417" s="73"/>
      <c r="B417" s="73"/>
      <c r="C417" s="73"/>
      <c r="D417" s="74"/>
      <c r="E417" s="73"/>
      <c r="F417" s="73"/>
      <c r="G417" s="73"/>
      <c r="H417" s="73"/>
      <c r="I417" s="73"/>
      <c r="J417" s="73"/>
      <c r="K417" s="92"/>
      <c r="L417" s="73"/>
      <c r="M417" s="73"/>
      <c r="N417" s="73"/>
      <c r="O417" s="73"/>
      <c r="P417" s="73"/>
      <c r="Q417" s="75"/>
      <c r="R417" s="82"/>
      <c r="S417" s="92"/>
      <c r="T417" s="73"/>
      <c r="U417" s="73"/>
      <c r="V417" s="73"/>
      <c r="W417" s="73"/>
      <c r="X417" s="73"/>
      <c r="Y417" s="77"/>
      <c r="Z417" s="104"/>
      <c r="AA417" s="73"/>
      <c r="AB417" s="104"/>
      <c r="AC417" s="104"/>
      <c r="AD417" s="74"/>
      <c r="AE417" s="106"/>
      <c r="AF417" s="195"/>
      <c r="AG417" s="80"/>
      <c r="AH417" s="114"/>
      <c r="AI417" s="82"/>
      <c r="AJ417" s="114"/>
      <c r="AK417" s="106"/>
      <c r="AL417" s="74"/>
      <c r="AM417" s="73"/>
      <c r="AN417" s="73"/>
      <c r="AO417" s="102"/>
      <c r="AP417" s="73"/>
      <c r="AQ417" s="104"/>
      <c r="AR417" s="74"/>
      <c r="AS417" s="73"/>
      <c r="AT417" s="104"/>
      <c r="AU417" s="73"/>
      <c r="AV417" s="73"/>
      <c r="AW417" s="114"/>
      <c r="AX417" s="74"/>
      <c r="AY417" s="73"/>
      <c r="AZ417" s="73"/>
      <c r="BA417" s="159"/>
      <c r="BB417" s="82"/>
      <c r="BC417" s="73"/>
      <c r="BD417" s="73"/>
      <c r="BE417" s="73"/>
      <c r="BF417" s="73"/>
      <c r="BG417" s="73"/>
      <c r="BH417" s="73"/>
      <c r="BI417" s="73"/>
      <c r="BJ417" s="73"/>
      <c r="BK417" s="73"/>
      <c r="BL417" s="73"/>
      <c r="BM417" s="73"/>
      <c r="BN417" s="73"/>
      <c r="BO417" s="73"/>
      <c r="BP417" s="73"/>
      <c r="BQ417" s="73"/>
      <c r="BR417" s="73"/>
      <c r="BS417" s="73"/>
      <c r="BT417" s="74"/>
      <c r="BU417" s="73"/>
      <c r="BV417" s="73"/>
      <c r="BW417" s="73"/>
      <c r="BX417" s="73"/>
      <c r="BY417" s="73"/>
      <c r="BZ417" s="73"/>
      <c r="CA417" s="73"/>
      <c r="CB417" s="73"/>
      <c r="CC417" s="73"/>
      <c r="CD417" s="73"/>
      <c r="CE417" s="73"/>
    </row>
    <row r="418">
      <c r="A418" s="73"/>
      <c r="B418" s="73"/>
      <c r="C418" s="73"/>
      <c r="D418" s="74"/>
      <c r="E418" s="73"/>
      <c r="F418" s="73"/>
      <c r="G418" s="73"/>
      <c r="H418" s="73"/>
      <c r="I418" s="73"/>
      <c r="J418" s="73"/>
      <c r="K418" s="92"/>
      <c r="L418" s="73"/>
      <c r="M418" s="73"/>
      <c r="N418" s="73"/>
      <c r="O418" s="73"/>
      <c r="P418" s="73"/>
      <c r="Q418" s="75"/>
      <c r="R418" s="82"/>
      <c r="S418" s="92"/>
      <c r="T418" s="73"/>
      <c r="U418" s="73"/>
      <c r="V418" s="73"/>
      <c r="W418" s="73"/>
      <c r="X418" s="73"/>
      <c r="Y418" s="77"/>
      <c r="Z418" s="104"/>
      <c r="AA418" s="73"/>
      <c r="AB418" s="104"/>
      <c r="AC418" s="104"/>
      <c r="AD418" s="74"/>
      <c r="AE418" s="106"/>
      <c r="AF418" s="195"/>
      <c r="AG418" s="80"/>
      <c r="AH418" s="143"/>
      <c r="AI418" s="82"/>
      <c r="AJ418" s="114"/>
      <c r="AK418" s="106"/>
      <c r="AL418" s="74"/>
      <c r="AM418" s="73"/>
      <c r="AN418" s="73"/>
      <c r="AO418" s="102"/>
      <c r="AP418" s="73"/>
      <c r="AQ418" s="104"/>
      <c r="AR418" s="74"/>
      <c r="AS418" s="73"/>
      <c r="AT418" s="104"/>
      <c r="AU418" s="73"/>
      <c r="AV418" s="73"/>
      <c r="AW418" s="114"/>
      <c r="AX418" s="74"/>
      <c r="AY418" s="73"/>
      <c r="AZ418" s="73"/>
      <c r="BA418" s="74"/>
      <c r="BB418" s="73"/>
      <c r="BC418" s="73"/>
      <c r="BD418" s="73"/>
      <c r="BE418" s="73"/>
      <c r="BF418" s="73"/>
      <c r="BG418" s="73"/>
      <c r="BH418" s="73"/>
      <c r="BI418" s="73"/>
      <c r="BJ418" s="73"/>
      <c r="BK418" s="73"/>
      <c r="BL418" s="73"/>
      <c r="BM418" s="73"/>
      <c r="BN418" s="73"/>
      <c r="BO418" s="73"/>
      <c r="BP418" s="73"/>
      <c r="BQ418" s="73"/>
      <c r="BR418" s="73"/>
      <c r="BS418" s="73"/>
      <c r="BT418" s="74"/>
      <c r="BU418" s="73"/>
      <c r="BV418" s="73"/>
      <c r="BW418" s="73"/>
      <c r="BX418" s="73"/>
      <c r="BY418" s="73"/>
      <c r="BZ418" s="73"/>
      <c r="CA418" s="73"/>
      <c r="CB418" s="73"/>
      <c r="CC418" s="73"/>
      <c r="CD418" s="73"/>
      <c r="CE418" s="73"/>
    </row>
    <row r="419">
      <c r="A419" s="73"/>
      <c r="B419" s="73"/>
      <c r="C419" s="73"/>
      <c r="D419" s="74"/>
      <c r="E419" s="73"/>
      <c r="F419" s="73"/>
      <c r="G419" s="73"/>
      <c r="H419" s="73"/>
      <c r="I419" s="73"/>
      <c r="J419" s="73"/>
      <c r="K419" s="92"/>
      <c r="L419" s="73"/>
      <c r="M419" s="73"/>
      <c r="N419" s="73"/>
      <c r="O419" s="73"/>
      <c r="P419" s="73"/>
      <c r="Q419" s="75"/>
      <c r="R419" s="82"/>
      <c r="S419" s="92"/>
      <c r="T419" s="73"/>
      <c r="U419" s="73"/>
      <c r="V419" s="73"/>
      <c r="W419" s="73"/>
      <c r="X419" s="73"/>
      <c r="Y419" s="77"/>
      <c r="Z419" s="104"/>
      <c r="AA419" s="73"/>
      <c r="AB419" s="104"/>
      <c r="AC419" s="104"/>
      <c r="AD419" s="74"/>
      <c r="AE419" s="106"/>
      <c r="AF419" s="195"/>
      <c r="AG419" s="80"/>
      <c r="AH419" s="113"/>
      <c r="AI419" s="82"/>
      <c r="AJ419" s="114"/>
      <c r="AK419" s="106"/>
      <c r="AL419" s="74"/>
      <c r="AM419" s="73"/>
      <c r="AN419" s="73"/>
      <c r="AO419" s="102"/>
      <c r="AP419" s="73"/>
      <c r="AQ419" s="104"/>
      <c r="AR419" s="74"/>
      <c r="AS419" s="73"/>
      <c r="AT419" s="104"/>
      <c r="AU419" s="73"/>
      <c r="AV419" s="73"/>
      <c r="AW419" s="114"/>
      <c r="AX419" s="74"/>
      <c r="AY419" s="73"/>
      <c r="AZ419" s="73"/>
      <c r="BA419" s="74"/>
      <c r="BB419" s="73"/>
      <c r="BC419" s="73"/>
      <c r="BD419" s="73"/>
      <c r="BE419" s="73"/>
      <c r="BF419" s="73"/>
      <c r="BG419" s="73"/>
      <c r="BH419" s="73"/>
      <c r="BI419" s="73"/>
      <c r="BJ419" s="73"/>
      <c r="BK419" s="73"/>
      <c r="BL419" s="73"/>
      <c r="BM419" s="73"/>
      <c r="BN419" s="73"/>
      <c r="BO419" s="73"/>
      <c r="BP419" s="73"/>
      <c r="BQ419" s="73"/>
      <c r="BR419" s="73"/>
      <c r="BS419" s="73"/>
      <c r="BT419" s="74"/>
      <c r="BU419" s="73"/>
      <c r="BV419" s="73"/>
      <c r="BW419" s="73"/>
      <c r="BX419" s="73"/>
      <c r="BY419" s="73"/>
      <c r="BZ419" s="73"/>
      <c r="CA419" s="73"/>
      <c r="CB419" s="73"/>
      <c r="CC419" s="73"/>
      <c r="CD419" s="73"/>
      <c r="CE419" s="73"/>
    </row>
    <row r="420">
      <c r="A420" s="73"/>
      <c r="B420" s="73"/>
      <c r="C420" s="73"/>
      <c r="D420" s="74"/>
      <c r="E420" s="73"/>
      <c r="F420" s="73"/>
      <c r="G420" s="73"/>
      <c r="H420" s="73"/>
      <c r="I420" s="73"/>
      <c r="J420" s="73"/>
      <c r="K420" s="92"/>
      <c r="L420" s="73"/>
      <c r="M420" s="73"/>
      <c r="N420" s="73"/>
      <c r="O420" s="73"/>
      <c r="P420" s="73"/>
      <c r="Q420" s="75"/>
      <c r="R420" s="82"/>
      <c r="S420" s="73"/>
      <c r="T420" s="73"/>
      <c r="U420" s="73"/>
      <c r="V420" s="73"/>
      <c r="W420" s="73"/>
      <c r="X420" s="73"/>
      <c r="Y420" s="77"/>
      <c r="Z420" s="104"/>
      <c r="AA420" s="73"/>
      <c r="AB420" s="104"/>
      <c r="AC420" s="104"/>
      <c r="AD420" s="74"/>
      <c r="AE420" s="106"/>
      <c r="AF420" s="195"/>
      <c r="AG420" s="80"/>
      <c r="AH420" s="153"/>
      <c r="AI420" s="82"/>
      <c r="AJ420" s="114"/>
      <c r="AK420" s="106"/>
      <c r="AL420" s="74"/>
      <c r="AM420" s="73"/>
      <c r="AN420" s="73"/>
      <c r="AO420" s="102"/>
      <c r="AP420" s="73"/>
      <c r="AQ420" s="73"/>
      <c r="AR420" s="74"/>
      <c r="AS420" s="73"/>
      <c r="AT420" s="104"/>
      <c r="AU420" s="73"/>
      <c r="AV420" s="73"/>
      <c r="AW420" s="114"/>
      <c r="AX420" s="74"/>
      <c r="AY420" s="73"/>
      <c r="AZ420" s="73"/>
      <c r="BA420" s="74"/>
      <c r="BB420" s="73"/>
      <c r="BC420" s="73"/>
      <c r="BD420" s="73"/>
      <c r="BE420" s="73"/>
      <c r="BF420" s="73"/>
      <c r="BG420" s="73"/>
      <c r="BH420" s="73"/>
      <c r="BI420" s="73"/>
      <c r="BJ420" s="73"/>
      <c r="BK420" s="73"/>
      <c r="BL420" s="73"/>
      <c r="BM420" s="73"/>
      <c r="BN420" s="73"/>
      <c r="BO420" s="73"/>
      <c r="BP420" s="73"/>
      <c r="BQ420" s="73"/>
      <c r="BR420" s="73"/>
      <c r="BS420" s="73"/>
      <c r="BT420" s="74"/>
      <c r="BU420" s="73"/>
      <c r="BV420" s="73"/>
      <c r="BW420" s="73"/>
      <c r="BX420" s="73"/>
      <c r="BY420" s="73"/>
      <c r="BZ420" s="73"/>
      <c r="CA420" s="73"/>
      <c r="CB420" s="73"/>
      <c r="CC420" s="73"/>
      <c r="CD420" s="73"/>
      <c r="CE420" s="73"/>
    </row>
    <row r="421">
      <c r="A421" s="73"/>
      <c r="B421" s="73"/>
      <c r="C421" s="73"/>
      <c r="D421" s="74"/>
      <c r="E421" s="73"/>
      <c r="F421" s="73"/>
      <c r="G421" s="73"/>
      <c r="H421" s="73"/>
      <c r="I421" s="73"/>
      <c r="J421" s="73"/>
      <c r="K421" s="92"/>
      <c r="L421" s="73"/>
      <c r="M421" s="73"/>
      <c r="N421" s="73"/>
      <c r="O421" s="73"/>
      <c r="P421" s="73"/>
      <c r="Q421" s="75"/>
      <c r="R421" s="82"/>
      <c r="S421" s="73"/>
      <c r="T421" s="73"/>
      <c r="U421" s="73"/>
      <c r="V421" s="73"/>
      <c r="W421" s="73"/>
      <c r="X421" s="73"/>
      <c r="Y421" s="77"/>
      <c r="Z421" s="104"/>
      <c r="AA421" s="73"/>
      <c r="AB421" s="104"/>
      <c r="AC421" s="104"/>
      <c r="AD421" s="74"/>
      <c r="AE421" s="106"/>
      <c r="AF421" s="195"/>
      <c r="AG421" s="80"/>
      <c r="AH421" s="183"/>
      <c r="AI421" s="82"/>
      <c r="AJ421" s="114"/>
      <c r="AK421" s="106"/>
      <c r="AL421" s="74"/>
      <c r="AM421" s="73"/>
      <c r="AN421" s="73"/>
      <c r="AO421" s="102"/>
      <c r="AP421" s="73"/>
      <c r="AQ421" s="104"/>
      <c r="AR421" s="74"/>
      <c r="AS421" s="73"/>
      <c r="AT421" s="104"/>
      <c r="AU421" s="73"/>
      <c r="AV421" s="73"/>
      <c r="AW421" s="114"/>
      <c r="AX421" s="74"/>
      <c r="AY421" s="73"/>
      <c r="AZ421" s="73"/>
      <c r="BA421" s="74"/>
      <c r="BB421" s="73"/>
      <c r="BC421" s="73"/>
      <c r="BD421" s="73"/>
      <c r="BE421" s="73"/>
      <c r="BF421" s="73"/>
      <c r="BG421" s="73"/>
      <c r="BH421" s="73"/>
      <c r="BI421" s="73"/>
      <c r="BJ421" s="73"/>
      <c r="BK421" s="73"/>
      <c r="BL421" s="73"/>
      <c r="BM421" s="73"/>
      <c r="BN421" s="73"/>
      <c r="BO421" s="73"/>
      <c r="BP421" s="73"/>
      <c r="BQ421" s="73"/>
      <c r="BR421" s="73"/>
      <c r="BS421" s="73"/>
      <c r="BT421" s="74"/>
      <c r="BU421" s="73"/>
      <c r="BV421" s="73"/>
      <c r="BW421" s="73"/>
      <c r="BX421" s="73"/>
      <c r="BY421" s="73"/>
      <c r="BZ421" s="73"/>
      <c r="CA421" s="73"/>
      <c r="CB421" s="73"/>
      <c r="CC421" s="73"/>
      <c r="CD421" s="73"/>
      <c r="CE421" s="73"/>
    </row>
    <row r="422">
      <c r="A422" s="73"/>
      <c r="B422" s="73"/>
      <c r="C422" s="73"/>
      <c r="D422" s="74"/>
      <c r="E422" s="73"/>
      <c r="F422" s="73"/>
      <c r="G422" s="73"/>
      <c r="H422" s="73"/>
      <c r="I422" s="73"/>
      <c r="J422" s="73"/>
      <c r="K422" s="92"/>
      <c r="L422" s="73"/>
      <c r="M422" s="73"/>
      <c r="N422" s="73"/>
      <c r="O422" s="73"/>
      <c r="P422" s="73"/>
      <c r="Q422" s="75"/>
      <c r="R422" s="82"/>
      <c r="S422" s="73"/>
      <c r="T422" s="73"/>
      <c r="U422" s="73"/>
      <c r="V422" s="73"/>
      <c r="W422" s="73"/>
      <c r="X422" s="73"/>
      <c r="Y422" s="77"/>
      <c r="Z422" s="104"/>
      <c r="AA422" s="73"/>
      <c r="AB422" s="104"/>
      <c r="AC422" s="104"/>
      <c r="AD422" s="74"/>
      <c r="AE422" s="106"/>
      <c r="AF422" s="195"/>
      <c r="AG422" s="80"/>
      <c r="AH422" s="185"/>
      <c r="AI422" s="82"/>
      <c r="AJ422" s="114"/>
      <c r="AK422" s="106"/>
      <c r="AL422" s="74"/>
      <c r="AM422" s="73"/>
      <c r="AN422" s="73"/>
      <c r="AO422" s="102"/>
      <c r="AP422" s="73"/>
      <c r="AQ422" s="104"/>
      <c r="AR422" s="74"/>
      <c r="AS422" s="73"/>
      <c r="AT422" s="104"/>
      <c r="AU422" s="73"/>
      <c r="AV422" s="73"/>
      <c r="AW422" s="114"/>
      <c r="AX422" s="74"/>
      <c r="AY422" s="73"/>
      <c r="AZ422" s="73"/>
      <c r="BA422" s="74"/>
      <c r="BB422" s="73"/>
      <c r="BC422" s="73"/>
      <c r="BD422" s="73"/>
      <c r="BE422" s="73"/>
      <c r="BF422" s="73"/>
      <c r="BG422" s="73"/>
      <c r="BH422" s="73"/>
      <c r="BI422" s="73"/>
      <c r="BJ422" s="73"/>
      <c r="BK422" s="73"/>
      <c r="BL422" s="73"/>
      <c r="BM422" s="73"/>
      <c r="BN422" s="73"/>
      <c r="BO422" s="73"/>
      <c r="BP422" s="73"/>
      <c r="BQ422" s="73"/>
      <c r="BR422" s="73"/>
      <c r="BS422" s="73"/>
      <c r="BT422" s="74"/>
      <c r="BU422" s="73"/>
      <c r="BV422" s="73"/>
      <c r="BW422" s="73"/>
      <c r="BX422" s="73"/>
      <c r="BY422" s="73"/>
      <c r="BZ422" s="73"/>
      <c r="CA422" s="73"/>
      <c r="CB422" s="73"/>
      <c r="CC422" s="73"/>
      <c r="CD422" s="73"/>
      <c r="CE422" s="73"/>
    </row>
    <row r="423">
      <c r="A423" s="73"/>
      <c r="B423" s="73"/>
      <c r="C423" s="73"/>
      <c r="D423" s="74"/>
      <c r="E423" s="73"/>
      <c r="F423" s="73"/>
      <c r="G423" s="73"/>
      <c r="H423" s="73"/>
      <c r="I423" s="73"/>
      <c r="J423" s="73"/>
      <c r="K423" s="92"/>
      <c r="L423" s="73"/>
      <c r="M423" s="73"/>
      <c r="N423" s="73"/>
      <c r="O423" s="73"/>
      <c r="P423" s="73"/>
      <c r="Q423" s="75"/>
      <c r="R423" s="82"/>
      <c r="S423" s="73"/>
      <c r="T423" s="73"/>
      <c r="U423" s="73"/>
      <c r="V423" s="73"/>
      <c r="W423" s="73"/>
      <c r="X423" s="73"/>
      <c r="Y423" s="77"/>
      <c r="Z423" s="104"/>
      <c r="AA423" s="73"/>
      <c r="AB423" s="104"/>
      <c r="AC423" s="104"/>
      <c r="AD423" s="74"/>
      <c r="AE423" s="106"/>
      <c r="AF423" s="195"/>
      <c r="AG423" s="80"/>
      <c r="AH423" s="187"/>
      <c r="AI423" s="82"/>
      <c r="AJ423" s="114"/>
      <c r="AK423" s="106"/>
      <c r="AL423" s="74"/>
      <c r="AM423" s="73"/>
      <c r="AN423" s="73"/>
      <c r="AO423" s="102"/>
      <c r="AP423" s="73"/>
      <c r="AQ423" s="104"/>
      <c r="AR423" s="74"/>
      <c r="AS423" s="73"/>
      <c r="AT423" s="104"/>
      <c r="AU423" s="73"/>
      <c r="AV423" s="73"/>
      <c r="AW423" s="114"/>
      <c r="AX423" s="74"/>
      <c r="AY423" s="73"/>
      <c r="AZ423" s="73"/>
      <c r="BA423" s="74"/>
      <c r="BB423" s="73"/>
      <c r="BC423" s="73"/>
      <c r="BD423" s="73"/>
      <c r="BE423" s="73"/>
      <c r="BF423" s="73"/>
      <c r="BG423" s="73"/>
      <c r="BH423" s="73"/>
      <c r="BI423" s="73"/>
      <c r="BJ423" s="73"/>
      <c r="BK423" s="73"/>
      <c r="BL423" s="73"/>
      <c r="BM423" s="73"/>
      <c r="BN423" s="73"/>
      <c r="BO423" s="73"/>
      <c r="BP423" s="73"/>
      <c r="BQ423" s="73"/>
      <c r="BR423" s="73"/>
      <c r="BS423" s="73"/>
      <c r="BT423" s="74"/>
      <c r="BU423" s="73"/>
      <c r="BV423" s="73"/>
      <c r="BW423" s="73"/>
      <c r="BX423" s="73"/>
      <c r="BY423" s="73"/>
      <c r="BZ423" s="73"/>
      <c r="CA423" s="73"/>
      <c r="CB423" s="73"/>
      <c r="CC423" s="73"/>
      <c r="CD423" s="73"/>
      <c r="CE423" s="73"/>
    </row>
    <row r="424">
      <c r="A424" s="73"/>
      <c r="B424" s="73"/>
      <c r="C424" s="73"/>
      <c r="D424" s="74"/>
      <c r="E424" s="73"/>
      <c r="F424" s="73"/>
      <c r="G424" s="73"/>
      <c r="H424" s="73"/>
      <c r="I424" s="73"/>
      <c r="J424" s="73"/>
      <c r="K424" s="92"/>
      <c r="L424" s="73"/>
      <c r="M424" s="73"/>
      <c r="N424" s="73"/>
      <c r="O424" s="73"/>
      <c r="P424" s="73"/>
      <c r="Q424" s="75"/>
      <c r="R424" s="82"/>
      <c r="S424" s="73"/>
      <c r="T424" s="73"/>
      <c r="U424" s="73"/>
      <c r="V424" s="73"/>
      <c r="W424" s="73"/>
      <c r="X424" s="73"/>
      <c r="Y424" s="77"/>
      <c r="Z424" s="104"/>
      <c r="AA424" s="73"/>
      <c r="AB424" s="104"/>
      <c r="AC424" s="104"/>
      <c r="AD424" s="74"/>
      <c r="AE424" s="106"/>
      <c r="AF424" s="195"/>
      <c r="AG424" s="80"/>
      <c r="AH424" s="153"/>
      <c r="AI424" s="82"/>
      <c r="AJ424" s="114"/>
      <c r="AK424" s="106"/>
      <c r="AL424" s="74"/>
      <c r="AM424" s="73"/>
      <c r="AN424" s="73"/>
      <c r="AO424" s="102"/>
      <c r="AP424" s="73"/>
      <c r="AQ424" s="104"/>
      <c r="AR424" s="74"/>
      <c r="AS424" s="73"/>
      <c r="AT424" s="104"/>
      <c r="AU424" s="73"/>
      <c r="AV424" s="73"/>
      <c r="AW424" s="114"/>
      <c r="AX424" s="74"/>
      <c r="AY424" s="73"/>
      <c r="AZ424" s="73"/>
      <c r="BA424" s="74"/>
      <c r="BB424" s="73"/>
      <c r="BC424" s="73"/>
      <c r="BD424" s="73"/>
      <c r="BE424" s="73"/>
      <c r="BF424" s="73"/>
      <c r="BG424" s="73"/>
      <c r="BH424" s="73"/>
      <c r="BI424" s="73"/>
      <c r="BJ424" s="73"/>
      <c r="BK424" s="73"/>
      <c r="BL424" s="73"/>
      <c r="BM424" s="73"/>
      <c r="BN424" s="73"/>
      <c r="BO424" s="73"/>
      <c r="BP424" s="73"/>
      <c r="BQ424" s="73"/>
      <c r="BR424" s="73"/>
      <c r="BS424" s="73"/>
      <c r="BT424" s="74"/>
      <c r="BU424" s="73"/>
      <c r="BV424" s="73"/>
      <c r="BW424" s="73"/>
      <c r="BX424" s="73"/>
      <c r="BY424" s="73"/>
      <c r="BZ424" s="73"/>
      <c r="CA424" s="73"/>
      <c r="CB424" s="73"/>
      <c r="CC424" s="73"/>
      <c r="CD424" s="73"/>
      <c r="CE424" s="73"/>
    </row>
    <row r="425">
      <c r="A425" s="73"/>
      <c r="B425" s="73"/>
      <c r="C425" s="73"/>
      <c r="D425" s="74"/>
      <c r="E425" s="73"/>
      <c r="F425" s="73"/>
      <c r="G425" s="73"/>
      <c r="H425" s="73"/>
      <c r="I425" s="73"/>
      <c r="J425" s="73"/>
      <c r="K425" s="92"/>
      <c r="L425" s="73"/>
      <c r="M425" s="73"/>
      <c r="N425" s="73"/>
      <c r="O425" s="73"/>
      <c r="P425" s="73"/>
      <c r="Q425" s="75"/>
      <c r="R425" s="82"/>
      <c r="S425" s="73"/>
      <c r="T425" s="73"/>
      <c r="U425" s="73"/>
      <c r="V425" s="73"/>
      <c r="W425" s="73"/>
      <c r="X425" s="73"/>
      <c r="Y425" s="77"/>
      <c r="Z425" s="104"/>
      <c r="AA425" s="73"/>
      <c r="AB425" s="104"/>
      <c r="AC425" s="104"/>
      <c r="AD425" s="74"/>
      <c r="AE425" s="106"/>
      <c r="AF425" s="195"/>
      <c r="AG425" s="80"/>
      <c r="AH425" s="135"/>
      <c r="AI425" s="82"/>
      <c r="AJ425" s="114"/>
      <c r="AK425" s="106"/>
      <c r="AL425" s="74"/>
      <c r="AM425" s="73"/>
      <c r="AN425" s="73"/>
      <c r="AO425" s="102"/>
      <c r="AP425" s="73"/>
      <c r="AQ425" s="104"/>
      <c r="AR425" s="74"/>
      <c r="AS425" s="73"/>
      <c r="AT425" s="104"/>
      <c r="AU425" s="73"/>
      <c r="AV425" s="73"/>
      <c r="AW425" s="114"/>
      <c r="AX425" s="74"/>
      <c r="AY425" s="73"/>
      <c r="AZ425" s="73"/>
      <c r="BA425" s="74"/>
      <c r="BB425" s="73"/>
      <c r="BC425" s="73"/>
      <c r="BD425" s="73"/>
      <c r="BE425" s="73"/>
      <c r="BF425" s="73"/>
      <c r="BG425" s="73"/>
      <c r="BH425" s="73"/>
      <c r="BI425" s="73"/>
      <c r="BJ425" s="73"/>
      <c r="BK425" s="73"/>
      <c r="BL425" s="73"/>
      <c r="BM425" s="73"/>
      <c r="BN425" s="73"/>
      <c r="BO425" s="73"/>
      <c r="BP425" s="73"/>
      <c r="BQ425" s="73"/>
      <c r="BR425" s="73"/>
      <c r="BS425" s="73"/>
      <c r="BT425" s="74"/>
      <c r="BU425" s="73"/>
      <c r="BV425" s="73"/>
      <c r="BW425" s="73"/>
      <c r="BX425" s="73"/>
      <c r="BY425" s="73"/>
      <c r="BZ425" s="73"/>
      <c r="CA425" s="73"/>
      <c r="CB425" s="73"/>
      <c r="CC425" s="73"/>
      <c r="CD425" s="73"/>
      <c r="CE425" s="73"/>
    </row>
    <row r="426">
      <c r="A426" s="73"/>
      <c r="B426" s="73"/>
      <c r="C426" s="73"/>
      <c r="D426" s="74"/>
      <c r="E426" s="73"/>
      <c r="F426" s="73"/>
      <c r="G426" s="73"/>
      <c r="H426" s="73"/>
      <c r="I426" s="73"/>
      <c r="J426" s="73"/>
      <c r="K426" s="92"/>
      <c r="L426" s="73"/>
      <c r="M426" s="73"/>
      <c r="N426" s="73"/>
      <c r="O426" s="73"/>
      <c r="P426" s="73"/>
      <c r="Q426" s="75"/>
      <c r="R426" s="82"/>
      <c r="S426" s="73"/>
      <c r="T426" s="73"/>
      <c r="U426" s="73"/>
      <c r="V426" s="73"/>
      <c r="W426" s="73"/>
      <c r="X426" s="73"/>
      <c r="Y426" s="77"/>
      <c r="Z426" s="104"/>
      <c r="AA426" s="73"/>
      <c r="AB426" s="104"/>
      <c r="AC426" s="104"/>
      <c r="AD426" s="74"/>
      <c r="AE426" s="106"/>
      <c r="AF426" s="195"/>
      <c r="AG426" s="80"/>
      <c r="AH426" s="190"/>
      <c r="AI426" s="82"/>
      <c r="AJ426" s="114"/>
      <c r="AK426" s="106"/>
      <c r="AL426" s="74"/>
      <c r="AM426" s="73"/>
      <c r="AN426" s="73"/>
      <c r="AO426" s="102"/>
      <c r="AP426" s="73"/>
      <c r="AQ426" s="73"/>
      <c r="AR426" s="74"/>
      <c r="AS426" s="73"/>
      <c r="AT426" s="104"/>
      <c r="AU426" s="73"/>
      <c r="AV426" s="73"/>
      <c r="AW426" s="73"/>
      <c r="AX426" s="74"/>
      <c r="AY426" s="73"/>
      <c r="AZ426" s="73"/>
      <c r="BA426" s="74"/>
      <c r="BB426" s="73"/>
      <c r="BC426" s="73"/>
      <c r="BD426" s="73"/>
      <c r="BE426" s="73"/>
      <c r="BF426" s="73"/>
      <c r="BG426" s="73"/>
      <c r="BH426" s="73"/>
      <c r="BI426" s="73"/>
      <c r="BJ426" s="73"/>
      <c r="BK426" s="73"/>
      <c r="BL426" s="73"/>
      <c r="BM426" s="73"/>
      <c r="BN426" s="73"/>
      <c r="BO426" s="73"/>
      <c r="BP426" s="73"/>
      <c r="BQ426" s="73"/>
      <c r="BR426" s="73"/>
      <c r="BS426" s="73"/>
      <c r="BT426" s="74"/>
      <c r="BU426" s="73"/>
      <c r="BV426" s="73"/>
      <c r="BW426" s="73"/>
      <c r="BX426" s="73"/>
      <c r="BY426" s="73"/>
      <c r="BZ426" s="73"/>
      <c r="CA426" s="73"/>
      <c r="CB426" s="73"/>
      <c r="CC426" s="73"/>
      <c r="CD426" s="73"/>
      <c r="CE426" s="73"/>
    </row>
    <row r="427">
      <c r="A427" s="73"/>
      <c r="B427" s="73"/>
      <c r="C427" s="73"/>
      <c r="D427" s="74"/>
      <c r="E427" s="73"/>
      <c r="F427" s="73"/>
      <c r="G427" s="73"/>
      <c r="H427" s="73"/>
      <c r="I427" s="73"/>
      <c r="J427" s="73"/>
      <c r="K427" s="92"/>
      <c r="L427" s="73"/>
      <c r="M427" s="73"/>
      <c r="N427" s="73"/>
      <c r="O427" s="73"/>
      <c r="P427" s="73"/>
      <c r="Q427" s="75"/>
      <c r="R427" s="82"/>
      <c r="S427" s="73"/>
      <c r="T427" s="73"/>
      <c r="U427" s="73"/>
      <c r="V427" s="73"/>
      <c r="W427" s="73"/>
      <c r="X427" s="73"/>
      <c r="Y427" s="77"/>
      <c r="Z427" s="104"/>
      <c r="AA427" s="73"/>
      <c r="AB427" s="104"/>
      <c r="AC427" s="104"/>
      <c r="AD427" s="74"/>
      <c r="AE427" s="106"/>
      <c r="AF427" s="195"/>
      <c r="AG427" s="80"/>
      <c r="AH427" s="153"/>
      <c r="AI427" s="82"/>
      <c r="AJ427" s="114"/>
      <c r="AK427" s="106"/>
      <c r="AL427" s="74"/>
      <c r="AM427" s="73"/>
      <c r="AN427" s="73"/>
      <c r="AO427" s="102"/>
      <c r="AP427" s="73"/>
      <c r="AQ427" s="104"/>
      <c r="AR427" s="74"/>
      <c r="AS427" s="73"/>
      <c r="AT427" s="104"/>
      <c r="AU427" s="73"/>
      <c r="AV427" s="73"/>
      <c r="AW427" s="114"/>
      <c r="AX427" s="74"/>
      <c r="AY427" s="73"/>
      <c r="AZ427" s="73"/>
      <c r="BA427" s="74"/>
      <c r="BB427" s="73"/>
      <c r="BC427" s="73"/>
      <c r="BD427" s="73"/>
      <c r="BE427" s="73"/>
      <c r="BF427" s="73"/>
      <c r="BG427" s="73"/>
      <c r="BH427" s="73"/>
      <c r="BI427" s="73"/>
      <c r="BJ427" s="73"/>
      <c r="BK427" s="73"/>
      <c r="BL427" s="73"/>
      <c r="BM427" s="73"/>
      <c r="BN427" s="73"/>
      <c r="BO427" s="73"/>
      <c r="BP427" s="73"/>
      <c r="BQ427" s="73"/>
      <c r="BR427" s="73"/>
      <c r="BS427" s="73"/>
      <c r="BT427" s="74"/>
      <c r="BU427" s="73"/>
      <c r="BV427" s="73"/>
      <c r="BW427" s="73"/>
      <c r="BX427" s="73"/>
      <c r="BY427" s="73"/>
      <c r="BZ427" s="73"/>
      <c r="CA427" s="73"/>
      <c r="CB427" s="73"/>
      <c r="CC427" s="73"/>
      <c r="CD427" s="73"/>
      <c r="CE427" s="73"/>
    </row>
    <row r="428">
      <c r="A428" s="73"/>
      <c r="B428" s="73"/>
      <c r="C428" s="73"/>
      <c r="D428" s="74"/>
      <c r="E428" s="73"/>
      <c r="F428" s="73"/>
      <c r="G428" s="73"/>
      <c r="H428" s="73"/>
      <c r="I428" s="73"/>
      <c r="J428" s="73"/>
      <c r="K428" s="92"/>
      <c r="L428" s="73"/>
      <c r="M428" s="73"/>
      <c r="N428" s="73"/>
      <c r="O428" s="73"/>
      <c r="P428" s="73"/>
      <c r="Q428" s="75"/>
      <c r="R428" s="82"/>
      <c r="S428" s="73"/>
      <c r="T428" s="73"/>
      <c r="U428" s="73"/>
      <c r="V428" s="73"/>
      <c r="W428" s="73"/>
      <c r="X428" s="73"/>
      <c r="Y428" s="77"/>
      <c r="Z428" s="104"/>
      <c r="AA428" s="73"/>
      <c r="AB428" s="104"/>
      <c r="AC428" s="104"/>
      <c r="AD428" s="74"/>
      <c r="AE428" s="106"/>
      <c r="AF428" s="195"/>
      <c r="AG428" s="80"/>
      <c r="AH428" s="153"/>
      <c r="AI428" s="82"/>
      <c r="AJ428" s="114"/>
      <c r="AK428" s="106"/>
      <c r="AL428" s="74"/>
      <c r="AM428" s="73"/>
      <c r="AN428" s="73"/>
      <c r="AO428" s="102"/>
      <c r="AP428" s="73"/>
      <c r="AQ428" s="104"/>
      <c r="AR428" s="74"/>
      <c r="AS428" s="73"/>
      <c r="AT428" s="104"/>
      <c r="AU428" s="73"/>
      <c r="AV428" s="73"/>
      <c r="AW428" s="114"/>
      <c r="AX428" s="74"/>
      <c r="AY428" s="73"/>
      <c r="AZ428" s="73"/>
      <c r="BA428" s="74"/>
      <c r="BB428" s="73"/>
      <c r="BC428" s="73"/>
      <c r="BD428" s="73"/>
      <c r="BE428" s="73"/>
      <c r="BF428" s="73"/>
      <c r="BG428" s="73"/>
      <c r="BH428" s="73"/>
      <c r="BI428" s="73"/>
      <c r="BJ428" s="73"/>
      <c r="BK428" s="73"/>
      <c r="BL428" s="73"/>
      <c r="BM428" s="73"/>
      <c r="BN428" s="73"/>
      <c r="BO428" s="73"/>
      <c r="BP428" s="73"/>
      <c r="BQ428" s="73"/>
      <c r="BR428" s="73"/>
      <c r="BS428" s="73"/>
      <c r="BT428" s="74"/>
      <c r="BU428" s="73"/>
      <c r="BV428" s="73"/>
      <c r="BW428" s="73"/>
      <c r="BX428" s="73"/>
      <c r="BY428" s="73"/>
      <c r="BZ428" s="73"/>
      <c r="CA428" s="73"/>
      <c r="CB428" s="73"/>
      <c r="CC428" s="73"/>
      <c r="CD428" s="73"/>
      <c r="CE428" s="73"/>
    </row>
    <row r="429">
      <c r="A429" s="73"/>
      <c r="B429" s="73"/>
      <c r="C429" s="73"/>
      <c r="D429" s="74"/>
      <c r="E429" s="73"/>
      <c r="F429" s="73"/>
      <c r="G429" s="73"/>
      <c r="H429" s="73"/>
      <c r="I429" s="73"/>
      <c r="J429" s="73"/>
      <c r="K429" s="92"/>
      <c r="L429" s="73"/>
      <c r="M429" s="73"/>
      <c r="N429" s="73"/>
      <c r="O429" s="73"/>
      <c r="P429" s="73"/>
      <c r="Q429" s="75"/>
      <c r="R429" s="82"/>
      <c r="S429" s="73"/>
      <c r="T429" s="73"/>
      <c r="U429" s="73"/>
      <c r="V429" s="73"/>
      <c r="W429" s="73"/>
      <c r="X429" s="73"/>
      <c r="Y429" s="77"/>
      <c r="Z429" s="104"/>
      <c r="AA429" s="73"/>
      <c r="AB429" s="104"/>
      <c r="AC429" s="104"/>
      <c r="AD429" s="74"/>
      <c r="AE429" s="106"/>
      <c r="AF429" s="195"/>
      <c r="AG429" s="80"/>
      <c r="AH429" s="114"/>
      <c r="AI429" s="82"/>
      <c r="AJ429" s="114"/>
      <c r="AK429" s="106"/>
      <c r="AL429" s="74"/>
      <c r="AM429" s="73"/>
      <c r="AN429" s="73"/>
      <c r="AO429" s="102"/>
      <c r="AP429" s="73"/>
      <c r="AQ429" s="104"/>
      <c r="AR429" s="74"/>
      <c r="AS429" s="73"/>
      <c r="AT429" s="104"/>
      <c r="AU429" s="73"/>
      <c r="AV429" s="73"/>
      <c r="AW429" s="104"/>
      <c r="AX429" s="74"/>
      <c r="AY429" s="73"/>
      <c r="AZ429" s="73"/>
      <c r="BA429" s="74"/>
      <c r="BB429" s="73"/>
      <c r="BC429" s="73"/>
      <c r="BD429" s="73"/>
      <c r="BE429" s="73"/>
      <c r="BF429" s="73"/>
      <c r="BG429" s="73"/>
      <c r="BH429" s="73"/>
      <c r="BI429" s="73"/>
      <c r="BJ429" s="73"/>
      <c r="BK429" s="73"/>
      <c r="BL429" s="73"/>
      <c r="BM429" s="73"/>
      <c r="BN429" s="73"/>
      <c r="BO429" s="73"/>
      <c r="BP429" s="73"/>
      <c r="BQ429" s="73"/>
      <c r="BR429" s="73"/>
      <c r="BS429" s="73"/>
      <c r="BT429" s="74"/>
      <c r="BU429" s="73"/>
      <c r="BV429" s="73"/>
      <c r="BW429" s="73"/>
      <c r="BX429" s="73"/>
      <c r="BY429" s="73"/>
      <c r="BZ429" s="73"/>
      <c r="CA429" s="73"/>
      <c r="CB429" s="73"/>
      <c r="CC429" s="73"/>
      <c r="CD429" s="73"/>
      <c r="CE429" s="73"/>
    </row>
    <row r="430">
      <c r="A430" s="73"/>
      <c r="B430" s="73"/>
      <c r="C430" s="73"/>
      <c r="D430" s="74"/>
      <c r="E430" s="73"/>
      <c r="F430" s="73"/>
      <c r="G430" s="73"/>
      <c r="H430" s="73"/>
      <c r="I430" s="73"/>
      <c r="J430" s="73"/>
      <c r="K430" s="92"/>
      <c r="L430" s="73"/>
      <c r="M430" s="73"/>
      <c r="N430" s="73"/>
      <c r="O430" s="73"/>
      <c r="P430" s="73"/>
      <c r="Q430" s="75"/>
      <c r="R430" s="82"/>
      <c r="S430" s="73"/>
      <c r="T430" s="73"/>
      <c r="U430" s="73"/>
      <c r="V430" s="73"/>
      <c r="W430" s="73"/>
      <c r="X430" s="73"/>
      <c r="Y430" s="77"/>
      <c r="Z430" s="104"/>
      <c r="AA430" s="73"/>
      <c r="AB430" s="104"/>
      <c r="AC430" s="104"/>
      <c r="AD430" s="74"/>
      <c r="AE430" s="106"/>
      <c r="AF430" s="195"/>
      <c r="AG430" s="80"/>
      <c r="AH430" s="139"/>
      <c r="AI430" s="82"/>
      <c r="AJ430" s="114"/>
      <c r="AK430" s="106"/>
      <c r="AL430" s="74"/>
      <c r="AM430" s="73"/>
      <c r="AN430" s="73"/>
      <c r="AO430" s="102"/>
      <c r="AP430" s="73"/>
      <c r="AQ430" s="104"/>
      <c r="AR430" s="74"/>
      <c r="AS430" s="73"/>
      <c r="AT430" s="104"/>
      <c r="AU430" s="73"/>
      <c r="AV430" s="73"/>
      <c r="AW430" s="114"/>
      <c r="AX430" s="74"/>
      <c r="AY430" s="73"/>
      <c r="AZ430" s="73"/>
      <c r="BA430" s="74"/>
      <c r="BB430" s="73"/>
      <c r="BC430" s="73"/>
      <c r="BD430" s="73"/>
      <c r="BE430" s="73"/>
      <c r="BF430" s="73"/>
      <c r="BG430" s="73"/>
      <c r="BH430" s="73"/>
      <c r="BI430" s="73"/>
      <c r="BJ430" s="73"/>
      <c r="BK430" s="73"/>
      <c r="BL430" s="73"/>
      <c r="BM430" s="73"/>
      <c r="BN430" s="73"/>
      <c r="BO430" s="73"/>
      <c r="BP430" s="73"/>
      <c r="BQ430" s="73"/>
      <c r="BR430" s="73"/>
      <c r="BS430" s="73"/>
      <c r="BT430" s="74"/>
      <c r="BU430" s="73"/>
      <c r="BV430" s="73"/>
      <c r="BW430" s="73"/>
      <c r="BX430" s="73"/>
      <c r="BY430" s="73"/>
      <c r="BZ430" s="73"/>
      <c r="CA430" s="73"/>
      <c r="CB430" s="73"/>
      <c r="CC430" s="73"/>
      <c r="CD430" s="73"/>
      <c r="CE430" s="73"/>
    </row>
    <row r="431">
      <c r="A431" s="73"/>
      <c r="B431" s="73"/>
      <c r="C431" s="73"/>
      <c r="D431" s="74"/>
      <c r="E431" s="73"/>
      <c r="F431" s="73"/>
      <c r="G431" s="73"/>
      <c r="H431" s="73"/>
      <c r="I431" s="73"/>
      <c r="J431" s="73"/>
      <c r="K431" s="92"/>
      <c r="L431" s="73"/>
      <c r="M431" s="73"/>
      <c r="N431" s="73"/>
      <c r="O431" s="73"/>
      <c r="P431" s="73"/>
      <c r="Q431" s="75"/>
      <c r="R431" s="82"/>
      <c r="S431" s="73"/>
      <c r="T431" s="73"/>
      <c r="U431" s="73"/>
      <c r="V431" s="73"/>
      <c r="W431" s="73"/>
      <c r="X431" s="73"/>
      <c r="Y431" s="77"/>
      <c r="Z431" s="104"/>
      <c r="AA431" s="73"/>
      <c r="AB431" s="104"/>
      <c r="AC431" s="104"/>
      <c r="AD431" s="74"/>
      <c r="AE431" s="106"/>
      <c r="AF431" s="195"/>
      <c r="AG431" s="80"/>
      <c r="AH431" s="118"/>
      <c r="AI431" s="82"/>
      <c r="AJ431" s="114"/>
      <c r="AK431" s="106"/>
      <c r="AL431" s="74"/>
      <c r="AM431" s="73"/>
      <c r="AN431" s="73"/>
      <c r="AO431" s="102"/>
      <c r="AP431" s="73"/>
      <c r="AQ431" s="104"/>
      <c r="AR431" s="74"/>
      <c r="AS431" s="73"/>
      <c r="AT431" s="104"/>
      <c r="AU431" s="73"/>
      <c r="AV431" s="73"/>
      <c r="AW431" s="114"/>
      <c r="AX431" s="74"/>
      <c r="AY431" s="73"/>
      <c r="AZ431" s="73"/>
      <c r="BA431" s="74"/>
      <c r="BB431" s="73"/>
      <c r="BC431" s="73"/>
      <c r="BD431" s="73"/>
      <c r="BE431" s="73"/>
      <c r="BF431" s="73"/>
      <c r="BG431" s="73"/>
      <c r="BH431" s="73"/>
      <c r="BI431" s="73"/>
      <c r="BJ431" s="73"/>
      <c r="BK431" s="73"/>
      <c r="BL431" s="73"/>
      <c r="BM431" s="73"/>
      <c r="BN431" s="73"/>
      <c r="BO431" s="73"/>
      <c r="BP431" s="73"/>
      <c r="BQ431" s="73"/>
      <c r="BR431" s="73"/>
      <c r="BS431" s="73"/>
      <c r="BT431" s="74"/>
      <c r="BU431" s="73"/>
      <c r="BV431" s="73"/>
      <c r="BW431" s="73"/>
      <c r="BX431" s="73"/>
      <c r="BY431" s="73"/>
      <c r="BZ431" s="73"/>
      <c r="CA431" s="73"/>
      <c r="CB431" s="73"/>
      <c r="CC431" s="73"/>
      <c r="CD431" s="73"/>
      <c r="CE431" s="73"/>
    </row>
    <row r="432">
      <c r="A432" s="73"/>
      <c r="B432" s="73"/>
      <c r="C432" s="73"/>
      <c r="D432" s="74"/>
      <c r="E432" s="73"/>
      <c r="F432" s="73"/>
      <c r="G432" s="73"/>
      <c r="H432" s="73"/>
      <c r="I432" s="73"/>
      <c r="J432" s="73"/>
      <c r="K432" s="92"/>
      <c r="L432" s="73"/>
      <c r="M432" s="73"/>
      <c r="N432" s="73"/>
      <c r="O432" s="73"/>
      <c r="P432" s="73"/>
      <c r="Q432" s="75"/>
      <c r="R432" s="82"/>
      <c r="S432" s="73"/>
      <c r="T432" s="73"/>
      <c r="U432" s="73"/>
      <c r="V432" s="73"/>
      <c r="W432" s="73"/>
      <c r="X432" s="73"/>
      <c r="Y432" s="77"/>
      <c r="Z432" s="104"/>
      <c r="AA432" s="73"/>
      <c r="AB432" s="104"/>
      <c r="AC432" s="104"/>
      <c r="AD432" s="74"/>
      <c r="AE432" s="106"/>
      <c r="AF432" s="195"/>
      <c r="AG432" s="80"/>
      <c r="AH432" s="118"/>
      <c r="AI432" s="82"/>
      <c r="AJ432" s="114"/>
      <c r="AK432" s="106"/>
      <c r="AL432" s="74"/>
      <c r="AM432" s="73"/>
      <c r="AN432" s="73"/>
      <c r="AO432" s="102"/>
      <c r="AP432" s="73"/>
      <c r="AQ432" s="73"/>
      <c r="AR432" s="74"/>
      <c r="AS432" s="73"/>
      <c r="AT432" s="104"/>
      <c r="AU432" s="73"/>
      <c r="AV432" s="73"/>
      <c r="AW432" s="114"/>
      <c r="AX432" s="74"/>
      <c r="AY432" s="73"/>
      <c r="AZ432" s="73"/>
      <c r="BA432" s="74"/>
      <c r="BB432" s="73"/>
      <c r="BC432" s="73"/>
      <c r="BD432" s="73"/>
      <c r="BE432" s="73"/>
      <c r="BF432" s="73"/>
      <c r="BG432" s="73"/>
      <c r="BH432" s="73"/>
      <c r="BI432" s="73"/>
      <c r="BJ432" s="73"/>
      <c r="BK432" s="73"/>
      <c r="BL432" s="73"/>
      <c r="BM432" s="73"/>
      <c r="BN432" s="73"/>
      <c r="BO432" s="73"/>
      <c r="BP432" s="73"/>
      <c r="BQ432" s="73"/>
      <c r="BR432" s="73"/>
      <c r="BS432" s="73"/>
      <c r="BT432" s="74"/>
      <c r="BU432" s="73"/>
      <c r="BV432" s="73"/>
      <c r="BW432" s="73"/>
      <c r="BX432" s="73"/>
      <c r="BY432" s="73"/>
      <c r="BZ432" s="73"/>
      <c r="CA432" s="73"/>
      <c r="CB432" s="73"/>
      <c r="CC432" s="73"/>
      <c r="CD432" s="73"/>
      <c r="CE432" s="73"/>
    </row>
    <row r="433">
      <c r="A433" s="73"/>
      <c r="B433" s="73"/>
      <c r="C433" s="73"/>
      <c r="D433" s="74"/>
      <c r="E433" s="73"/>
      <c r="F433" s="73"/>
      <c r="G433" s="73"/>
      <c r="H433" s="73"/>
      <c r="I433" s="73"/>
      <c r="J433" s="73"/>
      <c r="K433" s="92"/>
      <c r="L433" s="73"/>
      <c r="M433" s="73"/>
      <c r="N433" s="73"/>
      <c r="O433" s="73"/>
      <c r="P433" s="73"/>
      <c r="Q433" s="75"/>
      <c r="R433" s="82"/>
      <c r="S433" s="73"/>
      <c r="T433" s="73"/>
      <c r="U433" s="73"/>
      <c r="V433" s="73"/>
      <c r="W433" s="73"/>
      <c r="X433" s="73"/>
      <c r="Y433" s="77"/>
      <c r="Z433" s="104"/>
      <c r="AA433" s="73"/>
      <c r="AB433" s="104"/>
      <c r="AC433" s="104"/>
      <c r="AD433" s="74"/>
      <c r="AE433" s="106"/>
      <c r="AF433" s="195"/>
      <c r="AG433" s="80"/>
      <c r="AH433" s="135"/>
      <c r="AI433" s="82"/>
      <c r="AJ433" s="114"/>
      <c r="AK433" s="106"/>
      <c r="AL433" s="74"/>
      <c r="AM433" s="73"/>
      <c r="AN433" s="73"/>
      <c r="AO433" s="102"/>
      <c r="AP433" s="73"/>
      <c r="AQ433" s="73"/>
      <c r="AR433" s="74"/>
      <c r="AS433" s="73"/>
      <c r="AT433" s="104"/>
      <c r="AU433" s="73"/>
      <c r="AV433" s="73"/>
      <c r="AW433" s="114"/>
      <c r="AX433" s="74"/>
      <c r="AY433" s="73"/>
      <c r="AZ433" s="73"/>
      <c r="BA433" s="74"/>
      <c r="BB433" s="73"/>
      <c r="BC433" s="73"/>
      <c r="BD433" s="73"/>
      <c r="BE433" s="73"/>
      <c r="BF433" s="73"/>
      <c r="BG433" s="73"/>
      <c r="BH433" s="73"/>
      <c r="BI433" s="73"/>
      <c r="BJ433" s="73"/>
      <c r="BK433" s="73"/>
      <c r="BL433" s="73"/>
      <c r="BM433" s="73"/>
      <c r="BN433" s="73"/>
      <c r="BO433" s="73"/>
      <c r="BP433" s="73"/>
      <c r="BQ433" s="73"/>
      <c r="BR433" s="73"/>
      <c r="BS433" s="73"/>
      <c r="BT433" s="74"/>
      <c r="BU433" s="73"/>
      <c r="BV433" s="73"/>
      <c r="BW433" s="73"/>
      <c r="BX433" s="73"/>
      <c r="BY433" s="73"/>
      <c r="BZ433" s="73"/>
      <c r="CA433" s="73"/>
      <c r="CB433" s="73"/>
      <c r="CC433" s="73"/>
      <c r="CD433" s="73"/>
      <c r="CE433" s="73"/>
    </row>
    <row r="434">
      <c r="A434" s="73"/>
      <c r="B434" s="73"/>
      <c r="C434" s="73"/>
      <c r="D434" s="74"/>
      <c r="E434" s="73"/>
      <c r="F434" s="73"/>
      <c r="G434" s="73"/>
      <c r="H434" s="73"/>
      <c r="I434" s="73"/>
      <c r="J434" s="73"/>
      <c r="K434" s="92"/>
      <c r="L434" s="73"/>
      <c r="M434" s="73"/>
      <c r="N434" s="73"/>
      <c r="O434" s="73"/>
      <c r="P434" s="73"/>
      <c r="Q434" s="75"/>
      <c r="R434" s="82"/>
      <c r="S434" s="73"/>
      <c r="T434" s="73"/>
      <c r="U434" s="73"/>
      <c r="V434" s="73"/>
      <c r="W434" s="73"/>
      <c r="X434" s="73"/>
      <c r="Y434" s="77"/>
      <c r="Z434" s="104"/>
      <c r="AA434" s="73"/>
      <c r="AB434" s="104"/>
      <c r="AC434" s="104"/>
      <c r="AD434" s="74"/>
      <c r="AE434" s="106"/>
      <c r="AF434" s="195"/>
      <c r="AG434" s="80"/>
      <c r="AH434" s="185"/>
      <c r="AI434" s="82"/>
      <c r="AJ434" s="114"/>
      <c r="AK434" s="106"/>
      <c r="AL434" s="74"/>
      <c r="AM434" s="73"/>
      <c r="AN434" s="73"/>
      <c r="AO434" s="102"/>
      <c r="AP434" s="73"/>
      <c r="AQ434" s="73"/>
      <c r="AR434" s="74"/>
      <c r="AS434" s="73"/>
      <c r="AT434" s="104"/>
      <c r="AU434" s="73"/>
      <c r="AV434" s="73"/>
      <c r="AW434" s="114"/>
      <c r="AX434" s="74"/>
      <c r="AY434" s="73"/>
      <c r="AZ434" s="73"/>
      <c r="BA434" s="74"/>
      <c r="BB434" s="73"/>
      <c r="BC434" s="73"/>
      <c r="BD434" s="73"/>
      <c r="BE434" s="73"/>
      <c r="BF434" s="73"/>
      <c r="BG434" s="73"/>
      <c r="BH434" s="73"/>
      <c r="BI434" s="73"/>
      <c r="BJ434" s="73"/>
      <c r="BK434" s="73"/>
      <c r="BL434" s="73"/>
      <c r="BM434" s="73"/>
      <c r="BN434" s="73"/>
      <c r="BO434" s="73"/>
      <c r="BP434" s="73"/>
      <c r="BQ434" s="73"/>
      <c r="BR434" s="73"/>
      <c r="BS434" s="73"/>
      <c r="BT434" s="74"/>
      <c r="BU434" s="73"/>
      <c r="BV434" s="73"/>
      <c r="BW434" s="73"/>
      <c r="BX434" s="73"/>
      <c r="BY434" s="73"/>
      <c r="BZ434" s="73"/>
      <c r="CA434" s="73"/>
      <c r="CB434" s="73"/>
      <c r="CC434" s="73"/>
      <c r="CD434" s="73"/>
      <c r="CE434" s="73"/>
    </row>
    <row r="435">
      <c r="A435" s="73"/>
      <c r="B435" s="73"/>
      <c r="C435" s="73"/>
      <c r="D435" s="74"/>
      <c r="E435" s="73"/>
      <c r="F435" s="73"/>
      <c r="G435" s="73"/>
      <c r="H435" s="73"/>
      <c r="I435" s="73"/>
      <c r="J435" s="73"/>
      <c r="K435" s="92"/>
      <c r="L435" s="73"/>
      <c r="M435" s="73"/>
      <c r="N435" s="73"/>
      <c r="O435" s="73"/>
      <c r="P435" s="73"/>
      <c r="Q435" s="75"/>
      <c r="R435" s="82"/>
      <c r="S435" s="73"/>
      <c r="T435" s="73"/>
      <c r="U435" s="73"/>
      <c r="V435" s="73"/>
      <c r="W435" s="73"/>
      <c r="X435" s="73"/>
      <c r="Y435" s="77"/>
      <c r="Z435" s="104"/>
      <c r="AA435" s="73"/>
      <c r="AB435" s="104"/>
      <c r="AC435" s="104"/>
      <c r="AD435" s="74"/>
      <c r="AE435" s="106"/>
      <c r="AF435" s="195"/>
      <c r="AG435" s="80"/>
      <c r="AH435" s="104"/>
      <c r="AI435" s="82"/>
      <c r="AJ435" s="114"/>
      <c r="AK435" s="106"/>
      <c r="AL435" s="74"/>
      <c r="AM435" s="73"/>
      <c r="AN435" s="73"/>
      <c r="AO435" s="102"/>
      <c r="AP435" s="73"/>
      <c r="AQ435" s="73"/>
      <c r="AR435" s="74"/>
      <c r="AS435" s="73"/>
      <c r="AT435" s="104"/>
      <c r="AU435" s="73"/>
      <c r="AV435" s="73"/>
      <c r="AW435" s="73"/>
      <c r="AX435" s="74"/>
      <c r="AY435" s="73"/>
      <c r="AZ435" s="73"/>
      <c r="BA435" s="74"/>
      <c r="BB435" s="73"/>
      <c r="BC435" s="73"/>
      <c r="BD435" s="73"/>
      <c r="BE435" s="73"/>
      <c r="BF435" s="73"/>
      <c r="BG435" s="73"/>
      <c r="BH435" s="73"/>
      <c r="BI435" s="73"/>
      <c r="BJ435" s="73"/>
      <c r="BK435" s="73"/>
      <c r="BL435" s="73"/>
      <c r="BM435" s="73"/>
      <c r="BN435" s="73"/>
      <c r="BO435" s="73"/>
      <c r="BP435" s="73"/>
      <c r="BQ435" s="73"/>
      <c r="BR435" s="73"/>
      <c r="BS435" s="73"/>
      <c r="BT435" s="74"/>
      <c r="BU435" s="73"/>
      <c r="BV435" s="73"/>
      <c r="BW435" s="73"/>
      <c r="BX435" s="73"/>
      <c r="BY435" s="73"/>
      <c r="BZ435" s="73"/>
      <c r="CA435" s="73"/>
      <c r="CB435" s="73"/>
      <c r="CC435" s="73"/>
      <c r="CD435" s="73"/>
      <c r="CE435" s="73"/>
    </row>
    <row r="436">
      <c r="A436" s="73"/>
      <c r="B436" s="73"/>
      <c r="C436" s="73"/>
      <c r="D436" s="74"/>
      <c r="E436" s="73"/>
      <c r="F436" s="73"/>
      <c r="G436" s="73"/>
      <c r="H436" s="73"/>
      <c r="I436" s="73"/>
      <c r="J436" s="73"/>
      <c r="K436" s="92"/>
      <c r="L436" s="73"/>
      <c r="M436" s="73"/>
      <c r="N436" s="73"/>
      <c r="O436" s="73"/>
      <c r="P436" s="73"/>
      <c r="Q436" s="75"/>
      <c r="R436" s="82"/>
      <c r="S436" s="73"/>
      <c r="T436" s="73"/>
      <c r="U436" s="73"/>
      <c r="V436" s="73"/>
      <c r="W436" s="73"/>
      <c r="X436" s="73"/>
      <c r="Y436" s="77"/>
      <c r="Z436" s="104"/>
      <c r="AA436" s="73"/>
      <c r="AB436" s="104"/>
      <c r="AC436" s="104"/>
      <c r="AD436" s="74"/>
      <c r="AE436" s="106"/>
      <c r="AF436" s="195"/>
      <c r="AG436" s="80"/>
      <c r="AH436" s="113"/>
      <c r="AI436" s="82"/>
      <c r="AJ436" s="114"/>
      <c r="AK436" s="106"/>
      <c r="AL436" s="74"/>
      <c r="AM436" s="73"/>
      <c r="AN436" s="73"/>
      <c r="AO436" s="102"/>
      <c r="AP436" s="73"/>
      <c r="AQ436" s="73"/>
      <c r="AR436" s="74"/>
      <c r="AS436" s="73"/>
      <c r="AT436" s="104"/>
      <c r="AU436" s="73"/>
      <c r="AV436" s="73"/>
      <c r="AW436" s="153"/>
      <c r="AX436" s="74"/>
      <c r="AY436" s="73"/>
      <c r="AZ436" s="73"/>
      <c r="BA436" s="74"/>
      <c r="BB436" s="73"/>
      <c r="BC436" s="73"/>
      <c r="BD436" s="73"/>
      <c r="BE436" s="73"/>
      <c r="BF436" s="73"/>
      <c r="BG436" s="73"/>
      <c r="BH436" s="73"/>
      <c r="BI436" s="73"/>
      <c r="BJ436" s="73"/>
      <c r="BK436" s="73"/>
      <c r="BL436" s="73"/>
      <c r="BM436" s="73"/>
      <c r="BN436" s="73"/>
      <c r="BO436" s="73"/>
      <c r="BP436" s="73"/>
      <c r="BQ436" s="73"/>
      <c r="BR436" s="73"/>
      <c r="BS436" s="73"/>
      <c r="BT436" s="74"/>
      <c r="BU436" s="73"/>
      <c r="BV436" s="73"/>
      <c r="BW436" s="73"/>
      <c r="BX436" s="73"/>
      <c r="BY436" s="73"/>
      <c r="BZ436" s="73"/>
      <c r="CA436" s="73"/>
      <c r="CB436" s="73"/>
      <c r="CC436" s="73"/>
      <c r="CD436" s="73"/>
      <c r="CE436" s="73"/>
    </row>
    <row r="437">
      <c r="A437" s="73"/>
      <c r="B437" s="73"/>
      <c r="C437" s="73"/>
      <c r="D437" s="74"/>
      <c r="E437" s="73"/>
      <c r="F437" s="73"/>
      <c r="G437" s="73"/>
      <c r="H437" s="73"/>
      <c r="I437" s="73"/>
      <c r="J437" s="73"/>
      <c r="K437" s="92"/>
      <c r="L437" s="73"/>
      <c r="M437" s="73"/>
      <c r="N437" s="73"/>
      <c r="O437" s="73"/>
      <c r="P437" s="73"/>
      <c r="Q437" s="75"/>
      <c r="R437" s="82"/>
      <c r="S437" s="73"/>
      <c r="T437" s="73"/>
      <c r="U437" s="73"/>
      <c r="V437" s="73"/>
      <c r="W437" s="73"/>
      <c r="X437" s="73"/>
      <c r="Y437" s="77"/>
      <c r="Z437" s="104"/>
      <c r="AA437" s="73"/>
      <c r="AB437" s="104"/>
      <c r="AC437" s="104"/>
      <c r="AD437" s="74"/>
      <c r="AE437" s="106"/>
      <c r="AF437" s="195"/>
      <c r="AG437" s="80"/>
      <c r="AH437" s="114"/>
      <c r="AI437" s="82"/>
      <c r="AJ437" s="114"/>
      <c r="AK437" s="106"/>
      <c r="AL437" s="74"/>
      <c r="AM437" s="73"/>
      <c r="AN437" s="73"/>
      <c r="AO437" s="102"/>
      <c r="AP437" s="73"/>
      <c r="AQ437" s="73"/>
      <c r="AR437" s="74"/>
      <c r="AS437" s="73"/>
      <c r="AT437" s="104"/>
      <c r="AU437" s="73"/>
      <c r="AV437" s="73"/>
      <c r="AW437" s="114"/>
      <c r="AX437" s="74"/>
      <c r="AY437" s="73"/>
      <c r="AZ437" s="73"/>
      <c r="BA437" s="74"/>
      <c r="BB437" s="73"/>
      <c r="BC437" s="73"/>
      <c r="BD437" s="73"/>
      <c r="BE437" s="73"/>
      <c r="BF437" s="73"/>
      <c r="BG437" s="73"/>
      <c r="BH437" s="73"/>
      <c r="BI437" s="73"/>
      <c r="BJ437" s="73"/>
      <c r="BK437" s="73"/>
      <c r="BL437" s="73"/>
      <c r="BM437" s="73"/>
      <c r="BN437" s="73"/>
      <c r="BO437" s="73"/>
      <c r="BP437" s="73"/>
      <c r="BQ437" s="73"/>
      <c r="BR437" s="73"/>
      <c r="BS437" s="73"/>
      <c r="BT437" s="74"/>
      <c r="BU437" s="73"/>
      <c r="BV437" s="73"/>
      <c r="BW437" s="73"/>
      <c r="BX437" s="73"/>
      <c r="BY437" s="73"/>
      <c r="BZ437" s="73"/>
      <c r="CA437" s="73"/>
      <c r="CB437" s="73"/>
      <c r="CC437" s="73"/>
      <c r="CD437" s="73"/>
      <c r="CE437" s="73"/>
    </row>
    <row r="438">
      <c r="A438" s="73"/>
      <c r="B438" s="73"/>
      <c r="C438" s="73"/>
      <c r="D438" s="74"/>
      <c r="E438" s="73"/>
      <c r="F438" s="73"/>
      <c r="G438" s="73"/>
      <c r="H438" s="73"/>
      <c r="I438" s="73"/>
      <c r="J438" s="73"/>
      <c r="K438" s="92"/>
      <c r="L438" s="73"/>
      <c r="M438" s="73"/>
      <c r="N438" s="73"/>
      <c r="O438" s="73"/>
      <c r="P438" s="73"/>
      <c r="Q438" s="75"/>
      <c r="R438" s="82"/>
      <c r="S438" s="73"/>
      <c r="T438" s="73"/>
      <c r="U438" s="73"/>
      <c r="V438" s="73"/>
      <c r="W438" s="73"/>
      <c r="X438" s="73"/>
      <c r="Y438" s="77"/>
      <c r="Z438" s="104"/>
      <c r="AA438" s="73"/>
      <c r="AB438" s="104"/>
      <c r="AC438" s="104"/>
      <c r="AD438" s="74"/>
      <c r="AE438" s="106"/>
      <c r="AF438" s="195"/>
      <c r="AG438" s="80"/>
      <c r="AH438" s="104"/>
      <c r="AI438" s="73"/>
      <c r="AJ438" s="114"/>
      <c r="AK438" s="106"/>
      <c r="AL438" s="74"/>
      <c r="AM438" s="73"/>
      <c r="AN438" s="73"/>
      <c r="AO438" s="102"/>
      <c r="AP438" s="73"/>
      <c r="AQ438" s="73"/>
      <c r="AR438" s="74"/>
      <c r="AS438" s="73"/>
      <c r="AT438" s="73"/>
      <c r="AU438" s="73"/>
      <c r="AV438" s="73"/>
      <c r="AW438" s="153"/>
      <c r="AX438" s="74"/>
      <c r="AY438" s="73"/>
      <c r="AZ438" s="73"/>
      <c r="BA438" s="74"/>
      <c r="BB438" s="73"/>
      <c r="BC438" s="73"/>
      <c r="BD438" s="73"/>
      <c r="BE438" s="73"/>
      <c r="BF438" s="73"/>
      <c r="BG438" s="73"/>
      <c r="BH438" s="73"/>
      <c r="BI438" s="73"/>
      <c r="BJ438" s="73"/>
      <c r="BK438" s="73"/>
      <c r="BL438" s="73"/>
      <c r="BM438" s="73"/>
      <c r="BN438" s="73"/>
      <c r="BO438" s="73"/>
      <c r="BP438" s="73"/>
      <c r="BQ438" s="73"/>
      <c r="BR438" s="73"/>
      <c r="BS438" s="73"/>
      <c r="BT438" s="74"/>
      <c r="BU438" s="73"/>
      <c r="BV438" s="73"/>
      <c r="BW438" s="73"/>
      <c r="BX438" s="73"/>
      <c r="BY438" s="73"/>
      <c r="BZ438" s="73"/>
      <c r="CA438" s="73"/>
      <c r="CB438" s="73"/>
      <c r="CC438" s="73"/>
      <c r="CD438" s="73"/>
      <c r="CE438" s="73"/>
    </row>
    <row r="439">
      <c r="A439" s="73"/>
      <c r="B439" s="73"/>
      <c r="C439" s="73"/>
      <c r="D439" s="74"/>
      <c r="E439" s="73"/>
      <c r="F439" s="73"/>
      <c r="G439" s="73"/>
      <c r="H439" s="73"/>
      <c r="I439" s="73"/>
      <c r="J439" s="73"/>
      <c r="K439" s="92"/>
      <c r="L439" s="73"/>
      <c r="M439" s="73"/>
      <c r="N439" s="73"/>
      <c r="O439" s="73"/>
      <c r="P439" s="73"/>
      <c r="Q439" s="75"/>
      <c r="R439" s="82"/>
      <c r="S439" s="73"/>
      <c r="T439" s="73"/>
      <c r="U439" s="73"/>
      <c r="V439" s="73"/>
      <c r="W439" s="73"/>
      <c r="X439" s="73"/>
      <c r="Y439" s="77"/>
      <c r="Z439" s="104"/>
      <c r="AA439" s="73"/>
      <c r="AB439" s="104"/>
      <c r="AC439" s="104"/>
      <c r="AD439" s="74"/>
      <c r="AE439" s="106"/>
      <c r="AF439" s="195"/>
      <c r="AG439" s="80"/>
      <c r="AH439" s="104"/>
      <c r="AI439" s="73"/>
      <c r="AJ439" s="114"/>
      <c r="AK439" s="106"/>
      <c r="AL439" s="74"/>
      <c r="AM439" s="73"/>
      <c r="AN439" s="73"/>
      <c r="AO439" s="102"/>
      <c r="AP439" s="73"/>
      <c r="AQ439" s="73"/>
      <c r="AR439" s="74"/>
      <c r="AS439" s="73"/>
      <c r="AT439" s="73"/>
      <c r="AU439" s="73"/>
      <c r="AV439" s="73"/>
      <c r="AW439" s="73"/>
      <c r="AX439" s="74"/>
      <c r="AY439" s="73"/>
      <c r="AZ439" s="73"/>
      <c r="BA439" s="74"/>
      <c r="BB439" s="73"/>
      <c r="BC439" s="73"/>
      <c r="BD439" s="73"/>
      <c r="BE439" s="73"/>
      <c r="BF439" s="73"/>
      <c r="BG439" s="73"/>
      <c r="BH439" s="73"/>
      <c r="BI439" s="73"/>
      <c r="BJ439" s="73"/>
      <c r="BK439" s="73"/>
      <c r="BL439" s="73"/>
      <c r="BM439" s="73"/>
      <c r="BN439" s="73"/>
      <c r="BO439" s="73"/>
      <c r="BP439" s="73"/>
      <c r="BQ439" s="73"/>
      <c r="BR439" s="73"/>
      <c r="BS439" s="73"/>
      <c r="BT439" s="74"/>
      <c r="BU439" s="73"/>
      <c r="BV439" s="73"/>
      <c r="BW439" s="73"/>
      <c r="BX439" s="73"/>
      <c r="BY439" s="73"/>
      <c r="BZ439" s="73"/>
      <c r="CA439" s="73"/>
      <c r="CB439" s="73"/>
      <c r="CC439" s="73"/>
      <c r="CD439" s="73"/>
      <c r="CE439" s="73"/>
    </row>
    <row r="440">
      <c r="A440" s="73"/>
      <c r="B440" s="73"/>
      <c r="C440" s="73"/>
      <c r="D440" s="74"/>
      <c r="E440" s="73"/>
      <c r="F440" s="73"/>
      <c r="G440" s="73"/>
      <c r="H440" s="73"/>
      <c r="I440" s="73"/>
      <c r="J440" s="73"/>
      <c r="K440" s="92"/>
      <c r="L440" s="73"/>
      <c r="M440" s="73"/>
      <c r="N440" s="73"/>
      <c r="O440" s="73"/>
      <c r="P440" s="73"/>
      <c r="Q440" s="75"/>
      <c r="R440" s="82"/>
      <c r="S440" s="73"/>
      <c r="T440" s="73"/>
      <c r="U440" s="73"/>
      <c r="V440" s="73"/>
      <c r="W440" s="73"/>
      <c r="X440" s="73"/>
      <c r="Y440" s="77"/>
      <c r="Z440" s="104"/>
      <c r="AA440" s="73"/>
      <c r="AB440" s="104"/>
      <c r="AC440" s="104"/>
      <c r="AD440" s="74"/>
      <c r="AE440" s="106"/>
      <c r="AF440" s="195"/>
      <c r="AG440" s="80"/>
      <c r="AH440" s="104"/>
      <c r="AI440" s="73"/>
      <c r="AJ440" s="114"/>
      <c r="AK440" s="106"/>
      <c r="AL440" s="74"/>
      <c r="AM440" s="73"/>
      <c r="AN440" s="73"/>
      <c r="AO440" s="102"/>
      <c r="AP440" s="73"/>
      <c r="AQ440" s="73"/>
      <c r="AR440" s="74"/>
      <c r="AS440" s="73"/>
      <c r="AT440" s="73"/>
      <c r="AU440" s="73"/>
      <c r="AV440" s="73"/>
      <c r="AW440" s="114"/>
      <c r="AX440" s="74"/>
      <c r="AY440" s="73"/>
      <c r="AZ440" s="73"/>
      <c r="BA440" s="74"/>
      <c r="BB440" s="73"/>
      <c r="BC440" s="73"/>
      <c r="BD440" s="73"/>
      <c r="BE440" s="73"/>
      <c r="BF440" s="73"/>
      <c r="BG440" s="73"/>
      <c r="BH440" s="73"/>
      <c r="BI440" s="73"/>
      <c r="BJ440" s="73"/>
      <c r="BK440" s="73"/>
      <c r="BL440" s="73"/>
      <c r="BM440" s="73"/>
      <c r="BN440" s="73"/>
      <c r="BO440" s="73"/>
      <c r="BP440" s="73"/>
      <c r="BQ440" s="73"/>
      <c r="BR440" s="73"/>
      <c r="BS440" s="73"/>
      <c r="BT440" s="74"/>
      <c r="BU440" s="73"/>
      <c r="BV440" s="73"/>
      <c r="BW440" s="73"/>
      <c r="BX440" s="73"/>
      <c r="BY440" s="73"/>
      <c r="BZ440" s="73"/>
      <c r="CA440" s="73"/>
      <c r="CB440" s="73"/>
      <c r="CC440" s="73"/>
      <c r="CD440" s="73"/>
      <c r="CE440" s="73"/>
    </row>
    <row r="441">
      <c r="A441" s="73"/>
      <c r="B441" s="73"/>
      <c r="C441" s="73"/>
      <c r="D441" s="74"/>
      <c r="E441" s="73"/>
      <c r="F441" s="73"/>
      <c r="G441" s="73"/>
      <c r="H441" s="73"/>
      <c r="I441" s="73"/>
      <c r="J441" s="73"/>
      <c r="K441" s="92"/>
      <c r="L441" s="73"/>
      <c r="M441" s="73"/>
      <c r="N441" s="73"/>
      <c r="O441" s="73"/>
      <c r="P441" s="73"/>
      <c r="Q441" s="75"/>
      <c r="R441" s="82"/>
      <c r="S441" s="73"/>
      <c r="T441" s="73"/>
      <c r="U441" s="73"/>
      <c r="V441" s="73"/>
      <c r="W441" s="73"/>
      <c r="X441" s="73"/>
      <c r="Y441" s="77"/>
      <c r="Z441" s="104"/>
      <c r="AA441" s="73"/>
      <c r="AB441" s="104"/>
      <c r="AC441" s="104"/>
      <c r="AD441" s="74"/>
      <c r="AE441" s="106"/>
      <c r="AF441" s="195"/>
      <c r="AG441" s="80"/>
      <c r="AH441" s="104"/>
      <c r="AI441" s="73"/>
      <c r="AJ441" s="114"/>
      <c r="AK441" s="106"/>
      <c r="AL441" s="74"/>
      <c r="AM441" s="73"/>
      <c r="AN441" s="73"/>
      <c r="AO441" s="102"/>
      <c r="AP441" s="73"/>
      <c r="AQ441" s="73"/>
      <c r="AR441" s="74"/>
      <c r="AS441" s="73"/>
      <c r="AT441" s="73"/>
      <c r="AU441" s="73"/>
      <c r="AV441" s="73"/>
      <c r="AW441" s="114"/>
      <c r="AX441" s="74"/>
      <c r="AY441" s="73"/>
      <c r="AZ441" s="73"/>
      <c r="BA441" s="74"/>
      <c r="BB441" s="73"/>
      <c r="BC441" s="73"/>
      <c r="BD441" s="73"/>
      <c r="BE441" s="73"/>
      <c r="BF441" s="73"/>
      <c r="BG441" s="73"/>
      <c r="BH441" s="73"/>
      <c r="BI441" s="73"/>
      <c r="BJ441" s="73"/>
      <c r="BK441" s="73"/>
      <c r="BL441" s="73"/>
      <c r="BM441" s="73"/>
      <c r="BN441" s="73"/>
      <c r="BO441" s="73"/>
      <c r="BP441" s="73"/>
      <c r="BQ441" s="73"/>
      <c r="BR441" s="73"/>
      <c r="BS441" s="73"/>
      <c r="BT441" s="74"/>
      <c r="BU441" s="73"/>
      <c r="BV441" s="73"/>
      <c r="BW441" s="73"/>
      <c r="BX441" s="73"/>
      <c r="BY441" s="73"/>
      <c r="BZ441" s="73"/>
      <c r="CA441" s="73"/>
      <c r="CB441" s="73"/>
      <c r="CC441" s="73"/>
      <c r="CD441" s="73"/>
      <c r="CE441" s="73"/>
    </row>
    <row r="442">
      <c r="A442" s="73"/>
      <c r="B442" s="73"/>
      <c r="C442" s="73"/>
      <c r="D442" s="74"/>
      <c r="E442" s="73"/>
      <c r="F442" s="73"/>
      <c r="G442" s="73"/>
      <c r="H442" s="73"/>
      <c r="I442" s="73"/>
      <c r="J442" s="73"/>
      <c r="K442" s="92"/>
      <c r="L442" s="73"/>
      <c r="M442" s="73"/>
      <c r="N442" s="73"/>
      <c r="O442" s="73"/>
      <c r="P442" s="73"/>
      <c r="Q442" s="75"/>
      <c r="R442" s="82"/>
      <c r="S442" s="73"/>
      <c r="T442" s="73"/>
      <c r="U442" s="73"/>
      <c r="V442" s="73"/>
      <c r="W442" s="73"/>
      <c r="X442" s="73"/>
      <c r="Y442" s="77"/>
      <c r="Z442" s="104"/>
      <c r="AA442" s="73"/>
      <c r="AB442" s="104"/>
      <c r="AC442" s="104"/>
      <c r="AD442" s="74"/>
      <c r="AE442" s="106"/>
      <c r="AF442" s="195"/>
      <c r="AG442" s="80"/>
      <c r="AH442" s="104"/>
      <c r="AI442" s="73"/>
      <c r="AJ442" s="114"/>
      <c r="AK442" s="106"/>
      <c r="AL442" s="74"/>
      <c r="AM442" s="73"/>
      <c r="AN442" s="73"/>
      <c r="AO442" s="102"/>
      <c r="AP442" s="73"/>
      <c r="AQ442" s="73"/>
      <c r="AR442" s="74"/>
      <c r="AS442" s="73"/>
      <c r="AT442" s="73"/>
      <c r="AU442" s="73"/>
      <c r="AV442" s="73"/>
      <c r="AW442" s="114"/>
      <c r="AX442" s="74"/>
      <c r="AY442" s="73"/>
      <c r="AZ442" s="73"/>
      <c r="BA442" s="74"/>
      <c r="BB442" s="73"/>
      <c r="BC442" s="73"/>
      <c r="BD442" s="73"/>
      <c r="BE442" s="73"/>
      <c r="BF442" s="73"/>
      <c r="BG442" s="73"/>
      <c r="BH442" s="73"/>
      <c r="BI442" s="73"/>
      <c r="BJ442" s="73"/>
      <c r="BK442" s="73"/>
      <c r="BL442" s="73"/>
      <c r="BM442" s="73"/>
      <c r="BN442" s="73"/>
      <c r="BO442" s="73"/>
      <c r="BP442" s="73"/>
      <c r="BQ442" s="73"/>
      <c r="BR442" s="73"/>
      <c r="BS442" s="73"/>
      <c r="BT442" s="74"/>
      <c r="BU442" s="73"/>
      <c r="BV442" s="73"/>
      <c r="BW442" s="73"/>
      <c r="BX442" s="73"/>
      <c r="BY442" s="73"/>
      <c r="BZ442" s="73"/>
      <c r="CA442" s="73"/>
      <c r="CB442" s="73"/>
      <c r="CC442" s="73"/>
      <c r="CD442" s="73"/>
      <c r="CE442" s="73"/>
    </row>
    <row r="443">
      <c r="A443" s="73"/>
      <c r="B443" s="73"/>
      <c r="C443" s="73"/>
      <c r="D443" s="74"/>
      <c r="E443" s="73"/>
      <c r="F443" s="73"/>
      <c r="G443" s="73"/>
      <c r="H443" s="73"/>
      <c r="I443" s="73"/>
      <c r="J443" s="73"/>
      <c r="K443" s="92"/>
      <c r="L443" s="73"/>
      <c r="M443" s="73"/>
      <c r="N443" s="73"/>
      <c r="O443" s="73"/>
      <c r="P443" s="73"/>
      <c r="Q443" s="75"/>
      <c r="R443" s="82"/>
      <c r="S443" s="73"/>
      <c r="T443" s="73"/>
      <c r="U443" s="73"/>
      <c r="V443" s="73"/>
      <c r="W443" s="73"/>
      <c r="X443" s="73"/>
      <c r="Y443" s="77"/>
      <c r="Z443" s="104"/>
      <c r="AA443" s="73"/>
      <c r="AB443" s="104"/>
      <c r="AC443" s="104"/>
      <c r="AD443" s="74"/>
      <c r="AE443" s="106"/>
      <c r="AF443" s="195"/>
      <c r="AG443" s="80"/>
      <c r="AH443" s="104"/>
      <c r="AI443" s="73"/>
      <c r="AJ443" s="114"/>
      <c r="AK443" s="106"/>
      <c r="AL443" s="74"/>
      <c r="AM443" s="73"/>
      <c r="AN443" s="73"/>
      <c r="AO443" s="102"/>
      <c r="AP443" s="73"/>
      <c r="AQ443" s="73"/>
      <c r="AR443" s="74"/>
      <c r="AS443" s="73"/>
      <c r="AT443" s="73"/>
      <c r="AU443" s="73"/>
      <c r="AV443" s="73"/>
      <c r="AW443" s="114"/>
      <c r="AX443" s="74"/>
      <c r="AY443" s="73"/>
      <c r="AZ443" s="73"/>
      <c r="BA443" s="74"/>
      <c r="BB443" s="73"/>
      <c r="BC443" s="73"/>
      <c r="BD443" s="73"/>
      <c r="BE443" s="73"/>
      <c r="BF443" s="73"/>
      <c r="BG443" s="73"/>
      <c r="BH443" s="73"/>
      <c r="BI443" s="73"/>
      <c r="BJ443" s="73"/>
      <c r="BK443" s="73"/>
      <c r="BL443" s="73"/>
      <c r="BM443" s="73"/>
      <c r="BN443" s="73"/>
      <c r="BO443" s="73"/>
      <c r="BP443" s="73"/>
      <c r="BQ443" s="73"/>
      <c r="BR443" s="73"/>
      <c r="BS443" s="73"/>
      <c r="BT443" s="74"/>
      <c r="BU443" s="73"/>
      <c r="BV443" s="73"/>
      <c r="BW443" s="73"/>
      <c r="BX443" s="73"/>
      <c r="BY443" s="73"/>
      <c r="BZ443" s="73"/>
      <c r="CA443" s="73"/>
      <c r="CB443" s="73"/>
      <c r="CC443" s="73"/>
      <c r="CD443" s="73"/>
      <c r="CE443" s="73"/>
    </row>
    <row r="444">
      <c r="A444" s="73"/>
      <c r="B444" s="73"/>
      <c r="C444" s="73"/>
      <c r="D444" s="74"/>
      <c r="E444" s="73"/>
      <c r="F444" s="73"/>
      <c r="G444" s="73"/>
      <c r="H444" s="73"/>
      <c r="I444" s="73"/>
      <c r="J444" s="73"/>
      <c r="K444" s="92"/>
      <c r="L444" s="73"/>
      <c r="M444" s="73"/>
      <c r="N444" s="73"/>
      <c r="O444" s="73"/>
      <c r="P444" s="73"/>
      <c r="Q444" s="75"/>
      <c r="R444" s="82"/>
      <c r="S444" s="73"/>
      <c r="T444" s="73"/>
      <c r="U444" s="73"/>
      <c r="V444" s="73"/>
      <c r="W444" s="73"/>
      <c r="X444" s="73"/>
      <c r="Y444" s="77"/>
      <c r="Z444" s="104"/>
      <c r="AA444" s="73"/>
      <c r="AB444" s="104"/>
      <c r="AC444" s="104"/>
      <c r="AD444" s="74"/>
      <c r="AE444" s="106"/>
      <c r="AF444" s="195"/>
      <c r="AG444" s="80"/>
      <c r="AH444" s="104"/>
      <c r="AI444" s="73"/>
      <c r="AJ444" s="114"/>
      <c r="AK444" s="106"/>
      <c r="AL444" s="74"/>
      <c r="AM444" s="73"/>
      <c r="AN444" s="73"/>
      <c r="AO444" s="102"/>
      <c r="AP444" s="73"/>
      <c r="AQ444" s="73"/>
      <c r="AR444" s="74"/>
      <c r="AS444" s="73"/>
      <c r="AT444" s="73"/>
      <c r="AU444" s="73"/>
      <c r="AV444" s="73"/>
      <c r="AW444" s="114"/>
      <c r="AX444" s="74"/>
      <c r="AY444" s="73"/>
      <c r="AZ444" s="73"/>
      <c r="BA444" s="74"/>
      <c r="BB444" s="73"/>
      <c r="BC444" s="73"/>
      <c r="BD444" s="73"/>
      <c r="BE444" s="73"/>
      <c r="BF444" s="73"/>
      <c r="BG444" s="73"/>
      <c r="BH444" s="73"/>
      <c r="BI444" s="73"/>
      <c r="BJ444" s="73"/>
      <c r="BK444" s="73"/>
      <c r="BL444" s="73"/>
      <c r="BM444" s="73"/>
      <c r="BN444" s="73"/>
      <c r="BO444" s="73"/>
      <c r="BP444" s="73"/>
      <c r="BQ444" s="73"/>
      <c r="BR444" s="73"/>
      <c r="BS444" s="73"/>
      <c r="BT444" s="74"/>
      <c r="BU444" s="73"/>
      <c r="BV444" s="73"/>
      <c r="BW444" s="73"/>
      <c r="BX444" s="73"/>
      <c r="BY444" s="73"/>
      <c r="BZ444" s="73"/>
      <c r="CA444" s="73"/>
      <c r="CB444" s="73"/>
      <c r="CC444" s="73"/>
      <c r="CD444" s="73"/>
      <c r="CE444" s="73"/>
    </row>
    <row r="445">
      <c r="A445" s="73"/>
      <c r="B445" s="73"/>
      <c r="C445" s="73"/>
      <c r="D445" s="74"/>
      <c r="E445" s="73"/>
      <c r="F445" s="73"/>
      <c r="G445" s="73"/>
      <c r="H445" s="73"/>
      <c r="I445" s="73"/>
      <c r="J445" s="73"/>
      <c r="K445" s="92"/>
      <c r="L445" s="73"/>
      <c r="M445" s="73"/>
      <c r="N445" s="73"/>
      <c r="O445" s="73"/>
      <c r="P445" s="73"/>
      <c r="Q445" s="75"/>
      <c r="R445" s="82"/>
      <c r="S445" s="73"/>
      <c r="T445" s="73"/>
      <c r="U445" s="73"/>
      <c r="V445" s="73"/>
      <c r="W445" s="73"/>
      <c r="X445" s="73"/>
      <c r="Y445" s="77"/>
      <c r="Z445" s="104"/>
      <c r="AA445" s="73"/>
      <c r="AB445" s="104"/>
      <c r="AC445" s="104"/>
      <c r="AD445" s="74"/>
      <c r="AE445" s="106"/>
      <c r="AF445" s="195"/>
      <c r="AG445" s="80"/>
      <c r="AH445" s="104"/>
      <c r="AI445" s="73"/>
      <c r="AJ445" s="114"/>
      <c r="AK445" s="106"/>
      <c r="AL445" s="74"/>
      <c r="AM445" s="73"/>
      <c r="AN445" s="73"/>
      <c r="AO445" s="102"/>
      <c r="AP445" s="73"/>
      <c r="AQ445" s="73"/>
      <c r="AR445" s="74"/>
      <c r="AS445" s="73"/>
      <c r="AT445" s="73"/>
      <c r="AU445" s="73"/>
      <c r="AV445" s="73"/>
      <c r="AW445" s="114"/>
      <c r="AX445" s="74"/>
      <c r="AY445" s="73"/>
      <c r="AZ445" s="73"/>
      <c r="BA445" s="74"/>
      <c r="BB445" s="73"/>
      <c r="BC445" s="73"/>
      <c r="BD445" s="73"/>
      <c r="BE445" s="73"/>
      <c r="BF445" s="73"/>
      <c r="BG445" s="73"/>
      <c r="BH445" s="73"/>
      <c r="BI445" s="73"/>
      <c r="BJ445" s="73"/>
      <c r="BK445" s="73"/>
      <c r="BL445" s="73"/>
      <c r="BM445" s="73"/>
      <c r="BN445" s="73"/>
      <c r="BO445" s="73"/>
      <c r="BP445" s="73"/>
      <c r="BQ445" s="73"/>
      <c r="BR445" s="73"/>
      <c r="BS445" s="73"/>
      <c r="BT445" s="74"/>
      <c r="BU445" s="73"/>
      <c r="BV445" s="73"/>
      <c r="BW445" s="73"/>
      <c r="BX445" s="73"/>
      <c r="BY445" s="73"/>
      <c r="BZ445" s="73"/>
      <c r="CA445" s="73"/>
      <c r="CB445" s="73"/>
      <c r="CC445" s="73"/>
      <c r="CD445" s="73"/>
      <c r="CE445" s="73"/>
    </row>
    <row r="446">
      <c r="A446" s="73"/>
      <c r="B446" s="73"/>
      <c r="C446" s="73"/>
      <c r="D446" s="74"/>
      <c r="E446" s="73"/>
      <c r="F446" s="73"/>
      <c r="G446" s="73"/>
      <c r="H446" s="73"/>
      <c r="I446" s="73"/>
      <c r="J446" s="73"/>
      <c r="K446" s="92"/>
      <c r="L446" s="73"/>
      <c r="M446" s="73"/>
      <c r="N446" s="73"/>
      <c r="O446" s="73"/>
      <c r="P446" s="73"/>
      <c r="Q446" s="75"/>
      <c r="R446" s="82"/>
      <c r="S446" s="73"/>
      <c r="T446" s="73"/>
      <c r="U446" s="73"/>
      <c r="V446" s="73"/>
      <c r="W446" s="73"/>
      <c r="X446" s="73"/>
      <c r="Y446" s="77"/>
      <c r="Z446" s="104"/>
      <c r="AA446" s="73"/>
      <c r="AB446" s="104"/>
      <c r="AC446" s="104"/>
      <c r="AD446" s="74"/>
      <c r="AE446" s="106"/>
      <c r="AF446" s="195"/>
      <c r="AG446" s="80"/>
      <c r="AH446" s="104"/>
      <c r="AI446" s="73"/>
      <c r="AJ446" s="114"/>
      <c r="AK446" s="106"/>
      <c r="AL446" s="74"/>
      <c r="AM446" s="73"/>
      <c r="AN446" s="73"/>
      <c r="AO446" s="102"/>
      <c r="AP446" s="73"/>
      <c r="AQ446" s="73"/>
      <c r="AR446" s="74"/>
      <c r="AS446" s="73"/>
      <c r="AT446" s="73"/>
      <c r="AU446" s="73"/>
      <c r="AV446" s="73"/>
      <c r="AW446" s="114"/>
      <c r="AX446" s="74"/>
      <c r="AY446" s="73"/>
      <c r="AZ446" s="73"/>
      <c r="BA446" s="74"/>
      <c r="BB446" s="73"/>
      <c r="BC446" s="73"/>
      <c r="BD446" s="73"/>
      <c r="BE446" s="73"/>
      <c r="BF446" s="73"/>
      <c r="BG446" s="73"/>
      <c r="BH446" s="73"/>
      <c r="BI446" s="73"/>
      <c r="BJ446" s="73"/>
      <c r="BK446" s="73"/>
      <c r="BL446" s="73"/>
      <c r="BM446" s="73"/>
      <c r="BN446" s="73"/>
      <c r="BO446" s="73"/>
      <c r="BP446" s="73"/>
      <c r="BQ446" s="73"/>
      <c r="BR446" s="73"/>
      <c r="BS446" s="73"/>
      <c r="BT446" s="74"/>
      <c r="BU446" s="73"/>
      <c r="BV446" s="73"/>
      <c r="BW446" s="73"/>
      <c r="BX446" s="73"/>
      <c r="BY446" s="73"/>
      <c r="BZ446" s="73"/>
      <c r="CA446" s="73"/>
      <c r="CB446" s="73"/>
      <c r="CC446" s="73"/>
      <c r="CD446" s="73"/>
      <c r="CE446" s="73"/>
    </row>
    <row r="447">
      <c r="A447" s="73"/>
      <c r="B447" s="73"/>
      <c r="C447" s="73"/>
      <c r="D447" s="74"/>
      <c r="E447" s="73"/>
      <c r="F447" s="73"/>
      <c r="G447" s="73"/>
      <c r="H447" s="73"/>
      <c r="I447" s="73"/>
      <c r="J447" s="73"/>
      <c r="K447" s="92"/>
      <c r="L447" s="73"/>
      <c r="M447" s="73"/>
      <c r="N447" s="73"/>
      <c r="O447" s="73"/>
      <c r="P447" s="73"/>
      <c r="Q447" s="75"/>
      <c r="R447" s="82"/>
      <c r="S447" s="73"/>
      <c r="T447" s="73"/>
      <c r="U447" s="73"/>
      <c r="V447" s="73"/>
      <c r="W447" s="73"/>
      <c r="X447" s="73"/>
      <c r="Y447" s="77"/>
      <c r="Z447" s="104"/>
      <c r="AA447" s="73"/>
      <c r="AB447" s="104"/>
      <c r="AC447" s="104"/>
      <c r="AD447" s="74"/>
      <c r="AE447" s="106"/>
      <c r="AF447" s="195"/>
      <c r="AG447" s="80"/>
      <c r="AH447" s="104"/>
      <c r="AI447" s="73"/>
      <c r="AJ447" s="114"/>
      <c r="AK447" s="106"/>
      <c r="AL447" s="74"/>
      <c r="AM447" s="73"/>
      <c r="AN447" s="73"/>
      <c r="AO447" s="102"/>
      <c r="AP447" s="73"/>
      <c r="AQ447" s="73"/>
      <c r="AR447" s="74"/>
      <c r="AS447" s="73"/>
      <c r="AT447" s="73"/>
      <c r="AU447" s="73"/>
      <c r="AV447" s="73"/>
      <c r="AW447" s="114"/>
      <c r="AX447" s="74"/>
      <c r="AY447" s="73"/>
      <c r="AZ447" s="73"/>
      <c r="BA447" s="74"/>
      <c r="BB447" s="73"/>
      <c r="BC447" s="73"/>
      <c r="BD447" s="73"/>
      <c r="BE447" s="73"/>
      <c r="BF447" s="73"/>
      <c r="BG447" s="73"/>
      <c r="BH447" s="73"/>
      <c r="BI447" s="73"/>
      <c r="BJ447" s="73"/>
      <c r="BK447" s="73"/>
      <c r="BL447" s="73"/>
      <c r="BM447" s="73"/>
      <c r="BN447" s="73"/>
      <c r="BO447" s="73"/>
      <c r="BP447" s="73"/>
      <c r="BQ447" s="73"/>
      <c r="BR447" s="73"/>
      <c r="BS447" s="73"/>
      <c r="BT447" s="74"/>
      <c r="BU447" s="73"/>
      <c r="BV447" s="73"/>
      <c r="BW447" s="73"/>
      <c r="BX447" s="73"/>
      <c r="BY447" s="73"/>
      <c r="BZ447" s="73"/>
      <c r="CA447" s="73"/>
      <c r="CB447" s="73"/>
      <c r="CC447" s="73"/>
      <c r="CD447" s="73"/>
      <c r="CE447" s="73"/>
    </row>
    <row r="448">
      <c r="A448" s="73"/>
      <c r="B448" s="73"/>
      <c r="C448" s="73"/>
      <c r="D448" s="74"/>
      <c r="E448" s="73"/>
      <c r="F448" s="73"/>
      <c r="G448" s="73"/>
      <c r="H448" s="73"/>
      <c r="I448" s="73"/>
      <c r="J448" s="73"/>
      <c r="K448" s="92"/>
      <c r="L448" s="73"/>
      <c r="M448" s="73"/>
      <c r="N448" s="73"/>
      <c r="O448" s="73"/>
      <c r="P448" s="73"/>
      <c r="Q448" s="75"/>
      <c r="R448" s="82"/>
      <c r="S448" s="73"/>
      <c r="T448" s="73"/>
      <c r="U448" s="73"/>
      <c r="V448" s="73"/>
      <c r="W448" s="73"/>
      <c r="X448" s="73"/>
      <c r="Y448" s="77"/>
      <c r="Z448" s="104"/>
      <c r="AA448" s="73"/>
      <c r="AB448" s="104"/>
      <c r="AC448" s="104"/>
      <c r="AD448" s="74"/>
      <c r="AE448" s="106"/>
      <c r="AF448" s="195"/>
      <c r="AG448" s="80"/>
      <c r="AH448" s="104"/>
      <c r="AI448" s="73"/>
      <c r="AJ448" s="114"/>
      <c r="AK448" s="106"/>
      <c r="AL448" s="74"/>
      <c r="AM448" s="73"/>
      <c r="AN448" s="73"/>
      <c r="AO448" s="102"/>
      <c r="AP448" s="73"/>
      <c r="AQ448" s="73"/>
      <c r="AR448" s="74"/>
      <c r="AS448" s="73"/>
      <c r="AT448" s="73"/>
      <c r="AU448" s="73"/>
      <c r="AV448" s="73"/>
      <c r="AW448" s="114"/>
      <c r="AX448" s="74"/>
      <c r="AY448" s="73"/>
      <c r="AZ448" s="73"/>
      <c r="BA448" s="74"/>
      <c r="BB448" s="73"/>
      <c r="BC448" s="73"/>
      <c r="BD448" s="73"/>
      <c r="BE448" s="73"/>
      <c r="BF448" s="73"/>
      <c r="BG448" s="73"/>
      <c r="BH448" s="73"/>
      <c r="BI448" s="73"/>
      <c r="BJ448" s="73"/>
      <c r="BK448" s="73"/>
      <c r="BL448" s="73"/>
      <c r="BM448" s="73"/>
      <c r="BN448" s="73"/>
      <c r="BO448" s="73"/>
      <c r="BP448" s="73"/>
      <c r="BQ448" s="73"/>
      <c r="BR448" s="73"/>
      <c r="BS448" s="73"/>
      <c r="BT448" s="74"/>
      <c r="BU448" s="73"/>
      <c r="BV448" s="73"/>
      <c r="BW448" s="73"/>
      <c r="BX448" s="73"/>
      <c r="BY448" s="73"/>
      <c r="BZ448" s="73"/>
      <c r="CA448" s="73"/>
      <c r="CB448" s="73"/>
      <c r="CC448" s="73"/>
      <c r="CD448" s="73"/>
      <c r="CE448" s="73"/>
    </row>
    <row r="449">
      <c r="A449" s="73"/>
      <c r="B449" s="73"/>
      <c r="C449" s="73"/>
      <c r="D449" s="74"/>
      <c r="E449" s="73"/>
      <c r="F449" s="73"/>
      <c r="G449" s="73"/>
      <c r="H449" s="73"/>
      <c r="I449" s="73"/>
      <c r="J449" s="73"/>
      <c r="K449" s="92"/>
      <c r="L449" s="73"/>
      <c r="M449" s="73"/>
      <c r="N449" s="73"/>
      <c r="O449" s="73"/>
      <c r="P449" s="73"/>
      <c r="Q449" s="75"/>
      <c r="R449" s="82"/>
      <c r="S449" s="73"/>
      <c r="T449" s="73"/>
      <c r="U449" s="73"/>
      <c r="V449" s="73"/>
      <c r="W449" s="73"/>
      <c r="X449" s="73"/>
      <c r="Y449" s="77"/>
      <c r="Z449" s="104"/>
      <c r="AA449" s="73"/>
      <c r="AB449" s="104"/>
      <c r="AC449" s="104"/>
      <c r="AD449" s="74"/>
      <c r="AE449" s="106"/>
      <c r="AF449" s="195"/>
      <c r="AG449" s="80"/>
      <c r="AH449" s="104"/>
      <c r="AI449" s="73"/>
      <c r="AJ449" s="114"/>
      <c r="AK449" s="106"/>
      <c r="AL449" s="74"/>
      <c r="AM449" s="73"/>
      <c r="AN449" s="73"/>
      <c r="AO449" s="102"/>
      <c r="AP449" s="73"/>
      <c r="AQ449" s="73"/>
      <c r="AR449" s="74"/>
      <c r="AS449" s="73"/>
      <c r="AT449" s="73"/>
      <c r="AU449" s="73"/>
      <c r="AV449" s="73"/>
      <c r="AW449" s="114"/>
      <c r="AX449" s="74"/>
      <c r="AY449" s="73"/>
      <c r="AZ449" s="73"/>
      <c r="BA449" s="74"/>
      <c r="BB449" s="73"/>
      <c r="BC449" s="73"/>
      <c r="BD449" s="73"/>
      <c r="BE449" s="73"/>
      <c r="BF449" s="73"/>
      <c r="BG449" s="73"/>
      <c r="BH449" s="73"/>
      <c r="BI449" s="73"/>
      <c r="BJ449" s="73"/>
      <c r="BK449" s="73"/>
      <c r="BL449" s="73"/>
      <c r="BM449" s="73"/>
      <c r="BN449" s="73"/>
      <c r="BO449" s="73"/>
      <c r="BP449" s="73"/>
      <c r="BQ449" s="73"/>
      <c r="BR449" s="73"/>
      <c r="BS449" s="73"/>
      <c r="BT449" s="74"/>
      <c r="BU449" s="73"/>
      <c r="BV449" s="73"/>
      <c r="BW449" s="73"/>
      <c r="BX449" s="73"/>
      <c r="BY449" s="73"/>
      <c r="BZ449" s="73"/>
      <c r="CA449" s="73"/>
      <c r="CB449" s="73"/>
      <c r="CC449" s="73"/>
      <c r="CD449" s="73"/>
      <c r="CE449" s="73"/>
    </row>
    <row r="450">
      <c r="A450" s="73"/>
      <c r="B450" s="73"/>
      <c r="C450" s="73"/>
      <c r="D450" s="74"/>
      <c r="E450" s="73"/>
      <c r="F450" s="73"/>
      <c r="G450" s="73"/>
      <c r="H450" s="73"/>
      <c r="I450" s="73"/>
      <c r="J450" s="73"/>
      <c r="K450" s="92"/>
      <c r="L450" s="73"/>
      <c r="M450" s="73"/>
      <c r="N450" s="73"/>
      <c r="O450" s="73"/>
      <c r="P450" s="73"/>
      <c r="Q450" s="75"/>
      <c r="R450" s="82"/>
      <c r="S450" s="73"/>
      <c r="T450" s="73"/>
      <c r="U450" s="73"/>
      <c r="V450" s="73"/>
      <c r="W450" s="73"/>
      <c r="X450" s="73"/>
      <c r="Y450" s="77"/>
      <c r="Z450" s="104"/>
      <c r="AA450" s="73"/>
      <c r="AB450" s="104"/>
      <c r="AC450" s="104"/>
      <c r="AD450" s="74"/>
      <c r="AE450" s="106"/>
      <c r="AF450" s="195"/>
      <c r="AG450" s="80"/>
      <c r="AH450" s="104"/>
      <c r="AI450" s="73"/>
      <c r="AJ450" s="114"/>
      <c r="AK450" s="106"/>
      <c r="AL450" s="74"/>
      <c r="AM450" s="73"/>
      <c r="AN450" s="73"/>
      <c r="AO450" s="102"/>
      <c r="AP450" s="73"/>
      <c r="AQ450" s="73"/>
      <c r="AR450" s="74"/>
      <c r="AS450" s="73"/>
      <c r="AT450" s="73"/>
      <c r="AU450" s="73"/>
      <c r="AV450" s="73"/>
      <c r="AW450" s="104"/>
      <c r="AX450" s="74"/>
      <c r="AY450" s="73"/>
      <c r="AZ450" s="73"/>
      <c r="BA450" s="74"/>
      <c r="BB450" s="73"/>
      <c r="BC450" s="73"/>
      <c r="BD450" s="73"/>
      <c r="BE450" s="73"/>
      <c r="BF450" s="73"/>
      <c r="BG450" s="73"/>
      <c r="BH450" s="73"/>
      <c r="BI450" s="73"/>
      <c r="BJ450" s="73"/>
      <c r="BK450" s="73"/>
      <c r="BL450" s="73"/>
      <c r="BM450" s="73"/>
      <c r="BN450" s="73"/>
      <c r="BO450" s="73"/>
      <c r="BP450" s="73"/>
      <c r="BQ450" s="73"/>
      <c r="BR450" s="73"/>
      <c r="BS450" s="73"/>
      <c r="BT450" s="74"/>
      <c r="BU450" s="73"/>
      <c r="BV450" s="73"/>
      <c r="BW450" s="73"/>
      <c r="BX450" s="73"/>
      <c r="BY450" s="73"/>
      <c r="BZ450" s="73"/>
      <c r="CA450" s="73"/>
      <c r="CB450" s="73"/>
      <c r="CC450" s="73"/>
      <c r="CD450" s="73"/>
      <c r="CE450" s="73"/>
    </row>
    <row r="451">
      <c r="A451" s="73"/>
      <c r="B451" s="73"/>
      <c r="C451" s="73"/>
      <c r="D451" s="74"/>
      <c r="E451" s="73"/>
      <c r="F451" s="73"/>
      <c r="G451" s="73"/>
      <c r="H451" s="73"/>
      <c r="I451" s="73"/>
      <c r="J451" s="73"/>
      <c r="K451" s="92"/>
      <c r="L451" s="73"/>
      <c r="M451" s="73"/>
      <c r="N451" s="73"/>
      <c r="O451" s="73"/>
      <c r="P451" s="73"/>
      <c r="Q451" s="75"/>
      <c r="R451" s="82"/>
      <c r="S451" s="73"/>
      <c r="T451" s="73"/>
      <c r="U451" s="73"/>
      <c r="V451" s="73"/>
      <c r="W451" s="73"/>
      <c r="X451" s="73"/>
      <c r="Y451" s="77"/>
      <c r="Z451" s="104"/>
      <c r="AA451" s="73"/>
      <c r="AB451" s="104"/>
      <c r="AC451" s="104"/>
      <c r="AD451" s="74"/>
      <c r="AE451" s="106"/>
      <c r="AF451" s="195"/>
      <c r="AG451" s="80"/>
      <c r="AH451" s="104"/>
      <c r="AI451" s="73"/>
      <c r="AJ451" s="114"/>
      <c r="AK451" s="106"/>
      <c r="AL451" s="74"/>
      <c r="AM451" s="73"/>
      <c r="AN451" s="73"/>
      <c r="AO451" s="102"/>
      <c r="AP451" s="73"/>
      <c r="AQ451" s="73"/>
      <c r="AR451" s="74"/>
      <c r="AS451" s="73"/>
      <c r="AT451" s="73"/>
      <c r="AU451" s="73"/>
      <c r="AV451" s="73"/>
      <c r="AW451" s="104"/>
      <c r="AX451" s="74"/>
      <c r="AY451" s="73"/>
      <c r="AZ451" s="73"/>
      <c r="BA451" s="74"/>
      <c r="BB451" s="73"/>
      <c r="BC451" s="73"/>
      <c r="BD451" s="73"/>
      <c r="BE451" s="73"/>
      <c r="BF451" s="73"/>
      <c r="BG451" s="73"/>
      <c r="BH451" s="73"/>
      <c r="BI451" s="73"/>
      <c r="BJ451" s="73"/>
      <c r="BK451" s="73"/>
      <c r="BL451" s="73"/>
      <c r="BM451" s="73"/>
      <c r="BN451" s="73"/>
      <c r="BO451" s="73"/>
      <c r="BP451" s="73"/>
      <c r="BQ451" s="73"/>
      <c r="BR451" s="73"/>
      <c r="BS451" s="73"/>
      <c r="BT451" s="74"/>
      <c r="BU451" s="73"/>
      <c r="BV451" s="73"/>
      <c r="BW451" s="73"/>
      <c r="BX451" s="73"/>
      <c r="BY451" s="73"/>
      <c r="BZ451" s="73"/>
      <c r="CA451" s="73"/>
      <c r="CB451" s="73"/>
      <c r="CC451" s="73"/>
      <c r="CD451" s="73"/>
      <c r="CE451" s="73"/>
    </row>
    <row r="452">
      <c r="A452" s="73"/>
      <c r="B452" s="73"/>
      <c r="C452" s="73"/>
      <c r="D452" s="74"/>
      <c r="E452" s="73"/>
      <c r="F452" s="73"/>
      <c r="G452" s="73"/>
      <c r="H452" s="73"/>
      <c r="I452" s="73"/>
      <c r="J452" s="73"/>
      <c r="K452" s="92"/>
      <c r="L452" s="73"/>
      <c r="M452" s="73"/>
      <c r="N452" s="73"/>
      <c r="O452" s="73"/>
      <c r="P452" s="73"/>
      <c r="Q452" s="75"/>
      <c r="R452" s="82"/>
      <c r="S452" s="73"/>
      <c r="T452" s="73"/>
      <c r="U452" s="73"/>
      <c r="V452" s="73"/>
      <c r="W452" s="73"/>
      <c r="X452" s="73"/>
      <c r="Y452" s="77"/>
      <c r="Z452" s="104"/>
      <c r="AA452" s="73"/>
      <c r="AB452" s="104"/>
      <c r="AC452" s="104"/>
      <c r="AD452" s="74"/>
      <c r="AE452" s="106"/>
      <c r="AF452" s="195"/>
      <c r="AG452" s="80"/>
      <c r="AH452" s="104"/>
      <c r="AI452" s="73"/>
      <c r="AJ452" s="114"/>
      <c r="AK452" s="106"/>
      <c r="AL452" s="74"/>
      <c r="AM452" s="73"/>
      <c r="AN452" s="73"/>
      <c r="AO452" s="102"/>
      <c r="AP452" s="73"/>
      <c r="AQ452" s="73"/>
      <c r="AR452" s="74"/>
      <c r="AS452" s="73"/>
      <c r="AT452" s="73"/>
      <c r="AU452" s="73"/>
      <c r="AV452" s="73"/>
      <c r="AW452" s="73"/>
      <c r="AX452" s="74"/>
      <c r="AY452" s="73"/>
      <c r="AZ452" s="73"/>
      <c r="BA452" s="74"/>
      <c r="BB452" s="73"/>
      <c r="BC452" s="73"/>
      <c r="BD452" s="73"/>
      <c r="BE452" s="73"/>
      <c r="BF452" s="73"/>
      <c r="BG452" s="73"/>
      <c r="BH452" s="73"/>
      <c r="BI452" s="73"/>
      <c r="BJ452" s="73"/>
      <c r="BK452" s="73"/>
      <c r="BL452" s="73"/>
      <c r="BM452" s="73"/>
      <c r="BN452" s="73"/>
      <c r="BO452" s="73"/>
      <c r="BP452" s="73"/>
      <c r="BQ452" s="73"/>
      <c r="BR452" s="73"/>
      <c r="BS452" s="73"/>
      <c r="BT452" s="74"/>
      <c r="BU452" s="73"/>
      <c r="BV452" s="73"/>
      <c r="BW452" s="73"/>
      <c r="BX452" s="73"/>
      <c r="BY452" s="73"/>
      <c r="BZ452" s="73"/>
      <c r="CA452" s="73"/>
      <c r="CB452" s="73"/>
      <c r="CC452" s="73"/>
      <c r="CD452" s="73"/>
      <c r="CE452" s="73"/>
    </row>
    <row r="453">
      <c r="A453" s="73"/>
      <c r="B453" s="73"/>
      <c r="C453" s="73"/>
      <c r="D453" s="74"/>
      <c r="E453" s="73"/>
      <c r="F453" s="73"/>
      <c r="G453" s="73"/>
      <c r="H453" s="73"/>
      <c r="I453" s="73"/>
      <c r="J453" s="73"/>
      <c r="K453" s="92"/>
      <c r="L453" s="73"/>
      <c r="M453" s="73"/>
      <c r="N453" s="73"/>
      <c r="O453" s="73"/>
      <c r="P453" s="73"/>
      <c r="Q453" s="75"/>
      <c r="R453" s="82"/>
      <c r="S453" s="73"/>
      <c r="T453" s="73"/>
      <c r="U453" s="73"/>
      <c r="V453" s="73"/>
      <c r="W453" s="73"/>
      <c r="X453" s="73"/>
      <c r="Y453" s="77"/>
      <c r="Z453" s="104"/>
      <c r="AA453" s="73"/>
      <c r="AB453" s="104"/>
      <c r="AC453" s="104"/>
      <c r="AD453" s="74"/>
      <c r="AE453" s="106"/>
      <c r="AF453" s="195"/>
      <c r="AG453" s="80"/>
      <c r="AH453" s="104"/>
      <c r="AI453" s="73"/>
      <c r="AJ453" s="114"/>
      <c r="AK453" s="106"/>
      <c r="AL453" s="74"/>
      <c r="AM453" s="73"/>
      <c r="AN453" s="73"/>
      <c r="AO453" s="102"/>
      <c r="AP453" s="73"/>
      <c r="AQ453" s="73"/>
      <c r="AR453" s="74"/>
      <c r="AS453" s="73"/>
      <c r="AT453" s="73"/>
      <c r="AU453" s="73"/>
      <c r="AV453" s="73"/>
      <c r="AW453" s="73"/>
      <c r="AX453" s="74"/>
      <c r="AY453" s="73"/>
      <c r="AZ453" s="73"/>
      <c r="BA453" s="74"/>
      <c r="BB453" s="73"/>
      <c r="BC453" s="73"/>
      <c r="BD453" s="73"/>
      <c r="BE453" s="73"/>
      <c r="BF453" s="73"/>
      <c r="BG453" s="73"/>
      <c r="BH453" s="73"/>
      <c r="BI453" s="73"/>
      <c r="BJ453" s="73"/>
      <c r="BK453" s="73"/>
      <c r="BL453" s="73"/>
      <c r="BM453" s="73"/>
      <c r="BN453" s="73"/>
      <c r="BO453" s="73"/>
      <c r="BP453" s="73"/>
      <c r="BQ453" s="73"/>
      <c r="BR453" s="73"/>
      <c r="BS453" s="73"/>
      <c r="BT453" s="74"/>
      <c r="BU453" s="73"/>
      <c r="BV453" s="73"/>
      <c r="BW453" s="73"/>
      <c r="BX453" s="73"/>
      <c r="BY453" s="73"/>
      <c r="BZ453" s="73"/>
      <c r="CA453" s="73"/>
      <c r="CB453" s="73"/>
      <c r="CC453" s="73"/>
      <c r="CD453" s="73"/>
      <c r="CE453" s="73"/>
    </row>
    <row r="454">
      <c r="A454" s="73"/>
      <c r="B454" s="73"/>
      <c r="C454" s="73"/>
      <c r="D454" s="74"/>
      <c r="E454" s="73"/>
      <c r="F454" s="73"/>
      <c r="G454" s="73"/>
      <c r="H454" s="73"/>
      <c r="I454" s="73"/>
      <c r="J454" s="73"/>
      <c r="K454" s="92"/>
      <c r="L454" s="73"/>
      <c r="M454" s="73"/>
      <c r="N454" s="73"/>
      <c r="O454" s="73"/>
      <c r="P454" s="73"/>
      <c r="Q454" s="75"/>
      <c r="R454" s="82"/>
      <c r="S454" s="73"/>
      <c r="T454" s="73"/>
      <c r="U454" s="73"/>
      <c r="V454" s="73"/>
      <c r="W454" s="73"/>
      <c r="X454" s="73"/>
      <c r="Y454" s="77"/>
      <c r="Z454" s="104"/>
      <c r="AA454" s="73"/>
      <c r="AB454" s="104"/>
      <c r="AC454" s="104"/>
      <c r="AD454" s="74"/>
      <c r="AE454" s="106"/>
      <c r="AF454" s="195"/>
      <c r="AG454" s="80"/>
      <c r="AH454" s="104"/>
      <c r="AI454" s="73"/>
      <c r="AJ454" s="114"/>
      <c r="AK454" s="106"/>
      <c r="AL454" s="74"/>
      <c r="AM454" s="73"/>
      <c r="AN454" s="73"/>
      <c r="AO454" s="102"/>
      <c r="AP454" s="73"/>
      <c r="AQ454" s="73"/>
      <c r="AR454" s="74"/>
      <c r="AS454" s="73"/>
      <c r="AT454" s="73"/>
      <c r="AU454" s="73"/>
      <c r="AV454" s="73"/>
      <c r="AW454" s="73"/>
      <c r="AX454" s="74"/>
      <c r="AY454" s="73"/>
      <c r="AZ454" s="73"/>
      <c r="BA454" s="74"/>
      <c r="BB454" s="73"/>
      <c r="BC454" s="73"/>
      <c r="BD454" s="73"/>
      <c r="BE454" s="73"/>
      <c r="BF454" s="73"/>
      <c r="BG454" s="73"/>
      <c r="BH454" s="73"/>
      <c r="BI454" s="73"/>
      <c r="BJ454" s="73"/>
      <c r="BK454" s="73"/>
      <c r="BL454" s="73"/>
      <c r="BM454" s="73"/>
      <c r="BN454" s="73"/>
      <c r="BO454" s="73"/>
      <c r="BP454" s="73"/>
      <c r="BQ454" s="73"/>
      <c r="BR454" s="73"/>
      <c r="BS454" s="73"/>
      <c r="BT454" s="74"/>
      <c r="BU454" s="73"/>
      <c r="BV454" s="73"/>
      <c r="BW454" s="73"/>
      <c r="BX454" s="73"/>
      <c r="BY454" s="73"/>
      <c r="BZ454" s="73"/>
      <c r="CA454" s="73"/>
      <c r="CB454" s="73"/>
      <c r="CC454" s="73"/>
      <c r="CD454" s="73"/>
      <c r="CE454" s="73"/>
    </row>
    <row r="455">
      <c r="A455" s="73"/>
      <c r="B455" s="73"/>
      <c r="C455" s="73"/>
      <c r="D455" s="74"/>
      <c r="E455" s="73"/>
      <c r="F455" s="73"/>
      <c r="G455" s="73"/>
      <c r="H455" s="73"/>
      <c r="I455" s="73"/>
      <c r="J455" s="73"/>
      <c r="K455" s="92"/>
      <c r="L455" s="73"/>
      <c r="M455" s="73"/>
      <c r="N455" s="73"/>
      <c r="O455" s="73"/>
      <c r="P455" s="73"/>
      <c r="Q455" s="75"/>
      <c r="R455" s="82"/>
      <c r="S455" s="73"/>
      <c r="T455" s="73"/>
      <c r="U455" s="73"/>
      <c r="V455" s="73"/>
      <c r="W455" s="73"/>
      <c r="X455" s="73"/>
      <c r="Y455" s="77"/>
      <c r="Z455" s="104"/>
      <c r="AA455" s="73"/>
      <c r="AB455" s="104"/>
      <c r="AC455" s="104"/>
      <c r="AD455" s="74"/>
      <c r="AE455" s="106"/>
      <c r="AF455" s="195"/>
      <c r="AG455" s="80"/>
      <c r="AH455" s="104"/>
      <c r="AI455" s="73"/>
      <c r="AJ455" s="114"/>
      <c r="AK455" s="106"/>
      <c r="AL455" s="74"/>
      <c r="AM455" s="73"/>
      <c r="AN455" s="73"/>
      <c r="AO455" s="102"/>
      <c r="AP455" s="73"/>
      <c r="AQ455" s="73"/>
      <c r="AR455" s="74"/>
      <c r="AS455" s="73"/>
      <c r="AT455" s="73"/>
      <c r="AU455" s="73"/>
      <c r="AV455" s="73"/>
      <c r="AW455" s="73"/>
      <c r="AX455" s="74"/>
      <c r="AY455" s="73"/>
      <c r="AZ455" s="73"/>
      <c r="BA455" s="74"/>
      <c r="BB455" s="73"/>
      <c r="BC455" s="73"/>
      <c r="BD455" s="73"/>
      <c r="BE455" s="73"/>
      <c r="BF455" s="73"/>
      <c r="BG455" s="73"/>
      <c r="BH455" s="73"/>
      <c r="BI455" s="73"/>
      <c r="BJ455" s="73"/>
      <c r="BK455" s="73"/>
      <c r="BL455" s="73"/>
      <c r="BM455" s="73"/>
      <c r="BN455" s="73"/>
      <c r="BO455" s="73"/>
      <c r="BP455" s="73"/>
      <c r="BQ455" s="73"/>
      <c r="BR455" s="73"/>
      <c r="BS455" s="73"/>
      <c r="BT455" s="74"/>
      <c r="BU455" s="73"/>
      <c r="BV455" s="73"/>
      <c r="BW455" s="73"/>
      <c r="BX455" s="73"/>
      <c r="BY455" s="73"/>
      <c r="BZ455" s="73"/>
      <c r="CA455" s="73"/>
      <c r="CB455" s="73"/>
      <c r="CC455" s="73"/>
      <c r="CD455" s="73"/>
      <c r="CE455" s="73"/>
    </row>
    <row r="456">
      <c r="A456" s="73"/>
      <c r="B456" s="73"/>
      <c r="C456" s="73"/>
      <c r="D456" s="74"/>
      <c r="E456" s="73"/>
      <c r="F456" s="73"/>
      <c r="G456" s="73"/>
      <c r="H456" s="73"/>
      <c r="I456" s="73"/>
      <c r="J456" s="73"/>
      <c r="K456" s="92"/>
      <c r="L456" s="73"/>
      <c r="M456" s="73"/>
      <c r="N456" s="73"/>
      <c r="O456" s="73"/>
      <c r="P456" s="73"/>
      <c r="Q456" s="75"/>
      <c r="R456" s="82"/>
      <c r="S456" s="73"/>
      <c r="T456" s="73"/>
      <c r="U456" s="73"/>
      <c r="V456" s="73"/>
      <c r="W456" s="73"/>
      <c r="X456" s="73"/>
      <c r="Y456" s="77"/>
      <c r="Z456" s="104"/>
      <c r="AA456" s="73"/>
      <c r="AB456" s="104"/>
      <c r="AC456" s="104"/>
      <c r="AD456" s="74"/>
      <c r="AE456" s="106"/>
      <c r="AF456" s="195"/>
      <c r="AG456" s="80"/>
      <c r="AH456" s="104"/>
      <c r="AI456" s="73"/>
      <c r="AJ456" s="114"/>
      <c r="AK456" s="106"/>
      <c r="AL456" s="74"/>
      <c r="AM456" s="73"/>
      <c r="AN456" s="73"/>
      <c r="AO456" s="102"/>
      <c r="AP456" s="73"/>
      <c r="AQ456" s="73"/>
      <c r="AR456" s="74"/>
      <c r="AS456" s="73"/>
      <c r="AT456" s="73"/>
      <c r="AU456" s="73"/>
      <c r="AV456" s="73"/>
      <c r="AW456" s="73"/>
      <c r="AX456" s="74"/>
      <c r="AY456" s="73"/>
      <c r="AZ456" s="73"/>
      <c r="BA456" s="74"/>
      <c r="BB456" s="73"/>
      <c r="BC456" s="73"/>
      <c r="BD456" s="73"/>
      <c r="BE456" s="73"/>
      <c r="BF456" s="73"/>
      <c r="BG456" s="73"/>
      <c r="BH456" s="73"/>
      <c r="BI456" s="73"/>
      <c r="BJ456" s="73"/>
      <c r="BK456" s="73"/>
      <c r="BL456" s="73"/>
      <c r="BM456" s="73"/>
      <c r="BN456" s="73"/>
      <c r="BO456" s="73"/>
      <c r="BP456" s="73"/>
      <c r="BQ456" s="73"/>
      <c r="BR456" s="73"/>
      <c r="BS456" s="73"/>
      <c r="BT456" s="74"/>
      <c r="BU456" s="73"/>
      <c r="BV456" s="73"/>
      <c r="BW456" s="73"/>
      <c r="BX456" s="73"/>
      <c r="BY456" s="73"/>
      <c r="BZ456" s="73"/>
      <c r="CA456" s="73"/>
      <c r="CB456" s="73"/>
      <c r="CC456" s="73"/>
      <c r="CD456" s="73"/>
      <c r="CE456" s="73"/>
    </row>
    <row r="457">
      <c r="A457" s="73"/>
      <c r="B457" s="73"/>
      <c r="C457" s="73"/>
      <c r="D457" s="74"/>
      <c r="E457" s="73"/>
      <c r="F457" s="73"/>
      <c r="G457" s="73"/>
      <c r="H457" s="73"/>
      <c r="I457" s="73"/>
      <c r="J457" s="73"/>
      <c r="K457" s="92"/>
      <c r="L457" s="73"/>
      <c r="M457" s="73"/>
      <c r="N457" s="73"/>
      <c r="O457" s="73"/>
      <c r="P457" s="73"/>
      <c r="Q457" s="75"/>
      <c r="R457" s="82"/>
      <c r="S457" s="73"/>
      <c r="T457" s="73"/>
      <c r="U457" s="73"/>
      <c r="V457" s="73"/>
      <c r="W457" s="73"/>
      <c r="X457" s="73"/>
      <c r="Y457" s="77"/>
      <c r="Z457" s="104"/>
      <c r="AA457" s="73"/>
      <c r="AB457" s="104"/>
      <c r="AC457" s="104"/>
      <c r="AD457" s="74"/>
      <c r="AE457" s="106"/>
      <c r="AF457" s="195"/>
      <c r="AG457" s="80"/>
      <c r="AH457" s="104"/>
      <c r="AI457" s="73"/>
      <c r="AJ457" s="114"/>
      <c r="AK457" s="106"/>
      <c r="AL457" s="74"/>
      <c r="AM457" s="73"/>
      <c r="AN457" s="73"/>
      <c r="AO457" s="102"/>
      <c r="AP457" s="73"/>
      <c r="AQ457" s="73"/>
      <c r="AR457" s="74"/>
      <c r="AS457" s="73"/>
      <c r="AT457" s="73"/>
      <c r="AU457" s="73"/>
      <c r="AV457" s="73"/>
      <c r="AW457" s="73"/>
      <c r="AX457" s="74"/>
      <c r="AY457" s="73"/>
      <c r="AZ457" s="73"/>
      <c r="BA457" s="74"/>
      <c r="BB457" s="73"/>
      <c r="BC457" s="73"/>
      <c r="BD457" s="73"/>
      <c r="BE457" s="73"/>
      <c r="BF457" s="73"/>
      <c r="BG457" s="73"/>
      <c r="BH457" s="73"/>
      <c r="BI457" s="73"/>
      <c r="BJ457" s="73"/>
      <c r="BK457" s="73"/>
      <c r="BL457" s="73"/>
      <c r="BM457" s="73"/>
      <c r="BN457" s="73"/>
      <c r="BO457" s="73"/>
      <c r="BP457" s="73"/>
      <c r="BQ457" s="73"/>
      <c r="BR457" s="73"/>
      <c r="BS457" s="73"/>
      <c r="BT457" s="74"/>
      <c r="BU457" s="73"/>
      <c r="BV457" s="73"/>
      <c r="BW457" s="73"/>
      <c r="BX457" s="73"/>
      <c r="BY457" s="73"/>
      <c r="BZ457" s="73"/>
      <c r="CA457" s="73"/>
      <c r="CB457" s="73"/>
      <c r="CC457" s="73"/>
      <c r="CD457" s="73"/>
      <c r="CE457" s="73"/>
    </row>
    <row r="458">
      <c r="A458" s="73"/>
      <c r="B458" s="73"/>
      <c r="C458" s="73"/>
      <c r="D458" s="74"/>
      <c r="E458" s="73"/>
      <c r="F458" s="73"/>
      <c r="G458" s="73"/>
      <c r="H458" s="73"/>
      <c r="I458" s="73"/>
      <c r="J458" s="73"/>
      <c r="K458" s="92"/>
      <c r="L458" s="73"/>
      <c r="M458" s="73"/>
      <c r="N458" s="73"/>
      <c r="O458" s="73"/>
      <c r="P458" s="73"/>
      <c r="Q458" s="75"/>
      <c r="R458" s="82"/>
      <c r="S458" s="73"/>
      <c r="T458" s="73"/>
      <c r="U458" s="73"/>
      <c r="V458" s="73"/>
      <c r="W458" s="73"/>
      <c r="X458" s="73"/>
      <c r="Y458" s="77"/>
      <c r="Z458" s="104"/>
      <c r="AA458" s="73"/>
      <c r="AB458" s="104"/>
      <c r="AC458" s="104"/>
      <c r="AD458" s="74"/>
      <c r="AE458" s="106"/>
      <c r="AF458" s="195"/>
      <c r="AG458" s="80"/>
      <c r="AH458" s="104"/>
      <c r="AI458" s="73"/>
      <c r="AJ458" s="114"/>
      <c r="AK458" s="106"/>
      <c r="AL458" s="74"/>
      <c r="AM458" s="73"/>
      <c r="AN458" s="73"/>
      <c r="AO458" s="102"/>
      <c r="AP458" s="73"/>
      <c r="AQ458" s="73"/>
      <c r="AR458" s="74"/>
      <c r="AS458" s="73"/>
      <c r="AT458" s="73"/>
      <c r="AU458" s="73"/>
      <c r="AV458" s="73"/>
      <c r="AW458" s="73"/>
      <c r="AX458" s="74"/>
      <c r="AY458" s="73"/>
      <c r="AZ458" s="73"/>
      <c r="BA458" s="74"/>
      <c r="BB458" s="73"/>
      <c r="BC458" s="73"/>
      <c r="BD458" s="73"/>
      <c r="BE458" s="73"/>
      <c r="BF458" s="73"/>
      <c r="BG458" s="73"/>
      <c r="BH458" s="73"/>
      <c r="BI458" s="73"/>
      <c r="BJ458" s="73"/>
      <c r="BK458" s="73"/>
      <c r="BL458" s="73"/>
      <c r="BM458" s="73"/>
      <c r="BN458" s="73"/>
      <c r="BO458" s="73"/>
      <c r="BP458" s="73"/>
      <c r="BQ458" s="73"/>
      <c r="BR458" s="73"/>
      <c r="BS458" s="73"/>
      <c r="BT458" s="74"/>
      <c r="BU458" s="73"/>
      <c r="BV458" s="73"/>
      <c r="BW458" s="73"/>
      <c r="BX458" s="73"/>
      <c r="BY458" s="73"/>
      <c r="BZ458" s="73"/>
      <c r="CA458" s="73"/>
      <c r="CB458" s="73"/>
      <c r="CC458" s="73"/>
      <c r="CD458" s="73"/>
      <c r="CE458" s="73"/>
    </row>
    <row r="459">
      <c r="A459" s="73"/>
      <c r="B459" s="73"/>
      <c r="C459" s="73"/>
      <c r="D459" s="74"/>
      <c r="E459" s="73"/>
      <c r="F459" s="73"/>
      <c r="G459" s="73"/>
      <c r="H459" s="73"/>
      <c r="I459" s="73"/>
      <c r="J459" s="73"/>
      <c r="K459" s="92"/>
      <c r="L459" s="73"/>
      <c r="M459" s="73"/>
      <c r="N459" s="73"/>
      <c r="O459" s="73"/>
      <c r="P459" s="73"/>
      <c r="Q459" s="75"/>
      <c r="R459" s="82"/>
      <c r="S459" s="73"/>
      <c r="T459" s="73"/>
      <c r="U459" s="73"/>
      <c r="V459" s="73"/>
      <c r="W459" s="73"/>
      <c r="X459" s="73"/>
      <c r="Y459" s="77"/>
      <c r="Z459" s="104"/>
      <c r="AA459" s="73"/>
      <c r="AB459" s="104"/>
      <c r="AC459" s="104"/>
      <c r="AD459" s="74"/>
      <c r="AE459" s="106"/>
      <c r="AF459" s="195"/>
      <c r="AG459" s="80"/>
      <c r="AH459" s="104"/>
      <c r="AI459" s="73"/>
      <c r="AJ459" s="114"/>
      <c r="AK459" s="106"/>
      <c r="AL459" s="74"/>
      <c r="AM459" s="73"/>
      <c r="AN459" s="73"/>
      <c r="AO459" s="102"/>
      <c r="AP459" s="73"/>
      <c r="AQ459" s="73"/>
      <c r="AR459" s="74"/>
      <c r="AS459" s="73"/>
      <c r="AT459" s="73"/>
      <c r="AU459" s="73"/>
      <c r="AV459" s="73"/>
      <c r="AW459" s="73"/>
      <c r="AX459" s="74"/>
      <c r="AY459" s="73"/>
      <c r="AZ459" s="73"/>
      <c r="BA459" s="74"/>
      <c r="BB459" s="73"/>
      <c r="BC459" s="73"/>
      <c r="BD459" s="73"/>
      <c r="BE459" s="73"/>
      <c r="BF459" s="73"/>
      <c r="BG459" s="73"/>
      <c r="BH459" s="73"/>
      <c r="BI459" s="73"/>
      <c r="BJ459" s="73"/>
      <c r="BK459" s="73"/>
      <c r="BL459" s="73"/>
      <c r="BM459" s="73"/>
      <c r="BN459" s="73"/>
      <c r="BO459" s="73"/>
      <c r="BP459" s="73"/>
      <c r="BQ459" s="73"/>
      <c r="BR459" s="73"/>
      <c r="BS459" s="73"/>
      <c r="BT459" s="74"/>
      <c r="BU459" s="73"/>
      <c r="BV459" s="73"/>
      <c r="BW459" s="73"/>
      <c r="BX459" s="73"/>
      <c r="BY459" s="73"/>
      <c r="BZ459" s="73"/>
      <c r="CA459" s="73"/>
      <c r="CB459" s="73"/>
      <c r="CC459" s="73"/>
      <c r="CD459" s="73"/>
      <c r="CE459" s="73"/>
    </row>
    <row r="460">
      <c r="A460" s="73"/>
      <c r="B460" s="73"/>
      <c r="C460" s="73"/>
      <c r="D460" s="74"/>
      <c r="E460" s="73"/>
      <c r="F460" s="73"/>
      <c r="G460" s="73"/>
      <c r="H460" s="73"/>
      <c r="I460" s="73"/>
      <c r="J460" s="73"/>
      <c r="K460" s="92"/>
      <c r="L460" s="73"/>
      <c r="M460" s="73"/>
      <c r="N460" s="73"/>
      <c r="O460" s="73"/>
      <c r="P460" s="73"/>
      <c r="Q460" s="75"/>
      <c r="R460" s="82"/>
      <c r="S460" s="73"/>
      <c r="T460" s="73"/>
      <c r="U460" s="73"/>
      <c r="V460" s="73"/>
      <c r="W460" s="73"/>
      <c r="X460" s="73"/>
      <c r="Y460" s="77"/>
      <c r="Z460" s="104"/>
      <c r="AA460" s="73"/>
      <c r="AB460" s="104"/>
      <c r="AC460" s="104"/>
      <c r="AD460" s="74"/>
      <c r="AE460" s="106"/>
      <c r="AF460" s="195"/>
      <c r="AG460" s="80"/>
      <c r="AH460" s="104"/>
      <c r="AI460" s="73"/>
      <c r="AJ460" s="114"/>
      <c r="AK460" s="106"/>
      <c r="AL460" s="74"/>
      <c r="AM460" s="73"/>
      <c r="AN460" s="73"/>
      <c r="AO460" s="102"/>
      <c r="AP460" s="73"/>
      <c r="AQ460" s="73"/>
      <c r="AR460" s="74"/>
      <c r="AS460" s="73"/>
      <c r="AT460" s="73"/>
      <c r="AU460" s="73"/>
      <c r="AV460" s="73"/>
      <c r="AW460" s="73"/>
      <c r="AX460" s="74"/>
      <c r="AY460" s="73"/>
      <c r="AZ460" s="73"/>
      <c r="BA460" s="74"/>
      <c r="BB460" s="73"/>
      <c r="BC460" s="73"/>
      <c r="BD460" s="73"/>
      <c r="BE460" s="73"/>
      <c r="BF460" s="73"/>
      <c r="BG460" s="73"/>
      <c r="BH460" s="73"/>
      <c r="BI460" s="73"/>
      <c r="BJ460" s="73"/>
      <c r="BK460" s="73"/>
      <c r="BL460" s="73"/>
      <c r="BM460" s="73"/>
      <c r="BN460" s="73"/>
      <c r="BO460" s="73"/>
      <c r="BP460" s="73"/>
      <c r="BQ460" s="73"/>
      <c r="BR460" s="73"/>
      <c r="BS460" s="73"/>
      <c r="BT460" s="74"/>
      <c r="BU460" s="73"/>
      <c r="BV460" s="73"/>
      <c r="BW460" s="73"/>
      <c r="BX460" s="73"/>
      <c r="BY460" s="73"/>
      <c r="BZ460" s="73"/>
      <c r="CA460" s="73"/>
      <c r="CB460" s="73"/>
      <c r="CC460" s="73"/>
      <c r="CD460" s="73"/>
      <c r="CE460" s="73"/>
    </row>
    <row r="461">
      <c r="A461" s="73"/>
      <c r="B461" s="73"/>
      <c r="C461" s="73"/>
      <c r="D461" s="74"/>
      <c r="E461" s="73"/>
      <c r="F461" s="73"/>
      <c r="G461" s="73"/>
      <c r="H461" s="73"/>
      <c r="I461" s="73"/>
      <c r="J461" s="73"/>
      <c r="K461" s="92"/>
      <c r="L461" s="73"/>
      <c r="M461" s="73"/>
      <c r="N461" s="73"/>
      <c r="O461" s="73"/>
      <c r="P461" s="73"/>
      <c r="Q461" s="75"/>
      <c r="R461" s="82"/>
      <c r="S461" s="73"/>
      <c r="T461" s="73"/>
      <c r="U461" s="73"/>
      <c r="V461" s="73"/>
      <c r="W461" s="73"/>
      <c r="X461" s="73"/>
      <c r="Y461" s="77"/>
      <c r="Z461" s="104"/>
      <c r="AA461" s="73"/>
      <c r="AB461" s="104"/>
      <c r="AC461" s="104"/>
      <c r="AD461" s="74"/>
      <c r="AE461" s="106"/>
      <c r="AF461" s="195"/>
      <c r="AG461" s="80"/>
      <c r="AH461" s="104"/>
      <c r="AI461" s="73"/>
      <c r="AJ461" s="114"/>
      <c r="AK461" s="106"/>
      <c r="AL461" s="74"/>
      <c r="AM461" s="73"/>
      <c r="AN461" s="73"/>
      <c r="AO461" s="102"/>
      <c r="AP461" s="73"/>
      <c r="AQ461" s="73"/>
      <c r="AR461" s="74"/>
      <c r="AS461" s="73"/>
      <c r="AT461" s="73"/>
      <c r="AU461" s="73"/>
      <c r="AV461" s="73"/>
      <c r="AW461" s="73"/>
      <c r="AX461" s="74"/>
      <c r="AY461" s="73"/>
      <c r="AZ461" s="73"/>
      <c r="BA461" s="74"/>
      <c r="BB461" s="73"/>
      <c r="BC461" s="73"/>
      <c r="BD461" s="73"/>
      <c r="BE461" s="73"/>
      <c r="BF461" s="73"/>
      <c r="BG461" s="73"/>
      <c r="BH461" s="73"/>
      <c r="BI461" s="73"/>
      <c r="BJ461" s="73"/>
      <c r="BK461" s="73"/>
      <c r="BL461" s="73"/>
      <c r="BM461" s="73"/>
      <c r="BN461" s="73"/>
      <c r="BO461" s="73"/>
      <c r="BP461" s="73"/>
      <c r="BQ461" s="73"/>
      <c r="BR461" s="73"/>
      <c r="BS461" s="73"/>
      <c r="BT461" s="74"/>
      <c r="BU461" s="73"/>
      <c r="BV461" s="73"/>
      <c r="BW461" s="73"/>
      <c r="BX461" s="73"/>
      <c r="BY461" s="73"/>
      <c r="BZ461" s="73"/>
      <c r="CA461" s="73"/>
      <c r="CB461" s="73"/>
      <c r="CC461" s="73"/>
      <c r="CD461" s="73"/>
      <c r="CE461" s="73"/>
    </row>
    <row r="462">
      <c r="A462" s="73"/>
      <c r="B462" s="73"/>
      <c r="C462" s="73"/>
      <c r="D462" s="74"/>
      <c r="E462" s="73"/>
      <c r="F462" s="73"/>
      <c r="G462" s="73"/>
      <c r="H462" s="73"/>
      <c r="I462" s="73"/>
      <c r="J462" s="73"/>
      <c r="K462" s="92"/>
      <c r="L462" s="73"/>
      <c r="M462" s="73"/>
      <c r="N462" s="73"/>
      <c r="O462" s="73"/>
      <c r="P462" s="73"/>
      <c r="Q462" s="75"/>
      <c r="R462" s="82"/>
      <c r="S462" s="73"/>
      <c r="T462" s="73"/>
      <c r="U462" s="73"/>
      <c r="V462" s="73"/>
      <c r="W462" s="73"/>
      <c r="X462" s="73"/>
      <c r="Y462" s="77"/>
      <c r="Z462" s="104"/>
      <c r="AA462" s="73"/>
      <c r="AB462" s="104"/>
      <c r="AC462" s="104"/>
      <c r="AD462" s="74"/>
      <c r="AE462" s="106"/>
      <c r="AF462" s="195"/>
      <c r="AG462" s="80"/>
      <c r="AH462" s="104"/>
      <c r="AI462" s="73"/>
      <c r="AJ462" s="114"/>
      <c r="AK462" s="106"/>
      <c r="AL462" s="74"/>
      <c r="AM462" s="73"/>
      <c r="AN462" s="73"/>
      <c r="AO462" s="102"/>
      <c r="AP462" s="73"/>
      <c r="AQ462" s="73"/>
      <c r="AR462" s="74"/>
      <c r="AS462" s="73"/>
      <c r="AT462" s="73"/>
      <c r="AU462" s="73"/>
      <c r="AV462" s="73"/>
      <c r="AW462" s="73"/>
      <c r="AX462" s="74"/>
      <c r="AY462" s="73"/>
      <c r="AZ462" s="73"/>
      <c r="BA462" s="74"/>
      <c r="BB462" s="73"/>
      <c r="BC462" s="73"/>
      <c r="BD462" s="73"/>
      <c r="BE462" s="73"/>
      <c r="BF462" s="73"/>
      <c r="BG462" s="73"/>
      <c r="BH462" s="73"/>
      <c r="BI462" s="73"/>
      <c r="BJ462" s="73"/>
      <c r="BK462" s="73"/>
      <c r="BL462" s="73"/>
      <c r="BM462" s="73"/>
      <c r="BN462" s="73"/>
      <c r="BO462" s="73"/>
      <c r="BP462" s="73"/>
      <c r="BQ462" s="73"/>
      <c r="BR462" s="73"/>
      <c r="BS462" s="73"/>
      <c r="BT462" s="74"/>
      <c r="BU462" s="73"/>
      <c r="BV462" s="73"/>
      <c r="BW462" s="73"/>
      <c r="BX462" s="73"/>
      <c r="BY462" s="73"/>
      <c r="BZ462" s="73"/>
      <c r="CA462" s="73"/>
      <c r="CB462" s="73"/>
      <c r="CC462" s="73"/>
      <c r="CD462" s="73"/>
      <c r="CE462" s="73"/>
    </row>
    <row r="463">
      <c r="A463" s="73"/>
      <c r="B463" s="73"/>
      <c r="C463" s="73"/>
      <c r="D463" s="74"/>
      <c r="E463" s="73"/>
      <c r="F463" s="73"/>
      <c r="G463" s="73"/>
      <c r="H463" s="73"/>
      <c r="I463" s="73"/>
      <c r="J463" s="73"/>
      <c r="K463" s="92"/>
      <c r="L463" s="73"/>
      <c r="M463" s="73"/>
      <c r="N463" s="73"/>
      <c r="O463" s="73"/>
      <c r="P463" s="73"/>
      <c r="Q463" s="75"/>
      <c r="R463" s="82"/>
      <c r="S463" s="73"/>
      <c r="T463" s="73"/>
      <c r="U463" s="73"/>
      <c r="V463" s="73"/>
      <c r="W463" s="73"/>
      <c r="X463" s="73"/>
      <c r="Y463" s="77"/>
      <c r="Z463" s="104"/>
      <c r="AA463" s="73"/>
      <c r="AB463" s="104"/>
      <c r="AC463" s="104"/>
      <c r="AD463" s="74"/>
      <c r="AE463" s="106"/>
      <c r="AF463" s="195"/>
      <c r="AG463" s="80"/>
      <c r="AH463" s="104"/>
      <c r="AI463" s="73"/>
      <c r="AJ463" s="114"/>
      <c r="AK463" s="106"/>
      <c r="AL463" s="74"/>
      <c r="AM463" s="73"/>
      <c r="AN463" s="73"/>
      <c r="AO463" s="102"/>
      <c r="AP463" s="73"/>
      <c r="AQ463" s="73"/>
      <c r="AR463" s="74"/>
      <c r="AS463" s="73"/>
      <c r="AT463" s="73"/>
      <c r="AU463" s="73"/>
      <c r="AV463" s="73"/>
      <c r="AW463" s="73"/>
      <c r="AX463" s="74"/>
      <c r="AY463" s="73"/>
      <c r="AZ463" s="73"/>
      <c r="BA463" s="74"/>
      <c r="BB463" s="73"/>
      <c r="BC463" s="73"/>
      <c r="BD463" s="73"/>
      <c r="BE463" s="73"/>
      <c r="BF463" s="73"/>
      <c r="BG463" s="73"/>
      <c r="BH463" s="73"/>
      <c r="BI463" s="73"/>
      <c r="BJ463" s="73"/>
      <c r="BK463" s="73"/>
      <c r="BL463" s="73"/>
      <c r="BM463" s="73"/>
      <c r="BN463" s="73"/>
      <c r="BO463" s="73"/>
      <c r="BP463" s="73"/>
      <c r="BQ463" s="73"/>
      <c r="BR463" s="73"/>
      <c r="BS463" s="73"/>
      <c r="BT463" s="74"/>
      <c r="BU463" s="73"/>
      <c r="BV463" s="73"/>
      <c r="BW463" s="73"/>
      <c r="BX463" s="73"/>
      <c r="BY463" s="73"/>
      <c r="BZ463" s="73"/>
      <c r="CA463" s="73"/>
      <c r="CB463" s="73"/>
      <c r="CC463" s="73"/>
      <c r="CD463" s="73"/>
      <c r="CE463" s="73"/>
    </row>
    <row r="464">
      <c r="A464" s="73"/>
      <c r="B464" s="73"/>
      <c r="C464" s="73"/>
      <c r="D464" s="74"/>
      <c r="E464" s="73"/>
      <c r="F464" s="73"/>
      <c r="G464" s="73"/>
      <c r="H464" s="73"/>
      <c r="I464" s="73"/>
      <c r="J464" s="73"/>
      <c r="K464" s="92"/>
      <c r="L464" s="73"/>
      <c r="M464" s="73"/>
      <c r="N464" s="73"/>
      <c r="O464" s="73"/>
      <c r="P464" s="73"/>
      <c r="Q464" s="75"/>
      <c r="R464" s="82"/>
      <c r="S464" s="73"/>
      <c r="T464" s="73"/>
      <c r="U464" s="73"/>
      <c r="V464" s="73"/>
      <c r="W464" s="73"/>
      <c r="X464" s="73"/>
      <c r="Y464" s="77"/>
      <c r="Z464" s="104"/>
      <c r="AA464" s="73"/>
      <c r="AB464" s="104"/>
      <c r="AC464" s="104"/>
      <c r="AD464" s="74"/>
      <c r="AE464" s="106"/>
      <c r="AF464" s="195"/>
      <c r="AG464" s="80"/>
      <c r="AH464" s="104"/>
      <c r="AI464" s="73"/>
      <c r="AJ464" s="114"/>
      <c r="AK464" s="106"/>
      <c r="AL464" s="74"/>
      <c r="AM464" s="73"/>
      <c r="AN464" s="73"/>
      <c r="AO464" s="102"/>
      <c r="AP464" s="73"/>
      <c r="AQ464" s="73"/>
      <c r="AR464" s="74"/>
      <c r="AS464" s="73"/>
      <c r="AT464" s="73"/>
      <c r="AU464" s="73"/>
      <c r="AV464" s="73"/>
      <c r="AW464" s="73"/>
      <c r="AX464" s="74"/>
      <c r="AY464" s="73"/>
      <c r="AZ464" s="73"/>
      <c r="BA464" s="74"/>
      <c r="BB464" s="73"/>
      <c r="BC464" s="73"/>
      <c r="BD464" s="73"/>
      <c r="BE464" s="73"/>
      <c r="BF464" s="73"/>
      <c r="BG464" s="73"/>
      <c r="BH464" s="73"/>
      <c r="BI464" s="73"/>
      <c r="BJ464" s="73"/>
      <c r="BK464" s="73"/>
      <c r="BL464" s="73"/>
      <c r="BM464" s="73"/>
      <c r="BN464" s="73"/>
      <c r="BO464" s="73"/>
      <c r="BP464" s="73"/>
      <c r="BQ464" s="73"/>
      <c r="BR464" s="73"/>
      <c r="BS464" s="73"/>
      <c r="BT464" s="74"/>
      <c r="BU464" s="73"/>
      <c r="BV464" s="73"/>
      <c r="BW464" s="73"/>
      <c r="BX464" s="73"/>
      <c r="BY464" s="73"/>
      <c r="BZ464" s="73"/>
      <c r="CA464" s="73"/>
      <c r="CB464" s="73"/>
      <c r="CC464" s="73"/>
      <c r="CD464" s="73"/>
      <c r="CE464" s="73"/>
    </row>
    <row r="465">
      <c r="A465" s="73"/>
      <c r="B465" s="73"/>
      <c r="C465" s="73"/>
      <c r="D465" s="74"/>
      <c r="E465" s="73"/>
      <c r="F465" s="73"/>
      <c r="G465" s="73"/>
      <c r="H465" s="73"/>
      <c r="I465" s="73"/>
      <c r="J465" s="73"/>
      <c r="K465" s="92"/>
      <c r="L465" s="73"/>
      <c r="M465" s="73"/>
      <c r="N465" s="73"/>
      <c r="O465" s="73"/>
      <c r="P465" s="73"/>
      <c r="Q465" s="75"/>
      <c r="R465" s="82"/>
      <c r="S465" s="73"/>
      <c r="T465" s="73"/>
      <c r="U465" s="73"/>
      <c r="V465" s="73"/>
      <c r="W465" s="73"/>
      <c r="X465" s="73"/>
      <c r="Y465" s="77"/>
      <c r="Z465" s="104"/>
      <c r="AA465" s="73"/>
      <c r="AB465" s="104"/>
      <c r="AC465" s="104"/>
      <c r="AD465" s="74"/>
      <c r="AE465" s="106"/>
      <c r="AF465" s="195"/>
      <c r="AG465" s="80"/>
      <c r="AH465" s="104"/>
      <c r="AI465" s="73"/>
      <c r="AJ465" s="114"/>
      <c r="AK465" s="106"/>
      <c r="AL465" s="74"/>
      <c r="AM465" s="73"/>
      <c r="AN465" s="73"/>
      <c r="AO465" s="102"/>
      <c r="AP465" s="73"/>
      <c r="AQ465" s="73"/>
      <c r="AR465" s="74"/>
      <c r="AS465" s="73"/>
      <c r="AT465" s="73"/>
      <c r="AU465" s="73"/>
      <c r="AV465" s="73"/>
      <c r="AW465" s="73"/>
      <c r="AX465" s="74"/>
      <c r="AY465" s="73"/>
      <c r="AZ465" s="73"/>
      <c r="BA465" s="74"/>
      <c r="BB465" s="73"/>
      <c r="BC465" s="73"/>
      <c r="BD465" s="73"/>
      <c r="BE465" s="73"/>
      <c r="BF465" s="73"/>
      <c r="BG465" s="73"/>
      <c r="BH465" s="73"/>
      <c r="BI465" s="73"/>
      <c r="BJ465" s="73"/>
      <c r="BK465" s="73"/>
      <c r="BL465" s="73"/>
      <c r="BM465" s="73"/>
      <c r="BN465" s="73"/>
      <c r="BO465" s="73"/>
      <c r="BP465" s="73"/>
      <c r="BQ465" s="73"/>
      <c r="BR465" s="73"/>
      <c r="BS465" s="73"/>
      <c r="BT465" s="74"/>
      <c r="BU465" s="73"/>
      <c r="BV465" s="73"/>
      <c r="BW465" s="73"/>
      <c r="BX465" s="73"/>
      <c r="BY465" s="73"/>
      <c r="BZ465" s="73"/>
      <c r="CA465" s="73"/>
      <c r="CB465" s="73"/>
      <c r="CC465" s="73"/>
      <c r="CD465" s="73"/>
      <c r="CE465" s="73"/>
    </row>
    <row r="466">
      <c r="A466" s="73"/>
      <c r="B466" s="73"/>
      <c r="C466" s="73"/>
      <c r="D466" s="74"/>
      <c r="E466" s="73"/>
      <c r="F466" s="73"/>
      <c r="G466" s="73"/>
      <c r="H466" s="73"/>
      <c r="I466" s="73"/>
      <c r="J466" s="73"/>
      <c r="K466" s="92"/>
      <c r="L466" s="73"/>
      <c r="M466" s="73"/>
      <c r="N466" s="73"/>
      <c r="O466" s="73"/>
      <c r="P466" s="73"/>
      <c r="Q466" s="75"/>
      <c r="R466" s="82"/>
      <c r="S466" s="73"/>
      <c r="T466" s="73"/>
      <c r="U466" s="73"/>
      <c r="V466" s="73"/>
      <c r="W466" s="73"/>
      <c r="X466" s="73"/>
      <c r="Y466" s="77"/>
      <c r="Z466" s="104"/>
      <c r="AA466" s="73"/>
      <c r="AB466" s="104"/>
      <c r="AC466" s="104"/>
      <c r="AD466" s="74"/>
      <c r="AE466" s="106"/>
      <c r="AF466" s="195"/>
      <c r="AG466" s="80"/>
      <c r="AH466" s="104"/>
      <c r="AI466" s="73"/>
      <c r="AJ466" s="114"/>
      <c r="AK466" s="106"/>
      <c r="AL466" s="74"/>
      <c r="AM466" s="73"/>
      <c r="AN466" s="73"/>
      <c r="AO466" s="102"/>
      <c r="AP466" s="73"/>
      <c r="AQ466" s="73"/>
      <c r="AR466" s="74"/>
      <c r="AS466" s="73"/>
      <c r="AT466" s="73"/>
      <c r="AU466" s="73"/>
      <c r="AV466" s="73"/>
      <c r="AW466" s="73"/>
      <c r="AX466" s="74"/>
      <c r="AY466" s="73"/>
      <c r="AZ466" s="73"/>
      <c r="BA466" s="74"/>
      <c r="BB466" s="73"/>
      <c r="BC466" s="73"/>
      <c r="BD466" s="73"/>
      <c r="BE466" s="73"/>
      <c r="BF466" s="73"/>
      <c r="BG466" s="73"/>
      <c r="BH466" s="73"/>
      <c r="BI466" s="73"/>
      <c r="BJ466" s="73"/>
      <c r="BK466" s="73"/>
      <c r="BL466" s="73"/>
      <c r="BM466" s="73"/>
      <c r="BN466" s="73"/>
      <c r="BO466" s="73"/>
      <c r="BP466" s="73"/>
      <c r="BQ466" s="73"/>
      <c r="BR466" s="73"/>
      <c r="BS466" s="73"/>
      <c r="BT466" s="74"/>
      <c r="BU466" s="73"/>
      <c r="BV466" s="73"/>
      <c r="BW466" s="73"/>
      <c r="BX466" s="73"/>
      <c r="BY466" s="73"/>
      <c r="BZ466" s="73"/>
      <c r="CA466" s="73"/>
      <c r="CB466" s="73"/>
      <c r="CC466" s="73"/>
      <c r="CD466" s="73"/>
      <c r="CE466" s="73"/>
    </row>
    <row r="467">
      <c r="A467" s="73"/>
      <c r="B467" s="73"/>
      <c r="C467" s="73"/>
      <c r="D467" s="74"/>
      <c r="E467" s="73"/>
      <c r="F467" s="73"/>
      <c r="G467" s="73"/>
      <c r="H467" s="73"/>
      <c r="I467" s="73"/>
      <c r="J467" s="73"/>
      <c r="K467" s="92"/>
      <c r="L467" s="73"/>
      <c r="M467" s="73"/>
      <c r="N467" s="73"/>
      <c r="O467" s="73"/>
      <c r="P467" s="73"/>
      <c r="Q467" s="75"/>
      <c r="R467" s="82"/>
      <c r="S467" s="73"/>
      <c r="T467" s="73"/>
      <c r="U467" s="73"/>
      <c r="V467" s="73"/>
      <c r="W467" s="73"/>
      <c r="X467" s="73"/>
      <c r="Y467" s="77"/>
      <c r="Z467" s="104"/>
      <c r="AA467" s="73"/>
      <c r="AB467" s="104"/>
      <c r="AC467" s="104"/>
      <c r="AD467" s="74"/>
      <c r="AE467" s="106"/>
      <c r="AF467" s="195"/>
      <c r="AG467" s="80"/>
      <c r="AH467" s="104"/>
      <c r="AI467" s="73"/>
      <c r="AJ467" s="114"/>
      <c r="AK467" s="106"/>
      <c r="AL467" s="74"/>
      <c r="AM467" s="73"/>
      <c r="AN467" s="73"/>
      <c r="AO467" s="102"/>
      <c r="AP467" s="73"/>
      <c r="AQ467" s="73"/>
      <c r="AR467" s="74"/>
      <c r="AS467" s="73"/>
      <c r="AT467" s="73"/>
      <c r="AU467" s="73"/>
      <c r="AV467" s="73"/>
      <c r="AW467" s="73"/>
      <c r="AX467" s="74"/>
      <c r="AY467" s="73"/>
      <c r="AZ467" s="73"/>
      <c r="BA467" s="74"/>
      <c r="BB467" s="73"/>
      <c r="BC467" s="73"/>
      <c r="BD467" s="73"/>
      <c r="BE467" s="73"/>
      <c r="BF467" s="73"/>
      <c r="BG467" s="73"/>
      <c r="BH467" s="73"/>
      <c r="BI467" s="73"/>
      <c r="BJ467" s="73"/>
      <c r="BK467" s="73"/>
      <c r="BL467" s="73"/>
      <c r="BM467" s="73"/>
      <c r="BN467" s="73"/>
      <c r="BO467" s="73"/>
      <c r="BP467" s="73"/>
      <c r="BQ467" s="73"/>
      <c r="BR467" s="73"/>
      <c r="BS467" s="73"/>
      <c r="BT467" s="74"/>
      <c r="BU467" s="73"/>
      <c r="BV467" s="73"/>
      <c r="BW467" s="73"/>
      <c r="BX467" s="73"/>
      <c r="BY467" s="73"/>
      <c r="BZ467" s="73"/>
      <c r="CA467" s="73"/>
      <c r="CB467" s="73"/>
      <c r="CC467" s="73"/>
      <c r="CD467" s="73"/>
      <c r="CE467" s="73"/>
    </row>
    <row r="468">
      <c r="A468" s="73"/>
      <c r="B468" s="73"/>
      <c r="C468" s="73"/>
      <c r="D468" s="74"/>
      <c r="E468" s="73"/>
      <c r="F468" s="73"/>
      <c r="G468" s="73"/>
      <c r="H468" s="73"/>
      <c r="I468" s="73"/>
      <c r="J468" s="73"/>
      <c r="K468" s="92"/>
      <c r="L468" s="73"/>
      <c r="M468" s="73"/>
      <c r="N468" s="73"/>
      <c r="O468" s="73"/>
      <c r="P468" s="73"/>
      <c r="Q468" s="75"/>
      <c r="R468" s="82"/>
      <c r="S468" s="73"/>
      <c r="T468" s="73"/>
      <c r="U468" s="73"/>
      <c r="V468" s="73"/>
      <c r="W468" s="73"/>
      <c r="X468" s="73"/>
      <c r="Y468" s="77"/>
      <c r="Z468" s="104"/>
      <c r="AA468" s="73"/>
      <c r="AB468" s="104"/>
      <c r="AC468" s="104"/>
      <c r="AD468" s="74"/>
      <c r="AE468" s="106"/>
      <c r="AF468" s="195"/>
      <c r="AG468" s="80"/>
      <c r="AH468" s="104"/>
      <c r="AI468" s="73"/>
      <c r="AJ468" s="114"/>
      <c r="AK468" s="106"/>
      <c r="AL468" s="74"/>
      <c r="AM468" s="73"/>
      <c r="AN468" s="73"/>
      <c r="AO468" s="102"/>
      <c r="AP468" s="73"/>
      <c r="AQ468" s="73"/>
      <c r="AR468" s="74"/>
      <c r="AS468" s="73"/>
      <c r="AT468" s="73"/>
      <c r="AU468" s="73"/>
      <c r="AV468" s="73"/>
      <c r="AW468" s="73"/>
      <c r="AX468" s="74"/>
      <c r="AY468" s="73"/>
      <c r="AZ468" s="73"/>
      <c r="BA468" s="74"/>
      <c r="BB468" s="73"/>
      <c r="BC468" s="73"/>
      <c r="BD468" s="73"/>
      <c r="BE468" s="73"/>
      <c r="BF468" s="73"/>
      <c r="BG468" s="73"/>
      <c r="BH468" s="73"/>
      <c r="BI468" s="73"/>
      <c r="BJ468" s="73"/>
      <c r="BK468" s="73"/>
      <c r="BL468" s="73"/>
      <c r="BM468" s="73"/>
      <c r="BN468" s="73"/>
      <c r="BO468" s="73"/>
      <c r="BP468" s="73"/>
      <c r="BQ468" s="73"/>
      <c r="BR468" s="73"/>
      <c r="BS468" s="73"/>
      <c r="BT468" s="74"/>
      <c r="BU468" s="73"/>
      <c r="BV468" s="73"/>
      <c r="BW468" s="73"/>
      <c r="BX468" s="73"/>
      <c r="BY468" s="73"/>
      <c r="BZ468" s="73"/>
      <c r="CA468" s="73"/>
      <c r="CB468" s="73"/>
      <c r="CC468" s="73"/>
      <c r="CD468" s="73"/>
      <c r="CE468" s="73"/>
    </row>
    <row r="469">
      <c r="A469" s="73"/>
      <c r="B469" s="73"/>
      <c r="C469" s="73"/>
      <c r="D469" s="74"/>
      <c r="E469" s="73"/>
      <c r="F469" s="73"/>
      <c r="G469" s="73"/>
      <c r="H469" s="73"/>
      <c r="I469" s="73"/>
      <c r="J469" s="73"/>
      <c r="K469" s="92"/>
      <c r="L469" s="73"/>
      <c r="M469" s="73"/>
      <c r="N469" s="73"/>
      <c r="O469" s="73"/>
      <c r="P469" s="73"/>
      <c r="Q469" s="75"/>
      <c r="R469" s="82"/>
      <c r="S469" s="73"/>
      <c r="T469" s="73"/>
      <c r="U469" s="73"/>
      <c r="V469" s="73"/>
      <c r="W469" s="73"/>
      <c r="X469" s="73"/>
      <c r="Y469" s="77"/>
      <c r="Z469" s="104"/>
      <c r="AA469" s="73"/>
      <c r="AB469" s="104"/>
      <c r="AC469" s="104"/>
      <c r="AD469" s="74"/>
      <c r="AE469" s="106"/>
      <c r="AF469" s="195"/>
      <c r="AG469" s="80"/>
      <c r="AH469" s="104"/>
      <c r="AI469" s="73"/>
      <c r="AJ469" s="114"/>
      <c r="AK469" s="106"/>
      <c r="AL469" s="74"/>
      <c r="AM469" s="73"/>
      <c r="AN469" s="73"/>
      <c r="AO469" s="102"/>
      <c r="AP469" s="73"/>
      <c r="AQ469" s="73"/>
      <c r="AR469" s="74"/>
      <c r="AS469" s="73"/>
      <c r="AT469" s="73"/>
      <c r="AU469" s="73"/>
      <c r="AV469" s="73"/>
      <c r="AW469" s="73"/>
      <c r="AX469" s="74"/>
      <c r="AY469" s="73"/>
      <c r="AZ469" s="73"/>
      <c r="BA469" s="74"/>
      <c r="BB469" s="73"/>
      <c r="BC469" s="73"/>
      <c r="BD469" s="73"/>
      <c r="BE469" s="73"/>
      <c r="BF469" s="73"/>
      <c r="BG469" s="73"/>
      <c r="BH469" s="73"/>
      <c r="BI469" s="73"/>
      <c r="BJ469" s="73"/>
      <c r="BK469" s="73"/>
      <c r="BL469" s="73"/>
      <c r="BM469" s="73"/>
      <c r="BN469" s="73"/>
      <c r="BO469" s="73"/>
      <c r="BP469" s="73"/>
      <c r="BQ469" s="73"/>
      <c r="BR469" s="73"/>
      <c r="BS469" s="73"/>
      <c r="BT469" s="74"/>
      <c r="BU469" s="73"/>
      <c r="BV469" s="73"/>
      <c r="BW469" s="73"/>
      <c r="BX469" s="73"/>
      <c r="BY469" s="73"/>
      <c r="BZ469" s="73"/>
      <c r="CA469" s="73"/>
      <c r="CB469" s="73"/>
      <c r="CC469" s="73"/>
      <c r="CD469" s="73"/>
      <c r="CE469" s="73"/>
    </row>
    <row r="470">
      <c r="A470" s="73"/>
      <c r="B470" s="73"/>
      <c r="C470" s="73"/>
      <c r="D470" s="74"/>
      <c r="E470" s="73"/>
      <c r="F470" s="73"/>
      <c r="G470" s="73"/>
      <c r="H470" s="73"/>
      <c r="I470" s="73"/>
      <c r="J470" s="73"/>
      <c r="K470" s="92"/>
      <c r="L470" s="73"/>
      <c r="M470" s="73"/>
      <c r="N470" s="73"/>
      <c r="O470" s="73"/>
      <c r="P470" s="73"/>
      <c r="Q470" s="75"/>
      <c r="R470" s="82"/>
      <c r="S470" s="73"/>
      <c r="T470" s="73"/>
      <c r="U470" s="73"/>
      <c r="V470" s="73"/>
      <c r="W470" s="73"/>
      <c r="X470" s="73"/>
      <c r="Y470" s="77"/>
      <c r="Z470" s="104"/>
      <c r="AA470" s="73"/>
      <c r="AB470" s="104"/>
      <c r="AC470" s="104"/>
      <c r="AD470" s="74"/>
      <c r="AE470" s="106"/>
      <c r="AF470" s="195"/>
      <c r="AG470" s="80"/>
      <c r="AH470" s="104"/>
      <c r="AI470" s="73"/>
      <c r="AJ470" s="114"/>
      <c r="AK470" s="106"/>
      <c r="AL470" s="74"/>
      <c r="AM470" s="73"/>
      <c r="AN470" s="73"/>
      <c r="AO470" s="102"/>
      <c r="AP470" s="73"/>
      <c r="AQ470" s="73"/>
      <c r="AR470" s="74"/>
      <c r="AS470" s="73"/>
      <c r="AT470" s="73"/>
      <c r="AU470" s="73"/>
      <c r="AV470" s="73"/>
      <c r="AW470" s="73"/>
      <c r="AX470" s="74"/>
      <c r="AY470" s="73"/>
      <c r="AZ470" s="73"/>
      <c r="BA470" s="74"/>
      <c r="BB470" s="73"/>
      <c r="BC470" s="73"/>
      <c r="BD470" s="73"/>
      <c r="BE470" s="73"/>
      <c r="BF470" s="73"/>
      <c r="BG470" s="73"/>
      <c r="BH470" s="73"/>
      <c r="BI470" s="73"/>
      <c r="BJ470" s="73"/>
      <c r="BK470" s="73"/>
      <c r="BL470" s="73"/>
      <c r="BM470" s="73"/>
      <c r="BN470" s="73"/>
      <c r="BO470" s="73"/>
      <c r="BP470" s="73"/>
      <c r="BQ470" s="73"/>
      <c r="BR470" s="73"/>
      <c r="BS470" s="73"/>
      <c r="BT470" s="74"/>
      <c r="BU470" s="73"/>
      <c r="BV470" s="73"/>
      <c r="BW470" s="73"/>
      <c r="BX470" s="73"/>
      <c r="BY470" s="73"/>
      <c r="BZ470" s="73"/>
      <c r="CA470" s="73"/>
      <c r="CB470" s="73"/>
      <c r="CC470" s="73"/>
      <c r="CD470" s="73"/>
      <c r="CE470" s="73"/>
    </row>
    <row r="471">
      <c r="A471" s="73"/>
      <c r="B471" s="73"/>
      <c r="C471" s="73"/>
      <c r="D471" s="74"/>
      <c r="E471" s="73"/>
      <c r="F471" s="73"/>
      <c r="G471" s="73"/>
      <c r="H471" s="73"/>
      <c r="I471" s="73"/>
      <c r="J471" s="73"/>
      <c r="K471" s="92"/>
      <c r="L471" s="73"/>
      <c r="M471" s="73"/>
      <c r="N471" s="73"/>
      <c r="O471" s="73"/>
      <c r="P471" s="73"/>
      <c r="Q471" s="75"/>
      <c r="R471" s="82"/>
      <c r="S471" s="73"/>
      <c r="T471" s="73"/>
      <c r="U471" s="73"/>
      <c r="V471" s="73"/>
      <c r="W471" s="73"/>
      <c r="X471" s="73"/>
      <c r="Y471" s="77"/>
      <c r="Z471" s="104"/>
      <c r="AA471" s="73"/>
      <c r="AB471" s="104"/>
      <c r="AC471" s="104"/>
      <c r="AD471" s="74"/>
      <c r="AE471" s="106"/>
      <c r="AF471" s="195"/>
      <c r="AG471" s="80"/>
      <c r="AH471" s="104"/>
      <c r="AI471" s="73"/>
      <c r="AJ471" s="114"/>
      <c r="AK471" s="106"/>
      <c r="AL471" s="74"/>
      <c r="AM471" s="73"/>
      <c r="AN471" s="73"/>
      <c r="AO471" s="102"/>
      <c r="AP471" s="73"/>
      <c r="AQ471" s="73"/>
      <c r="AR471" s="74"/>
      <c r="AS471" s="73"/>
      <c r="AT471" s="73"/>
      <c r="AU471" s="73"/>
      <c r="AV471" s="73"/>
      <c r="AW471" s="73"/>
      <c r="AX471" s="74"/>
      <c r="AY471" s="73"/>
      <c r="AZ471" s="73"/>
      <c r="BA471" s="74"/>
      <c r="BB471" s="73"/>
      <c r="BC471" s="73"/>
      <c r="BD471" s="73"/>
      <c r="BE471" s="73"/>
      <c r="BF471" s="73"/>
      <c r="BG471" s="73"/>
      <c r="BH471" s="73"/>
      <c r="BI471" s="73"/>
      <c r="BJ471" s="73"/>
      <c r="BK471" s="73"/>
      <c r="BL471" s="73"/>
      <c r="BM471" s="73"/>
      <c r="BN471" s="73"/>
      <c r="BO471" s="73"/>
      <c r="BP471" s="73"/>
      <c r="BQ471" s="73"/>
      <c r="BR471" s="73"/>
      <c r="BS471" s="73"/>
      <c r="BT471" s="74"/>
      <c r="BU471" s="73"/>
      <c r="BV471" s="73"/>
      <c r="BW471" s="73"/>
      <c r="BX471" s="73"/>
      <c r="BY471" s="73"/>
      <c r="BZ471" s="73"/>
      <c r="CA471" s="73"/>
      <c r="CB471" s="73"/>
      <c r="CC471" s="73"/>
      <c r="CD471" s="73"/>
      <c r="CE471" s="73"/>
    </row>
    <row r="472">
      <c r="A472" s="73"/>
      <c r="B472" s="73"/>
      <c r="C472" s="73"/>
      <c r="D472" s="74"/>
      <c r="E472" s="73"/>
      <c r="F472" s="73"/>
      <c r="G472" s="73"/>
      <c r="H472" s="73"/>
      <c r="I472" s="73"/>
      <c r="J472" s="73"/>
      <c r="K472" s="92"/>
      <c r="L472" s="73"/>
      <c r="M472" s="73"/>
      <c r="N472" s="73"/>
      <c r="O472" s="73"/>
      <c r="P472" s="73"/>
      <c r="Q472" s="75"/>
      <c r="R472" s="82"/>
      <c r="S472" s="73"/>
      <c r="T472" s="73"/>
      <c r="U472" s="73"/>
      <c r="V472" s="73"/>
      <c r="W472" s="73"/>
      <c r="X472" s="73"/>
      <c r="Y472" s="77"/>
      <c r="Z472" s="104"/>
      <c r="AA472" s="73"/>
      <c r="AB472" s="104"/>
      <c r="AC472" s="104"/>
      <c r="AD472" s="74"/>
      <c r="AE472" s="106"/>
      <c r="AF472" s="195"/>
      <c r="AG472" s="80"/>
      <c r="AH472" s="104"/>
      <c r="AI472" s="73"/>
      <c r="AJ472" s="114"/>
      <c r="AK472" s="106"/>
      <c r="AL472" s="74"/>
      <c r="AM472" s="73"/>
      <c r="AN472" s="73"/>
      <c r="AO472" s="102"/>
      <c r="AP472" s="73"/>
      <c r="AQ472" s="73"/>
      <c r="AR472" s="74"/>
      <c r="AS472" s="73"/>
      <c r="AT472" s="73"/>
      <c r="AU472" s="73"/>
      <c r="AV472" s="73"/>
      <c r="AW472" s="73"/>
      <c r="AX472" s="74"/>
      <c r="AY472" s="73"/>
      <c r="AZ472" s="73"/>
      <c r="BA472" s="74"/>
      <c r="BB472" s="73"/>
      <c r="BC472" s="73"/>
      <c r="BD472" s="73"/>
      <c r="BE472" s="73"/>
      <c r="BF472" s="73"/>
      <c r="BG472" s="73"/>
      <c r="BH472" s="73"/>
      <c r="BI472" s="73"/>
      <c r="BJ472" s="73"/>
      <c r="BK472" s="73"/>
      <c r="BL472" s="73"/>
      <c r="BM472" s="73"/>
      <c r="BN472" s="73"/>
      <c r="BO472" s="73"/>
      <c r="BP472" s="73"/>
      <c r="BQ472" s="73"/>
      <c r="BR472" s="73"/>
      <c r="BS472" s="73"/>
      <c r="BT472" s="74"/>
      <c r="BU472" s="73"/>
      <c r="BV472" s="73"/>
      <c r="BW472" s="73"/>
      <c r="BX472" s="73"/>
      <c r="BY472" s="73"/>
      <c r="BZ472" s="73"/>
      <c r="CA472" s="73"/>
      <c r="CB472" s="73"/>
      <c r="CC472" s="73"/>
      <c r="CD472" s="73"/>
      <c r="CE472" s="73"/>
    </row>
    <row r="473">
      <c r="A473" s="73"/>
      <c r="B473" s="73"/>
      <c r="C473" s="73"/>
      <c r="D473" s="74"/>
      <c r="E473" s="73"/>
      <c r="F473" s="73"/>
      <c r="G473" s="73"/>
      <c r="H473" s="73"/>
      <c r="I473" s="73"/>
      <c r="J473" s="73"/>
      <c r="K473" s="92"/>
      <c r="L473" s="73"/>
      <c r="M473" s="73"/>
      <c r="N473" s="73"/>
      <c r="O473" s="73"/>
      <c r="P473" s="73"/>
      <c r="Q473" s="75"/>
      <c r="R473" s="82"/>
      <c r="S473" s="73"/>
      <c r="T473" s="73"/>
      <c r="U473" s="73"/>
      <c r="V473" s="73"/>
      <c r="W473" s="73"/>
      <c r="X473" s="73"/>
      <c r="Y473" s="77"/>
      <c r="Z473" s="104"/>
      <c r="AA473" s="73"/>
      <c r="AB473" s="104"/>
      <c r="AC473" s="104"/>
      <c r="AD473" s="74"/>
      <c r="AE473" s="106"/>
      <c r="AF473" s="195"/>
      <c r="AG473" s="80"/>
      <c r="AH473" s="104"/>
      <c r="AI473" s="73"/>
      <c r="AJ473" s="114"/>
      <c r="AK473" s="106"/>
      <c r="AL473" s="74"/>
      <c r="AM473" s="73"/>
      <c r="AN473" s="73"/>
      <c r="AO473" s="102"/>
      <c r="AP473" s="73"/>
      <c r="AQ473" s="73"/>
      <c r="AR473" s="74"/>
      <c r="AS473" s="73"/>
      <c r="AT473" s="73"/>
      <c r="AU473" s="73"/>
      <c r="AV473" s="73"/>
      <c r="AW473" s="73"/>
      <c r="AX473" s="74"/>
      <c r="AY473" s="73"/>
      <c r="AZ473" s="73"/>
      <c r="BA473" s="74"/>
      <c r="BB473" s="73"/>
      <c r="BC473" s="73"/>
      <c r="BD473" s="73"/>
      <c r="BE473" s="73"/>
      <c r="BF473" s="73"/>
      <c r="BG473" s="73"/>
      <c r="BH473" s="73"/>
      <c r="BI473" s="73"/>
      <c r="BJ473" s="73"/>
      <c r="BK473" s="73"/>
      <c r="BL473" s="73"/>
      <c r="BM473" s="73"/>
      <c r="BN473" s="73"/>
      <c r="BO473" s="73"/>
      <c r="BP473" s="73"/>
      <c r="BQ473" s="73"/>
      <c r="BR473" s="73"/>
      <c r="BS473" s="73"/>
      <c r="BT473" s="74"/>
      <c r="BU473" s="73"/>
      <c r="BV473" s="73"/>
      <c r="BW473" s="73"/>
      <c r="BX473" s="73"/>
      <c r="BY473" s="73"/>
      <c r="BZ473" s="73"/>
      <c r="CA473" s="73"/>
      <c r="CB473" s="73"/>
      <c r="CC473" s="73"/>
      <c r="CD473" s="73"/>
      <c r="CE473" s="73"/>
    </row>
    <row r="474">
      <c r="A474" s="73"/>
      <c r="B474" s="73"/>
      <c r="C474" s="73"/>
      <c r="D474" s="74"/>
      <c r="E474" s="73"/>
      <c r="F474" s="73"/>
      <c r="G474" s="73"/>
      <c r="H474" s="73"/>
      <c r="I474" s="73"/>
      <c r="J474" s="73"/>
      <c r="K474" s="92"/>
      <c r="L474" s="73"/>
      <c r="M474" s="73"/>
      <c r="N474" s="73"/>
      <c r="O474" s="73"/>
      <c r="P474" s="73"/>
      <c r="Q474" s="75"/>
      <c r="R474" s="82"/>
      <c r="S474" s="73"/>
      <c r="T474" s="73"/>
      <c r="U474" s="73"/>
      <c r="V474" s="73"/>
      <c r="W474" s="73"/>
      <c r="X474" s="73"/>
      <c r="Y474" s="77"/>
      <c r="Z474" s="104"/>
      <c r="AA474" s="73"/>
      <c r="AB474" s="104"/>
      <c r="AC474" s="104"/>
      <c r="AD474" s="74"/>
      <c r="AE474" s="106"/>
      <c r="AF474" s="195"/>
      <c r="AG474" s="80"/>
      <c r="AH474" s="104"/>
      <c r="AI474" s="73"/>
      <c r="AJ474" s="114"/>
      <c r="AK474" s="106"/>
      <c r="AL474" s="74"/>
      <c r="AM474" s="73"/>
      <c r="AN474" s="73"/>
      <c r="AO474" s="102"/>
      <c r="AP474" s="73"/>
      <c r="AQ474" s="73"/>
      <c r="AR474" s="74"/>
      <c r="AS474" s="73"/>
      <c r="AT474" s="73"/>
      <c r="AU474" s="73"/>
      <c r="AV474" s="73"/>
      <c r="AW474" s="73"/>
      <c r="AX474" s="74"/>
      <c r="AY474" s="73"/>
      <c r="AZ474" s="73"/>
      <c r="BA474" s="74"/>
      <c r="BB474" s="73"/>
      <c r="BC474" s="73"/>
      <c r="BD474" s="73"/>
      <c r="BE474" s="73"/>
      <c r="BF474" s="73"/>
      <c r="BG474" s="73"/>
      <c r="BH474" s="73"/>
      <c r="BI474" s="73"/>
      <c r="BJ474" s="73"/>
      <c r="BK474" s="73"/>
      <c r="BL474" s="73"/>
      <c r="BM474" s="73"/>
      <c r="BN474" s="73"/>
      <c r="BO474" s="73"/>
      <c r="BP474" s="73"/>
      <c r="BQ474" s="73"/>
      <c r="BR474" s="73"/>
      <c r="BS474" s="73"/>
      <c r="BT474" s="74"/>
      <c r="BU474" s="73"/>
      <c r="BV474" s="73"/>
      <c r="BW474" s="73"/>
      <c r="BX474" s="73"/>
      <c r="BY474" s="73"/>
      <c r="BZ474" s="73"/>
      <c r="CA474" s="73"/>
      <c r="CB474" s="73"/>
      <c r="CC474" s="73"/>
      <c r="CD474" s="73"/>
      <c r="CE474" s="73"/>
    </row>
    <row r="475">
      <c r="A475" s="73"/>
      <c r="B475" s="73"/>
      <c r="C475" s="73"/>
      <c r="D475" s="74"/>
      <c r="E475" s="73"/>
      <c r="F475" s="73"/>
      <c r="G475" s="73"/>
      <c r="H475" s="73"/>
      <c r="I475" s="73"/>
      <c r="J475" s="73"/>
      <c r="K475" s="92"/>
      <c r="L475" s="73"/>
      <c r="M475" s="73"/>
      <c r="N475" s="73"/>
      <c r="O475" s="73"/>
      <c r="P475" s="73"/>
      <c r="Q475" s="75"/>
      <c r="R475" s="82"/>
      <c r="S475" s="73"/>
      <c r="T475" s="73"/>
      <c r="U475" s="73"/>
      <c r="V475" s="73"/>
      <c r="W475" s="73"/>
      <c r="X475" s="73"/>
      <c r="Y475" s="77"/>
      <c r="Z475" s="104"/>
      <c r="AA475" s="73"/>
      <c r="AB475" s="104"/>
      <c r="AC475" s="104"/>
      <c r="AD475" s="74"/>
      <c r="AE475" s="106"/>
      <c r="AF475" s="195"/>
      <c r="AG475" s="80"/>
      <c r="AH475" s="104"/>
      <c r="AI475" s="73"/>
      <c r="AJ475" s="114"/>
      <c r="AK475" s="106"/>
      <c r="AL475" s="74"/>
      <c r="AM475" s="73"/>
      <c r="AN475" s="73"/>
      <c r="AO475" s="102"/>
      <c r="AP475" s="73"/>
      <c r="AQ475" s="73"/>
      <c r="AR475" s="74"/>
      <c r="AS475" s="73"/>
      <c r="AT475" s="73"/>
      <c r="AU475" s="73"/>
      <c r="AV475" s="73"/>
      <c r="AW475" s="73"/>
      <c r="AX475" s="74"/>
      <c r="AY475" s="73"/>
      <c r="AZ475" s="73"/>
      <c r="BA475" s="74"/>
      <c r="BB475" s="73"/>
      <c r="BC475" s="73"/>
      <c r="BD475" s="73"/>
      <c r="BE475" s="73"/>
      <c r="BF475" s="73"/>
      <c r="BG475" s="73"/>
      <c r="BH475" s="73"/>
      <c r="BI475" s="73"/>
      <c r="BJ475" s="73"/>
      <c r="BK475" s="73"/>
      <c r="BL475" s="73"/>
      <c r="BM475" s="73"/>
      <c r="BN475" s="73"/>
      <c r="BO475" s="73"/>
      <c r="BP475" s="73"/>
      <c r="BQ475" s="73"/>
      <c r="BR475" s="73"/>
      <c r="BS475" s="73"/>
      <c r="BT475" s="74"/>
      <c r="BU475" s="73"/>
      <c r="BV475" s="73"/>
      <c r="BW475" s="73"/>
      <c r="BX475" s="73"/>
      <c r="BY475" s="73"/>
      <c r="BZ475" s="73"/>
      <c r="CA475" s="73"/>
      <c r="CB475" s="73"/>
      <c r="CC475" s="73"/>
      <c r="CD475" s="73"/>
      <c r="CE475" s="73"/>
    </row>
    <row r="476">
      <c r="A476" s="73"/>
      <c r="B476" s="73"/>
      <c r="C476" s="73"/>
      <c r="D476" s="74"/>
      <c r="E476" s="73"/>
      <c r="F476" s="73"/>
      <c r="G476" s="73"/>
      <c r="H476" s="73"/>
      <c r="I476" s="73"/>
      <c r="J476" s="73"/>
      <c r="K476" s="92"/>
      <c r="L476" s="73"/>
      <c r="M476" s="73"/>
      <c r="N476" s="73"/>
      <c r="O476" s="73"/>
      <c r="P476" s="73"/>
      <c r="Q476" s="75"/>
      <c r="R476" s="82"/>
      <c r="S476" s="73"/>
      <c r="T476" s="73"/>
      <c r="U476" s="73"/>
      <c r="V476" s="73"/>
      <c r="W476" s="73"/>
      <c r="X476" s="73"/>
      <c r="Y476" s="77"/>
      <c r="Z476" s="104"/>
      <c r="AA476" s="73"/>
      <c r="AB476" s="104"/>
      <c r="AC476" s="104"/>
      <c r="AD476" s="74"/>
      <c r="AE476" s="106"/>
      <c r="AF476" s="195"/>
      <c r="AG476" s="80"/>
      <c r="AH476" s="104"/>
      <c r="AI476" s="73"/>
      <c r="AJ476" s="114"/>
      <c r="AK476" s="106"/>
      <c r="AL476" s="74"/>
      <c r="AM476" s="73"/>
      <c r="AN476" s="73"/>
      <c r="AO476" s="102"/>
      <c r="AP476" s="73"/>
      <c r="AQ476" s="73"/>
      <c r="AR476" s="74"/>
      <c r="AS476" s="73"/>
      <c r="AT476" s="73"/>
      <c r="AU476" s="73"/>
      <c r="AV476" s="73"/>
      <c r="AW476" s="73"/>
      <c r="AX476" s="74"/>
      <c r="AY476" s="73"/>
      <c r="AZ476" s="73"/>
      <c r="BA476" s="74"/>
      <c r="BB476" s="73"/>
      <c r="BC476" s="73"/>
      <c r="BD476" s="73"/>
      <c r="BE476" s="73"/>
      <c r="BF476" s="73"/>
      <c r="BG476" s="73"/>
      <c r="BH476" s="73"/>
      <c r="BI476" s="73"/>
      <c r="BJ476" s="73"/>
      <c r="BK476" s="73"/>
      <c r="BL476" s="73"/>
      <c r="BM476" s="73"/>
      <c r="BN476" s="73"/>
      <c r="BO476" s="73"/>
      <c r="BP476" s="73"/>
      <c r="BQ476" s="73"/>
      <c r="BR476" s="73"/>
      <c r="BS476" s="73"/>
      <c r="BT476" s="74"/>
      <c r="BU476" s="73"/>
      <c r="BV476" s="73"/>
      <c r="BW476" s="73"/>
      <c r="BX476" s="73"/>
      <c r="BY476" s="73"/>
      <c r="BZ476" s="73"/>
      <c r="CA476" s="73"/>
      <c r="CB476" s="73"/>
      <c r="CC476" s="73"/>
      <c r="CD476" s="73"/>
      <c r="CE476" s="73"/>
    </row>
    <row r="477">
      <c r="A477" s="73"/>
      <c r="B477" s="73"/>
      <c r="C477" s="73"/>
      <c r="D477" s="74"/>
      <c r="E477" s="73"/>
      <c r="F477" s="73"/>
      <c r="G477" s="73"/>
      <c r="H477" s="73"/>
      <c r="I477" s="73"/>
      <c r="J477" s="73"/>
      <c r="K477" s="92"/>
      <c r="L477" s="73"/>
      <c r="M477" s="73"/>
      <c r="N477" s="73"/>
      <c r="O477" s="73"/>
      <c r="P477" s="73"/>
      <c r="Q477" s="75"/>
      <c r="R477" s="82"/>
      <c r="S477" s="73"/>
      <c r="T477" s="73"/>
      <c r="U477" s="73"/>
      <c r="V477" s="73"/>
      <c r="W477" s="73"/>
      <c r="X477" s="73"/>
      <c r="Y477" s="77"/>
      <c r="Z477" s="104"/>
      <c r="AA477" s="73"/>
      <c r="AB477" s="104"/>
      <c r="AC477" s="104"/>
      <c r="AD477" s="74"/>
      <c r="AE477" s="106"/>
      <c r="AF477" s="195"/>
      <c r="AG477" s="80"/>
      <c r="AH477" s="104"/>
      <c r="AI477" s="73"/>
      <c r="AJ477" s="114"/>
      <c r="AK477" s="106"/>
      <c r="AL477" s="74"/>
      <c r="AM477" s="73"/>
      <c r="AN477" s="73"/>
      <c r="AO477" s="102"/>
      <c r="AP477" s="73"/>
      <c r="AQ477" s="73"/>
      <c r="AR477" s="74"/>
      <c r="AS477" s="73"/>
      <c r="AT477" s="73"/>
      <c r="AU477" s="73"/>
      <c r="AV477" s="73"/>
      <c r="AW477" s="73"/>
      <c r="AX477" s="74"/>
      <c r="AY477" s="73"/>
      <c r="AZ477" s="73"/>
      <c r="BA477" s="74"/>
      <c r="BB477" s="73"/>
      <c r="BC477" s="73"/>
      <c r="BD477" s="73"/>
      <c r="BE477" s="73"/>
      <c r="BF477" s="73"/>
      <c r="BG477" s="73"/>
      <c r="BH477" s="73"/>
      <c r="BI477" s="73"/>
      <c r="BJ477" s="73"/>
      <c r="BK477" s="73"/>
      <c r="BL477" s="73"/>
      <c r="BM477" s="73"/>
      <c r="BN477" s="73"/>
      <c r="BO477" s="73"/>
      <c r="BP477" s="73"/>
      <c r="BQ477" s="73"/>
      <c r="BR477" s="73"/>
      <c r="BS477" s="73"/>
      <c r="BT477" s="74"/>
      <c r="BU477" s="73"/>
      <c r="BV477" s="73"/>
      <c r="BW477" s="73"/>
      <c r="BX477" s="73"/>
      <c r="BY477" s="73"/>
      <c r="BZ477" s="73"/>
      <c r="CA477" s="73"/>
      <c r="CB477" s="73"/>
      <c r="CC477" s="73"/>
      <c r="CD477" s="73"/>
      <c r="CE477" s="73"/>
    </row>
    <row r="478">
      <c r="A478" s="73"/>
      <c r="B478" s="73"/>
      <c r="C478" s="73"/>
      <c r="D478" s="74"/>
      <c r="E478" s="73"/>
      <c r="F478" s="73"/>
      <c r="G478" s="73"/>
      <c r="H478" s="73"/>
      <c r="I478" s="73"/>
      <c r="J478" s="73"/>
      <c r="K478" s="92"/>
      <c r="L478" s="73"/>
      <c r="M478" s="73"/>
      <c r="N478" s="73"/>
      <c r="O478" s="73"/>
      <c r="P478" s="73"/>
      <c r="Q478" s="75"/>
      <c r="R478" s="82"/>
      <c r="S478" s="73"/>
      <c r="T478" s="73"/>
      <c r="U478" s="73"/>
      <c r="V478" s="73"/>
      <c r="W478" s="73"/>
      <c r="X478" s="73"/>
      <c r="Y478" s="77"/>
      <c r="Z478" s="104"/>
      <c r="AA478" s="73"/>
      <c r="AB478" s="104"/>
      <c r="AC478" s="104"/>
      <c r="AD478" s="74"/>
      <c r="AE478" s="106"/>
      <c r="AF478" s="195"/>
      <c r="AG478" s="80"/>
      <c r="AH478" s="104"/>
      <c r="AI478" s="73"/>
      <c r="AJ478" s="114"/>
      <c r="AK478" s="106"/>
      <c r="AL478" s="74"/>
      <c r="AM478" s="73"/>
      <c r="AN478" s="73"/>
      <c r="AO478" s="102"/>
      <c r="AP478" s="73"/>
      <c r="AQ478" s="73"/>
      <c r="AR478" s="74"/>
      <c r="AS478" s="73"/>
      <c r="AT478" s="73"/>
      <c r="AU478" s="73"/>
      <c r="AV478" s="73"/>
      <c r="AW478" s="73"/>
      <c r="AX478" s="74"/>
      <c r="AY478" s="73"/>
      <c r="AZ478" s="73"/>
      <c r="BA478" s="74"/>
      <c r="BB478" s="73"/>
      <c r="BC478" s="73"/>
      <c r="BD478" s="73"/>
      <c r="BE478" s="73"/>
      <c r="BF478" s="73"/>
      <c r="BG478" s="73"/>
      <c r="BH478" s="73"/>
      <c r="BI478" s="73"/>
      <c r="BJ478" s="73"/>
      <c r="BK478" s="73"/>
      <c r="BL478" s="73"/>
      <c r="BM478" s="73"/>
      <c r="BN478" s="73"/>
      <c r="BO478" s="73"/>
      <c r="BP478" s="73"/>
      <c r="BQ478" s="73"/>
      <c r="BR478" s="73"/>
      <c r="BS478" s="73"/>
      <c r="BT478" s="74"/>
      <c r="BU478" s="73"/>
      <c r="BV478" s="73"/>
      <c r="BW478" s="73"/>
      <c r="BX478" s="73"/>
      <c r="BY478" s="73"/>
      <c r="BZ478" s="73"/>
      <c r="CA478" s="73"/>
      <c r="CB478" s="73"/>
      <c r="CC478" s="73"/>
      <c r="CD478" s="73"/>
      <c r="CE478" s="73"/>
    </row>
    <row r="479">
      <c r="A479" s="73"/>
      <c r="B479" s="73"/>
      <c r="C479" s="73"/>
      <c r="D479" s="74"/>
      <c r="E479" s="73"/>
      <c r="F479" s="73"/>
      <c r="G479" s="73"/>
      <c r="H479" s="73"/>
      <c r="I479" s="73"/>
      <c r="J479" s="73"/>
      <c r="K479" s="92"/>
      <c r="L479" s="73"/>
      <c r="M479" s="73"/>
      <c r="N479" s="73"/>
      <c r="O479" s="73"/>
      <c r="P479" s="73"/>
      <c r="Q479" s="75"/>
      <c r="R479" s="82"/>
      <c r="S479" s="73"/>
      <c r="T479" s="73"/>
      <c r="U479" s="73"/>
      <c r="V479" s="73"/>
      <c r="W479" s="73"/>
      <c r="X479" s="73"/>
      <c r="Y479" s="77"/>
      <c r="Z479" s="104"/>
      <c r="AA479" s="73"/>
      <c r="AB479" s="104"/>
      <c r="AC479" s="104"/>
      <c r="AD479" s="74"/>
      <c r="AE479" s="106"/>
      <c r="AF479" s="195"/>
      <c r="AG479" s="80"/>
      <c r="AH479" s="104"/>
      <c r="AI479" s="73"/>
      <c r="AJ479" s="114"/>
      <c r="AK479" s="106"/>
      <c r="AL479" s="74"/>
      <c r="AM479" s="73"/>
      <c r="AN479" s="73"/>
      <c r="AO479" s="102"/>
      <c r="AP479" s="73"/>
      <c r="AQ479" s="73"/>
      <c r="AR479" s="74"/>
      <c r="AS479" s="73"/>
      <c r="AT479" s="73"/>
      <c r="AU479" s="73"/>
      <c r="AV479" s="73"/>
      <c r="AW479" s="73"/>
      <c r="AX479" s="74"/>
      <c r="AY479" s="73"/>
      <c r="AZ479" s="73"/>
      <c r="BA479" s="74"/>
      <c r="BB479" s="73"/>
      <c r="BC479" s="73"/>
      <c r="BD479" s="73"/>
      <c r="BE479" s="73"/>
      <c r="BF479" s="73"/>
      <c r="BG479" s="73"/>
      <c r="BH479" s="73"/>
      <c r="BI479" s="73"/>
      <c r="BJ479" s="73"/>
      <c r="BK479" s="73"/>
      <c r="BL479" s="73"/>
      <c r="BM479" s="73"/>
      <c r="BN479" s="73"/>
      <c r="BO479" s="73"/>
      <c r="BP479" s="73"/>
      <c r="BQ479" s="73"/>
      <c r="BR479" s="73"/>
      <c r="BS479" s="73"/>
      <c r="BT479" s="74"/>
      <c r="BU479" s="73"/>
      <c r="BV479" s="73"/>
      <c r="BW479" s="73"/>
      <c r="BX479" s="73"/>
      <c r="BY479" s="73"/>
      <c r="BZ479" s="73"/>
      <c r="CA479" s="73"/>
      <c r="CB479" s="73"/>
      <c r="CC479" s="73"/>
      <c r="CD479" s="73"/>
      <c r="CE479" s="73"/>
    </row>
    <row r="480">
      <c r="A480" s="73"/>
      <c r="B480" s="73"/>
      <c r="C480" s="73"/>
      <c r="D480" s="74"/>
      <c r="E480" s="73"/>
      <c r="F480" s="73"/>
      <c r="G480" s="73"/>
      <c r="H480" s="73"/>
      <c r="I480" s="73"/>
      <c r="J480" s="73"/>
      <c r="K480" s="92"/>
      <c r="L480" s="73"/>
      <c r="M480" s="73"/>
      <c r="N480" s="73"/>
      <c r="O480" s="73"/>
      <c r="P480" s="73"/>
      <c r="Q480" s="75"/>
      <c r="R480" s="82"/>
      <c r="S480" s="73"/>
      <c r="T480" s="73"/>
      <c r="U480" s="73"/>
      <c r="V480" s="73"/>
      <c r="W480" s="73"/>
      <c r="X480" s="73"/>
      <c r="Y480" s="77"/>
      <c r="Z480" s="104"/>
      <c r="AA480" s="73"/>
      <c r="AB480" s="104"/>
      <c r="AC480" s="104"/>
      <c r="AD480" s="74"/>
      <c r="AE480" s="106"/>
      <c r="AF480" s="195"/>
      <c r="AG480" s="80"/>
      <c r="AH480" s="104"/>
      <c r="AI480" s="73"/>
      <c r="AJ480" s="114"/>
      <c r="AK480" s="106"/>
      <c r="AL480" s="74"/>
      <c r="AM480" s="73"/>
      <c r="AN480" s="73"/>
      <c r="AO480" s="102"/>
      <c r="AP480" s="73"/>
      <c r="AQ480" s="73"/>
      <c r="AR480" s="74"/>
      <c r="AS480" s="73"/>
      <c r="AT480" s="73"/>
      <c r="AU480" s="73"/>
      <c r="AV480" s="73"/>
      <c r="AW480" s="73"/>
      <c r="AX480" s="74"/>
      <c r="AY480" s="73"/>
      <c r="AZ480" s="73"/>
      <c r="BA480" s="74"/>
      <c r="BB480" s="73"/>
      <c r="BC480" s="73"/>
      <c r="BD480" s="73"/>
      <c r="BE480" s="73"/>
      <c r="BF480" s="73"/>
      <c r="BG480" s="73"/>
      <c r="BH480" s="73"/>
      <c r="BI480" s="73"/>
      <c r="BJ480" s="73"/>
      <c r="BK480" s="73"/>
      <c r="BL480" s="73"/>
      <c r="BM480" s="73"/>
      <c r="BN480" s="73"/>
      <c r="BO480" s="73"/>
      <c r="BP480" s="73"/>
      <c r="BQ480" s="73"/>
      <c r="BR480" s="73"/>
      <c r="BS480" s="73"/>
      <c r="BT480" s="74"/>
      <c r="BU480" s="73"/>
      <c r="BV480" s="73"/>
      <c r="BW480" s="73"/>
      <c r="BX480" s="73"/>
      <c r="BY480" s="73"/>
      <c r="BZ480" s="73"/>
      <c r="CA480" s="73"/>
      <c r="CB480" s="73"/>
      <c r="CC480" s="73"/>
      <c r="CD480" s="73"/>
      <c r="CE480" s="73"/>
    </row>
    <row r="481">
      <c r="A481" s="73"/>
      <c r="B481" s="73"/>
      <c r="C481" s="73"/>
      <c r="D481" s="74"/>
      <c r="E481" s="73"/>
      <c r="F481" s="73"/>
      <c r="G481" s="73"/>
      <c r="H481" s="73"/>
      <c r="I481" s="73"/>
      <c r="J481" s="73"/>
      <c r="K481" s="92"/>
      <c r="L481" s="73"/>
      <c r="M481" s="73"/>
      <c r="N481" s="73"/>
      <c r="O481" s="73"/>
      <c r="P481" s="73"/>
      <c r="Q481" s="75"/>
      <c r="R481" s="82"/>
      <c r="S481" s="73"/>
      <c r="T481" s="73"/>
      <c r="U481" s="73"/>
      <c r="V481" s="73"/>
      <c r="W481" s="73"/>
      <c r="X481" s="73"/>
      <c r="Y481" s="77"/>
      <c r="Z481" s="104"/>
      <c r="AA481" s="73"/>
      <c r="AB481" s="104"/>
      <c r="AC481" s="104"/>
      <c r="AD481" s="74"/>
      <c r="AE481" s="106"/>
      <c r="AF481" s="195"/>
      <c r="AG481" s="80"/>
      <c r="AH481" s="104"/>
      <c r="AI481" s="73"/>
      <c r="AJ481" s="114"/>
      <c r="AK481" s="106"/>
      <c r="AL481" s="74"/>
      <c r="AM481" s="73"/>
      <c r="AN481" s="73"/>
      <c r="AO481" s="102"/>
      <c r="AP481" s="73"/>
      <c r="AQ481" s="73"/>
      <c r="AR481" s="74"/>
      <c r="AS481" s="73"/>
      <c r="AT481" s="73"/>
      <c r="AU481" s="73"/>
      <c r="AV481" s="73"/>
      <c r="AW481" s="73"/>
      <c r="AX481" s="74"/>
      <c r="AY481" s="73"/>
      <c r="AZ481" s="73"/>
      <c r="BA481" s="74"/>
      <c r="BB481" s="73"/>
      <c r="BC481" s="73"/>
      <c r="BD481" s="73"/>
      <c r="BE481" s="73"/>
      <c r="BF481" s="73"/>
      <c r="BG481" s="73"/>
      <c r="BH481" s="73"/>
      <c r="BI481" s="73"/>
      <c r="BJ481" s="73"/>
      <c r="BK481" s="73"/>
      <c r="BL481" s="73"/>
      <c r="BM481" s="73"/>
      <c r="BN481" s="73"/>
      <c r="BO481" s="73"/>
      <c r="BP481" s="73"/>
      <c r="BQ481" s="73"/>
      <c r="BR481" s="73"/>
      <c r="BS481" s="73"/>
      <c r="BT481" s="74"/>
      <c r="BU481" s="73"/>
      <c r="BV481" s="73"/>
      <c r="BW481" s="73"/>
      <c r="BX481" s="73"/>
      <c r="BY481" s="73"/>
      <c r="BZ481" s="73"/>
      <c r="CA481" s="73"/>
      <c r="CB481" s="73"/>
      <c r="CC481" s="73"/>
      <c r="CD481" s="73"/>
      <c r="CE481" s="73"/>
    </row>
    <row r="482">
      <c r="A482" s="73"/>
      <c r="B482" s="73"/>
      <c r="C482" s="73"/>
      <c r="D482" s="74"/>
      <c r="E482" s="73"/>
      <c r="F482" s="73"/>
      <c r="G482" s="73"/>
      <c r="H482" s="73"/>
      <c r="I482" s="73"/>
      <c r="J482" s="73"/>
      <c r="K482" s="92"/>
      <c r="L482" s="73"/>
      <c r="M482" s="73"/>
      <c r="N482" s="73"/>
      <c r="O482" s="73"/>
      <c r="P482" s="73"/>
      <c r="Q482" s="75"/>
      <c r="R482" s="82"/>
      <c r="S482" s="73"/>
      <c r="T482" s="73"/>
      <c r="U482" s="73"/>
      <c r="V482" s="73"/>
      <c r="W482" s="73"/>
      <c r="X482" s="73"/>
      <c r="Y482" s="77"/>
      <c r="Z482" s="104"/>
      <c r="AA482" s="73"/>
      <c r="AB482" s="104"/>
      <c r="AC482" s="104"/>
      <c r="AD482" s="74"/>
      <c r="AE482" s="106"/>
      <c r="AF482" s="195"/>
      <c r="AG482" s="80"/>
      <c r="AH482" s="104"/>
      <c r="AI482" s="73"/>
      <c r="AJ482" s="114"/>
      <c r="AK482" s="106"/>
      <c r="AL482" s="74"/>
      <c r="AM482" s="73"/>
      <c r="AN482" s="73"/>
      <c r="AO482" s="102"/>
      <c r="AP482" s="73"/>
      <c r="AQ482" s="73"/>
      <c r="AR482" s="74"/>
      <c r="AS482" s="73"/>
      <c r="AT482" s="73"/>
      <c r="AU482" s="73"/>
      <c r="AV482" s="73"/>
      <c r="AW482" s="73"/>
      <c r="AX482" s="74"/>
      <c r="AY482" s="73"/>
      <c r="AZ482" s="73"/>
      <c r="BA482" s="74"/>
      <c r="BB482" s="73"/>
      <c r="BC482" s="73"/>
      <c r="BD482" s="73"/>
      <c r="BE482" s="73"/>
      <c r="BF482" s="73"/>
      <c r="BG482" s="73"/>
      <c r="BH482" s="73"/>
      <c r="BI482" s="73"/>
      <c r="BJ482" s="73"/>
      <c r="BK482" s="73"/>
      <c r="BL482" s="73"/>
      <c r="BM482" s="73"/>
      <c r="BN482" s="73"/>
      <c r="BO482" s="73"/>
      <c r="BP482" s="73"/>
      <c r="BQ482" s="73"/>
      <c r="BR482" s="73"/>
      <c r="BS482" s="73"/>
      <c r="BT482" s="74"/>
      <c r="BU482" s="73"/>
      <c r="BV482" s="73"/>
      <c r="BW482" s="73"/>
      <c r="BX482" s="73"/>
      <c r="BY482" s="73"/>
      <c r="BZ482" s="73"/>
      <c r="CA482" s="73"/>
      <c r="CB482" s="73"/>
      <c r="CC482" s="73"/>
      <c r="CD482" s="73"/>
      <c r="CE482" s="73"/>
    </row>
    <row r="483">
      <c r="A483" s="73"/>
      <c r="B483" s="73"/>
      <c r="C483" s="73"/>
      <c r="D483" s="74"/>
      <c r="E483" s="73"/>
      <c r="F483" s="73"/>
      <c r="G483" s="73"/>
      <c r="H483" s="73"/>
      <c r="I483" s="73"/>
      <c r="J483" s="73"/>
      <c r="K483" s="92"/>
      <c r="L483" s="73"/>
      <c r="M483" s="73"/>
      <c r="N483" s="73"/>
      <c r="O483" s="73"/>
      <c r="P483" s="73"/>
      <c r="Q483" s="75"/>
      <c r="R483" s="82"/>
      <c r="S483" s="73"/>
      <c r="T483" s="73"/>
      <c r="U483" s="73"/>
      <c r="V483" s="73"/>
      <c r="W483" s="73"/>
      <c r="X483" s="73"/>
      <c r="Y483" s="77"/>
      <c r="Z483" s="104"/>
      <c r="AA483" s="73"/>
      <c r="AB483" s="104"/>
      <c r="AC483" s="104"/>
      <c r="AD483" s="74"/>
      <c r="AE483" s="106"/>
      <c r="AF483" s="195"/>
      <c r="AG483" s="80"/>
      <c r="AH483" s="104"/>
      <c r="AI483" s="73"/>
      <c r="AJ483" s="114"/>
      <c r="AK483" s="106"/>
      <c r="AL483" s="74"/>
      <c r="AM483" s="73"/>
      <c r="AN483" s="73"/>
      <c r="AO483" s="102"/>
      <c r="AP483" s="73"/>
      <c r="AQ483" s="73"/>
      <c r="AR483" s="74"/>
      <c r="AS483" s="73"/>
      <c r="AT483" s="73"/>
      <c r="AU483" s="73"/>
      <c r="AV483" s="73"/>
      <c r="AW483" s="73"/>
      <c r="AX483" s="74"/>
      <c r="AY483" s="73"/>
      <c r="AZ483" s="73"/>
      <c r="BA483" s="74"/>
      <c r="BB483" s="73"/>
      <c r="BC483" s="73"/>
      <c r="BD483" s="73"/>
      <c r="BE483" s="73"/>
      <c r="BF483" s="73"/>
      <c r="BG483" s="73"/>
      <c r="BH483" s="73"/>
      <c r="BI483" s="73"/>
      <c r="BJ483" s="73"/>
      <c r="BK483" s="73"/>
      <c r="BL483" s="73"/>
      <c r="BM483" s="73"/>
      <c r="BN483" s="73"/>
      <c r="BO483" s="73"/>
      <c r="BP483" s="73"/>
      <c r="BQ483" s="73"/>
      <c r="BR483" s="73"/>
      <c r="BS483" s="73"/>
      <c r="BT483" s="74"/>
      <c r="BU483" s="73"/>
      <c r="BV483" s="73"/>
      <c r="BW483" s="73"/>
      <c r="BX483" s="73"/>
      <c r="BY483" s="73"/>
      <c r="BZ483" s="73"/>
      <c r="CA483" s="73"/>
      <c r="CB483" s="73"/>
      <c r="CC483" s="73"/>
      <c r="CD483" s="73"/>
      <c r="CE483" s="73"/>
    </row>
    <row r="484">
      <c r="A484" s="73"/>
      <c r="B484" s="73"/>
      <c r="C484" s="73"/>
      <c r="D484" s="74"/>
      <c r="E484" s="73"/>
      <c r="F484" s="73"/>
      <c r="G484" s="73"/>
      <c r="H484" s="73"/>
      <c r="I484" s="73"/>
      <c r="J484" s="73"/>
      <c r="K484" s="92"/>
      <c r="L484" s="73"/>
      <c r="M484" s="73"/>
      <c r="N484" s="73"/>
      <c r="O484" s="73"/>
      <c r="P484" s="73"/>
      <c r="Q484" s="75"/>
      <c r="R484" s="82"/>
      <c r="S484" s="73"/>
      <c r="T484" s="73"/>
      <c r="U484" s="73"/>
      <c r="V484" s="73"/>
      <c r="W484" s="73"/>
      <c r="X484" s="73"/>
      <c r="Y484" s="77"/>
      <c r="Z484" s="104"/>
      <c r="AA484" s="73"/>
      <c r="AB484" s="104"/>
      <c r="AC484" s="104"/>
      <c r="AD484" s="74"/>
      <c r="AE484" s="106"/>
      <c r="AF484" s="195"/>
      <c r="AG484" s="80"/>
      <c r="AH484" s="104"/>
      <c r="AI484" s="73"/>
      <c r="AJ484" s="114"/>
      <c r="AK484" s="106"/>
      <c r="AL484" s="74"/>
      <c r="AM484" s="73"/>
      <c r="AN484" s="73"/>
      <c r="AO484" s="102"/>
      <c r="AP484" s="73"/>
      <c r="AQ484" s="73"/>
      <c r="AR484" s="74"/>
      <c r="AS484" s="73"/>
      <c r="AT484" s="73"/>
      <c r="AU484" s="73"/>
      <c r="AV484" s="73"/>
      <c r="AW484" s="73"/>
      <c r="AX484" s="74"/>
      <c r="AY484" s="73"/>
      <c r="AZ484" s="73"/>
      <c r="BA484" s="74"/>
      <c r="BB484" s="73"/>
      <c r="BC484" s="73"/>
      <c r="BD484" s="73"/>
      <c r="BE484" s="73"/>
      <c r="BF484" s="73"/>
      <c r="BG484" s="73"/>
      <c r="BH484" s="73"/>
      <c r="BI484" s="73"/>
      <c r="BJ484" s="73"/>
      <c r="BK484" s="73"/>
      <c r="BL484" s="73"/>
      <c r="BM484" s="73"/>
      <c r="BN484" s="73"/>
      <c r="BO484" s="73"/>
      <c r="BP484" s="73"/>
      <c r="BQ484" s="73"/>
      <c r="BR484" s="73"/>
      <c r="BS484" s="73"/>
      <c r="BT484" s="74"/>
      <c r="BU484" s="73"/>
      <c r="BV484" s="73"/>
      <c r="BW484" s="73"/>
      <c r="BX484" s="73"/>
      <c r="BY484" s="73"/>
      <c r="BZ484" s="73"/>
      <c r="CA484" s="73"/>
      <c r="CB484" s="73"/>
      <c r="CC484" s="73"/>
      <c r="CD484" s="73"/>
      <c r="CE484" s="73"/>
    </row>
    <row r="485">
      <c r="A485" s="73"/>
      <c r="B485" s="73"/>
      <c r="C485" s="73"/>
      <c r="D485" s="74"/>
      <c r="E485" s="73"/>
      <c r="F485" s="73"/>
      <c r="G485" s="73"/>
      <c r="H485" s="73"/>
      <c r="I485" s="73"/>
      <c r="J485" s="73"/>
      <c r="K485" s="92"/>
      <c r="L485" s="73"/>
      <c r="M485" s="73"/>
      <c r="N485" s="73"/>
      <c r="O485" s="73"/>
      <c r="P485" s="73"/>
      <c r="Q485" s="75"/>
      <c r="R485" s="82"/>
      <c r="S485" s="73"/>
      <c r="T485" s="73"/>
      <c r="U485" s="73"/>
      <c r="V485" s="73"/>
      <c r="W485" s="73"/>
      <c r="X485" s="73"/>
      <c r="Y485" s="77"/>
      <c r="Z485" s="104"/>
      <c r="AA485" s="73"/>
      <c r="AB485" s="104"/>
      <c r="AC485" s="104"/>
      <c r="AD485" s="74"/>
      <c r="AE485" s="106"/>
      <c r="AF485" s="195"/>
      <c r="AG485" s="80"/>
      <c r="AH485" s="104"/>
      <c r="AI485" s="73"/>
      <c r="AJ485" s="114"/>
      <c r="AK485" s="106"/>
      <c r="AL485" s="74"/>
      <c r="AM485" s="73"/>
      <c r="AN485" s="73"/>
      <c r="AO485" s="102"/>
      <c r="AP485" s="73"/>
      <c r="AQ485" s="73"/>
      <c r="AR485" s="74"/>
      <c r="AS485" s="73"/>
      <c r="AT485" s="73"/>
      <c r="AU485" s="73"/>
      <c r="AV485" s="73"/>
      <c r="AW485" s="73"/>
      <c r="AX485" s="74"/>
      <c r="AY485" s="73"/>
      <c r="AZ485" s="73"/>
      <c r="BA485" s="74"/>
      <c r="BB485" s="73"/>
      <c r="BC485" s="73"/>
      <c r="BD485" s="73"/>
      <c r="BE485" s="73"/>
      <c r="BF485" s="73"/>
      <c r="BG485" s="73"/>
      <c r="BH485" s="73"/>
      <c r="BI485" s="73"/>
      <c r="BJ485" s="73"/>
      <c r="BK485" s="73"/>
      <c r="BL485" s="73"/>
      <c r="BM485" s="73"/>
      <c r="BN485" s="73"/>
      <c r="BO485" s="73"/>
      <c r="BP485" s="73"/>
      <c r="BQ485" s="73"/>
      <c r="BR485" s="73"/>
      <c r="BS485" s="73"/>
      <c r="BT485" s="74"/>
      <c r="BU485" s="73"/>
      <c r="BV485" s="73"/>
      <c r="BW485" s="73"/>
      <c r="BX485" s="73"/>
      <c r="BY485" s="73"/>
      <c r="BZ485" s="73"/>
      <c r="CA485" s="73"/>
      <c r="CB485" s="73"/>
      <c r="CC485" s="73"/>
      <c r="CD485" s="73"/>
      <c r="CE485" s="73"/>
    </row>
    <row r="486">
      <c r="A486" s="73"/>
      <c r="B486" s="73"/>
      <c r="C486" s="73"/>
      <c r="D486" s="74"/>
      <c r="E486" s="73"/>
      <c r="F486" s="73"/>
      <c r="G486" s="73"/>
      <c r="H486" s="73"/>
      <c r="I486" s="73"/>
      <c r="J486" s="73"/>
      <c r="K486" s="92"/>
      <c r="L486" s="73"/>
      <c r="M486" s="73"/>
      <c r="N486" s="73"/>
      <c r="O486" s="73"/>
      <c r="P486" s="73"/>
      <c r="Q486" s="75"/>
      <c r="R486" s="82"/>
      <c r="S486" s="73"/>
      <c r="T486" s="73"/>
      <c r="U486" s="73"/>
      <c r="V486" s="73"/>
      <c r="W486" s="73"/>
      <c r="X486" s="73"/>
      <c r="Y486" s="77"/>
      <c r="Z486" s="104"/>
      <c r="AA486" s="73"/>
      <c r="AB486" s="104"/>
      <c r="AC486" s="104"/>
      <c r="AD486" s="74"/>
      <c r="AE486" s="106"/>
      <c r="AF486" s="195"/>
      <c r="AG486" s="80"/>
      <c r="AH486" s="104"/>
      <c r="AI486" s="73"/>
      <c r="AJ486" s="114"/>
      <c r="AK486" s="106"/>
      <c r="AL486" s="74"/>
      <c r="AM486" s="73"/>
      <c r="AN486" s="73"/>
      <c r="AO486" s="102"/>
      <c r="AP486" s="73"/>
      <c r="AQ486" s="73"/>
      <c r="AR486" s="74"/>
      <c r="AS486" s="73"/>
      <c r="AT486" s="73"/>
      <c r="AU486" s="73"/>
      <c r="AV486" s="73"/>
      <c r="AW486" s="73"/>
      <c r="AX486" s="74"/>
      <c r="AY486" s="73"/>
      <c r="AZ486" s="73"/>
      <c r="BA486" s="74"/>
      <c r="BB486" s="73"/>
      <c r="BC486" s="73"/>
      <c r="BD486" s="73"/>
      <c r="BE486" s="73"/>
      <c r="BF486" s="73"/>
      <c r="BG486" s="73"/>
      <c r="BH486" s="73"/>
      <c r="BI486" s="73"/>
      <c r="BJ486" s="73"/>
      <c r="BK486" s="73"/>
      <c r="BL486" s="73"/>
      <c r="BM486" s="73"/>
      <c r="BN486" s="73"/>
      <c r="BO486" s="73"/>
      <c r="BP486" s="73"/>
      <c r="BQ486" s="73"/>
      <c r="BR486" s="73"/>
      <c r="BS486" s="73"/>
      <c r="BT486" s="74"/>
      <c r="BU486" s="73"/>
      <c r="BV486" s="73"/>
      <c r="BW486" s="73"/>
      <c r="BX486" s="73"/>
      <c r="BY486" s="73"/>
      <c r="BZ486" s="73"/>
      <c r="CA486" s="73"/>
      <c r="CB486" s="73"/>
      <c r="CC486" s="73"/>
      <c r="CD486" s="73"/>
      <c r="CE486" s="73"/>
    </row>
    <row r="487">
      <c r="A487" s="73"/>
      <c r="B487" s="73"/>
      <c r="C487" s="73"/>
      <c r="D487" s="74"/>
      <c r="E487" s="73"/>
      <c r="F487" s="73"/>
      <c r="G487" s="73"/>
      <c r="H487" s="73"/>
      <c r="I487" s="73"/>
      <c r="J487" s="73"/>
      <c r="K487" s="92"/>
      <c r="L487" s="73"/>
      <c r="M487" s="73"/>
      <c r="N487" s="73"/>
      <c r="O487" s="73"/>
      <c r="P487" s="73"/>
      <c r="Q487" s="75"/>
      <c r="R487" s="82"/>
      <c r="S487" s="73"/>
      <c r="T487" s="73"/>
      <c r="U487" s="73"/>
      <c r="V487" s="73"/>
      <c r="W487" s="73"/>
      <c r="X487" s="73"/>
      <c r="Y487" s="77"/>
      <c r="Z487" s="104"/>
      <c r="AA487" s="73"/>
      <c r="AB487" s="104"/>
      <c r="AC487" s="104"/>
      <c r="AD487" s="74"/>
      <c r="AE487" s="106"/>
      <c r="AF487" s="195"/>
      <c r="AG487" s="80"/>
      <c r="AH487" s="104"/>
      <c r="AI487" s="73"/>
      <c r="AJ487" s="114"/>
      <c r="AK487" s="106"/>
      <c r="AL487" s="74"/>
      <c r="AM487" s="73"/>
      <c r="AN487" s="73"/>
      <c r="AO487" s="102"/>
      <c r="AP487" s="73"/>
      <c r="AQ487" s="73"/>
      <c r="AR487" s="74"/>
      <c r="AS487" s="73"/>
      <c r="AT487" s="73"/>
      <c r="AU487" s="73"/>
      <c r="AV487" s="73"/>
      <c r="AW487" s="73"/>
      <c r="AX487" s="74"/>
      <c r="AY487" s="73"/>
      <c r="AZ487" s="73"/>
      <c r="BA487" s="74"/>
      <c r="BB487" s="73"/>
      <c r="BC487" s="73"/>
      <c r="BD487" s="73"/>
      <c r="BE487" s="73"/>
      <c r="BF487" s="73"/>
      <c r="BG487" s="73"/>
      <c r="BH487" s="73"/>
      <c r="BI487" s="73"/>
      <c r="BJ487" s="73"/>
      <c r="BK487" s="73"/>
      <c r="BL487" s="73"/>
      <c r="BM487" s="73"/>
      <c r="BN487" s="73"/>
      <c r="BO487" s="73"/>
      <c r="BP487" s="73"/>
      <c r="BQ487" s="73"/>
      <c r="BR487" s="73"/>
      <c r="BS487" s="73"/>
      <c r="BT487" s="74"/>
      <c r="BU487" s="73"/>
      <c r="BV487" s="73"/>
      <c r="BW487" s="73"/>
      <c r="BX487" s="73"/>
      <c r="BY487" s="73"/>
      <c r="BZ487" s="73"/>
      <c r="CA487" s="73"/>
      <c r="CB487" s="73"/>
      <c r="CC487" s="73"/>
      <c r="CD487" s="73"/>
      <c r="CE487" s="73"/>
    </row>
    <row r="488">
      <c r="A488" s="73"/>
      <c r="B488" s="73"/>
      <c r="C488" s="73"/>
      <c r="D488" s="74"/>
      <c r="E488" s="73"/>
      <c r="F488" s="73"/>
      <c r="G488" s="73"/>
      <c r="H488" s="73"/>
      <c r="I488" s="73"/>
      <c r="J488" s="73"/>
      <c r="K488" s="92"/>
      <c r="L488" s="73"/>
      <c r="M488" s="73"/>
      <c r="N488" s="73"/>
      <c r="O488" s="73"/>
      <c r="P488" s="73"/>
      <c r="Q488" s="75"/>
      <c r="R488" s="82"/>
      <c r="S488" s="73"/>
      <c r="T488" s="73"/>
      <c r="U488" s="73"/>
      <c r="V488" s="73"/>
      <c r="W488" s="73"/>
      <c r="X488" s="73"/>
      <c r="Y488" s="77"/>
      <c r="Z488" s="104"/>
      <c r="AA488" s="73"/>
      <c r="AB488" s="104"/>
      <c r="AC488" s="104"/>
      <c r="AD488" s="74"/>
      <c r="AE488" s="106"/>
      <c r="AF488" s="195"/>
      <c r="AG488" s="80"/>
      <c r="AH488" s="104"/>
      <c r="AI488" s="73"/>
      <c r="AJ488" s="114"/>
      <c r="AK488" s="106"/>
      <c r="AL488" s="74"/>
      <c r="AM488" s="73"/>
      <c r="AN488" s="73"/>
      <c r="AO488" s="102"/>
      <c r="AP488" s="73"/>
      <c r="AQ488" s="73"/>
      <c r="AR488" s="74"/>
      <c r="AS488" s="73"/>
      <c r="AT488" s="73"/>
      <c r="AU488" s="73"/>
      <c r="AV488" s="73"/>
      <c r="AW488" s="73"/>
      <c r="AX488" s="74"/>
      <c r="AY488" s="73"/>
      <c r="AZ488" s="73"/>
      <c r="BA488" s="74"/>
      <c r="BB488" s="73"/>
      <c r="BC488" s="73"/>
      <c r="BD488" s="73"/>
      <c r="BE488" s="73"/>
      <c r="BF488" s="73"/>
      <c r="BG488" s="73"/>
      <c r="BH488" s="73"/>
      <c r="BI488" s="73"/>
      <c r="BJ488" s="73"/>
      <c r="BK488" s="73"/>
      <c r="BL488" s="73"/>
      <c r="BM488" s="73"/>
      <c r="BN488" s="73"/>
      <c r="BO488" s="73"/>
      <c r="BP488" s="73"/>
      <c r="BQ488" s="73"/>
      <c r="BR488" s="73"/>
      <c r="BS488" s="73"/>
      <c r="BT488" s="74"/>
      <c r="BU488" s="73"/>
      <c r="BV488" s="73"/>
      <c r="BW488" s="73"/>
      <c r="BX488" s="73"/>
      <c r="BY488" s="73"/>
      <c r="BZ488" s="73"/>
      <c r="CA488" s="73"/>
      <c r="CB488" s="73"/>
      <c r="CC488" s="73"/>
      <c r="CD488" s="73"/>
      <c r="CE488" s="73"/>
    </row>
    <row r="489">
      <c r="A489" s="73"/>
      <c r="B489" s="73"/>
      <c r="C489" s="73"/>
      <c r="D489" s="74"/>
      <c r="E489" s="73"/>
      <c r="F489" s="73"/>
      <c r="G489" s="73"/>
      <c r="H489" s="73"/>
      <c r="I489" s="73"/>
      <c r="J489" s="73"/>
      <c r="K489" s="92"/>
      <c r="L489" s="73"/>
      <c r="M489" s="73"/>
      <c r="N489" s="73"/>
      <c r="O489" s="73"/>
      <c r="P489" s="73"/>
      <c r="Q489" s="75"/>
      <c r="R489" s="82"/>
      <c r="S489" s="73"/>
      <c r="T489" s="73"/>
      <c r="U489" s="73"/>
      <c r="V489" s="73"/>
      <c r="W489" s="73"/>
      <c r="X489" s="73"/>
      <c r="Y489" s="77"/>
      <c r="Z489" s="104"/>
      <c r="AA489" s="73"/>
      <c r="AB489" s="104"/>
      <c r="AC489" s="104"/>
      <c r="AD489" s="74"/>
      <c r="AE489" s="106"/>
      <c r="AF489" s="195"/>
      <c r="AG489" s="80"/>
      <c r="AH489" s="104"/>
      <c r="AI489" s="73"/>
      <c r="AJ489" s="114"/>
      <c r="AK489" s="106"/>
      <c r="AL489" s="74"/>
      <c r="AM489" s="73"/>
      <c r="AN489" s="73"/>
      <c r="AO489" s="102"/>
      <c r="AP489" s="73"/>
      <c r="AQ489" s="73"/>
      <c r="AR489" s="74"/>
      <c r="AS489" s="73"/>
      <c r="AT489" s="73"/>
      <c r="AU489" s="73"/>
      <c r="AV489" s="73"/>
      <c r="AW489" s="73"/>
      <c r="AX489" s="74"/>
      <c r="AY489" s="73"/>
      <c r="AZ489" s="73"/>
      <c r="BA489" s="74"/>
      <c r="BB489" s="73"/>
      <c r="BC489" s="73"/>
      <c r="BD489" s="73"/>
      <c r="BE489" s="73"/>
      <c r="BF489" s="73"/>
      <c r="BG489" s="73"/>
      <c r="BH489" s="73"/>
      <c r="BI489" s="73"/>
      <c r="BJ489" s="73"/>
      <c r="BK489" s="73"/>
      <c r="BL489" s="73"/>
      <c r="BM489" s="73"/>
      <c r="BN489" s="73"/>
      <c r="BO489" s="73"/>
      <c r="BP489" s="73"/>
      <c r="BQ489" s="73"/>
      <c r="BR489" s="73"/>
      <c r="BS489" s="73"/>
      <c r="BT489" s="74"/>
      <c r="BU489" s="73"/>
      <c r="BV489" s="73"/>
      <c r="BW489" s="73"/>
      <c r="BX489" s="73"/>
      <c r="BY489" s="73"/>
      <c r="BZ489" s="73"/>
      <c r="CA489" s="73"/>
      <c r="CB489" s="73"/>
      <c r="CC489" s="73"/>
      <c r="CD489" s="73"/>
      <c r="CE489" s="73"/>
    </row>
    <row r="490">
      <c r="A490" s="73"/>
      <c r="B490" s="73"/>
      <c r="C490" s="73"/>
      <c r="D490" s="74"/>
      <c r="E490" s="73"/>
      <c r="F490" s="73"/>
      <c r="G490" s="73"/>
      <c r="H490" s="73"/>
      <c r="I490" s="73"/>
      <c r="J490" s="73"/>
      <c r="K490" s="92"/>
      <c r="L490" s="73"/>
      <c r="M490" s="73"/>
      <c r="N490" s="73"/>
      <c r="O490" s="73"/>
      <c r="P490" s="73"/>
      <c r="Q490" s="75"/>
      <c r="R490" s="82"/>
      <c r="S490" s="73"/>
      <c r="T490" s="73"/>
      <c r="U490" s="73"/>
      <c r="V490" s="73"/>
      <c r="W490" s="73"/>
      <c r="X490" s="73"/>
      <c r="Y490" s="77"/>
      <c r="Z490" s="104"/>
      <c r="AA490" s="73"/>
      <c r="AB490" s="104"/>
      <c r="AC490" s="104"/>
      <c r="AD490" s="74"/>
      <c r="AE490" s="106"/>
      <c r="AF490" s="195"/>
      <c r="AG490" s="80"/>
      <c r="AH490" s="104"/>
      <c r="AI490" s="73"/>
      <c r="AJ490" s="114"/>
      <c r="AK490" s="106"/>
      <c r="AL490" s="74"/>
      <c r="AM490" s="73"/>
      <c r="AN490" s="73"/>
      <c r="AO490" s="102"/>
      <c r="AP490" s="73"/>
      <c r="AQ490" s="73"/>
      <c r="AR490" s="74"/>
      <c r="AS490" s="73"/>
      <c r="AT490" s="73"/>
      <c r="AU490" s="73"/>
      <c r="AV490" s="73"/>
      <c r="AW490" s="73"/>
      <c r="AX490" s="74"/>
      <c r="AY490" s="73"/>
      <c r="AZ490" s="73"/>
      <c r="BA490" s="74"/>
      <c r="BB490" s="73"/>
      <c r="BC490" s="73"/>
      <c r="BD490" s="73"/>
      <c r="BE490" s="73"/>
      <c r="BF490" s="73"/>
      <c r="BG490" s="73"/>
      <c r="BH490" s="73"/>
      <c r="BI490" s="73"/>
      <c r="BJ490" s="73"/>
      <c r="BK490" s="73"/>
      <c r="BL490" s="73"/>
      <c r="BM490" s="73"/>
      <c r="BN490" s="73"/>
      <c r="BO490" s="73"/>
      <c r="BP490" s="73"/>
      <c r="BQ490" s="73"/>
      <c r="BR490" s="73"/>
      <c r="BS490" s="73"/>
      <c r="BT490" s="74"/>
      <c r="BU490" s="73"/>
      <c r="BV490" s="73"/>
      <c r="BW490" s="73"/>
      <c r="BX490" s="73"/>
      <c r="BY490" s="73"/>
      <c r="BZ490" s="73"/>
      <c r="CA490" s="73"/>
      <c r="CB490" s="73"/>
      <c r="CC490" s="73"/>
      <c r="CD490" s="73"/>
      <c r="CE490" s="73"/>
    </row>
    <row r="491">
      <c r="A491" s="73"/>
      <c r="B491" s="73"/>
      <c r="C491" s="73"/>
      <c r="D491" s="74"/>
      <c r="E491" s="73"/>
      <c r="F491" s="73"/>
      <c r="G491" s="73"/>
      <c r="H491" s="73"/>
      <c r="I491" s="73"/>
      <c r="J491" s="73"/>
      <c r="K491" s="92"/>
      <c r="L491" s="73"/>
      <c r="M491" s="73"/>
      <c r="N491" s="73"/>
      <c r="O491" s="73"/>
      <c r="P491" s="73"/>
      <c r="Q491" s="75"/>
      <c r="R491" s="82"/>
      <c r="S491" s="73"/>
      <c r="T491" s="73"/>
      <c r="U491" s="73"/>
      <c r="V491" s="73"/>
      <c r="W491" s="73"/>
      <c r="X491" s="73"/>
      <c r="Y491" s="77"/>
      <c r="Z491" s="104"/>
      <c r="AA491" s="73"/>
      <c r="AB491" s="104"/>
      <c r="AC491" s="104"/>
      <c r="AD491" s="74"/>
      <c r="AE491" s="106"/>
      <c r="AF491" s="195"/>
      <c r="AG491" s="80"/>
      <c r="AH491" s="104"/>
      <c r="AI491" s="73"/>
      <c r="AJ491" s="114"/>
      <c r="AK491" s="106"/>
      <c r="AL491" s="74"/>
      <c r="AM491" s="73"/>
      <c r="AN491" s="73"/>
      <c r="AO491" s="102"/>
      <c r="AP491" s="73"/>
      <c r="AQ491" s="73"/>
      <c r="AR491" s="74"/>
      <c r="AS491" s="73"/>
      <c r="AT491" s="73"/>
      <c r="AU491" s="73"/>
      <c r="AV491" s="73"/>
      <c r="AW491" s="73"/>
      <c r="AX491" s="74"/>
      <c r="AY491" s="73"/>
      <c r="AZ491" s="73"/>
      <c r="BA491" s="74"/>
      <c r="BB491" s="73"/>
      <c r="BC491" s="73"/>
      <c r="BD491" s="73"/>
      <c r="BE491" s="73"/>
      <c r="BF491" s="73"/>
      <c r="BG491" s="73"/>
      <c r="BH491" s="73"/>
      <c r="BI491" s="73"/>
      <c r="BJ491" s="73"/>
      <c r="BK491" s="73"/>
      <c r="BL491" s="73"/>
      <c r="BM491" s="73"/>
      <c r="BN491" s="73"/>
      <c r="BO491" s="73"/>
      <c r="BP491" s="73"/>
      <c r="BQ491" s="73"/>
      <c r="BR491" s="73"/>
      <c r="BS491" s="73"/>
      <c r="BT491" s="74"/>
      <c r="BU491" s="73"/>
      <c r="BV491" s="73"/>
      <c r="BW491" s="73"/>
      <c r="BX491" s="73"/>
      <c r="BY491" s="73"/>
      <c r="BZ491" s="73"/>
      <c r="CA491" s="73"/>
      <c r="CB491" s="73"/>
      <c r="CC491" s="73"/>
      <c r="CD491" s="73"/>
      <c r="CE491" s="73"/>
    </row>
    <row r="492">
      <c r="A492" s="131"/>
      <c r="B492" s="73"/>
      <c r="C492" s="73"/>
      <c r="D492" s="74"/>
      <c r="E492" s="73"/>
      <c r="F492" s="73"/>
      <c r="G492" s="73"/>
      <c r="H492" s="73"/>
      <c r="I492" s="73"/>
      <c r="J492" s="73"/>
      <c r="K492" s="92"/>
      <c r="L492" s="73"/>
      <c r="M492" s="73"/>
      <c r="N492" s="73"/>
      <c r="O492" s="73"/>
      <c r="P492" s="73"/>
      <c r="Q492" s="75"/>
      <c r="R492" s="82"/>
      <c r="S492" s="73"/>
      <c r="T492" s="73"/>
      <c r="U492" s="73"/>
      <c r="V492" s="73"/>
      <c r="W492" s="73"/>
      <c r="X492" s="73"/>
      <c r="Y492" s="77"/>
      <c r="Z492" s="104"/>
      <c r="AA492" s="73"/>
      <c r="AB492" s="104"/>
      <c r="AC492" s="104"/>
      <c r="AD492" s="74"/>
      <c r="AE492" s="106"/>
      <c r="AF492" s="195"/>
      <c r="AG492" s="80"/>
      <c r="AH492" s="104"/>
      <c r="AI492" s="73"/>
      <c r="AJ492" s="114"/>
      <c r="AK492" s="106"/>
      <c r="AL492" s="74"/>
      <c r="AM492" s="73"/>
      <c r="AN492" s="73"/>
      <c r="AO492" s="102"/>
      <c r="AP492" s="73"/>
      <c r="AQ492" s="73"/>
      <c r="AR492" s="74"/>
      <c r="AS492" s="73"/>
      <c r="AT492" s="73"/>
      <c r="AU492" s="73"/>
      <c r="AV492" s="73"/>
      <c r="AW492" s="73"/>
      <c r="AX492" s="74"/>
      <c r="AY492" s="73"/>
      <c r="AZ492" s="73"/>
      <c r="BA492" s="74"/>
      <c r="BB492" s="73"/>
      <c r="BC492" s="73"/>
      <c r="BD492" s="73"/>
      <c r="BE492" s="73"/>
      <c r="BF492" s="73"/>
      <c r="BG492" s="73"/>
      <c r="BH492" s="73"/>
      <c r="BI492" s="73"/>
      <c r="BJ492" s="73"/>
      <c r="BK492" s="73"/>
      <c r="BL492" s="73"/>
      <c r="BM492" s="73"/>
      <c r="BN492" s="73"/>
      <c r="BO492" s="73"/>
      <c r="BP492" s="73"/>
      <c r="BQ492" s="73"/>
      <c r="BR492" s="73"/>
      <c r="BS492" s="73"/>
      <c r="BT492" s="74"/>
      <c r="BU492" s="73"/>
      <c r="BV492" s="73"/>
      <c r="BW492" s="73"/>
      <c r="BX492" s="73"/>
      <c r="BY492" s="73"/>
      <c r="BZ492" s="73"/>
      <c r="CA492" s="73"/>
      <c r="CB492" s="73"/>
      <c r="CC492" s="73"/>
      <c r="CD492" s="73"/>
      <c r="CE492" s="73"/>
    </row>
    <row r="493">
      <c r="A493" s="73"/>
      <c r="B493" s="73"/>
      <c r="C493" s="73"/>
      <c r="D493" s="74"/>
      <c r="E493" s="73"/>
      <c r="F493" s="73"/>
      <c r="G493" s="73"/>
      <c r="H493" s="73"/>
      <c r="I493" s="73"/>
      <c r="J493" s="73"/>
      <c r="K493" s="92"/>
      <c r="L493" s="73"/>
      <c r="M493" s="73"/>
      <c r="N493" s="73"/>
      <c r="O493" s="73"/>
      <c r="P493" s="73"/>
      <c r="Q493" s="75"/>
      <c r="R493" s="82"/>
      <c r="S493" s="73"/>
      <c r="T493" s="73"/>
      <c r="U493" s="73"/>
      <c r="V493" s="73"/>
      <c r="W493" s="73"/>
      <c r="X493" s="73"/>
      <c r="Y493" s="77"/>
      <c r="Z493" s="104"/>
      <c r="AA493" s="73"/>
      <c r="AB493" s="104"/>
      <c r="AC493" s="104"/>
      <c r="AD493" s="74"/>
      <c r="AE493" s="106"/>
      <c r="AF493" s="195"/>
      <c r="AG493" s="80"/>
      <c r="AH493" s="104"/>
      <c r="AI493" s="73"/>
      <c r="AJ493" s="114"/>
      <c r="AK493" s="106"/>
      <c r="AL493" s="74"/>
      <c r="AM493" s="73"/>
      <c r="AN493" s="73"/>
      <c r="AO493" s="102"/>
      <c r="AP493" s="73"/>
      <c r="AQ493" s="73"/>
      <c r="AR493" s="74"/>
      <c r="AS493" s="73"/>
      <c r="AT493" s="73"/>
      <c r="AU493" s="73"/>
      <c r="AV493" s="73"/>
      <c r="AW493" s="73"/>
      <c r="AX493" s="74"/>
      <c r="AY493" s="73"/>
      <c r="AZ493" s="73"/>
      <c r="BA493" s="74"/>
      <c r="BB493" s="73"/>
      <c r="BC493" s="73"/>
      <c r="BD493" s="73"/>
      <c r="BE493" s="73"/>
      <c r="BF493" s="73"/>
      <c r="BG493" s="73"/>
      <c r="BH493" s="73"/>
      <c r="BI493" s="73"/>
      <c r="BJ493" s="73"/>
      <c r="BK493" s="73"/>
      <c r="BL493" s="73"/>
      <c r="BM493" s="73"/>
      <c r="BN493" s="73"/>
      <c r="BO493" s="73"/>
      <c r="BP493" s="73"/>
      <c r="BQ493" s="73"/>
      <c r="BR493" s="73"/>
      <c r="BS493" s="73"/>
      <c r="BT493" s="74"/>
      <c r="BU493" s="73"/>
      <c r="BV493" s="73"/>
      <c r="BW493" s="73"/>
      <c r="BX493" s="73"/>
      <c r="BY493" s="73"/>
      <c r="BZ493" s="73"/>
      <c r="CA493" s="73"/>
      <c r="CB493" s="73"/>
      <c r="CC493" s="73"/>
      <c r="CD493" s="73"/>
      <c r="CE493" s="73"/>
    </row>
    <row r="494">
      <c r="A494" s="73"/>
      <c r="B494" s="73"/>
      <c r="C494" s="73"/>
      <c r="D494" s="74"/>
      <c r="E494" s="73"/>
      <c r="F494" s="73"/>
      <c r="G494" s="73"/>
      <c r="H494" s="73"/>
      <c r="I494" s="73"/>
      <c r="J494" s="73"/>
      <c r="K494" s="92"/>
      <c r="L494" s="73"/>
      <c r="M494" s="73"/>
      <c r="N494" s="73"/>
      <c r="O494" s="73"/>
      <c r="P494" s="73"/>
      <c r="Q494" s="75"/>
      <c r="R494" s="82"/>
      <c r="S494" s="73"/>
      <c r="T494" s="73"/>
      <c r="U494" s="73"/>
      <c r="V494" s="73"/>
      <c r="W494" s="73"/>
      <c r="X494" s="73"/>
      <c r="Y494" s="77"/>
      <c r="Z494" s="104"/>
      <c r="AA494" s="73"/>
      <c r="AB494" s="104"/>
      <c r="AC494" s="104"/>
      <c r="AD494" s="74"/>
      <c r="AE494" s="106"/>
      <c r="AF494" s="195"/>
      <c r="AG494" s="80"/>
      <c r="AH494" s="104"/>
      <c r="AI494" s="73"/>
      <c r="AJ494" s="114"/>
      <c r="AK494" s="106"/>
      <c r="AL494" s="74"/>
      <c r="AM494" s="73"/>
      <c r="AN494" s="73"/>
      <c r="AO494" s="102"/>
      <c r="AP494" s="73"/>
      <c r="AQ494" s="73"/>
      <c r="AR494" s="74"/>
      <c r="AS494" s="73"/>
      <c r="AT494" s="73"/>
      <c r="AU494" s="73"/>
      <c r="AV494" s="73"/>
      <c r="AW494" s="73"/>
      <c r="AX494" s="74"/>
      <c r="AY494" s="73"/>
      <c r="AZ494" s="73"/>
      <c r="BA494" s="74"/>
      <c r="BB494" s="73"/>
      <c r="BC494" s="73"/>
      <c r="BD494" s="73"/>
      <c r="BE494" s="73"/>
      <c r="BF494" s="73"/>
      <c r="BG494" s="73"/>
      <c r="BH494" s="73"/>
      <c r="BI494" s="73"/>
      <c r="BJ494" s="73"/>
      <c r="BK494" s="73"/>
      <c r="BL494" s="73"/>
      <c r="BM494" s="73"/>
      <c r="BN494" s="73"/>
      <c r="BO494" s="73"/>
      <c r="BP494" s="73"/>
      <c r="BQ494" s="73"/>
      <c r="BR494" s="73"/>
      <c r="BS494" s="73"/>
      <c r="BT494" s="74"/>
      <c r="BU494" s="73"/>
      <c r="BV494" s="73"/>
      <c r="BW494" s="73"/>
      <c r="BX494" s="73"/>
      <c r="BY494" s="73"/>
      <c r="BZ494" s="73"/>
      <c r="CA494" s="73"/>
      <c r="CB494" s="73"/>
      <c r="CC494" s="73"/>
      <c r="CD494" s="73"/>
      <c r="CE494" s="73"/>
    </row>
    <row r="495">
      <c r="A495" s="73"/>
      <c r="B495" s="73"/>
      <c r="C495" s="73"/>
      <c r="D495" s="74"/>
      <c r="E495" s="73"/>
      <c r="F495" s="73"/>
      <c r="G495" s="73"/>
      <c r="H495" s="73"/>
      <c r="I495" s="73"/>
      <c r="J495" s="73"/>
      <c r="K495" s="92"/>
      <c r="L495" s="73"/>
      <c r="M495" s="73"/>
      <c r="N495" s="73"/>
      <c r="O495" s="73"/>
      <c r="P495" s="73"/>
      <c r="Q495" s="75"/>
      <c r="R495" s="82"/>
      <c r="S495" s="73"/>
      <c r="T495" s="73"/>
      <c r="U495" s="73"/>
      <c r="V495" s="73"/>
      <c r="W495" s="73"/>
      <c r="X495" s="73"/>
      <c r="Y495" s="77"/>
      <c r="Z495" s="104"/>
      <c r="AA495" s="73"/>
      <c r="AB495" s="104"/>
      <c r="AC495" s="104"/>
      <c r="AD495" s="74"/>
      <c r="AE495" s="106"/>
      <c r="AF495" s="195"/>
      <c r="AG495" s="80"/>
      <c r="AH495" s="104"/>
      <c r="AI495" s="73"/>
      <c r="AJ495" s="114"/>
      <c r="AK495" s="106"/>
      <c r="AL495" s="74"/>
      <c r="AM495" s="73"/>
      <c r="AN495" s="73"/>
      <c r="AO495" s="102"/>
      <c r="AP495" s="73"/>
      <c r="AQ495" s="73"/>
      <c r="AR495" s="74"/>
      <c r="AS495" s="73"/>
      <c r="AT495" s="73"/>
      <c r="AU495" s="73"/>
      <c r="AV495" s="73"/>
      <c r="AW495" s="73"/>
      <c r="AX495" s="74"/>
      <c r="AY495" s="73"/>
      <c r="AZ495" s="73"/>
      <c r="BA495" s="74"/>
      <c r="BB495" s="73"/>
      <c r="BC495" s="73"/>
      <c r="BD495" s="73"/>
      <c r="BE495" s="73"/>
      <c r="BF495" s="73"/>
      <c r="BG495" s="73"/>
      <c r="BH495" s="73"/>
      <c r="BI495" s="73"/>
      <c r="BJ495" s="73"/>
      <c r="BK495" s="73"/>
      <c r="BL495" s="73"/>
      <c r="BM495" s="73"/>
      <c r="BN495" s="73"/>
      <c r="BO495" s="73"/>
      <c r="BP495" s="73"/>
      <c r="BQ495" s="73"/>
      <c r="BR495" s="73"/>
      <c r="BS495" s="73"/>
      <c r="BT495" s="74"/>
      <c r="BU495" s="73"/>
      <c r="BV495" s="73"/>
      <c r="BW495" s="73"/>
      <c r="BX495" s="73"/>
      <c r="BY495" s="73"/>
      <c r="BZ495" s="73"/>
      <c r="CA495" s="73"/>
      <c r="CB495" s="73"/>
      <c r="CC495" s="73"/>
      <c r="CD495" s="73"/>
      <c r="CE495" s="73"/>
    </row>
    <row r="496">
      <c r="A496" s="73"/>
      <c r="B496" s="73"/>
      <c r="C496" s="73"/>
      <c r="D496" s="74"/>
      <c r="E496" s="73"/>
      <c r="F496" s="73"/>
      <c r="G496" s="73"/>
      <c r="H496" s="73"/>
      <c r="I496" s="73"/>
      <c r="J496" s="73"/>
      <c r="K496" s="92"/>
      <c r="L496" s="73"/>
      <c r="M496" s="73"/>
      <c r="N496" s="73"/>
      <c r="O496" s="73"/>
      <c r="P496" s="73"/>
      <c r="Q496" s="75"/>
      <c r="R496" s="82"/>
      <c r="S496" s="73"/>
      <c r="T496" s="73"/>
      <c r="U496" s="73"/>
      <c r="V496" s="73"/>
      <c r="W496" s="73"/>
      <c r="X496" s="73"/>
      <c r="Y496" s="77"/>
      <c r="Z496" s="104"/>
      <c r="AA496" s="73"/>
      <c r="AB496" s="104"/>
      <c r="AC496" s="104"/>
      <c r="AD496" s="74"/>
      <c r="AE496" s="106"/>
      <c r="AF496" s="195"/>
      <c r="AG496" s="80"/>
      <c r="AH496" s="104"/>
      <c r="AI496" s="73"/>
      <c r="AJ496" s="114"/>
      <c r="AK496" s="106"/>
      <c r="AL496" s="74"/>
      <c r="AM496" s="73"/>
      <c r="AN496" s="73"/>
      <c r="AO496" s="102"/>
      <c r="AP496" s="73"/>
      <c r="AQ496" s="73"/>
      <c r="AR496" s="74"/>
      <c r="AS496" s="73"/>
      <c r="AT496" s="73"/>
      <c r="AU496" s="73"/>
      <c r="AV496" s="73"/>
      <c r="AW496" s="73"/>
      <c r="AX496" s="74"/>
      <c r="AY496" s="73"/>
      <c r="AZ496" s="73"/>
      <c r="BA496" s="74"/>
      <c r="BB496" s="73"/>
      <c r="BC496" s="73"/>
      <c r="BD496" s="73"/>
      <c r="BE496" s="73"/>
      <c r="BF496" s="73"/>
      <c r="BG496" s="73"/>
      <c r="BH496" s="73"/>
      <c r="BI496" s="73"/>
      <c r="BJ496" s="73"/>
      <c r="BK496" s="73"/>
      <c r="BL496" s="73"/>
      <c r="BM496" s="73"/>
      <c r="BN496" s="73"/>
      <c r="BO496" s="73"/>
      <c r="BP496" s="73"/>
      <c r="BQ496" s="73"/>
      <c r="BR496" s="73"/>
      <c r="BS496" s="73"/>
      <c r="BT496" s="74"/>
      <c r="BU496" s="73"/>
      <c r="BV496" s="73"/>
      <c r="BW496" s="73"/>
      <c r="BX496" s="73"/>
      <c r="BY496" s="73"/>
      <c r="BZ496" s="73"/>
      <c r="CA496" s="73"/>
      <c r="CB496" s="73"/>
      <c r="CC496" s="73"/>
      <c r="CD496" s="73"/>
      <c r="CE496" s="73"/>
    </row>
    <row r="497">
      <c r="A497" s="73"/>
      <c r="B497" s="73"/>
      <c r="C497" s="73"/>
      <c r="D497" s="74"/>
      <c r="E497" s="73"/>
      <c r="F497" s="73"/>
      <c r="G497" s="73"/>
      <c r="H497" s="73"/>
      <c r="I497" s="73"/>
      <c r="J497" s="73"/>
      <c r="K497" s="92"/>
      <c r="L497" s="73"/>
      <c r="M497" s="73"/>
      <c r="N497" s="73"/>
      <c r="O497" s="73"/>
      <c r="P497" s="73"/>
      <c r="Q497" s="75"/>
      <c r="R497" s="82"/>
      <c r="S497" s="73"/>
      <c r="T497" s="73"/>
      <c r="U497" s="73"/>
      <c r="V497" s="73"/>
      <c r="W497" s="73"/>
      <c r="X497" s="73"/>
      <c r="Y497" s="77"/>
      <c r="Z497" s="104"/>
      <c r="AA497" s="73"/>
      <c r="AB497" s="104"/>
      <c r="AC497" s="104"/>
      <c r="AD497" s="74"/>
      <c r="AE497" s="106"/>
      <c r="AF497" s="195"/>
      <c r="AG497" s="80"/>
      <c r="AH497" s="104"/>
      <c r="AI497" s="73"/>
      <c r="AJ497" s="114"/>
      <c r="AK497" s="106"/>
      <c r="AL497" s="74"/>
      <c r="AM497" s="73"/>
      <c r="AN497" s="73"/>
      <c r="AO497" s="102"/>
      <c r="AP497" s="73"/>
      <c r="AQ497" s="73"/>
      <c r="AR497" s="74"/>
      <c r="AS497" s="73"/>
      <c r="AT497" s="73"/>
      <c r="AU497" s="73"/>
      <c r="AV497" s="73"/>
      <c r="AW497" s="73"/>
      <c r="AX497" s="74"/>
      <c r="AY497" s="73"/>
      <c r="AZ497" s="73"/>
      <c r="BA497" s="74"/>
      <c r="BB497" s="73"/>
      <c r="BC497" s="73"/>
      <c r="BD497" s="73"/>
      <c r="BE497" s="73"/>
      <c r="BF497" s="73"/>
      <c r="BG497" s="73"/>
      <c r="BH497" s="73"/>
      <c r="BI497" s="73"/>
      <c r="BJ497" s="73"/>
      <c r="BK497" s="73"/>
      <c r="BL497" s="73"/>
      <c r="BM497" s="73"/>
      <c r="BN497" s="73"/>
      <c r="BO497" s="73"/>
      <c r="BP497" s="73"/>
      <c r="BQ497" s="73"/>
      <c r="BR497" s="73"/>
      <c r="BS497" s="73"/>
      <c r="BT497" s="74"/>
      <c r="BU497" s="73"/>
      <c r="BV497" s="73"/>
      <c r="BW497" s="73"/>
      <c r="BX497" s="73"/>
      <c r="BY497" s="73"/>
      <c r="BZ497" s="73"/>
      <c r="CA497" s="73"/>
      <c r="CB497" s="73"/>
      <c r="CC497" s="73"/>
      <c r="CD497" s="73"/>
      <c r="CE497" s="73"/>
    </row>
    <row r="498">
      <c r="A498" s="73"/>
      <c r="B498" s="73"/>
      <c r="C498" s="73"/>
      <c r="D498" s="74"/>
      <c r="E498" s="73"/>
      <c r="F498" s="73"/>
      <c r="G498" s="73"/>
      <c r="H498" s="73"/>
      <c r="I498" s="73"/>
      <c r="J498" s="73"/>
      <c r="K498" s="92"/>
      <c r="L498" s="73"/>
      <c r="M498" s="73"/>
      <c r="N498" s="73"/>
      <c r="O498" s="73"/>
      <c r="P498" s="73"/>
      <c r="Q498" s="75"/>
      <c r="R498" s="82"/>
      <c r="S498" s="73"/>
      <c r="T498" s="73"/>
      <c r="U498" s="73"/>
      <c r="V498" s="73"/>
      <c r="W498" s="73"/>
      <c r="X498" s="73"/>
      <c r="Y498" s="77"/>
      <c r="Z498" s="104"/>
      <c r="AA498" s="73"/>
      <c r="AB498" s="104"/>
      <c r="AC498" s="104"/>
      <c r="AD498" s="74"/>
      <c r="AE498" s="106"/>
      <c r="AF498" s="195"/>
      <c r="AG498" s="80"/>
      <c r="AH498" s="104"/>
      <c r="AI498" s="73"/>
      <c r="AJ498" s="114"/>
      <c r="AK498" s="106"/>
      <c r="AL498" s="74"/>
      <c r="AM498" s="73"/>
      <c r="AN498" s="73"/>
      <c r="AO498" s="102"/>
      <c r="AP498" s="73"/>
      <c r="AQ498" s="73"/>
      <c r="AR498" s="74"/>
      <c r="AS498" s="73"/>
      <c r="AT498" s="73"/>
      <c r="AU498" s="73"/>
      <c r="AV498" s="73"/>
      <c r="AW498" s="73"/>
      <c r="AX498" s="74"/>
      <c r="AY498" s="73"/>
      <c r="AZ498" s="73"/>
      <c r="BA498" s="74"/>
      <c r="BB498" s="73"/>
      <c r="BC498" s="73"/>
      <c r="BD498" s="73"/>
      <c r="BE498" s="73"/>
      <c r="BF498" s="73"/>
      <c r="BG498" s="73"/>
      <c r="BH498" s="73"/>
      <c r="BI498" s="73"/>
      <c r="BJ498" s="73"/>
      <c r="BK498" s="73"/>
      <c r="BL498" s="73"/>
      <c r="BM498" s="73"/>
      <c r="BN498" s="73"/>
      <c r="BO498" s="73"/>
      <c r="BP498" s="73"/>
      <c r="BQ498" s="73"/>
      <c r="BR498" s="73"/>
      <c r="BS498" s="73"/>
      <c r="BT498" s="74"/>
      <c r="BU498" s="73"/>
      <c r="BV498" s="73"/>
      <c r="BW498" s="73"/>
      <c r="BX498" s="73"/>
      <c r="BY498" s="73"/>
      <c r="BZ498" s="73"/>
      <c r="CA498" s="73"/>
      <c r="CB498" s="73"/>
      <c r="CC498" s="73"/>
      <c r="CD498" s="73"/>
      <c r="CE498" s="73"/>
    </row>
    <row r="499">
      <c r="A499" s="73"/>
      <c r="B499" s="73"/>
      <c r="C499" s="73"/>
      <c r="D499" s="74"/>
      <c r="E499" s="73"/>
      <c r="F499" s="73"/>
      <c r="G499" s="73"/>
      <c r="H499" s="73"/>
      <c r="I499" s="73"/>
      <c r="J499" s="73"/>
      <c r="K499" s="92"/>
      <c r="L499" s="73"/>
      <c r="M499" s="73"/>
      <c r="N499" s="73"/>
      <c r="O499" s="73"/>
      <c r="P499" s="73"/>
      <c r="Q499" s="75"/>
      <c r="R499" s="82"/>
      <c r="S499" s="73"/>
      <c r="T499" s="73"/>
      <c r="U499" s="73"/>
      <c r="V499" s="73"/>
      <c r="W499" s="73"/>
      <c r="X499" s="73"/>
      <c r="Y499" s="77"/>
      <c r="Z499" s="104"/>
      <c r="AA499" s="73"/>
      <c r="AB499" s="104"/>
      <c r="AC499" s="104"/>
      <c r="AD499" s="74"/>
      <c r="AE499" s="106"/>
      <c r="AF499" s="195"/>
      <c r="AG499" s="80"/>
      <c r="AH499" s="104"/>
      <c r="AI499" s="73"/>
      <c r="AJ499" s="114"/>
      <c r="AK499" s="106"/>
      <c r="AL499" s="74"/>
      <c r="AM499" s="73"/>
      <c r="AN499" s="73"/>
      <c r="AO499" s="102"/>
      <c r="AP499" s="73"/>
      <c r="AQ499" s="73"/>
      <c r="AR499" s="74"/>
      <c r="AS499" s="73"/>
      <c r="AT499" s="73"/>
      <c r="AU499" s="73"/>
      <c r="AV499" s="73"/>
      <c r="AW499" s="73"/>
      <c r="AX499" s="74"/>
      <c r="AY499" s="73"/>
      <c r="AZ499" s="73"/>
      <c r="BA499" s="74"/>
      <c r="BB499" s="73"/>
      <c r="BC499" s="73"/>
      <c r="BD499" s="73"/>
      <c r="BE499" s="73"/>
      <c r="BF499" s="73"/>
      <c r="BG499" s="73"/>
      <c r="BH499" s="73"/>
      <c r="BI499" s="73"/>
      <c r="BJ499" s="73"/>
      <c r="BK499" s="73"/>
      <c r="BL499" s="73"/>
      <c r="BM499" s="73"/>
      <c r="BN499" s="73"/>
      <c r="BO499" s="73"/>
      <c r="BP499" s="73"/>
      <c r="BQ499" s="73"/>
      <c r="BR499" s="73"/>
      <c r="BS499" s="73"/>
      <c r="BT499" s="74"/>
      <c r="BU499" s="73"/>
      <c r="BV499" s="73"/>
      <c r="BW499" s="73"/>
      <c r="BX499" s="73"/>
      <c r="BY499" s="73"/>
      <c r="BZ499" s="73"/>
      <c r="CA499" s="73"/>
      <c r="CB499" s="73"/>
      <c r="CC499" s="73"/>
      <c r="CD499" s="73"/>
      <c r="CE499" s="73"/>
    </row>
    <row r="500">
      <c r="A500" s="73"/>
      <c r="B500" s="73"/>
      <c r="C500" s="73"/>
      <c r="D500" s="74"/>
      <c r="E500" s="73"/>
      <c r="F500" s="73"/>
      <c r="G500" s="73"/>
      <c r="H500" s="73"/>
      <c r="I500" s="73"/>
      <c r="J500" s="73"/>
      <c r="K500" s="92"/>
      <c r="L500" s="73"/>
      <c r="M500" s="73"/>
      <c r="N500" s="73"/>
      <c r="O500" s="73"/>
      <c r="P500" s="73"/>
      <c r="Q500" s="75"/>
      <c r="R500" s="82"/>
      <c r="S500" s="73"/>
      <c r="T500" s="73"/>
      <c r="U500" s="73"/>
      <c r="V500" s="73"/>
      <c r="W500" s="73"/>
      <c r="X500" s="73"/>
      <c r="Y500" s="77"/>
      <c r="Z500" s="104"/>
      <c r="AA500" s="73"/>
      <c r="AB500" s="104"/>
      <c r="AC500" s="104"/>
      <c r="AD500" s="74"/>
      <c r="AE500" s="106"/>
      <c r="AF500" s="195"/>
      <c r="AG500" s="80"/>
      <c r="AH500" s="104"/>
      <c r="AI500" s="73"/>
      <c r="AJ500" s="114"/>
      <c r="AK500" s="106"/>
      <c r="AL500" s="74"/>
      <c r="AM500" s="73"/>
      <c r="AN500" s="73"/>
      <c r="AO500" s="102"/>
      <c r="AP500" s="73"/>
      <c r="AQ500" s="73"/>
      <c r="AR500" s="74"/>
      <c r="AS500" s="73"/>
      <c r="AT500" s="73"/>
      <c r="AU500" s="73"/>
      <c r="AV500" s="73"/>
      <c r="AW500" s="73"/>
      <c r="AX500" s="74"/>
      <c r="AY500" s="73"/>
      <c r="AZ500" s="73"/>
      <c r="BA500" s="74"/>
      <c r="BB500" s="73"/>
      <c r="BC500" s="73"/>
      <c r="BD500" s="73"/>
      <c r="BE500" s="73"/>
      <c r="BF500" s="73"/>
      <c r="BG500" s="73"/>
      <c r="BH500" s="73"/>
      <c r="BI500" s="73"/>
      <c r="BJ500" s="73"/>
      <c r="BK500" s="73"/>
      <c r="BL500" s="73"/>
      <c r="BM500" s="73"/>
      <c r="BN500" s="73"/>
      <c r="BO500" s="73"/>
      <c r="BP500" s="73"/>
      <c r="BQ500" s="73"/>
      <c r="BR500" s="73"/>
      <c r="BS500" s="73"/>
      <c r="BT500" s="74"/>
      <c r="BU500" s="73"/>
      <c r="BV500" s="73"/>
      <c r="BW500" s="73"/>
      <c r="BX500" s="73"/>
      <c r="BY500" s="73"/>
      <c r="BZ500" s="73"/>
      <c r="CA500" s="73"/>
      <c r="CB500" s="73"/>
      <c r="CC500" s="73"/>
      <c r="CD500" s="73"/>
      <c r="CE500" s="73"/>
    </row>
    <row r="501">
      <c r="A501" s="73"/>
      <c r="B501" s="73"/>
      <c r="C501" s="73"/>
      <c r="D501" s="74"/>
      <c r="E501" s="73"/>
      <c r="F501" s="73"/>
      <c r="G501" s="73"/>
      <c r="H501" s="73"/>
      <c r="I501" s="73"/>
      <c r="J501" s="73"/>
      <c r="K501" s="92"/>
      <c r="L501" s="73"/>
      <c r="M501" s="73"/>
      <c r="N501" s="73"/>
      <c r="O501" s="73"/>
      <c r="P501" s="73"/>
      <c r="Q501" s="75"/>
      <c r="R501" s="82"/>
      <c r="S501" s="73"/>
      <c r="T501" s="73"/>
      <c r="U501" s="73"/>
      <c r="V501" s="73"/>
      <c r="W501" s="73"/>
      <c r="X501" s="73"/>
      <c r="Y501" s="77"/>
      <c r="Z501" s="104"/>
      <c r="AA501" s="73"/>
      <c r="AB501" s="104"/>
      <c r="AC501" s="104"/>
      <c r="AD501" s="74"/>
      <c r="AE501" s="106"/>
      <c r="AF501" s="195"/>
      <c r="AG501" s="80"/>
      <c r="AH501" s="104"/>
      <c r="AI501" s="73"/>
      <c r="AJ501" s="114"/>
      <c r="AK501" s="106"/>
      <c r="AL501" s="74"/>
      <c r="AM501" s="73"/>
      <c r="AN501" s="73"/>
      <c r="AO501" s="102"/>
      <c r="AP501" s="73"/>
      <c r="AQ501" s="73"/>
      <c r="AR501" s="74"/>
      <c r="AS501" s="73"/>
      <c r="AT501" s="73"/>
      <c r="AU501" s="73"/>
      <c r="AV501" s="73"/>
      <c r="AW501" s="73"/>
      <c r="AX501" s="74"/>
      <c r="AY501" s="73"/>
      <c r="AZ501" s="73"/>
      <c r="BA501" s="74"/>
      <c r="BB501" s="73"/>
      <c r="BC501" s="73"/>
      <c r="BD501" s="73"/>
      <c r="BE501" s="73"/>
      <c r="BF501" s="73"/>
      <c r="BG501" s="73"/>
      <c r="BH501" s="73"/>
      <c r="BI501" s="73"/>
      <c r="BJ501" s="73"/>
      <c r="BK501" s="73"/>
      <c r="BL501" s="73"/>
      <c r="BM501" s="73"/>
      <c r="BN501" s="73"/>
      <c r="BO501" s="73"/>
      <c r="BP501" s="73"/>
      <c r="BQ501" s="73"/>
      <c r="BR501" s="73"/>
      <c r="BS501" s="73"/>
      <c r="BT501" s="74"/>
      <c r="BU501" s="73"/>
      <c r="BV501" s="73"/>
      <c r="BW501" s="73"/>
      <c r="BX501" s="73"/>
      <c r="BY501" s="73"/>
      <c r="BZ501" s="73"/>
      <c r="CA501" s="73"/>
      <c r="CB501" s="73"/>
      <c r="CC501" s="73"/>
      <c r="CD501" s="73"/>
      <c r="CE501" s="73"/>
    </row>
    <row r="502">
      <c r="A502" s="73"/>
      <c r="B502" s="73"/>
      <c r="C502" s="73"/>
      <c r="D502" s="74"/>
      <c r="E502" s="73"/>
      <c r="F502" s="73"/>
      <c r="G502" s="73"/>
      <c r="H502" s="73"/>
      <c r="I502" s="73"/>
      <c r="J502" s="73"/>
      <c r="K502" s="92"/>
      <c r="L502" s="73"/>
      <c r="M502" s="73"/>
      <c r="N502" s="73"/>
      <c r="O502" s="73"/>
      <c r="P502" s="73"/>
      <c r="Q502" s="75"/>
      <c r="R502" s="82"/>
      <c r="S502" s="73"/>
      <c r="T502" s="73"/>
      <c r="U502" s="73"/>
      <c r="V502" s="73"/>
      <c r="W502" s="73"/>
      <c r="X502" s="73"/>
      <c r="Y502" s="77"/>
      <c r="Z502" s="104"/>
      <c r="AA502" s="73"/>
      <c r="AB502" s="104"/>
      <c r="AC502" s="104"/>
      <c r="AD502" s="74"/>
      <c r="AE502" s="106"/>
      <c r="AF502" s="195"/>
      <c r="AG502" s="80"/>
      <c r="AH502" s="104"/>
      <c r="AI502" s="73"/>
      <c r="AJ502" s="114"/>
      <c r="AK502" s="106"/>
      <c r="AL502" s="74"/>
      <c r="AM502" s="73"/>
      <c r="AN502" s="73"/>
      <c r="AO502" s="102"/>
      <c r="AP502" s="73"/>
      <c r="AQ502" s="73"/>
      <c r="AR502" s="74"/>
      <c r="AS502" s="73"/>
      <c r="AT502" s="73"/>
      <c r="AU502" s="73"/>
      <c r="AV502" s="73"/>
      <c r="AW502" s="73"/>
      <c r="AX502" s="74"/>
      <c r="AY502" s="73"/>
      <c r="AZ502" s="73"/>
      <c r="BA502" s="74"/>
      <c r="BB502" s="73"/>
      <c r="BC502" s="73"/>
      <c r="BD502" s="73"/>
      <c r="BE502" s="73"/>
      <c r="BF502" s="73"/>
      <c r="BG502" s="73"/>
      <c r="BH502" s="73"/>
      <c r="BI502" s="73"/>
      <c r="BJ502" s="73"/>
      <c r="BK502" s="73"/>
      <c r="BL502" s="73"/>
      <c r="BM502" s="73"/>
      <c r="BN502" s="73"/>
      <c r="BO502" s="73"/>
      <c r="BP502" s="73"/>
      <c r="BQ502" s="73"/>
      <c r="BR502" s="73"/>
      <c r="BS502" s="73"/>
      <c r="BT502" s="74"/>
      <c r="BU502" s="73"/>
      <c r="BV502" s="73"/>
      <c r="BW502" s="73"/>
      <c r="BX502" s="73"/>
      <c r="BY502" s="73"/>
      <c r="BZ502" s="73"/>
      <c r="CA502" s="73"/>
      <c r="CB502" s="73"/>
      <c r="CC502" s="73"/>
      <c r="CD502" s="73"/>
      <c r="CE502" s="73"/>
    </row>
    <row r="503">
      <c r="A503" s="73"/>
      <c r="B503" s="73"/>
      <c r="C503" s="73"/>
      <c r="D503" s="74"/>
      <c r="E503" s="73"/>
      <c r="F503" s="73"/>
      <c r="G503" s="73"/>
      <c r="H503" s="73"/>
      <c r="I503" s="73"/>
      <c r="J503" s="73"/>
      <c r="K503" s="92"/>
      <c r="L503" s="73"/>
      <c r="M503" s="73"/>
      <c r="N503" s="73"/>
      <c r="O503" s="73"/>
      <c r="P503" s="73"/>
      <c r="Q503" s="75"/>
      <c r="R503" s="82"/>
      <c r="S503" s="73"/>
      <c r="T503" s="73"/>
      <c r="U503" s="73"/>
      <c r="V503" s="73"/>
      <c r="W503" s="73"/>
      <c r="X503" s="73"/>
      <c r="Y503" s="77"/>
      <c r="Z503" s="104"/>
      <c r="AA503" s="73"/>
      <c r="AB503" s="104"/>
      <c r="AC503" s="104"/>
      <c r="AD503" s="74"/>
      <c r="AE503" s="106"/>
      <c r="AF503" s="195"/>
      <c r="AG503" s="80"/>
      <c r="AH503" s="104"/>
      <c r="AI503" s="73"/>
      <c r="AJ503" s="114"/>
      <c r="AK503" s="106"/>
      <c r="AL503" s="74"/>
      <c r="AM503" s="73"/>
      <c r="AN503" s="73"/>
      <c r="AO503" s="102"/>
      <c r="AP503" s="73"/>
      <c r="AQ503" s="73"/>
      <c r="AR503" s="74"/>
      <c r="AS503" s="73"/>
      <c r="AT503" s="73"/>
      <c r="AU503" s="73"/>
      <c r="AV503" s="73"/>
      <c r="AW503" s="73"/>
      <c r="AX503" s="74"/>
      <c r="AY503" s="73"/>
      <c r="AZ503" s="73"/>
      <c r="BA503" s="74"/>
      <c r="BB503" s="73"/>
      <c r="BC503" s="73"/>
      <c r="BD503" s="73"/>
      <c r="BE503" s="73"/>
      <c r="BF503" s="73"/>
      <c r="BG503" s="73"/>
      <c r="BH503" s="73"/>
      <c r="BI503" s="73"/>
      <c r="BJ503" s="73"/>
      <c r="BK503" s="73"/>
      <c r="BL503" s="73"/>
      <c r="BM503" s="73"/>
      <c r="BN503" s="73"/>
      <c r="BO503" s="73"/>
      <c r="BP503" s="73"/>
      <c r="BQ503" s="73"/>
      <c r="BR503" s="73"/>
      <c r="BS503" s="73"/>
      <c r="BT503" s="74"/>
      <c r="BU503" s="73"/>
      <c r="BV503" s="73"/>
      <c r="BW503" s="73"/>
      <c r="BX503" s="73"/>
      <c r="BY503" s="73"/>
      <c r="BZ503" s="73"/>
      <c r="CA503" s="73"/>
      <c r="CB503" s="73"/>
      <c r="CC503" s="73"/>
      <c r="CD503" s="73"/>
      <c r="CE503" s="73"/>
    </row>
    <row r="504">
      <c r="A504" s="73"/>
      <c r="B504" s="73"/>
      <c r="C504" s="73"/>
      <c r="D504" s="74"/>
      <c r="E504" s="73"/>
      <c r="F504" s="73"/>
      <c r="G504" s="73"/>
      <c r="H504" s="73"/>
      <c r="I504" s="73"/>
      <c r="J504" s="73"/>
      <c r="K504" s="92"/>
      <c r="L504" s="73"/>
      <c r="M504" s="73"/>
      <c r="N504" s="73"/>
      <c r="O504" s="73"/>
      <c r="P504" s="73"/>
      <c r="Q504" s="75"/>
      <c r="R504" s="82"/>
      <c r="S504" s="73"/>
      <c r="T504" s="73"/>
      <c r="U504" s="73"/>
      <c r="V504" s="73"/>
      <c r="W504" s="73"/>
      <c r="X504" s="73"/>
      <c r="Y504" s="77"/>
      <c r="Z504" s="104"/>
      <c r="AA504" s="73"/>
      <c r="AB504" s="104"/>
      <c r="AC504" s="104"/>
      <c r="AD504" s="74"/>
      <c r="AE504" s="106"/>
      <c r="AF504" s="195"/>
      <c r="AG504" s="80"/>
      <c r="AH504" s="104"/>
      <c r="AI504" s="73"/>
      <c r="AJ504" s="114"/>
      <c r="AK504" s="106"/>
      <c r="AL504" s="74"/>
      <c r="AM504" s="73"/>
      <c r="AN504" s="73"/>
      <c r="AO504" s="102"/>
      <c r="AP504" s="73"/>
      <c r="AQ504" s="73"/>
      <c r="AR504" s="74"/>
      <c r="AS504" s="73"/>
      <c r="AT504" s="73"/>
      <c r="AU504" s="73"/>
      <c r="AV504" s="73"/>
      <c r="AW504" s="73"/>
      <c r="AX504" s="74"/>
      <c r="AY504" s="73"/>
      <c r="AZ504" s="73"/>
      <c r="BA504" s="74"/>
      <c r="BB504" s="73"/>
      <c r="BC504" s="73"/>
      <c r="BD504" s="73"/>
      <c r="BE504" s="73"/>
      <c r="BF504" s="73"/>
      <c r="BG504" s="73"/>
      <c r="BH504" s="73"/>
      <c r="BI504" s="73"/>
      <c r="BJ504" s="73"/>
      <c r="BK504" s="73"/>
      <c r="BL504" s="73"/>
      <c r="BM504" s="73"/>
      <c r="BN504" s="73"/>
      <c r="BO504" s="73"/>
      <c r="BP504" s="73"/>
      <c r="BQ504" s="73"/>
      <c r="BR504" s="73"/>
      <c r="BS504" s="73"/>
      <c r="BT504" s="74"/>
      <c r="BU504" s="73"/>
      <c r="BV504" s="73"/>
      <c r="BW504" s="73"/>
      <c r="BX504" s="73"/>
      <c r="BY504" s="73"/>
      <c r="BZ504" s="73"/>
      <c r="CA504" s="73"/>
      <c r="CB504" s="73"/>
      <c r="CC504" s="73"/>
      <c r="CD504" s="73"/>
      <c r="CE504" s="73"/>
    </row>
    <row r="505">
      <c r="A505" s="73"/>
      <c r="B505" s="73"/>
      <c r="C505" s="73"/>
      <c r="D505" s="74"/>
      <c r="E505" s="73"/>
      <c r="F505" s="73"/>
      <c r="G505" s="73"/>
      <c r="H505" s="73"/>
      <c r="I505" s="73"/>
      <c r="J505" s="73"/>
      <c r="K505" s="92"/>
      <c r="L505" s="73"/>
      <c r="M505" s="73"/>
      <c r="N505" s="73"/>
      <c r="O505" s="73"/>
      <c r="P505" s="73"/>
      <c r="Q505" s="75"/>
      <c r="R505" s="82"/>
      <c r="S505" s="73"/>
      <c r="T505" s="73"/>
      <c r="U505" s="73"/>
      <c r="V505" s="73"/>
      <c r="W505" s="73"/>
      <c r="X505" s="73"/>
      <c r="Y505" s="77"/>
      <c r="Z505" s="104"/>
      <c r="AA505" s="73"/>
      <c r="AB505" s="104"/>
      <c r="AC505" s="104"/>
      <c r="AD505" s="74"/>
      <c r="AE505" s="106"/>
      <c r="AF505" s="195"/>
      <c r="AG505" s="80"/>
      <c r="AH505" s="104"/>
      <c r="AI505" s="73"/>
      <c r="AJ505" s="114"/>
      <c r="AK505" s="106"/>
      <c r="AL505" s="74"/>
      <c r="AM505" s="73"/>
      <c r="AN505" s="73"/>
      <c r="AO505" s="102"/>
      <c r="AP505" s="73"/>
      <c r="AQ505" s="73"/>
      <c r="AR505" s="74"/>
      <c r="AS505" s="73"/>
      <c r="AT505" s="73"/>
      <c r="AU505" s="73"/>
      <c r="AV505" s="73"/>
      <c r="AW505" s="73"/>
      <c r="AX505" s="74"/>
      <c r="AY505" s="73"/>
      <c r="AZ505" s="73"/>
      <c r="BA505" s="74"/>
      <c r="BB505" s="73"/>
      <c r="BC505" s="73"/>
      <c r="BD505" s="73"/>
      <c r="BE505" s="73"/>
      <c r="BF505" s="73"/>
      <c r="BG505" s="73"/>
      <c r="BH505" s="73"/>
      <c r="BI505" s="73"/>
      <c r="BJ505" s="73"/>
      <c r="BK505" s="73"/>
      <c r="BL505" s="73"/>
      <c r="BM505" s="73"/>
      <c r="BN505" s="73"/>
      <c r="BO505" s="73"/>
      <c r="BP505" s="73"/>
      <c r="BQ505" s="73"/>
      <c r="BR505" s="73"/>
      <c r="BS505" s="73"/>
      <c r="BT505" s="74"/>
      <c r="BU505" s="73"/>
      <c r="BV505" s="73"/>
      <c r="BW505" s="73"/>
      <c r="BX505" s="73"/>
      <c r="BY505" s="73"/>
      <c r="BZ505" s="73"/>
      <c r="CA505" s="73"/>
      <c r="CB505" s="73"/>
      <c r="CC505" s="73"/>
      <c r="CD505" s="73"/>
      <c r="CE505" s="73"/>
    </row>
    <row r="506">
      <c r="A506" s="73"/>
      <c r="B506" s="73"/>
      <c r="C506" s="73"/>
      <c r="D506" s="74"/>
      <c r="E506" s="73"/>
      <c r="F506" s="73"/>
      <c r="G506" s="73"/>
      <c r="H506" s="73"/>
      <c r="I506" s="73"/>
      <c r="J506" s="73"/>
      <c r="K506" s="92"/>
      <c r="L506" s="73"/>
      <c r="M506" s="73"/>
      <c r="N506" s="73"/>
      <c r="O506" s="73"/>
      <c r="P506" s="73"/>
      <c r="Q506" s="75"/>
      <c r="R506" s="82"/>
      <c r="S506" s="73"/>
      <c r="T506" s="73"/>
      <c r="U506" s="73"/>
      <c r="V506" s="73"/>
      <c r="W506" s="73"/>
      <c r="X506" s="73"/>
      <c r="Y506" s="77"/>
      <c r="Z506" s="104"/>
      <c r="AA506" s="73"/>
      <c r="AB506" s="104"/>
      <c r="AC506" s="104"/>
      <c r="AD506" s="74"/>
      <c r="AE506" s="106"/>
      <c r="AF506" s="195"/>
      <c r="AG506" s="80"/>
      <c r="AH506" s="104"/>
      <c r="AI506" s="73"/>
      <c r="AJ506" s="114"/>
      <c r="AK506" s="106"/>
      <c r="AL506" s="74"/>
      <c r="AM506" s="73"/>
      <c r="AN506" s="73"/>
      <c r="AO506" s="102"/>
      <c r="AP506" s="73"/>
      <c r="AQ506" s="73"/>
      <c r="AR506" s="74"/>
      <c r="AS506" s="73"/>
      <c r="AT506" s="73"/>
      <c r="AU506" s="73"/>
      <c r="AV506" s="73"/>
      <c r="AW506" s="73"/>
      <c r="AX506" s="74"/>
      <c r="AY506" s="73"/>
      <c r="AZ506" s="73"/>
      <c r="BA506" s="74"/>
      <c r="BB506" s="73"/>
      <c r="BC506" s="73"/>
      <c r="BD506" s="73"/>
      <c r="BE506" s="73"/>
      <c r="BF506" s="73"/>
      <c r="BG506" s="73"/>
      <c r="BH506" s="73"/>
      <c r="BI506" s="73"/>
      <c r="BJ506" s="73"/>
      <c r="BK506" s="73"/>
      <c r="BL506" s="73"/>
      <c r="BM506" s="73"/>
      <c r="BN506" s="73"/>
      <c r="BO506" s="73"/>
      <c r="BP506" s="73"/>
      <c r="BQ506" s="73"/>
      <c r="BR506" s="73"/>
      <c r="BS506" s="73"/>
      <c r="BT506" s="74"/>
      <c r="BU506" s="73"/>
      <c r="BV506" s="73"/>
      <c r="BW506" s="73"/>
      <c r="BX506" s="73"/>
      <c r="BY506" s="73"/>
      <c r="BZ506" s="73"/>
      <c r="CA506" s="73"/>
      <c r="CB506" s="73"/>
      <c r="CC506" s="73"/>
      <c r="CD506" s="73"/>
      <c r="CE506" s="73"/>
    </row>
    <row r="507">
      <c r="A507" s="73"/>
      <c r="B507" s="73"/>
      <c r="C507" s="73"/>
      <c r="D507" s="74"/>
      <c r="E507" s="73"/>
      <c r="F507" s="73"/>
      <c r="G507" s="73"/>
      <c r="H507" s="73"/>
      <c r="I507" s="73"/>
      <c r="J507" s="73"/>
      <c r="K507" s="92"/>
      <c r="L507" s="73"/>
      <c r="M507" s="73"/>
      <c r="N507" s="73"/>
      <c r="O507" s="73"/>
      <c r="P507" s="73"/>
      <c r="Q507" s="75"/>
      <c r="R507" s="82"/>
      <c r="S507" s="73"/>
      <c r="T507" s="73"/>
      <c r="U507" s="73"/>
      <c r="V507" s="73"/>
      <c r="W507" s="73"/>
      <c r="X507" s="73"/>
      <c r="Y507" s="77"/>
      <c r="Z507" s="104"/>
      <c r="AA507" s="73"/>
      <c r="AB507" s="104"/>
      <c r="AC507" s="104"/>
      <c r="AD507" s="74"/>
      <c r="AE507" s="106"/>
      <c r="AF507" s="195"/>
      <c r="AG507" s="80"/>
      <c r="AH507" s="104"/>
      <c r="AI507" s="73"/>
      <c r="AJ507" s="114"/>
      <c r="AK507" s="106"/>
      <c r="AL507" s="74"/>
      <c r="AM507" s="73"/>
      <c r="AN507" s="73"/>
      <c r="AO507" s="102"/>
      <c r="AP507" s="73"/>
      <c r="AQ507" s="73"/>
      <c r="AR507" s="74"/>
      <c r="AS507" s="73"/>
      <c r="AT507" s="73"/>
      <c r="AU507" s="73"/>
      <c r="AV507" s="73"/>
      <c r="AW507" s="73"/>
      <c r="AX507" s="74"/>
      <c r="AY507" s="73"/>
      <c r="AZ507" s="73"/>
      <c r="BA507" s="74"/>
      <c r="BB507" s="73"/>
      <c r="BC507" s="73"/>
      <c r="BD507" s="73"/>
      <c r="BE507" s="73"/>
      <c r="BF507" s="73"/>
      <c r="BG507" s="73"/>
      <c r="BH507" s="73"/>
      <c r="BI507" s="73"/>
      <c r="BJ507" s="73"/>
      <c r="BK507" s="73"/>
      <c r="BL507" s="73"/>
      <c r="BM507" s="73"/>
      <c r="BN507" s="73"/>
      <c r="BO507" s="73"/>
      <c r="BP507" s="73"/>
      <c r="BQ507" s="73"/>
      <c r="BR507" s="73"/>
      <c r="BS507" s="73"/>
      <c r="BT507" s="74"/>
      <c r="BU507" s="73"/>
      <c r="BV507" s="73"/>
      <c r="BW507" s="73"/>
      <c r="BX507" s="73"/>
      <c r="BY507" s="73"/>
      <c r="BZ507" s="73"/>
      <c r="CA507" s="73"/>
      <c r="CB507" s="73"/>
      <c r="CC507" s="73"/>
      <c r="CD507" s="73"/>
      <c r="CE507" s="73"/>
    </row>
    <row r="508">
      <c r="A508" s="73"/>
      <c r="B508" s="73"/>
      <c r="C508" s="73"/>
      <c r="D508" s="74"/>
      <c r="E508" s="73"/>
      <c r="F508" s="73"/>
      <c r="G508" s="73"/>
      <c r="H508" s="73"/>
      <c r="I508" s="73"/>
      <c r="J508" s="73"/>
      <c r="K508" s="92"/>
      <c r="L508" s="73"/>
      <c r="M508" s="73"/>
      <c r="N508" s="73"/>
      <c r="O508" s="73"/>
      <c r="P508" s="73"/>
      <c r="Q508" s="75"/>
      <c r="R508" s="82"/>
      <c r="S508" s="73"/>
      <c r="T508" s="73"/>
      <c r="U508" s="73"/>
      <c r="V508" s="73"/>
      <c r="W508" s="73"/>
      <c r="X508" s="73"/>
      <c r="Y508" s="77"/>
      <c r="Z508" s="104"/>
      <c r="AA508" s="73"/>
      <c r="AB508" s="104"/>
      <c r="AC508" s="104"/>
      <c r="AD508" s="74"/>
      <c r="AE508" s="106"/>
      <c r="AF508" s="195"/>
      <c r="AG508" s="80"/>
      <c r="AH508" s="104"/>
      <c r="AI508" s="73"/>
      <c r="AJ508" s="114"/>
      <c r="AK508" s="106"/>
      <c r="AL508" s="74"/>
      <c r="AM508" s="73"/>
      <c r="AN508" s="73"/>
      <c r="AO508" s="102"/>
      <c r="AP508" s="73"/>
      <c r="AQ508" s="73"/>
      <c r="AR508" s="74"/>
      <c r="AS508" s="73"/>
      <c r="AT508" s="73"/>
      <c r="AU508" s="73"/>
      <c r="AV508" s="73"/>
      <c r="AW508" s="73"/>
      <c r="AX508" s="74"/>
      <c r="AY508" s="73"/>
      <c r="AZ508" s="73"/>
      <c r="BA508" s="74"/>
      <c r="BB508" s="73"/>
      <c r="BC508" s="73"/>
      <c r="BD508" s="73"/>
      <c r="BE508" s="73"/>
      <c r="BF508" s="73"/>
      <c r="BG508" s="73"/>
      <c r="BH508" s="73"/>
      <c r="BI508" s="73"/>
      <c r="BJ508" s="73"/>
      <c r="BK508" s="73"/>
      <c r="BL508" s="73"/>
      <c r="BM508" s="73"/>
      <c r="BN508" s="73"/>
      <c r="BO508" s="73"/>
      <c r="BP508" s="73"/>
      <c r="BQ508" s="73"/>
      <c r="BR508" s="73"/>
      <c r="BS508" s="73"/>
      <c r="BT508" s="74"/>
      <c r="BU508" s="73"/>
      <c r="BV508" s="73"/>
      <c r="BW508" s="73"/>
      <c r="BX508" s="73"/>
      <c r="BY508" s="73"/>
      <c r="BZ508" s="73"/>
      <c r="CA508" s="73"/>
      <c r="CB508" s="73"/>
      <c r="CC508" s="73"/>
      <c r="CD508" s="73"/>
      <c r="CE508" s="73"/>
    </row>
    <row r="509">
      <c r="A509" s="73"/>
      <c r="B509" s="73"/>
      <c r="C509" s="73"/>
      <c r="D509" s="74"/>
      <c r="E509" s="73"/>
      <c r="F509" s="73"/>
      <c r="G509" s="73"/>
      <c r="H509" s="73"/>
      <c r="I509" s="73"/>
      <c r="J509" s="73"/>
      <c r="K509" s="92"/>
      <c r="L509" s="73"/>
      <c r="M509" s="73"/>
      <c r="N509" s="73"/>
      <c r="O509" s="73"/>
      <c r="P509" s="73"/>
      <c r="Q509" s="75"/>
      <c r="R509" s="82"/>
      <c r="S509" s="73"/>
      <c r="T509" s="73"/>
      <c r="U509" s="73"/>
      <c r="V509" s="73"/>
      <c r="W509" s="73"/>
      <c r="X509" s="73"/>
      <c r="Y509" s="77"/>
      <c r="Z509" s="104"/>
      <c r="AA509" s="73"/>
      <c r="AB509" s="104"/>
      <c r="AC509" s="104"/>
      <c r="AD509" s="74"/>
      <c r="AE509" s="106"/>
      <c r="AF509" s="195"/>
      <c r="AG509" s="80"/>
      <c r="AH509" s="104"/>
      <c r="AI509" s="73"/>
      <c r="AJ509" s="114"/>
      <c r="AK509" s="106"/>
      <c r="AL509" s="74"/>
      <c r="AM509" s="73"/>
      <c r="AN509" s="73"/>
      <c r="AO509" s="102"/>
      <c r="AP509" s="73"/>
      <c r="AQ509" s="73"/>
      <c r="AR509" s="74"/>
      <c r="AS509" s="73"/>
      <c r="AT509" s="73"/>
      <c r="AU509" s="73"/>
      <c r="AV509" s="73"/>
      <c r="AW509" s="73"/>
      <c r="AX509" s="74"/>
      <c r="AY509" s="73"/>
      <c r="AZ509" s="73"/>
      <c r="BA509" s="74"/>
      <c r="BB509" s="73"/>
      <c r="BC509" s="73"/>
      <c r="BD509" s="73"/>
      <c r="BE509" s="73"/>
      <c r="BF509" s="73"/>
      <c r="BG509" s="73"/>
      <c r="BH509" s="73"/>
      <c r="BI509" s="73"/>
      <c r="BJ509" s="73"/>
      <c r="BK509" s="73"/>
      <c r="BL509" s="73"/>
      <c r="BM509" s="73"/>
      <c r="BN509" s="73"/>
      <c r="BO509" s="73"/>
      <c r="BP509" s="73"/>
      <c r="BQ509" s="73"/>
      <c r="BR509" s="73"/>
      <c r="BS509" s="73"/>
      <c r="BT509" s="74"/>
      <c r="BU509" s="73"/>
      <c r="BV509" s="73"/>
      <c r="BW509" s="73"/>
      <c r="BX509" s="73"/>
      <c r="BY509" s="73"/>
      <c r="BZ509" s="73"/>
      <c r="CA509" s="73"/>
      <c r="CB509" s="73"/>
      <c r="CC509" s="73"/>
      <c r="CD509" s="73"/>
      <c r="CE509" s="73"/>
    </row>
    <row r="510">
      <c r="A510" s="73"/>
      <c r="B510" s="73"/>
      <c r="C510" s="73"/>
      <c r="D510" s="74"/>
      <c r="E510" s="73"/>
      <c r="F510" s="73"/>
      <c r="G510" s="73"/>
      <c r="H510" s="73"/>
      <c r="I510" s="73"/>
      <c r="J510" s="73"/>
      <c r="K510" s="92"/>
      <c r="L510" s="73"/>
      <c r="M510" s="73"/>
      <c r="N510" s="73"/>
      <c r="O510" s="73"/>
      <c r="P510" s="73"/>
      <c r="Q510" s="75"/>
      <c r="R510" s="82"/>
      <c r="S510" s="73"/>
      <c r="T510" s="73"/>
      <c r="U510" s="73"/>
      <c r="V510" s="73"/>
      <c r="W510" s="73"/>
      <c r="X510" s="73"/>
      <c r="Y510" s="77"/>
      <c r="Z510" s="104"/>
      <c r="AA510" s="73"/>
      <c r="AB510" s="104"/>
      <c r="AC510" s="104"/>
      <c r="AD510" s="74"/>
      <c r="AE510" s="106"/>
      <c r="AF510" s="195"/>
      <c r="AG510" s="80"/>
      <c r="AH510" s="104"/>
      <c r="AI510" s="73"/>
      <c r="AJ510" s="114"/>
      <c r="AK510" s="106"/>
      <c r="AL510" s="74"/>
      <c r="AM510" s="73"/>
      <c r="AN510" s="73"/>
      <c r="AO510" s="102"/>
      <c r="AP510" s="73"/>
      <c r="AQ510" s="73"/>
      <c r="AR510" s="74"/>
      <c r="AS510" s="73"/>
      <c r="AT510" s="73"/>
      <c r="AU510" s="73"/>
      <c r="AV510" s="73"/>
      <c r="AW510" s="73"/>
      <c r="AX510" s="74"/>
      <c r="AY510" s="73"/>
      <c r="AZ510" s="73"/>
      <c r="BA510" s="74"/>
      <c r="BB510" s="73"/>
      <c r="BC510" s="73"/>
      <c r="BD510" s="73"/>
      <c r="BE510" s="73"/>
      <c r="BF510" s="73"/>
      <c r="BG510" s="73"/>
      <c r="BH510" s="73"/>
      <c r="BI510" s="73"/>
      <c r="BJ510" s="73"/>
      <c r="BK510" s="73"/>
      <c r="BL510" s="73"/>
      <c r="BM510" s="73"/>
      <c r="BN510" s="73"/>
      <c r="BO510" s="73"/>
      <c r="BP510" s="73"/>
      <c r="BQ510" s="73"/>
      <c r="BR510" s="73"/>
      <c r="BS510" s="73"/>
      <c r="BT510" s="74"/>
      <c r="BU510" s="73"/>
      <c r="BV510" s="73"/>
      <c r="BW510" s="73"/>
      <c r="BX510" s="73"/>
      <c r="BY510" s="73"/>
      <c r="BZ510" s="73"/>
      <c r="CA510" s="73"/>
      <c r="CB510" s="73"/>
      <c r="CC510" s="73"/>
      <c r="CD510" s="73"/>
      <c r="CE510" s="73"/>
    </row>
    <row r="511">
      <c r="A511" s="73"/>
      <c r="B511" s="73"/>
      <c r="C511" s="73"/>
      <c r="D511" s="74"/>
      <c r="E511" s="73"/>
      <c r="F511" s="73"/>
      <c r="G511" s="73"/>
      <c r="H511" s="73"/>
      <c r="I511" s="73"/>
      <c r="J511" s="73"/>
      <c r="K511" s="92"/>
      <c r="L511" s="73"/>
      <c r="M511" s="73"/>
      <c r="N511" s="73"/>
      <c r="O511" s="73"/>
      <c r="P511" s="73"/>
      <c r="Q511" s="75"/>
      <c r="R511" s="82"/>
      <c r="S511" s="73"/>
      <c r="T511" s="73"/>
      <c r="U511" s="73"/>
      <c r="V511" s="73"/>
      <c r="W511" s="73"/>
      <c r="X511" s="73"/>
      <c r="Y511" s="77"/>
      <c r="Z511" s="104"/>
      <c r="AA511" s="73"/>
      <c r="AB511" s="104"/>
      <c r="AC511" s="104"/>
      <c r="AD511" s="74"/>
      <c r="AE511" s="106"/>
      <c r="AF511" s="195"/>
      <c r="AG511" s="80"/>
      <c r="AH511" s="104"/>
      <c r="AI511" s="73"/>
      <c r="AJ511" s="114"/>
      <c r="AK511" s="106"/>
      <c r="AL511" s="74"/>
      <c r="AM511" s="73"/>
      <c r="AN511" s="73"/>
      <c r="AO511" s="102"/>
      <c r="AP511" s="73"/>
      <c r="AQ511" s="73"/>
      <c r="AR511" s="74"/>
      <c r="AS511" s="73"/>
      <c r="AT511" s="73"/>
      <c r="AU511" s="73"/>
      <c r="AV511" s="73"/>
      <c r="AW511" s="73"/>
      <c r="AX511" s="74"/>
      <c r="AY511" s="73"/>
      <c r="AZ511" s="73"/>
      <c r="BA511" s="74"/>
      <c r="BB511" s="73"/>
      <c r="BC511" s="73"/>
      <c r="BD511" s="73"/>
      <c r="BE511" s="73"/>
      <c r="BF511" s="73"/>
      <c r="BG511" s="73"/>
      <c r="BH511" s="73"/>
      <c r="BI511" s="73"/>
      <c r="BJ511" s="73"/>
      <c r="BK511" s="73"/>
      <c r="BL511" s="73"/>
      <c r="BM511" s="73"/>
      <c r="BN511" s="73"/>
      <c r="BO511" s="73"/>
      <c r="BP511" s="73"/>
      <c r="BQ511" s="73"/>
      <c r="BR511" s="73"/>
      <c r="BS511" s="73"/>
      <c r="BT511" s="74"/>
      <c r="BU511" s="73"/>
      <c r="BV511" s="73"/>
      <c r="BW511" s="73"/>
      <c r="BX511" s="73"/>
      <c r="BY511" s="73"/>
      <c r="BZ511" s="73"/>
      <c r="CA511" s="73"/>
      <c r="CB511" s="73"/>
      <c r="CC511" s="73"/>
      <c r="CD511" s="73"/>
      <c r="CE511" s="73"/>
    </row>
    <row r="512">
      <c r="A512" s="73"/>
      <c r="B512" s="73"/>
      <c r="C512" s="73"/>
      <c r="D512" s="74"/>
      <c r="E512" s="73"/>
      <c r="F512" s="73"/>
      <c r="G512" s="73"/>
      <c r="H512" s="73"/>
      <c r="I512" s="73"/>
      <c r="J512" s="73"/>
      <c r="K512" s="92"/>
      <c r="L512" s="73"/>
      <c r="M512" s="73"/>
      <c r="N512" s="73"/>
      <c r="O512" s="73"/>
      <c r="P512" s="73"/>
      <c r="Q512" s="75"/>
      <c r="R512" s="82"/>
      <c r="S512" s="73"/>
      <c r="T512" s="73"/>
      <c r="U512" s="73"/>
      <c r="V512" s="73"/>
      <c r="W512" s="73"/>
      <c r="X512" s="73"/>
      <c r="Y512" s="77"/>
      <c r="Z512" s="104"/>
      <c r="AA512" s="73"/>
      <c r="AB512" s="104"/>
      <c r="AC512" s="104"/>
      <c r="AD512" s="74"/>
      <c r="AE512" s="106"/>
      <c r="AF512" s="195"/>
      <c r="AG512" s="80"/>
      <c r="AH512" s="104"/>
      <c r="AI512" s="73"/>
      <c r="AJ512" s="114"/>
      <c r="AK512" s="106"/>
      <c r="AL512" s="74"/>
      <c r="AM512" s="73"/>
      <c r="AN512" s="73"/>
      <c r="AO512" s="102"/>
      <c r="AP512" s="73"/>
      <c r="AQ512" s="73"/>
      <c r="AR512" s="74"/>
      <c r="AS512" s="73"/>
      <c r="AT512" s="73"/>
      <c r="AU512" s="73"/>
      <c r="AV512" s="73"/>
      <c r="AW512" s="73"/>
      <c r="AX512" s="74"/>
      <c r="AY512" s="73"/>
      <c r="AZ512" s="73"/>
      <c r="BA512" s="74"/>
      <c r="BB512" s="73"/>
      <c r="BC512" s="73"/>
      <c r="BD512" s="73"/>
      <c r="BE512" s="73"/>
      <c r="BF512" s="73"/>
      <c r="BG512" s="73"/>
      <c r="BH512" s="73"/>
      <c r="BI512" s="73"/>
      <c r="BJ512" s="73"/>
      <c r="BK512" s="73"/>
      <c r="BL512" s="73"/>
      <c r="BM512" s="73"/>
      <c r="BN512" s="73"/>
      <c r="BO512" s="73"/>
      <c r="BP512" s="73"/>
      <c r="BQ512" s="73"/>
      <c r="BR512" s="73"/>
      <c r="BS512" s="73"/>
      <c r="BT512" s="74"/>
      <c r="BU512" s="73"/>
      <c r="BV512" s="73"/>
      <c r="BW512" s="73"/>
      <c r="BX512" s="73"/>
      <c r="BY512" s="73"/>
      <c r="BZ512" s="73"/>
      <c r="CA512" s="73"/>
      <c r="CB512" s="73"/>
      <c r="CC512" s="73"/>
      <c r="CD512" s="73"/>
      <c r="CE512" s="73"/>
    </row>
    <row r="513">
      <c r="A513" s="73"/>
      <c r="B513" s="73"/>
      <c r="C513" s="73"/>
      <c r="D513" s="74"/>
      <c r="E513" s="73"/>
      <c r="F513" s="73"/>
      <c r="G513" s="73"/>
      <c r="H513" s="73"/>
      <c r="I513" s="73"/>
      <c r="J513" s="73"/>
      <c r="K513" s="92"/>
      <c r="L513" s="73"/>
      <c r="M513" s="73"/>
      <c r="N513" s="73"/>
      <c r="O513" s="73"/>
      <c r="P513" s="73"/>
      <c r="Q513" s="75"/>
      <c r="R513" s="82"/>
      <c r="S513" s="73"/>
      <c r="T513" s="73"/>
      <c r="U513" s="73"/>
      <c r="V513" s="73"/>
      <c r="W513" s="73"/>
      <c r="X513" s="73"/>
      <c r="Y513" s="77"/>
      <c r="Z513" s="104"/>
      <c r="AA513" s="73"/>
      <c r="AB513" s="104"/>
      <c r="AC513" s="104"/>
      <c r="AD513" s="74"/>
      <c r="AE513" s="106"/>
      <c r="AF513" s="195"/>
      <c r="AG513" s="80"/>
      <c r="AH513" s="104"/>
      <c r="AI513" s="73"/>
      <c r="AJ513" s="114"/>
      <c r="AK513" s="106"/>
      <c r="AL513" s="74"/>
      <c r="AM513" s="73"/>
      <c r="AN513" s="73"/>
      <c r="AO513" s="102"/>
      <c r="AP513" s="73"/>
      <c r="AQ513" s="73"/>
      <c r="AR513" s="74"/>
      <c r="AS513" s="73"/>
      <c r="AT513" s="73"/>
      <c r="AU513" s="73"/>
      <c r="AV513" s="73"/>
      <c r="AW513" s="73"/>
      <c r="AX513" s="74"/>
      <c r="AY513" s="73"/>
      <c r="AZ513" s="73"/>
      <c r="BA513" s="74"/>
      <c r="BB513" s="73"/>
      <c r="BC513" s="73"/>
      <c r="BD513" s="73"/>
      <c r="BE513" s="73"/>
      <c r="BF513" s="73"/>
      <c r="BG513" s="73"/>
      <c r="BH513" s="73"/>
      <c r="BI513" s="73"/>
      <c r="BJ513" s="73"/>
      <c r="BK513" s="73"/>
      <c r="BL513" s="73"/>
      <c r="BM513" s="73"/>
      <c r="BN513" s="73"/>
      <c r="BO513" s="73"/>
      <c r="BP513" s="73"/>
      <c r="BQ513" s="73"/>
      <c r="BR513" s="73"/>
      <c r="BS513" s="73"/>
      <c r="BT513" s="74"/>
      <c r="BU513" s="73"/>
      <c r="BV513" s="73"/>
      <c r="BW513" s="73"/>
      <c r="BX513" s="73"/>
      <c r="BY513" s="73"/>
      <c r="BZ513" s="73"/>
      <c r="CA513" s="73"/>
      <c r="CB513" s="73"/>
      <c r="CC513" s="73"/>
      <c r="CD513" s="73"/>
      <c r="CE513" s="73"/>
    </row>
    <row r="514">
      <c r="A514" s="73"/>
      <c r="B514" s="73"/>
      <c r="C514" s="73"/>
      <c r="D514" s="74"/>
      <c r="E514" s="73"/>
      <c r="F514" s="73"/>
      <c r="G514" s="73"/>
      <c r="H514" s="73"/>
      <c r="I514" s="73"/>
      <c r="J514" s="73"/>
      <c r="K514" s="92"/>
      <c r="L514" s="73"/>
      <c r="M514" s="73"/>
      <c r="N514" s="73"/>
      <c r="O514" s="73"/>
      <c r="P514" s="73"/>
      <c r="Q514" s="75"/>
      <c r="R514" s="82"/>
      <c r="S514" s="73"/>
      <c r="T514" s="73"/>
      <c r="U514" s="73"/>
      <c r="V514" s="73"/>
      <c r="W514" s="73"/>
      <c r="X514" s="73"/>
      <c r="Y514" s="77"/>
      <c r="Z514" s="104"/>
      <c r="AA514" s="73"/>
      <c r="AB514" s="104"/>
      <c r="AC514" s="104"/>
      <c r="AD514" s="74"/>
      <c r="AE514" s="106"/>
      <c r="AF514" s="195"/>
      <c r="AG514" s="80"/>
      <c r="AH514" s="104"/>
      <c r="AI514" s="73"/>
      <c r="AJ514" s="114"/>
      <c r="AK514" s="106"/>
      <c r="AL514" s="74"/>
      <c r="AM514" s="73"/>
      <c r="AN514" s="73"/>
      <c r="AO514" s="102"/>
      <c r="AP514" s="73"/>
      <c r="AQ514" s="73"/>
      <c r="AR514" s="74"/>
      <c r="AS514" s="73"/>
      <c r="AT514" s="73"/>
      <c r="AU514" s="73"/>
      <c r="AV514" s="73"/>
      <c r="AW514" s="73"/>
      <c r="AX514" s="74"/>
      <c r="AY514" s="73"/>
      <c r="AZ514" s="73"/>
      <c r="BA514" s="74"/>
      <c r="BB514" s="73"/>
      <c r="BC514" s="73"/>
      <c r="BD514" s="73"/>
      <c r="BE514" s="73"/>
      <c r="BF514" s="73"/>
      <c r="BG514" s="73"/>
      <c r="BH514" s="73"/>
      <c r="BI514" s="73"/>
      <c r="BJ514" s="73"/>
      <c r="BK514" s="73"/>
      <c r="BL514" s="73"/>
      <c r="BM514" s="73"/>
      <c r="BN514" s="73"/>
      <c r="BO514" s="73"/>
      <c r="BP514" s="73"/>
      <c r="BQ514" s="73"/>
      <c r="BR514" s="73"/>
      <c r="BS514" s="73"/>
      <c r="BT514" s="74"/>
      <c r="BU514" s="73"/>
      <c r="BV514" s="73"/>
      <c r="BW514" s="73"/>
      <c r="BX514" s="73"/>
      <c r="BY514" s="73"/>
      <c r="BZ514" s="73"/>
      <c r="CA514" s="73"/>
      <c r="CB514" s="73"/>
      <c r="CC514" s="73"/>
      <c r="CD514" s="73"/>
      <c r="CE514" s="73"/>
    </row>
    <row r="515">
      <c r="A515" s="73"/>
      <c r="B515" s="73"/>
      <c r="C515" s="73"/>
      <c r="D515" s="74"/>
      <c r="E515" s="73"/>
      <c r="F515" s="73"/>
      <c r="G515" s="73"/>
      <c r="H515" s="73"/>
      <c r="I515" s="73"/>
      <c r="J515" s="73"/>
      <c r="K515" s="92"/>
      <c r="L515" s="73"/>
      <c r="M515" s="73"/>
      <c r="N515" s="73"/>
      <c r="O515" s="73"/>
      <c r="P515" s="73"/>
      <c r="Q515" s="75"/>
      <c r="R515" s="82"/>
      <c r="S515" s="73"/>
      <c r="T515" s="73"/>
      <c r="U515" s="73"/>
      <c r="V515" s="73"/>
      <c r="W515" s="73"/>
      <c r="X515" s="73"/>
      <c r="Y515" s="77"/>
      <c r="Z515" s="104"/>
      <c r="AA515" s="73"/>
      <c r="AB515" s="104"/>
      <c r="AC515" s="104"/>
      <c r="AD515" s="74"/>
      <c r="AE515" s="106"/>
      <c r="AF515" s="195"/>
      <c r="AG515" s="80"/>
      <c r="AH515" s="104"/>
      <c r="AI515" s="73"/>
      <c r="AJ515" s="114"/>
      <c r="AK515" s="106"/>
      <c r="AL515" s="74"/>
      <c r="AM515" s="73"/>
      <c r="AN515" s="73"/>
      <c r="AO515" s="102"/>
      <c r="AP515" s="73"/>
      <c r="AQ515" s="73"/>
      <c r="AR515" s="74"/>
      <c r="AS515" s="73"/>
      <c r="AT515" s="73"/>
      <c r="AU515" s="73"/>
      <c r="AV515" s="73"/>
      <c r="AW515" s="73"/>
      <c r="AX515" s="74"/>
      <c r="AY515" s="73"/>
      <c r="AZ515" s="73"/>
      <c r="BA515" s="74"/>
      <c r="BB515" s="73"/>
      <c r="BC515" s="73"/>
      <c r="BD515" s="73"/>
      <c r="BE515" s="73"/>
      <c r="BF515" s="73"/>
      <c r="BG515" s="73"/>
      <c r="BH515" s="73"/>
      <c r="BI515" s="73"/>
      <c r="BJ515" s="73"/>
      <c r="BK515" s="73"/>
      <c r="BL515" s="73"/>
      <c r="BM515" s="73"/>
      <c r="BN515" s="73"/>
      <c r="BO515" s="73"/>
      <c r="BP515" s="73"/>
      <c r="BQ515" s="73"/>
      <c r="BR515" s="73"/>
      <c r="BS515" s="73"/>
      <c r="BT515" s="74"/>
      <c r="BU515" s="73"/>
      <c r="BV515" s="73"/>
      <c r="BW515" s="73"/>
      <c r="BX515" s="73"/>
      <c r="BY515" s="73"/>
      <c r="BZ515" s="73"/>
      <c r="CA515" s="73"/>
      <c r="CB515" s="73"/>
      <c r="CC515" s="73"/>
      <c r="CD515" s="73"/>
      <c r="CE515" s="73"/>
    </row>
    <row r="516">
      <c r="A516" s="73"/>
      <c r="B516" s="73"/>
      <c r="C516" s="73"/>
      <c r="D516" s="74"/>
      <c r="E516" s="73"/>
      <c r="F516" s="73"/>
      <c r="G516" s="73"/>
      <c r="H516" s="73"/>
      <c r="I516" s="73"/>
      <c r="J516" s="73"/>
      <c r="K516" s="92"/>
      <c r="L516" s="73"/>
      <c r="M516" s="73"/>
      <c r="N516" s="73"/>
      <c r="O516" s="73"/>
      <c r="P516" s="73"/>
      <c r="Q516" s="75"/>
      <c r="R516" s="82"/>
      <c r="S516" s="73"/>
      <c r="T516" s="73"/>
      <c r="U516" s="73"/>
      <c r="V516" s="73"/>
      <c r="W516" s="73"/>
      <c r="X516" s="73"/>
      <c r="Y516" s="77"/>
      <c r="Z516" s="104"/>
      <c r="AA516" s="73"/>
      <c r="AB516" s="104"/>
      <c r="AC516" s="104"/>
      <c r="AD516" s="74"/>
      <c r="AE516" s="106"/>
      <c r="AF516" s="195"/>
      <c r="AG516" s="80"/>
      <c r="AH516" s="104"/>
      <c r="AI516" s="73"/>
      <c r="AJ516" s="114"/>
      <c r="AK516" s="106"/>
      <c r="AL516" s="74"/>
      <c r="AM516" s="73"/>
      <c r="AN516" s="73"/>
      <c r="AO516" s="102"/>
      <c r="AP516" s="73"/>
      <c r="AQ516" s="73"/>
      <c r="AR516" s="74"/>
      <c r="AS516" s="73"/>
      <c r="AT516" s="73"/>
      <c r="AU516" s="73"/>
      <c r="AV516" s="73"/>
      <c r="AW516" s="73"/>
      <c r="AX516" s="74"/>
      <c r="AY516" s="73"/>
      <c r="AZ516" s="73"/>
      <c r="BA516" s="74"/>
      <c r="BB516" s="73"/>
      <c r="BC516" s="73"/>
      <c r="BD516" s="73"/>
      <c r="BE516" s="73"/>
      <c r="BF516" s="73"/>
      <c r="BG516" s="73"/>
      <c r="BH516" s="73"/>
      <c r="BI516" s="73"/>
      <c r="BJ516" s="73"/>
      <c r="BK516" s="73"/>
      <c r="BL516" s="73"/>
      <c r="BM516" s="73"/>
      <c r="BN516" s="73"/>
      <c r="BO516" s="73"/>
      <c r="BP516" s="73"/>
      <c r="BQ516" s="73"/>
      <c r="BR516" s="73"/>
      <c r="BS516" s="73"/>
      <c r="BT516" s="74"/>
      <c r="BU516" s="73"/>
      <c r="BV516" s="73"/>
      <c r="BW516" s="73"/>
      <c r="BX516" s="73"/>
      <c r="BY516" s="73"/>
      <c r="BZ516" s="73"/>
      <c r="CA516" s="73"/>
      <c r="CB516" s="73"/>
      <c r="CC516" s="73"/>
      <c r="CD516" s="73"/>
      <c r="CE516" s="73"/>
    </row>
    <row r="517">
      <c r="A517" s="73"/>
      <c r="B517" s="73"/>
      <c r="C517" s="73"/>
      <c r="D517" s="74"/>
      <c r="E517" s="73"/>
      <c r="F517" s="73"/>
      <c r="G517" s="73"/>
      <c r="H517" s="73"/>
      <c r="I517" s="73"/>
      <c r="J517" s="73"/>
      <c r="K517" s="92"/>
      <c r="L517" s="73"/>
      <c r="M517" s="73"/>
      <c r="N517" s="73"/>
      <c r="O517" s="73"/>
      <c r="P517" s="73"/>
      <c r="Q517" s="75"/>
      <c r="R517" s="82"/>
      <c r="S517" s="73"/>
      <c r="T517" s="73"/>
      <c r="U517" s="73"/>
      <c r="V517" s="73"/>
      <c r="W517" s="73"/>
      <c r="X517" s="73"/>
      <c r="Y517" s="77"/>
      <c r="Z517" s="104"/>
      <c r="AA517" s="73"/>
      <c r="AB517" s="104"/>
      <c r="AC517" s="104"/>
      <c r="AD517" s="74"/>
      <c r="AE517" s="106"/>
      <c r="AF517" s="195"/>
      <c r="AG517" s="80"/>
      <c r="AH517" s="104"/>
      <c r="AI517" s="73"/>
      <c r="AJ517" s="114"/>
      <c r="AK517" s="106"/>
      <c r="AL517" s="74"/>
      <c r="AM517" s="73"/>
      <c r="AN517" s="73"/>
      <c r="AO517" s="102"/>
      <c r="AP517" s="73"/>
      <c r="AQ517" s="73"/>
      <c r="AR517" s="74"/>
      <c r="AS517" s="73"/>
      <c r="AT517" s="73"/>
      <c r="AU517" s="73"/>
      <c r="AV517" s="73"/>
      <c r="AW517" s="73"/>
      <c r="AX517" s="74"/>
      <c r="AY517" s="73"/>
      <c r="AZ517" s="73"/>
      <c r="BA517" s="74"/>
      <c r="BB517" s="73"/>
      <c r="BC517" s="73"/>
      <c r="BD517" s="73"/>
      <c r="BE517" s="73"/>
      <c r="BF517" s="73"/>
      <c r="BG517" s="73"/>
      <c r="BH517" s="73"/>
      <c r="BI517" s="73"/>
      <c r="BJ517" s="73"/>
      <c r="BK517" s="73"/>
      <c r="BL517" s="73"/>
      <c r="BM517" s="73"/>
      <c r="BN517" s="73"/>
      <c r="BO517" s="73"/>
      <c r="BP517" s="73"/>
      <c r="BQ517" s="73"/>
      <c r="BR517" s="73"/>
      <c r="BS517" s="73"/>
      <c r="BT517" s="74"/>
      <c r="BU517" s="73"/>
      <c r="BV517" s="73"/>
      <c r="BW517" s="73"/>
      <c r="BX517" s="73"/>
      <c r="BY517" s="73"/>
      <c r="BZ517" s="73"/>
      <c r="CA517" s="73"/>
      <c r="CB517" s="73"/>
      <c r="CC517" s="73"/>
      <c r="CD517" s="73"/>
      <c r="CE517" s="73"/>
    </row>
    <row r="518">
      <c r="A518" s="73"/>
      <c r="B518" s="73"/>
      <c r="C518" s="73"/>
      <c r="D518" s="74"/>
      <c r="E518" s="73"/>
      <c r="F518" s="73"/>
      <c r="G518" s="73"/>
      <c r="H518" s="73"/>
      <c r="I518" s="73"/>
      <c r="J518" s="73"/>
      <c r="K518" s="92"/>
      <c r="L518" s="73"/>
      <c r="M518" s="73"/>
      <c r="N518" s="73"/>
      <c r="O518" s="73"/>
      <c r="P518" s="73"/>
      <c r="Q518" s="75"/>
      <c r="R518" s="82"/>
      <c r="S518" s="73"/>
      <c r="T518" s="73"/>
      <c r="U518" s="73"/>
      <c r="V518" s="73"/>
      <c r="W518" s="73"/>
      <c r="X518" s="73"/>
      <c r="Y518" s="77"/>
      <c r="Z518" s="104"/>
      <c r="AA518" s="73"/>
      <c r="AB518" s="104"/>
      <c r="AC518" s="104"/>
      <c r="AD518" s="74"/>
      <c r="AE518" s="106"/>
      <c r="AF518" s="195"/>
      <c r="AG518" s="80"/>
      <c r="AH518" s="104"/>
      <c r="AI518" s="73"/>
      <c r="AJ518" s="114"/>
      <c r="AK518" s="106"/>
      <c r="AL518" s="74"/>
      <c r="AM518" s="73"/>
      <c r="AN518" s="73"/>
      <c r="AO518" s="102"/>
      <c r="AP518" s="73"/>
      <c r="AQ518" s="73"/>
      <c r="AR518" s="74"/>
      <c r="AS518" s="73"/>
      <c r="AT518" s="73"/>
      <c r="AU518" s="73"/>
      <c r="AV518" s="73"/>
      <c r="AW518" s="73"/>
      <c r="AX518" s="74"/>
      <c r="AY518" s="73"/>
      <c r="AZ518" s="73"/>
      <c r="BA518" s="74"/>
      <c r="BB518" s="73"/>
      <c r="BC518" s="73"/>
      <c r="BD518" s="73"/>
      <c r="BE518" s="73"/>
      <c r="BF518" s="73"/>
      <c r="BG518" s="73"/>
      <c r="BH518" s="73"/>
      <c r="BI518" s="73"/>
      <c r="BJ518" s="73"/>
      <c r="BK518" s="73"/>
      <c r="BL518" s="73"/>
      <c r="BM518" s="73"/>
      <c r="BN518" s="73"/>
      <c r="BO518" s="73"/>
      <c r="BP518" s="73"/>
      <c r="BQ518" s="73"/>
      <c r="BR518" s="73"/>
      <c r="BS518" s="73"/>
      <c r="BT518" s="74"/>
      <c r="BU518" s="73"/>
      <c r="BV518" s="73"/>
      <c r="BW518" s="73"/>
      <c r="BX518" s="73"/>
      <c r="BY518" s="73"/>
      <c r="BZ518" s="73"/>
      <c r="CA518" s="73"/>
      <c r="CB518" s="73"/>
      <c r="CC518" s="73"/>
      <c r="CD518" s="73"/>
      <c r="CE518" s="73"/>
    </row>
    <row r="519">
      <c r="A519" s="73"/>
      <c r="B519" s="73"/>
      <c r="C519" s="73"/>
      <c r="D519" s="74"/>
      <c r="E519" s="73"/>
      <c r="F519" s="73"/>
      <c r="G519" s="73"/>
      <c r="H519" s="73"/>
      <c r="I519" s="73"/>
      <c r="J519" s="73"/>
      <c r="K519" s="92"/>
      <c r="L519" s="73"/>
      <c r="M519" s="73"/>
      <c r="N519" s="73"/>
      <c r="O519" s="73"/>
      <c r="P519" s="73"/>
      <c r="Q519" s="75"/>
      <c r="R519" s="82"/>
      <c r="S519" s="73"/>
      <c r="T519" s="73"/>
      <c r="U519" s="73"/>
      <c r="V519" s="73"/>
      <c r="W519" s="73"/>
      <c r="X519" s="73"/>
      <c r="Y519" s="77"/>
      <c r="Z519" s="104"/>
      <c r="AA519" s="73"/>
      <c r="AB519" s="104"/>
      <c r="AC519" s="104"/>
      <c r="AD519" s="74"/>
      <c r="AE519" s="106"/>
      <c r="AF519" s="195"/>
      <c r="AG519" s="80"/>
      <c r="AH519" s="104"/>
      <c r="AI519" s="73"/>
      <c r="AJ519" s="114"/>
      <c r="AK519" s="106"/>
      <c r="AL519" s="74"/>
      <c r="AM519" s="73"/>
      <c r="AN519" s="73"/>
      <c r="AO519" s="102"/>
      <c r="AP519" s="73"/>
      <c r="AQ519" s="73"/>
      <c r="AR519" s="74"/>
      <c r="AS519" s="73"/>
      <c r="AT519" s="73"/>
      <c r="AU519" s="73"/>
      <c r="AV519" s="73"/>
      <c r="AW519" s="73"/>
      <c r="AX519" s="74"/>
      <c r="AY519" s="73"/>
      <c r="AZ519" s="73"/>
      <c r="BA519" s="74"/>
      <c r="BB519" s="73"/>
      <c r="BC519" s="73"/>
      <c r="BD519" s="73"/>
      <c r="BE519" s="73"/>
      <c r="BF519" s="73"/>
      <c r="BG519" s="73"/>
      <c r="BH519" s="73"/>
      <c r="BI519" s="73"/>
      <c r="BJ519" s="73"/>
      <c r="BK519" s="73"/>
      <c r="BL519" s="73"/>
      <c r="BM519" s="73"/>
      <c r="BN519" s="73"/>
      <c r="BO519" s="73"/>
      <c r="BP519" s="73"/>
      <c r="BQ519" s="73"/>
      <c r="BR519" s="73"/>
      <c r="BS519" s="73"/>
      <c r="BT519" s="74"/>
      <c r="BU519" s="73"/>
      <c r="BV519" s="73"/>
      <c r="BW519" s="73"/>
      <c r="BX519" s="73"/>
      <c r="BY519" s="73"/>
      <c r="BZ519" s="73"/>
      <c r="CA519" s="73"/>
      <c r="CB519" s="73"/>
      <c r="CC519" s="73"/>
      <c r="CD519" s="73"/>
      <c r="CE519" s="73"/>
    </row>
    <row r="520">
      <c r="A520" s="73"/>
      <c r="B520" s="73"/>
      <c r="C520" s="73"/>
      <c r="D520" s="74"/>
      <c r="E520" s="73"/>
      <c r="F520" s="73"/>
      <c r="G520" s="73"/>
      <c r="H520" s="73"/>
      <c r="I520" s="73"/>
      <c r="J520" s="73"/>
      <c r="K520" s="92"/>
      <c r="L520" s="73"/>
      <c r="M520" s="73"/>
      <c r="N520" s="73"/>
      <c r="O520" s="73"/>
      <c r="P520" s="73"/>
      <c r="Q520" s="75"/>
      <c r="R520" s="82"/>
      <c r="S520" s="73"/>
      <c r="T520" s="73"/>
      <c r="U520" s="73"/>
      <c r="V520" s="73"/>
      <c r="W520" s="73"/>
      <c r="X520" s="73"/>
      <c r="Y520" s="77"/>
      <c r="Z520" s="104"/>
      <c r="AA520" s="73"/>
      <c r="AB520" s="104"/>
      <c r="AC520" s="104"/>
      <c r="AD520" s="74"/>
      <c r="AE520" s="106"/>
      <c r="AF520" s="195"/>
      <c r="AG520" s="80"/>
      <c r="AH520" s="104"/>
      <c r="AI520" s="73"/>
      <c r="AJ520" s="114"/>
      <c r="AK520" s="106"/>
      <c r="AL520" s="74"/>
      <c r="AM520" s="73"/>
      <c r="AN520" s="73"/>
      <c r="AO520" s="102"/>
      <c r="AP520" s="73"/>
      <c r="AQ520" s="73"/>
      <c r="AR520" s="74"/>
      <c r="AS520" s="73"/>
      <c r="AT520" s="73"/>
      <c r="AU520" s="73"/>
      <c r="AV520" s="73"/>
      <c r="AW520" s="73"/>
      <c r="AX520" s="74"/>
      <c r="AY520" s="73"/>
      <c r="AZ520" s="73"/>
      <c r="BA520" s="74"/>
      <c r="BB520" s="73"/>
      <c r="BC520" s="73"/>
      <c r="BD520" s="73"/>
      <c r="BE520" s="73"/>
      <c r="BF520" s="73"/>
      <c r="BG520" s="73"/>
      <c r="BH520" s="73"/>
      <c r="BI520" s="73"/>
      <c r="BJ520" s="73"/>
      <c r="BK520" s="73"/>
      <c r="BL520" s="73"/>
      <c r="BM520" s="73"/>
      <c r="BN520" s="73"/>
      <c r="BO520" s="73"/>
      <c r="BP520" s="73"/>
      <c r="BQ520" s="73"/>
      <c r="BR520" s="73"/>
      <c r="BS520" s="73"/>
      <c r="BT520" s="74"/>
      <c r="BU520" s="73"/>
      <c r="BV520" s="73"/>
      <c r="BW520" s="73"/>
      <c r="BX520" s="73"/>
      <c r="BY520" s="73"/>
      <c r="BZ520" s="73"/>
      <c r="CA520" s="73"/>
      <c r="CB520" s="73"/>
      <c r="CC520" s="73"/>
      <c r="CD520" s="73"/>
      <c r="CE520" s="73"/>
    </row>
    <row r="521">
      <c r="A521" s="73"/>
      <c r="B521" s="73"/>
      <c r="C521" s="73"/>
      <c r="D521" s="74"/>
      <c r="E521" s="73"/>
      <c r="F521" s="73"/>
      <c r="G521" s="73"/>
      <c r="H521" s="73"/>
      <c r="I521" s="73"/>
      <c r="J521" s="73"/>
      <c r="K521" s="92"/>
      <c r="L521" s="73"/>
      <c r="M521" s="73"/>
      <c r="N521" s="73"/>
      <c r="O521" s="73"/>
      <c r="P521" s="73"/>
      <c r="Q521" s="75"/>
      <c r="R521" s="82"/>
      <c r="S521" s="73"/>
      <c r="T521" s="73"/>
      <c r="U521" s="73"/>
      <c r="V521" s="73"/>
      <c r="W521" s="73"/>
      <c r="X521" s="73"/>
      <c r="Y521" s="77"/>
      <c r="Z521" s="104"/>
      <c r="AA521" s="73"/>
      <c r="AB521" s="104"/>
      <c r="AC521" s="104"/>
      <c r="AD521" s="74"/>
      <c r="AE521" s="106"/>
      <c r="AF521" s="195"/>
      <c r="AG521" s="80"/>
      <c r="AH521" s="104"/>
      <c r="AI521" s="73"/>
      <c r="AJ521" s="114"/>
      <c r="AK521" s="106"/>
      <c r="AL521" s="74"/>
      <c r="AM521" s="73"/>
      <c r="AN521" s="73"/>
      <c r="AO521" s="102"/>
      <c r="AP521" s="73"/>
      <c r="AQ521" s="73"/>
      <c r="AR521" s="74"/>
      <c r="AS521" s="73"/>
      <c r="AT521" s="73"/>
      <c r="AU521" s="73"/>
      <c r="AV521" s="73"/>
      <c r="AW521" s="73"/>
      <c r="AX521" s="74"/>
      <c r="AY521" s="73"/>
      <c r="AZ521" s="73"/>
      <c r="BA521" s="74"/>
      <c r="BB521" s="73"/>
      <c r="BC521" s="73"/>
      <c r="BD521" s="73"/>
      <c r="BE521" s="73"/>
      <c r="BF521" s="73"/>
      <c r="BG521" s="73"/>
      <c r="BH521" s="73"/>
      <c r="BI521" s="73"/>
      <c r="BJ521" s="73"/>
      <c r="BK521" s="73"/>
      <c r="BL521" s="73"/>
      <c r="BM521" s="73"/>
      <c r="BN521" s="73"/>
      <c r="BO521" s="73"/>
      <c r="BP521" s="73"/>
      <c r="BQ521" s="73"/>
      <c r="BR521" s="73"/>
      <c r="BS521" s="73"/>
      <c r="BT521" s="74"/>
      <c r="BU521" s="73"/>
      <c r="BV521" s="73"/>
      <c r="BW521" s="73"/>
      <c r="BX521" s="73"/>
      <c r="BY521" s="73"/>
      <c r="BZ521" s="73"/>
      <c r="CA521" s="73"/>
      <c r="CB521" s="73"/>
      <c r="CC521" s="73"/>
      <c r="CD521" s="73"/>
      <c r="CE521" s="73"/>
    </row>
    <row r="522">
      <c r="A522" s="73"/>
      <c r="B522" s="73"/>
      <c r="C522" s="73"/>
      <c r="D522" s="74"/>
      <c r="E522" s="73"/>
      <c r="F522" s="73"/>
      <c r="G522" s="73"/>
      <c r="H522" s="73"/>
      <c r="I522" s="73"/>
      <c r="J522" s="73"/>
      <c r="K522" s="92"/>
      <c r="L522" s="73"/>
      <c r="M522" s="73"/>
      <c r="N522" s="73"/>
      <c r="O522" s="73"/>
      <c r="P522" s="73"/>
      <c r="Q522" s="75"/>
      <c r="R522" s="82"/>
      <c r="S522" s="73"/>
      <c r="T522" s="73"/>
      <c r="U522" s="73"/>
      <c r="V522" s="73"/>
      <c r="W522" s="73"/>
      <c r="X522" s="73"/>
      <c r="Y522" s="77"/>
      <c r="Z522" s="104"/>
      <c r="AA522" s="73"/>
      <c r="AB522" s="104"/>
      <c r="AC522" s="104"/>
      <c r="AD522" s="74"/>
      <c r="AE522" s="106"/>
      <c r="AF522" s="195"/>
      <c r="AG522" s="80"/>
      <c r="AH522" s="104"/>
      <c r="AI522" s="73"/>
      <c r="AJ522" s="114"/>
      <c r="AK522" s="106"/>
      <c r="AL522" s="74"/>
      <c r="AM522" s="73"/>
      <c r="AN522" s="73"/>
      <c r="AO522" s="102"/>
      <c r="AP522" s="73"/>
      <c r="AQ522" s="73"/>
      <c r="AR522" s="74"/>
      <c r="AS522" s="73"/>
      <c r="AT522" s="73"/>
      <c r="AU522" s="73"/>
      <c r="AV522" s="73"/>
      <c r="AW522" s="73"/>
      <c r="AX522" s="74"/>
      <c r="AY522" s="73"/>
      <c r="AZ522" s="73"/>
      <c r="BA522" s="74"/>
      <c r="BB522" s="73"/>
      <c r="BC522" s="73"/>
      <c r="BD522" s="73"/>
      <c r="BE522" s="73"/>
      <c r="BF522" s="73"/>
      <c r="BG522" s="73"/>
      <c r="BH522" s="73"/>
      <c r="BI522" s="73"/>
      <c r="BJ522" s="73"/>
      <c r="BK522" s="73"/>
      <c r="BL522" s="73"/>
      <c r="BM522" s="73"/>
      <c r="BN522" s="73"/>
      <c r="BO522" s="73"/>
      <c r="BP522" s="73"/>
      <c r="BQ522" s="73"/>
      <c r="BR522" s="73"/>
      <c r="BS522" s="73"/>
      <c r="BT522" s="74"/>
      <c r="BU522" s="73"/>
      <c r="BV522" s="73"/>
      <c r="BW522" s="73"/>
      <c r="BX522" s="73"/>
      <c r="BY522" s="73"/>
      <c r="BZ522" s="73"/>
      <c r="CA522" s="73"/>
      <c r="CB522" s="73"/>
      <c r="CC522" s="73"/>
      <c r="CD522" s="73"/>
      <c r="CE522" s="73"/>
    </row>
    <row r="523">
      <c r="A523" s="73"/>
      <c r="B523" s="73"/>
      <c r="C523" s="73"/>
      <c r="D523" s="74"/>
      <c r="E523" s="73"/>
      <c r="F523" s="73"/>
      <c r="G523" s="73"/>
      <c r="H523" s="73"/>
      <c r="I523" s="73"/>
      <c r="J523" s="73"/>
      <c r="K523" s="92"/>
      <c r="L523" s="73"/>
      <c r="M523" s="73"/>
      <c r="N523" s="73"/>
      <c r="O523" s="73"/>
      <c r="P523" s="73"/>
      <c r="Q523" s="75"/>
      <c r="R523" s="82"/>
      <c r="S523" s="73"/>
      <c r="T523" s="73"/>
      <c r="U523" s="73"/>
      <c r="V523" s="73"/>
      <c r="W523" s="73"/>
      <c r="X523" s="73"/>
      <c r="Y523" s="77"/>
      <c r="Z523" s="104"/>
      <c r="AA523" s="73"/>
      <c r="AB523" s="104"/>
      <c r="AC523" s="104"/>
      <c r="AD523" s="74"/>
      <c r="AE523" s="106"/>
      <c r="AF523" s="195"/>
      <c r="AG523" s="80"/>
      <c r="AH523" s="104"/>
      <c r="AI523" s="73"/>
      <c r="AJ523" s="114"/>
      <c r="AK523" s="106"/>
      <c r="AL523" s="74"/>
      <c r="AM523" s="73"/>
      <c r="AN523" s="73"/>
      <c r="AO523" s="102"/>
      <c r="AP523" s="73"/>
      <c r="AQ523" s="73"/>
      <c r="AR523" s="74"/>
      <c r="AS523" s="73"/>
      <c r="AT523" s="73"/>
      <c r="AU523" s="73"/>
      <c r="AV523" s="73"/>
      <c r="AW523" s="73"/>
      <c r="AX523" s="74"/>
      <c r="AY523" s="73"/>
      <c r="AZ523" s="73"/>
      <c r="BA523" s="74"/>
      <c r="BB523" s="73"/>
      <c r="BC523" s="73"/>
      <c r="BD523" s="73"/>
      <c r="BE523" s="73"/>
      <c r="BF523" s="73"/>
      <c r="BG523" s="73"/>
      <c r="BH523" s="73"/>
      <c r="BI523" s="73"/>
      <c r="BJ523" s="73"/>
      <c r="BK523" s="73"/>
      <c r="BL523" s="73"/>
      <c r="BM523" s="73"/>
      <c r="BN523" s="73"/>
      <c r="BO523" s="73"/>
      <c r="BP523" s="73"/>
      <c r="BQ523" s="73"/>
      <c r="BR523" s="73"/>
      <c r="BS523" s="73"/>
      <c r="BT523" s="74"/>
      <c r="BU523" s="73"/>
      <c r="BV523" s="73"/>
      <c r="BW523" s="73"/>
      <c r="BX523" s="73"/>
      <c r="BY523" s="73"/>
      <c r="BZ523" s="73"/>
      <c r="CA523" s="73"/>
      <c r="CB523" s="73"/>
      <c r="CC523" s="73"/>
      <c r="CD523" s="73"/>
      <c r="CE523" s="73"/>
    </row>
    <row r="524">
      <c r="A524" s="73"/>
      <c r="B524" s="73"/>
      <c r="C524" s="73"/>
      <c r="D524" s="74"/>
      <c r="E524" s="73"/>
      <c r="F524" s="73"/>
      <c r="G524" s="73"/>
      <c r="H524" s="73"/>
      <c r="I524" s="73"/>
      <c r="J524" s="73"/>
      <c r="K524" s="92"/>
      <c r="L524" s="73"/>
      <c r="M524" s="73"/>
      <c r="N524" s="73"/>
      <c r="O524" s="73"/>
      <c r="P524" s="73"/>
      <c r="Q524" s="75"/>
      <c r="R524" s="82"/>
      <c r="S524" s="73"/>
      <c r="T524" s="73"/>
      <c r="U524" s="73"/>
      <c r="V524" s="73"/>
      <c r="W524" s="73"/>
      <c r="X524" s="73"/>
      <c r="Y524" s="77"/>
      <c r="Z524" s="104"/>
      <c r="AA524" s="73"/>
      <c r="AB524" s="104"/>
      <c r="AC524" s="104"/>
      <c r="AD524" s="74"/>
      <c r="AE524" s="106"/>
      <c r="AF524" s="195"/>
      <c r="AG524" s="80"/>
      <c r="AH524" s="104"/>
      <c r="AI524" s="73"/>
      <c r="AJ524" s="114"/>
      <c r="AK524" s="106"/>
      <c r="AL524" s="74"/>
      <c r="AM524" s="73"/>
      <c r="AN524" s="73"/>
      <c r="AO524" s="102"/>
      <c r="AP524" s="73"/>
      <c r="AQ524" s="73"/>
      <c r="AR524" s="74"/>
      <c r="AS524" s="73"/>
      <c r="AT524" s="73"/>
      <c r="AU524" s="73"/>
      <c r="AV524" s="73"/>
      <c r="AW524" s="73"/>
      <c r="AX524" s="74"/>
      <c r="AY524" s="73"/>
      <c r="AZ524" s="73"/>
      <c r="BA524" s="74"/>
      <c r="BB524" s="73"/>
      <c r="BC524" s="73"/>
      <c r="BD524" s="73"/>
      <c r="BE524" s="73"/>
      <c r="BF524" s="73"/>
      <c r="BG524" s="73"/>
      <c r="BH524" s="73"/>
      <c r="BI524" s="73"/>
      <c r="BJ524" s="73"/>
      <c r="BK524" s="73"/>
      <c r="BL524" s="73"/>
      <c r="BM524" s="73"/>
      <c r="BN524" s="73"/>
      <c r="BO524" s="73"/>
      <c r="BP524" s="73"/>
      <c r="BQ524" s="73"/>
      <c r="BR524" s="73"/>
      <c r="BS524" s="73"/>
      <c r="BT524" s="74"/>
      <c r="BU524" s="73"/>
      <c r="BV524" s="73"/>
      <c r="BW524" s="73"/>
      <c r="BX524" s="73"/>
      <c r="BY524" s="73"/>
      <c r="BZ524" s="73"/>
      <c r="CA524" s="73"/>
      <c r="CB524" s="73"/>
      <c r="CC524" s="73"/>
      <c r="CD524" s="73"/>
      <c r="CE524" s="73"/>
    </row>
    <row r="525">
      <c r="A525" s="73"/>
      <c r="B525" s="73"/>
      <c r="C525" s="73"/>
      <c r="D525" s="74"/>
      <c r="E525" s="73"/>
      <c r="F525" s="73"/>
      <c r="G525" s="73"/>
      <c r="H525" s="73"/>
      <c r="I525" s="73"/>
      <c r="J525" s="73"/>
      <c r="K525" s="92"/>
      <c r="L525" s="73"/>
      <c r="M525" s="73"/>
      <c r="N525" s="73"/>
      <c r="O525" s="73"/>
      <c r="P525" s="73"/>
      <c r="Q525" s="75"/>
      <c r="R525" s="82"/>
      <c r="S525" s="73"/>
      <c r="T525" s="73"/>
      <c r="U525" s="73"/>
      <c r="V525" s="73"/>
      <c r="W525" s="73"/>
      <c r="X525" s="73"/>
      <c r="Y525" s="77"/>
      <c r="Z525" s="104"/>
      <c r="AA525" s="73"/>
      <c r="AB525" s="104"/>
      <c r="AC525" s="104"/>
      <c r="AD525" s="74"/>
      <c r="AE525" s="106"/>
      <c r="AF525" s="195"/>
      <c r="AG525" s="80"/>
      <c r="AH525" s="104"/>
      <c r="AI525" s="73"/>
      <c r="AJ525" s="114"/>
      <c r="AK525" s="106"/>
      <c r="AL525" s="74"/>
      <c r="AM525" s="73"/>
      <c r="AN525" s="73"/>
      <c r="AO525" s="102"/>
      <c r="AP525" s="73"/>
      <c r="AQ525" s="73"/>
      <c r="AR525" s="74"/>
      <c r="AS525" s="73"/>
      <c r="AT525" s="73"/>
      <c r="AU525" s="73"/>
      <c r="AV525" s="73"/>
      <c r="AW525" s="73"/>
      <c r="AX525" s="74"/>
      <c r="AY525" s="73"/>
      <c r="AZ525" s="73"/>
      <c r="BA525" s="74"/>
      <c r="BB525" s="73"/>
      <c r="BC525" s="73"/>
      <c r="BD525" s="73"/>
      <c r="BE525" s="73"/>
      <c r="BF525" s="73"/>
      <c r="BG525" s="73"/>
      <c r="BH525" s="73"/>
      <c r="BI525" s="73"/>
      <c r="BJ525" s="73"/>
      <c r="BK525" s="73"/>
      <c r="BL525" s="73"/>
      <c r="BM525" s="73"/>
      <c r="BN525" s="73"/>
      <c r="BO525" s="73"/>
      <c r="BP525" s="73"/>
      <c r="BQ525" s="73"/>
      <c r="BR525" s="73"/>
      <c r="BS525" s="73"/>
      <c r="BT525" s="74"/>
      <c r="BU525" s="73"/>
      <c r="BV525" s="73"/>
      <c r="BW525" s="73"/>
      <c r="BX525" s="73"/>
      <c r="BY525" s="73"/>
      <c r="BZ525" s="73"/>
      <c r="CA525" s="73"/>
      <c r="CB525" s="73"/>
      <c r="CC525" s="73"/>
      <c r="CD525" s="73"/>
      <c r="CE525" s="73"/>
    </row>
    <row r="526">
      <c r="A526" s="73"/>
      <c r="B526" s="73"/>
      <c r="C526" s="73"/>
      <c r="D526" s="74"/>
      <c r="E526" s="73"/>
      <c r="F526" s="73"/>
      <c r="G526" s="73"/>
      <c r="H526" s="73"/>
      <c r="I526" s="73"/>
      <c r="J526" s="73"/>
      <c r="K526" s="92"/>
      <c r="L526" s="73"/>
      <c r="M526" s="73"/>
      <c r="N526" s="73"/>
      <c r="O526" s="73"/>
      <c r="P526" s="73"/>
      <c r="Q526" s="75"/>
      <c r="R526" s="82"/>
      <c r="S526" s="73"/>
      <c r="T526" s="73"/>
      <c r="U526" s="73"/>
      <c r="V526" s="73"/>
      <c r="W526" s="73"/>
      <c r="X526" s="73"/>
      <c r="Y526" s="77"/>
      <c r="Z526" s="104"/>
      <c r="AA526" s="73"/>
      <c r="AB526" s="104"/>
      <c r="AC526" s="104"/>
      <c r="AD526" s="74"/>
      <c r="AE526" s="106"/>
      <c r="AF526" s="195"/>
      <c r="AG526" s="80"/>
      <c r="AH526" s="104"/>
      <c r="AI526" s="73"/>
      <c r="AJ526" s="114"/>
      <c r="AK526" s="106"/>
      <c r="AL526" s="74"/>
      <c r="AM526" s="73"/>
      <c r="AN526" s="73"/>
      <c r="AO526" s="102"/>
      <c r="AP526" s="73"/>
      <c r="AQ526" s="73"/>
      <c r="AR526" s="74"/>
      <c r="AS526" s="73"/>
      <c r="AT526" s="73"/>
      <c r="AU526" s="73"/>
      <c r="AV526" s="73"/>
      <c r="AW526" s="73"/>
      <c r="AX526" s="74"/>
      <c r="AY526" s="73"/>
      <c r="AZ526" s="73"/>
      <c r="BA526" s="74"/>
      <c r="BB526" s="73"/>
      <c r="BC526" s="73"/>
      <c r="BD526" s="73"/>
      <c r="BE526" s="73"/>
      <c r="BF526" s="73"/>
      <c r="BG526" s="73"/>
      <c r="BH526" s="73"/>
      <c r="BI526" s="73"/>
      <c r="BJ526" s="73"/>
      <c r="BK526" s="73"/>
      <c r="BL526" s="73"/>
      <c r="BM526" s="73"/>
      <c r="BN526" s="73"/>
      <c r="BO526" s="73"/>
      <c r="BP526" s="73"/>
      <c r="BQ526" s="73"/>
      <c r="BR526" s="73"/>
      <c r="BS526" s="73"/>
      <c r="BT526" s="74"/>
      <c r="BU526" s="73"/>
      <c r="BV526" s="73"/>
      <c r="BW526" s="73"/>
      <c r="BX526" s="73"/>
      <c r="BY526" s="73"/>
      <c r="BZ526" s="73"/>
      <c r="CA526" s="73"/>
      <c r="CB526" s="73"/>
      <c r="CC526" s="73"/>
      <c r="CD526" s="73"/>
      <c r="CE526" s="73"/>
    </row>
    <row r="527">
      <c r="A527" s="73"/>
      <c r="B527" s="73"/>
      <c r="C527" s="73"/>
      <c r="D527" s="74"/>
      <c r="E527" s="73"/>
      <c r="F527" s="73"/>
      <c r="G527" s="73"/>
      <c r="H527" s="73"/>
      <c r="I527" s="73"/>
      <c r="J527" s="73"/>
      <c r="K527" s="92"/>
      <c r="L527" s="73"/>
      <c r="M527" s="73"/>
      <c r="N527" s="73"/>
      <c r="O527" s="73"/>
      <c r="P527" s="73"/>
      <c r="Q527" s="75"/>
      <c r="R527" s="82"/>
      <c r="S527" s="73"/>
      <c r="T527" s="73"/>
      <c r="U527" s="73"/>
      <c r="V527" s="73"/>
      <c r="W527" s="73"/>
      <c r="X527" s="73"/>
      <c r="Y527" s="77"/>
      <c r="Z527" s="104"/>
      <c r="AA527" s="73"/>
      <c r="AB527" s="104"/>
      <c r="AC527" s="104"/>
      <c r="AD527" s="74"/>
      <c r="AE527" s="106"/>
      <c r="AF527" s="195"/>
      <c r="AG527" s="80"/>
      <c r="AH527" s="104"/>
      <c r="AI527" s="73"/>
      <c r="AJ527" s="114"/>
      <c r="AK527" s="106"/>
      <c r="AL527" s="74"/>
      <c r="AM527" s="73"/>
      <c r="AN527" s="73"/>
      <c r="AO527" s="102"/>
      <c r="AP527" s="73"/>
      <c r="AQ527" s="73"/>
      <c r="AR527" s="74"/>
      <c r="AS527" s="73"/>
      <c r="AT527" s="73"/>
      <c r="AU527" s="73"/>
      <c r="AV527" s="73"/>
      <c r="AW527" s="73"/>
      <c r="AX527" s="74"/>
      <c r="AY527" s="73"/>
      <c r="AZ527" s="73"/>
      <c r="BA527" s="74"/>
      <c r="BB527" s="73"/>
      <c r="BC527" s="73"/>
      <c r="BD527" s="73"/>
      <c r="BE527" s="73"/>
      <c r="BF527" s="73"/>
      <c r="BG527" s="73"/>
      <c r="BH527" s="73"/>
      <c r="BI527" s="73"/>
      <c r="BJ527" s="73"/>
      <c r="BK527" s="73"/>
      <c r="BL527" s="73"/>
      <c r="BM527" s="73"/>
      <c r="BN527" s="73"/>
      <c r="BO527" s="73"/>
      <c r="BP527" s="73"/>
      <c r="BQ527" s="73"/>
      <c r="BR527" s="73"/>
      <c r="BS527" s="73"/>
      <c r="BT527" s="74"/>
      <c r="BU527" s="73"/>
      <c r="BV527" s="73"/>
      <c r="BW527" s="73"/>
      <c r="BX527" s="73"/>
      <c r="BY527" s="73"/>
      <c r="BZ527" s="73"/>
      <c r="CA527" s="73"/>
      <c r="CB527" s="73"/>
      <c r="CC527" s="73"/>
      <c r="CD527" s="73"/>
      <c r="CE527" s="73"/>
    </row>
    <row r="528">
      <c r="A528" s="73"/>
      <c r="B528" s="73"/>
      <c r="C528" s="73"/>
      <c r="D528" s="74"/>
      <c r="E528" s="73"/>
      <c r="F528" s="73"/>
      <c r="G528" s="73"/>
      <c r="H528" s="73"/>
      <c r="I528" s="73"/>
      <c r="J528" s="73"/>
      <c r="K528" s="92"/>
      <c r="L528" s="73"/>
      <c r="M528" s="73"/>
      <c r="N528" s="73"/>
      <c r="O528" s="73"/>
      <c r="P528" s="73"/>
      <c r="Q528" s="75"/>
      <c r="R528" s="82"/>
      <c r="S528" s="73"/>
      <c r="T528" s="73"/>
      <c r="U528" s="73"/>
      <c r="V528" s="73"/>
      <c r="W528" s="73"/>
      <c r="X528" s="73"/>
      <c r="Y528" s="77"/>
      <c r="Z528" s="104"/>
      <c r="AA528" s="73"/>
      <c r="AB528" s="104"/>
      <c r="AC528" s="104"/>
      <c r="AD528" s="74"/>
      <c r="AE528" s="106"/>
      <c r="AF528" s="195"/>
      <c r="AG528" s="80"/>
      <c r="AH528" s="104"/>
      <c r="AI528" s="73"/>
      <c r="AJ528" s="114"/>
      <c r="AK528" s="106"/>
      <c r="AL528" s="74"/>
      <c r="AM528" s="73"/>
      <c r="AN528" s="73"/>
      <c r="AO528" s="102"/>
      <c r="AP528" s="73"/>
      <c r="AQ528" s="73"/>
      <c r="AR528" s="74"/>
      <c r="AS528" s="73"/>
      <c r="AT528" s="73"/>
      <c r="AU528" s="73"/>
      <c r="AV528" s="73"/>
      <c r="AW528" s="73"/>
      <c r="AX528" s="74"/>
      <c r="AY528" s="73"/>
      <c r="AZ528" s="73"/>
      <c r="BA528" s="74"/>
      <c r="BB528" s="73"/>
      <c r="BC528" s="73"/>
      <c r="BD528" s="73"/>
      <c r="BE528" s="73"/>
      <c r="BF528" s="73"/>
      <c r="BG528" s="73"/>
      <c r="BH528" s="73"/>
      <c r="BI528" s="73"/>
      <c r="BJ528" s="73"/>
      <c r="BK528" s="73"/>
      <c r="BL528" s="73"/>
      <c r="BM528" s="73"/>
      <c r="BN528" s="73"/>
      <c r="BO528" s="73"/>
      <c r="BP528" s="73"/>
      <c r="BQ528" s="73"/>
      <c r="BR528" s="73"/>
      <c r="BS528" s="73"/>
      <c r="BT528" s="74"/>
      <c r="BU528" s="73"/>
      <c r="BV528" s="73"/>
      <c r="BW528" s="73"/>
      <c r="BX528" s="73"/>
      <c r="BY528" s="73"/>
      <c r="BZ528" s="73"/>
      <c r="CA528" s="73"/>
      <c r="CB528" s="73"/>
      <c r="CC528" s="73"/>
      <c r="CD528" s="73"/>
      <c r="CE528" s="73"/>
    </row>
    <row r="529">
      <c r="A529" s="73"/>
      <c r="B529" s="73"/>
      <c r="C529" s="73"/>
      <c r="D529" s="74"/>
      <c r="E529" s="73"/>
      <c r="F529" s="73"/>
      <c r="G529" s="73"/>
      <c r="H529" s="73"/>
      <c r="I529" s="73"/>
      <c r="J529" s="73"/>
      <c r="K529" s="92"/>
      <c r="L529" s="73"/>
      <c r="M529" s="73"/>
      <c r="N529" s="73"/>
      <c r="O529" s="73"/>
      <c r="P529" s="73"/>
      <c r="Q529" s="75"/>
      <c r="R529" s="82"/>
      <c r="S529" s="73"/>
      <c r="T529" s="73"/>
      <c r="U529" s="73"/>
      <c r="V529" s="73"/>
      <c r="W529" s="73"/>
      <c r="X529" s="73"/>
      <c r="Y529" s="77"/>
      <c r="Z529" s="104"/>
      <c r="AA529" s="73"/>
      <c r="AB529" s="104"/>
      <c r="AC529" s="104"/>
      <c r="AD529" s="74"/>
      <c r="AE529" s="106"/>
      <c r="AF529" s="195"/>
      <c r="AG529" s="80"/>
      <c r="AH529" s="104"/>
      <c r="AI529" s="73"/>
      <c r="AJ529" s="114"/>
      <c r="AK529" s="106"/>
      <c r="AL529" s="74"/>
      <c r="AM529" s="73"/>
      <c r="AN529" s="73"/>
      <c r="AO529" s="102"/>
      <c r="AP529" s="73"/>
      <c r="AQ529" s="73"/>
      <c r="AR529" s="74"/>
      <c r="AS529" s="73"/>
      <c r="AT529" s="73"/>
      <c r="AU529" s="73"/>
      <c r="AV529" s="73"/>
      <c r="AW529" s="73"/>
      <c r="AX529" s="74"/>
      <c r="AY529" s="73"/>
      <c r="AZ529" s="73"/>
      <c r="BA529" s="74"/>
      <c r="BB529" s="73"/>
      <c r="BC529" s="73"/>
      <c r="BD529" s="73"/>
      <c r="BE529" s="73"/>
      <c r="BF529" s="73"/>
      <c r="BG529" s="73"/>
      <c r="BH529" s="73"/>
      <c r="BI529" s="73"/>
      <c r="BJ529" s="73"/>
      <c r="BK529" s="73"/>
      <c r="BL529" s="73"/>
      <c r="BM529" s="73"/>
      <c r="BN529" s="73"/>
      <c r="BO529" s="73"/>
      <c r="BP529" s="73"/>
      <c r="BQ529" s="73"/>
      <c r="BR529" s="73"/>
      <c r="BS529" s="73"/>
      <c r="BT529" s="74"/>
      <c r="BU529" s="73"/>
      <c r="BV529" s="73"/>
      <c r="BW529" s="73"/>
      <c r="BX529" s="73"/>
      <c r="BY529" s="73"/>
      <c r="BZ529" s="73"/>
      <c r="CA529" s="73"/>
      <c r="CB529" s="73"/>
      <c r="CC529" s="73"/>
      <c r="CD529" s="73"/>
      <c r="CE529" s="73"/>
    </row>
    <row r="530">
      <c r="A530" s="73"/>
      <c r="B530" s="73"/>
      <c r="C530" s="73"/>
      <c r="D530" s="74"/>
      <c r="E530" s="73"/>
      <c r="F530" s="73"/>
      <c r="G530" s="73"/>
      <c r="H530" s="73"/>
      <c r="I530" s="73"/>
      <c r="J530" s="73"/>
      <c r="K530" s="92"/>
      <c r="L530" s="73"/>
      <c r="M530" s="73"/>
      <c r="N530" s="73"/>
      <c r="O530" s="73"/>
      <c r="P530" s="73"/>
      <c r="Q530" s="75"/>
      <c r="R530" s="82"/>
      <c r="S530" s="73"/>
      <c r="T530" s="73"/>
      <c r="U530" s="73"/>
      <c r="V530" s="73"/>
      <c r="W530" s="73"/>
      <c r="X530" s="73"/>
      <c r="Y530" s="77"/>
      <c r="Z530" s="104"/>
      <c r="AA530" s="73"/>
      <c r="AB530" s="104"/>
      <c r="AC530" s="104"/>
      <c r="AD530" s="74"/>
      <c r="AE530" s="106"/>
      <c r="AF530" s="195"/>
      <c r="AG530" s="80"/>
      <c r="AH530" s="104"/>
      <c r="AI530" s="73"/>
      <c r="AJ530" s="114"/>
      <c r="AK530" s="106"/>
      <c r="AL530" s="74"/>
      <c r="AM530" s="73"/>
      <c r="AN530" s="73"/>
      <c r="AO530" s="102"/>
      <c r="AP530" s="73"/>
      <c r="AQ530" s="73"/>
      <c r="AR530" s="74"/>
      <c r="AS530" s="73"/>
      <c r="AT530" s="73"/>
      <c r="AU530" s="73"/>
      <c r="AV530" s="73"/>
      <c r="AW530" s="73"/>
      <c r="AX530" s="74"/>
      <c r="AY530" s="73"/>
      <c r="AZ530" s="73"/>
      <c r="BA530" s="74"/>
      <c r="BB530" s="73"/>
      <c r="BC530" s="73"/>
      <c r="BD530" s="73"/>
      <c r="BE530" s="73"/>
      <c r="BF530" s="73"/>
      <c r="BG530" s="73"/>
      <c r="BH530" s="73"/>
      <c r="BI530" s="73"/>
      <c r="BJ530" s="73"/>
      <c r="BK530" s="73"/>
      <c r="BL530" s="73"/>
      <c r="BM530" s="73"/>
      <c r="BN530" s="73"/>
      <c r="BO530" s="73"/>
      <c r="BP530" s="73"/>
      <c r="BQ530" s="73"/>
      <c r="BR530" s="73"/>
      <c r="BS530" s="73"/>
      <c r="BT530" s="74"/>
      <c r="BU530" s="73"/>
      <c r="BV530" s="73"/>
      <c r="BW530" s="73"/>
      <c r="BX530" s="73"/>
      <c r="BY530" s="73"/>
      <c r="BZ530" s="73"/>
      <c r="CA530" s="73"/>
      <c r="CB530" s="73"/>
      <c r="CC530" s="73"/>
      <c r="CD530" s="73"/>
      <c r="CE530" s="73"/>
    </row>
    <row r="531">
      <c r="A531" s="73"/>
      <c r="B531" s="73"/>
      <c r="C531" s="73"/>
      <c r="D531" s="74"/>
      <c r="E531" s="73"/>
      <c r="F531" s="73"/>
      <c r="G531" s="73"/>
      <c r="H531" s="73"/>
      <c r="I531" s="73"/>
      <c r="J531" s="73"/>
      <c r="K531" s="92"/>
      <c r="L531" s="73"/>
      <c r="M531" s="73"/>
      <c r="N531" s="73"/>
      <c r="O531" s="73"/>
      <c r="P531" s="73"/>
      <c r="Q531" s="75"/>
      <c r="R531" s="82"/>
      <c r="S531" s="73"/>
      <c r="T531" s="73"/>
      <c r="U531" s="73"/>
      <c r="V531" s="73"/>
      <c r="W531" s="73"/>
      <c r="X531" s="73"/>
      <c r="Y531" s="77"/>
      <c r="Z531" s="104"/>
      <c r="AA531" s="73"/>
      <c r="AB531" s="104"/>
      <c r="AC531" s="104"/>
      <c r="AD531" s="74"/>
      <c r="AE531" s="106"/>
      <c r="AF531" s="195"/>
      <c r="AG531" s="80"/>
      <c r="AH531" s="104"/>
      <c r="AI531" s="73"/>
      <c r="AJ531" s="114"/>
      <c r="AK531" s="106"/>
      <c r="AL531" s="74"/>
      <c r="AM531" s="73"/>
      <c r="AN531" s="73"/>
      <c r="AO531" s="102"/>
      <c r="AP531" s="73"/>
      <c r="AQ531" s="73"/>
      <c r="AR531" s="74"/>
      <c r="AS531" s="73"/>
      <c r="AT531" s="73"/>
      <c r="AU531" s="73"/>
      <c r="AV531" s="73"/>
      <c r="AW531" s="73"/>
      <c r="AX531" s="74"/>
      <c r="AY531" s="73"/>
      <c r="AZ531" s="73"/>
      <c r="BA531" s="74"/>
      <c r="BB531" s="73"/>
      <c r="BC531" s="73"/>
      <c r="BD531" s="73"/>
      <c r="BE531" s="73"/>
      <c r="BF531" s="73"/>
      <c r="BG531" s="73"/>
      <c r="BH531" s="73"/>
      <c r="BI531" s="73"/>
      <c r="BJ531" s="73"/>
      <c r="BK531" s="73"/>
      <c r="BL531" s="73"/>
      <c r="BM531" s="73"/>
      <c r="BN531" s="73"/>
      <c r="BO531" s="73"/>
      <c r="BP531" s="73"/>
      <c r="BQ531" s="73"/>
      <c r="BR531" s="73"/>
      <c r="BS531" s="73"/>
      <c r="BT531" s="74"/>
      <c r="BU531" s="73"/>
      <c r="BV531" s="73"/>
      <c r="BW531" s="73"/>
      <c r="BX531" s="73"/>
      <c r="BY531" s="73"/>
      <c r="BZ531" s="73"/>
      <c r="CA531" s="73"/>
      <c r="CB531" s="73"/>
      <c r="CC531" s="73"/>
      <c r="CD531" s="73"/>
      <c r="CE531" s="73"/>
    </row>
    <row r="532">
      <c r="A532" s="73"/>
      <c r="B532" s="73"/>
      <c r="C532" s="73"/>
      <c r="D532" s="74"/>
      <c r="E532" s="73"/>
      <c r="F532" s="73"/>
      <c r="G532" s="73"/>
      <c r="H532" s="73"/>
      <c r="I532" s="73"/>
      <c r="J532" s="73"/>
      <c r="K532" s="92"/>
      <c r="L532" s="73"/>
      <c r="M532" s="73"/>
      <c r="N532" s="73"/>
      <c r="O532" s="73"/>
      <c r="P532" s="73"/>
      <c r="Q532" s="75"/>
      <c r="R532" s="82"/>
      <c r="S532" s="73"/>
      <c r="T532" s="73"/>
      <c r="U532" s="73"/>
      <c r="V532" s="73"/>
      <c r="W532" s="73"/>
      <c r="X532" s="73"/>
      <c r="Y532" s="77"/>
      <c r="Z532" s="104"/>
      <c r="AA532" s="73"/>
      <c r="AB532" s="104"/>
      <c r="AC532" s="104"/>
      <c r="AD532" s="74"/>
      <c r="AE532" s="106"/>
      <c r="AF532" s="195"/>
      <c r="AG532" s="80"/>
      <c r="AH532" s="104"/>
      <c r="AI532" s="73"/>
      <c r="AJ532" s="114"/>
      <c r="AK532" s="106"/>
      <c r="AL532" s="74"/>
      <c r="AM532" s="73"/>
      <c r="AN532" s="73"/>
      <c r="AO532" s="102"/>
      <c r="AP532" s="73"/>
      <c r="AQ532" s="73"/>
      <c r="AR532" s="74"/>
      <c r="AS532" s="73"/>
      <c r="AT532" s="73"/>
      <c r="AU532" s="73"/>
      <c r="AV532" s="73"/>
      <c r="AW532" s="73"/>
      <c r="AX532" s="74"/>
      <c r="AY532" s="73"/>
      <c r="AZ532" s="73"/>
      <c r="BA532" s="74"/>
      <c r="BB532" s="73"/>
      <c r="BC532" s="73"/>
      <c r="BD532" s="73"/>
      <c r="BE532" s="73"/>
      <c r="BF532" s="73"/>
      <c r="BG532" s="73"/>
      <c r="BH532" s="73"/>
      <c r="BI532" s="73"/>
      <c r="BJ532" s="73"/>
      <c r="BK532" s="73"/>
      <c r="BL532" s="73"/>
      <c r="BM532" s="73"/>
      <c r="BN532" s="73"/>
      <c r="BO532" s="73"/>
      <c r="BP532" s="73"/>
      <c r="BQ532" s="73"/>
      <c r="BR532" s="73"/>
      <c r="BS532" s="73"/>
      <c r="BT532" s="74"/>
      <c r="BU532" s="73"/>
      <c r="BV532" s="73"/>
      <c r="BW532" s="73"/>
      <c r="BX532" s="73"/>
      <c r="BY532" s="73"/>
      <c r="BZ532" s="73"/>
      <c r="CA532" s="73"/>
      <c r="CB532" s="73"/>
      <c r="CC532" s="73"/>
      <c r="CD532" s="73"/>
      <c r="CE532" s="73"/>
    </row>
    <row r="533">
      <c r="A533" s="73"/>
      <c r="B533" s="73"/>
      <c r="C533" s="73"/>
      <c r="D533" s="74"/>
      <c r="E533" s="73"/>
      <c r="F533" s="73"/>
      <c r="G533" s="73"/>
      <c r="H533" s="73"/>
      <c r="I533" s="73"/>
      <c r="J533" s="73"/>
      <c r="K533" s="92"/>
      <c r="L533" s="73"/>
      <c r="M533" s="73"/>
      <c r="N533" s="73"/>
      <c r="O533" s="73"/>
      <c r="P533" s="73"/>
      <c r="Q533" s="75"/>
      <c r="R533" s="82"/>
      <c r="S533" s="73"/>
      <c r="T533" s="73"/>
      <c r="U533" s="73"/>
      <c r="V533" s="73"/>
      <c r="W533" s="73"/>
      <c r="X533" s="73"/>
      <c r="Y533" s="77"/>
      <c r="Z533" s="104"/>
      <c r="AA533" s="73"/>
      <c r="AB533" s="104"/>
      <c r="AC533" s="104"/>
      <c r="AD533" s="74"/>
      <c r="AE533" s="106"/>
      <c r="AF533" s="195"/>
      <c r="AG533" s="80"/>
      <c r="AH533" s="104"/>
      <c r="AI533" s="73"/>
      <c r="AJ533" s="114"/>
      <c r="AK533" s="106"/>
      <c r="AL533" s="74"/>
      <c r="AM533" s="73"/>
      <c r="AN533" s="73"/>
      <c r="AO533" s="102"/>
      <c r="AP533" s="73"/>
      <c r="AQ533" s="73"/>
      <c r="AR533" s="74"/>
      <c r="AS533" s="73"/>
      <c r="AT533" s="73"/>
      <c r="AU533" s="73"/>
      <c r="AV533" s="73"/>
      <c r="AW533" s="73"/>
      <c r="AX533" s="74"/>
      <c r="AY533" s="73"/>
      <c r="AZ533" s="73"/>
      <c r="BA533" s="74"/>
      <c r="BB533" s="73"/>
      <c r="BC533" s="73"/>
      <c r="BD533" s="73"/>
      <c r="BE533" s="73"/>
      <c r="BF533" s="73"/>
      <c r="BG533" s="73"/>
      <c r="BH533" s="73"/>
      <c r="BI533" s="73"/>
      <c r="BJ533" s="73"/>
      <c r="BK533" s="73"/>
      <c r="BL533" s="73"/>
      <c r="BM533" s="73"/>
      <c r="BN533" s="73"/>
      <c r="BO533" s="73"/>
      <c r="BP533" s="73"/>
      <c r="BQ533" s="73"/>
      <c r="BR533" s="73"/>
      <c r="BS533" s="73"/>
      <c r="BT533" s="74"/>
      <c r="BU533" s="73"/>
      <c r="BV533" s="73"/>
      <c r="BW533" s="73"/>
      <c r="BX533" s="73"/>
      <c r="BY533" s="73"/>
      <c r="BZ533" s="73"/>
      <c r="CA533" s="73"/>
      <c r="CB533" s="73"/>
      <c r="CC533" s="73"/>
      <c r="CD533" s="73"/>
      <c r="CE533" s="73"/>
    </row>
    <row r="534">
      <c r="A534" s="73"/>
      <c r="B534" s="73"/>
      <c r="C534" s="73"/>
      <c r="D534" s="74"/>
      <c r="E534" s="73"/>
      <c r="F534" s="73"/>
      <c r="G534" s="73"/>
      <c r="H534" s="73"/>
      <c r="I534" s="73"/>
      <c r="J534" s="73"/>
      <c r="K534" s="92"/>
      <c r="L534" s="73"/>
      <c r="M534" s="73"/>
      <c r="N534" s="73"/>
      <c r="O534" s="73"/>
      <c r="P534" s="73"/>
      <c r="Q534" s="75"/>
      <c r="R534" s="82"/>
      <c r="S534" s="73"/>
      <c r="T534" s="73"/>
      <c r="U534" s="73"/>
      <c r="V534" s="73"/>
      <c r="W534" s="73"/>
      <c r="X534" s="73"/>
      <c r="Y534" s="77"/>
      <c r="Z534" s="104"/>
      <c r="AA534" s="73"/>
      <c r="AB534" s="104"/>
      <c r="AC534" s="104"/>
      <c r="AD534" s="74"/>
      <c r="AE534" s="106"/>
      <c r="AF534" s="195"/>
      <c r="AG534" s="80"/>
      <c r="AH534" s="104"/>
      <c r="AI534" s="73"/>
      <c r="AJ534" s="114"/>
      <c r="AK534" s="106"/>
      <c r="AL534" s="74"/>
      <c r="AM534" s="73"/>
      <c r="AN534" s="73"/>
      <c r="AO534" s="102"/>
      <c r="AP534" s="73"/>
      <c r="AQ534" s="73"/>
      <c r="AR534" s="74"/>
      <c r="AS534" s="73"/>
      <c r="AT534" s="73"/>
      <c r="AU534" s="73"/>
      <c r="AV534" s="73"/>
      <c r="AW534" s="73"/>
      <c r="AX534" s="74"/>
      <c r="AY534" s="73"/>
      <c r="AZ534" s="73"/>
      <c r="BA534" s="74"/>
      <c r="BB534" s="73"/>
      <c r="BC534" s="73"/>
      <c r="BD534" s="73"/>
      <c r="BE534" s="73"/>
      <c r="BF534" s="73"/>
      <c r="BG534" s="73"/>
      <c r="BH534" s="73"/>
      <c r="BI534" s="73"/>
      <c r="BJ534" s="73"/>
      <c r="BK534" s="73"/>
      <c r="BL534" s="73"/>
      <c r="BM534" s="73"/>
      <c r="BN534" s="73"/>
      <c r="BO534" s="73"/>
      <c r="BP534" s="73"/>
      <c r="BQ534" s="73"/>
      <c r="BR534" s="73"/>
      <c r="BS534" s="73"/>
      <c r="BT534" s="74"/>
      <c r="BU534" s="73"/>
      <c r="BV534" s="73"/>
      <c r="BW534" s="73"/>
      <c r="BX534" s="73"/>
      <c r="BY534" s="73"/>
      <c r="BZ534" s="73"/>
      <c r="CA534" s="73"/>
      <c r="CB534" s="73"/>
      <c r="CC534" s="73"/>
      <c r="CD534" s="73"/>
      <c r="CE534" s="73"/>
    </row>
    <row r="535">
      <c r="A535" s="73"/>
      <c r="B535" s="73"/>
      <c r="C535" s="73"/>
      <c r="D535" s="74"/>
      <c r="E535" s="73"/>
      <c r="F535" s="73"/>
      <c r="G535" s="73"/>
      <c r="H535" s="73"/>
      <c r="I535" s="73"/>
      <c r="J535" s="73"/>
      <c r="K535" s="92"/>
      <c r="L535" s="73"/>
      <c r="M535" s="73"/>
      <c r="N535" s="73"/>
      <c r="O535" s="73"/>
      <c r="P535" s="73"/>
      <c r="Q535" s="75"/>
      <c r="R535" s="82"/>
      <c r="S535" s="73"/>
      <c r="T535" s="73"/>
      <c r="U535" s="73"/>
      <c r="V535" s="73"/>
      <c r="W535" s="73"/>
      <c r="X535" s="73"/>
      <c r="Y535" s="77"/>
      <c r="Z535" s="104"/>
      <c r="AA535" s="73"/>
      <c r="AB535" s="104"/>
      <c r="AC535" s="104"/>
      <c r="AD535" s="74"/>
      <c r="AE535" s="106"/>
      <c r="AF535" s="195"/>
      <c r="AG535" s="80"/>
      <c r="AH535" s="104"/>
      <c r="AI535" s="73"/>
      <c r="AJ535" s="114"/>
      <c r="AK535" s="106"/>
      <c r="AL535" s="74"/>
      <c r="AM535" s="73"/>
      <c r="AN535" s="73"/>
      <c r="AO535" s="102"/>
      <c r="AP535" s="73"/>
      <c r="AQ535" s="73"/>
      <c r="AR535" s="74"/>
      <c r="AS535" s="73"/>
      <c r="AT535" s="73"/>
      <c r="AU535" s="73"/>
      <c r="AV535" s="73"/>
      <c r="AW535" s="73"/>
      <c r="AX535" s="74"/>
      <c r="AY535" s="73"/>
      <c r="AZ535" s="73"/>
      <c r="BA535" s="74"/>
      <c r="BB535" s="73"/>
      <c r="BC535" s="73"/>
      <c r="BD535" s="73"/>
      <c r="BE535" s="73"/>
      <c r="BF535" s="73"/>
      <c r="BG535" s="73"/>
      <c r="BH535" s="73"/>
      <c r="BI535" s="73"/>
      <c r="BJ535" s="73"/>
      <c r="BK535" s="73"/>
      <c r="BL535" s="73"/>
      <c r="BM535" s="73"/>
      <c r="BN535" s="73"/>
      <c r="BO535" s="73"/>
      <c r="BP535" s="73"/>
      <c r="BQ535" s="73"/>
      <c r="BR535" s="73"/>
      <c r="BS535" s="73"/>
      <c r="BT535" s="74"/>
      <c r="BU535" s="73"/>
      <c r="BV535" s="73"/>
      <c r="BW535" s="73"/>
      <c r="BX535" s="73"/>
      <c r="BY535" s="73"/>
      <c r="BZ535" s="73"/>
      <c r="CA535" s="73"/>
      <c r="CB535" s="73"/>
      <c r="CC535" s="73"/>
      <c r="CD535" s="73"/>
      <c r="CE535" s="73"/>
    </row>
    <row r="536">
      <c r="A536" s="73"/>
      <c r="B536" s="73"/>
      <c r="C536" s="73"/>
      <c r="D536" s="74"/>
      <c r="E536" s="73"/>
      <c r="F536" s="73"/>
      <c r="G536" s="73"/>
      <c r="H536" s="73"/>
      <c r="I536" s="73"/>
      <c r="J536" s="73"/>
      <c r="K536" s="92"/>
      <c r="L536" s="73"/>
      <c r="M536" s="73"/>
      <c r="N536" s="73"/>
      <c r="O536" s="73"/>
      <c r="P536" s="73"/>
      <c r="Q536" s="75"/>
      <c r="R536" s="82"/>
      <c r="S536" s="73"/>
      <c r="T536" s="73"/>
      <c r="U536" s="73"/>
      <c r="V536" s="73"/>
      <c r="W536" s="73"/>
      <c r="X536" s="73"/>
      <c r="Y536" s="77"/>
      <c r="Z536" s="104"/>
      <c r="AA536" s="73"/>
      <c r="AB536" s="104"/>
      <c r="AC536" s="104"/>
      <c r="AD536" s="74"/>
      <c r="AE536" s="106"/>
      <c r="AF536" s="195"/>
      <c r="AG536" s="80"/>
      <c r="AH536" s="104"/>
      <c r="AI536" s="73"/>
      <c r="AJ536" s="114"/>
      <c r="AK536" s="106"/>
      <c r="AL536" s="74"/>
      <c r="AM536" s="73"/>
      <c r="AN536" s="73"/>
      <c r="AO536" s="102"/>
      <c r="AP536" s="73"/>
      <c r="AQ536" s="73"/>
      <c r="AR536" s="74"/>
      <c r="AS536" s="73"/>
      <c r="AT536" s="73"/>
      <c r="AU536" s="73"/>
      <c r="AV536" s="73"/>
      <c r="AW536" s="73"/>
      <c r="AX536" s="74"/>
      <c r="AY536" s="73"/>
      <c r="AZ536" s="73"/>
      <c r="BA536" s="74"/>
      <c r="BB536" s="73"/>
      <c r="BC536" s="73"/>
      <c r="BD536" s="73"/>
      <c r="BE536" s="73"/>
      <c r="BF536" s="73"/>
      <c r="BG536" s="73"/>
      <c r="BH536" s="73"/>
      <c r="BI536" s="73"/>
      <c r="BJ536" s="73"/>
      <c r="BK536" s="73"/>
      <c r="BL536" s="73"/>
      <c r="BM536" s="73"/>
      <c r="BN536" s="73"/>
      <c r="BO536" s="73"/>
      <c r="BP536" s="73"/>
      <c r="BQ536" s="73"/>
      <c r="BR536" s="73"/>
      <c r="BS536" s="73"/>
      <c r="BT536" s="74"/>
      <c r="BU536" s="73"/>
      <c r="BV536" s="73"/>
      <c r="BW536" s="73"/>
      <c r="BX536" s="73"/>
      <c r="BY536" s="73"/>
      <c r="BZ536" s="73"/>
      <c r="CA536" s="73"/>
      <c r="CB536" s="73"/>
      <c r="CC536" s="73"/>
      <c r="CD536" s="73"/>
      <c r="CE536" s="73"/>
    </row>
    <row r="537">
      <c r="A537" s="73"/>
      <c r="B537" s="73"/>
      <c r="C537" s="73"/>
      <c r="D537" s="74"/>
      <c r="E537" s="73"/>
      <c r="F537" s="73"/>
      <c r="G537" s="73"/>
      <c r="H537" s="73"/>
      <c r="I537" s="73"/>
      <c r="J537" s="73"/>
      <c r="K537" s="92"/>
      <c r="L537" s="73"/>
      <c r="M537" s="73"/>
      <c r="N537" s="73"/>
      <c r="O537" s="73"/>
      <c r="P537" s="73"/>
      <c r="Q537" s="75"/>
      <c r="R537" s="82"/>
      <c r="S537" s="73"/>
      <c r="T537" s="73"/>
      <c r="U537" s="73"/>
      <c r="V537" s="73"/>
      <c r="W537" s="73"/>
      <c r="X537" s="73"/>
      <c r="Y537" s="77"/>
      <c r="Z537" s="104"/>
      <c r="AA537" s="73"/>
      <c r="AB537" s="104"/>
      <c r="AC537" s="104"/>
      <c r="AD537" s="74"/>
      <c r="AE537" s="106"/>
      <c r="AF537" s="195"/>
      <c r="AG537" s="80"/>
      <c r="AH537" s="104"/>
      <c r="AI537" s="73"/>
      <c r="AJ537" s="114"/>
      <c r="AK537" s="106"/>
      <c r="AL537" s="74"/>
      <c r="AM537" s="73"/>
      <c r="AN537" s="73"/>
      <c r="AO537" s="102"/>
      <c r="AP537" s="73"/>
      <c r="AQ537" s="73"/>
      <c r="AR537" s="74"/>
      <c r="AS537" s="73"/>
      <c r="AT537" s="73"/>
      <c r="AU537" s="73"/>
      <c r="AV537" s="73"/>
      <c r="AW537" s="73"/>
      <c r="AX537" s="74"/>
      <c r="AY537" s="73"/>
      <c r="AZ537" s="73"/>
      <c r="BA537" s="74"/>
      <c r="BB537" s="73"/>
      <c r="BC537" s="73"/>
      <c r="BD537" s="73"/>
      <c r="BE537" s="73"/>
      <c r="BF537" s="73"/>
      <c r="BG537" s="73"/>
      <c r="BH537" s="73"/>
      <c r="BI537" s="73"/>
      <c r="BJ537" s="73"/>
      <c r="BK537" s="73"/>
      <c r="BL537" s="73"/>
      <c r="BM537" s="73"/>
      <c r="BN537" s="73"/>
      <c r="BO537" s="73"/>
      <c r="BP537" s="73"/>
      <c r="BQ537" s="73"/>
      <c r="BR537" s="73"/>
      <c r="BS537" s="73"/>
      <c r="BT537" s="74"/>
      <c r="BU537" s="73"/>
      <c r="BV537" s="73"/>
      <c r="BW537" s="73"/>
      <c r="BX537" s="73"/>
      <c r="BY537" s="73"/>
      <c r="BZ537" s="73"/>
      <c r="CA537" s="73"/>
      <c r="CB537" s="73"/>
      <c r="CC537" s="73"/>
      <c r="CD537" s="73"/>
      <c r="CE537" s="73"/>
    </row>
    <row r="538">
      <c r="A538" s="73"/>
      <c r="B538" s="73"/>
      <c r="C538" s="73"/>
      <c r="D538" s="74"/>
      <c r="E538" s="73"/>
      <c r="F538" s="73"/>
      <c r="G538" s="73"/>
      <c r="H538" s="73"/>
      <c r="I538" s="73"/>
      <c r="J538" s="73"/>
      <c r="K538" s="92"/>
      <c r="L538" s="73"/>
      <c r="M538" s="73"/>
      <c r="N538" s="73"/>
      <c r="O538" s="73"/>
      <c r="P538" s="73"/>
      <c r="Q538" s="75"/>
      <c r="R538" s="82"/>
      <c r="S538" s="73"/>
      <c r="T538" s="73"/>
      <c r="U538" s="73"/>
      <c r="V538" s="73"/>
      <c r="W538" s="73"/>
      <c r="X538" s="73"/>
      <c r="Y538" s="77"/>
      <c r="Z538" s="104"/>
      <c r="AA538" s="73"/>
      <c r="AB538" s="104"/>
      <c r="AC538" s="104"/>
      <c r="AD538" s="74"/>
      <c r="AE538" s="106"/>
      <c r="AF538" s="195"/>
      <c r="AG538" s="80"/>
      <c r="AH538" s="104"/>
      <c r="AI538" s="73"/>
      <c r="AJ538" s="114"/>
      <c r="AK538" s="106"/>
      <c r="AL538" s="74"/>
      <c r="AM538" s="73"/>
      <c r="AN538" s="73"/>
      <c r="AO538" s="102"/>
      <c r="AP538" s="73"/>
      <c r="AQ538" s="73"/>
      <c r="AR538" s="74"/>
      <c r="AS538" s="73"/>
      <c r="AT538" s="73"/>
      <c r="AU538" s="73"/>
      <c r="AV538" s="73"/>
      <c r="AW538" s="73"/>
      <c r="AX538" s="74"/>
      <c r="AY538" s="73"/>
      <c r="AZ538" s="73"/>
      <c r="BA538" s="74"/>
      <c r="BB538" s="73"/>
      <c r="BC538" s="73"/>
      <c r="BD538" s="73"/>
      <c r="BE538" s="73"/>
      <c r="BF538" s="73"/>
      <c r="BG538" s="73"/>
      <c r="BH538" s="73"/>
      <c r="BI538" s="73"/>
      <c r="BJ538" s="73"/>
      <c r="BK538" s="73"/>
      <c r="BL538" s="73"/>
      <c r="BM538" s="73"/>
      <c r="BN538" s="73"/>
      <c r="BO538" s="73"/>
      <c r="BP538" s="73"/>
      <c r="BQ538" s="73"/>
      <c r="BR538" s="73"/>
      <c r="BS538" s="73"/>
      <c r="BT538" s="74"/>
      <c r="BU538" s="73"/>
      <c r="BV538" s="73"/>
      <c r="BW538" s="73"/>
      <c r="BX538" s="73"/>
      <c r="BY538" s="73"/>
      <c r="BZ538" s="73"/>
      <c r="CA538" s="73"/>
      <c r="CB538" s="73"/>
      <c r="CC538" s="73"/>
      <c r="CD538" s="73"/>
      <c r="CE538" s="73"/>
    </row>
    <row r="539">
      <c r="A539" s="73"/>
      <c r="B539" s="73"/>
      <c r="C539" s="73"/>
      <c r="D539" s="74"/>
      <c r="E539" s="73"/>
      <c r="F539" s="73"/>
      <c r="G539" s="73"/>
      <c r="H539" s="73"/>
      <c r="I539" s="73"/>
      <c r="J539" s="73"/>
      <c r="K539" s="92"/>
      <c r="L539" s="73"/>
      <c r="M539" s="73"/>
      <c r="N539" s="73"/>
      <c r="O539" s="73"/>
      <c r="P539" s="73"/>
      <c r="Q539" s="75"/>
      <c r="R539" s="82"/>
      <c r="S539" s="73"/>
      <c r="T539" s="73"/>
      <c r="U539" s="73"/>
      <c r="V539" s="73"/>
      <c r="W539" s="73"/>
      <c r="X539" s="73"/>
      <c r="Y539" s="77"/>
      <c r="Z539" s="104"/>
      <c r="AA539" s="73"/>
      <c r="AB539" s="104"/>
      <c r="AC539" s="104"/>
      <c r="AD539" s="74"/>
      <c r="AE539" s="106"/>
      <c r="AF539" s="195"/>
      <c r="AG539" s="80"/>
      <c r="AH539" s="104"/>
      <c r="AI539" s="73"/>
      <c r="AJ539" s="114"/>
      <c r="AK539" s="106"/>
      <c r="AL539" s="74"/>
      <c r="AM539" s="73"/>
      <c r="AN539" s="73"/>
      <c r="AO539" s="102"/>
      <c r="AP539" s="73"/>
      <c r="AQ539" s="73"/>
      <c r="AR539" s="74"/>
      <c r="AS539" s="73"/>
      <c r="AT539" s="73"/>
      <c r="AU539" s="73"/>
      <c r="AV539" s="73"/>
      <c r="AW539" s="73"/>
      <c r="AX539" s="74"/>
      <c r="AY539" s="73"/>
      <c r="AZ539" s="73"/>
      <c r="BA539" s="74"/>
      <c r="BB539" s="73"/>
      <c r="BC539" s="73"/>
      <c r="BD539" s="73"/>
      <c r="BE539" s="73"/>
      <c r="BF539" s="73"/>
      <c r="BG539" s="73"/>
      <c r="BH539" s="73"/>
      <c r="BI539" s="73"/>
      <c r="BJ539" s="73"/>
      <c r="BK539" s="73"/>
      <c r="BL539" s="73"/>
      <c r="BM539" s="73"/>
      <c r="BN539" s="73"/>
      <c r="BO539" s="73"/>
      <c r="BP539" s="73"/>
      <c r="BQ539" s="73"/>
      <c r="BR539" s="73"/>
      <c r="BS539" s="73"/>
      <c r="BT539" s="74"/>
      <c r="BU539" s="73"/>
      <c r="BV539" s="73"/>
      <c r="BW539" s="73"/>
      <c r="BX539" s="73"/>
      <c r="BY539" s="73"/>
      <c r="BZ539" s="73"/>
      <c r="CA539" s="73"/>
      <c r="CB539" s="73"/>
      <c r="CC539" s="73"/>
      <c r="CD539" s="73"/>
      <c r="CE539" s="73"/>
    </row>
    <row r="540">
      <c r="A540" s="73"/>
      <c r="B540" s="73"/>
      <c r="C540" s="73"/>
      <c r="D540" s="74"/>
      <c r="E540" s="73"/>
      <c r="F540" s="73"/>
      <c r="G540" s="73"/>
      <c r="H540" s="73"/>
      <c r="I540" s="73"/>
      <c r="J540" s="73"/>
      <c r="K540" s="92"/>
      <c r="L540" s="73"/>
      <c r="M540" s="73"/>
      <c r="N540" s="73"/>
      <c r="O540" s="73"/>
      <c r="P540" s="73"/>
      <c r="Q540" s="75"/>
      <c r="R540" s="82"/>
      <c r="S540" s="73"/>
      <c r="T540" s="73"/>
      <c r="U540" s="73"/>
      <c r="V540" s="73"/>
      <c r="W540" s="73"/>
      <c r="X540" s="73"/>
      <c r="Y540" s="77"/>
      <c r="Z540" s="104"/>
      <c r="AA540" s="73"/>
      <c r="AB540" s="104"/>
      <c r="AC540" s="104"/>
      <c r="AD540" s="74"/>
      <c r="AE540" s="106"/>
      <c r="AF540" s="195"/>
      <c r="AG540" s="80"/>
      <c r="AH540" s="104"/>
      <c r="AI540" s="73"/>
      <c r="AJ540" s="114"/>
      <c r="AK540" s="106"/>
      <c r="AL540" s="74"/>
      <c r="AM540" s="73"/>
      <c r="AN540" s="73"/>
      <c r="AO540" s="102"/>
      <c r="AP540" s="73"/>
      <c r="AQ540" s="73"/>
      <c r="AR540" s="74"/>
      <c r="AS540" s="73"/>
      <c r="AT540" s="73"/>
      <c r="AU540" s="73"/>
      <c r="AV540" s="73"/>
      <c r="AW540" s="73"/>
      <c r="AX540" s="74"/>
      <c r="AY540" s="73"/>
      <c r="AZ540" s="73"/>
      <c r="BA540" s="74"/>
      <c r="BB540" s="73"/>
      <c r="BC540" s="73"/>
      <c r="BD540" s="73"/>
      <c r="BE540" s="73"/>
      <c r="BF540" s="73"/>
      <c r="BG540" s="73"/>
      <c r="BH540" s="73"/>
      <c r="BI540" s="73"/>
      <c r="BJ540" s="73"/>
      <c r="BK540" s="73"/>
      <c r="BL540" s="73"/>
      <c r="BM540" s="73"/>
      <c r="BN540" s="73"/>
      <c r="BO540" s="73"/>
      <c r="BP540" s="73"/>
      <c r="BQ540" s="73"/>
      <c r="BR540" s="73"/>
      <c r="BS540" s="73"/>
      <c r="BT540" s="74"/>
      <c r="BU540" s="73"/>
      <c r="BV540" s="73"/>
      <c r="BW540" s="73"/>
      <c r="BX540" s="73"/>
      <c r="BY540" s="73"/>
      <c r="BZ540" s="73"/>
      <c r="CA540" s="73"/>
      <c r="CB540" s="73"/>
      <c r="CC540" s="73"/>
      <c r="CD540" s="73"/>
      <c r="CE540" s="73"/>
    </row>
    <row r="541">
      <c r="A541" s="73"/>
      <c r="B541" s="73"/>
      <c r="C541" s="73"/>
      <c r="D541" s="74"/>
      <c r="E541" s="73"/>
      <c r="F541" s="73"/>
      <c r="G541" s="73"/>
      <c r="H541" s="73"/>
      <c r="I541" s="73"/>
      <c r="J541" s="73"/>
      <c r="K541" s="92"/>
      <c r="L541" s="73"/>
      <c r="M541" s="73"/>
      <c r="N541" s="73"/>
      <c r="O541" s="73"/>
      <c r="P541" s="73"/>
      <c r="Q541" s="75"/>
      <c r="R541" s="82"/>
      <c r="S541" s="73"/>
      <c r="T541" s="73"/>
      <c r="U541" s="73"/>
      <c r="V541" s="73"/>
      <c r="W541" s="73"/>
      <c r="X541" s="73"/>
      <c r="Y541" s="77"/>
      <c r="Z541" s="104"/>
      <c r="AA541" s="73"/>
      <c r="AB541" s="104"/>
      <c r="AC541" s="104"/>
      <c r="AD541" s="74"/>
      <c r="AE541" s="106"/>
      <c r="AF541" s="195"/>
      <c r="AG541" s="80"/>
      <c r="AH541" s="104"/>
      <c r="AI541" s="73"/>
      <c r="AJ541" s="114"/>
      <c r="AK541" s="106"/>
      <c r="AL541" s="74"/>
      <c r="AM541" s="73"/>
      <c r="AN541" s="73"/>
      <c r="AO541" s="102"/>
      <c r="AP541" s="73"/>
      <c r="AQ541" s="73"/>
      <c r="AR541" s="74"/>
      <c r="AS541" s="73"/>
      <c r="AT541" s="73"/>
      <c r="AU541" s="73"/>
      <c r="AV541" s="73"/>
      <c r="AW541" s="73"/>
      <c r="AX541" s="74"/>
      <c r="AY541" s="73"/>
      <c r="AZ541" s="73"/>
      <c r="BA541" s="74"/>
      <c r="BB541" s="73"/>
      <c r="BC541" s="73"/>
      <c r="BD541" s="73"/>
      <c r="BE541" s="73"/>
      <c r="BF541" s="73"/>
      <c r="BG541" s="73"/>
      <c r="BH541" s="73"/>
      <c r="BI541" s="73"/>
      <c r="BJ541" s="73"/>
      <c r="BK541" s="73"/>
      <c r="BL541" s="73"/>
      <c r="BM541" s="73"/>
      <c r="BN541" s="73"/>
      <c r="BO541" s="73"/>
      <c r="BP541" s="73"/>
      <c r="BQ541" s="73"/>
      <c r="BR541" s="73"/>
      <c r="BS541" s="73"/>
      <c r="BT541" s="74"/>
      <c r="BU541" s="73"/>
      <c r="BV541" s="73"/>
      <c r="BW541" s="73"/>
      <c r="BX541" s="73"/>
      <c r="BY541" s="73"/>
      <c r="BZ541" s="73"/>
      <c r="CA541" s="73"/>
      <c r="CB541" s="73"/>
      <c r="CC541" s="73"/>
      <c r="CD541" s="73"/>
      <c r="CE541" s="73"/>
    </row>
    <row r="542">
      <c r="A542" s="73"/>
      <c r="B542" s="73"/>
      <c r="C542" s="73"/>
      <c r="D542" s="74"/>
      <c r="E542" s="73"/>
      <c r="F542" s="73"/>
      <c r="G542" s="73"/>
      <c r="H542" s="73"/>
      <c r="I542" s="73"/>
      <c r="J542" s="73"/>
      <c r="K542" s="92"/>
      <c r="L542" s="73"/>
      <c r="M542" s="73"/>
      <c r="N542" s="73"/>
      <c r="O542" s="73"/>
      <c r="P542" s="73"/>
      <c r="Q542" s="75"/>
      <c r="R542" s="82"/>
      <c r="S542" s="73"/>
      <c r="T542" s="73"/>
      <c r="U542" s="73"/>
      <c r="V542" s="73"/>
      <c r="W542" s="73"/>
      <c r="X542" s="73"/>
      <c r="Y542" s="77"/>
      <c r="Z542" s="104"/>
      <c r="AA542" s="73"/>
      <c r="AB542" s="104"/>
      <c r="AC542" s="104"/>
      <c r="AD542" s="74"/>
      <c r="AE542" s="106"/>
      <c r="AF542" s="195"/>
      <c r="AG542" s="80"/>
      <c r="AH542" s="104"/>
      <c r="AI542" s="73"/>
      <c r="AJ542" s="114"/>
      <c r="AK542" s="106"/>
      <c r="AL542" s="74"/>
      <c r="AM542" s="73"/>
      <c r="AN542" s="73"/>
      <c r="AO542" s="102"/>
      <c r="AP542" s="73"/>
      <c r="AQ542" s="73"/>
      <c r="AR542" s="74"/>
      <c r="AS542" s="73"/>
      <c r="AT542" s="73"/>
      <c r="AU542" s="73"/>
      <c r="AV542" s="73"/>
      <c r="AW542" s="73"/>
      <c r="AX542" s="74"/>
      <c r="AY542" s="73"/>
      <c r="AZ542" s="73"/>
      <c r="BA542" s="74"/>
      <c r="BB542" s="73"/>
      <c r="BC542" s="73"/>
      <c r="BD542" s="73"/>
      <c r="BE542" s="73"/>
      <c r="BF542" s="73"/>
      <c r="BG542" s="73"/>
      <c r="BH542" s="73"/>
      <c r="BI542" s="73"/>
      <c r="BJ542" s="73"/>
      <c r="BK542" s="73"/>
      <c r="BL542" s="73"/>
      <c r="BM542" s="73"/>
      <c r="BN542" s="73"/>
      <c r="BO542" s="73"/>
      <c r="BP542" s="73"/>
      <c r="BQ542" s="73"/>
      <c r="BR542" s="73"/>
      <c r="BS542" s="73"/>
      <c r="BT542" s="74"/>
      <c r="BU542" s="73"/>
      <c r="BV542" s="73"/>
      <c r="BW542" s="73"/>
      <c r="BX542" s="73"/>
      <c r="BY542" s="73"/>
      <c r="BZ542" s="73"/>
      <c r="CA542" s="73"/>
      <c r="CB542" s="73"/>
      <c r="CC542" s="73"/>
      <c r="CD542" s="73"/>
      <c r="CE542" s="73"/>
    </row>
    <row r="543">
      <c r="A543" s="73"/>
      <c r="B543" s="73"/>
      <c r="C543" s="73"/>
      <c r="D543" s="74"/>
      <c r="E543" s="73"/>
      <c r="F543" s="73"/>
      <c r="G543" s="73"/>
      <c r="H543" s="73"/>
      <c r="I543" s="73"/>
      <c r="J543" s="73"/>
      <c r="K543" s="92"/>
      <c r="L543" s="73"/>
      <c r="M543" s="73"/>
      <c r="N543" s="73"/>
      <c r="O543" s="73"/>
      <c r="P543" s="73"/>
      <c r="Q543" s="75"/>
      <c r="R543" s="82"/>
      <c r="S543" s="73"/>
      <c r="T543" s="73"/>
      <c r="U543" s="73"/>
      <c r="V543" s="73"/>
      <c r="W543" s="73"/>
      <c r="X543" s="73"/>
      <c r="Y543" s="77"/>
      <c r="Z543" s="104"/>
      <c r="AA543" s="73"/>
      <c r="AB543" s="104"/>
      <c r="AC543" s="104"/>
      <c r="AD543" s="74"/>
      <c r="AE543" s="106"/>
      <c r="AF543" s="195"/>
      <c r="AG543" s="80"/>
      <c r="AH543" s="104"/>
      <c r="AI543" s="73"/>
      <c r="AJ543" s="114"/>
      <c r="AK543" s="106"/>
      <c r="AL543" s="74"/>
      <c r="AM543" s="73"/>
      <c r="AN543" s="73"/>
      <c r="AO543" s="102"/>
      <c r="AP543" s="73"/>
      <c r="AQ543" s="73"/>
      <c r="AR543" s="74"/>
      <c r="AS543" s="73"/>
      <c r="AT543" s="73"/>
      <c r="AU543" s="73"/>
      <c r="AV543" s="73"/>
      <c r="AW543" s="73"/>
      <c r="AX543" s="74"/>
      <c r="AY543" s="73"/>
      <c r="AZ543" s="73"/>
      <c r="BA543" s="74"/>
      <c r="BB543" s="73"/>
      <c r="BC543" s="73"/>
      <c r="BD543" s="73"/>
      <c r="BE543" s="73"/>
      <c r="BF543" s="73"/>
      <c r="BG543" s="73"/>
      <c r="BH543" s="73"/>
      <c r="BI543" s="73"/>
      <c r="BJ543" s="73"/>
      <c r="BK543" s="73"/>
      <c r="BL543" s="73"/>
      <c r="BM543" s="73"/>
      <c r="BN543" s="73"/>
      <c r="BO543" s="73"/>
      <c r="BP543" s="73"/>
      <c r="BQ543" s="73"/>
      <c r="BR543" s="73"/>
      <c r="BS543" s="73"/>
      <c r="BT543" s="74"/>
      <c r="BU543" s="73"/>
      <c r="BV543" s="73"/>
      <c r="BW543" s="73"/>
      <c r="BX543" s="73"/>
      <c r="BY543" s="73"/>
      <c r="BZ543" s="73"/>
      <c r="CA543" s="73"/>
      <c r="CB543" s="73"/>
      <c r="CC543" s="73"/>
      <c r="CD543" s="73"/>
      <c r="CE543" s="73"/>
    </row>
    <row r="544">
      <c r="A544" s="73"/>
      <c r="B544" s="73"/>
      <c r="C544" s="73"/>
      <c r="D544" s="74"/>
      <c r="E544" s="73"/>
      <c r="F544" s="73"/>
      <c r="G544" s="73"/>
      <c r="H544" s="73"/>
      <c r="I544" s="73"/>
      <c r="J544" s="73"/>
      <c r="K544" s="92"/>
      <c r="L544" s="73"/>
      <c r="M544" s="73"/>
      <c r="N544" s="73"/>
      <c r="O544" s="73"/>
      <c r="P544" s="73"/>
      <c r="Q544" s="75"/>
      <c r="R544" s="82"/>
      <c r="S544" s="73"/>
      <c r="T544" s="73"/>
      <c r="U544" s="73"/>
      <c r="V544" s="73"/>
      <c r="W544" s="73"/>
      <c r="X544" s="73"/>
      <c r="Y544" s="77"/>
      <c r="Z544" s="104"/>
      <c r="AA544" s="73"/>
      <c r="AB544" s="104"/>
      <c r="AC544" s="104"/>
      <c r="AD544" s="74"/>
      <c r="AE544" s="106"/>
      <c r="AF544" s="195"/>
      <c r="AG544" s="80"/>
      <c r="AH544" s="104"/>
      <c r="AI544" s="73"/>
      <c r="AJ544" s="114"/>
      <c r="AK544" s="106"/>
      <c r="AL544" s="74"/>
      <c r="AM544" s="73"/>
      <c r="AN544" s="73"/>
      <c r="AO544" s="102"/>
      <c r="AP544" s="73"/>
      <c r="AQ544" s="73"/>
      <c r="AR544" s="74"/>
      <c r="AS544" s="73"/>
      <c r="AT544" s="73"/>
      <c r="AU544" s="73"/>
      <c r="AV544" s="73"/>
      <c r="AW544" s="73"/>
      <c r="AX544" s="74"/>
      <c r="AY544" s="73"/>
      <c r="AZ544" s="73"/>
      <c r="BA544" s="74"/>
      <c r="BB544" s="73"/>
      <c r="BC544" s="73"/>
      <c r="BD544" s="73"/>
      <c r="BE544" s="73"/>
      <c r="BF544" s="73"/>
      <c r="BG544" s="73"/>
      <c r="BH544" s="73"/>
      <c r="BI544" s="73"/>
      <c r="BJ544" s="73"/>
      <c r="BK544" s="73"/>
      <c r="BL544" s="73"/>
      <c r="BM544" s="73"/>
      <c r="BN544" s="73"/>
      <c r="BO544" s="73"/>
      <c r="BP544" s="73"/>
      <c r="BQ544" s="73"/>
      <c r="BR544" s="73"/>
      <c r="BS544" s="73"/>
      <c r="BT544" s="74"/>
      <c r="BU544" s="73"/>
      <c r="BV544" s="73"/>
      <c r="BW544" s="73"/>
      <c r="BX544" s="73"/>
      <c r="BY544" s="73"/>
      <c r="BZ544" s="73"/>
      <c r="CA544" s="73"/>
      <c r="CB544" s="73"/>
      <c r="CC544" s="73"/>
      <c r="CD544" s="73"/>
      <c r="CE544" s="73"/>
    </row>
    <row r="545">
      <c r="A545" s="131"/>
      <c r="B545" s="73"/>
      <c r="C545" s="73"/>
      <c r="D545" s="74"/>
      <c r="E545" s="73"/>
      <c r="F545" s="73"/>
      <c r="G545" s="73"/>
      <c r="H545" s="73"/>
      <c r="I545" s="73"/>
      <c r="J545" s="73"/>
      <c r="K545" s="92"/>
      <c r="L545" s="73"/>
      <c r="M545" s="73"/>
      <c r="N545" s="73"/>
      <c r="O545" s="73"/>
      <c r="P545" s="73"/>
      <c r="Q545" s="75"/>
      <c r="R545" s="82"/>
      <c r="S545" s="73"/>
      <c r="T545" s="73"/>
      <c r="U545" s="73"/>
      <c r="V545" s="73"/>
      <c r="W545" s="73"/>
      <c r="X545" s="73"/>
      <c r="Y545" s="77"/>
      <c r="Z545" s="104"/>
      <c r="AA545" s="73"/>
      <c r="AB545" s="104"/>
      <c r="AC545" s="104"/>
      <c r="AD545" s="74"/>
      <c r="AE545" s="106"/>
      <c r="AF545" s="195"/>
      <c r="AG545" s="80"/>
      <c r="AH545" s="104"/>
      <c r="AI545" s="73"/>
      <c r="AJ545" s="114"/>
      <c r="AK545" s="106"/>
      <c r="AL545" s="74"/>
      <c r="AM545" s="73"/>
      <c r="AN545" s="73"/>
      <c r="AO545" s="102"/>
      <c r="AP545" s="73"/>
      <c r="AQ545" s="73"/>
      <c r="AR545" s="74"/>
      <c r="AS545" s="73"/>
      <c r="AT545" s="73"/>
      <c r="AU545" s="73"/>
      <c r="AV545" s="73"/>
      <c r="AW545" s="73"/>
      <c r="AX545" s="74"/>
      <c r="AY545" s="73"/>
      <c r="AZ545" s="73"/>
      <c r="BA545" s="74"/>
      <c r="BB545" s="73"/>
      <c r="BC545" s="73"/>
      <c r="BD545" s="73"/>
      <c r="BE545" s="73"/>
      <c r="BF545" s="73"/>
      <c r="BG545" s="73"/>
      <c r="BH545" s="73"/>
      <c r="BI545" s="73"/>
      <c r="BJ545" s="73"/>
      <c r="BK545" s="73"/>
      <c r="BL545" s="73"/>
      <c r="BM545" s="73"/>
      <c r="BN545" s="73"/>
      <c r="BO545" s="73"/>
      <c r="BP545" s="73"/>
      <c r="BQ545" s="73"/>
      <c r="BR545" s="73"/>
      <c r="BS545" s="73"/>
      <c r="BT545" s="74"/>
      <c r="BU545" s="73"/>
      <c r="BV545" s="73"/>
      <c r="BW545" s="73"/>
      <c r="BX545" s="73"/>
      <c r="BY545" s="73"/>
      <c r="BZ545" s="73"/>
      <c r="CA545" s="73"/>
      <c r="CB545" s="73"/>
      <c r="CC545" s="73"/>
      <c r="CD545" s="73"/>
      <c r="CE545" s="73"/>
    </row>
    <row r="546">
      <c r="A546" s="131"/>
      <c r="B546" s="73"/>
      <c r="C546" s="73"/>
      <c r="D546" s="74"/>
      <c r="E546" s="73"/>
      <c r="F546" s="73"/>
      <c r="G546" s="73"/>
      <c r="H546" s="73"/>
      <c r="I546" s="73"/>
      <c r="J546" s="73"/>
      <c r="K546" s="92"/>
      <c r="L546" s="73"/>
      <c r="M546" s="73"/>
      <c r="N546" s="73"/>
      <c r="O546" s="73"/>
      <c r="P546" s="73"/>
      <c r="Q546" s="75"/>
      <c r="R546" s="82"/>
      <c r="S546" s="73"/>
      <c r="T546" s="73"/>
      <c r="U546" s="73"/>
      <c r="V546" s="73"/>
      <c r="W546" s="73"/>
      <c r="X546" s="73"/>
      <c r="Y546" s="77"/>
      <c r="Z546" s="104"/>
      <c r="AA546" s="73"/>
      <c r="AB546" s="104"/>
      <c r="AC546" s="104"/>
      <c r="AD546" s="74"/>
      <c r="AE546" s="106"/>
      <c r="AF546" s="195"/>
      <c r="AG546" s="80"/>
      <c r="AH546" s="104"/>
      <c r="AI546" s="73"/>
      <c r="AJ546" s="114"/>
      <c r="AK546" s="106"/>
      <c r="AL546" s="74"/>
      <c r="AM546" s="73"/>
      <c r="AN546" s="73"/>
      <c r="AO546" s="102"/>
      <c r="AP546" s="73"/>
      <c r="AQ546" s="73"/>
      <c r="AR546" s="74"/>
      <c r="AS546" s="73"/>
      <c r="AT546" s="73"/>
      <c r="AU546" s="73"/>
      <c r="AV546" s="73"/>
      <c r="AW546" s="73"/>
      <c r="AX546" s="74"/>
      <c r="AY546" s="73"/>
      <c r="AZ546" s="73"/>
      <c r="BA546" s="74"/>
      <c r="BB546" s="73"/>
      <c r="BC546" s="73"/>
      <c r="BD546" s="73"/>
      <c r="BE546" s="73"/>
      <c r="BF546" s="73"/>
      <c r="BG546" s="73"/>
      <c r="BH546" s="73"/>
      <c r="BI546" s="73"/>
      <c r="BJ546" s="73"/>
      <c r="BK546" s="73"/>
      <c r="BL546" s="73"/>
      <c r="BM546" s="73"/>
      <c r="BN546" s="73"/>
      <c r="BO546" s="73"/>
      <c r="BP546" s="73"/>
      <c r="BQ546" s="73"/>
      <c r="BR546" s="73"/>
      <c r="BS546" s="73"/>
      <c r="BT546" s="74"/>
      <c r="BU546" s="73"/>
      <c r="BV546" s="73"/>
      <c r="BW546" s="73"/>
      <c r="BX546" s="73"/>
      <c r="BY546" s="73"/>
      <c r="BZ546" s="73"/>
      <c r="CA546" s="73"/>
      <c r="CB546" s="73"/>
      <c r="CC546" s="73"/>
      <c r="CD546" s="73"/>
      <c r="CE546" s="73"/>
    </row>
    <row r="547">
      <c r="A547" s="131"/>
      <c r="B547" s="73"/>
      <c r="C547" s="73"/>
      <c r="D547" s="74"/>
      <c r="E547" s="73"/>
      <c r="F547" s="73"/>
      <c r="G547" s="73"/>
      <c r="H547" s="73"/>
      <c r="I547" s="73"/>
      <c r="J547" s="73"/>
      <c r="K547" s="92"/>
      <c r="L547" s="73"/>
      <c r="M547" s="73"/>
      <c r="N547" s="73"/>
      <c r="O547" s="73"/>
      <c r="P547" s="73"/>
      <c r="Q547" s="75"/>
      <c r="R547" s="82"/>
      <c r="S547" s="73"/>
      <c r="T547" s="73"/>
      <c r="U547" s="73"/>
      <c r="V547" s="73"/>
      <c r="W547" s="73"/>
      <c r="X547" s="73"/>
      <c r="Y547" s="77"/>
      <c r="Z547" s="104"/>
      <c r="AA547" s="73"/>
      <c r="AB547" s="104"/>
      <c r="AC547" s="104"/>
      <c r="AD547" s="74"/>
      <c r="AE547" s="106"/>
      <c r="AF547" s="195"/>
      <c r="AG547" s="80"/>
      <c r="AH547" s="104"/>
      <c r="AI547" s="73"/>
      <c r="AJ547" s="114"/>
      <c r="AK547" s="106"/>
      <c r="AL547" s="74"/>
      <c r="AM547" s="73"/>
      <c r="AN547" s="73"/>
      <c r="AO547" s="102"/>
      <c r="AP547" s="73"/>
      <c r="AQ547" s="73"/>
      <c r="AR547" s="74"/>
      <c r="AS547" s="73"/>
      <c r="AT547" s="73"/>
      <c r="AU547" s="73"/>
      <c r="AV547" s="73"/>
      <c r="AW547" s="73"/>
      <c r="AX547" s="74"/>
      <c r="AY547" s="73"/>
      <c r="AZ547" s="73"/>
      <c r="BA547" s="74"/>
      <c r="BB547" s="73"/>
      <c r="BC547" s="73"/>
      <c r="BD547" s="73"/>
      <c r="BE547" s="73"/>
      <c r="BF547" s="73"/>
      <c r="BG547" s="73"/>
      <c r="BH547" s="73"/>
      <c r="BI547" s="73"/>
      <c r="BJ547" s="73"/>
      <c r="BK547" s="73"/>
      <c r="BL547" s="73"/>
      <c r="BM547" s="73"/>
      <c r="BN547" s="73"/>
      <c r="BO547" s="73"/>
      <c r="BP547" s="73"/>
      <c r="BQ547" s="73"/>
      <c r="BR547" s="73"/>
      <c r="BS547" s="73"/>
      <c r="BT547" s="74"/>
      <c r="BU547" s="73"/>
      <c r="BV547" s="73"/>
      <c r="BW547" s="73"/>
      <c r="BX547" s="73"/>
      <c r="BY547" s="73"/>
      <c r="BZ547" s="73"/>
      <c r="CA547" s="73"/>
      <c r="CB547" s="73"/>
      <c r="CC547" s="73"/>
      <c r="CD547" s="73"/>
      <c r="CE547" s="73"/>
    </row>
    <row r="548">
      <c r="A548" s="131"/>
      <c r="B548" s="73"/>
      <c r="C548" s="73"/>
      <c r="D548" s="74"/>
      <c r="E548" s="73"/>
      <c r="F548" s="73"/>
      <c r="G548" s="73"/>
      <c r="H548" s="73"/>
      <c r="I548" s="73"/>
      <c r="J548" s="73"/>
      <c r="K548" s="92"/>
      <c r="L548" s="73"/>
      <c r="M548" s="73"/>
      <c r="N548" s="73"/>
      <c r="O548" s="73"/>
      <c r="P548" s="73"/>
      <c r="Q548" s="75"/>
      <c r="R548" s="82"/>
      <c r="S548" s="73"/>
      <c r="T548" s="73"/>
      <c r="U548" s="73"/>
      <c r="V548" s="73"/>
      <c r="W548" s="73"/>
      <c r="X548" s="73"/>
      <c r="Y548" s="77"/>
      <c r="Z548" s="104"/>
      <c r="AA548" s="73"/>
      <c r="AB548" s="104"/>
      <c r="AC548" s="104"/>
      <c r="AD548" s="74"/>
      <c r="AE548" s="106"/>
      <c r="AF548" s="195"/>
      <c r="AG548" s="80"/>
      <c r="AH548" s="104"/>
      <c r="AI548" s="73"/>
      <c r="AJ548" s="114"/>
      <c r="AK548" s="106"/>
      <c r="AL548" s="74"/>
      <c r="AM548" s="73"/>
      <c r="AN548" s="73"/>
      <c r="AO548" s="102"/>
      <c r="AP548" s="73"/>
      <c r="AQ548" s="73"/>
      <c r="AR548" s="74"/>
      <c r="AS548" s="73"/>
      <c r="AT548" s="73"/>
      <c r="AU548" s="73"/>
      <c r="AV548" s="73"/>
      <c r="AW548" s="73"/>
      <c r="AX548" s="74"/>
      <c r="AY548" s="73"/>
      <c r="AZ548" s="73"/>
      <c r="BA548" s="74"/>
      <c r="BB548" s="73"/>
      <c r="BC548" s="73"/>
      <c r="BD548" s="73"/>
      <c r="BE548" s="73"/>
      <c r="BF548" s="73"/>
      <c r="BG548" s="73"/>
      <c r="BH548" s="73"/>
      <c r="BI548" s="73"/>
      <c r="BJ548" s="73"/>
      <c r="BK548" s="73"/>
      <c r="BL548" s="73"/>
      <c r="BM548" s="73"/>
      <c r="BN548" s="73"/>
      <c r="BO548" s="73"/>
      <c r="BP548" s="73"/>
      <c r="BQ548" s="73"/>
      <c r="BR548" s="73"/>
      <c r="BS548" s="73"/>
      <c r="BT548" s="74"/>
      <c r="BU548" s="73"/>
      <c r="BV548" s="73"/>
      <c r="BW548" s="73"/>
      <c r="BX548" s="73"/>
      <c r="BY548" s="73"/>
      <c r="BZ548" s="73"/>
      <c r="CA548" s="73"/>
      <c r="CB548" s="73"/>
      <c r="CC548" s="73"/>
      <c r="CD548" s="73"/>
      <c r="CE548" s="73"/>
    </row>
    <row r="549">
      <c r="A549" s="131"/>
      <c r="B549" s="73"/>
      <c r="C549" s="73"/>
      <c r="D549" s="74"/>
      <c r="E549" s="73"/>
      <c r="F549" s="73"/>
      <c r="G549" s="73"/>
      <c r="H549" s="73"/>
      <c r="I549" s="73"/>
      <c r="J549" s="73"/>
      <c r="K549" s="92"/>
      <c r="L549" s="73"/>
      <c r="M549" s="73"/>
      <c r="N549" s="73"/>
      <c r="O549" s="73"/>
      <c r="P549" s="73"/>
      <c r="Q549" s="75"/>
      <c r="R549" s="82"/>
      <c r="S549" s="73"/>
      <c r="T549" s="73"/>
      <c r="U549" s="73"/>
      <c r="V549" s="73"/>
      <c r="W549" s="73"/>
      <c r="X549" s="73"/>
      <c r="Y549" s="77"/>
      <c r="Z549" s="104"/>
      <c r="AA549" s="73"/>
      <c r="AB549" s="104"/>
      <c r="AC549" s="104"/>
      <c r="AD549" s="74"/>
      <c r="AE549" s="106"/>
      <c r="AF549" s="195"/>
      <c r="AG549" s="80"/>
      <c r="AH549" s="104"/>
      <c r="AI549" s="73"/>
      <c r="AJ549" s="114"/>
      <c r="AK549" s="106"/>
      <c r="AL549" s="74"/>
      <c r="AM549" s="73"/>
      <c r="AN549" s="73"/>
      <c r="AO549" s="102"/>
      <c r="AP549" s="73"/>
      <c r="AQ549" s="73"/>
      <c r="AR549" s="74"/>
      <c r="AS549" s="73"/>
      <c r="AT549" s="73"/>
      <c r="AU549" s="73"/>
      <c r="AV549" s="73"/>
      <c r="AW549" s="73"/>
      <c r="AX549" s="74"/>
      <c r="AY549" s="73"/>
      <c r="AZ549" s="73"/>
      <c r="BA549" s="74"/>
      <c r="BB549" s="73"/>
      <c r="BC549" s="73"/>
      <c r="BD549" s="73"/>
      <c r="BE549" s="73"/>
      <c r="BF549" s="73"/>
      <c r="BG549" s="73"/>
      <c r="BH549" s="73"/>
      <c r="BI549" s="73"/>
      <c r="BJ549" s="73"/>
      <c r="BK549" s="73"/>
      <c r="BL549" s="73"/>
      <c r="BM549" s="73"/>
      <c r="BN549" s="73"/>
      <c r="BO549" s="73"/>
      <c r="BP549" s="73"/>
      <c r="BQ549" s="73"/>
      <c r="BR549" s="73"/>
      <c r="BS549" s="73"/>
      <c r="BT549" s="74"/>
      <c r="BU549" s="73"/>
      <c r="BV549" s="73"/>
      <c r="BW549" s="73"/>
      <c r="BX549" s="73"/>
      <c r="BY549" s="73"/>
      <c r="BZ549" s="73"/>
      <c r="CA549" s="73"/>
      <c r="CB549" s="73"/>
      <c r="CC549" s="73"/>
      <c r="CD549" s="73"/>
      <c r="CE549" s="73"/>
    </row>
    <row r="550">
      <c r="A550" s="131"/>
      <c r="B550" s="73"/>
      <c r="C550" s="73"/>
      <c r="D550" s="74"/>
      <c r="E550" s="73"/>
      <c r="F550" s="73"/>
      <c r="G550" s="73"/>
      <c r="H550" s="73"/>
      <c r="I550" s="73"/>
      <c r="J550" s="73"/>
      <c r="K550" s="92"/>
      <c r="L550" s="73"/>
      <c r="M550" s="73"/>
      <c r="N550" s="73"/>
      <c r="O550" s="73"/>
      <c r="P550" s="73"/>
      <c r="Q550" s="75"/>
      <c r="R550" s="82"/>
      <c r="S550" s="73"/>
      <c r="T550" s="73"/>
      <c r="U550" s="73"/>
      <c r="V550" s="73"/>
      <c r="W550" s="73"/>
      <c r="X550" s="73"/>
      <c r="Y550" s="77"/>
      <c r="Z550" s="104"/>
      <c r="AA550" s="73"/>
      <c r="AB550" s="104"/>
      <c r="AC550" s="104"/>
      <c r="AD550" s="74"/>
      <c r="AE550" s="106"/>
      <c r="AF550" s="195"/>
      <c r="AG550" s="80"/>
      <c r="AH550" s="104"/>
      <c r="AI550" s="73"/>
      <c r="AJ550" s="114"/>
      <c r="AK550" s="106"/>
      <c r="AL550" s="74"/>
      <c r="AM550" s="73"/>
      <c r="AN550" s="73"/>
      <c r="AO550" s="102"/>
      <c r="AP550" s="73"/>
      <c r="AQ550" s="73"/>
      <c r="AR550" s="74"/>
      <c r="AS550" s="73"/>
      <c r="AT550" s="73"/>
      <c r="AU550" s="73"/>
      <c r="AV550" s="73"/>
      <c r="AW550" s="73"/>
      <c r="AX550" s="74"/>
      <c r="AY550" s="73"/>
      <c r="AZ550" s="73"/>
      <c r="BA550" s="74"/>
      <c r="BB550" s="73"/>
      <c r="BC550" s="73"/>
      <c r="BD550" s="73"/>
      <c r="BE550" s="73"/>
      <c r="BF550" s="73"/>
      <c r="BG550" s="73"/>
      <c r="BH550" s="73"/>
      <c r="BI550" s="73"/>
      <c r="BJ550" s="73"/>
      <c r="BK550" s="73"/>
      <c r="BL550" s="73"/>
      <c r="BM550" s="73"/>
      <c r="BN550" s="73"/>
      <c r="BO550" s="73"/>
      <c r="BP550" s="73"/>
      <c r="BQ550" s="73"/>
      <c r="BR550" s="73"/>
      <c r="BS550" s="73"/>
      <c r="BT550" s="74"/>
      <c r="BU550" s="73"/>
      <c r="BV550" s="73"/>
      <c r="BW550" s="73"/>
      <c r="BX550" s="73"/>
      <c r="BY550" s="73"/>
      <c r="BZ550" s="73"/>
      <c r="CA550" s="73"/>
      <c r="CB550" s="73"/>
      <c r="CC550" s="73"/>
      <c r="CD550" s="73"/>
      <c r="CE550" s="73"/>
    </row>
    <row r="551">
      <c r="A551" s="131"/>
      <c r="B551" s="73"/>
      <c r="C551" s="73"/>
      <c r="D551" s="74"/>
      <c r="E551" s="73"/>
      <c r="F551" s="73"/>
      <c r="G551" s="73"/>
      <c r="H551" s="73"/>
      <c r="I551" s="73"/>
      <c r="J551" s="73"/>
      <c r="K551" s="92"/>
      <c r="L551" s="73"/>
      <c r="M551" s="73"/>
      <c r="N551" s="73"/>
      <c r="O551" s="73"/>
      <c r="P551" s="73"/>
      <c r="Q551" s="75"/>
      <c r="R551" s="82"/>
      <c r="S551" s="73"/>
      <c r="T551" s="73"/>
      <c r="U551" s="73"/>
      <c r="V551" s="73"/>
      <c r="W551" s="73"/>
      <c r="X551" s="73"/>
      <c r="Y551" s="77"/>
      <c r="Z551" s="104"/>
      <c r="AA551" s="73"/>
      <c r="AB551" s="104"/>
      <c r="AC551" s="104"/>
      <c r="AD551" s="74"/>
      <c r="AE551" s="106"/>
      <c r="AF551" s="195"/>
      <c r="AG551" s="80"/>
      <c r="AH551" s="104"/>
      <c r="AI551" s="73"/>
      <c r="AJ551" s="114"/>
      <c r="AK551" s="106"/>
      <c r="AL551" s="74"/>
      <c r="AM551" s="73"/>
      <c r="AN551" s="73"/>
      <c r="AO551" s="102"/>
      <c r="AP551" s="73"/>
      <c r="AQ551" s="73"/>
      <c r="AR551" s="74"/>
      <c r="AS551" s="73"/>
      <c r="AT551" s="73"/>
      <c r="AU551" s="73"/>
      <c r="AV551" s="73"/>
      <c r="AW551" s="73"/>
      <c r="AX551" s="74"/>
      <c r="AY551" s="73"/>
      <c r="AZ551" s="73"/>
      <c r="BA551" s="74"/>
      <c r="BB551" s="73"/>
      <c r="BC551" s="73"/>
      <c r="BD551" s="73"/>
      <c r="BE551" s="73"/>
      <c r="BF551" s="73"/>
      <c r="BG551" s="73"/>
      <c r="BH551" s="73"/>
      <c r="BI551" s="73"/>
      <c r="BJ551" s="73"/>
      <c r="BK551" s="73"/>
      <c r="BL551" s="73"/>
      <c r="BM551" s="73"/>
      <c r="BN551" s="73"/>
      <c r="BO551" s="73"/>
      <c r="BP551" s="73"/>
      <c r="BQ551" s="73"/>
      <c r="BR551" s="73"/>
      <c r="BS551" s="73"/>
      <c r="BT551" s="74"/>
      <c r="BU551" s="73"/>
      <c r="BV551" s="73"/>
      <c r="BW551" s="73"/>
      <c r="BX551" s="73"/>
      <c r="BY551" s="73"/>
      <c r="BZ551" s="73"/>
      <c r="CA551" s="73"/>
      <c r="CB551" s="73"/>
      <c r="CC551" s="73"/>
      <c r="CD551" s="73"/>
      <c r="CE551" s="73"/>
    </row>
    <row r="552">
      <c r="A552" s="131"/>
      <c r="B552" s="73"/>
      <c r="C552" s="73"/>
      <c r="D552" s="74"/>
      <c r="E552" s="73"/>
      <c r="F552" s="73"/>
      <c r="G552" s="73"/>
      <c r="H552" s="73"/>
      <c r="I552" s="73"/>
      <c r="J552" s="73"/>
      <c r="K552" s="92"/>
      <c r="L552" s="73"/>
      <c r="M552" s="73"/>
      <c r="N552" s="73"/>
      <c r="O552" s="73"/>
      <c r="P552" s="73"/>
      <c r="Q552" s="75"/>
      <c r="R552" s="82"/>
      <c r="S552" s="73"/>
      <c r="T552" s="73"/>
      <c r="U552" s="73"/>
      <c r="V552" s="73"/>
      <c r="W552" s="73"/>
      <c r="X552" s="73"/>
      <c r="Y552" s="77"/>
      <c r="Z552" s="104"/>
      <c r="AA552" s="73"/>
      <c r="AB552" s="104"/>
      <c r="AC552" s="104"/>
      <c r="AD552" s="74"/>
      <c r="AE552" s="106"/>
      <c r="AF552" s="195"/>
      <c r="AG552" s="80"/>
      <c r="AH552" s="104"/>
      <c r="AI552" s="73"/>
      <c r="AJ552" s="114"/>
      <c r="AK552" s="106"/>
      <c r="AL552" s="74"/>
      <c r="AM552" s="73"/>
      <c r="AN552" s="73"/>
      <c r="AO552" s="102"/>
      <c r="AP552" s="73"/>
      <c r="AQ552" s="73"/>
      <c r="AR552" s="74"/>
      <c r="AS552" s="73"/>
      <c r="AT552" s="73"/>
      <c r="AU552" s="73"/>
      <c r="AV552" s="73"/>
      <c r="AW552" s="73"/>
      <c r="AX552" s="74"/>
      <c r="AY552" s="73"/>
      <c r="AZ552" s="73"/>
      <c r="BA552" s="74"/>
      <c r="BB552" s="73"/>
      <c r="BC552" s="73"/>
      <c r="BD552" s="73"/>
      <c r="BE552" s="73"/>
      <c r="BF552" s="73"/>
      <c r="BG552" s="73"/>
      <c r="BH552" s="73"/>
      <c r="BI552" s="73"/>
      <c r="BJ552" s="73"/>
      <c r="BK552" s="73"/>
      <c r="BL552" s="73"/>
      <c r="BM552" s="73"/>
      <c r="BN552" s="73"/>
      <c r="BO552" s="73"/>
      <c r="BP552" s="73"/>
      <c r="BQ552" s="73"/>
      <c r="BR552" s="73"/>
      <c r="BS552" s="73"/>
      <c r="BT552" s="74"/>
      <c r="BU552" s="73"/>
      <c r="BV552" s="73"/>
      <c r="BW552" s="73"/>
      <c r="BX552" s="73"/>
      <c r="BY552" s="73"/>
      <c r="BZ552" s="73"/>
      <c r="CA552" s="73"/>
      <c r="CB552" s="73"/>
      <c r="CC552" s="73"/>
      <c r="CD552" s="73"/>
      <c r="CE552" s="73"/>
    </row>
    <row r="553">
      <c r="A553" s="131"/>
      <c r="B553" s="73"/>
      <c r="C553" s="73"/>
      <c r="D553" s="74"/>
      <c r="E553" s="73"/>
      <c r="F553" s="73"/>
      <c r="G553" s="73"/>
      <c r="H553" s="73"/>
      <c r="I553" s="73"/>
      <c r="J553" s="73"/>
      <c r="K553" s="92"/>
      <c r="L553" s="73"/>
      <c r="M553" s="73"/>
      <c r="N553" s="73"/>
      <c r="O553" s="73"/>
      <c r="P553" s="73"/>
      <c r="Q553" s="75"/>
      <c r="R553" s="82"/>
      <c r="S553" s="73"/>
      <c r="T553" s="73"/>
      <c r="U553" s="73"/>
      <c r="V553" s="73"/>
      <c r="W553" s="73"/>
      <c r="X553" s="73"/>
      <c r="Y553" s="77"/>
      <c r="Z553" s="104"/>
      <c r="AA553" s="73"/>
      <c r="AB553" s="104"/>
      <c r="AC553" s="104"/>
      <c r="AD553" s="74"/>
      <c r="AE553" s="106"/>
      <c r="AF553" s="195"/>
      <c r="AG553" s="80"/>
      <c r="AH553" s="104"/>
      <c r="AI553" s="73"/>
      <c r="AJ553" s="114"/>
      <c r="AK553" s="106"/>
      <c r="AL553" s="74"/>
      <c r="AM553" s="73"/>
      <c r="AN553" s="73"/>
      <c r="AO553" s="102"/>
      <c r="AP553" s="73"/>
      <c r="AQ553" s="73"/>
      <c r="AR553" s="74"/>
      <c r="AS553" s="73"/>
      <c r="AT553" s="73"/>
      <c r="AU553" s="73"/>
      <c r="AV553" s="73"/>
      <c r="AW553" s="73"/>
      <c r="AX553" s="74"/>
      <c r="AY553" s="73"/>
      <c r="AZ553" s="73"/>
      <c r="BA553" s="74"/>
      <c r="BB553" s="73"/>
      <c r="BC553" s="73"/>
      <c r="BD553" s="73"/>
      <c r="BE553" s="73"/>
      <c r="BF553" s="73"/>
      <c r="BG553" s="73"/>
      <c r="BH553" s="73"/>
      <c r="BI553" s="73"/>
      <c r="BJ553" s="73"/>
      <c r="BK553" s="73"/>
      <c r="BL553" s="73"/>
      <c r="BM553" s="73"/>
      <c r="BN553" s="73"/>
      <c r="BO553" s="73"/>
      <c r="BP553" s="73"/>
      <c r="BQ553" s="73"/>
      <c r="BR553" s="73"/>
      <c r="BS553" s="73"/>
      <c r="BT553" s="74"/>
      <c r="BU553" s="73"/>
      <c r="BV553" s="73"/>
      <c r="BW553" s="73"/>
      <c r="BX553" s="73"/>
      <c r="BY553" s="73"/>
      <c r="BZ553" s="73"/>
      <c r="CA553" s="73"/>
      <c r="CB553" s="73"/>
      <c r="CC553" s="73"/>
      <c r="CD553" s="73"/>
      <c r="CE553" s="73"/>
    </row>
    <row r="554">
      <c r="A554" s="131"/>
      <c r="B554" s="73"/>
      <c r="C554" s="73"/>
      <c r="D554" s="74"/>
      <c r="E554" s="73"/>
      <c r="F554" s="73"/>
      <c r="G554" s="73"/>
      <c r="H554" s="73"/>
      <c r="I554" s="73"/>
      <c r="J554" s="73"/>
      <c r="K554" s="92"/>
      <c r="L554" s="73"/>
      <c r="M554" s="73"/>
      <c r="N554" s="73"/>
      <c r="O554" s="73"/>
      <c r="P554" s="73"/>
      <c r="Q554" s="75"/>
      <c r="R554" s="82"/>
      <c r="S554" s="73"/>
      <c r="T554" s="73"/>
      <c r="U554" s="73"/>
      <c r="V554" s="73"/>
      <c r="W554" s="73"/>
      <c r="X554" s="73"/>
      <c r="Y554" s="77"/>
      <c r="Z554" s="104"/>
      <c r="AA554" s="73"/>
      <c r="AB554" s="104"/>
      <c r="AC554" s="104"/>
      <c r="AD554" s="74"/>
      <c r="AE554" s="106"/>
      <c r="AF554" s="195"/>
      <c r="AG554" s="80"/>
      <c r="AH554" s="104"/>
      <c r="AI554" s="73"/>
      <c r="AJ554" s="114"/>
      <c r="AK554" s="106"/>
      <c r="AL554" s="74"/>
      <c r="AM554" s="73"/>
      <c r="AN554" s="73"/>
      <c r="AO554" s="102"/>
      <c r="AP554" s="73"/>
      <c r="AQ554" s="73"/>
      <c r="AR554" s="74"/>
      <c r="AS554" s="73"/>
      <c r="AT554" s="73"/>
      <c r="AU554" s="73"/>
      <c r="AV554" s="73"/>
      <c r="AW554" s="73"/>
      <c r="AX554" s="74"/>
      <c r="AY554" s="73"/>
      <c r="AZ554" s="73"/>
      <c r="BA554" s="74"/>
      <c r="BB554" s="73"/>
      <c r="BC554" s="73"/>
      <c r="BD554" s="73"/>
      <c r="BE554" s="73"/>
      <c r="BF554" s="73"/>
      <c r="BG554" s="73"/>
      <c r="BH554" s="73"/>
      <c r="BI554" s="73"/>
      <c r="BJ554" s="73"/>
      <c r="BK554" s="73"/>
      <c r="BL554" s="73"/>
      <c r="BM554" s="73"/>
      <c r="BN554" s="73"/>
      <c r="BO554" s="73"/>
      <c r="BP554" s="73"/>
      <c r="BQ554" s="73"/>
      <c r="BR554" s="73"/>
      <c r="BS554" s="73"/>
      <c r="BT554" s="74"/>
      <c r="BU554" s="73"/>
      <c r="BV554" s="73"/>
      <c r="BW554" s="73"/>
      <c r="BX554" s="73"/>
      <c r="BY554" s="73"/>
      <c r="BZ554" s="73"/>
      <c r="CA554" s="73"/>
      <c r="CB554" s="73"/>
      <c r="CC554" s="73"/>
      <c r="CD554" s="73"/>
      <c r="CE554" s="73"/>
    </row>
    <row r="555">
      <c r="A555" s="131"/>
      <c r="B555" s="73"/>
      <c r="C555" s="73"/>
      <c r="D555" s="74"/>
      <c r="E555" s="73"/>
      <c r="F555" s="73"/>
      <c r="G555" s="73"/>
      <c r="H555" s="73"/>
      <c r="I555" s="73"/>
      <c r="J555" s="73"/>
      <c r="K555" s="92"/>
      <c r="L555" s="73"/>
      <c r="M555" s="73"/>
      <c r="N555" s="73"/>
      <c r="O555" s="73"/>
      <c r="P555" s="73"/>
      <c r="Q555" s="75"/>
      <c r="R555" s="82"/>
      <c r="S555" s="73"/>
      <c r="T555" s="73"/>
      <c r="U555" s="73"/>
      <c r="V555" s="73"/>
      <c r="W555" s="73"/>
      <c r="X555" s="73"/>
      <c r="Y555" s="77"/>
      <c r="Z555" s="104"/>
      <c r="AA555" s="73"/>
      <c r="AB555" s="104"/>
      <c r="AC555" s="104"/>
      <c r="AD555" s="74"/>
      <c r="AE555" s="106"/>
      <c r="AF555" s="195"/>
      <c r="AG555" s="80"/>
      <c r="AH555" s="104"/>
      <c r="AI555" s="73"/>
      <c r="AJ555" s="114"/>
      <c r="AK555" s="106"/>
      <c r="AL555" s="74"/>
      <c r="AM555" s="73"/>
      <c r="AN555" s="73"/>
      <c r="AO555" s="102"/>
      <c r="AP555" s="73"/>
      <c r="AQ555" s="73"/>
      <c r="AR555" s="74"/>
      <c r="AS555" s="73"/>
      <c r="AT555" s="73"/>
      <c r="AU555" s="73"/>
      <c r="AV555" s="73"/>
      <c r="AW555" s="73"/>
      <c r="AX555" s="74"/>
      <c r="AY555" s="73"/>
      <c r="AZ555" s="73"/>
      <c r="BA555" s="74"/>
      <c r="BB555" s="73"/>
      <c r="BC555" s="73"/>
      <c r="BD555" s="73"/>
      <c r="BE555" s="73"/>
      <c r="BF555" s="73"/>
      <c r="BG555" s="73"/>
      <c r="BH555" s="73"/>
      <c r="BI555" s="73"/>
      <c r="BJ555" s="73"/>
      <c r="BK555" s="73"/>
      <c r="BL555" s="73"/>
      <c r="BM555" s="73"/>
      <c r="BN555" s="73"/>
      <c r="BO555" s="73"/>
      <c r="BP555" s="73"/>
      <c r="BQ555" s="73"/>
      <c r="BR555" s="73"/>
      <c r="BS555" s="73"/>
      <c r="BT555" s="74"/>
      <c r="BU555" s="73"/>
      <c r="BV555" s="73"/>
      <c r="BW555" s="73"/>
      <c r="BX555" s="73"/>
      <c r="BY555" s="73"/>
      <c r="BZ555" s="73"/>
      <c r="CA555" s="73"/>
      <c r="CB555" s="73"/>
      <c r="CC555" s="73"/>
      <c r="CD555" s="73"/>
      <c r="CE555" s="73"/>
    </row>
    <row r="556">
      <c r="A556" s="131"/>
      <c r="B556" s="73"/>
      <c r="C556" s="73"/>
      <c r="D556" s="74"/>
      <c r="E556" s="73"/>
      <c r="F556" s="73"/>
      <c r="G556" s="73"/>
      <c r="H556" s="73"/>
      <c r="I556" s="73"/>
      <c r="J556" s="73"/>
      <c r="K556" s="92"/>
      <c r="L556" s="73"/>
      <c r="M556" s="73"/>
      <c r="N556" s="73"/>
      <c r="O556" s="73"/>
      <c r="P556" s="73"/>
      <c r="Q556" s="75"/>
      <c r="R556" s="82"/>
      <c r="S556" s="73"/>
      <c r="T556" s="73"/>
      <c r="U556" s="73"/>
      <c r="V556" s="73"/>
      <c r="W556" s="73"/>
      <c r="X556" s="73"/>
      <c r="Y556" s="77"/>
      <c r="Z556" s="104"/>
      <c r="AA556" s="73"/>
      <c r="AB556" s="104"/>
      <c r="AC556" s="104"/>
      <c r="AD556" s="74"/>
      <c r="AE556" s="106"/>
      <c r="AF556" s="195"/>
      <c r="AG556" s="80"/>
      <c r="AH556" s="104"/>
      <c r="AI556" s="73"/>
      <c r="AJ556" s="114"/>
      <c r="AK556" s="106"/>
      <c r="AL556" s="74"/>
      <c r="AM556" s="73"/>
      <c r="AN556" s="73"/>
      <c r="AO556" s="102"/>
      <c r="AP556" s="73"/>
      <c r="AQ556" s="73"/>
      <c r="AR556" s="74"/>
      <c r="AS556" s="73"/>
      <c r="AT556" s="73"/>
      <c r="AU556" s="73"/>
      <c r="AV556" s="73"/>
      <c r="AW556" s="73"/>
      <c r="AX556" s="74"/>
      <c r="AY556" s="73"/>
      <c r="AZ556" s="73"/>
      <c r="BA556" s="74"/>
      <c r="BB556" s="73"/>
      <c r="BC556" s="73"/>
      <c r="BD556" s="73"/>
      <c r="BE556" s="73"/>
      <c r="BF556" s="73"/>
      <c r="BG556" s="73"/>
      <c r="BH556" s="73"/>
      <c r="BI556" s="73"/>
      <c r="BJ556" s="73"/>
      <c r="BK556" s="73"/>
      <c r="BL556" s="73"/>
      <c r="BM556" s="73"/>
      <c r="BN556" s="73"/>
      <c r="BO556" s="73"/>
      <c r="BP556" s="73"/>
      <c r="BQ556" s="73"/>
      <c r="BR556" s="73"/>
      <c r="BS556" s="73"/>
      <c r="BT556" s="74"/>
      <c r="BU556" s="73"/>
      <c r="BV556" s="73"/>
      <c r="BW556" s="73"/>
      <c r="BX556" s="73"/>
      <c r="BY556" s="73"/>
      <c r="BZ556" s="73"/>
      <c r="CA556" s="73"/>
      <c r="CB556" s="73"/>
      <c r="CC556" s="73"/>
      <c r="CD556" s="73"/>
      <c r="CE556" s="73"/>
    </row>
    <row r="557">
      <c r="A557" s="131"/>
      <c r="B557" s="73"/>
      <c r="C557" s="73"/>
      <c r="D557" s="74"/>
      <c r="E557" s="73"/>
      <c r="F557" s="73"/>
      <c r="G557" s="73"/>
      <c r="H557" s="73"/>
      <c r="I557" s="73"/>
      <c r="J557" s="73"/>
      <c r="K557" s="92"/>
      <c r="L557" s="73"/>
      <c r="M557" s="73"/>
      <c r="N557" s="73"/>
      <c r="O557" s="73"/>
      <c r="P557" s="73"/>
      <c r="Q557" s="75"/>
      <c r="R557" s="82"/>
      <c r="S557" s="73"/>
      <c r="T557" s="73"/>
      <c r="U557" s="73"/>
      <c r="V557" s="73"/>
      <c r="W557" s="73"/>
      <c r="X557" s="73"/>
      <c r="Y557" s="77"/>
      <c r="Z557" s="104"/>
      <c r="AA557" s="73"/>
      <c r="AB557" s="104"/>
      <c r="AC557" s="104"/>
      <c r="AD557" s="74"/>
      <c r="AE557" s="106"/>
      <c r="AF557" s="195"/>
      <c r="AG557" s="80"/>
      <c r="AH557" s="104"/>
      <c r="AI557" s="73"/>
      <c r="AJ557" s="114"/>
      <c r="AK557" s="106"/>
      <c r="AL557" s="74"/>
      <c r="AM557" s="73"/>
      <c r="AN557" s="73"/>
      <c r="AO557" s="102"/>
      <c r="AP557" s="73"/>
      <c r="AQ557" s="73"/>
      <c r="AR557" s="74"/>
      <c r="AS557" s="73"/>
      <c r="AT557" s="73"/>
      <c r="AU557" s="73"/>
      <c r="AV557" s="73"/>
      <c r="AW557" s="73"/>
      <c r="AX557" s="74"/>
      <c r="AY557" s="73"/>
      <c r="AZ557" s="73"/>
      <c r="BA557" s="74"/>
      <c r="BB557" s="73"/>
      <c r="BC557" s="73"/>
      <c r="BD557" s="73"/>
      <c r="BE557" s="73"/>
      <c r="BF557" s="73"/>
      <c r="BG557" s="73"/>
      <c r="BH557" s="73"/>
      <c r="BI557" s="73"/>
      <c r="BJ557" s="73"/>
      <c r="BK557" s="73"/>
      <c r="BL557" s="73"/>
      <c r="BM557" s="73"/>
      <c r="BN557" s="73"/>
      <c r="BO557" s="73"/>
      <c r="BP557" s="73"/>
      <c r="BQ557" s="73"/>
      <c r="BR557" s="73"/>
      <c r="BS557" s="73"/>
      <c r="BT557" s="74"/>
      <c r="BU557" s="73"/>
      <c r="BV557" s="73"/>
      <c r="BW557" s="73"/>
      <c r="BX557" s="73"/>
      <c r="BY557" s="73"/>
      <c r="BZ557" s="73"/>
      <c r="CA557" s="73"/>
      <c r="CB557" s="73"/>
      <c r="CC557" s="73"/>
      <c r="CD557" s="73"/>
      <c r="CE557" s="73"/>
    </row>
    <row r="558">
      <c r="A558" s="131"/>
      <c r="B558" s="73"/>
      <c r="C558" s="73"/>
      <c r="D558" s="74"/>
      <c r="E558" s="73"/>
      <c r="F558" s="73"/>
      <c r="G558" s="73"/>
      <c r="H558" s="73"/>
      <c r="I558" s="73"/>
      <c r="J558" s="73"/>
      <c r="K558" s="92"/>
      <c r="L558" s="73"/>
      <c r="M558" s="73"/>
      <c r="N558" s="73"/>
      <c r="O558" s="73"/>
      <c r="P558" s="73"/>
      <c r="Q558" s="75"/>
      <c r="R558" s="82"/>
      <c r="S558" s="73"/>
      <c r="T558" s="73"/>
      <c r="U558" s="73"/>
      <c r="V558" s="73"/>
      <c r="W558" s="73"/>
      <c r="X558" s="73"/>
      <c r="Y558" s="77"/>
      <c r="Z558" s="104"/>
      <c r="AA558" s="73"/>
      <c r="AB558" s="104"/>
      <c r="AC558" s="104"/>
      <c r="AD558" s="74"/>
      <c r="AE558" s="106"/>
      <c r="AF558" s="195"/>
      <c r="AG558" s="80"/>
      <c r="AH558" s="104"/>
      <c r="AI558" s="73"/>
      <c r="AJ558" s="114"/>
      <c r="AK558" s="106"/>
      <c r="AL558" s="74"/>
      <c r="AM558" s="73"/>
      <c r="AN558" s="73"/>
      <c r="AO558" s="102"/>
      <c r="AP558" s="73"/>
      <c r="AQ558" s="73"/>
      <c r="AR558" s="74"/>
      <c r="AS558" s="73"/>
      <c r="AT558" s="73"/>
      <c r="AU558" s="73"/>
      <c r="AV558" s="73"/>
      <c r="AW558" s="73"/>
      <c r="AX558" s="74"/>
      <c r="AY558" s="73"/>
      <c r="AZ558" s="73"/>
      <c r="BA558" s="74"/>
      <c r="BB558" s="73"/>
      <c r="BC558" s="73"/>
      <c r="BD558" s="73"/>
      <c r="BE558" s="73"/>
      <c r="BF558" s="73"/>
      <c r="BG558" s="73"/>
      <c r="BH558" s="73"/>
      <c r="BI558" s="73"/>
      <c r="BJ558" s="73"/>
      <c r="BK558" s="73"/>
      <c r="BL558" s="73"/>
      <c r="BM558" s="73"/>
      <c r="BN558" s="73"/>
      <c r="BO558" s="73"/>
      <c r="BP558" s="73"/>
      <c r="BQ558" s="73"/>
      <c r="BR558" s="73"/>
      <c r="BS558" s="73"/>
      <c r="BT558" s="74"/>
      <c r="BU558" s="73"/>
      <c r="BV558" s="73"/>
      <c r="BW558" s="73"/>
      <c r="BX558" s="73"/>
      <c r="BY558" s="73"/>
      <c r="BZ558" s="73"/>
      <c r="CA558" s="73"/>
      <c r="CB558" s="73"/>
      <c r="CC558" s="73"/>
      <c r="CD558" s="73"/>
      <c r="CE558" s="73"/>
    </row>
    <row r="559">
      <c r="A559" s="131"/>
      <c r="B559" s="73"/>
      <c r="C559" s="73"/>
      <c r="D559" s="74"/>
      <c r="E559" s="73"/>
      <c r="F559" s="73"/>
      <c r="G559" s="73"/>
      <c r="H559" s="73"/>
      <c r="I559" s="73"/>
      <c r="J559" s="73"/>
      <c r="K559" s="92"/>
      <c r="L559" s="73"/>
      <c r="M559" s="73"/>
      <c r="N559" s="73"/>
      <c r="O559" s="73"/>
      <c r="P559" s="73"/>
      <c r="Q559" s="75"/>
      <c r="R559" s="82"/>
      <c r="S559" s="73"/>
      <c r="T559" s="73"/>
      <c r="U559" s="73"/>
      <c r="V559" s="73"/>
      <c r="W559" s="73"/>
      <c r="X559" s="73"/>
      <c r="Y559" s="77"/>
      <c r="Z559" s="104"/>
      <c r="AA559" s="73"/>
      <c r="AB559" s="104"/>
      <c r="AC559" s="104"/>
      <c r="AD559" s="74"/>
      <c r="AE559" s="106"/>
      <c r="AF559" s="195"/>
      <c r="AG559" s="80"/>
      <c r="AH559" s="104"/>
      <c r="AI559" s="73"/>
      <c r="AJ559" s="114"/>
      <c r="AK559" s="106"/>
      <c r="AL559" s="74"/>
      <c r="AM559" s="73"/>
      <c r="AN559" s="73"/>
      <c r="AO559" s="102"/>
      <c r="AP559" s="73"/>
      <c r="AQ559" s="73"/>
      <c r="AR559" s="74"/>
      <c r="AS559" s="73"/>
      <c r="AT559" s="73"/>
      <c r="AU559" s="73"/>
      <c r="AV559" s="73"/>
      <c r="AW559" s="73"/>
      <c r="AX559" s="74"/>
      <c r="AY559" s="73"/>
      <c r="AZ559" s="73"/>
      <c r="BA559" s="74"/>
      <c r="BB559" s="73"/>
      <c r="BC559" s="73"/>
      <c r="BD559" s="73"/>
      <c r="BE559" s="73"/>
      <c r="BF559" s="73"/>
      <c r="BG559" s="73"/>
      <c r="BH559" s="73"/>
      <c r="BI559" s="73"/>
      <c r="BJ559" s="73"/>
      <c r="BK559" s="73"/>
      <c r="BL559" s="73"/>
      <c r="BM559" s="73"/>
      <c r="BN559" s="73"/>
      <c r="BO559" s="73"/>
      <c r="BP559" s="73"/>
      <c r="BQ559" s="73"/>
      <c r="BR559" s="73"/>
      <c r="BS559" s="73"/>
      <c r="BT559" s="74"/>
      <c r="BU559" s="73"/>
      <c r="BV559" s="73"/>
      <c r="BW559" s="73"/>
      <c r="BX559" s="73"/>
      <c r="BY559" s="73"/>
      <c r="BZ559" s="73"/>
      <c r="CA559" s="73"/>
      <c r="CB559" s="73"/>
      <c r="CC559" s="73"/>
      <c r="CD559" s="73"/>
      <c r="CE559" s="73"/>
    </row>
    <row r="560">
      <c r="A560" s="131"/>
      <c r="B560" s="73"/>
      <c r="C560" s="73"/>
      <c r="D560" s="74"/>
      <c r="E560" s="73"/>
      <c r="F560" s="73"/>
      <c r="G560" s="73"/>
      <c r="H560" s="73"/>
      <c r="I560" s="73"/>
      <c r="J560" s="73"/>
      <c r="K560" s="92"/>
      <c r="L560" s="73"/>
      <c r="M560" s="73"/>
      <c r="N560" s="73"/>
      <c r="O560" s="73"/>
      <c r="P560" s="73"/>
      <c r="Q560" s="75"/>
      <c r="R560" s="82"/>
      <c r="S560" s="73"/>
      <c r="T560" s="73"/>
      <c r="U560" s="73"/>
      <c r="V560" s="73"/>
      <c r="W560" s="73"/>
      <c r="X560" s="73"/>
      <c r="Y560" s="77"/>
      <c r="Z560" s="104"/>
      <c r="AA560" s="73"/>
      <c r="AB560" s="104"/>
      <c r="AC560" s="104"/>
      <c r="AD560" s="74"/>
      <c r="AE560" s="106"/>
      <c r="AF560" s="195"/>
      <c r="AG560" s="80"/>
      <c r="AH560" s="104"/>
      <c r="AI560" s="73"/>
      <c r="AJ560" s="114"/>
      <c r="AK560" s="106"/>
      <c r="AL560" s="74"/>
      <c r="AM560" s="73"/>
      <c r="AN560" s="73"/>
      <c r="AO560" s="102"/>
      <c r="AP560" s="73"/>
      <c r="AQ560" s="73"/>
      <c r="AR560" s="74"/>
      <c r="AS560" s="73"/>
      <c r="AT560" s="73"/>
      <c r="AU560" s="73"/>
      <c r="AV560" s="73"/>
      <c r="AW560" s="73"/>
      <c r="AX560" s="74"/>
      <c r="AY560" s="73"/>
      <c r="AZ560" s="73"/>
      <c r="BA560" s="74"/>
      <c r="BB560" s="73"/>
      <c r="BC560" s="73"/>
      <c r="BD560" s="73"/>
      <c r="BE560" s="73"/>
      <c r="BF560" s="73"/>
      <c r="BG560" s="73"/>
      <c r="BH560" s="73"/>
      <c r="BI560" s="73"/>
      <c r="BJ560" s="73"/>
      <c r="BK560" s="73"/>
      <c r="BL560" s="73"/>
      <c r="BM560" s="73"/>
      <c r="BN560" s="73"/>
      <c r="BO560" s="73"/>
      <c r="BP560" s="73"/>
      <c r="BQ560" s="73"/>
      <c r="BR560" s="73"/>
      <c r="BS560" s="73"/>
      <c r="BT560" s="74"/>
      <c r="BU560" s="73"/>
      <c r="BV560" s="73"/>
      <c r="BW560" s="73"/>
      <c r="BX560" s="73"/>
      <c r="BY560" s="73"/>
      <c r="BZ560" s="73"/>
      <c r="CA560" s="73"/>
      <c r="CB560" s="73"/>
      <c r="CC560" s="73"/>
      <c r="CD560" s="73"/>
      <c r="CE560" s="73"/>
    </row>
    <row r="561">
      <c r="A561" s="131"/>
      <c r="B561" s="73"/>
      <c r="C561" s="73"/>
      <c r="D561" s="74"/>
      <c r="E561" s="73"/>
      <c r="F561" s="73"/>
      <c r="G561" s="73"/>
      <c r="H561" s="73"/>
      <c r="I561" s="73"/>
      <c r="J561" s="73"/>
      <c r="K561" s="92"/>
      <c r="L561" s="73"/>
      <c r="M561" s="73"/>
      <c r="N561" s="73"/>
      <c r="O561" s="73"/>
      <c r="P561" s="73"/>
      <c r="Q561" s="75"/>
      <c r="R561" s="82"/>
      <c r="S561" s="73"/>
      <c r="T561" s="73"/>
      <c r="U561" s="73"/>
      <c r="V561" s="73"/>
      <c r="W561" s="73"/>
      <c r="X561" s="73"/>
      <c r="Y561" s="77"/>
      <c r="Z561" s="104"/>
      <c r="AA561" s="73"/>
      <c r="AB561" s="104"/>
      <c r="AC561" s="104"/>
      <c r="AD561" s="74"/>
      <c r="AE561" s="106"/>
      <c r="AF561" s="195"/>
      <c r="AG561" s="80"/>
      <c r="AH561" s="104"/>
      <c r="AI561" s="73"/>
      <c r="AJ561" s="114"/>
      <c r="AK561" s="106"/>
      <c r="AL561" s="74"/>
      <c r="AM561" s="73"/>
      <c r="AN561" s="73"/>
      <c r="AO561" s="102"/>
      <c r="AP561" s="73"/>
      <c r="AQ561" s="73"/>
      <c r="AR561" s="74"/>
      <c r="AS561" s="73"/>
      <c r="AT561" s="73"/>
      <c r="AU561" s="73"/>
      <c r="AV561" s="73"/>
      <c r="AW561" s="73"/>
      <c r="AX561" s="74"/>
      <c r="AY561" s="73"/>
      <c r="AZ561" s="73"/>
      <c r="BA561" s="74"/>
      <c r="BB561" s="73"/>
      <c r="BC561" s="73"/>
      <c r="BD561" s="73"/>
      <c r="BE561" s="73"/>
      <c r="BF561" s="73"/>
      <c r="BG561" s="73"/>
      <c r="BH561" s="73"/>
      <c r="BI561" s="73"/>
      <c r="BJ561" s="73"/>
      <c r="BK561" s="73"/>
      <c r="BL561" s="73"/>
      <c r="BM561" s="73"/>
      <c r="BN561" s="73"/>
      <c r="BO561" s="73"/>
      <c r="BP561" s="73"/>
      <c r="BQ561" s="73"/>
      <c r="BR561" s="73"/>
      <c r="BS561" s="73"/>
      <c r="BT561" s="74"/>
      <c r="BU561" s="73"/>
      <c r="BV561" s="73"/>
      <c r="BW561" s="73"/>
      <c r="BX561" s="73"/>
      <c r="BY561" s="73"/>
      <c r="BZ561" s="73"/>
      <c r="CA561" s="73"/>
      <c r="CB561" s="73"/>
      <c r="CC561" s="73"/>
      <c r="CD561" s="73"/>
      <c r="CE561" s="73"/>
    </row>
    <row r="562">
      <c r="A562" s="131"/>
      <c r="B562" s="73"/>
      <c r="C562" s="73"/>
      <c r="D562" s="74"/>
      <c r="E562" s="73"/>
      <c r="F562" s="73"/>
      <c r="G562" s="73"/>
      <c r="H562" s="73"/>
      <c r="I562" s="73"/>
      <c r="J562" s="73"/>
      <c r="K562" s="92"/>
      <c r="L562" s="73"/>
      <c r="M562" s="73"/>
      <c r="N562" s="73"/>
      <c r="O562" s="73"/>
      <c r="P562" s="73"/>
      <c r="Q562" s="75"/>
      <c r="R562" s="82"/>
      <c r="S562" s="73"/>
      <c r="T562" s="73"/>
      <c r="U562" s="73"/>
      <c r="V562" s="73"/>
      <c r="W562" s="73"/>
      <c r="X562" s="73"/>
      <c r="Y562" s="77"/>
      <c r="Z562" s="104"/>
      <c r="AA562" s="73"/>
      <c r="AB562" s="104"/>
      <c r="AC562" s="104"/>
      <c r="AD562" s="74"/>
      <c r="AE562" s="106"/>
      <c r="AF562" s="195"/>
      <c r="AG562" s="80"/>
      <c r="AH562" s="104"/>
      <c r="AI562" s="73"/>
      <c r="AJ562" s="114"/>
      <c r="AK562" s="106"/>
      <c r="AL562" s="74"/>
      <c r="AM562" s="73"/>
      <c r="AN562" s="73"/>
      <c r="AO562" s="102"/>
      <c r="AP562" s="73"/>
      <c r="AQ562" s="73"/>
      <c r="AR562" s="74"/>
      <c r="AS562" s="73"/>
      <c r="AT562" s="73"/>
      <c r="AU562" s="73"/>
      <c r="AV562" s="73"/>
      <c r="AW562" s="73"/>
      <c r="AX562" s="74"/>
      <c r="AY562" s="73"/>
      <c r="AZ562" s="73"/>
      <c r="BA562" s="74"/>
      <c r="BB562" s="73"/>
      <c r="BC562" s="73"/>
      <c r="BD562" s="73"/>
      <c r="BE562" s="73"/>
      <c r="BF562" s="73"/>
      <c r="BG562" s="73"/>
      <c r="BH562" s="73"/>
      <c r="BI562" s="73"/>
      <c r="BJ562" s="73"/>
      <c r="BK562" s="73"/>
      <c r="BL562" s="73"/>
      <c r="BM562" s="73"/>
      <c r="BN562" s="73"/>
      <c r="BO562" s="73"/>
      <c r="BP562" s="73"/>
      <c r="BQ562" s="73"/>
      <c r="BR562" s="73"/>
      <c r="BS562" s="73"/>
      <c r="BT562" s="74"/>
      <c r="BU562" s="73"/>
      <c r="BV562" s="73"/>
      <c r="BW562" s="73"/>
      <c r="BX562" s="73"/>
      <c r="BY562" s="73"/>
      <c r="BZ562" s="73"/>
      <c r="CA562" s="73"/>
      <c r="CB562" s="73"/>
      <c r="CC562" s="73"/>
      <c r="CD562" s="73"/>
      <c r="CE562" s="73"/>
    </row>
    <row r="563">
      <c r="A563" s="131"/>
      <c r="B563" s="73"/>
      <c r="C563" s="73"/>
      <c r="D563" s="74"/>
      <c r="E563" s="73"/>
      <c r="F563" s="73"/>
      <c r="G563" s="73"/>
      <c r="H563" s="73"/>
      <c r="I563" s="73"/>
      <c r="J563" s="73"/>
      <c r="K563" s="92"/>
      <c r="L563" s="73"/>
      <c r="M563" s="73"/>
      <c r="N563" s="73"/>
      <c r="O563" s="73"/>
      <c r="P563" s="73"/>
      <c r="Q563" s="75"/>
      <c r="R563" s="82"/>
      <c r="S563" s="73"/>
      <c r="T563" s="73"/>
      <c r="U563" s="73"/>
      <c r="V563" s="73"/>
      <c r="W563" s="73"/>
      <c r="X563" s="73"/>
      <c r="Y563" s="77"/>
      <c r="Z563" s="104"/>
      <c r="AA563" s="73"/>
      <c r="AB563" s="104"/>
      <c r="AC563" s="104"/>
      <c r="AD563" s="74"/>
      <c r="AE563" s="106"/>
      <c r="AF563" s="195"/>
      <c r="AG563" s="80"/>
      <c r="AH563" s="104"/>
      <c r="AI563" s="73"/>
      <c r="AJ563" s="114"/>
      <c r="AK563" s="106"/>
      <c r="AL563" s="74"/>
      <c r="AM563" s="73"/>
      <c r="AN563" s="73"/>
      <c r="AO563" s="102"/>
      <c r="AP563" s="73"/>
      <c r="AQ563" s="73"/>
      <c r="AR563" s="74"/>
      <c r="AS563" s="73"/>
      <c r="AT563" s="73"/>
      <c r="AU563" s="73"/>
      <c r="AV563" s="73"/>
      <c r="AW563" s="73"/>
      <c r="AX563" s="74"/>
      <c r="AY563" s="73"/>
      <c r="AZ563" s="73"/>
      <c r="BA563" s="74"/>
      <c r="BB563" s="73"/>
      <c r="BC563" s="73"/>
      <c r="BD563" s="73"/>
      <c r="BE563" s="73"/>
      <c r="BF563" s="73"/>
      <c r="BG563" s="73"/>
      <c r="BH563" s="73"/>
      <c r="BI563" s="73"/>
      <c r="BJ563" s="73"/>
      <c r="BK563" s="73"/>
      <c r="BL563" s="73"/>
      <c r="BM563" s="73"/>
      <c r="BN563" s="73"/>
      <c r="BO563" s="73"/>
      <c r="BP563" s="73"/>
      <c r="BQ563" s="73"/>
      <c r="BR563" s="73"/>
      <c r="BS563" s="73"/>
      <c r="BT563" s="74"/>
      <c r="BU563" s="73"/>
      <c r="BV563" s="73"/>
      <c r="BW563" s="73"/>
      <c r="BX563" s="73"/>
      <c r="BY563" s="73"/>
      <c r="BZ563" s="73"/>
      <c r="CA563" s="73"/>
      <c r="CB563" s="73"/>
      <c r="CC563" s="73"/>
      <c r="CD563" s="73"/>
      <c r="CE563" s="73"/>
    </row>
    <row r="564">
      <c r="A564" s="131"/>
      <c r="B564" s="73"/>
      <c r="C564" s="73"/>
      <c r="D564" s="74"/>
      <c r="E564" s="73"/>
      <c r="F564" s="73"/>
      <c r="G564" s="73"/>
      <c r="H564" s="73"/>
      <c r="I564" s="73"/>
      <c r="J564" s="73"/>
      <c r="K564" s="92"/>
      <c r="L564" s="73"/>
      <c r="M564" s="73"/>
      <c r="N564" s="73"/>
      <c r="O564" s="73"/>
      <c r="P564" s="73"/>
      <c r="Q564" s="75"/>
      <c r="R564" s="82"/>
      <c r="S564" s="73"/>
      <c r="T564" s="73"/>
      <c r="U564" s="73"/>
      <c r="V564" s="73"/>
      <c r="W564" s="73"/>
      <c r="X564" s="73"/>
      <c r="Y564" s="77"/>
      <c r="Z564" s="104"/>
      <c r="AA564" s="73"/>
      <c r="AB564" s="104"/>
      <c r="AC564" s="104"/>
      <c r="AD564" s="74"/>
      <c r="AE564" s="106"/>
      <c r="AF564" s="195"/>
      <c r="AG564" s="80"/>
      <c r="AH564" s="104"/>
      <c r="AI564" s="73"/>
      <c r="AJ564" s="114"/>
      <c r="AK564" s="106"/>
      <c r="AL564" s="74"/>
      <c r="AM564" s="73"/>
      <c r="AN564" s="73"/>
      <c r="AO564" s="102"/>
      <c r="AP564" s="73"/>
      <c r="AQ564" s="73"/>
      <c r="AR564" s="74"/>
      <c r="AS564" s="73"/>
      <c r="AT564" s="73"/>
      <c r="AU564" s="73"/>
      <c r="AV564" s="73"/>
      <c r="AW564" s="73"/>
      <c r="AX564" s="74"/>
      <c r="AY564" s="73"/>
      <c r="AZ564" s="73"/>
      <c r="BA564" s="74"/>
      <c r="BB564" s="73"/>
      <c r="BC564" s="73"/>
      <c r="BD564" s="73"/>
      <c r="BE564" s="73"/>
      <c r="BF564" s="73"/>
      <c r="BG564" s="73"/>
      <c r="BH564" s="73"/>
      <c r="BI564" s="73"/>
      <c r="BJ564" s="73"/>
      <c r="BK564" s="73"/>
      <c r="BL564" s="73"/>
      <c r="BM564" s="73"/>
      <c r="BN564" s="73"/>
      <c r="BO564" s="73"/>
      <c r="BP564" s="73"/>
      <c r="BQ564" s="73"/>
      <c r="BR564" s="73"/>
      <c r="BS564" s="73"/>
      <c r="BT564" s="74"/>
      <c r="BU564" s="73"/>
      <c r="BV564" s="73"/>
      <c r="BW564" s="73"/>
      <c r="BX564" s="73"/>
      <c r="BY564" s="73"/>
      <c r="BZ564" s="73"/>
      <c r="CA564" s="73"/>
      <c r="CB564" s="73"/>
      <c r="CC564" s="73"/>
      <c r="CD564" s="73"/>
      <c r="CE564" s="73"/>
    </row>
    <row r="565">
      <c r="A565" s="131"/>
      <c r="B565" s="73"/>
      <c r="C565" s="73"/>
      <c r="D565" s="74"/>
      <c r="E565" s="73"/>
      <c r="F565" s="73"/>
      <c r="G565" s="73"/>
      <c r="H565" s="73"/>
      <c r="I565" s="73"/>
      <c r="J565" s="73"/>
      <c r="K565" s="92"/>
      <c r="L565" s="73"/>
      <c r="M565" s="73"/>
      <c r="N565" s="73"/>
      <c r="O565" s="73"/>
      <c r="P565" s="73"/>
      <c r="Q565" s="75"/>
      <c r="R565" s="82"/>
      <c r="S565" s="73"/>
      <c r="T565" s="73"/>
      <c r="U565" s="73"/>
      <c r="V565" s="73"/>
      <c r="W565" s="73"/>
      <c r="X565" s="73"/>
      <c r="Y565" s="77"/>
      <c r="Z565" s="104"/>
      <c r="AA565" s="73"/>
      <c r="AB565" s="104"/>
      <c r="AC565" s="104"/>
      <c r="AD565" s="74"/>
      <c r="AE565" s="106"/>
      <c r="AF565" s="195"/>
      <c r="AG565" s="80"/>
      <c r="AH565" s="104"/>
      <c r="AI565" s="73"/>
      <c r="AJ565" s="114"/>
      <c r="AK565" s="106"/>
      <c r="AL565" s="74"/>
      <c r="AM565" s="73"/>
      <c r="AN565" s="73"/>
      <c r="AO565" s="102"/>
      <c r="AP565" s="73"/>
      <c r="AQ565" s="73"/>
      <c r="AR565" s="74"/>
      <c r="AS565" s="73"/>
      <c r="AT565" s="73"/>
      <c r="AU565" s="73"/>
      <c r="AV565" s="73"/>
      <c r="AW565" s="73"/>
      <c r="AX565" s="74"/>
      <c r="AY565" s="73"/>
      <c r="AZ565" s="73"/>
      <c r="BA565" s="74"/>
      <c r="BB565" s="73"/>
      <c r="BC565" s="73"/>
      <c r="BD565" s="73"/>
      <c r="BE565" s="73"/>
      <c r="BF565" s="73"/>
      <c r="BG565" s="73"/>
      <c r="BH565" s="73"/>
      <c r="BI565" s="73"/>
      <c r="BJ565" s="73"/>
      <c r="BK565" s="73"/>
      <c r="BL565" s="73"/>
      <c r="BM565" s="73"/>
      <c r="BN565" s="73"/>
      <c r="BO565" s="73"/>
      <c r="BP565" s="73"/>
      <c r="BQ565" s="73"/>
      <c r="BR565" s="73"/>
      <c r="BS565" s="73"/>
      <c r="BT565" s="74"/>
      <c r="BU565" s="73"/>
      <c r="BV565" s="73"/>
      <c r="BW565" s="73"/>
      <c r="BX565" s="73"/>
      <c r="BY565" s="73"/>
      <c r="BZ565" s="73"/>
      <c r="CA565" s="73"/>
      <c r="CB565" s="73"/>
      <c r="CC565" s="73"/>
      <c r="CD565" s="73"/>
      <c r="CE565" s="73"/>
    </row>
    <row r="566">
      <c r="A566" s="131"/>
      <c r="B566" s="73"/>
      <c r="C566" s="73"/>
      <c r="D566" s="74"/>
      <c r="E566" s="73"/>
      <c r="F566" s="73"/>
      <c r="G566" s="73"/>
      <c r="H566" s="73"/>
      <c r="I566" s="73"/>
      <c r="J566" s="73"/>
      <c r="K566" s="92"/>
      <c r="L566" s="73"/>
      <c r="M566" s="73"/>
      <c r="N566" s="73"/>
      <c r="O566" s="73"/>
      <c r="P566" s="73"/>
      <c r="Q566" s="75"/>
      <c r="R566" s="82"/>
      <c r="S566" s="73"/>
      <c r="T566" s="73"/>
      <c r="U566" s="73"/>
      <c r="V566" s="73"/>
      <c r="W566" s="73"/>
      <c r="X566" s="73"/>
      <c r="Y566" s="77"/>
      <c r="Z566" s="104"/>
      <c r="AA566" s="73"/>
      <c r="AB566" s="104"/>
      <c r="AC566" s="104"/>
      <c r="AD566" s="74"/>
      <c r="AE566" s="106"/>
      <c r="AF566" s="195"/>
      <c r="AG566" s="80"/>
      <c r="AH566" s="104"/>
      <c r="AI566" s="73"/>
      <c r="AJ566" s="114"/>
      <c r="AK566" s="106"/>
      <c r="AL566" s="74"/>
      <c r="AM566" s="73"/>
      <c r="AN566" s="73"/>
      <c r="AO566" s="102"/>
      <c r="AP566" s="73"/>
      <c r="AQ566" s="73"/>
      <c r="AR566" s="74"/>
      <c r="AS566" s="73"/>
      <c r="AT566" s="73"/>
      <c r="AU566" s="73"/>
      <c r="AV566" s="73"/>
      <c r="AW566" s="73"/>
      <c r="AX566" s="74"/>
      <c r="AY566" s="73"/>
      <c r="AZ566" s="73"/>
      <c r="BA566" s="74"/>
      <c r="BB566" s="73"/>
      <c r="BC566" s="73"/>
      <c r="BD566" s="73"/>
      <c r="BE566" s="73"/>
      <c r="BF566" s="73"/>
      <c r="BG566" s="73"/>
      <c r="BH566" s="73"/>
      <c r="BI566" s="73"/>
      <c r="BJ566" s="73"/>
      <c r="BK566" s="73"/>
      <c r="BL566" s="73"/>
      <c r="BM566" s="73"/>
      <c r="BN566" s="73"/>
      <c r="BO566" s="73"/>
      <c r="BP566" s="73"/>
      <c r="BQ566" s="73"/>
      <c r="BR566" s="73"/>
      <c r="BS566" s="73"/>
      <c r="BT566" s="74"/>
      <c r="BU566" s="73"/>
      <c r="BV566" s="73"/>
      <c r="BW566" s="73"/>
      <c r="BX566" s="73"/>
      <c r="BY566" s="73"/>
      <c r="BZ566" s="73"/>
      <c r="CA566" s="73"/>
      <c r="CB566" s="73"/>
      <c r="CC566" s="73"/>
      <c r="CD566" s="73"/>
      <c r="CE566" s="73"/>
    </row>
    <row r="567">
      <c r="A567" s="131"/>
      <c r="B567" s="73"/>
      <c r="C567" s="73"/>
      <c r="D567" s="74"/>
      <c r="E567" s="73"/>
      <c r="F567" s="73"/>
      <c r="G567" s="73"/>
      <c r="H567" s="73"/>
      <c r="I567" s="73"/>
      <c r="J567" s="73"/>
      <c r="K567" s="92"/>
      <c r="L567" s="73"/>
      <c r="M567" s="73"/>
      <c r="N567" s="73"/>
      <c r="O567" s="73"/>
      <c r="P567" s="73"/>
      <c r="Q567" s="75"/>
      <c r="R567" s="82"/>
      <c r="S567" s="73"/>
      <c r="T567" s="73"/>
      <c r="U567" s="73"/>
      <c r="V567" s="73"/>
      <c r="W567" s="73"/>
      <c r="X567" s="73"/>
      <c r="Y567" s="77"/>
      <c r="Z567" s="104"/>
      <c r="AA567" s="73"/>
      <c r="AB567" s="104"/>
      <c r="AC567" s="104"/>
      <c r="AD567" s="74"/>
      <c r="AE567" s="106"/>
      <c r="AF567" s="195"/>
      <c r="AG567" s="80"/>
      <c r="AH567" s="104"/>
      <c r="AI567" s="73"/>
      <c r="AJ567" s="114"/>
      <c r="AK567" s="106"/>
      <c r="AL567" s="74"/>
      <c r="AM567" s="73"/>
      <c r="AN567" s="73"/>
      <c r="AO567" s="102"/>
      <c r="AP567" s="73"/>
      <c r="AQ567" s="73"/>
      <c r="AR567" s="74"/>
      <c r="AS567" s="73"/>
      <c r="AT567" s="73"/>
      <c r="AU567" s="73"/>
      <c r="AV567" s="73"/>
      <c r="AW567" s="73"/>
      <c r="AX567" s="74"/>
      <c r="AY567" s="73"/>
      <c r="AZ567" s="73"/>
      <c r="BA567" s="74"/>
      <c r="BB567" s="73"/>
      <c r="BC567" s="73"/>
      <c r="BD567" s="73"/>
      <c r="BE567" s="73"/>
      <c r="BF567" s="73"/>
      <c r="BG567" s="73"/>
      <c r="BH567" s="73"/>
      <c r="BI567" s="73"/>
      <c r="BJ567" s="73"/>
      <c r="BK567" s="73"/>
      <c r="BL567" s="73"/>
      <c r="BM567" s="73"/>
      <c r="BN567" s="73"/>
      <c r="BO567" s="73"/>
      <c r="BP567" s="73"/>
      <c r="BQ567" s="73"/>
      <c r="BR567" s="73"/>
      <c r="BS567" s="73"/>
      <c r="BT567" s="74"/>
      <c r="BU567" s="73"/>
      <c r="BV567" s="73"/>
      <c r="BW567" s="73"/>
      <c r="BX567" s="73"/>
      <c r="BY567" s="73"/>
      <c r="BZ567" s="73"/>
      <c r="CA567" s="73"/>
      <c r="CB567" s="73"/>
      <c r="CC567" s="73"/>
      <c r="CD567" s="73"/>
      <c r="CE567" s="73"/>
    </row>
    <row r="568">
      <c r="A568" s="131"/>
      <c r="B568" s="73"/>
      <c r="C568" s="73"/>
      <c r="D568" s="74"/>
      <c r="E568" s="73"/>
      <c r="F568" s="73"/>
      <c r="G568" s="73"/>
      <c r="H568" s="73"/>
      <c r="I568" s="73"/>
      <c r="J568" s="73"/>
      <c r="K568" s="92"/>
      <c r="L568" s="73"/>
      <c r="M568" s="73"/>
      <c r="N568" s="73"/>
      <c r="O568" s="73"/>
      <c r="P568" s="73"/>
      <c r="Q568" s="75"/>
      <c r="R568" s="82"/>
      <c r="S568" s="73"/>
      <c r="T568" s="73"/>
      <c r="U568" s="73"/>
      <c r="V568" s="73"/>
      <c r="W568" s="73"/>
      <c r="X568" s="73"/>
      <c r="Y568" s="77"/>
      <c r="Z568" s="104"/>
      <c r="AA568" s="73"/>
      <c r="AB568" s="104"/>
      <c r="AC568" s="104"/>
      <c r="AD568" s="74"/>
      <c r="AE568" s="106"/>
      <c r="AF568" s="195"/>
      <c r="AG568" s="80"/>
      <c r="AH568" s="104"/>
      <c r="AI568" s="73"/>
      <c r="AJ568" s="114"/>
      <c r="AK568" s="106"/>
      <c r="AL568" s="74"/>
      <c r="AM568" s="73"/>
      <c r="AN568" s="73"/>
      <c r="AO568" s="102"/>
      <c r="AP568" s="73"/>
      <c r="AQ568" s="73"/>
      <c r="AR568" s="74"/>
      <c r="AS568" s="73"/>
      <c r="AT568" s="73"/>
      <c r="AU568" s="73"/>
      <c r="AV568" s="73"/>
      <c r="AW568" s="73"/>
      <c r="AX568" s="74"/>
      <c r="AY568" s="73"/>
      <c r="AZ568" s="73"/>
      <c r="BA568" s="74"/>
      <c r="BB568" s="73"/>
      <c r="BC568" s="73"/>
      <c r="BD568" s="73"/>
      <c r="BE568" s="73"/>
      <c r="BF568" s="73"/>
      <c r="BG568" s="73"/>
      <c r="BH568" s="73"/>
      <c r="BI568" s="73"/>
      <c r="BJ568" s="73"/>
      <c r="BK568" s="73"/>
      <c r="BL568" s="73"/>
      <c r="BM568" s="73"/>
      <c r="BN568" s="73"/>
      <c r="BO568" s="73"/>
      <c r="BP568" s="73"/>
      <c r="BQ568" s="73"/>
      <c r="BR568" s="73"/>
      <c r="BS568" s="73"/>
      <c r="BT568" s="74"/>
      <c r="BU568" s="73"/>
      <c r="BV568" s="73"/>
      <c r="BW568" s="73"/>
      <c r="BX568" s="73"/>
      <c r="BY568" s="73"/>
      <c r="BZ568" s="73"/>
      <c r="CA568" s="73"/>
      <c r="CB568" s="73"/>
      <c r="CC568" s="73"/>
      <c r="CD568" s="73"/>
      <c r="CE568" s="73"/>
    </row>
    <row r="569">
      <c r="A569" s="131"/>
      <c r="B569" s="73"/>
      <c r="C569" s="73"/>
      <c r="D569" s="74"/>
      <c r="E569" s="73"/>
      <c r="F569" s="73"/>
      <c r="G569" s="73"/>
      <c r="H569" s="73"/>
      <c r="I569" s="73"/>
      <c r="J569" s="73"/>
      <c r="K569" s="92"/>
      <c r="L569" s="73"/>
      <c r="M569" s="73"/>
      <c r="N569" s="73"/>
      <c r="O569" s="73"/>
      <c r="P569" s="73"/>
      <c r="Q569" s="75"/>
      <c r="R569" s="82"/>
      <c r="S569" s="73"/>
      <c r="T569" s="73"/>
      <c r="U569" s="73"/>
      <c r="V569" s="73"/>
      <c r="W569" s="73"/>
      <c r="X569" s="73"/>
      <c r="Y569" s="77"/>
      <c r="Z569" s="104"/>
      <c r="AA569" s="73"/>
      <c r="AB569" s="104"/>
      <c r="AC569" s="104"/>
      <c r="AD569" s="74"/>
      <c r="AE569" s="106"/>
      <c r="AF569" s="195"/>
      <c r="AG569" s="80"/>
      <c r="AH569" s="104"/>
      <c r="AI569" s="73"/>
      <c r="AJ569" s="114"/>
      <c r="AK569" s="106"/>
      <c r="AL569" s="74"/>
      <c r="AM569" s="73"/>
      <c r="AN569" s="73"/>
      <c r="AO569" s="102"/>
      <c r="AP569" s="73"/>
      <c r="AQ569" s="73"/>
      <c r="AR569" s="74"/>
      <c r="AS569" s="73"/>
      <c r="AT569" s="73"/>
      <c r="AU569" s="73"/>
      <c r="AV569" s="73"/>
      <c r="AW569" s="73"/>
      <c r="AX569" s="74"/>
      <c r="AY569" s="73"/>
      <c r="AZ569" s="73"/>
      <c r="BA569" s="74"/>
      <c r="BB569" s="73"/>
      <c r="BC569" s="73"/>
      <c r="BD569" s="73"/>
      <c r="BE569" s="73"/>
      <c r="BF569" s="73"/>
      <c r="BG569" s="73"/>
      <c r="BH569" s="73"/>
      <c r="BI569" s="73"/>
      <c r="BJ569" s="73"/>
      <c r="BK569" s="73"/>
      <c r="BL569" s="73"/>
      <c r="BM569" s="73"/>
      <c r="BN569" s="73"/>
      <c r="BO569" s="73"/>
      <c r="BP569" s="73"/>
      <c r="BQ569" s="73"/>
      <c r="BR569" s="73"/>
      <c r="BS569" s="73"/>
      <c r="BT569" s="74"/>
      <c r="BU569" s="73"/>
      <c r="BV569" s="73"/>
      <c r="BW569" s="73"/>
      <c r="BX569" s="73"/>
      <c r="BY569" s="73"/>
      <c r="BZ569" s="73"/>
      <c r="CA569" s="73"/>
      <c r="CB569" s="73"/>
      <c r="CC569" s="73"/>
      <c r="CD569" s="73"/>
      <c r="CE569" s="73"/>
    </row>
    <row r="570">
      <c r="A570" s="131"/>
      <c r="B570" s="73"/>
      <c r="C570" s="73"/>
      <c r="D570" s="74"/>
      <c r="E570" s="73"/>
      <c r="F570" s="73"/>
      <c r="G570" s="73"/>
      <c r="H570" s="73"/>
      <c r="I570" s="73"/>
      <c r="J570" s="73"/>
      <c r="K570" s="92"/>
      <c r="L570" s="73"/>
      <c r="M570" s="73"/>
      <c r="N570" s="73"/>
      <c r="O570" s="73"/>
      <c r="P570" s="73"/>
      <c r="Q570" s="75"/>
      <c r="R570" s="82"/>
      <c r="S570" s="73"/>
      <c r="T570" s="73"/>
      <c r="U570" s="73"/>
      <c r="V570" s="73"/>
      <c r="W570" s="73"/>
      <c r="X570" s="73"/>
      <c r="Y570" s="77"/>
      <c r="Z570" s="104"/>
      <c r="AA570" s="73"/>
      <c r="AB570" s="104"/>
      <c r="AC570" s="104"/>
      <c r="AD570" s="74"/>
      <c r="AE570" s="106"/>
      <c r="AF570" s="195"/>
      <c r="AG570" s="80"/>
      <c r="AH570" s="104"/>
      <c r="AI570" s="73"/>
      <c r="AJ570" s="114"/>
      <c r="AK570" s="106"/>
      <c r="AL570" s="74"/>
      <c r="AM570" s="73"/>
      <c r="AN570" s="73"/>
      <c r="AO570" s="102"/>
      <c r="AP570" s="73"/>
      <c r="AQ570" s="73"/>
      <c r="AR570" s="74"/>
      <c r="AS570" s="73"/>
      <c r="AT570" s="73"/>
      <c r="AU570" s="73"/>
      <c r="AV570" s="73"/>
      <c r="AW570" s="73"/>
      <c r="AX570" s="74"/>
      <c r="AY570" s="73"/>
      <c r="AZ570" s="73"/>
      <c r="BA570" s="74"/>
      <c r="BB570" s="73"/>
      <c r="BC570" s="73"/>
      <c r="BD570" s="73"/>
      <c r="BE570" s="73"/>
      <c r="BF570" s="73"/>
      <c r="BG570" s="73"/>
      <c r="BH570" s="73"/>
      <c r="BI570" s="73"/>
      <c r="BJ570" s="73"/>
      <c r="BK570" s="73"/>
      <c r="BL570" s="73"/>
      <c r="BM570" s="73"/>
      <c r="BN570" s="73"/>
      <c r="BO570" s="73"/>
      <c r="BP570" s="73"/>
      <c r="BQ570" s="73"/>
      <c r="BR570" s="73"/>
      <c r="BS570" s="73"/>
      <c r="BT570" s="74"/>
      <c r="BU570" s="73"/>
      <c r="BV570" s="73"/>
      <c r="BW570" s="73"/>
      <c r="BX570" s="73"/>
      <c r="BY570" s="73"/>
      <c r="BZ570" s="73"/>
      <c r="CA570" s="73"/>
      <c r="CB570" s="73"/>
      <c r="CC570" s="73"/>
      <c r="CD570" s="73"/>
      <c r="CE570" s="73"/>
    </row>
    <row r="571">
      <c r="A571" s="131"/>
      <c r="B571" s="73"/>
      <c r="C571" s="73"/>
      <c r="D571" s="74"/>
      <c r="E571" s="73"/>
      <c r="F571" s="73"/>
      <c r="G571" s="73"/>
      <c r="H571" s="73"/>
      <c r="I571" s="73"/>
      <c r="J571" s="73"/>
      <c r="K571" s="92"/>
      <c r="L571" s="73"/>
      <c r="M571" s="73"/>
      <c r="N571" s="73"/>
      <c r="O571" s="73"/>
      <c r="P571" s="73"/>
      <c r="Q571" s="75"/>
      <c r="R571" s="82"/>
      <c r="S571" s="73"/>
      <c r="T571" s="73"/>
      <c r="U571" s="73"/>
      <c r="V571" s="73"/>
      <c r="W571" s="73"/>
      <c r="X571" s="73"/>
      <c r="Y571" s="77"/>
      <c r="Z571" s="104"/>
      <c r="AA571" s="73"/>
      <c r="AB571" s="104"/>
      <c r="AC571" s="104"/>
      <c r="AD571" s="74"/>
      <c r="AE571" s="106"/>
      <c r="AF571" s="195"/>
      <c r="AG571" s="80"/>
      <c r="AH571" s="104"/>
      <c r="AI571" s="73"/>
      <c r="AJ571" s="114"/>
      <c r="AK571" s="106"/>
      <c r="AL571" s="74"/>
      <c r="AM571" s="73"/>
      <c r="AN571" s="73"/>
      <c r="AO571" s="102"/>
      <c r="AP571" s="73"/>
      <c r="AQ571" s="73"/>
      <c r="AR571" s="74"/>
      <c r="AS571" s="73"/>
      <c r="AT571" s="73"/>
      <c r="AU571" s="73"/>
      <c r="AV571" s="73"/>
      <c r="AW571" s="73"/>
      <c r="AX571" s="74"/>
      <c r="AY571" s="73"/>
      <c r="AZ571" s="73"/>
      <c r="BA571" s="74"/>
      <c r="BB571" s="73"/>
      <c r="BC571" s="73"/>
      <c r="BD571" s="73"/>
      <c r="BE571" s="73"/>
      <c r="BF571" s="73"/>
      <c r="BG571" s="73"/>
      <c r="BH571" s="73"/>
      <c r="BI571" s="73"/>
      <c r="BJ571" s="73"/>
      <c r="BK571" s="73"/>
      <c r="BL571" s="73"/>
      <c r="BM571" s="73"/>
      <c r="BN571" s="73"/>
      <c r="BO571" s="73"/>
      <c r="BP571" s="73"/>
      <c r="BQ571" s="73"/>
      <c r="BR571" s="73"/>
      <c r="BS571" s="73"/>
      <c r="BT571" s="74"/>
      <c r="BU571" s="73"/>
      <c r="BV571" s="73"/>
      <c r="BW571" s="73"/>
      <c r="BX571" s="73"/>
      <c r="BY571" s="73"/>
      <c r="BZ571" s="73"/>
      <c r="CA571" s="73"/>
      <c r="CB571" s="73"/>
      <c r="CC571" s="73"/>
      <c r="CD571" s="73"/>
      <c r="CE571" s="73"/>
    </row>
    <row r="572">
      <c r="A572" s="131"/>
      <c r="B572" s="73"/>
      <c r="C572" s="73"/>
      <c r="D572" s="74"/>
      <c r="E572" s="73"/>
      <c r="F572" s="73"/>
      <c r="G572" s="73"/>
      <c r="H572" s="73"/>
      <c r="I572" s="73"/>
      <c r="J572" s="73"/>
      <c r="K572" s="92"/>
      <c r="L572" s="73"/>
      <c r="M572" s="73"/>
      <c r="N572" s="73"/>
      <c r="O572" s="73"/>
      <c r="P572" s="73"/>
      <c r="Q572" s="75"/>
      <c r="R572" s="82"/>
      <c r="S572" s="73"/>
      <c r="T572" s="73"/>
      <c r="U572" s="73"/>
      <c r="V572" s="73"/>
      <c r="W572" s="73"/>
      <c r="X572" s="73"/>
      <c r="Y572" s="77"/>
      <c r="Z572" s="104"/>
      <c r="AA572" s="73"/>
      <c r="AB572" s="104"/>
      <c r="AC572" s="104"/>
      <c r="AD572" s="74"/>
      <c r="AE572" s="106"/>
      <c r="AF572" s="195"/>
      <c r="AG572" s="80"/>
      <c r="AH572" s="104"/>
      <c r="AI572" s="73"/>
      <c r="AJ572" s="114"/>
      <c r="AK572" s="106"/>
      <c r="AL572" s="74"/>
      <c r="AM572" s="73"/>
      <c r="AN572" s="73"/>
      <c r="AO572" s="102"/>
      <c r="AP572" s="73"/>
      <c r="AQ572" s="73"/>
      <c r="AR572" s="74"/>
      <c r="AS572" s="73"/>
      <c r="AT572" s="73"/>
      <c r="AU572" s="73"/>
      <c r="AV572" s="73"/>
      <c r="AW572" s="73"/>
      <c r="AX572" s="74"/>
      <c r="AY572" s="73"/>
      <c r="AZ572" s="73"/>
      <c r="BA572" s="74"/>
      <c r="BB572" s="73"/>
      <c r="BC572" s="73"/>
      <c r="BD572" s="73"/>
      <c r="BE572" s="73"/>
      <c r="BF572" s="73"/>
      <c r="BG572" s="73"/>
      <c r="BH572" s="73"/>
      <c r="BI572" s="73"/>
      <c r="BJ572" s="73"/>
      <c r="BK572" s="73"/>
      <c r="BL572" s="73"/>
      <c r="BM572" s="73"/>
      <c r="BN572" s="73"/>
      <c r="BO572" s="73"/>
      <c r="BP572" s="73"/>
      <c r="BQ572" s="73"/>
      <c r="BR572" s="73"/>
      <c r="BS572" s="73"/>
      <c r="BT572" s="74"/>
      <c r="BU572" s="73"/>
      <c r="BV572" s="73"/>
      <c r="BW572" s="73"/>
      <c r="BX572" s="73"/>
      <c r="BY572" s="73"/>
      <c r="BZ572" s="73"/>
      <c r="CA572" s="73"/>
      <c r="CB572" s="73"/>
      <c r="CC572" s="73"/>
      <c r="CD572" s="73"/>
      <c r="CE572" s="73"/>
    </row>
    <row r="573">
      <c r="A573" s="131"/>
      <c r="B573" s="73"/>
      <c r="C573" s="73"/>
      <c r="D573" s="74"/>
      <c r="E573" s="73"/>
      <c r="F573" s="73"/>
      <c r="G573" s="73"/>
      <c r="H573" s="73"/>
      <c r="I573" s="73"/>
      <c r="J573" s="73"/>
      <c r="K573" s="92"/>
      <c r="L573" s="73"/>
      <c r="M573" s="73"/>
      <c r="N573" s="73"/>
      <c r="O573" s="73"/>
      <c r="P573" s="73"/>
      <c r="Q573" s="75"/>
      <c r="R573" s="82"/>
      <c r="S573" s="73"/>
      <c r="T573" s="73"/>
      <c r="U573" s="73"/>
      <c r="V573" s="73"/>
      <c r="W573" s="73"/>
      <c r="X573" s="73"/>
      <c r="Y573" s="77"/>
      <c r="Z573" s="104"/>
      <c r="AA573" s="73"/>
      <c r="AB573" s="104"/>
      <c r="AC573" s="104"/>
      <c r="AD573" s="74"/>
      <c r="AE573" s="106"/>
      <c r="AF573" s="195"/>
      <c r="AG573" s="80"/>
      <c r="AH573" s="104"/>
      <c r="AI573" s="73"/>
      <c r="AJ573" s="114"/>
      <c r="AK573" s="106"/>
      <c r="AL573" s="74"/>
      <c r="AM573" s="73"/>
      <c r="AN573" s="73"/>
      <c r="AO573" s="102"/>
      <c r="AP573" s="73"/>
      <c r="AQ573" s="73"/>
      <c r="AR573" s="74"/>
      <c r="AS573" s="73"/>
      <c r="AT573" s="73"/>
      <c r="AU573" s="73"/>
      <c r="AV573" s="73"/>
      <c r="AW573" s="73"/>
      <c r="AX573" s="74"/>
      <c r="AY573" s="73"/>
      <c r="AZ573" s="73"/>
      <c r="BA573" s="74"/>
      <c r="BB573" s="73"/>
      <c r="BC573" s="73"/>
      <c r="BD573" s="73"/>
      <c r="BE573" s="73"/>
      <c r="BF573" s="73"/>
      <c r="BG573" s="73"/>
      <c r="BH573" s="73"/>
      <c r="BI573" s="73"/>
      <c r="BJ573" s="73"/>
      <c r="BK573" s="73"/>
      <c r="BL573" s="73"/>
      <c r="BM573" s="73"/>
      <c r="BN573" s="73"/>
      <c r="BO573" s="73"/>
      <c r="BP573" s="73"/>
      <c r="BQ573" s="73"/>
      <c r="BR573" s="73"/>
      <c r="BS573" s="73"/>
      <c r="BT573" s="74"/>
      <c r="BU573" s="73"/>
      <c r="BV573" s="73"/>
      <c r="BW573" s="73"/>
      <c r="BX573" s="73"/>
      <c r="BY573" s="73"/>
      <c r="BZ573" s="73"/>
      <c r="CA573" s="73"/>
      <c r="CB573" s="73"/>
      <c r="CC573" s="73"/>
      <c r="CD573" s="73"/>
      <c r="CE573" s="73"/>
    </row>
    <row r="574">
      <c r="A574" s="131"/>
      <c r="B574" s="73"/>
      <c r="C574" s="73"/>
      <c r="D574" s="74"/>
      <c r="E574" s="73"/>
      <c r="F574" s="73"/>
      <c r="G574" s="73"/>
      <c r="H574" s="73"/>
      <c r="I574" s="73"/>
      <c r="J574" s="73"/>
      <c r="K574" s="92"/>
      <c r="L574" s="73"/>
      <c r="M574" s="73"/>
      <c r="N574" s="73"/>
      <c r="O574" s="73"/>
      <c r="P574" s="73"/>
      <c r="Q574" s="75"/>
      <c r="R574" s="82"/>
      <c r="S574" s="73"/>
      <c r="T574" s="73"/>
      <c r="U574" s="73"/>
      <c r="V574" s="73"/>
      <c r="W574" s="73"/>
      <c r="X574" s="73"/>
      <c r="Y574" s="77"/>
      <c r="Z574" s="104"/>
      <c r="AA574" s="73"/>
      <c r="AB574" s="104"/>
      <c r="AC574" s="104"/>
      <c r="AD574" s="74"/>
      <c r="AE574" s="106"/>
      <c r="AF574" s="195"/>
      <c r="AG574" s="80"/>
      <c r="AH574" s="104"/>
      <c r="AI574" s="73"/>
      <c r="AJ574" s="114"/>
      <c r="AK574" s="106"/>
      <c r="AL574" s="74"/>
      <c r="AM574" s="73"/>
      <c r="AN574" s="73"/>
      <c r="AO574" s="102"/>
      <c r="AP574" s="73"/>
      <c r="AQ574" s="73"/>
      <c r="AR574" s="74"/>
      <c r="AS574" s="73"/>
      <c r="AT574" s="73"/>
      <c r="AU574" s="73"/>
      <c r="AV574" s="73"/>
      <c r="AW574" s="73"/>
      <c r="AX574" s="74"/>
      <c r="AY574" s="73"/>
      <c r="AZ574" s="73"/>
      <c r="BA574" s="74"/>
      <c r="BB574" s="73"/>
      <c r="BC574" s="73"/>
      <c r="BD574" s="73"/>
      <c r="BE574" s="73"/>
      <c r="BF574" s="73"/>
      <c r="BG574" s="73"/>
      <c r="BH574" s="73"/>
      <c r="BI574" s="73"/>
      <c r="BJ574" s="73"/>
      <c r="BK574" s="73"/>
      <c r="BL574" s="73"/>
      <c r="BM574" s="73"/>
      <c r="BN574" s="73"/>
      <c r="BO574" s="73"/>
      <c r="BP574" s="73"/>
      <c r="BQ574" s="73"/>
      <c r="BR574" s="73"/>
      <c r="BS574" s="73"/>
      <c r="BT574" s="74"/>
      <c r="BU574" s="73"/>
      <c r="BV574" s="73"/>
      <c r="BW574" s="73"/>
      <c r="BX574" s="73"/>
      <c r="BY574" s="73"/>
      <c r="BZ574" s="73"/>
      <c r="CA574" s="73"/>
      <c r="CB574" s="73"/>
      <c r="CC574" s="73"/>
      <c r="CD574" s="73"/>
      <c r="CE574" s="73"/>
    </row>
    <row r="575">
      <c r="A575" s="73"/>
      <c r="B575" s="73"/>
      <c r="C575" s="73"/>
      <c r="D575" s="74"/>
      <c r="E575" s="73"/>
      <c r="F575" s="73"/>
      <c r="G575" s="73"/>
      <c r="H575" s="73"/>
      <c r="I575" s="73"/>
      <c r="J575" s="73"/>
      <c r="K575" s="92"/>
      <c r="L575" s="73"/>
      <c r="M575" s="73"/>
      <c r="N575" s="73"/>
      <c r="O575" s="73"/>
      <c r="P575" s="73"/>
      <c r="Q575" s="75"/>
      <c r="R575" s="82"/>
      <c r="S575" s="73"/>
      <c r="T575" s="73"/>
      <c r="U575" s="73"/>
      <c r="V575" s="73"/>
      <c r="W575" s="73"/>
      <c r="X575" s="73"/>
      <c r="Y575" s="77"/>
      <c r="Z575" s="104"/>
      <c r="AA575" s="73"/>
      <c r="AB575" s="104"/>
      <c r="AC575" s="104"/>
      <c r="AD575" s="74"/>
      <c r="AE575" s="106"/>
      <c r="AF575" s="195"/>
      <c r="AG575" s="80"/>
      <c r="AH575" s="104"/>
      <c r="AI575" s="73"/>
      <c r="AJ575" s="114"/>
      <c r="AK575" s="106"/>
      <c r="AL575" s="74"/>
      <c r="AM575" s="73"/>
      <c r="AN575" s="73"/>
      <c r="AO575" s="102"/>
      <c r="AP575" s="73"/>
      <c r="AQ575" s="73"/>
      <c r="AR575" s="74"/>
      <c r="AS575" s="73"/>
      <c r="AT575" s="73"/>
      <c r="AU575" s="73"/>
      <c r="AV575" s="73"/>
      <c r="AW575" s="73"/>
      <c r="AX575" s="74"/>
      <c r="AY575" s="73"/>
      <c r="AZ575" s="73"/>
      <c r="BA575" s="74"/>
      <c r="BB575" s="73"/>
      <c r="BC575" s="73"/>
      <c r="BD575" s="73"/>
      <c r="BE575" s="73"/>
      <c r="BF575" s="73"/>
      <c r="BG575" s="73"/>
      <c r="BH575" s="73"/>
      <c r="BI575" s="73"/>
      <c r="BJ575" s="73"/>
      <c r="BK575" s="73"/>
      <c r="BL575" s="73"/>
      <c r="BM575" s="73"/>
      <c r="BN575" s="73"/>
      <c r="BO575" s="73"/>
      <c r="BP575" s="73"/>
      <c r="BQ575" s="73"/>
      <c r="BR575" s="73"/>
      <c r="BS575" s="73"/>
      <c r="BT575" s="74"/>
      <c r="BU575" s="73"/>
      <c r="BV575" s="73"/>
      <c r="BW575" s="73"/>
      <c r="BX575" s="73"/>
      <c r="BY575" s="73"/>
      <c r="BZ575" s="73"/>
      <c r="CA575" s="73"/>
      <c r="CB575" s="73"/>
      <c r="CC575" s="73"/>
      <c r="CD575" s="73"/>
      <c r="CE575" s="73"/>
    </row>
    <row r="576">
      <c r="A576" s="73"/>
      <c r="B576" s="73"/>
      <c r="C576" s="73"/>
      <c r="D576" s="74"/>
      <c r="E576" s="73"/>
      <c r="F576" s="73"/>
      <c r="G576" s="73"/>
      <c r="H576" s="73"/>
      <c r="I576" s="73"/>
      <c r="J576" s="73"/>
      <c r="K576" s="92"/>
      <c r="L576" s="73"/>
      <c r="M576" s="73"/>
      <c r="N576" s="73"/>
      <c r="O576" s="73"/>
      <c r="P576" s="73"/>
      <c r="Q576" s="75"/>
      <c r="R576" s="82"/>
      <c r="S576" s="73"/>
      <c r="T576" s="73"/>
      <c r="U576" s="73"/>
      <c r="V576" s="73"/>
      <c r="W576" s="73"/>
      <c r="X576" s="73"/>
      <c r="Y576" s="77"/>
      <c r="Z576" s="104"/>
      <c r="AA576" s="73"/>
      <c r="AB576" s="104"/>
      <c r="AC576" s="104"/>
      <c r="AD576" s="74"/>
      <c r="AE576" s="106"/>
      <c r="AF576" s="195"/>
      <c r="AG576" s="80"/>
      <c r="AH576" s="104"/>
      <c r="AI576" s="73"/>
      <c r="AJ576" s="114"/>
      <c r="AK576" s="106"/>
      <c r="AL576" s="74"/>
      <c r="AM576" s="73"/>
      <c r="AN576" s="73"/>
      <c r="AO576" s="102"/>
      <c r="AP576" s="73"/>
      <c r="AQ576" s="73"/>
      <c r="AR576" s="74"/>
      <c r="AS576" s="73"/>
      <c r="AT576" s="73"/>
      <c r="AU576" s="73"/>
      <c r="AV576" s="73"/>
      <c r="AW576" s="73"/>
      <c r="AX576" s="74"/>
      <c r="AY576" s="73"/>
      <c r="AZ576" s="73"/>
      <c r="BA576" s="74"/>
      <c r="BB576" s="73"/>
      <c r="BC576" s="73"/>
      <c r="BD576" s="73"/>
      <c r="BE576" s="73"/>
      <c r="BF576" s="73"/>
      <c r="BG576" s="73"/>
      <c r="BH576" s="73"/>
      <c r="BI576" s="73"/>
      <c r="BJ576" s="73"/>
      <c r="BK576" s="73"/>
      <c r="BL576" s="73"/>
      <c r="BM576" s="73"/>
      <c r="BN576" s="73"/>
      <c r="BO576" s="73"/>
      <c r="BP576" s="73"/>
      <c r="BQ576" s="73"/>
      <c r="BR576" s="73"/>
      <c r="BS576" s="73"/>
      <c r="BT576" s="74"/>
      <c r="BU576" s="73"/>
      <c r="BV576" s="73"/>
      <c r="BW576" s="73"/>
      <c r="BX576" s="73"/>
      <c r="BY576" s="73"/>
      <c r="BZ576" s="73"/>
      <c r="CA576" s="73"/>
      <c r="CB576" s="73"/>
      <c r="CC576" s="73"/>
      <c r="CD576" s="73"/>
      <c r="CE576" s="73"/>
    </row>
    <row r="577">
      <c r="A577" s="73"/>
      <c r="B577" s="73"/>
      <c r="C577" s="73"/>
      <c r="D577" s="74"/>
      <c r="E577" s="73"/>
      <c r="F577" s="73"/>
      <c r="G577" s="73"/>
      <c r="H577" s="73"/>
      <c r="I577" s="73"/>
      <c r="J577" s="73"/>
      <c r="K577" s="92"/>
      <c r="L577" s="73"/>
      <c r="M577" s="73"/>
      <c r="N577" s="73"/>
      <c r="O577" s="73"/>
      <c r="P577" s="73"/>
      <c r="Q577" s="75"/>
      <c r="R577" s="82"/>
      <c r="S577" s="73"/>
      <c r="T577" s="73"/>
      <c r="U577" s="73"/>
      <c r="V577" s="73"/>
      <c r="W577" s="73"/>
      <c r="X577" s="73"/>
      <c r="Y577" s="77"/>
      <c r="Z577" s="104"/>
      <c r="AA577" s="73"/>
      <c r="AB577" s="104"/>
      <c r="AC577" s="104"/>
      <c r="AD577" s="74"/>
      <c r="AE577" s="106"/>
      <c r="AF577" s="195"/>
      <c r="AG577" s="80"/>
      <c r="AH577" s="104"/>
      <c r="AI577" s="73"/>
      <c r="AJ577" s="114"/>
      <c r="AK577" s="106"/>
      <c r="AL577" s="74"/>
      <c r="AM577" s="73"/>
      <c r="AN577" s="73"/>
      <c r="AO577" s="102"/>
      <c r="AP577" s="73"/>
      <c r="AQ577" s="73"/>
      <c r="AR577" s="74"/>
      <c r="AS577" s="73"/>
      <c r="AT577" s="73"/>
      <c r="AU577" s="73"/>
      <c r="AV577" s="73"/>
      <c r="AW577" s="73"/>
      <c r="AX577" s="74"/>
      <c r="AY577" s="73"/>
      <c r="AZ577" s="73"/>
      <c r="BA577" s="74"/>
      <c r="BB577" s="73"/>
      <c r="BC577" s="73"/>
      <c r="BD577" s="73"/>
      <c r="BE577" s="73"/>
      <c r="BF577" s="73"/>
      <c r="BG577" s="73"/>
      <c r="BH577" s="73"/>
      <c r="BI577" s="73"/>
      <c r="BJ577" s="73"/>
      <c r="BK577" s="73"/>
      <c r="BL577" s="73"/>
      <c r="BM577" s="73"/>
      <c r="BN577" s="73"/>
      <c r="BO577" s="73"/>
      <c r="BP577" s="73"/>
      <c r="BQ577" s="73"/>
      <c r="BR577" s="73"/>
      <c r="BS577" s="73"/>
      <c r="BT577" s="74"/>
      <c r="BU577" s="73"/>
      <c r="BV577" s="73"/>
      <c r="BW577" s="73"/>
      <c r="BX577" s="73"/>
      <c r="BY577" s="73"/>
      <c r="BZ577" s="73"/>
      <c r="CA577" s="73"/>
      <c r="CB577" s="73"/>
      <c r="CC577" s="73"/>
      <c r="CD577" s="73"/>
      <c r="CE577" s="73"/>
    </row>
    <row r="578">
      <c r="A578" s="73"/>
      <c r="B578" s="73"/>
      <c r="C578" s="73"/>
      <c r="D578" s="74"/>
      <c r="E578" s="73"/>
      <c r="F578" s="73"/>
      <c r="G578" s="73"/>
      <c r="H578" s="73"/>
      <c r="I578" s="73"/>
      <c r="J578" s="73"/>
      <c r="K578" s="92"/>
      <c r="L578" s="73"/>
      <c r="M578" s="73"/>
      <c r="N578" s="73"/>
      <c r="O578" s="73"/>
      <c r="P578" s="73"/>
      <c r="Q578" s="75"/>
      <c r="R578" s="82"/>
      <c r="S578" s="73"/>
      <c r="T578" s="73"/>
      <c r="U578" s="73"/>
      <c r="V578" s="73"/>
      <c r="W578" s="73"/>
      <c r="X578" s="73"/>
      <c r="Y578" s="77"/>
      <c r="Z578" s="104"/>
      <c r="AA578" s="73"/>
      <c r="AB578" s="104"/>
      <c r="AC578" s="104"/>
      <c r="AD578" s="74"/>
      <c r="AE578" s="106"/>
      <c r="AF578" s="195"/>
      <c r="AG578" s="80"/>
      <c r="AH578" s="104"/>
      <c r="AI578" s="73"/>
      <c r="AJ578" s="114"/>
      <c r="AK578" s="106"/>
      <c r="AL578" s="74"/>
      <c r="AM578" s="73"/>
      <c r="AN578" s="73"/>
      <c r="AO578" s="102"/>
      <c r="AP578" s="73"/>
      <c r="AQ578" s="73"/>
      <c r="AR578" s="74"/>
      <c r="AS578" s="73"/>
      <c r="AT578" s="73"/>
      <c r="AU578" s="73"/>
      <c r="AV578" s="73"/>
      <c r="AW578" s="73"/>
      <c r="AX578" s="74"/>
      <c r="AY578" s="73"/>
      <c r="AZ578" s="73"/>
      <c r="BA578" s="74"/>
      <c r="BB578" s="73"/>
      <c r="BC578" s="73"/>
      <c r="BD578" s="73"/>
      <c r="BE578" s="73"/>
      <c r="BF578" s="73"/>
      <c r="BG578" s="73"/>
      <c r="BH578" s="73"/>
      <c r="BI578" s="73"/>
      <c r="BJ578" s="73"/>
      <c r="BK578" s="73"/>
      <c r="BL578" s="73"/>
      <c r="BM578" s="73"/>
      <c r="BN578" s="73"/>
      <c r="BO578" s="73"/>
      <c r="BP578" s="73"/>
      <c r="BQ578" s="73"/>
      <c r="BR578" s="73"/>
      <c r="BS578" s="73"/>
      <c r="BT578" s="74"/>
      <c r="BU578" s="73"/>
      <c r="BV578" s="73"/>
      <c r="BW578" s="73"/>
      <c r="BX578" s="73"/>
      <c r="BY578" s="73"/>
      <c r="BZ578" s="73"/>
      <c r="CA578" s="73"/>
      <c r="CB578" s="73"/>
      <c r="CC578" s="73"/>
      <c r="CD578" s="73"/>
      <c r="CE578" s="73"/>
    </row>
    <row r="579">
      <c r="A579" s="73"/>
      <c r="B579" s="73"/>
      <c r="C579" s="73"/>
      <c r="D579" s="74"/>
      <c r="E579" s="73"/>
      <c r="F579" s="73"/>
      <c r="G579" s="73"/>
      <c r="H579" s="73"/>
      <c r="I579" s="73"/>
      <c r="J579" s="73"/>
      <c r="K579" s="92"/>
      <c r="L579" s="73"/>
      <c r="M579" s="73"/>
      <c r="N579" s="73"/>
      <c r="O579" s="73"/>
      <c r="P579" s="73"/>
      <c r="Q579" s="75"/>
      <c r="R579" s="82"/>
      <c r="S579" s="73"/>
      <c r="T579" s="73"/>
      <c r="U579" s="73"/>
      <c r="V579" s="73"/>
      <c r="W579" s="73"/>
      <c r="X579" s="73"/>
      <c r="Y579" s="77"/>
      <c r="Z579" s="104"/>
      <c r="AA579" s="73"/>
      <c r="AB579" s="104"/>
      <c r="AC579" s="104"/>
      <c r="AD579" s="74"/>
      <c r="AE579" s="106"/>
      <c r="AF579" s="195"/>
      <c r="AG579" s="80"/>
      <c r="AH579" s="104"/>
      <c r="AI579" s="73"/>
      <c r="AJ579" s="114"/>
      <c r="AK579" s="106"/>
      <c r="AL579" s="74"/>
      <c r="AM579" s="73"/>
      <c r="AN579" s="73"/>
      <c r="AO579" s="102"/>
      <c r="AP579" s="73"/>
      <c r="AQ579" s="73"/>
      <c r="AR579" s="74"/>
      <c r="AS579" s="73"/>
      <c r="AT579" s="73"/>
      <c r="AU579" s="73"/>
      <c r="AV579" s="73"/>
      <c r="AW579" s="73"/>
      <c r="AX579" s="74"/>
      <c r="AY579" s="73"/>
      <c r="AZ579" s="73"/>
      <c r="BA579" s="74"/>
      <c r="BB579" s="73"/>
      <c r="BC579" s="73"/>
      <c r="BD579" s="73"/>
      <c r="BE579" s="73"/>
      <c r="BF579" s="73"/>
      <c r="BG579" s="73"/>
      <c r="BH579" s="73"/>
      <c r="BI579" s="73"/>
      <c r="BJ579" s="73"/>
      <c r="BK579" s="73"/>
      <c r="BL579" s="73"/>
      <c r="BM579" s="73"/>
      <c r="BN579" s="73"/>
      <c r="BO579" s="73"/>
      <c r="BP579" s="73"/>
      <c r="BQ579" s="73"/>
      <c r="BR579" s="73"/>
      <c r="BS579" s="73"/>
      <c r="BT579" s="74"/>
      <c r="BU579" s="73"/>
      <c r="BV579" s="73"/>
      <c r="BW579" s="73"/>
      <c r="BX579" s="73"/>
      <c r="BY579" s="73"/>
      <c r="BZ579" s="73"/>
      <c r="CA579" s="73"/>
      <c r="CB579" s="73"/>
      <c r="CC579" s="73"/>
      <c r="CD579" s="73"/>
      <c r="CE579" s="73"/>
    </row>
    <row r="580">
      <c r="A580" s="73"/>
      <c r="B580" s="73"/>
      <c r="C580" s="73"/>
      <c r="D580" s="74"/>
      <c r="E580" s="73"/>
      <c r="F580" s="73"/>
      <c r="G580" s="73"/>
      <c r="H580" s="73"/>
      <c r="I580" s="73"/>
      <c r="J580" s="73"/>
      <c r="K580" s="92"/>
      <c r="L580" s="73"/>
      <c r="M580" s="73"/>
      <c r="N580" s="73"/>
      <c r="O580" s="73"/>
      <c r="P580" s="73"/>
      <c r="Q580" s="75"/>
      <c r="R580" s="82"/>
      <c r="S580" s="73"/>
      <c r="T580" s="73"/>
      <c r="U580" s="73"/>
      <c r="V580" s="73"/>
      <c r="W580" s="73"/>
      <c r="X580" s="73"/>
      <c r="Y580" s="77"/>
      <c r="Z580" s="104"/>
      <c r="AA580" s="73"/>
      <c r="AB580" s="104"/>
      <c r="AC580" s="104"/>
      <c r="AD580" s="74"/>
      <c r="AE580" s="106"/>
      <c r="AF580" s="195"/>
      <c r="AG580" s="80"/>
      <c r="AH580" s="104"/>
      <c r="AI580" s="73"/>
      <c r="AJ580" s="114"/>
      <c r="AK580" s="106"/>
      <c r="AL580" s="74"/>
      <c r="AM580" s="73"/>
      <c r="AN580" s="73"/>
      <c r="AO580" s="102"/>
      <c r="AP580" s="73"/>
      <c r="AQ580" s="73"/>
      <c r="AR580" s="74"/>
      <c r="AS580" s="73"/>
      <c r="AT580" s="73"/>
      <c r="AU580" s="73"/>
      <c r="AV580" s="73"/>
      <c r="AW580" s="73"/>
      <c r="AX580" s="74"/>
      <c r="AY580" s="73"/>
      <c r="AZ580" s="73"/>
      <c r="BA580" s="74"/>
      <c r="BB580" s="73"/>
      <c r="BC580" s="73"/>
      <c r="BD580" s="73"/>
      <c r="BE580" s="73"/>
      <c r="BF580" s="73"/>
      <c r="BG580" s="73"/>
      <c r="BH580" s="73"/>
      <c r="BI580" s="73"/>
      <c r="BJ580" s="73"/>
      <c r="BK580" s="73"/>
      <c r="BL580" s="73"/>
      <c r="BM580" s="73"/>
      <c r="BN580" s="73"/>
      <c r="BO580" s="73"/>
      <c r="BP580" s="73"/>
      <c r="BQ580" s="73"/>
      <c r="BR580" s="73"/>
      <c r="BS580" s="73"/>
      <c r="BT580" s="74"/>
      <c r="BU580" s="73"/>
      <c r="BV580" s="73"/>
      <c r="BW580" s="73"/>
      <c r="BX580" s="73"/>
      <c r="BY580" s="73"/>
      <c r="BZ580" s="73"/>
      <c r="CA580" s="73"/>
      <c r="CB580" s="73"/>
      <c r="CC580" s="73"/>
      <c r="CD580" s="73"/>
      <c r="CE580" s="73"/>
    </row>
    <row r="581">
      <c r="A581" s="73"/>
      <c r="B581" s="73"/>
      <c r="C581" s="73"/>
      <c r="D581" s="74"/>
      <c r="E581" s="73"/>
      <c r="F581" s="73"/>
      <c r="G581" s="73"/>
      <c r="H581" s="73"/>
      <c r="I581" s="73"/>
      <c r="J581" s="73"/>
      <c r="K581" s="92"/>
      <c r="L581" s="73"/>
      <c r="M581" s="73"/>
      <c r="N581" s="73"/>
      <c r="O581" s="73"/>
      <c r="P581" s="73"/>
      <c r="Q581" s="75"/>
      <c r="R581" s="82"/>
      <c r="S581" s="73"/>
      <c r="T581" s="73"/>
      <c r="U581" s="73"/>
      <c r="V581" s="73"/>
      <c r="W581" s="73"/>
      <c r="X581" s="73"/>
      <c r="Y581" s="77"/>
      <c r="Z581" s="104"/>
      <c r="AA581" s="73"/>
      <c r="AB581" s="104"/>
      <c r="AC581" s="104"/>
      <c r="AD581" s="74"/>
      <c r="AE581" s="106"/>
      <c r="AF581" s="195"/>
      <c r="AG581" s="80"/>
      <c r="AH581" s="104"/>
      <c r="AI581" s="73"/>
      <c r="AJ581" s="114"/>
      <c r="AK581" s="106"/>
      <c r="AL581" s="74"/>
      <c r="AM581" s="73"/>
      <c r="AN581" s="73"/>
      <c r="AO581" s="102"/>
      <c r="AP581" s="73"/>
      <c r="AQ581" s="73"/>
      <c r="AR581" s="74"/>
      <c r="AS581" s="73"/>
      <c r="AT581" s="73"/>
      <c r="AU581" s="73"/>
      <c r="AV581" s="73"/>
      <c r="AW581" s="73"/>
      <c r="AX581" s="74"/>
      <c r="AY581" s="73"/>
      <c r="AZ581" s="73"/>
      <c r="BA581" s="74"/>
      <c r="BB581" s="73"/>
      <c r="BC581" s="73"/>
      <c r="BD581" s="73"/>
      <c r="BE581" s="73"/>
      <c r="BF581" s="73"/>
      <c r="BG581" s="73"/>
      <c r="BH581" s="73"/>
      <c r="BI581" s="73"/>
      <c r="BJ581" s="73"/>
      <c r="BK581" s="73"/>
      <c r="BL581" s="73"/>
      <c r="BM581" s="73"/>
      <c r="BN581" s="73"/>
      <c r="BO581" s="73"/>
      <c r="BP581" s="73"/>
      <c r="BQ581" s="73"/>
      <c r="BR581" s="73"/>
      <c r="BS581" s="73"/>
      <c r="BT581" s="74"/>
      <c r="BU581" s="73"/>
      <c r="BV581" s="73"/>
      <c r="BW581" s="73"/>
      <c r="BX581" s="73"/>
      <c r="BY581" s="73"/>
      <c r="BZ581" s="73"/>
      <c r="CA581" s="73"/>
      <c r="CB581" s="73"/>
      <c r="CC581" s="73"/>
      <c r="CD581" s="73"/>
      <c r="CE581" s="73"/>
    </row>
    <row r="582">
      <c r="A582" s="73"/>
      <c r="B582" s="73"/>
      <c r="C582" s="73"/>
      <c r="D582" s="74"/>
      <c r="E582" s="73"/>
      <c r="F582" s="73"/>
      <c r="G582" s="73"/>
      <c r="H582" s="73"/>
      <c r="I582" s="73"/>
      <c r="J582" s="73"/>
      <c r="K582" s="92"/>
      <c r="L582" s="73"/>
      <c r="M582" s="73"/>
      <c r="N582" s="73"/>
      <c r="O582" s="73"/>
      <c r="P582" s="73"/>
      <c r="Q582" s="75"/>
      <c r="R582" s="82"/>
      <c r="S582" s="73"/>
      <c r="T582" s="73"/>
      <c r="U582" s="73"/>
      <c r="V582" s="73"/>
      <c r="W582" s="73"/>
      <c r="X582" s="73"/>
      <c r="Y582" s="77"/>
      <c r="Z582" s="104"/>
      <c r="AA582" s="73"/>
      <c r="AB582" s="104"/>
      <c r="AC582" s="104"/>
      <c r="AD582" s="74"/>
      <c r="AE582" s="106"/>
      <c r="AF582" s="195"/>
      <c r="AG582" s="80"/>
      <c r="AH582" s="104"/>
      <c r="AI582" s="73"/>
      <c r="AJ582" s="114"/>
      <c r="AK582" s="106"/>
      <c r="AL582" s="74"/>
      <c r="AM582" s="73"/>
      <c r="AN582" s="73"/>
      <c r="AO582" s="102"/>
      <c r="AP582" s="73"/>
      <c r="AQ582" s="73"/>
      <c r="AR582" s="74"/>
      <c r="AS582" s="73"/>
      <c r="AT582" s="73"/>
      <c r="AU582" s="73"/>
      <c r="AV582" s="73"/>
      <c r="AW582" s="73"/>
      <c r="AX582" s="74"/>
      <c r="AY582" s="73"/>
      <c r="AZ582" s="73"/>
      <c r="BA582" s="74"/>
      <c r="BB582" s="73"/>
      <c r="BC582" s="73"/>
      <c r="BD582" s="73"/>
      <c r="BE582" s="73"/>
      <c r="BF582" s="73"/>
      <c r="BG582" s="73"/>
      <c r="BH582" s="73"/>
      <c r="BI582" s="73"/>
      <c r="BJ582" s="73"/>
      <c r="BK582" s="73"/>
      <c r="BL582" s="73"/>
      <c r="BM582" s="73"/>
      <c r="BN582" s="73"/>
      <c r="BO582" s="73"/>
      <c r="BP582" s="73"/>
      <c r="BQ582" s="73"/>
      <c r="BR582" s="73"/>
      <c r="BS582" s="73"/>
      <c r="BT582" s="74"/>
      <c r="BU582" s="73"/>
      <c r="BV582" s="73"/>
      <c r="BW582" s="73"/>
      <c r="BX582" s="73"/>
      <c r="BY582" s="73"/>
      <c r="BZ582" s="73"/>
      <c r="CA582" s="73"/>
      <c r="CB582" s="73"/>
      <c r="CC582" s="73"/>
      <c r="CD582" s="73"/>
      <c r="CE582" s="73"/>
    </row>
    <row r="583">
      <c r="A583" s="73"/>
      <c r="B583" s="73"/>
      <c r="C583" s="73"/>
      <c r="D583" s="74"/>
      <c r="E583" s="73"/>
      <c r="F583" s="73"/>
      <c r="G583" s="73"/>
      <c r="H583" s="73"/>
      <c r="I583" s="73"/>
      <c r="J583" s="73"/>
      <c r="K583" s="92"/>
      <c r="L583" s="73"/>
      <c r="M583" s="73"/>
      <c r="N583" s="73"/>
      <c r="O583" s="73"/>
      <c r="P583" s="73"/>
      <c r="Q583" s="75"/>
      <c r="R583" s="82"/>
      <c r="S583" s="73"/>
      <c r="T583" s="73"/>
      <c r="U583" s="73"/>
      <c r="V583" s="73"/>
      <c r="W583" s="73"/>
      <c r="X583" s="73"/>
      <c r="Y583" s="77"/>
      <c r="Z583" s="104"/>
      <c r="AA583" s="73"/>
      <c r="AB583" s="104"/>
      <c r="AC583" s="104"/>
      <c r="AD583" s="74"/>
      <c r="AE583" s="106"/>
      <c r="AF583" s="195"/>
      <c r="AG583" s="80"/>
      <c r="AH583" s="104"/>
      <c r="AI583" s="73"/>
      <c r="AJ583" s="114"/>
      <c r="AK583" s="106"/>
      <c r="AL583" s="74"/>
      <c r="AM583" s="73"/>
      <c r="AN583" s="73"/>
      <c r="AO583" s="102"/>
      <c r="AP583" s="73"/>
      <c r="AQ583" s="73"/>
      <c r="AR583" s="74"/>
      <c r="AS583" s="73"/>
      <c r="AT583" s="73"/>
      <c r="AU583" s="73"/>
      <c r="AV583" s="73"/>
      <c r="AW583" s="73"/>
      <c r="AX583" s="74"/>
      <c r="AY583" s="73"/>
      <c r="AZ583" s="73"/>
      <c r="BA583" s="74"/>
      <c r="BB583" s="73"/>
      <c r="BC583" s="73"/>
      <c r="BD583" s="73"/>
      <c r="BE583" s="73"/>
      <c r="BF583" s="73"/>
      <c r="BG583" s="73"/>
      <c r="BH583" s="73"/>
      <c r="BI583" s="73"/>
      <c r="BJ583" s="73"/>
      <c r="BK583" s="73"/>
      <c r="BL583" s="73"/>
      <c r="BM583" s="73"/>
      <c r="BN583" s="73"/>
      <c r="BO583" s="73"/>
      <c r="BP583" s="73"/>
      <c r="BQ583" s="73"/>
      <c r="BR583" s="73"/>
      <c r="BS583" s="73"/>
      <c r="BT583" s="74"/>
      <c r="BU583" s="73"/>
      <c r="BV583" s="73"/>
      <c r="BW583" s="73"/>
      <c r="BX583" s="73"/>
      <c r="BY583" s="73"/>
      <c r="BZ583" s="73"/>
      <c r="CA583" s="73"/>
      <c r="CB583" s="73"/>
      <c r="CC583" s="73"/>
      <c r="CD583" s="73"/>
      <c r="CE583" s="73"/>
    </row>
    <row r="584">
      <c r="A584" s="73"/>
      <c r="B584" s="73"/>
      <c r="C584" s="73"/>
      <c r="D584" s="74"/>
      <c r="E584" s="73"/>
      <c r="F584" s="73"/>
      <c r="G584" s="73"/>
      <c r="H584" s="73"/>
      <c r="I584" s="73"/>
      <c r="J584" s="73"/>
      <c r="K584" s="92"/>
      <c r="L584" s="73"/>
      <c r="M584" s="73"/>
      <c r="N584" s="73"/>
      <c r="O584" s="73"/>
      <c r="P584" s="73"/>
      <c r="Q584" s="75"/>
      <c r="R584" s="82"/>
      <c r="S584" s="73"/>
      <c r="T584" s="73"/>
      <c r="U584" s="73"/>
      <c r="V584" s="73"/>
      <c r="W584" s="73"/>
      <c r="X584" s="73"/>
      <c r="Y584" s="77"/>
      <c r="Z584" s="104"/>
      <c r="AA584" s="73"/>
      <c r="AB584" s="104"/>
      <c r="AC584" s="104"/>
      <c r="AD584" s="74"/>
      <c r="AE584" s="106"/>
      <c r="AF584" s="195"/>
      <c r="AG584" s="80"/>
      <c r="AH584" s="104"/>
      <c r="AI584" s="73"/>
      <c r="AJ584" s="114"/>
      <c r="AK584" s="106"/>
      <c r="AL584" s="74"/>
      <c r="AM584" s="73"/>
      <c r="AN584" s="73"/>
      <c r="AO584" s="102"/>
      <c r="AP584" s="73"/>
      <c r="AQ584" s="73"/>
      <c r="AR584" s="74"/>
      <c r="AS584" s="73"/>
      <c r="AT584" s="73"/>
      <c r="AU584" s="73"/>
      <c r="AV584" s="73"/>
      <c r="AW584" s="73"/>
      <c r="AX584" s="74"/>
      <c r="AY584" s="73"/>
      <c r="AZ584" s="73"/>
      <c r="BA584" s="74"/>
      <c r="BB584" s="73"/>
      <c r="BC584" s="73"/>
      <c r="BD584" s="73"/>
      <c r="BE584" s="73"/>
      <c r="BF584" s="73"/>
      <c r="BG584" s="73"/>
      <c r="BH584" s="73"/>
      <c r="BI584" s="73"/>
      <c r="BJ584" s="73"/>
      <c r="BK584" s="73"/>
      <c r="BL584" s="73"/>
      <c r="BM584" s="73"/>
      <c r="BN584" s="73"/>
      <c r="BO584" s="73"/>
      <c r="BP584" s="73"/>
      <c r="BQ584" s="73"/>
      <c r="BR584" s="73"/>
      <c r="BS584" s="73"/>
      <c r="BT584" s="74"/>
      <c r="BU584" s="73"/>
      <c r="BV584" s="73"/>
      <c r="BW584" s="73"/>
      <c r="BX584" s="73"/>
      <c r="BY584" s="73"/>
      <c r="BZ584" s="73"/>
      <c r="CA584" s="73"/>
      <c r="CB584" s="73"/>
      <c r="CC584" s="73"/>
      <c r="CD584" s="73"/>
      <c r="CE584" s="73"/>
    </row>
    <row r="585">
      <c r="A585" s="73"/>
      <c r="B585" s="73"/>
      <c r="C585" s="73"/>
      <c r="D585" s="74"/>
      <c r="E585" s="73"/>
      <c r="F585" s="73"/>
      <c r="G585" s="73"/>
      <c r="H585" s="73"/>
      <c r="I585" s="73"/>
      <c r="J585" s="73"/>
      <c r="K585" s="92"/>
      <c r="L585" s="73"/>
      <c r="M585" s="73"/>
      <c r="N585" s="73"/>
      <c r="O585" s="73"/>
      <c r="P585" s="73"/>
      <c r="Q585" s="75"/>
      <c r="R585" s="82"/>
      <c r="S585" s="73"/>
      <c r="T585" s="73"/>
      <c r="U585" s="73"/>
      <c r="V585" s="73"/>
      <c r="W585" s="73"/>
      <c r="X585" s="73"/>
      <c r="Y585" s="77"/>
      <c r="Z585" s="104"/>
      <c r="AA585" s="73"/>
      <c r="AB585" s="104"/>
      <c r="AC585" s="104"/>
      <c r="AD585" s="74"/>
      <c r="AE585" s="106"/>
      <c r="AF585" s="195"/>
      <c r="AG585" s="80"/>
      <c r="AH585" s="104"/>
      <c r="AI585" s="73"/>
      <c r="AJ585" s="114"/>
      <c r="AK585" s="106"/>
      <c r="AL585" s="74"/>
      <c r="AM585" s="73"/>
      <c r="AN585" s="73"/>
      <c r="AO585" s="102"/>
      <c r="AP585" s="73"/>
      <c r="AQ585" s="73"/>
      <c r="AR585" s="74"/>
      <c r="AS585" s="73"/>
      <c r="AT585" s="73"/>
      <c r="AU585" s="73"/>
      <c r="AV585" s="73"/>
      <c r="AW585" s="73"/>
      <c r="AX585" s="74"/>
      <c r="AY585" s="73"/>
      <c r="AZ585" s="73"/>
      <c r="BA585" s="74"/>
      <c r="BB585" s="73"/>
      <c r="BC585" s="73"/>
      <c r="BD585" s="73"/>
      <c r="BE585" s="73"/>
      <c r="BF585" s="73"/>
      <c r="BG585" s="73"/>
      <c r="BH585" s="73"/>
      <c r="BI585" s="73"/>
      <c r="BJ585" s="73"/>
      <c r="BK585" s="73"/>
      <c r="BL585" s="73"/>
      <c r="BM585" s="73"/>
      <c r="BN585" s="73"/>
      <c r="BO585" s="73"/>
      <c r="BP585" s="73"/>
      <c r="BQ585" s="73"/>
      <c r="BR585" s="73"/>
      <c r="BS585" s="73"/>
      <c r="BT585" s="74"/>
      <c r="BU585" s="73"/>
      <c r="BV585" s="73"/>
      <c r="BW585" s="73"/>
      <c r="BX585" s="73"/>
      <c r="BY585" s="73"/>
      <c r="BZ585" s="73"/>
      <c r="CA585" s="73"/>
      <c r="CB585" s="73"/>
      <c r="CC585" s="73"/>
      <c r="CD585" s="73"/>
      <c r="CE585" s="73"/>
    </row>
    <row r="586">
      <c r="A586" s="73"/>
      <c r="B586" s="73"/>
      <c r="C586" s="73"/>
      <c r="D586" s="74"/>
      <c r="E586" s="73"/>
      <c r="F586" s="73"/>
      <c r="G586" s="73"/>
      <c r="H586" s="73"/>
      <c r="I586" s="73"/>
      <c r="J586" s="73"/>
      <c r="K586" s="92"/>
      <c r="L586" s="73"/>
      <c r="M586" s="73"/>
      <c r="N586" s="73"/>
      <c r="O586" s="73"/>
      <c r="P586" s="73"/>
      <c r="Q586" s="75"/>
      <c r="R586" s="82"/>
      <c r="S586" s="73"/>
      <c r="T586" s="73"/>
      <c r="U586" s="73"/>
      <c r="V586" s="73"/>
      <c r="W586" s="73"/>
      <c r="X586" s="73"/>
      <c r="Y586" s="77"/>
      <c r="Z586" s="104"/>
      <c r="AA586" s="73"/>
      <c r="AB586" s="104"/>
      <c r="AC586" s="104"/>
      <c r="AD586" s="74"/>
      <c r="AE586" s="106"/>
      <c r="AF586" s="195"/>
      <c r="AG586" s="80"/>
      <c r="AH586" s="104"/>
      <c r="AI586" s="73"/>
      <c r="AJ586" s="114"/>
      <c r="AK586" s="106"/>
      <c r="AL586" s="74"/>
      <c r="AM586" s="73"/>
      <c r="AN586" s="73"/>
      <c r="AO586" s="102"/>
      <c r="AP586" s="73"/>
      <c r="AQ586" s="73"/>
      <c r="AR586" s="74"/>
      <c r="AS586" s="73"/>
      <c r="AT586" s="73"/>
      <c r="AU586" s="73"/>
      <c r="AV586" s="73"/>
      <c r="AW586" s="73"/>
      <c r="AX586" s="74"/>
      <c r="AY586" s="73"/>
      <c r="AZ586" s="73"/>
      <c r="BA586" s="74"/>
      <c r="BB586" s="73"/>
      <c r="BC586" s="73"/>
      <c r="BD586" s="73"/>
      <c r="BE586" s="73"/>
      <c r="BF586" s="73"/>
      <c r="BG586" s="73"/>
      <c r="BH586" s="73"/>
      <c r="BI586" s="73"/>
      <c r="BJ586" s="73"/>
      <c r="BK586" s="73"/>
      <c r="BL586" s="73"/>
      <c r="BM586" s="73"/>
      <c r="BN586" s="73"/>
      <c r="BO586" s="73"/>
      <c r="BP586" s="73"/>
      <c r="BQ586" s="73"/>
      <c r="BR586" s="73"/>
      <c r="BS586" s="73"/>
      <c r="BT586" s="74"/>
      <c r="BU586" s="73"/>
      <c r="BV586" s="73"/>
      <c r="BW586" s="73"/>
      <c r="BX586" s="73"/>
      <c r="BY586" s="73"/>
      <c r="BZ586" s="73"/>
      <c r="CA586" s="73"/>
      <c r="CB586" s="73"/>
      <c r="CC586" s="73"/>
      <c r="CD586" s="73"/>
      <c r="CE586" s="73"/>
    </row>
    <row r="587">
      <c r="A587" s="73"/>
      <c r="B587" s="73"/>
      <c r="C587" s="73"/>
      <c r="D587" s="74"/>
      <c r="E587" s="73"/>
      <c r="F587" s="73"/>
      <c r="G587" s="73"/>
      <c r="H587" s="73"/>
      <c r="I587" s="73"/>
      <c r="J587" s="73"/>
      <c r="K587" s="92"/>
      <c r="L587" s="73"/>
      <c r="M587" s="73"/>
      <c r="N587" s="73"/>
      <c r="O587" s="73"/>
      <c r="P587" s="73"/>
      <c r="Q587" s="75"/>
      <c r="R587" s="82"/>
      <c r="S587" s="73"/>
      <c r="T587" s="73"/>
      <c r="U587" s="73"/>
      <c r="V587" s="73"/>
      <c r="W587" s="73"/>
      <c r="X587" s="73"/>
      <c r="Y587" s="77"/>
      <c r="Z587" s="104"/>
      <c r="AA587" s="73"/>
      <c r="AB587" s="104"/>
      <c r="AC587" s="104"/>
      <c r="AD587" s="74"/>
      <c r="AE587" s="106"/>
      <c r="AF587" s="195"/>
      <c r="AG587" s="80"/>
      <c r="AH587" s="104"/>
      <c r="AI587" s="73"/>
      <c r="AJ587" s="114"/>
      <c r="AK587" s="106"/>
      <c r="AL587" s="74"/>
      <c r="AM587" s="73"/>
      <c r="AN587" s="73"/>
      <c r="AO587" s="102"/>
      <c r="AP587" s="73"/>
      <c r="AQ587" s="73"/>
      <c r="AR587" s="74"/>
      <c r="AS587" s="73"/>
      <c r="AT587" s="73"/>
      <c r="AU587" s="73"/>
      <c r="AV587" s="73"/>
      <c r="AW587" s="73"/>
      <c r="AX587" s="74"/>
      <c r="AY587" s="73"/>
      <c r="AZ587" s="73"/>
      <c r="BA587" s="74"/>
      <c r="BB587" s="73"/>
      <c r="BC587" s="73"/>
      <c r="BD587" s="73"/>
      <c r="BE587" s="73"/>
      <c r="BF587" s="73"/>
      <c r="BG587" s="73"/>
      <c r="BH587" s="73"/>
      <c r="BI587" s="73"/>
      <c r="BJ587" s="73"/>
      <c r="BK587" s="73"/>
      <c r="BL587" s="73"/>
      <c r="BM587" s="73"/>
      <c r="BN587" s="73"/>
      <c r="BO587" s="73"/>
      <c r="BP587" s="73"/>
      <c r="BQ587" s="73"/>
      <c r="BR587" s="73"/>
      <c r="BS587" s="73"/>
      <c r="BT587" s="74"/>
      <c r="BU587" s="73"/>
      <c r="BV587" s="73"/>
      <c r="BW587" s="73"/>
      <c r="BX587" s="73"/>
      <c r="BY587" s="73"/>
      <c r="BZ587" s="73"/>
      <c r="CA587" s="73"/>
      <c r="CB587" s="73"/>
      <c r="CC587" s="73"/>
      <c r="CD587" s="73"/>
      <c r="CE587" s="73"/>
    </row>
    <row r="588">
      <c r="A588" s="73"/>
      <c r="B588" s="73"/>
      <c r="C588" s="73"/>
      <c r="D588" s="74"/>
      <c r="E588" s="73"/>
      <c r="F588" s="73"/>
      <c r="G588" s="73"/>
      <c r="H588" s="73"/>
      <c r="I588" s="73"/>
      <c r="J588" s="73"/>
      <c r="K588" s="92"/>
      <c r="L588" s="73"/>
      <c r="M588" s="73"/>
      <c r="N588" s="73"/>
      <c r="O588" s="73"/>
      <c r="P588" s="73"/>
      <c r="Q588" s="75"/>
      <c r="R588" s="82"/>
      <c r="S588" s="73"/>
      <c r="T588" s="73"/>
      <c r="U588" s="73"/>
      <c r="V588" s="73"/>
      <c r="W588" s="73"/>
      <c r="X588" s="73"/>
      <c r="Y588" s="77"/>
      <c r="Z588" s="104"/>
      <c r="AA588" s="73"/>
      <c r="AB588" s="104"/>
      <c r="AC588" s="104"/>
      <c r="AD588" s="74"/>
      <c r="AE588" s="106"/>
      <c r="AF588" s="195"/>
      <c r="AG588" s="80"/>
      <c r="AH588" s="104"/>
      <c r="AI588" s="73"/>
      <c r="AJ588" s="114"/>
      <c r="AK588" s="106"/>
      <c r="AL588" s="74"/>
      <c r="AM588" s="73"/>
      <c r="AN588" s="73"/>
      <c r="AO588" s="102"/>
      <c r="AP588" s="73"/>
      <c r="AQ588" s="73"/>
      <c r="AR588" s="74"/>
      <c r="AS588" s="73"/>
      <c r="AT588" s="73"/>
      <c r="AU588" s="73"/>
      <c r="AV588" s="73"/>
      <c r="AW588" s="73"/>
      <c r="AX588" s="74"/>
      <c r="AY588" s="73"/>
      <c r="AZ588" s="73"/>
      <c r="BA588" s="74"/>
      <c r="BB588" s="73"/>
      <c r="BC588" s="73"/>
      <c r="BD588" s="73"/>
      <c r="BE588" s="73"/>
      <c r="BF588" s="73"/>
      <c r="BG588" s="73"/>
      <c r="BH588" s="73"/>
      <c r="BI588" s="73"/>
      <c r="BJ588" s="73"/>
      <c r="BK588" s="73"/>
      <c r="BL588" s="73"/>
      <c r="BM588" s="73"/>
      <c r="BN588" s="73"/>
      <c r="BO588" s="73"/>
      <c r="BP588" s="73"/>
      <c r="BQ588" s="73"/>
      <c r="BR588" s="73"/>
      <c r="BS588" s="73"/>
      <c r="BT588" s="74"/>
      <c r="BU588" s="73"/>
      <c r="BV588" s="73"/>
      <c r="BW588" s="73"/>
      <c r="BX588" s="73"/>
      <c r="BY588" s="73"/>
      <c r="BZ588" s="73"/>
      <c r="CA588" s="73"/>
      <c r="CB588" s="73"/>
      <c r="CC588" s="73"/>
      <c r="CD588" s="73"/>
      <c r="CE588" s="73"/>
    </row>
    <row r="589">
      <c r="A589" s="73"/>
      <c r="B589" s="73"/>
      <c r="C589" s="73"/>
      <c r="D589" s="74"/>
      <c r="E589" s="73"/>
      <c r="F589" s="73"/>
      <c r="G589" s="73"/>
      <c r="H589" s="73"/>
      <c r="I589" s="73"/>
      <c r="J589" s="73"/>
      <c r="K589" s="92"/>
      <c r="L589" s="73"/>
      <c r="M589" s="73"/>
      <c r="N589" s="73"/>
      <c r="O589" s="73"/>
      <c r="P589" s="73"/>
      <c r="Q589" s="75"/>
      <c r="R589" s="82"/>
      <c r="S589" s="73"/>
      <c r="T589" s="73"/>
      <c r="U589" s="73"/>
      <c r="V589" s="73"/>
      <c r="W589" s="73"/>
      <c r="X589" s="73"/>
      <c r="Y589" s="77"/>
      <c r="Z589" s="104"/>
      <c r="AA589" s="73"/>
      <c r="AB589" s="104"/>
      <c r="AC589" s="104"/>
      <c r="AD589" s="74"/>
      <c r="AE589" s="106"/>
      <c r="AF589" s="195"/>
      <c r="AG589" s="80"/>
      <c r="AH589" s="104"/>
      <c r="AI589" s="73"/>
      <c r="AJ589" s="114"/>
      <c r="AK589" s="106"/>
      <c r="AL589" s="74"/>
      <c r="AM589" s="73"/>
      <c r="AN589" s="73"/>
      <c r="AO589" s="102"/>
      <c r="AP589" s="73"/>
      <c r="AQ589" s="73"/>
      <c r="AR589" s="74"/>
      <c r="AS589" s="73"/>
      <c r="AT589" s="73"/>
      <c r="AU589" s="73"/>
      <c r="AV589" s="73"/>
      <c r="AW589" s="73"/>
      <c r="AX589" s="74"/>
      <c r="AY589" s="73"/>
      <c r="AZ589" s="73"/>
      <c r="BA589" s="74"/>
      <c r="BB589" s="73"/>
      <c r="BC589" s="73"/>
      <c r="BD589" s="73"/>
      <c r="BE589" s="73"/>
      <c r="BF589" s="73"/>
      <c r="BG589" s="73"/>
      <c r="BH589" s="73"/>
      <c r="BI589" s="73"/>
      <c r="BJ589" s="73"/>
      <c r="BK589" s="73"/>
      <c r="BL589" s="73"/>
      <c r="BM589" s="73"/>
      <c r="BN589" s="73"/>
      <c r="BO589" s="73"/>
      <c r="BP589" s="73"/>
      <c r="BQ589" s="73"/>
      <c r="BR589" s="73"/>
      <c r="BS589" s="73"/>
      <c r="BT589" s="74"/>
      <c r="BU589" s="73"/>
      <c r="BV589" s="73"/>
      <c r="BW589" s="73"/>
      <c r="BX589" s="73"/>
      <c r="BY589" s="73"/>
      <c r="BZ589" s="73"/>
      <c r="CA589" s="73"/>
      <c r="CB589" s="73"/>
      <c r="CC589" s="73"/>
      <c r="CD589" s="73"/>
      <c r="CE589" s="73"/>
    </row>
    <row r="590">
      <c r="A590" s="73"/>
      <c r="B590" s="73"/>
      <c r="C590" s="73"/>
      <c r="D590" s="74"/>
      <c r="E590" s="73"/>
      <c r="F590" s="73"/>
      <c r="G590" s="73"/>
      <c r="H590" s="73"/>
      <c r="I590" s="73"/>
      <c r="J590" s="73"/>
      <c r="K590" s="92"/>
      <c r="L590" s="73"/>
      <c r="M590" s="73"/>
      <c r="N590" s="73"/>
      <c r="O590" s="73"/>
      <c r="P590" s="73"/>
      <c r="Q590" s="75"/>
      <c r="R590" s="82"/>
      <c r="S590" s="73"/>
      <c r="T590" s="73"/>
      <c r="U590" s="73"/>
      <c r="V590" s="73"/>
      <c r="W590" s="73"/>
      <c r="X590" s="73"/>
      <c r="Y590" s="77"/>
      <c r="Z590" s="104"/>
      <c r="AA590" s="73"/>
      <c r="AB590" s="104"/>
      <c r="AC590" s="104"/>
      <c r="AD590" s="74"/>
      <c r="AE590" s="106"/>
      <c r="AF590" s="195"/>
      <c r="AG590" s="80"/>
      <c r="AH590" s="104"/>
      <c r="AI590" s="73"/>
      <c r="AJ590" s="114"/>
      <c r="AK590" s="106"/>
      <c r="AL590" s="74"/>
      <c r="AM590" s="73"/>
      <c r="AN590" s="73"/>
      <c r="AO590" s="102"/>
      <c r="AP590" s="73"/>
      <c r="AQ590" s="73"/>
      <c r="AR590" s="74"/>
      <c r="AS590" s="73"/>
      <c r="AT590" s="73"/>
      <c r="AU590" s="73"/>
      <c r="AV590" s="73"/>
      <c r="AW590" s="73"/>
      <c r="AX590" s="74"/>
      <c r="AY590" s="73"/>
      <c r="AZ590" s="73"/>
      <c r="BA590" s="74"/>
      <c r="BB590" s="73"/>
      <c r="BC590" s="73"/>
      <c r="BD590" s="73"/>
      <c r="BE590" s="73"/>
      <c r="BF590" s="73"/>
      <c r="BG590" s="73"/>
      <c r="BH590" s="73"/>
      <c r="BI590" s="73"/>
      <c r="BJ590" s="73"/>
      <c r="BK590" s="73"/>
      <c r="BL590" s="73"/>
      <c r="BM590" s="73"/>
      <c r="BN590" s="73"/>
      <c r="BO590" s="73"/>
      <c r="BP590" s="73"/>
      <c r="BQ590" s="73"/>
      <c r="BR590" s="73"/>
      <c r="BS590" s="73"/>
      <c r="BT590" s="74"/>
      <c r="BU590" s="73"/>
      <c r="BV590" s="73"/>
      <c r="BW590" s="73"/>
      <c r="BX590" s="73"/>
      <c r="BY590" s="73"/>
      <c r="BZ590" s="73"/>
      <c r="CA590" s="73"/>
      <c r="CB590" s="73"/>
      <c r="CC590" s="73"/>
      <c r="CD590" s="73"/>
      <c r="CE590" s="73"/>
    </row>
    <row r="591">
      <c r="A591" s="73"/>
      <c r="B591" s="73"/>
      <c r="C591" s="73"/>
      <c r="D591" s="74"/>
      <c r="E591" s="73"/>
      <c r="F591" s="73"/>
      <c r="G591" s="73"/>
      <c r="H591" s="73"/>
      <c r="I591" s="73"/>
      <c r="J591" s="73"/>
      <c r="K591" s="92"/>
      <c r="L591" s="73"/>
      <c r="M591" s="73"/>
      <c r="N591" s="73"/>
      <c r="O591" s="73"/>
      <c r="P591" s="73"/>
      <c r="Q591" s="75"/>
      <c r="R591" s="82"/>
      <c r="S591" s="73"/>
      <c r="T591" s="73"/>
      <c r="U591" s="73"/>
      <c r="V591" s="73"/>
      <c r="W591" s="73"/>
      <c r="X591" s="73"/>
      <c r="Y591" s="77"/>
      <c r="Z591" s="104"/>
      <c r="AA591" s="73"/>
      <c r="AB591" s="104"/>
      <c r="AC591" s="104"/>
      <c r="AD591" s="74"/>
      <c r="AE591" s="106"/>
      <c r="AF591" s="195"/>
      <c r="AG591" s="80"/>
      <c r="AH591" s="104"/>
      <c r="AI591" s="73"/>
      <c r="AJ591" s="114"/>
      <c r="AK591" s="106"/>
      <c r="AL591" s="74"/>
      <c r="AM591" s="73"/>
      <c r="AN591" s="73"/>
      <c r="AO591" s="102"/>
      <c r="AP591" s="73"/>
      <c r="AQ591" s="73"/>
      <c r="AR591" s="74"/>
      <c r="AS591" s="73"/>
      <c r="AT591" s="73"/>
      <c r="AU591" s="73"/>
      <c r="AV591" s="73"/>
      <c r="AW591" s="73"/>
      <c r="AX591" s="74"/>
      <c r="AY591" s="73"/>
      <c r="AZ591" s="73"/>
      <c r="BA591" s="74"/>
      <c r="BB591" s="73"/>
      <c r="BC591" s="73"/>
      <c r="BD591" s="73"/>
      <c r="BE591" s="73"/>
      <c r="BF591" s="73"/>
      <c r="BG591" s="73"/>
      <c r="BH591" s="73"/>
      <c r="BI591" s="73"/>
      <c r="BJ591" s="73"/>
      <c r="BK591" s="73"/>
      <c r="BL591" s="73"/>
      <c r="BM591" s="73"/>
      <c r="BN591" s="73"/>
      <c r="BO591" s="73"/>
      <c r="BP591" s="73"/>
      <c r="BQ591" s="73"/>
      <c r="BR591" s="73"/>
      <c r="BS591" s="73"/>
      <c r="BT591" s="74"/>
      <c r="BU591" s="73"/>
      <c r="BV591" s="73"/>
      <c r="BW591" s="73"/>
      <c r="BX591" s="73"/>
      <c r="BY591" s="73"/>
      <c r="BZ591" s="73"/>
      <c r="CA591" s="73"/>
      <c r="CB591" s="73"/>
      <c r="CC591" s="73"/>
      <c r="CD591" s="73"/>
      <c r="CE591" s="73"/>
    </row>
    <row r="592">
      <c r="A592" s="73"/>
      <c r="B592" s="73"/>
      <c r="C592" s="73"/>
      <c r="D592" s="74"/>
      <c r="E592" s="73"/>
      <c r="F592" s="73"/>
      <c r="G592" s="73"/>
      <c r="H592" s="73"/>
      <c r="I592" s="73"/>
      <c r="J592" s="73"/>
      <c r="K592" s="92"/>
      <c r="L592" s="73"/>
      <c r="M592" s="73"/>
      <c r="N592" s="73"/>
      <c r="O592" s="73"/>
      <c r="P592" s="73"/>
      <c r="Q592" s="75"/>
      <c r="R592" s="82"/>
      <c r="S592" s="73"/>
      <c r="T592" s="73"/>
      <c r="U592" s="73"/>
      <c r="V592" s="73"/>
      <c r="W592" s="73"/>
      <c r="X592" s="73"/>
      <c r="Y592" s="77"/>
      <c r="Z592" s="104"/>
      <c r="AA592" s="73"/>
      <c r="AB592" s="104"/>
      <c r="AC592" s="104"/>
      <c r="AD592" s="74"/>
      <c r="AE592" s="106"/>
      <c r="AF592" s="195"/>
      <c r="AG592" s="80"/>
      <c r="AH592" s="104"/>
      <c r="AI592" s="73"/>
      <c r="AJ592" s="114"/>
      <c r="AK592" s="106"/>
      <c r="AL592" s="74"/>
      <c r="AM592" s="73"/>
      <c r="AN592" s="73"/>
      <c r="AO592" s="102"/>
      <c r="AP592" s="73"/>
      <c r="AQ592" s="73"/>
      <c r="AR592" s="74"/>
      <c r="AS592" s="73"/>
      <c r="AT592" s="73"/>
      <c r="AU592" s="73"/>
      <c r="AV592" s="73"/>
      <c r="AW592" s="73"/>
      <c r="AX592" s="74"/>
      <c r="AY592" s="73"/>
      <c r="AZ592" s="73"/>
      <c r="BA592" s="74"/>
      <c r="BB592" s="73"/>
      <c r="BC592" s="73"/>
      <c r="BD592" s="73"/>
      <c r="BE592" s="73"/>
      <c r="BF592" s="73"/>
      <c r="BG592" s="73"/>
      <c r="BH592" s="73"/>
      <c r="BI592" s="73"/>
      <c r="BJ592" s="73"/>
      <c r="BK592" s="73"/>
      <c r="BL592" s="73"/>
      <c r="BM592" s="73"/>
      <c r="BN592" s="73"/>
      <c r="BO592" s="73"/>
      <c r="BP592" s="73"/>
      <c r="BQ592" s="73"/>
      <c r="BR592" s="73"/>
      <c r="BS592" s="73"/>
      <c r="BT592" s="74"/>
      <c r="BU592" s="73"/>
      <c r="BV592" s="73"/>
      <c r="BW592" s="73"/>
      <c r="BX592" s="73"/>
      <c r="BY592" s="73"/>
      <c r="BZ592" s="73"/>
      <c r="CA592" s="73"/>
      <c r="CB592" s="73"/>
      <c r="CC592" s="73"/>
      <c r="CD592" s="73"/>
      <c r="CE592" s="73"/>
    </row>
    <row r="593">
      <c r="A593" s="73"/>
      <c r="B593" s="73"/>
      <c r="C593" s="73"/>
      <c r="D593" s="74"/>
      <c r="E593" s="73"/>
      <c r="F593" s="73"/>
      <c r="G593" s="73"/>
      <c r="H593" s="73"/>
      <c r="I593" s="73"/>
      <c r="J593" s="73"/>
      <c r="K593" s="92"/>
      <c r="L593" s="73"/>
      <c r="M593" s="73"/>
      <c r="N593" s="73"/>
      <c r="O593" s="73"/>
      <c r="P593" s="73"/>
      <c r="Q593" s="75"/>
      <c r="R593" s="82"/>
      <c r="S593" s="73"/>
      <c r="T593" s="73"/>
      <c r="U593" s="73"/>
      <c r="V593" s="73"/>
      <c r="W593" s="73"/>
      <c r="X593" s="73"/>
      <c r="Y593" s="77"/>
      <c r="Z593" s="104"/>
      <c r="AA593" s="73"/>
      <c r="AB593" s="104"/>
      <c r="AC593" s="104"/>
      <c r="AD593" s="74"/>
      <c r="AE593" s="106"/>
      <c r="AF593" s="195"/>
      <c r="AG593" s="80"/>
      <c r="AH593" s="104"/>
      <c r="AI593" s="73"/>
      <c r="AJ593" s="114"/>
      <c r="AK593" s="106"/>
      <c r="AL593" s="74"/>
      <c r="AM593" s="73"/>
      <c r="AN593" s="73"/>
      <c r="AO593" s="102"/>
      <c r="AP593" s="73"/>
      <c r="AQ593" s="73"/>
      <c r="AR593" s="74"/>
      <c r="AS593" s="73"/>
      <c r="AT593" s="73"/>
      <c r="AU593" s="73"/>
      <c r="AV593" s="73"/>
      <c r="AW593" s="73"/>
      <c r="AX593" s="74"/>
      <c r="AY593" s="73"/>
      <c r="AZ593" s="73"/>
      <c r="BA593" s="74"/>
      <c r="BB593" s="73"/>
      <c r="BC593" s="73"/>
      <c r="BD593" s="73"/>
      <c r="BE593" s="73"/>
      <c r="BF593" s="73"/>
      <c r="BG593" s="73"/>
      <c r="BH593" s="73"/>
      <c r="BI593" s="73"/>
      <c r="BJ593" s="73"/>
      <c r="BK593" s="73"/>
      <c r="BL593" s="73"/>
      <c r="BM593" s="73"/>
      <c r="BN593" s="73"/>
      <c r="BO593" s="73"/>
      <c r="BP593" s="73"/>
      <c r="BQ593" s="73"/>
      <c r="BR593" s="73"/>
      <c r="BS593" s="73"/>
      <c r="BT593" s="74"/>
      <c r="BU593" s="73"/>
      <c r="BV593" s="73"/>
      <c r="BW593" s="73"/>
      <c r="BX593" s="73"/>
      <c r="BY593" s="73"/>
      <c r="BZ593" s="73"/>
      <c r="CA593" s="73"/>
      <c r="CB593" s="73"/>
      <c r="CC593" s="73"/>
      <c r="CD593" s="73"/>
      <c r="CE593" s="73"/>
    </row>
    <row r="594">
      <c r="A594" s="73"/>
      <c r="B594" s="73"/>
      <c r="C594" s="73"/>
      <c r="D594" s="74"/>
      <c r="E594" s="73"/>
      <c r="F594" s="73"/>
      <c r="G594" s="73"/>
      <c r="H594" s="73"/>
      <c r="I594" s="73"/>
      <c r="J594" s="73"/>
      <c r="K594" s="92"/>
      <c r="L594" s="73"/>
      <c r="M594" s="73"/>
      <c r="N594" s="73"/>
      <c r="O594" s="73"/>
      <c r="P594" s="73"/>
      <c r="Q594" s="75"/>
      <c r="R594" s="82"/>
      <c r="S594" s="73"/>
      <c r="T594" s="73"/>
      <c r="U594" s="73"/>
      <c r="V594" s="73"/>
      <c r="W594" s="73"/>
      <c r="X594" s="73"/>
      <c r="Y594" s="77"/>
      <c r="Z594" s="104"/>
      <c r="AA594" s="73"/>
      <c r="AB594" s="104"/>
      <c r="AC594" s="104"/>
      <c r="AD594" s="74"/>
      <c r="AE594" s="106"/>
      <c r="AF594" s="195"/>
      <c r="AG594" s="80"/>
      <c r="AH594" s="104"/>
      <c r="AI594" s="73"/>
      <c r="AJ594" s="114"/>
      <c r="AK594" s="106"/>
      <c r="AL594" s="74"/>
      <c r="AM594" s="73"/>
      <c r="AN594" s="73"/>
      <c r="AO594" s="102"/>
      <c r="AP594" s="73"/>
      <c r="AQ594" s="73"/>
      <c r="AR594" s="74"/>
      <c r="AS594" s="73"/>
      <c r="AT594" s="73"/>
      <c r="AU594" s="73"/>
      <c r="AV594" s="73"/>
      <c r="AW594" s="73"/>
      <c r="AX594" s="74"/>
      <c r="AY594" s="73"/>
      <c r="AZ594" s="73"/>
      <c r="BA594" s="74"/>
      <c r="BB594" s="73"/>
      <c r="BC594" s="73"/>
      <c r="BD594" s="73"/>
      <c r="BE594" s="73"/>
      <c r="BF594" s="73"/>
      <c r="BG594" s="73"/>
      <c r="BH594" s="73"/>
      <c r="BI594" s="73"/>
      <c r="BJ594" s="73"/>
      <c r="BK594" s="73"/>
      <c r="BL594" s="73"/>
      <c r="BM594" s="73"/>
      <c r="BN594" s="73"/>
      <c r="BO594" s="73"/>
      <c r="BP594" s="73"/>
      <c r="BQ594" s="73"/>
      <c r="BR594" s="73"/>
      <c r="BS594" s="73"/>
      <c r="BT594" s="74"/>
      <c r="BU594" s="73"/>
      <c r="BV594" s="73"/>
      <c r="BW594" s="73"/>
      <c r="BX594" s="73"/>
      <c r="BY594" s="73"/>
      <c r="BZ594" s="73"/>
      <c r="CA594" s="73"/>
      <c r="CB594" s="73"/>
      <c r="CC594" s="73"/>
      <c r="CD594" s="73"/>
      <c r="CE594" s="73"/>
    </row>
    <row r="595">
      <c r="A595" s="73"/>
      <c r="B595" s="73"/>
      <c r="C595" s="73"/>
      <c r="D595" s="74"/>
      <c r="E595" s="73"/>
      <c r="F595" s="73"/>
      <c r="G595" s="73"/>
      <c r="H595" s="73"/>
      <c r="I595" s="73"/>
      <c r="J595" s="73"/>
      <c r="K595" s="92"/>
      <c r="L595" s="73"/>
      <c r="M595" s="73"/>
      <c r="N595" s="73"/>
      <c r="O595" s="73"/>
      <c r="P595" s="73"/>
      <c r="Q595" s="75"/>
      <c r="R595" s="82"/>
      <c r="S595" s="73"/>
      <c r="T595" s="73"/>
      <c r="U595" s="73"/>
      <c r="V595" s="73"/>
      <c r="W595" s="73"/>
      <c r="X595" s="73"/>
      <c r="Y595" s="77"/>
      <c r="Z595" s="104"/>
      <c r="AA595" s="73"/>
      <c r="AB595" s="104"/>
      <c r="AC595" s="104"/>
      <c r="AD595" s="74"/>
      <c r="AE595" s="106"/>
      <c r="AF595" s="195"/>
      <c r="AG595" s="80"/>
      <c r="AH595" s="104"/>
      <c r="AI595" s="73"/>
      <c r="AJ595" s="114"/>
      <c r="AK595" s="106"/>
      <c r="AL595" s="74"/>
      <c r="AM595" s="73"/>
      <c r="AN595" s="73"/>
      <c r="AO595" s="102"/>
      <c r="AP595" s="73"/>
      <c r="AQ595" s="73"/>
      <c r="AR595" s="74"/>
      <c r="AS595" s="73"/>
      <c r="AT595" s="73"/>
      <c r="AU595" s="73"/>
      <c r="AV595" s="73"/>
      <c r="AW595" s="73"/>
      <c r="AX595" s="74"/>
      <c r="AY595" s="73"/>
      <c r="AZ595" s="73"/>
      <c r="BA595" s="74"/>
      <c r="BB595" s="73"/>
      <c r="BC595" s="73"/>
      <c r="BD595" s="73"/>
      <c r="BE595" s="73"/>
      <c r="BF595" s="73"/>
      <c r="BG595" s="73"/>
      <c r="BH595" s="73"/>
      <c r="BI595" s="73"/>
      <c r="BJ595" s="73"/>
      <c r="BK595" s="73"/>
      <c r="BL595" s="73"/>
      <c r="BM595" s="73"/>
      <c r="BN595" s="73"/>
      <c r="BO595" s="73"/>
      <c r="BP595" s="73"/>
      <c r="BQ595" s="73"/>
      <c r="BR595" s="73"/>
      <c r="BS595" s="73"/>
      <c r="BT595" s="74"/>
      <c r="BU595" s="73"/>
      <c r="BV595" s="73"/>
      <c r="BW595" s="73"/>
      <c r="BX595" s="73"/>
      <c r="BY595" s="73"/>
      <c r="BZ595" s="73"/>
      <c r="CA595" s="73"/>
      <c r="CB595" s="73"/>
      <c r="CC595" s="73"/>
      <c r="CD595" s="73"/>
      <c r="CE595" s="73"/>
    </row>
    <row r="596">
      <c r="A596" s="73"/>
      <c r="B596" s="73"/>
      <c r="C596" s="73"/>
      <c r="D596" s="74"/>
      <c r="E596" s="73"/>
      <c r="F596" s="73"/>
      <c r="G596" s="73"/>
      <c r="H596" s="73"/>
      <c r="I596" s="73"/>
      <c r="J596" s="73"/>
      <c r="K596" s="92"/>
      <c r="L596" s="73"/>
      <c r="M596" s="73"/>
      <c r="N596" s="73"/>
      <c r="O596" s="73"/>
      <c r="P596" s="73"/>
      <c r="Q596" s="75"/>
      <c r="R596" s="82"/>
      <c r="S596" s="73"/>
      <c r="T596" s="73"/>
      <c r="U596" s="73"/>
      <c r="V596" s="73"/>
      <c r="W596" s="73"/>
      <c r="X596" s="73"/>
      <c r="Y596" s="77"/>
      <c r="Z596" s="104"/>
      <c r="AA596" s="73"/>
      <c r="AB596" s="104"/>
      <c r="AC596" s="104"/>
      <c r="AD596" s="74"/>
      <c r="AE596" s="106"/>
      <c r="AF596" s="195"/>
      <c r="AG596" s="80"/>
      <c r="AH596" s="104"/>
      <c r="AI596" s="73"/>
      <c r="AJ596" s="114"/>
      <c r="AK596" s="106"/>
      <c r="AL596" s="74"/>
      <c r="AM596" s="73"/>
      <c r="AN596" s="73"/>
      <c r="AO596" s="102"/>
      <c r="AP596" s="73"/>
      <c r="AQ596" s="73"/>
      <c r="AR596" s="74"/>
      <c r="AS596" s="73"/>
      <c r="AT596" s="73"/>
      <c r="AU596" s="73"/>
      <c r="AV596" s="73"/>
      <c r="AW596" s="73"/>
      <c r="AX596" s="74"/>
      <c r="AY596" s="73"/>
      <c r="AZ596" s="73"/>
      <c r="BA596" s="74"/>
      <c r="BB596" s="73"/>
      <c r="BC596" s="73"/>
      <c r="BD596" s="73"/>
      <c r="BE596" s="73"/>
      <c r="BF596" s="73"/>
      <c r="BG596" s="73"/>
      <c r="BH596" s="73"/>
      <c r="BI596" s="73"/>
      <c r="BJ596" s="73"/>
      <c r="BK596" s="73"/>
      <c r="BL596" s="73"/>
      <c r="BM596" s="73"/>
      <c r="BN596" s="73"/>
      <c r="BO596" s="73"/>
      <c r="BP596" s="73"/>
      <c r="BQ596" s="73"/>
      <c r="BR596" s="73"/>
      <c r="BS596" s="73"/>
      <c r="BT596" s="74"/>
      <c r="BU596" s="73"/>
      <c r="BV596" s="73"/>
      <c r="BW596" s="73"/>
      <c r="BX596" s="73"/>
      <c r="BY596" s="73"/>
      <c r="BZ596" s="73"/>
      <c r="CA596" s="73"/>
      <c r="CB596" s="73"/>
      <c r="CC596" s="73"/>
      <c r="CD596" s="73"/>
      <c r="CE596" s="73"/>
    </row>
    <row r="597">
      <c r="A597" s="73"/>
      <c r="B597" s="73"/>
      <c r="C597" s="73"/>
      <c r="D597" s="74"/>
      <c r="E597" s="73"/>
      <c r="F597" s="73"/>
      <c r="G597" s="73"/>
      <c r="H597" s="73"/>
      <c r="I597" s="73"/>
      <c r="J597" s="73"/>
      <c r="K597" s="92"/>
      <c r="L597" s="73"/>
      <c r="M597" s="73"/>
      <c r="N597" s="73"/>
      <c r="O597" s="73"/>
      <c r="P597" s="73"/>
      <c r="Q597" s="75"/>
      <c r="R597" s="82"/>
      <c r="S597" s="73"/>
      <c r="T597" s="73"/>
      <c r="U597" s="73"/>
      <c r="V597" s="73"/>
      <c r="W597" s="73"/>
      <c r="X597" s="73"/>
      <c r="Y597" s="77"/>
      <c r="Z597" s="104"/>
      <c r="AA597" s="73"/>
      <c r="AB597" s="104"/>
      <c r="AC597" s="104"/>
      <c r="AD597" s="74"/>
      <c r="AE597" s="106"/>
      <c r="AF597" s="195"/>
      <c r="AG597" s="80"/>
      <c r="AH597" s="104"/>
      <c r="AI597" s="73"/>
      <c r="AJ597" s="114"/>
      <c r="AK597" s="106"/>
      <c r="AL597" s="74"/>
      <c r="AM597" s="73"/>
      <c r="AN597" s="73"/>
      <c r="AO597" s="102"/>
      <c r="AP597" s="73"/>
      <c r="AQ597" s="73"/>
      <c r="AR597" s="74"/>
      <c r="AS597" s="73"/>
      <c r="AT597" s="73"/>
      <c r="AU597" s="73"/>
      <c r="AV597" s="73"/>
      <c r="AW597" s="73"/>
      <c r="AX597" s="74"/>
      <c r="AY597" s="73"/>
      <c r="AZ597" s="73"/>
      <c r="BA597" s="74"/>
      <c r="BB597" s="73"/>
      <c r="BC597" s="73"/>
      <c r="BD597" s="73"/>
      <c r="BE597" s="73"/>
      <c r="BF597" s="73"/>
      <c r="BG597" s="73"/>
      <c r="BH597" s="73"/>
      <c r="BI597" s="73"/>
      <c r="BJ597" s="73"/>
      <c r="BK597" s="73"/>
      <c r="BL597" s="73"/>
      <c r="BM597" s="73"/>
      <c r="BN597" s="73"/>
      <c r="BO597" s="73"/>
      <c r="BP597" s="73"/>
      <c r="BQ597" s="73"/>
      <c r="BR597" s="73"/>
      <c r="BS597" s="73"/>
      <c r="BT597" s="74"/>
      <c r="BU597" s="73"/>
      <c r="BV597" s="73"/>
      <c r="BW597" s="73"/>
      <c r="BX597" s="73"/>
      <c r="BY597" s="73"/>
      <c r="BZ597" s="73"/>
      <c r="CA597" s="73"/>
      <c r="CB597" s="73"/>
      <c r="CC597" s="73"/>
      <c r="CD597" s="73"/>
      <c r="CE597" s="73"/>
    </row>
    <row r="598">
      <c r="A598" s="73"/>
      <c r="B598" s="73"/>
      <c r="C598" s="73"/>
      <c r="D598" s="74"/>
      <c r="E598" s="73"/>
      <c r="F598" s="73"/>
      <c r="G598" s="73"/>
      <c r="H598" s="73"/>
      <c r="I598" s="73"/>
      <c r="J598" s="73"/>
      <c r="K598" s="92"/>
      <c r="L598" s="73"/>
      <c r="M598" s="73"/>
      <c r="N598" s="73"/>
      <c r="O598" s="73"/>
      <c r="P598" s="73"/>
      <c r="Q598" s="75"/>
      <c r="R598" s="82"/>
      <c r="S598" s="73"/>
      <c r="T598" s="73"/>
      <c r="U598" s="73"/>
      <c r="V598" s="73"/>
      <c r="W598" s="73"/>
      <c r="X598" s="73"/>
      <c r="Y598" s="77"/>
      <c r="Z598" s="104"/>
      <c r="AA598" s="73"/>
      <c r="AB598" s="104"/>
      <c r="AC598" s="104"/>
      <c r="AD598" s="74"/>
      <c r="AE598" s="106"/>
      <c r="AF598" s="195"/>
      <c r="AG598" s="80"/>
      <c r="AH598" s="104"/>
      <c r="AI598" s="73"/>
      <c r="AJ598" s="114"/>
      <c r="AK598" s="106"/>
      <c r="AL598" s="74"/>
      <c r="AM598" s="73"/>
      <c r="AN598" s="73"/>
      <c r="AO598" s="102"/>
      <c r="AP598" s="73"/>
      <c r="AQ598" s="73"/>
      <c r="AR598" s="74"/>
      <c r="AS598" s="73"/>
      <c r="AT598" s="73"/>
      <c r="AU598" s="73"/>
      <c r="AV598" s="73"/>
      <c r="AW598" s="73"/>
      <c r="AX598" s="74"/>
      <c r="AY598" s="73"/>
      <c r="AZ598" s="73"/>
      <c r="BA598" s="74"/>
      <c r="BB598" s="73"/>
      <c r="BC598" s="73"/>
      <c r="BD598" s="73"/>
      <c r="BE598" s="73"/>
      <c r="BF598" s="73"/>
      <c r="BG598" s="73"/>
      <c r="BH598" s="73"/>
      <c r="BI598" s="73"/>
      <c r="BJ598" s="73"/>
      <c r="BK598" s="73"/>
      <c r="BL598" s="73"/>
      <c r="BM598" s="73"/>
      <c r="BN598" s="73"/>
      <c r="BO598" s="73"/>
      <c r="BP598" s="73"/>
      <c r="BQ598" s="73"/>
      <c r="BR598" s="73"/>
      <c r="BS598" s="73"/>
      <c r="BT598" s="74"/>
      <c r="BU598" s="73"/>
      <c r="BV598" s="73"/>
      <c r="BW598" s="73"/>
      <c r="BX598" s="73"/>
      <c r="BY598" s="73"/>
      <c r="BZ598" s="73"/>
      <c r="CA598" s="73"/>
      <c r="CB598" s="73"/>
      <c r="CC598" s="73"/>
      <c r="CD598" s="73"/>
      <c r="CE598" s="73"/>
    </row>
    <row r="599">
      <c r="A599" s="73"/>
      <c r="B599" s="73"/>
      <c r="C599" s="73"/>
      <c r="D599" s="74"/>
      <c r="E599" s="73"/>
      <c r="F599" s="73"/>
      <c r="G599" s="73"/>
      <c r="H599" s="73"/>
      <c r="I599" s="73"/>
      <c r="J599" s="73"/>
      <c r="K599" s="92"/>
      <c r="L599" s="73"/>
      <c r="M599" s="73"/>
      <c r="N599" s="73"/>
      <c r="O599" s="73"/>
      <c r="P599" s="73"/>
      <c r="Q599" s="75"/>
      <c r="R599" s="82"/>
      <c r="S599" s="73"/>
      <c r="T599" s="73"/>
      <c r="U599" s="73"/>
      <c r="V599" s="73"/>
      <c r="W599" s="73"/>
      <c r="X599" s="73"/>
      <c r="Y599" s="77"/>
      <c r="Z599" s="104"/>
      <c r="AA599" s="73"/>
      <c r="AB599" s="104"/>
      <c r="AC599" s="104"/>
      <c r="AD599" s="74"/>
      <c r="AE599" s="106"/>
      <c r="AF599" s="195"/>
      <c r="AG599" s="80"/>
      <c r="AH599" s="104"/>
      <c r="AI599" s="73"/>
      <c r="AJ599" s="114"/>
      <c r="AK599" s="106"/>
      <c r="AL599" s="74"/>
      <c r="AM599" s="73"/>
      <c r="AN599" s="73"/>
      <c r="AO599" s="102"/>
      <c r="AP599" s="73"/>
      <c r="AQ599" s="73"/>
      <c r="AR599" s="74"/>
      <c r="AS599" s="73"/>
      <c r="AT599" s="73"/>
      <c r="AU599" s="73"/>
      <c r="AV599" s="73"/>
      <c r="AW599" s="73"/>
      <c r="AX599" s="74"/>
      <c r="AY599" s="73"/>
      <c r="AZ599" s="73"/>
      <c r="BA599" s="74"/>
      <c r="BB599" s="73"/>
      <c r="BC599" s="73"/>
      <c r="BD599" s="73"/>
      <c r="BE599" s="73"/>
      <c r="BF599" s="73"/>
      <c r="BG599" s="73"/>
      <c r="BH599" s="73"/>
      <c r="BI599" s="73"/>
      <c r="BJ599" s="73"/>
      <c r="BK599" s="73"/>
      <c r="BL599" s="73"/>
      <c r="BM599" s="73"/>
      <c r="BN599" s="73"/>
      <c r="BO599" s="73"/>
      <c r="BP599" s="73"/>
      <c r="BQ599" s="73"/>
      <c r="BR599" s="73"/>
      <c r="BS599" s="73"/>
      <c r="BT599" s="74"/>
      <c r="BU599" s="73"/>
      <c r="BV599" s="73"/>
      <c r="BW599" s="73"/>
      <c r="BX599" s="73"/>
      <c r="BY599" s="73"/>
      <c r="BZ599" s="73"/>
      <c r="CA599" s="73"/>
      <c r="CB599" s="73"/>
      <c r="CC599" s="73"/>
      <c r="CD599" s="73"/>
      <c r="CE599" s="73"/>
    </row>
    <row r="600">
      <c r="A600" s="73"/>
      <c r="B600" s="73"/>
      <c r="C600" s="73"/>
      <c r="D600" s="74"/>
      <c r="E600" s="73"/>
      <c r="F600" s="73"/>
      <c r="G600" s="73"/>
      <c r="H600" s="73"/>
      <c r="I600" s="73"/>
      <c r="J600" s="73"/>
      <c r="K600" s="92"/>
      <c r="L600" s="73"/>
      <c r="M600" s="73"/>
      <c r="N600" s="73"/>
      <c r="O600" s="73"/>
      <c r="P600" s="73"/>
      <c r="Q600" s="75"/>
      <c r="R600" s="82"/>
      <c r="S600" s="73"/>
      <c r="T600" s="73"/>
      <c r="U600" s="73"/>
      <c r="V600" s="73"/>
      <c r="W600" s="73"/>
      <c r="X600" s="73"/>
      <c r="Y600" s="77"/>
      <c r="Z600" s="104"/>
      <c r="AA600" s="73"/>
      <c r="AB600" s="104"/>
      <c r="AC600" s="104"/>
      <c r="AD600" s="74"/>
      <c r="AE600" s="106"/>
      <c r="AF600" s="195"/>
      <c r="AG600" s="80"/>
      <c r="AH600" s="104"/>
      <c r="AI600" s="73"/>
      <c r="AJ600" s="114"/>
      <c r="AK600" s="106"/>
      <c r="AL600" s="74"/>
      <c r="AM600" s="73"/>
      <c r="AN600" s="73"/>
      <c r="AO600" s="102"/>
      <c r="AP600" s="73"/>
      <c r="AQ600" s="73"/>
      <c r="AR600" s="74"/>
      <c r="AS600" s="73"/>
      <c r="AT600" s="73"/>
      <c r="AU600" s="73"/>
      <c r="AV600" s="73"/>
      <c r="AW600" s="73"/>
      <c r="AX600" s="74"/>
      <c r="AY600" s="73"/>
      <c r="AZ600" s="73"/>
      <c r="BA600" s="74"/>
      <c r="BB600" s="73"/>
      <c r="BC600" s="73"/>
      <c r="BD600" s="73"/>
      <c r="BE600" s="73"/>
      <c r="BF600" s="73"/>
      <c r="BG600" s="73"/>
      <c r="BH600" s="73"/>
      <c r="BI600" s="73"/>
      <c r="BJ600" s="73"/>
      <c r="BK600" s="73"/>
      <c r="BL600" s="73"/>
      <c r="BM600" s="73"/>
      <c r="BN600" s="73"/>
      <c r="BO600" s="73"/>
      <c r="BP600" s="73"/>
      <c r="BQ600" s="73"/>
      <c r="BR600" s="73"/>
      <c r="BS600" s="73"/>
      <c r="BT600" s="74"/>
      <c r="BU600" s="73"/>
      <c r="BV600" s="73"/>
      <c r="BW600" s="73"/>
      <c r="BX600" s="73"/>
      <c r="BY600" s="73"/>
      <c r="BZ600" s="73"/>
      <c r="CA600" s="73"/>
      <c r="CB600" s="73"/>
      <c r="CC600" s="73"/>
      <c r="CD600" s="73"/>
      <c r="CE600" s="73"/>
    </row>
    <row r="601">
      <c r="A601" s="73"/>
      <c r="B601" s="73"/>
      <c r="C601" s="73"/>
      <c r="D601" s="74"/>
      <c r="E601" s="73"/>
      <c r="F601" s="73"/>
      <c r="G601" s="73"/>
      <c r="H601" s="73"/>
      <c r="I601" s="73"/>
      <c r="J601" s="73"/>
      <c r="K601" s="92"/>
      <c r="L601" s="73"/>
      <c r="M601" s="73"/>
      <c r="N601" s="73"/>
      <c r="O601" s="73"/>
      <c r="P601" s="73"/>
      <c r="Q601" s="75"/>
      <c r="R601" s="82"/>
      <c r="S601" s="73"/>
      <c r="T601" s="73"/>
      <c r="U601" s="73"/>
      <c r="V601" s="73"/>
      <c r="W601" s="73"/>
      <c r="X601" s="73"/>
      <c r="Y601" s="77"/>
      <c r="Z601" s="104"/>
      <c r="AA601" s="73"/>
      <c r="AB601" s="104"/>
      <c r="AC601" s="104"/>
      <c r="AD601" s="74"/>
      <c r="AE601" s="106"/>
      <c r="AF601" s="195"/>
      <c r="AG601" s="80"/>
      <c r="AH601" s="78"/>
      <c r="AI601" s="73"/>
      <c r="AJ601" s="114"/>
      <c r="AK601" s="106"/>
      <c r="AL601" s="74"/>
      <c r="AM601" s="73"/>
      <c r="AN601" s="73"/>
      <c r="AO601" s="102"/>
      <c r="AP601" s="73"/>
      <c r="AQ601" s="73"/>
      <c r="AR601" s="74"/>
      <c r="AS601" s="73"/>
      <c r="AT601" s="73"/>
      <c r="AU601" s="73"/>
      <c r="AV601" s="73"/>
      <c r="AW601" s="73"/>
      <c r="AX601" s="74"/>
      <c r="AY601" s="73"/>
      <c r="AZ601" s="73"/>
      <c r="BA601" s="74"/>
      <c r="BB601" s="73"/>
      <c r="BC601" s="73"/>
      <c r="BD601" s="73"/>
      <c r="BE601" s="73"/>
      <c r="BF601" s="73"/>
      <c r="BG601" s="73"/>
      <c r="BH601" s="73"/>
      <c r="BI601" s="73"/>
      <c r="BJ601" s="73"/>
      <c r="BK601" s="73"/>
      <c r="BL601" s="73"/>
      <c r="BM601" s="73"/>
      <c r="BN601" s="73"/>
      <c r="BO601" s="73"/>
      <c r="BP601" s="73"/>
      <c r="BQ601" s="73"/>
      <c r="BR601" s="73"/>
      <c r="BS601" s="73"/>
      <c r="BT601" s="74"/>
      <c r="BU601" s="73"/>
      <c r="BV601" s="73"/>
      <c r="BW601" s="73"/>
      <c r="BX601" s="73"/>
      <c r="BY601" s="73"/>
      <c r="BZ601" s="73"/>
      <c r="CA601" s="73"/>
      <c r="CB601" s="73"/>
      <c r="CC601" s="73"/>
      <c r="CD601" s="73"/>
      <c r="CE601" s="73"/>
    </row>
    <row r="602">
      <c r="A602" s="73"/>
      <c r="B602" s="73"/>
      <c r="C602" s="73"/>
      <c r="D602" s="74"/>
      <c r="E602" s="73"/>
      <c r="F602" s="73"/>
      <c r="G602" s="73"/>
      <c r="H602" s="73"/>
      <c r="I602" s="73"/>
      <c r="J602" s="73"/>
      <c r="K602" s="92"/>
      <c r="L602" s="73"/>
      <c r="M602" s="73"/>
      <c r="N602" s="73"/>
      <c r="O602" s="73"/>
      <c r="P602" s="73"/>
      <c r="Q602" s="75"/>
      <c r="R602" s="82"/>
      <c r="S602" s="92"/>
      <c r="T602" s="73"/>
      <c r="U602" s="73"/>
      <c r="V602" s="73"/>
      <c r="W602" s="73"/>
      <c r="X602" s="73"/>
      <c r="Y602" s="77"/>
      <c r="Z602" s="104"/>
      <c r="AA602" s="73"/>
      <c r="AB602" s="104"/>
      <c r="AC602" s="104"/>
      <c r="AD602" s="74"/>
      <c r="AE602" s="106"/>
      <c r="AF602" s="195"/>
      <c r="AG602" s="80"/>
      <c r="AH602" s="78"/>
      <c r="AI602" s="82"/>
      <c r="AJ602" s="114"/>
      <c r="AK602" s="106"/>
      <c r="AL602" s="74"/>
      <c r="AM602" s="73"/>
      <c r="AN602" s="73"/>
      <c r="AO602" s="102"/>
      <c r="AP602" s="73"/>
      <c r="AQ602" s="104"/>
      <c r="AR602" s="74"/>
      <c r="AS602" s="73"/>
      <c r="AT602" s="104"/>
      <c r="AU602" s="73"/>
      <c r="AV602" s="73"/>
      <c r="AW602" s="106"/>
      <c r="AX602" s="74"/>
      <c r="AY602" s="73"/>
      <c r="AZ602" s="73"/>
      <c r="BA602" s="102"/>
      <c r="BB602" s="73"/>
      <c r="BC602" s="73"/>
      <c r="BD602" s="73"/>
      <c r="BE602" s="73"/>
      <c r="BF602" s="73"/>
      <c r="BG602" s="73"/>
      <c r="BH602" s="73"/>
      <c r="BI602" s="73"/>
      <c r="BJ602" s="73"/>
      <c r="BK602" s="73"/>
      <c r="BL602" s="73"/>
      <c r="BM602" s="73"/>
      <c r="BN602" s="73"/>
      <c r="BO602" s="73"/>
      <c r="BP602" s="73"/>
      <c r="BQ602" s="73"/>
      <c r="BR602" s="73"/>
      <c r="BS602" s="73"/>
      <c r="BT602" s="74"/>
      <c r="BU602" s="73"/>
      <c r="BV602" s="73"/>
      <c r="BW602" s="73"/>
      <c r="BX602" s="73"/>
      <c r="BY602" s="73"/>
      <c r="BZ602" s="73"/>
      <c r="CA602" s="73"/>
      <c r="CB602" s="73"/>
      <c r="CC602" s="73"/>
      <c r="CD602" s="73"/>
      <c r="CE602" s="73"/>
    </row>
    <row r="603">
      <c r="A603" s="73"/>
      <c r="B603" s="73"/>
      <c r="C603" s="73"/>
      <c r="D603" s="74"/>
      <c r="E603" s="73"/>
      <c r="F603" s="73"/>
      <c r="G603" s="73"/>
      <c r="H603" s="73"/>
      <c r="I603" s="73"/>
      <c r="J603" s="73"/>
      <c r="K603" s="92"/>
      <c r="L603" s="73"/>
      <c r="M603" s="73"/>
      <c r="N603" s="73"/>
      <c r="O603" s="73"/>
      <c r="P603" s="73"/>
      <c r="Q603" s="75"/>
      <c r="R603" s="82"/>
      <c r="S603" s="92"/>
      <c r="T603" s="73"/>
      <c r="U603" s="73"/>
      <c r="V603" s="73"/>
      <c r="W603" s="73"/>
      <c r="X603" s="73"/>
      <c r="Y603" s="77"/>
      <c r="Z603" s="104"/>
      <c r="AA603" s="73"/>
      <c r="AB603" s="104"/>
      <c r="AC603" s="104"/>
      <c r="AD603" s="74"/>
      <c r="AE603" s="106"/>
      <c r="AF603" s="195"/>
      <c r="AG603" s="80"/>
      <c r="AH603" s="113"/>
      <c r="AI603" s="82"/>
      <c r="AJ603" s="114"/>
      <c r="AK603" s="106"/>
      <c r="AL603" s="74"/>
      <c r="AM603" s="73"/>
      <c r="AN603" s="73"/>
      <c r="AO603" s="102"/>
      <c r="AP603" s="73"/>
      <c r="AQ603" s="116"/>
      <c r="AR603" s="74"/>
      <c r="AS603" s="73"/>
      <c r="AT603" s="116"/>
      <c r="AU603" s="73"/>
      <c r="AV603" s="73"/>
      <c r="AW603" s="73"/>
      <c r="AX603" s="74"/>
      <c r="AY603" s="73"/>
      <c r="AZ603" s="73"/>
      <c r="BA603" s="119"/>
      <c r="BB603" s="118"/>
      <c r="BC603" s="73"/>
      <c r="BD603" s="73"/>
      <c r="BE603" s="73"/>
      <c r="BF603" s="73"/>
      <c r="BG603" s="73"/>
      <c r="BH603" s="73"/>
      <c r="BI603" s="73"/>
      <c r="BJ603" s="73"/>
      <c r="BK603" s="73"/>
      <c r="BL603" s="73"/>
      <c r="BM603" s="73"/>
      <c r="BN603" s="73"/>
      <c r="BO603" s="73"/>
      <c r="BP603" s="73"/>
      <c r="BQ603" s="73"/>
      <c r="BR603" s="73"/>
      <c r="BS603" s="73"/>
      <c r="BT603" s="74"/>
      <c r="BU603" s="73"/>
      <c r="BV603" s="73"/>
      <c r="BW603" s="73"/>
      <c r="BX603" s="73"/>
      <c r="BY603" s="73"/>
      <c r="BZ603" s="73"/>
      <c r="CA603" s="73"/>
      <c r="CB603" s="73"/>
      <c r="CC603" s="73"/>
      <c r="CD603" s="73"/>
      <c r="CE603" s="73"/>
    </row>
    <row r="604">
      <c r="A604" s="73"/>
      <c r="B604" s="73"/>
      <c r="C604" s="73"/>
      <c r="D604" s="74"/>
      <c r="E604" s="73"/>
      <c r="F604" s="73"/>
      <c r="G604" s="73"/>
      <c r="H604" s="73"/>
      <c r="I604" s="73"/>
      <c r="J604" s="73"/>
      <c r="K604" s="92"/>
      <c r="L604" s="73"/>
      <c r="M604" s="73"/>
      <c r="N604" s="73"/>
      <c r="O604" s="73"/>
      <c r="P604" s="73"/>
      <c r="Q604" s="75"/>
      <c r="R604" s="82"/>
      <c r="S604" s="92"/>
      <c r="T604" s="73"/>
      <c r="U604" s="73"/>
      <c r="V604" s="73"/>
      <c r="W604" s="73"/>
      <c r="X604" s="73"/>
      <c r="Y604" s="77"/>
      <c r="Z604" s="104"/>
      <c r="AA604" s="73"/>
      <c r="AB604" s="104"/>
      <c r="AC604" s="104"/>
      <c r="AD604" s="74"/>
      <c r="AE604" s="106"/>
      <c r="AF604" s="195"/>
      <c r="AG604" s="80"/>
      <c r="AH604" s="104"/>
      <c r="AI604" s="82"/>
      <c r="AJ604" s="114"/>
      <c r="AK604" s="106"/>
      <c r="AL604" s="74"/>
      <c r="AM604" s="73"/>
      <c r="AN604" s="73"/>
      <c r="AO604" s="102"/>
      <c r="AP604" s="73"/>
      <c r="AQ604" s="116"/>
      <c r="AR604" s="74"/>
      <c r="AS604" s="73"/>
      <c r="AT604" s="116"/>
      <c r="AU604" s="73"/>
      <c r="AV604" s="73"/>
      <c r="AW604" s="73"/>
      <c r="AX604" s="74"/>
      <c r="AY604" s="73"/>
      <c r="AZ604" s="73"/>
      <c r="BA604" s="91"/>
      <c r="BB604" s="128"/>
      <c r="BC604" s="73"/>
      <c r="BD604" s="73"/>
      <c r="BE604" s="73"/>
      <c r="BF604" s="73"/>
      <c r="BG604" s="73"/>
      <c r="BH604" s="73"/>
      <c r="BI604" s="73"/>
      <c r="BJ604" s="73"/>
      <c r="BK604" s="73"/>
      <c r="BL604" s="73"/>
      <c r="BM604" s="73"/>
      <c r="BN604" s="73"/>
      <c r="BO604" s="73"/>
      <c r="BP604" s="73"/>
      <c r="BQ604" s="73"/>
      <c r="BR604" s="73"/>
      <c r="BS604" s="73"/>
      <c r="BT604" s="74"/>
      <c r="BU604" s="73"/>
      <c r="BV604" s="73"/>
      <c r="BW604" s="73"/>
      <c r="BX604" s="73"/>
      <c r="BY604" s="73"/>
      <c r="BZ604" s="73"/>
      <c r="CA604" s="73"/>
      <c r="CB604" s="73"/>
      <c r="CC604" s="73"/>
      <c r="CD604" s="73"/>
      <c r="CE604" s="73"/>
    </row>
    <row r="605">
      <c r="A605" s="73"/>
      <c r="B605" s="73"/>
      <c r="C605" s="73"/>
      <c r="D605" s="74"/>
      <c r="E605" s="73"/>
      <c r="F605" s="73"/>
      <c r="G605" s="73"/>
      <c r="H605" s="73"/>
      <c r="I605" s="73"/>
      <c r="J605" s="73"/>
      <c r="K605" s="92"/>
      <c r="L605" s="73"/>
      <c r="M605" s="73"/>
      <c r="N605" s="73"/>
      <c r="O605" s="73"/>
      <c r="P605" s="73"/>
      <c r="Q605" s="75"/>
      <c r="R605" s="82"/>
      <c r="S605" s="92"/>
      <c r="T605" s="73"/>
      <c r="U605" s="73"/>
      <c r="V605" s="73"/>
      <c r="W605" s="73"/>
      <c r="X605" s="73"/>
      <c r="Y605" s="77"/>
      <c r="Z605" s="104"/>
      <c r="AA605" s="73"/>
      <c r="AB605" s="104"/>
      <c r="AC605" s="104"/>
      <c r="AD605" s="74"/>
      <c r="AE605" s="106"/>
      <c r="AF605" s="195"/>
      <c r="AG605" s="80"/>
      <c r="AH605" s="135"/>
      <c r="AI605" s="82"/>
      <c r="AJ605" s="114"/>
      <c r="AK605" s="106"/>
      <c r="AL605" s="74"/>
      <c r="AM605" s="73"/>
      <c r="AN605" s="73"/>
      <c r="AO605" s="102"/>
      <c r="AP605" s="73"/>
      <c r="AQ605" s="116"/>
      <c r="AR605" s="74"/>
      <c r="AS605" s="73"/>
      <c r="AT605" s="116"/>
      <c r="AU605" s="73"/>
      <c r="AV605" s="73"/>
      <c r="AW605" s="73"/>
      <c r="AX605" s="74"/>
      <c r="AY605" s="131"/>
      <c r="AZ605" s="73"/>
      <c r="BA605" s="140"/>
      <c r="BB605" s="139"/>
      <c r="BC605" s="73"/>
      <c r="BD605" s="73"/>
      <c r="BE605" s="73"/>
      <c r="BF605" s="73"/>
      <c r="BG605" s="73"/>
      <c r="BH605" s="73"/>
      <c r="BI605" s="73"/>
      <c r="BJ605" s="73"/>
      <c r="BK605" s="73"/>
      <c r="BL605" s="73"/>
      <c r="BM605" s="73"/>
      <c r="BN605" s="73"/>
      <c r="BO605" s="73"/>
      <c r="BP605" s="73"/>
      <c r="BQ605" s="73"/>
      <c r="BR605" s="73"/>
      <c r="BS605" s="73"/>
      <c r="BT605" s="74"/>
      <c r="BU605" s="73"/>
      <c r="BV605" s="73"/>
      <c r="BW605" s="73"/>
      <c r="BX605" s="73"/>
      <c r="BY605" s="73"/>
      <c r="BZ605" s="73"/>
      <c r="CA605" s="73"/>
      <c r="CB605" s="73"/>
      <c r="CC605" s="73"/>
      <c r="CD605" s="73"/>
      <c r="CE605" s="73"/>
    </row>
    <row r="606">
      <c r="A606" s="73"/>
      <c r="B606" s="73"/>
      <c r="C606" s="73"/>
      <c r="D606" s="74"/>
      <c r="E606" s="73"/>
      <c r="F606" s="73"/>
      <c r="G606" s="73"/>
      <c r="H606" s="73"/>
      <c r="I606" s="73"/>
      <c r="J606" s="73"/>
      <c r="K606" s="92"/>
      <c r="L606" s="73"/>
      <c r="M606" s="73"/>
      <c r="N606" s="73"/>
      <c r="O606" s="73"/>
      <c r="P606" s="73"/>
      <c r="Q606" s="75"/>
      <c r="R606" s="82"/>
      <c r="S606" s="92"/>
      <c r="T606" s="73"/>
      <c r="U606" s="73"/>
      <c r="V606" s="73"/>
      <c r="W606" s="73"/>
      <c r="X606" s="73"/>
      <c r="Y606" s="77"/>
      <c r="Z606" s="104"/>
      <c r="AA606" s="73"/>
      <c r="AB606" s="104"/>
      <c r="AC606" s="104"/>
      <c r="AD606" s="74"/>
      <c r="AE606" s="106"/>
      <c r="AF606" s="195"/>
      <c r="AG606" s="80"/>
      <c r="AH606" s="143"/>
      <c r="AI606" s="82"/>
      <c r="AJ606" s="114"/>
      <c r="AK606" s="106"/>
      <c r="AL606" s="74"/>
      <c r="AM606" s="73"/>
      <c r="AN606" s="73"/>
      <c r="AO606" s="102"/>
      <c r="AP606" s="73"/>
      <c r="AQ606" s="116"/>
      <c r="AR606" s="74"/>
      <c r="AS606" s="73"/>
      <c r="AT606" s="116"/>
      <c r="AU606" s="73"/>
      <c r="AV606" s="73"/>
      <c r="AW606" s="139"/>
      <c r="AX606" s="74"/>
      <c r="AY606" s="73"/>
      <c r="AZ606" s="73"/>
      <c r="BA606" s="147"/>
      <c r="BB606" s="145"/>
      <c r="BC606" s="73"/>
      <c r="BD606" s="73"/>
      <c r="BE606" s="73"/>
      <c r="BF606" s="73"/>
      <c r="BG606" s="73"/>
      <c r="BH606" s="73"/>
      <c r="BI606" s="73"/>
      <c r="BJ606" s="73"/>
      <c r="BK606" s="73"/>
      <c r="BL606" s="73"/>
      <c r="BM606" s="73"/>
      <c r="BN606" s="73"/>
      <c r="BO606" s="73"/>
      <c r="BP606" s="73"/>
      <c r="BQ606" s="73"/>
      <c r="BR606" s="73"/>
      <c r="BS606" s="73"/>
      <c r="BT606" s="74"/>
      <c r="BU606" s="73"/>
      <c r="BV606" s="73"/>
      <c r="BW606" s="73"/>
      <c r="BX606" s="73"/>
      <c r="BY606" s="73"/>
      <c r="BZ606" s="73"/>
      <c r="CA606" s="73"/>
      <c r="CB606" s="73"/>
      <c r="CC606" s="73"/>
      <c r="CD606" s="73"/>
      <c r="CE606" s="73"/>
    </row>
    <row r="607">
      <c r="A607" s="73"/>
      <c r="B607" s="73"/>
      <c r="C607" s="73"/>
      <c r="D607" s="74"/>
      <c r="E607" s="73"/>
      <c r="F607" s="73"/>
      <c r="G607" s="73"/>
      <c r="H607" s="73"/>
      <c r="I607" s="73"/>
      <c r="J607" s="73"/>
      <c r="K607" s="92"/>
      <c r="L607" s="73"/>
      <c r="M607" s="73"/>
      <c r="N607" s="73"/>
      <c r="O607" s="73"/>
      <c r="P607" s="73"/>
      <c r="Q607" s="75"/>
      <c r="R607" s="82"/>
      <c r="S607" s="92"/>
      <c r="T607" s="73"/>
      <c r="U607" s="73"/>
      <c r="V607" s="73"/>
      <c r="W607" s="73"/>
      <c r="X607" s="73"/>
      <c r="Y607" s="77"/>
      <c r="Z607" s="104"/>
      <c r="AA607" s="73"/>
      <c r="AB607" s="104"/>
      <c r="AC607" s="104"/>
      <c r="AD607" s="74"/>
      <c r="AE607" s="106"/>
      <c r="AF607" s="195"/>
      <c r="AG607" s="80"/>
      <c r="AH607" s="113"/>
      <c r="AI607" s="73"/>
      <c r="AJ607" s="114"/>
      <c r="AK607" s="106"/>
      <c r="AL607" s="74"/>
      <c r="AM607" s="73"/>
      <c r="AN607" s="73"/>
      <c r="AO607" s="102"/>
      <c r="AP607" s="73"/>
      <c r="AQ607" s="73"/>
      <c r="AR607" s="74"/>
      <c r="AS607" s="73"/>
      <c r="AT607" s="73"/>
      <c r="AU607" s="73"/>
      <c r="AV607" s="73"/>
      <c r="AW607" s="104"/>
      <c r="AX607" s="74"/>
      <c r="AY607" s="73"/>
      <c r="AZ607" s="73"/>
      <c r="BA607" s="151"/>
      <c r="BB607" s="150"/>
      <c r="BC607" s="73"/>
      <c r="BD607" s="73"/>
      <c r="BE607" s="73"/>
      <c r="BF607" s="73"/>
      <c r="BG607" s="73"/>
      <c r="BH607" s="73"/>
      <c r="BI607" s="73"/>
      <c r="BJ607" s="73"/>
      <c r="BK607" s="73"/>
      <c r="BL607" s="73"/>
      <c r="BM607" s="73"/>
      <c r="BN607" s="73"/>
      <c r="BO607" s="73"/>
      <c r="BP607" s="73"/>
      <c r="BQ607" s="73"/>
      <c r="BR607" s="73"/>
      <c r="BS607" s="73"/>
      <c r="BT607" s="74"/>
      <c r="BU607" s="73"/>
      <c r="BV607" s="73"/>
      <c r="BW607" s="73"/>
      <c r="BX607" s="73"/>
      <c r="BY607" s="73"/>
      <c r="BZ607" s="73"/>
      <c r="CA607" s="73"/>
      <c r="CB607" s="73"/>
      <c r="CC607" s="73"/>
      <c r="CD607" s="73"/>
      <c r="CE607" s="73"/>
    </row>
    <row r="608">
      <c r="A608" s="73"/>
      <c r="B608" s="73"/>
      <c r="C608" s="73"/>
      <c r="D608" s="74"/>
      <c r="E608" s="73"/>
      <c r="F608" s="73"/>
      <c r="G608" s="73"/>
      <c r="H608" s="73"/>
      <c r="I608" s="73"/>
      <c r="J608" s="73"/>
      <c r="K608" s="92"/>
      <c r="L608" s="73"/>
      <c r="M608" s="73"/>
      <c r="N608" s="73"/>
      <c r="O608" s="73"/>
      <c r="P608" s="73"/>
      <c r="Q608" s="75"/>
      <c r="R608" s="82"/>
      <c r="S608" s="92"/>
      <c r="T608" s="73"/>
      <c r="U608" s="73"/>
      <c r="V608" s="73"/>
      <c r="W608" s="73"/>
      <c r="X608" s="73"/>
      <c r="Y608" s="77"/>
      <c r="Z608" s="104"/>
      <c r="AA608" s="73"/>
      <c r="AB608" s="104"/>
      <c r="AC608" s="104"/>
      <c r="AD608" s="74"/>
      <c r="AE608" s="106"/>
      <c r="AF608" s="195"/>
      <c r="AG608" s="80"/>
      <c r="AH608" s="153"/>
      <c r="AI608" s="82"/>
      <c r="AJ608" s="114"/>
      <c r="AK608" s="106"/>
      <c r="AL608" s="74"/>
      <c r="AM608" s="73"/>
      <c r="AN608" s="73"/>
      <c r="AO608" s="102"/>
      <c r="AP608" s="73"/>
      <c r="AQ608" s="73"/>
      <c r="AR608" s="74"/>
      <c r="AS608" s="73"/>
      <c r="AT608" s="104"/>
      <c r="AU608" s="73"/>
      <c r="AV608" s="73"/>
      <c r="AW608" s="104"/>
      <c r="AX608" s="74"/>
      <c r="AY608" s="73"/>
      <c r="AZ608" s="73"/>
      <c r="BA608" s="102"/>
      <c r="BB608" s="73"/>
      <c r="BC608" s="73"/>
      <c r="BD608" s="73"/>
      <c r="BE608" s="73"/>
      <c r="BF608" s="73"/>
      <c r="BG608" s="73"/>
      <c r="BH608" s="73"/>
      <c r="BI608" s="73"/>
      <c r="BJ608" s="73"/>
      <c r="BK608" s="73"/>
      <c r="BL608" s="73"/>
      <c r="BM608" s="73"/>
      <c r="BN608" s="73"/>
      <c r="BO608" s="73"/>
      <c r="BP608" s="73"/>
      <c r="BQ608" s="73"/>
      <c r="BR608" s="73"/>
      <c r="BS608" s="73"/>
      <c r="BT608" s="74"/>
      <c r="BU608" s="73"/>
      <c r="BV608" s="73"/>
      <c r="BW608" s="73"/>
      <c r="BX608" s="73"/>
      <c r="BY608" s="73"/>
      <c r="BZ608" s="73"/>
      <c r="CA608" s="73"/>
      <c r="CB608" s="73"/>
      <c r="CC608" s="73"/>
      <c r="CD608" s="73"/>
      <c r="CE608" s="73"/>
    </row>
    <row r="609">
      <c r="A609" s="73"/>
      <c r="B609" s="73"/>
      <c r="C609" s="73"/>
      <c r="D609" s="74"/>
      <c r="E609" s="73"/>
      <c r="F609" s="73"/>
      <c r="G609" s="73"/>
      <c r="H609" s="73"/>
      <c r="I609" s="73"/>
      <c r="J609" s="73"/>
      <c r="K609" s="92"/>
      <c r="L609" s="73"/>
      <c r="M609" s="73"/>
      <c r="N609" s="73"/>
      <c r="O609" s="73"/>
      <c r="P609" s="73"/>
      <c r="Q609" s="75"/>
      <c r="R609" s="82"/>
      <c r="S609" s="92"/>
      <c r="T609" s="73"/>
      <c r="U609" s="73"/>
      <c r="V609" s="73"/>
      <c r="W609" s="73"/>
      <c r="X609" s="73"/>
      <c r="Y609" s="77"/>
      <c r="Z609" s="104"/>
      <c r="AA609" s="73"/>
      <c r="AB609" s="104"/>
      <c r="AC609" s="104"/>
      <c r="AD609" s="74"/>
      <c r="AE609" s="106"/>
      <c r="AF609" s="195"/>
      <c r="AG609" s="80"/>
      <c r="AH609" s="153"/>
      <c r="AI609" s="82"/>
      <c r="AJ609" s="114"/>
      <c r="AK609" s="106"/>
      <c r="AL609" s="74"/>
      <c r="AM609" s="73"/>
      <c r="AN609" s="73"/>
      <c r="AO609" s="102"/>
      <c r="AP609" s="73"/>
      <c r="AQ609" s="73"/>
      <c r="AR609" s="74"/>
      <c r="AS609" s="73"/>
      <c r="AT609" s="73"/>
      <c r="AU609" s="73"/>
      <c r="AV609" s="73"/>
      <c r="AW609" s="73"/>
      <c r="AX609" s="74"/>
      <c r="AY609" s="73"/>
      <c r="AZ609" s="73"/>
      <c r="BA609" s="159"/>
      <c r="BB609" s="139"/>
      <c r="BC609" s="73"/>
      <c r="BD609" s="73"/>
      <c r="BE609" s="73"/>
      <c r="BF609" s="73"/>
      <c r="BG609" s="73"/>
      <c r="BH609" s="73"/>
      <c r="BI609" s="73"/>
      <c r="BJ609" s="73"/>
      <c r="BK609" s="73"/>
      <c r="BL609" s="73"/>
      <c r="BM609" s="73"/>
      <c r="BN609" s="73"/>
      <c r="BO609" s="73"/>
      <c r="BP609" s="73"/>
      <c r="BQ609" s="73"/>
      <c r="BR609" s="73"/>
      <c r="BS609" s="73"/>
      <c r="BT609" s="74"/>
      <c r="BU609" s="73"/>
      <c r="BV609" s="73"/>
      <c r="BW609" s="73"/>
      <c r="BX609" s="73"/>
      <c r="BY609" s="73"/>
      <c r="BZ609" s="73"/>
      <c r="CA609" s="73"/>
      <c r="CB609" s="73"/>
      <c r="CC609" s="73"/>
      <c r="CD609" s="73"/>
      <c r="CE609" s="73"/>
    </row>
    <row r="610">
      <c r="A610" s="73"/>
      <c r="B610" s="73"/>
      <c r="C610" s="73"/>
      <c r="D610" s="74"/>
      <c r="E610" s="73"/>
      <c r="F610" s="73"/>
      <c r="G610" s="73"/>
      <c r="H610" s="73"/>
      <c r="I610" s="73"/>
      <c r="J610" s="73"/>
      <c r="K610" s="92"/>
      <c r="L610" s="73"/>
      <c r="M610" s="73"/>
      <c r="N610" s="73"/>
      <c r="O610" s="73"/>
      <c r="P610" s="73"/>
      <c r="Q610" s="75"/>
      <c r="R610" s="82"/>
      <c r="S610" s="92"/>
      <c r="T610" s="73"/>
      <c r="U610" s="73"/>
      <c r="V610" s="73"/>
      <c r="W610" s="73"/>
      <c r="X610" s="73"/>
      <c r="Y610" s="77"/>
      <c r="Z610" s="104"/>
      <c r="AA610" s="73"/>
      <c r="AB610" s="104"/>
      <c r="AC610" s="104"/>
      <c r="AD610" s="74"/>
      <c r="AE610" s="106"/>
      <c r="AF610" s="195"/>
      <c r="AG610" s="80"/>
      <c r="AH610" s="78"/>
      <c r="AI610" s="73"/>
      <c r="AJ610" s="114"/>
      <c r="AK610" s="106"/>
      <c r="AL610" s="74"/>
      <c r="AM610" s="73"/>
      <c r="AN610" s="73"/>
      <c r="AO610" s="102"/>
      <c r="AP610" s="73"/>
      <c r="AQ610" s="104"/>
      <c r="AR610" s="74"/>
      <c r="AS610" s="73"/>
      <c r="AT610" s="104"/>
      <c r="AU610" s="104"/>
      <c r="AV610" s="104"/>
      <c r="AW610" s="104"/>
      <c r="AX610" s="74"/>
      <c r="AY610" s="73"/>
      <c r="AZ610" s="73"/>
      <c r="BA610" s="161"/>
      <c r="BB610" s="82"/>
      <c r="BC610" s="73"/>
      <c r="BD610" s="73"/>
      <c r="BE610" s="73"/>
      <c r="BF610" s="73"/>
      <c r="BG610" s="73"/>
      <c r="BH610" s="73"/>
      <c r="BI610" s="73"/>
      <c r="BJ610" s="73"/>
      <c r="BK610" s="73"/>
      <c r="BL610" s="73"/>
      <c r="BM610" s="73"/>
      <c r="BN610" s="73"/>
      <c r="BO610" s="73"/>
      <c r="BP610" s="73"/>
      <c r="BQ610" s="73"/>
      <c r="BR610" s="73"/>
      <c r="BS610" s="73"/>
      <c r="BT610" s="74"/>
      <c r="BU610" s="73"/>
      <c r="BV610" s="73"/>
      <c r="BW610" s="73"/>
      <c r="BX610" s="73"/>
      <c r="BY610" s="73"/>
      <c r="BZ610" s="73"/>
      <c r="CA610" s="73"/>
      <c r="CB610" s="73"/>
      <c r="CC610" s="73"/>
      <c r="CD610" s="73"/>
      <c r="CE610" s="73"/>
    </row>
    <row r="611">
      <c r="A611" s="73"/>
      <c r="B611" s="73"/>
      <c r="C611" s="73"/>
      <c r="D611" s="74"/>
      <c r="E611" s="73"/>
      <c r="F611" s="73"/>
      <c r="G611" s="73"/>
      <c r="H611" s="73"/>
      <c r="I611" s="73"/>
      <c r="J611" s="73"/>
      <c r="K611" s="92"/>
      <c r="L611" s="73"/>
      <c r="M611" s="73"/>
      <c r="N611" s="73"/>
      <c r="O611" s="73"/>
      <c r="P611" s="73"/>
      <c r="Q611" s="75"/>
      <c r="R611" s="82"/>
      <c r="S611" s="92"/>
      <c r="T611" s="73"/>
      <c r="U611" s="73"/>
      <c r="V611" s="73"/>
      <c r="W611" s="73"/>
      <c r="X611" s="73"/>
      <c r="Y611" s="77"/>
      <c r="Z611" s="104"/>
      <c r="AA611" s="73"/>
      <c r="AB611" s="104"/>
      <c r="AC611" s="104"/>
      <c r="AD611" s="74"/>
      <c r="AE611" s="106"/>
      <c r="AF611" s="195"/>
      <c r="AG611" s="80"/>
      <c r="AH611" s="163"/>
      <c r="AI611" s="73"/>
      <c r="AJ611" s="114"/>
      <c r="AK611" s="106"/>
      <c r="AL611" s="74"/>
      <c r="AM611" s="73"/>
      <c r="AN611" s="73"/>
      <c r="AO611" s="102"/>
      <c r="AP611" s="73"/>
      <c r="AQ611" s="139"/>
      <c r="AR611" s="74"/>
      <c r="AS611" s="73"/>
      <c r="AT611" s="139"/>
      <c r="AU611" s="73"/>
      <c r="AV611" s="73"/>
      <c r="AW611" s="73"/>
      <c r="AX611" s="74"/>
      <c r="AY611" s="73"/>
      <c r="AZ611" s="73"/>
      <c r="BA611" s="167"/>
      <c r="BB611" s="82"/>
      <c r="BC611" s="73"/>
      <c r="BD611" s="73"/>
      <c r="BE611" s="73"/>
      <c r="BF611" s="73"/>
      <c r="BG611" s="73"/>
      <c r="BH611" s="73"/>
      <c r="BI611" s="73"/>
      <c r="BJ611" s="73"/>
      <c r="BK611" s="73"/>
      <c r="BL611" s="73"/>
      <c r="BM611" s="73"/>
      <c r="BN611" s="73"/>
      <c r="BO611" s="73"/>
      <c r="BP611" s="73"/>
      <c r="BQ611" s="73"/>
      <c r="BR611" s="73"/>
      <c r="BS611" s="73"/>
      <c r="BT611" s="74"/>
      <c r="BU611" s="73"/>
      <c r="BV611" s="73"/>
      <c r="BW611" s="73"/>
      <c r="BX611" s="73"/>
      <c r="BY611" s="73"/>
      <c r="BZ611" s="73"/>
      <c r="CA611" s="73"/>
      <c r="CB611" s="73"/>
      <c r="CC611" s="73"/>
      <c r="CD611" s="73"/>
      <c r="CE611" s="73"/>
    </row>
    <row r="612">
      <c r="A612" s="73"/>
      <c r="B612" s="73"/>
      <c r="C612" s="73"/>
      <c r="D612" s="74"/>
      <c r="E612" s="73"/>
      <c r="F612" s="73"/>
      <c r="G612" s="73"/>
      <c r="H612" s="73"/>
      <c r="I612" s="73"/>
      <c r="J612" s="73"/>
      <c r="K612" s="92"/>
      <c r="L612" s="73"/>
      <c r="M612" s="73"/>
      <c r="N612" s="73"/>
      <c r="O612" s="73"/>
      <c r="P612" s="73"/>
      <c r="Q612" s="75"/>
      <c r="R612" s="82"/>
      <c r="S612" s="92"/>
      <c r="T612" s="73"/>
      <c r="U612" s="73"/>
      <c r="V612" s="73"/>
      <c r="W612" s="73"/>
      <c r="X612" s="73"/>
      <c r="Y612" s="77"/>
      <c r="Z612" s="104"/>
      <c r="AA612" s="73"/>
      <c r="AB612" s="104"/>
      <c r="AC612" s="104"/>
      <c r="AD612" s="74"/>
      <c r="AE612" s="106"/>
      <c r="AF612" s="195"/>
      <c r="AG612" s="80"/>
      <c r="AH612" s="118"/>
      <c r="AI612" s="73"/>
      <c r="AJ612" s="114"/>
      <c r="AK612" s="106"/>
      <c r="AL612" s="74"/>
      <c r="AM612" s="73"/>
      <c r="AN612" s="73"/>
      <c r="AO612" s="102"/>
      <c r="AP612" s="73"/>
      <c r="AQ612" s="73"/>
      <c r="AR612" s="74"/>
      <c r="AS612" s="73"/>
      <c r="AT612" s="73"/>
      <c r="AU612" s="73"/>
      <c r="AV612" s="73"/>
      <c r="AW612" s="73"/>
      <c r="AX612" s="74"/>
      <c r="AY612" s="73"/>
      <c r="AZ612" s="73"/>
      <c r="BA612" s="171"/>
      <c r="BB612" s="82"/>
      <c r="BC612" s="73"/>
      <c r="BD612" s="73"/>
      <c r="BE612" s="73"/>
      <c r="BF612" s="73"/>
      <c r="BG612" s="73"/>
      <c r="BH612" s="73"/>
      <c r="BI612" s="73"/>
      <c r="BJ612" s="73"/>
      <c r="BK612" s="73"/>
      <c r="BL612" s="73"/>
      <c r="BM612" s="73"/>
      <c r="BN612" s="73"/>
      <c r="BO612" s="73"/>
      <c r="BP612" s="73"/>
      <c r="BQ612" s="73"/>
      <c r="BR612" s="73"/>
      <c r="BS612" s="73"/>
      <c r="BT612" s="74"/>
      <c r="BU612" s="73"/>
      <c r="BV612" s="73"/>
      <c r="BW612" s="73"/>
      <c r="BX612" s="73"/>
      <c r="BY612" s="73"/>
      <c r="BZ612" s="73"/>
      <c r="CA612" s="73"/>
      <c r="CB612" s="73"/>
      <c r="CC612" s="73"/>
      <c r="CD612" s="73"/>
      <c r="CE612" s="73"/>
    </row>
    <row r="613">
      <c r="A613" s="73"/>
      <c r="B613" s="73"/>
      <c r="C613" s="73"/>
      <c r="D613" s="74"/>
      <c r="E613" s="73"/>
      <c r="F613" s="73"/>
      <c r="G613" s="73"/>
      <c r="H613" s="73"/>
      <c r="I613" s="73"/>
      <c r="J613" s="73"/>
      <c r="K613" s="92"/>
      <c r="L613" s="73"/>
      <c r="M613" s="73"/>
      <c r="N613" s="73"/>
      <c r="O613" s="73"/>
      <c r="P613" s="73"/>
      <c r="Q613" s="75"/>
      <c r="R613" s="82"/>
      <c r="S613" s="92"/>
      <c r="T613" s="73"/>
      <c r="U613" s="73"/>
      <c r="V613" s="73"/>
      <c r="W613" s="73"/>
      <c r="X613" s="73"/>
      <c r="Y613" s="77"/>
      <c r="Z613" s="104"/>
      <c r="AA613" s="73"/>
      <c r="AB613" s="104"/>
      <c r="AC613" s="104"/>
      <c r="AD613" s="74"/>
      <c r="AE613" s="106"/>
      <c r="AF613" s="195"/>
      <c r="AG613" s="80"/>
      <c r="AH613" s="173"/>
      <c r="AI613" s="73"/>
      <c r="AJ613" s="114"/>
      <c r="AK613" s="106"/>
      <c r="AL613" s="74"/>
      <c r="AM613" s="73"/>
      <c r="AN613" s="73"/>
      <c r="AO613" s="102"/>
      <c r="AP613" s="73"/>
      <c r="AQ613" s="104"/>
      <c r="AR613" s="74"/>
      <c r="AS613" s="73"/>
      <c r="AT613" s="104"/>
      <c r="AU613" s="73"/>
      <c r="AV613" s="73"/>
      <c r="AW613" s="114"/>
      <c r="AX613" s="74"/>
      <c r="AY613" s="131"/>
      <c r="AZ613" s="73"/>
      <c r="BA613" s="159"/>
      <c r="BB613" s="82"/>
      <c r="BC613" s="73"/>
      <c r="BD613" s="73"/>
      <c r="BE613" s="73"/>
      <c r="BF613" s="73"/>
      <c r="BG613" s="73"/>
      <c r="BH613" s="73"/>
      <c r="BI613" s="73"/>
      <c r="BJ613" s="73"/>
      <c r="BK613" s="73"/>
      <c r="BL613" s="73"/>
      <c r="BM613" s="73"/>
      <c r="BN613" s="73"/>
      <c r="BO613" s="73"/>
      <c r="BP613" s="73"/>
      <c r="BQ613" s="73"/>
      <c r="BR613" s="73"/>
      <c r="BS613" s="73"/>
      <c r="BT613" s="74"/>
      <c r="BU613" s="73"/>
      <c r="BV613" s="73"/>
      <c r="BW613" s="73"/>
      <c r="BX613" s="73"/>
      <c r="BY613" s="73"/>
      <c r="BZ613" s="73"/>
      <c r="CA613" s="73"/>
      <c r="CB613" s="73"/>
      <c r="CC613" s="73"/>
      <c r="CD613" s="73"/>
      <c r="CE613" s="73"/>
    </row>
    <row r="614">
      <c r="A614" s="73"/>
      <c r="B614" s="73"/>
      <c r="C614" s="73"/>
      <c r="D614" s="74"/>
      <c r="E614" s="73"/>
      <c r="F614" s="73"/>
      <c r="G614" s="73"/>
      <c r="H614" s="73"/>
      <c r="I614" s="73"/>
      <c r="J614" s="73"/>
      <c r="K614" s="92"/>
      <c r="L614" s="73"/>
      <c r="M614" s="73"/>
      <c r="N614" s="73"/>
      <c r="O614" s="73"/>
      <c r="P614" s="73"/>
      <c r="Q614" s="75"/>
      <c r="R614" s="82"/>
      <c r="S614" s="92"/>
      <c r="T614" s="73"/>
      <c r="U614" s="73"/>
      <c r="V614" s="73"/>
      <c r="W614" s="73"/>
      <c r="X614" s="73"/>
      <c r="Y614" s="77"/>
      <c r="Z614" s="104"/>
      <c r="AA614" s="73"/>
      <c r="AB614" s="104"/>
      <c r="AC614" s="104"/>
      <c r="AD614" s="74"/>
      <c r="AE614" s="106"/>
      <c r="AF614" s="195"/>
      <c r="AG614" s="80"/>
      <c r="AH614" s="153"/>
      <c r="AI614" s="82"/>
      <c r="AJ614" s="114"/>
      <c r="AK614" s="106"/>
      <c r="AL614" s="74"/>
      <c r="AM614" s="73"/>
      <c r="AN614" s="73"/>
      <c r="AO614" s="102"/>
      <c r="AP614" s="73"/>
      <c r="AQ614" s="104"/>
      <c r="AR614" s="74"/>
      <c r="AS614" s="73"/>
      <c r="AT614" s="104"/>
      <c r="AU614" s="73"/>
      <c r="AV614" s="73"/>
      <c r="AW614" s="114"/>
      <c r="AX614" s="74"/>
      <c r="AY614" s="73"/>
      <c r="AZ614" s="73"/>
      <c r="BA614" s="161"/>
      <c r="BB614" s="82"/>
      <c r="BC614" s="73"/>
      <c r="BD614" s="73"/>
      <c r="BE614" s="73"/>
      <c r="BF614" s="73"/>
      <c r="BG614" s="73"/>
      <c r="BH614" s="73"/>
      <c r="BI614" s="73"/>
      <c r="BJ614" s="73"/>
      <c r="BK614" s="73"/>
      <c r="BL614" s="73"/>
      <c r="BM614" s="73"/>
      <c r="BN614" s="73"/>
      <c r="BO614" s="73"/>
      <c r="BP614" s="73"/>
      <c r="BQ614" s="73"/>
      <c r="BR614" s="73"/>
      <c r="BS614" s="73"/>
      <c r="BT614" s="74"/>
      <c r="BU614" s="73"/>
      <c r="BV614" s="73"/>
      <c r="BW614" s="73"/>
      <c r="BX614" s="73"/>
      <c r="BY614" s="73"/>
      <c r="BZ614" s="73"/>
      <c r="CA614" s="73"/>
      <c r="CB614" s="73"/>
      <c r="CC614" s="73"/>
      <c r="CD614" s="73"/>
      <c r="CE614" s="73"/>
    </row>
    <row r="615">
      <c r="A615" s="73"/>
      <c r="B615" s="73"/>
      <c r="C615" s="73"/>
      <c r="D615" s="74"/>
      <c r="E615" s="73"/>
      <c r="F615" s="73"/>
      <c r="G615" s="73"/>
      <c r="H615" s="73"/>
      <c r="I615" s="73"/>
      <c r="J615" s="73"/>
      <c r="K615" s="92"/>
      <c r="L615" s="73"/>
      <c r="M615" s="73"/>
      <c r="N615" s="73"/>
      <c r="O615" s="73"/>
      <c r="P615" s="73"/>
      <c r="Q615" s="75"/>
      <c r="R615" s="82"/>
      <c r="S615" s="92"/>
      <c r="T615" s="73"/>
      <c r="U615" s="73"/>
      <c r="V615" s="73"/>
      <c r="W615" s="73"/>
      <c r="X615" s="73"/>
      <c r="Y615" s="77"/>
      <c r="Z615" s="104"/>
      <c r="AA615" s="73"/>
      <c r="AB615" s="104"/>
      <c r="AC615" s="104"/>
      <c r="AD615" s="74"/>
      <c r="AE615" s="106"/>
      <c r="AF615" s="195"/>
      <c r="AG615" s="80"/>
      <c r="AH615" s="114"/>
      <c r="AI615" s="82"/>
      <c r="AJ615" s="114"/>
      <c r="AK615" s="106"/>
      <c r="AL615" s="74"/>
      <c r="AM615" s="73"/>
      <c r="AN615" s="73"/>
      <c r="AO615" s="102"/>
      <c r="AP615" s="73"/>
      <c r="AQ615" s="104"/>
      <c r="AR615" s="74"/>
      <c r="AS615" s="73"/>
      <c r="AT615" s="104"/>
      <c r="AU615" s="73"/>
      <c r="AV615" s="73"/>
      <c r="AW615" s="114"/>
      <c r="AX615" s="74"/>
      <c r="AY615" s="73"/>
      <c r="AZ615" s="73"/>
      <c r="BA615" s="178"/>
      <c r="BB615" s="82"/>
      <c r="BC615" s="73"/>
      <c r="BD615" s="73"/>
      <c r="BE615" s="73"/>
      <c r="BF615" s="73"/>
      <c r="BG615" s="73"/>
      <c r="BH615" s="73"/>
      <c r="BI615" s="73"/>
      <c r="BJ615" s="73"/>
      <c r="BK615" s="73"/>
      <c r="BL615" s="73"/>
      <c r="BM615" s="73"/>
      <c r="BN615" s="73"/>
      <c r="BO615" s="73"/>
      <c r="BP615" s="73"/>
      <c r="BQ615" s="73"/>
      <c r="BR615" s="73"/>
      <c r="BS615" s="73"/>
      <c r="BT615" s="74"/>
      <c r="BU615" s="73"/>
      <c r="BV615" s="73"/>
      <c r="BW615" s="73"/>
      <c r="BX615" s="73"/>
      <c r="BY615" s="73"/>
      <c r="BZ615" s="73"/>
      <c r="CA615" s="73"/>
      <c r="CB615" s="73"/>
      <c r="CC615" s="73"/>
      <c r="CD615" s="73"/>
      <c r="CE615" s="73"/>
    </row>
    <row r="616">
      <c r="A616" s="131"/>
      <c r="B616" s="73"/>
      <c r="C616" s="73"/>
      <c r="D616" s="74"/>
      <c r="E616" s="73"/>
      <c r="F616" s="73"/>
      <c r="G616" s="73"/>
      <c r="H616" s="73"/>
      <c r="I616" s="73"/>
      <c r="J616" s="73"/>
      <c r="K616" s="92"/>
      <c r="L616" s="73"/>
      <c r="M616" s="73"/>
      <c r="N616" s="73"/>
      <c r="O616" s="73"/>
      <c r="P616" s="73"/>
      <c r="Q616" s="75"/>
      <c r="R616" s="82"/>
      <c r="S616" s="92"/>
      <c r="T616" s="73"/>
      <c r="U616" s="73"/>
      <c r="V616" s="73"/>
      <c r="W616" s="73"/>
      <c r="X616" s="73"/>
      <c r="Y616" s="77"/>
      <c r="Z616" s="104"/>
      <c r="AA616" s="73"/>
      <c r="AB616" s="104"/>
      <c r="AC616" s="104"/>
      <c r="AD616" s="74"/>
      <c r="AE616" s="106"/>
      <c r="AF616" s="195"/>
      <c r="AG616" s="80"/>
      <c r="AH616" s="153"/>
      <c r="AI616" s="82"/>
      <c r="AJ616" s="114"/>
      <c r="AK616" s="106"/>
      <c r="AL616" s="74"/>
      <c r="AM616" s="73"/>
      <c r="AN616" s="73"/>
      <c r="AO616" s="102"/>
      <c r="AP616" s="73"/>
      <c r="AQ616" s="104"/>
      <c r="AR616" s="74"/>
      <c r="AS616" s="73"/>
      <c r="AT616" s="104"/>
      <c r="AU616" s="73"/>
      <c r="AV616" s="73"/>
      <c r="AW616" s="114"/>
      <c r="AX616" s="74"/>
      <c r="AY616" s="73"/>
      <c r="AZ616" s="73"/>
      <c r="BA616" s="171"/>
      <c r="BB616" s="82"/>
      <c r="BC616" s="73"/>
      <c r="BD616" s="73"/>
      <c r="BE616" s="73"/>
      <c r="BF616" s="73"/>
      <c r="BG616" s="73"/>
      <c r="BH616" s="73"/>
      <c r="BI616" s="73"/>
      <c r="BJ616" s="73"/>
      <c r="BK616" s="73"/>
      <c r="BL616" s="73"/>
      <c r="BM616" s="73"/>
      <c r="BN616" s="73"/>
      <c r="BO616" s="73"/>
      <c r="BP616" s="73"/>
      <c r="BQ616" s="73"/>
      <c r="BR616" s="73"/>
      <c r="BS616" s="73"/>
      <c r="BT616" s="74"/>
      <c r="BU616" s="73"/>
      <c r="BV616" s="73"/>
      <c r="BW616" s="73"/>
      <c r="BX616" s="73"/>
      <c r="BY616" s="73"/>
      <c r="BZ616" s="73"/>
      <c r="CA616" s="73"/>
      <c r="CB616" s="73"/>
      <c r="CC616" s="73"/>
      <c r="CD616" s="73"/>
      <c r="CE616" s="73"/>
    </row>
    <row r="617">
      <c r="A617" s="73"/>
      <c r="B617" s="73"/>
      <c r="C617" s="73"/>
      <c r="D617" s="74"/>
      <c r="E617" s="73"/>
      <c r="F617" s="73"/>
      <c r="G617" s="73"/>
      <c r="H617" s="73"/>
      <c r="I617" s="73"/>
      <c r="J617" s="73"/>
      <c r="K617" s="92"/>
      <c r="L617" s="73"/>
      <c r="M617" s="73"/>
      <c r="N617" s="73"/>
      <c r="O617" s="73"/>
      <c r="P617" s="73"/>
      <c r="Q617" s="75"/>
      <c r="R617" s="82"/>
      <c r="S617" s="92"/>
      <c r="T617" s="73"/>
      <c r="U617" s="73"/>
      <c r="V617" s="73"/>
      <c r="W617" s="73"/>
      <c r="X617" s="73"/>
      <c r="Y617" s="77"/>
      <c r="Z617" s="104"/>
      <c r="AA617" s="73"/>
      <c r="AB617" s="104"/>
      <c r="AC617" s="104"/>
      <c r="AD617" s="74"/>
      <c r="AE617" s="106"/>
      <c r="AF617" s="195"/>
      <c r="AG617" s="80"/>
      <c r="AH617" s="114"/>
      <c r="AI617" s="82"/>
      <c r="AJ617" s="114"/>
      <c r="AK617" s="106"/>
      <c r="AL617" s="74"/>
      <c r="AM617" s="73"/>
      <c r="AN617" s="73"/>
      <c r="AO617" s="102"/>
      <c r="AP617" s="73"/>
      <c r="AQ617" s="104"/>
      <c r="AR617" s="74"/>
      <c r="AS617" s="73"/>
      <c r="AT617" s="104"/>
      <c r="AU617" s="73"/>
      <c r="AV617" s="73"/>
      <c r="AW617" s="114"/>
      <c r="AX617" s="74"/>
      <c r="AY617" s="73"/>
      <c r="AZ617" s="73"/>
      <c r="BA617" s="159"/>
      <c r="BB617" s="82"/>
      <c r="BC617" s="73"/>
      <c r="BD617" s="73"/>
      <c r="BE617" s="73"/>
      <c r="BF617" s="73"/>
      <c r="BG617" s="73"/>
      <c r="BH617" s="73"/>
      <c r="BI617" s="73"/>
      <c r="BJ617" s="73"/>
      <c r="BK617" s="73"/>
      <c r="BL617" s="73"/>
      <c r="BM617" s="73"/>
      <c r="BN617" s="73"/>
      <c r="BO617" s="73"/>
      <c r="BP617" s="73"/>
      <c r="BQ617" s="73"/>
      <c r="BR617" s="73"/>
      <c r="BS617" s="73"/>
      <c r="BT617" s="74"/>
      <c r="BU617" s="73"/>
      <c r="BV617" s="73"/>
      <c r="BW617" s="73"/>
      <c r="BX617" s="73"/>
      <c r="BY617" s="73"/>
      <c r="BZ617" s="73"/>
      <c r="CA617" s="73"/>
      <c r="CB617" s="73"/>
      <c r="CC617" s="73"/>
      <c r="CD617" s="73"/>
      <c r="CE617" s="73"/>
    </row>
    <row r="618">
      <c r="A618" s="73"/>
      <c r="B618" s="73"/>
      <c r="C618" s="73"/>
      <c r="D618" s="74"/>
      <c r="E618" s="73"/>
      <c r="F618" s="73"/>
      <c r="G618" s="73"/>
      <c r="H618" s="73"/>
      <c r="I618" s="73"/>
      <c r="J618" s="73"/>
      <c r="K618" s="92"/>
      <c r="L618" s="73"/>
      <c r="M618" s="73"/>
      <c r="N618" s="73"/>
      <c r="O618" s="73"/>
      <c r="P618" s="73"/>
      <c r="Q618" s="75"/>
      <c r="R618" s="82"/>
      <c r="S618" s="92"/>
      <c r="T618" s="73"/>
      <c r="U618" s="73"/>
      <c r="V618" s="73"/>
      <c r="W618" s="73"/>
      <c r="X618" s="73"/>
      <c r="Y618" s="77"/>
      <c r="Z618" s="104"/>
      <c r="AA618" s="73"/>
      <c r="AB618" s="104"/>
      <c r="AC618" s="104"/>
      <c r="AD618" s="74"/>
      <c r="AE618" s="106"/>
      <c r="AF618" s="195"/>
      <c r="AG618" s="80"/>
      <c r="AH618" s="143"/>
      <c r="AI618" s="82"/>
      <c r="AJ618" s="114"/>
      <c r="AK618" s="106"/>
      <c r="AL618" s="74"/>
      <c r="AM618" s="73"/>
      <c r="AN618" s="73"/>
      <c r="AO618" s="102"/>
      <c r="AP618" s="73"/>
      <c r="AQ618" s="104"/>
      <c r="AR618" s="74"/>
      <c r="AS618" s="73"/>
      <c r="AT618" s="104"/>
      <c r="AU618" s="73"/>
      <c r="AV618" s="73"/>
      <c r="AW618" s="114"/>
      <c r="AX618" s="74"/>
      <c r="AY618" s="73"/>
      <c r="AZ618" s="73"/>
      <c r="BA618" s="74"/>
      <c r="BB618" s="73"/>
      <c r="BC618" s="73"/>
      <c r="BD618" s="73"/>
      <c r="BE618" s="73"/>
      <c r="BF618" s="73"/>
      <c r="BG618" s="73"/>
      <c r="BH618" s="73"/>
      <c r="BI618" s="73"/>
      <c r="BJ618" s="73"/>
      <c r="BK618" s="73"/>
      <c r="BL618" s="73"/>
      <c r="BM618" s="73"/>
      <c r="BN618" s="73"/>
      <c r="BO618" s="73"/>
      <c r="BP618" s="73"/>
      <c r="BQ618" s="73"/>
      <c r="BR618" s="73"/>
      <c r="BS618" s="73"/>
      <c r="BT618" s="74"/>
      <c r="BU618" s="73"/>
      <c r="BV618" s="73"/>
      <c r="BW618" s="73"/>
      <c r="BX618" s="73"/>
      <c r="BY618" s="73"/>
      <c r="BZ618" s="73"/>
      <c r="CA618" s="73"/>
      <c r="CB618" s="73"/>
      <c r="CC618" s="73"/>
      <c r="CD618" s="73"/>
      <c r="CE618" s="73"/>
    </row>
    <row r="619">
      <c r="A619" s="73"/>
      <c r="B619" s="73"/>
      <c r="C619" s="73"/>
      <c r="D619" s="74"/>
      <c r="E619" s="73"/>
      <c r="F619" s="73"/>
      <c r="G619" s="73"/>
      <c r="H619" s="73"/>
      <c r="I619" s="73"/>
      <c r="J619" s="73"/>
      <c r="K619" s="92"/>
      <c r="L619" s="73"/>
      <c r="M619" s="73"/>
      <c r="N619" s="73"/>
      <c r="O619" s="73"/>
      <c r="P619" s="73"/>
      <c r="Q619" s="75"/>
      <c r="R619" s="82"/>
      <c r="S619" s="92"/>
      <c r="T619" s="73"/>
      <c r="U619" s="73"/>
      <c r="V619" s="73"/>
      <c r="W619" s="73"/>
      <c r="X619" s="73"/>
      <c r="Y619" s="77"/>
      <c r="Z619" s="104"/>
      <c r="AA619" s="73"/>
      <c r="AB619" s="104"/>
      <c r="AC619" s="104"/>
      <c r="AD619" s="74"/>
      <c r="AE619" s="106"/>
      <c r="AF619" s="195"/>
      <c r="AG619" s="80"/>
      <c r="AH619" s="113"/>
      <c r="AI619" s="82"/>
      <c r="AJ619" s="114"/>
      <c r="AK619" s="106"/>
      <c r="AL619" s="74"/>
      <c r="AM619" s="73"/>
      <c r="AN619" s="73"/>
      <c r="AO619" s="102"/>
      <c r="AP619" s="73"/>
      <c r="AQ619" s="104"/>
      <c r="AR619" s="74"/>
      <c r="AS619" s="73"/>
      <c r="AT619" s="104"/>
      <c r="AU619" s="73"/>
      <c r="AV619" s="73"/>
      <c r="AW619" s="114"/>
      <c r="AX619" s="74"/>
      <c r="AY619" s="73"/>
      <c r="AZ619" s="73"/>
      <c r="BA619" s="74"/>
      <c r="BB619" s="73"/>
      <c r="BC619" s="73"/>
      <c r="BD619" s="73"/>
      <c r="BE619" s="73"/>
      <c r="BF619" s="73"/>
      <c r="BG619" s="73"/>
      <c r="BH619" s="73"/>
      <c r="BI619" s="73"/>
      <c r="BJ619" s="73"/>
      <c r="BK619" s="73"/>
      <c r="BL619" s="73"/>
      <c r="BM619" s="73"/>
      <c r="BN619" s="73"/>
      <c r="BO619" s="73"/>
      <c r="BP619" s="73"/>
      <c r="BQ619" s="73"/>
      <c r="BR619" s="73"/>
      <c r="BS619" s="73"/>
      <c r="BT619" s="74"/>
      <c r="BU619" s="73"/>
      <c r="BV619" s="73"/>
      <c r="BW619" s="73"/>
      <c r="BX619" s="73"/>
      <c r="BY619" s="73"/>
      <c r="BZ619" s="73"/>
      <c r="CA619" s="73"/>
      <c r="CB619" s="73"/>
      <c r="CC619" s="73"/>
      <c r="CD619" s="73"/>
      <c r="CE619" s="73"/>
    </row>
    <row r="620">
      <c r="A620" s="73"/>
      <c r="B620" s="73"/>
      <c r="C620" s="73"/>
      <c r="D620" s="74"/>
      <c r="E620" s="73"/>
      <c r="F620" s="73"/>
      <c r="G620" s="73"/>
      <c r="H620" s="73"/>
      <c r="I620" s="73"/>
      <c r="J620" s="73"/>
      <c r="K620" s="92"/>
      <c r="L620" s="73"/>
      <c r="M620" s="73"/>
      <c r="N620" s="73"/>
      <c r="O620" s="73"/>
      <c r="P620" s="73"/>
      <c r="Q620" s="75"/>
      <c r="R620" s="82"/>
      <c r="S620" s="73"/>
      <c r="T620" s="73"/>
      <c r="U620" s="73"/>
      <c r="V620" s="73"/>
      <c r="W620" s="73"/>
      <c r="X620" s="73"/>
      <c r="Y620" s="77"/>
      <c r="Z620" s="104"/>
      <c r="AA620" s="73"/>
      <c r="AB620" s="104"/>
      <c r="AC620" s="104"/>
      <c r="AD620" s="74"/>
      <c r="AE620" s="106"/>
      <c r="AF620" s="195"/>
      <c r="AG620" s="80"/>
      <c r="AH620" s="153"/>
      <c r="AI620" s="82"/>
      <c r="AJ620" s="114"/>
      <c r="AK620" s="106"/>
      <c r="AL620" s="74"/>
      <c r="AM620" s="73"/>
      <c r="AN620" s="73"/>
      <c r="AO620" s="102"/>
      <c r="AP620" s="73"/>
      <c r="AQ620" s="73"/>
      <c r="AR620" s="74"/>
      <c r="AS620" s="73"/>
      <c r="AT620" s="104"/>
      <c r="AU620" s="73"/>
      <c r="AV620" s="73"/>
      <c r="AW620" s="114"/>
      <c r="AX620" s="74"/>
      <c r="AY620" s="73"/>
      <c r="AZ620" s="73"/>
      <c r="BA620" s="74"/>
      <c r="BB620" s="73"/>
      <c r="BC620" s="73"/>
      <c r="BD620" s="73"/>
      <c r="BE620" s="73"/>
      <c r="BF620" s="73"/>
      <c r="BG620" s="73"/>
      <c r="BH620" s="73"/>
      <c r="BI620" s="73"/>
      <c r="BJ620" s="73"/>
      <c r="BK620" s="73"/>
      <c r="BL620" s="73"/>
      <c r="BM620" s="73"/>
      <c r="BN620" s="73"/>
      <c r="BO620" s="73"/>
      <c r="BP620" s="73"/>
      <c r="BQ620" s="73"/>
      <c r="BR620" s="73"/>
      <c r="BS620" s="73"/>
      <c r="BT620" s="74"/>
      <c r="BU620" s="73"/>
      <c r="BV620" s="73"/>
      <c r="BW620" s="73"/>
      <c r="BX620" s="73"/>
      <c r="BY620" s="73"/>
      <c r="BZ620" s="73"/>
      <c r="CA620" s="73"/>
      <c r="CB620" s="73"/>
      <c r="CC620" s="73"/>
      <c r="CD620" s="73"/>
      <c r="CE620" s="73"/>
    </row>
    <row r="621">
      <c r="A621" s="73"/>
      <c r="B621" s="73"/>
      <c r="C621" s="73"/>
      <c r="D621" s="74"/>
      <c r="E621" s="73"/>
      <c r="F621" s="73"/>
      <c r="G621" s="73"/>
      <c r="H621" s="73"/>
      <c r="I621" s="73"/>
      <c r="J621" s="73"/>
      <c r="K621" s="92"/>
      <c r="L621" s="73"/>
      <c r="M621" s="73"/>
      <c r="N621" s="73"/>
      <c r="O621" s="73"/>
      <c r="P621" s="73"/>
      <c r="Q621" s="75"/>
      <c r="R621" s="82"/>
      <c r="S621" s="73"/>
      <c r="T621" s="73"/>
      <c r="U621" s="73"/>
      <c r="V621" s="73"/>
      <c r="W621" s="73"/>
      <c r="X621" s="73"/>
      <c r="Y621" s="77"/>
      <c r="Z621" s="104"/>
      <c r="AA621" s="73"/>
      <c r="AB621" s="104"/>
      <c r="AC621" s="104"/>
      <c r="AD621" s="74"/>
      <c r="AE621" s="106"/>
      <c r="AF621" s="195"/>
      <c r="AG621" s="80"/>
      <c r="AH621" s="183"/>
      <c r="AI621" s="82"/>
      <c r="AJ621" s="114"/>
      <c r="AK621" s="106"/>
      <c r="AL621" s="74"/>
      <c r="AM621" s="73"/>
      <c r="AN621" s="73"/>
      <c r="AO621" s="102"/>
      <c r="AP621" s="73"/>
      <c r="AQ621" s="104"/>
      <c r="AR621" s="74"/>
      <c r="AS621" s="73"/>
      <c r="AT621" s="104"/>
      <c r="AU621" s="73"/>
      <c r="AV621" s="73"/>
      <c r="AW621" s="114"/>
      <c r="AX621" s="74"/>
      <c r="AY621" s="73"/>
      <c r="AZ621" s="73"/>
      <c r="BA621" s="74"/>
      <c r="BB621" s="73"/>
      <c r="BC621" s="73"/>
      <c r="BD621" s="73"/>
      <c r="BE621" s="73"/>
      <c r="BF621" s="73"/>
      <c r="BG621" s="73"/>
      <c r="BH621" s="73"/>
      <c r="BI621" s="73"/>
      <c r="BJ621" s="73"/>
      <c r="BK621" s="73"/>
      <c r="BL621" s="73"/>
      <c r="BM621" s="73"/>
      <c r="BN621" s="73"/>
      <c r="BO621" s="73"/>
      <c r="BP621" s="73"/>
      <c r="BQ621" s="73"/>
      <c r="BR621" s="73"/>
      <c r="BS621" s="73"/>
      <c r="BT621" s="74"/>
      <c r="BU621" s="73"/>
      <c r="BV621" s="73"/>
      <c r="BW621" s="73"/>
      <c r="BX621" s="73"/>
      <c r="BY621" s="73"/>
      <c r="BZ621" s="73"/>
      <c r="CA621" s="73"/>
      <c r="CB621" s="73"/>
      <c r="CC621" s="73"/>
      <c r="CD621" s="73"/>
      <c r="CE621" s="73"/>
    </row>
    <row r="622">
      <c r="A622" s="73"/>
      <c r="B622" s="73"/>
      <c r="C622" s="73"/>
      <c r="D622" s="74"/>
      <c r="E622" s="73"/>
      <c r="F622" s="73"/>
      <c r="G622" s="73"/>
      <c r="H622" s="73"/>
      <c r="I622" s="73"/>
      <c r="J622" s="73"/>
      <c r="K622" s="92"/>
      <c r="L622" s="73"/>
      <c r="M622" s="73"/>
      <c r="N622" s="73"/>
      <c r="O622" s="73"/>
      <c r="P622" s="73"/>
      <c r="Q622" s="75"/>
      <c r="R622" s="82"/>
      <c r="S622" s="73"/>
      <c r="T622" s="73"/>
      <c r="U622" s="73"/>
      <c r="V622" s="73"/>
      <c r="W622" s="73"/>
      <c r="X622" s="73"/>
      <c r="Y622" s="77"/>
      <c r="Z622" s="104"/>
      <c r="AA622" s="73"/>
      <c r="AB622" s="104"/>
      <c r="AC622" s="104"/>
      <c r="AD622" s="74"/>
      <c r="AE622" s="106"/>
      <c r="AF622" s="195"/>
      <c r="AG622" s="80"/>
      <c r="AH622" s="185"/>
      <c r="AI622" s="82"/>
      <c r="AJ622" s="114"/>
      <c r="AK622" s="106"/>
      <c r="AL622" s="74"/>
      <c r="AM622" s="73"/>
      <c r="AN622" s="73"/>
      <c r="AO622" s="102"/>
      <c r="AP622" s="73"/>
      <c r="AQ622" s="104"/>
      <c r="AR622" s="74"/>
      <c r="AS622" s="73"/>
      <c r="AT622" s="104"/>
      <c r="AU622" s="73"/>
      <c r="AV622" s="73"/>
      <c r="AW622" s="114"/>
      <c r="AX622" s="74"/>
      <c r="AY622" s="73"/>
      <c r="AZ622" s="73"/>
      <c r="BA622" s="74"/>
      <c r="BB622" s="73"/>
      <c r="BC622" s="73"/>
      <c r="BD622" s="73"/>
      <c r="BE622" s="73"/>
      <c r="BF622" s="73"/>
      <c r="BG622" s="73"/>
      <c r="BH622" s="73"/>
      <c r="BI622" s="73"/>
      <c r="BJ622" s="73"/>
      <c r="BK622" s="73"/>
      <c r="BL622" s="73"/>
      <c r="BM622" s="73"/>
      <c r="BN622" s="73"/>
      <c r="BO622" s="73"/>
      <c r="BP622" s="73"/>
      <c r="BQ622" s="73"/>
      <c r="BR622" s="73"/>
      <c r="BS622" s="73"/>
      <c r="BT622" s="74"/>
      <c r="BU622" s="73"/>
      <c r="BV622" s="73"/>
      <c r="BW622" s="73"/>
      <c r="BX622" s="73"/>
      <c r="BY622" s="73"/>
      <c r="BZ622" s="73"/>
      <c r="CA622" s="73"/>
      <c r="CB622" s="73"/>
      <c r="CC622" s="73"/>
      <c r="CD622" s="73"/>
      <c r="CE622" s="73"/>
    </row>
    <row r="623">
      <c r="A623" s="73"/>
      <c r="B623" s="73"/>
      <c r="C623" s="73"/>
      <c r="D623" s="74"/>
      <c r="E623" s="73"/>
      <c r="F623" s="73"/>
      <c r="G623" s="73"/>
      <c r="H623" s="73"/>
      <c r="I623" s="73"/>
      <c r="J623" s="73"/>
      <c r="K623" s="92"/>
      <c r="L623" s="73"/>
      <c r="M623" s="73"/>
      <c r="N623" s="73"/>
      <c r="O623" s="73"/>
      <c r="P623" s="73"/>
      <c r="Q623" s="75"/>
      <c r="R623" s="82"/>
      <c r="S623" s="73"/>
      <c r="T623" s="73"/>
      <c r="U623" s="73"/>
      <c r="V623" s="73"/>
      <c r="W623" s="73"/>
      <c r="X623" s="73"/>
      <c r="Y623" s="77"/>
      <c r="Z623" s="104"/>
      <c r="AA623" s="73"/>
      <c r="AB623" s="104"/>
      <c r="AC623" s="104"/>
      <c r="AD623" s="74"/>
      <c r="AE623" s="106"/>
      <c r="AF623" s="195"/>
      <c r="AG623" s="80"/>
      <c r="AH623" s="187"/>
      <c r="AI623" s="82"/>
      <c r="AJ623" s="114"/>
      <c r="AK623" s="106"/>
      <c r="AL623" s="74"/>
      <c r="AM623" s="73"/>
      <c r="AN623" s="73"/>
      <c r="AO623" s="102"/>
      <c r="AP623" s="73"/>
      <c r="AQ623" s="104"/>
      <c r="AR623" s="74"/>
      <c r="AS623" s="73"/>
      <c r="AT623" s="104"/>
      <c r="AU623" s="73"/>
      <c r="AV623" s="73"/>
      <c r="AW623" s="114"/>
      <c r="AX623" s="74"/>
      <c r="AY623" s="73"/>
      <c r="AZ623" s="73"/>
      <c r="BA623" s="74"/>
      <c r="BB623" s="73"/>
      <c r="BC623" s="73"/>
      <c r="BD623" s="73"/>
      <c r="BE623" s="73"/>
      <c r="BF623" s="73"/>
      <c r="BG623" s="73"/>
      <c r="BH623" s="73"/>
      <c r="BI623" s="73"/>
      <c r="BJ623" s="73"/>
      <c r="BK623" s="73"/>
      <c r="BL623" s="73"/>
      <c r="BM623" s="73"/>
      <c r="BN623" s="73"/>
      <c r="BO623" s="73"/>
      <c r="BP623" s="73"/>
      <c r="BQ623" s="73"/>
      <c r="BR623" s="73"/>
      <c r="BS623" s="73"/>
      <c r="BT623" s="74"/>
      <c r="BU623" s="73"/>
      <c r="BV623" s="73"/>
      <c r="BW623" s="73"/>
      <c r="BX623" s="73"/>
      <c r="BY623" s="73"/>
      <c r="BZ623" s="73"/>
      <c r="CA623" s="73"/>
      <c r="CB623" s="73"/>
      <c r="CC623" s="73"/>
      <c r="CD623" s="73"/>
      <c r="CE623" s="73"/>
    </row>
    <row r="624">
      <c r="A624" s="73"/>
      <c r="B624" s="73"/>
      <c r="C624" s="73"/>
      <c r="D624" s="74"/>
      <c r="E624" s="73"/>
      <c r="F624" s="73"/>
      <c r="G624" s="73"/>
      <c r="H624" s="73"/>
      <c r="I624" s="73"/>
      <c r="J624" s="73"/>
      <c r="K624" s="92"/>
      <c r="L624" s="73"/>
      <c r="M624" s="73"/>
      <c r="N624" s="73"/>
      <c r="O624" s="73"/>
      <c r="P624" s="73"/>
      <c r="Q624" s="75"/>
      <c r="R624" s="82"/>
      <c r="S624" s="73"/>
      <c r="T624" s="73"/>
      <c r="U624" s="73"/>
      <c r="V624" s="73"/>
      <c r="W624" s="73"/>
      <c r="X624" s="73"/>
      <c r="Y624" s="77"/>
      <c r="Z624" s="104"/>
      <c r="AA624" s="73"/>
      <c r="AB624" s="104"/>
      <c r="AC624" s="104"/>
      <c r="AD624" s="74"/>
      <c r="AE624" s="106"/>
      <c r="AF624" s="195"/>
      <c r="AG624" s="80"/>
      <c r="AH624" s="153"/>
      <c r="AI624" s="82"/>
      <c r="AJ624" s="114"/>
      <c r="AK624" s="106"/>
      <c r="AL624" s="74"/>
      <c r="AM624" s="73"/>
      <c r="AN624" s="73"/>
      <c r="AO624" s="102"/>
      <c r="AP624" s="73"/>
      <c r="AQ624" s="104"/>
      <c r="AR624" s="74"/>
      <c r="AS624" s="73"/>
      <c r="AT624" s="104"/>
      <c r="AU624" s="73"/>
      <c r="AV624" s="73"/>
      <c r="AW624" s="114"/>
      <c r="AX624" s="74"/>
      <c r="AY624" s="73"/>
      <c r="AZ624" s="73"/>
      <c r="BA624" s="74"/>
      <c r="BB624" s="73"/>
      <c r="BC624" s="73"/>
      <c r="BD624" s="73"/>
      <c r="BE624" s="73"/>
      <c r="BF624" s="73"/>
      <c r="BG624" s="73"/>
      <c r="BH624" s="73"/>
      <c r="BI624" s="73"/>
      <c r="BJ624" s="73"/>
      <c r="BK624" s="73"/>
      <c r="BL624" s="73"/>
      <c r="BM624" s="73"/>
      <c r="BN624" s="73"/>
      <c r="BO624" s="73"/>
      <c r="BP624" s="73"/>
      <c r="BQ624" s="73"/>
      <c r="BR624" s="73"/>
      <c r="BS624" s="73"/>
      <c r="BT624" s="74"/>
      <c r="BU624" s="73"/>
      <c r="BV624" s="73"/>
      <c r="BW624" s="73"/>
      <c r="BX624" s="73"/>
      <c r="BY624" s="73"/>
      <c r="BZ624" s="73"/>
      <c r="CA624" s="73"/>
      <c r="CB624" s="73"/>
      <c r="CC624" s="73"/>
      <c r="CD624" s="73"/>
      <c r="CE624" s="73"/>
    </row>
    <row r="625">
      <c r="A625" s="73"/>
      <c r="B625" s="73"/>
      <c r="C625" s="73"/>
      <c r="D625" s="74"/>
      <c r="E625" s="73"/>
      <c r="F625" s="73"/>
      <c r="G625" s="73"/>
      <c r="H625" s="73"/>
      <c r="I625" s="73"/>
      <c r="J625" s="73"/>
      <c r="K625" s="92"/>
      <c r="L625" s="73"/>
      <c r="M625" s="73"/>
      <c r="N625" s="73"/>
      <c r="O625" s="73"/>
      <c r="P625" s="73"/>
      <c r="Q625" s="75"/>
      <c r="R625" s="82"/>
      <c r="S625" s="73"/>
      <c r="T625" s="73"/>
      <c r="U625" s="73"/>
      <c r="V625" s="73"/>
      <c r="W625" s="73"/>
      <c r="X625" s="73"/>
      <c r="Y625" s="77"/>
      <c r="Z625" s="104"/>
      <c r="AA625" s="73"/>
      <c r="AB625" s="104"/>
      <c r="AC625" s="104"/>
      <c r="AD625" s="74"/>
      <c r="AE625" s="106"/>
      <c r="AF625" s="195"/>
      <c r="AG625" s="80"/>
      <c r="AH625" s="135"/>
      <c r="AI625" s="82"/>
      <c r="AJ625" s="114"/>
      <c r="AK625" s="106"/>
      <c r="AL625" s="74"/>
      <c r="AM625" s="73"/>
      <c r="AN625" s="73"/>
      <c r="AO625" s="102"/>
      <c r="AP625" s="73"/>
      <c r="AQ625" s="104"/>
      <c r="AR625" s="74"/>
      <c r="AS625" s="73"/>
      <c r="AT625" s="104"/>
      <c r="AU625" s="73"/>
      <c r="AV625" s="73"/>
      <c r="AW625" s="114"/>
      <c r="AX625" s="74"/>
      <c r="AY625" s="73"/>
      <c r="AZ625" s="73"/>
      <c r="BA625" s="74"/>
      <c r="BB625" s="73"/>
      <c r="BC625" s="73"/>
      <c r="BD625" s="73"/>
      <c r="BE625" s="73"/>
      <c r="BF625" s="73"/>
      <c r="BG625" s="73"/>
      <c r="BH625" s="73"/>
      <c r="BI625" s="73"/>
      <c r="BJ625" s="73"/>
      <c r="BK625" s="73"/>
      <c r="BL625" s="73"/>
      <c r="BM625" s="73"/>
      <c r="BN625" s="73"/>
      <c r="BO625" s="73"/>
      <c r="BP625" s="73"/>
      <c r="BQ625" s="73"/>
      <c r="BR625" s="73"/>
      <c r="BS625" s="73"/>
      <c r="BT625" s="74"/>
      <c r="BU625" s="73"/>
      <c r="BV625" s="73"/>
      <c r="BW625" s="73"/>
      <c r="BX625" s="73"/>
      <c r="BY625" s="73"/>
      <c r="BZ625" s="73"/>
      <c r="CA625" s="73"/>
      <c r="CB625" s="73"/>
      <c r="CC625" s="73"/>
      <c r="CD625" s="73"/>
      <c r="CE625" s="73"/>
    </row>
    <row r="626">
      <c r="A626" s="73"/>
      <c r="B626" s="73"/>
      <c r="C626" s="73"/>
      <c r="D626" s="74"/>
      <c r="E626" s="73"/>
      <c r="F626" s="73"/>
      <c r="G626" s="73"/>
      <c r="H626" s="73"/>
      <c r="I626" s="73"/>
      <c r="J626" s="73"/>
      <c r="K626" s="92"/>
      <c r="L626" s="73"/>
      <c r="M626" s="73"/>
      <c r="N626" s="73"/>
      <c r="O626" s="73"/>
      <c r="P626" s="73"/>
      <c r="Q626" s="75"/>
      <c r="R626" s="82"/>
      <c r="S626" s="73"/>
      <c r="T626" s="73"/>
      <c r="U626" s="73"/>
      <c r="V626" s="73"/>
      <c r="W626" s="73"/>
      <c r="X626" s="73"/>
      <c r="Y626" s="77"/>
      <c r="Z626" s="104"/>
      <c r="AA626" s="73"/>
      <c r="AB626" s="104"/>
      <c r="AC626" s="104"/>
      <c r="AD626" s="74"/>
      <c r="AE626" s="106"/>
      <c r="AF626" s="195"/>
      <c r="AG626" s="80"/>
      <c r="AH626" s="190"/>
      <c r="AI626" s="82"/>
      <c r="AJ626" s="114"/>
      <c r="AK626" s="106"/>
      <c r="AL626" s="74"/>
      <c r="AM626" s="73"/>
      <c r="AN626" s="73"/>
      <c r="AO626" s="102"/>
      <c r="AP626" s="73"/>
      <c r="AQ626" s="73"/>
      <c r="AR626" s="74"/>
      <c r="AS626" s="73"/>
      <c r="AT626" s="104"/>
      <c r="AU626" s="73"/>
      <c r="AV626" s="73"/>
      <c r="AW626" s="73"/>
      <c r="AX626" s="74"/>
      <c r="AY626" s="73"/>
      <c r="AZ626" s="73"/>
      <c r="BA626" s="74"/>
      <c r="BB626" s="73"/>
      <c r="BC626" s="73"/>
      <c r="BD626" s="73"/>
      <c r="BE626" s="73"/>
      <c r="BF626" s="73"/>
      <c r="BG626" s="73"/>
      <c r="BH626" s="73"/>
      <c r="BI626" s="73"/>
      <c r="BJ626" s="73"/>
      <c r="BK626" s="73"/>
      <c r="BL626" s="73"/>
      <c r="BM626" s="73"/>
      <c r="BN626" s="73"/>
      <c r="BO626" s="73"/>
      <c r="BP626" s="73"/>
      <c r="BQ626" s="73"/>
      <c r="BR626" s="73"/>
      <c r="BS626" s="73"/>
      <c r="BT626" s="74"/>
      <c r="BU626" s="73"/>
      <c r="BV626" s="73"/>
      <c r="BW626" s="73"/>
      <c r="BX626" s="73"/>
      <c r="BY626" s="73"/>
      <c r="BZ626" s="73"/>
      <c r="CA626" s="73"/>
      <c r="CB626" s="73"/>
      <c r="CC626" s="73"/>
      <c r="CD626" s="73"/>
      <c r="CE626" s="73"/>
    </row>
    <row r="627">
      <c r="A627" s="73"/>
      <c r="B627" s="73"/>
      <c r="C627" s="73"/>
      <c r="D627" s="74"/>
      <c r="E627" s="73"/>
      <c r="F627" s="73"/>
      <c r="G627" s="73"/>
      <c r="H627" s="73"/>
      <c r="I627" s="73"/>
      <c r="J627" s="73"/>
      <c r="K627" s="92"/>
      <c r="L627" s="73"/>
      <c r="M627" s="73"/>
      <c r="N627" s="73"/>
      <c r="O627" s="73"/>
      <c r="P627" s="73"/>
      <c r="Q627" s="75"/>
      <c r="R627" s="82"/>
      <c r="S627" s="73"/>
      <c r="T627" s="73"/>
      <c r="U627" s="73"/>
      <c r="V627" s="73"/>
      <c r="W627" s="73"/>
      <c r="X627" s="73"/>
      <c r="Y627" s="77"/>
      <c r="Z627" s="104"/>
      <c r="AA627" s="73"/>
      <c r="AB627" s="104"/>
      <c r="AC627" s="104"/>
      <c r="AD627" s="74"/>
      <c r="AE627" s="106"/>
      <c r="AF627" s="195"/>
      <c r="AG627" s="80"/>
      <c r="AH627" s="153"/>
      <c r="AI627" s="82"/>
      <c r="AJ627" s="114"/>
      <c r="AK627" s="106"/>
      <c r="AL627" s="74"/>
      <c r="AM627" s="73"/>
      <c r="AN627" s="73"/>
      <c r="AO627" s="102"/>
      <c r="AP627" s="73"/>
      <c r="AQ627" s="104"/>
      <c r="AR627" s="74"/>
      <c r="AS627" s="73"/>
      <c r="AT627" s="104"/>
      <c r="AU627" s="73"/>
      <c r="AV627" s="73"/>
      <c r="AW627" s="114"/>
      <c r="AX627" s="74"/>
      <c r="AY627" s="73"/>
      <c r="AZ627" s="73"/>
      <c r="BA627" s="74"/>
      <c r="BB627" s="73"/>
      <c r="BC627" s="73"/>
      <c r="BD627" s="73"/>
      <c r="BE627" s="73"/>
      <c r="BF627" s="73"/>
      <c r="BG627" s="73"/>
      <c r="BH627" s="73"/>
      <c r="BI627" s="73"/>
      <c r="BJ627" s="73"/>
      <c r="BK627" s="73"/>
      <c r="BL627" s="73"/>
      <c r="BM627" s="73"/>
      <c r="BN627" s="73"/>
      <c r="BO627" s="73"/>
      <c r="BP627" s="73"/>
      <c r="BQ627" s="73"/>
      <c r="BR627" s="73"/>
      <c r="BS627" s="73"/>
      <c r="BT627" s="74"/>
      <c r="BU627" s="73"/>
      <c r="BV627" s="73"/>
      <c r="BW627" s="73"/>
      <c r="BX627" s="73"/>
      <c r="BY627" s="73"/>
      <c r="BZ627" s="73"/>
      <c r="CA627" s="73"/>
      <c r="CB627" s="73"/>
      <c r="CC627" s="73"/>
      <c r="CD627" s="73"/>
      <c r="CE627" s="73"/>
    </row>
    <row r="628">
      <c r="A628" s="73"/>
      <c r="B628" s="73"/>
      <c r="C628" s="73"/>
      <c r="D628" s="74"/>
      <c r="E628" s="73"/>
      <c r="F628" s="73"/>
      <c r="G628" s="73"/>
      <c r="H628" s="73"/>
      <c r="I628" s="73"/>
      <c r="J628" s="73"/>
      <c r="K628" s="92"/>
      <c r="L628" s="73"/>
      <c r="M628" s="73"/>
      <c r="N628" s="73"/>
      <c r="O628" s="73"/>
      <c r="P628" s="73"/>
      <c r="Q628" s="75"/>
      <c r="R628" s="82"/>
      <c r="S628" s="73"/>
      <c r="T628" s="73"/>
      <c r="U628" s="73"/>
      <c r="V628" s="73"/>
      <c r="W628" s="73"/>
      <c r="X628" s="73"/>
      <c r="Y628" s="77"/>
      <c r="Z628" s="104"/>
      <c r="AA628" s="73"/>
      <c r="AB628" s="104"/>
      <c r="AC628" s="104"/>
      <c r="AD628" s="74"/>
      <c r="AE628" s="106"/>
      <c r="AF628" s="195"/>
      <c r="AG628" s="80"/>
      <c r="AH628" s="153"/>
      <c r="AI628" s="82"/>
      <c r="AJ628" s="114"/>
      <c r="AK628" s="106"/>
      <c r="AL628" s="74"/>
      <c r="AM628" s="73"/>
      <c r="AN628" s="73"/>
      <c r="AO628" s="102"/>
      <c r="AP628" s="73"/>
      <c r="AQ628" s="104"/>
      <c r="AR628" s="74"/>
      <c r="AS628" s="73"/>
      <c r="AT628" s="104"/>
      <c r="AU628" s="73"/>
      <c r="AV628" s="73"/>
      <c r="AW628" s="114"/>
      <c r="AX628" s="74"/>
      <c r="AY628" s="73"/>
      <c r="AZ628" s="73"/>
      <c r="BA628" s="74"/>
      <c r="BB628" s="73"/>
      <c r="BC628" s="73"/>
      <c r="BD628" s="73"/>
      <c r="BE628" s="73"/>
      <c r="BF628" s="73"/>
      <c r="BG628" s="73"/>
      <c r="BH628" s="73"/>
      <c r="BI628" s="73"/>
      <c r="BJ628" s="73"/>
      <c r="BK628" s="73"/>
      <c r="BL628" s="73"/>
      <c r="BM628" s="73"/>
      <c r="BN628" s="73"/>
      <c r="BO628" s="73"/>
      <c r="BP628" s="73"/>
      <c r="BQ628" s="73"/>
      <c r="BR628" s="73"/>
      <c r="BS628" s="73"/>
      <c r="BT628" s="74"/>
      <c r="BU628" s="73"/>
      <c r="BV628" s="73"/>
      <c r="BW628" s="73"/>
      <c r="BX628" s="73"/>
      <c r="BY628" s="73"/>
      <c r="BZ628" s="73"/>
      <c r="CA628" s="73"/>
      <c r="CB628" s="73"/>
      <c r="CC628" s="73"/>
      <c r="CD628" s="73"/>
      <c r="CE628" s="73"/>
    </row>
    <row r="629">
      <c r="A629" s="73"/>
      <c r="B629" s="73"/>
      <c r="C629" s="73"/>
      <c r="D629" s="74"/>
      <c r="E629" s="73"/>
      <c r="F629" s="73"/>
      <c r="G629" s="73"/>
      <c r="H629" s="73"/>
      <c r="I629" s="73"/>
      <c r="J629" s="73"/>
      <c r="K629" s="92"/>
      <c r="L629" s="73"/>
      <c r="M629" s="73"/>
      <c r="N629" s="73"/>
      <c r="O629" s="73"/>
      <c r="P629" s="73"/>
      <c r="Q629" s="75"/>
      <c r="R629" s="82"/>
      <c r="S629" s="73"/>
      <c r="T629" s="73"/>
      <c r="U629" s="73"/>
      <c r="V629" s="73"/>
      <c r="W629" s="73"/>
      <c r="X629" s="73"/>
      <c r="Y629" s="77"/>
      <c r="Z629" s="104"/>
      <c r="AA629" s="73"/>
      <c r="AB629" s="104"/>
      <c r="AC629" s="104"/>
      <c r="AD629" s="74"/>
      <c r="AE629" s="106"/>
      <c r="AF629" s="195"/>
      <c r="AG629" s="80"/>
      <c r="AH629" s="114"/>
      <c r="AI629" s="82"/>
      <c r="AJ629" s="114"/>
      <c r="AK629" s="106"/>
      <c r="AL629" s="74"/>
      <c r="AM629" s="73"/>
      <c r="AN629" s="73"/>
      <c r="AO629" s="102"/>
      <c r="AP629" s="73"/>
      <c r="AQ629" s="104"/>
      <c r="AR629" s="74"/>
      <c r="AS629" s="73"/>
      <c r="AT629" s="104"/>
      <c r="AU629" s="73"/>
      <c r="AV629" s="73"/>
      <c r="AW629" s="104"/>
      <c r="AX629" s="74"/>
      <c r="AY629" s="73"/>
      <c r="AZ629" s="73"/>
      <c r="BA629" s="74"/>
      <c r="BB629" s="73"/>
      <c r="BC629" s="73"/>
      <c r="BD629" s="73"/>
      <c r="BE629" s="73"/>
      <c r="BF629" s="73"/>
      <c r="BG629" s="73"/>
      <c r="BH629" s="73"/>
      <c r="BI629" s="73"/>
      <c r="BJ629" s="73"/>
      <c r="BK629" s="73"/>
      <c r="BL629" s="73"/>
      <c r="BM629" s="73"/>
      <c r="BN629" s="73"/>
      <c r="BO629" s="73"/>
      <c r="BP629" s="73"/>
      <c r="BQ629" s="73"/>
      <c r="BR629" s="73"/>
      <c r="BS629" s="73"/>
      <c r="BT629" s="74"/>
      <c r="BU629" s="73"/>
      <c r="BV629" s="73"/>
      <c r="BW629" s="73"/>
      <c r="BX629" s="73"/>
      <c r="BY629" s="73"/>
      <c r="BZ629" s="73"/>
      <c r="CA629" s="73"/>
      <c r="CB629" s="73"/>
      <c r="CC629" s="73"/>
      <c r="CD629" s="73"/>
      <c r="CE629" s="73"/>
    </row>
    <row r="630">
      <c r="A630" s="73"/>
      <c r="B630" s="73"/>
      <c r="C630" s="73"/>
      <c r="D630" s="74"/>
      <c r="E630" s="73"/>
      <c r="F630" s="73"/>
      <c r="G630" s="73"/>
      <c r="H630" s="73"/>
      <c r="I630" s="73"/>
      <c r="J630" s="73"/>
      <c r="K630" s="92"/>
      <c r="L630" s="73"/>
      <c r="M630" s="73"/>
      <c r="N630" s="73"/>
      <c r="O630" s="73"/>
      <c r="P630" s="73"/>
      <c r="Q630" s="75"/>
      <c r="R630" s="82"/>
      <c r="S630" s="73"/>
      <c r="T630" s="73"/>
      <c r="U630" s="73"/>
      <c r="V630" s="73"/>
      <c r="W630" s="73"/>
      <c r="X630" s="73"/>
      <c r="Y630" s="77"/>
      <c r="Z630" s="104"/>
      <c r="AA630" s="73"/>
      <c r="AB630" s="104"/>
      <c r="AC630" s="104"/>
      <c r="AD630" s="74"/>
      <c r="AE630" s="106"/>
      <c r="AF630" s="195"/>
      <c r="AG630" s="80"/>
      <c r="AH630" s="139"/>
      <c r="AI630" s="82"/>
      <c r="AJ630" s="114"/>
      <c r="AK630" s="106"/>
      <c r="AL630" s="74"/>
      <c r="AM630" s="73"/>
      <c r="AN630" s="73"/>
      <c r="AO630" s="102"/>
      <c r="AP630" s="73"/>
      <c r="AQ630" s="104"/>
      <c r="AR630" s="74"/>
      <c r="AS630" s="73"/>
      <c r="AT630" s="104"/>
      <c r="AU630" s="73"/>
      <c r="AV630" s="73"/>
      <c r="AW630" s="114"/>
      <c r="AX630" s="74"/>
      <c r="AY630" s="73"/>
      <c r="AZ630" s="73"/>
      <c r="BA630" s="74"/>
      <c r="BB630" s="73"/>
      <c r="BC630" s="73"/>
      <c r="BD630" s="73"/>
      <c r="BE630" s="73"/>
      <c r="BF630" s="73"/>
      <c r="BG630" s="73"/>
      <c r="BH630" s="73"/>
      <c r="BI630" s="73"/>
      <c r="BJ630" s="73"/>
      <c r="BK630" s="73"/>
      <c r="BL630" s="73"/>
      <c r="BM630" s="73"/>
      <c r="BN630" s="73"/>
      <c r="BO630" s="73"/>
      <c r="BP630" s="73"/>
      <c r="BQ630" s="73"/>
      <c r="BR630" s="73"/>
      <c r="BS630" s="73"/>
      <c r="BT630" s="74"/>
      <c r="BU630" s="73"/>
      <c r="BV630" s="73"/>
      <c r="BW630" s="73"/>
      <c r="BX630" s="73"/>
      <c r="BY630" s="73"/>
      <c r="BZ630" s="73"/>
      <c r="CA630" s="73"/>
      <c r="CB630" s="73"/>
      <c r="CC630" s="73"/>
      <c r="CD630" s="73"/>
      <c r="CE630" s="73"/>
    </row>
    <row r="631">
      <c r="A631" s="73"/>
      <c r="B631" s="73"/>
      <c r="C631" s="73"/>
      <c r="D631" s="74"/>
      <c r="E631" s="73"/>
      <c r="F631" s="73"/>
      <c r="G631" s="73"/>
      <c r="H631" s="73"/>
      <c r="I631" s="73"/>
      <c r="J631" s="73"/>
      <c r="K631" s="92"/>
      <c r="L631" s="73"/>
      <c r="M631" s="73"/>
      <c r="N631" s="73"/>
      <c r="O631" s="73"/>
      <c r="P631" s="73"/>
      <c r="Q631" s="75"/>
      <c r="R631" s="82"/>
      <c r="S631" s="73"/>
      <c r="T631" s="73"/>
      <c r="U631" s="73"/>
      <c r="V631" s="73"/>
      <c r="W631" s="73"/>
      <c r="X631" s="73"/>
      <c r="Y631" s="77"/>
      <c r="Z631" s="104"/>
      <c r="AA631" s="73"/>
      <c r="AB631" s="104"/>
      <c r="AC631" s="104"/>
      <c r="AD631" s="74"/>
      <c r="AE631" s="106"/>
      <c r="AF631" s="195"/>
      <c r="AG631" s="80"/>
      <c r="AH631" s="118"/>
      <c r="AI631" s="82"/>
      <c r="AJ631" s="114"/>
      <c r="AK631" s="106"/>
      <c r="AL631" s="74"/>
      <c r="AM631" s="73"/>
      <c r="AN631" s="73"/>
      <c r="AO631" s="102"/>
      <c r="AP631" s="73"/>
      <c r="AQ631" s="104"/>
      <c r="AR631" s="74"/>
      <c r="AS631" s="73"/>
      <c r="AT631" s="104"/>
      <c r="AU631" s="73"/>
      <c r="AV631" s="73"/>
      <c r="AW631" s="114"/>
      <c r="AX631" s="74"/>
      <c r="AY631" s="73"/>
      <c r="AZ631" s="73"/>
      <c r="BA631" s="74"/>
      <c r="BB631" s="73"/>
      <c r="BC631" s="73"/>
      <c r="BD631" s="73"/>
      <c r="BE631" s="73"/>
      <c r="BF631" s="73"/>
      <c r="BG631" s="73"/>
      <c r="BH631" s="73"/>
      <c r="BI631" s="73"/>
      <c r="BJ631" s="73"/>
      <c r="BK631" s="73"/>
      <c r="BL631" s="73"/>
      <c r="BM631" s="73"/>
      <c r="BN631" s="73"/>
      <c r="BO631" s="73"/>
      <c r="BP631" s="73"/>
      <c r="BQ631" s="73"/>
      <c r="BR631" s="73"/>
      <c r="BS631" s="73"/>
      <c r="BT631" s="74"/>
      <c r="BU631" s="73"/>
      <c r="BV631" s="73"/>
      <c r="BW631" s="73"/>
      <c r="BX631" s="73"/>
      <c r="BY631" s="73"/>
      <c r="BZ631" s="73"/>
      <c r="CA631" s="73"/>
      <c r="CB631" s="73"/>
      <c r="CC631" s="73"/>
      <c r="CD631" s="73"/>
      <c r="CE631" s="73"/>
    </row>
    <row r="632">
      <c r="A632" s="73"/>
      <c r="B632" s="73"/>
      <c r="C632" s="73"/>
      <c r="D632" s="74"/>
      <c r="E632" s="73"/>
      <c r="F632" s="73"/>
      <c r="G632" s="73"/>
      <c r="H632" s="73"/>
      <c r="I632" s="73"/>
      <c r="J632" s="73"/>
      <c r="K632" s="92"/>
      <c r="L632" s="73"/>
      <c r="M632" s="73"/>
      <c r="N632" s="73"/>
      <c r="O632" s="73"/>
      <c r="P632" s="73"/>
      <c r="Q632" s="75"/>
      <c r="R632" s="82"/>
      <c r="S632" s="73"/>
      <c r="T632" s="73"/>
      <c r="U632" s="73"/>
      <c r="V632" s="73"/>
      <c r="W632" s="73"/>
      <c r="X632" s="73"/>
      <c r="Y632" s="77"/>
      <c r="Z632" s="104"/>
      <c r="AA632" s="73"/>
      <c r="AB632" s="104"/>
      <c r="AC632" s="104"/>
      <c r="AD632" s="74"/>
      <c r="AE632" s="106"/>
      <c r="AF632" s="195"/>
      <c r="AG632" s="80"/>
      <c r="AH632" s="118"/>
      <c r="AI632" s="82"/>
      <c r="AJ632" s="114"/>
      <c r="AK632" s="106"/>
      <c r="AL632" s="74"/>
      <c r="AM632" s="73"/>
      <c r="AN632" s="73"/>
      <c r="AO632" s="102"/>
      <c r="AP632" s="73"/>
      <c r="AQ632" s="73"/>
      <c r="AR632" s="74"/>
      <c r="AS632" s="73"/>
      <c r="AT632" s="104"/>
      <c r="AU632" s="73"/>
      <c r="AV632" s="73"/>
      <c r="AW632" s="114"/>
      <c r="AX632" s="74"/>
      <c r="AY632" s="73"/>
      <c r="AZ632" s="73"/>
      <c r="BA632" s="74"/>
      <c r="BB632" s="73"/>
      <c r="BC632" s="73"/>
      <c r="BD632" s="73"/>
      <c r="BE632" s="73"/>
      <c r="BF632" s="73"/>
      <c r="BG632" s="73"/>
      <c r="BH632" s="73"/>
      <c r="BI632" s="73"/>
      <c r="BJ632" s="73"/>
      <c r="BK632" s="73"/>
      <c r="BL632" s="73"/>
      <c r="BM632" s="73"/>
      <c r="BN632" s="73"/>
      <c r="BO632" s="73"/>
      <c r="BP632" s="73"/>
      <c r="BQ632" s="73"/>
      <c r="BR632" s="73"/>
      <c r="BS632" s="73"/>
      <c r="BT632" s="74"/>
      <c r="BU632" s="73"/>
      <c r="BV632" s="73"/>
      <c r="BW632" s="73"/>
      <c r="BX632" s="73"/>
      <c r="BY632" s="73"/>
      <c r="BZ632" s="73"/>
      <c r="CA632" s="73"/>
      <c r="CB632" s="73"/>
      <c r="CC632" s="73"/>
      <c r="CD632" s="73"/>
      <c r="CE632" s="73"/>
    </row>
    <row r="633">
      <c r="A633" s="73"/>
      <c r="B633" s="73"/>
      <c r="C633" s="73"/>
      <c r="D633" s="74"/>
      <c r="E633" s="73"/>
      <c r="F633" s="73"/>
      <c r="G633" s="73"/>
      <c r="H633" s="73"/>
      <c r="I633" s="73"/>
      <c r="J633" s="73"/>
      <c r="K633" s="92"/>
      <c r="L633" s="73"/>
      <c r="M633" s="73"/>
      <c r="N633" s="73"/>
      <c r="O633" s="73"/>
      <c r="P633" s="73"/>
      <c r="Q633" s="75"/>
      <c r="R633" s="82"/>
      <c r="S633" s="73"/>
      <c r="T633" s="73"/>
      <c r="U633" s="73"/>
      <c r="V633" s="73"/>
      <c r="W633" s="73"/>
      <c r="X633" s="73"/>
      <c r="Y633" s="77"/>
      <c r="Z633" s="104"/>
      <c r="AA633" s="73"/>
      <c r="AB633" s="104"/>
      <c r="AC633" s="104"/>
      <c r="AD633" s="74"/>
      <c r="AE633" s="106"/>
      <c r="AF633" s="195"/>
      <c r="AG633" s="80"/>
      <c r="AH633" s="135"/>
      <c r="AI633" s="82"/>
      <c r="AJ633" s="114"/>
      <c r="AK633" s="106"/>
      <c r="AL633" s="74"/>
      <c r="AM633" s="73"/>
      <c r="AN633" s="73"/>
      <c r="AO633" s="102"/>
      <c r="AP633" s="73"/>
      <c r="AQ633" s="73"/>
      <c r="AR633" s="74"/>
      <c r="AS633" s="73"/>
      <c r="AT633" s="104"/>
      <c r="AU633" s="73"/>
      <c r="AV633" s="73"/>
      <c r="AW633" s="114"/>
      <c r="AX633" s="74"/>
      <c r="AY633" s="73"/>
      <c r="AZ633" s="73"/>
      <c r="BA633" s="74"/>
      <c r="BB633" s="73"/>
      <c r="BC633" s="73"/>
      <c r="BD633" s="73"/>
      <c r="BE633" s="73"/>
      <c r="BF633" s="73"/>
      <c r="BG633" s="73"/>
      <c r="BH633" s="73"/>
      <c r="BI633" s="73"/>
      <c r="BJ633" s="73"/>
      <c r="BK633" s="73"/>
      <c r="BL633" s="73"/>
      <c r="BM633" s="73"/>
      <c r="BN633" s="73"/>
      <c r="BO633" s="73"/>
      <c r="BP633" s="73"/>
      <c r="BQ633" s="73"/>
      <c r="BR633" s="73"/>
      <c r="BS633" s="73"/>
      <c r="BT633" s="74"/>
      <c r="BU633" s="73"/>
      <c r="BV633" s="73"/>
      <c r="BW633" s="73"/>
      <c r="BX633" s="73"/>
      <c r="BY633" s="73"/>
      <c r="BZ633" s="73"/>
      <c r="CA633" s="73"/>
      <c r="CB633" s="73"/>
      <c r="CC633" s="73"/>
      <c r="CD633" s="73"/>
      <c r="CE633" s="73"/>
    </row>
    <row r="634">
      <c r="A634" s="73"/>
      <c r="B634" s="73"/>
      <c r="C634" s="73"/>
      <c r="D634" s="74"/>
      <c r="E634" s="73"/>
      <c r="F634" s="73"/>
      <c r="G634" s="73"/>
      <c r="H634" s="73"/>
      <c r="I634" s="73"/>
      <c r="J634" s="73"/>
      <c r="K634" s="92"/>
      <c r="L634" s="73"/>
      <c r="M634" s="73"/>
      <c r="N634" s="73"/>
      <c r="O634" s="73"/>
      <c r="P634" s="73"/>
      <c r="Q634" s="75"/>
      <c r="R634" s="82"/>
      <c r="S634" s="73"/>
      <c r="T634" s="73"/>
      <c r="U634" s="73"/>
      <c r="V634" s="73"/>
      <c r="W634" s="73"/>
      <c r="X634" s="73"/>
      <c r="Y634" s="77"/>
      <c r="Z634" s="104"/>
      <c r="AA634" s="73"/>
      <c r="AB634" s="104"/>
      <c r="AC634" s="104"/>
      <c r="AD634" s="74"/>
      <c r="AE634" s="106"/>
      <c r="AF634" s="195"/>
      <c r="AG634" s="80"/>
      <c r="AH634" s="185"/>
      <c r="AI634" s="82"/>
      <c r="AJ634" s="114"/>
      <c r="AK634" s="106"/>
      <c r="AL634" s="74"/>
      <c r="AM634" s="73"/>
      <c r="AN634" s="73"/>
      <c r="AO634" s="102"/>
      <c r="AP634" s="73"/>
      <c r="AQ634" s="73"/>
      <c r="AR634" s="74"/>
      <c r="AS634" s="73"/>
      <c r="AT634" s="104"/>
      <c r="AU634" s="73"/>
      <c r="AV634" s="73"/>
      <c r="AW634" s="114"/>
      <c r="AX634" s="74"/>
      <c r="AY634" s="73"/>
      <c r="AZ634" s="73"/>
      <c r="BA634" s="74"/>
      <c r="BB634" s="73"/>
      <c r="BC634" s="73"/>
      <c r="BD634" s="73"/>
      <c r="BE634" s="73"/>
      <c r="BF634" s="73"/>
      <c r="BG634" s="73"/>
      <c r="BH634" s="73"/>
      <c r="BI634" s="73"/>
      <c r="BJ634" s="73"/>
      <c r="BK634" s="73"/>
      <c r="BL634" s="73"/>
      <c r="BM634" s="73"/>
      <c r="BN634" s="73"/>
      <c r="BO634" s="73"/>
      <c r="BP634" s="73"/>
      <c r="BQ634" s="73"/>
      <c r="BR634" s="73"/>
      <c r="BS634" s="73"/>
      <c r="BT634" s="74"/>
      <c r="BU634" s="73"/>
      <c r="BV634" s="73"/>
      <c r="BW634" s="73"/>
      <c r="BX634" s="73"/>
      <c r="BY634" s="73"/>
      <c r="BZ634" s="73"/>
      <c r="CA634" s="73"/>
      <c r="CB634" s="73"/>
      <c r="CC634" s="73"/>
      <c r="CD634" s="73"/>
      <c r="CE634" s="73"/>
    </row>
    <row r="635">
      <c r="A635" s="73"/>
      <c r="B635" s="73"/>
      <c r="C635" s="73"/>
      <c r="D635" s="74"/>
      <c r="E635" s="73"/>
      <c r="F635" s="73"/>
      <c r="G635" s="73"/>
      <c r="H635" s="73"/>
      <c r="I635" s="73"/>
      <c r="J635" s="73"/>
      <c r="K635" s="92"/>
      <c r="L635" s="73"/>
      <c r="M635" s="73"/>
      <c r="N635" s="73"/>
      <c r="O635" s="73"/>
      <c r="P635" s="73"/>
      <c r="Q635" s="75"/>
      <c r="R635" s="82"/>
      <c r="S635" s="73"/>
      <c r="T635" s="73"/>
      <c r="U635" s="73"/>
      <c r="V635" s="73"/>
      <c r="W635" s="73"/>
      <c r="X635" s="73"/>
      <c r="Y635" s="77"/>
      <c r="Z635" s="104"/>
      <c r="AA635" s="73"/>
      <c r="AB635" s="104"/>
      <c r="AC635" s="104"/>
      <c r="AD635" s="74"/>
      <c r="AE635" s="106"/>
      <c r="AF635" s="195"/>
      <c r="AG635" s="80"/>
      <c r="AH635" s="104"/>
      <c r="AI635" s="82"/>
      <c r="AJ635" s="114"/>
      <c r="AK635" s="106"/>
      <c r="AL635" s="74"/>
      <c r="AM635" s="73"/>
      <c r="AN635" s="73"/>
      <c r="AO635" s="102"/>
      <c r="AP635" s="73"/>
      <c r="AQ635" s="73"/>
      <c r="AR635" s="74"/>
      <c r="AS635" s="73"/>
      <c r="AT635" s="104"/>
      <c r="AU635" s="73"/>
      <c r="AV635" s="73"/>
      <c r="AW635" s="73"/>
      <c r="AX635" s="74"/>
      <c r="AY635" s="73"/>
      <c r="AZ635" s="73"/>
      <c r="BA635" s="74"/>
      <c r="BB635" s="73"/>
      <c r="BC635" s="73"/>
      <c r="BD635" s="73"/>
      <c r="BE635" s="73"/>
      <c r="BF635" s="73"/>
      <c r="BG635" s="73"/>
      <c r="BH635" s="73"/>
      <c r="BI635" s="73"/>
      <c r="BJ635" s="73"/>
      <c r="BK635" s="73"/>
      <c r="BL635" s="73"/>
      <c r="BM635" s="73"/>
      <c r="BN635" s="73"/>
      <c r="BO635" s="73"/>
      <c r="BP635" s="73"/>
      <c r="BQ635" s="73"/>
      <c r="BR635" s="73"/>
      <c r="BS635" s="73"/>
      <c r="BT635" s="74"/>
      <c r="BU635" s="73"/>
      <c r="BV635" s="73"/>
      <c r="BW635" s="73"/>
      <c r="BX635" s="73"/>
      <c r="BY635" s="73"/>
      <c r="BZ635" s="73"/>
      <c r="CA635" s="73"/>
      <c r="CB635" s="73"/>
      <c r="CC635" s="73"/>
      <c r="CD635" s="73"/>
      <c r="CE635" s="73"/>
    </row>
    <row r="636">
      <c r="A636" s="73"/>
      <c r="B636" s="73"/>
      <c r="C636" s="73"/>
      <c r="D636" s="74"/>
      <c r="E636" s="73"/>
      <c r="F636" s="73"/>
      <c r="G636" s="73"/>
      <c r="H636" s="73"/>
      <c r="I636" s="73"/>
      <c r="J636" s="73"/>
      <c r="K636" s="92"/>
      <c r="L636" s="73"/>
      <c r="M636" s="73"/>
      <c r="N636" s="73"/>
      <c r="O636" s="73"/>
      <c r="P636" s="73"/>
      <c r="Q636" s="75"/>
      <c r="R636" s="82"/>
      <c r="S636" s="73"/>
      <c r="T636" s="73"/>
      <c r="U636" s="73"/>
      <c r="V636" s="73"/>
      <c r="W636" s="73"/>
      <c r="X636" s="73"/>
      <c r="Y636" s="77"/>
      <c r="Z636" s="104"/>
      <c r="AA636" s="73"/>
      <c r="AB636" s="104"/>
      <c r="AC636" s="104"/>
      <c r="AD636" s="74"/>
      <c r="AE636" s="106"/>
      <c r="AF636" s="195"/>
      <c r="AG636" s="80"/>
      <c r="AH636" s="113"/>
      <c r="AI636" s="82"/>
      <c r="AJ636" s="114"/>
      <c r="AK636" s="106"/>
      <c r="AL636" s="74"/>
      <c r="AM636" s="73"/>
      <c r="AN636" s="73"/>
      <c r="AO636" s="102"/>
      <c r="AP636" s="73"/>
      <c r="AQ636" s="73"/>
      <c r="AR636" s="74"/>
      <c r="AS636" s="73"/>
      <c r="AT636" s="104"/>
      <c r="AU636" s="73"/>
      <c r="AV636" s="73"/>
      <c r="AW636" s="153"/>
      <c r="AX636" s="74"/>
      <c r="AY636" s="73"/>
      <c r="AZ636" s="73"/>
      <c r="BA636" s="74"/>
      <c r="BB636" s="73"/>
      <c r="BC636" s="73"/>
      <c r="BD636" s="73"/>
      <c r="BE636" s="73"/>
      <c r="BF636" s="73"/>
      <c r="BG636" s="73"/>
      <c r="BH636" s="73"/>
      <c r="BI636" s="73"/>
      <c r="BJ636" s="73"/>
      <c r="BK636" s="73"/>
      <c r="BL636" s="73"/>
      <c r="BM636" s="73"/>
      <c r="BN636" s="73"/>
      <c r="BO636" s="73"/>
      <c r="BP636" s="73"/>
      <c r="BQ636" s="73"/>
      <c r="BR636" s="73"/>
      <c r="BS636" s="73"/>
      <c r="BT636" s="74"/>
      <c r="BU636" s="73"/>
      <c r="BV636" s="73"/>
      <c r="BW636" s="73"/>
      <c r="BX636" s="73"/>
      <c r="BY636" s="73"/>
      <c r="BZ636" s="73"/>
      <c r="CA636" s="73"/>
      <c r="CB636" s="73"/>
      <c r="CC636" s="73"/>
      <c r="CD636" s="73"/>
      <c r="CE636" s="73"/>
    </row>
    <row r="637">
      <c r="A637" s="73"/>
      <c r="B637" s="73"/>
      <c r="C637" s="73"/>
      <c r="D637" s="74"/>
      <c r="E637" s="73"/>
      <c r="F637" s="73"/>
      <c r="G637" s="73"/>
      <c r="H637" s="73"/>
      <c r="I637" s="73"/>
      <c r="J637" s="73"/>
      <c r="K637" s="92"/>
      <c r="L637" s="73"/>
      <c r="M637" s="73"/>
      <c r="N637" s="73"/>
      <c r="O637" s="73"/>
      <c r="P637" s="73"/>
      <c r="Q637" s="75"/>
      <c r="R637" s="82"/>
      <c r="S637" s="73"/>
      <c r="T637" s="73"/>
      <c r="U637" s="73"/>
      <c r="V637" s="73"/>
      <c r="W637" s="73"/>
      <c r="X637" s="73"/>
      <c r="Y637" s="77"/>
      <c r="Z637" s="104"/>
      <c r="AA637" s="73"/>
      <c r="AB637" s="104"/>
      <c r="AC637" s="104"/>
      <c r="AD637" s="74"/>
      <c r="AE637" s="106"/>
      <c r="AF637" s="195"/>
      <c r="AG637" s="80"/>
      <c r="AH637" s="114"/>
      <c r="AI637" s="82"/>
      <c r="AJ637" s="114"/>
      <c r="AK637" s="106"/>
      <c r="AL637" s="74"/>
      <c r="AM637" s="73"/>
      <c r="AN637" s="73"/>
      <c r="AO637" s="102"/>
      <c r="AP637" s="73"/>
      <c r="AQ637" s="73"/>
      <c r="AR637" s="74"/>
      <c r="AS637" s="73"/>
      <c r="AT637" s="104"/>
      <c r="AU637" s="73"/>
      <c r="AV637" s="73"/>
      <c r="AW637" s="114"/>
      <c r="AX637" s="74"/>
      <c r="AY637" s="73"/>
      <c r="AZ637" s="73"/>
      <c r="BA637" s="74"/>
      <c r="BB637" s="73"/>
      <c r="BC637" s="73"/>
      <c r="BD637" s="73"/>
      <c r="BE637" s="73"/>
      <c r="BF637" s="73"/>
      <c r="BG637" s="73"/>
      <c r="BH637" s="73"/>
      <c r="BI637" s="73"/>
      <c r="BJ637" s="73"/>
      <c r="BK637" s="73"/>
      <c r="BL637" s="73"/>
      <c r="BM637" s="73"/>
      <c r="BN637" s="73"/>
      <c r="BO637" s="73"/>
      <c r="BP637" s="73"/>
      <c r="BQ637" s="73"/>
      <c r="BR637" s="73"/>
      <c r="BS637" s="73"/>
      <c r="BT637" s="74"/>
      <c r="BU637" s="73"/>
      <c r="BV637" s="73"/>
      <c r="BW637" s="73"/>
      <c r="BX637" s="73"/>
      <c r="BY637" s="73"/>
      <c r="BZ637" s="73"/>
      <c r="CA637" s="73"/>
      <c r="CB637" s="73"/>
      <c r="CC637" s="73"/>
      <c r="CD637" s="73"/>
      <c r="CE637" s="73"/>
    </row>
    <row r="638">
      <c r="A638" s="73"/>
      <c r="B638" s="73"/>
      <c r="C638" s="73"/>
      <c r="D638" s="74"/>
      <c r="E638" s="73"/>
      <c r="F638" s="73"/>
      <c r="G638" s="73"/>
      <c r="H638" s="73"/>
      <c r="I638" s="73"/>
      <c r="J638" s="73"/>
      <c r="K638" s="92"/>
      <c r="L638" s="73"/>
      <c r="M638" s="73"/>
      <c r="N638" s="73"/>
      <c r="O638" s="73"/>
      <c r="P638" s="73"/>
      <c r="Q638" s="75"/>
      <c r="R638" s="82"/>
      <c r="S638" s="73"/>
      <c r="T638" s="73"/>
      <c r="U638" s="73"/>
      <c r="V638" s="73"/>
      <c r="W638" s="73"/>
      <c r="X638" s="73"/>
      <c r="Y638" s="77"/>
      <c r="Z638" s="104"/>
      <c r="AA638" s="73"/>
      <c r="AB638" s="104"/>
      <c r="AC638" s="104"/>
      <c r="AD638" s="74"/>
      <c r="AE638" s="106"/>
      <c r="AF638" s="195"/>
      <c r="AG638" s="80"/>
      <c r="AH638" s="104"/>
      <c r="AI638" s="73"/>
      <c r="AJ638" s="114"/>
      <c r="AK638" s="106"/>
      <c r="AL638" s="74"/>
      <c r="AM638" s="73"/>
      <c r="AN638" s="73"/>
      <c r="AO638" s="102"/>
      <c r="AP638" s="73"/>
      <c r="AQ638" s="73"/>
      <c r="AR638" s="74"/>
      <c r="AS638" s="73"/>
      <c r="AT638" s="73"/>
      <c r="AU638" s="73"/>
      <c r="AV638" s="73"/>
      <c r="AW638" s="153"/>
      <c r="AX638" s="74"/>
      <c r="AY638" s="73"/>
      <c r="AZ638" s="73"/>
      <c r="BA638" s="74"/>
      <c r="BB638" s="73"/>
      <c r="BC638" s="73"/>
      <c r="BD638" s="73"/>
      <c r="BE638" s="73"/>
      <c r="BF638" s="73"/>
      <c r="BG638" s="73"/>
      <c r="BH638" s="73"/>
      <c r="BI638" s="73"/>
      <c r="BJ638" s="73"/>
      <c r="BK638" s="73"/>
      <c r="BL638" s="73"/>
      <c r="BM638" s="73"/>
      <c r="BN638" s="73"/>
      <c r="BO638" s="73"/>
      <c r="BP638" s="73"/>
      <c r="BQ638" s="73"/>
      <c r="BR638" s="73"/>
      <c r="BS638" s="73"/>
      <c r="BT638" s="74"/>
      <c r="BU638" s="73"/>
      <c r="BV638" s="73"/>
      <c r="BW638" s="73"/>
      <c r="BX638" s="73"/>
      <c r="BY638" s="73"/>
      <c r="BZ638" s="73"/>
      <c r="CA638" s="73"/>
      <c r="CB638" s="73"/>
      <c r="CC638" s="73"/>
      <c r="CD638" s="73"/>
      <c r="CE638" s="73"/>
    </row>
    <row r="639">
      <c r="A639" s="73"/>
      <c r="B639" s="73"/>
      <c r="C639" s="73"/>
      <c r="D639" s="74"/>
      <c r="E639" s="73"/>
      <c r="F639" s="73"/>
      <c r="G639" s="73"/>
      <c r="H639" s="73"/>
      <c r="I639" s="73"/>
      <c r="J639" s="73"/>
      <c r="K639" s="92"/>
      <c r="L639" s="73"/>
      <c r="M639" s="73"/>
      <c r="N639" s="73"/>
      <c r="O639" s="73"/>
      <c r="P639" s="73"/>
      <c r="Q639" s="75"/>
      <c r="R639" s="82"/>
      <c r="S639" s="73"/>
      <c r="T639" s="73"/>
      <c r="U639" s="73"/>
      <c r="V639" s="73"/>
      <c r="W639" s="73"/>
      <c r="X639" s="73"/>
      <c r="Y639" s="77"/>
      <c r="Z639" s="104"/>
      <c r="AA639" s="73"/>
      <c r="AB639" s="104"/>
      <c r="AC639" s="104"/>
      <c r="AD639" s="74"/>
      <c r="AE639" s="106"/>
      <c r="AF639" s="195"/>
      <c r="AG639" s="80"/>
      <c r="AH639" s="104"/>
      <c r="AI639" s="73"/>
      <c r="AJ639" s="114"/>
      <c r="AK639" s="106"/>
      <c r="AL639" s="74"/>
      <c r="AM639" s="73"/>
      <c r="AN639" s="73"/>
      <c r="AO639" s="102"/>
      <c r="AP639" s="73"/>
      <c r="AQ639" s="73"/>
      <c r="AR639" s="74"/>
      <c r="AS639" s="73"/>
      <c r="AT639" s="73"/>
      <c r="AU639" s="73"/>
      <c r="AV639" s="73"/>
      <c r="AW639" s="73"/>
      <c r="AX639" s="74"/>
      <c r="AY639" s="73"/>
      <c r="AZ639" s="73"/>
      <c r="BA639" s="74"/>
      <c r="BB639" s="73"/>
      <c r="BC639" s="73"/>
      <c r="BD639" s="73"/>
      <c r="BE639" s="73"/>
      <c r="BF639" s="73"/>
      <c r="BG639" s="73"/>
      <c r="BH639" s="73"/>
      <c r="BI639" s="73"/>
      <c r="BJ639" s="73"/>
      <c r="BK639" s="73"/>
      <c r="BL639" s="73"/>
      <c r="BM639" s="73"/>
      <c r="BN639" s="73"/>
      <c r="BO639" s="73"/>
      <c r="BP639" s="73"/>
      <c r="BQ639" s="73"/>
      <c r="BR639" s="73"/>
      <c r="BS639" s="73"/>
      <c r="BT639" s="74"/>
      <c r="BU639" s="73"/>
      <c r="BV639" s="73"/>
      <c r="BW639" s="73"/>
      <c r="BX639" s="73"/>
      <c r="BY639" s="73"/>
      <c r="BZ639" s="73"/>
      <c r="CA639" s="73"/>
      <c r="CB639" s="73"/>
      <c r="CC639" s="73"/>
      <c r="CD639" s="73"/>
      <c r="CE639" s="73"/>
    </row>
    <row r="640">
      <c r="A640" s="73"/>
      <c r="B640" s="73"/>
      <c r="C640" s="73"/>
      <c r="D640" s="74"/>
      <c r="E640" s="73"/>
      <c r="F640" s="73"/>
      <c r="G640" s="73"/>
      <c r="H640" s="73"/>
      <c r="I640" s="73"/>
      <c r="J640" s="73"/>
      <c r="K640" s="92"/>
      <c r="L640" s="73"/>
      <c r="M640" s="73"/>
      <c r="N640" s="73"/>
      <c r="O640" s="73"/>
      <c r="P640" s="73"/>
      <c r="Q640" s="75"/>
      <c r="R640" s="82"/>
      <c r="S640" s="73"/>
      <c r="T640" s="73"/>
      <c r="U640" s="73"/>
      <c r="V640" s="73"/>
      <c r="W640" s="73"/>
      <c r="X640" s="73"/>
      <c r="Y640" s="77"/>
      <c r="Z640" s="104"/>
      <c r="AA640" s="73"/>
      <c r="AB640" s="104"/>
      <c r="AC640" s="104"/>
      <c r="AD640" s="74"/>
      <c r="AE640" s="106"/>
      <c r="AF640" s="195"/>
      <c r="AG640" s="80"/>
      <c r="AH640" s="104"/>
      <c r="AI640" s="73"/>
      <c r="AJ640" s="114"/>
      <c r="AK640" s="106"/>
      <c r="AL640" s="74"/>
      <c r="AM640" s="73"/>
      <c r="AN640" s="73"/>
      <c r="AO640" s="102"/>
      <c r="AP640" s="73"/>
      <c r="AQ640" s="73"/>
      <c r="AR640" s="74"/>
      <c r="AS640" s="73"/>
      <c r="AT640" s="73"/>
      <c r="AU640" s="73"/>
      <c r="AV640" s="73"/>
      <c r="AW640" s="114"/>
      <c r="AX640" s="74"/>
      <c r="AY640" s="73"/>
      <c r="AZ640" s="73"/>
      <c r="BA640" s="74"/>
      <c r="BB640" s="73"/>
      <c r="BC640" s="73"/>
      <c r="BD640" s="73"/>
      <c r="BE640" s="73"/>
      <c r="BF640" s="73"/>
      <c r="BG640" s="73"/>
      <c r="BH640" s="73"/>
      <c r="BI640" s="73"/>
      <c r="BJ640" s="73"/>
      <c r="BK640" s="73"/>
      <c r="BL640" s="73"/>
      <c r="BM640" s="73"/>
      <c r="BN640" s="73"/>
      <c r="BO640" s="73"/>
      <c r="BP640" s="73"/>
      <c r="BQ640" s="73"/>
      <c r="BR640" s="73"/>
      <c r="BS640" s="73"/>
      <c r="BT640" s="74"/>
      <c r="BU640" s="73"/>
      <c r="BV640" s="73"/>
      <c r="BW640" s="73"/>
      <c r="BX640" s="73"/>
      <c r="BY640" s="73"/>
      <c r="BZ640" s="73"/>
      <c r="CA640" s="73"/>
      <c r="CB640" s="73"/>
      <c r="CC640" s="73"/>
      <c r="CD640" s="73"/>
      <c r="CE640" s="73"/>
    </row>
    <row r="641">
      <c r="A641" s="73"/>
      <c r="B641" s="73"/>
      <c r="C641" s="73"/>
      <c r="D641" s="74"/>
      <c r="E641" s="73"/>
      <c r="F641" s="73"/>
      <c r="G641" s="73"/>
      <c r="H641" s="73"/>
      <c r="I641" s="73"/>
      <c r="J641" s="73"/>
      <c r="K641" s="92"/>
      <c r="L641" s="73"/>
      <c r="M641" s="73"/>
      <c r="N641" s="73"/>
      <c r="O641" s="73"/>
      <c r="P641" s="73"/>
      <c r="Q641" s="75"/>
      <c r="R641" s="82"/>
      <c r="S641" s="73"/>
      <c r="T641" s="73"/>
      <c r="U641" s="73"/>
      <c r="V641" s="73"/>
      <c r="W641" s="73"/>
      <c r="X641" s="73"/>
      <c r="Y641" s="77"/>
      <c r="Z641" s="104"/>
      <c r="AA641" s="73"/>
      <c r="AB641" s="104"/>
      <c r="AC641" s="104"/>
      <c r="AD641" s="74"/>
      <c r="AE641" s="106"/>
      <c r="AF641" s="195"/>
      <c r="AG641" s="80"/>
      <c r="AH641" s="104"/>
      <c r="AI641" s="73"/>
      <c r="AJ641" s="114"/>
      <c r="AK641" s="106"/>
      <c r="AL641" s="74"/>
      <c r="AM641" s="73"/>
      <c r="AN641" s="73"/>
      <c r="AO641" s="102"/>
      <c r="AP641" s="73"/>
      <c r="AQ641" s="73"/>
      <c r="AR641" s="74"/>
      <c r="AS641" s="73"/>
      <c r="AT641" s="73"/>
      <c r="AU641" s="73"/>
      <c r="AV641" s="73"/>
      <c r="AW641" s="114"/>
      <c r="AX641" s="74"/>
      <c r="AY641" s="73"/>
      <c r="AZ641" s="73"/>
      <c r="BA641" s="74"/>
      <c r="BB641" s="73"/>
      <c r="BC641" s="73"/>
      <c r="BD641" s="73"/>
      <c r="BE641" s="73"/>
      <c r="BF641" s="73"/>
      <c r="BG641" s="73"/>
      <c r="BH641" s="73"/>
      <c r="BI641" s="73"/>
      <c r="BJ641" s="73"/>
      <c r="BK641" s="73"/>
      <c r="BL641" s="73"/>
      <c r="BM641" s="73"/>
      <c r="BN641" s="73"/>
      <c r="BO641" s="73"/>
      <c r="BP641" s="73"/>
      <c r="BQ641" s="73"/>
      <c r="BR641" s="73"/>
      <c r="BS641" s="73"/>
      <c r="BT641" s="74"/>
      <c r="BU641" s="73"/>
      <c r="BV641" s="73"/>
      <c r="BW641" s="73"/>
      <c r="BX641" s="73"/>
      <c r="BY641" s="73"/>
      <c r="BZ641" s="73"/>
      <c r="CA641" s="73"/>
      <c r="CB641" s="73"/>
      <c r="CC641" s="73"/>
      <c r="CD641" s="73"/>
      <c r="CE641" s="73"/>
    </row>
    <row r="642">
      <c r="A642" s="73"/>
      <c r="B642" s="73"/>
      <c r="C642" s="73"/>
      <c r="D642" s="74"/>
      <c r="E642" s="73"/>
      <c r="F642" s="73"/>
      <c r="G642" s="73"/>
      <c r="H642" s="73"/>
      <c r="I642" s="73"/>
      <c r="J642" s="73"/>
      <c r="K642" s="92"/>
      <c r="L642" s="73"/>
      <c r="M642" s="73"/>
      <c r="N642" s="73"/>
      <c r="O642" s="73"/>
      <c r="P642" s="73"/>
      <c r="Q642" s="75"/>
      <c r="R642" s="82"/>
      <c r="S642" s="73"/>
      <c r="T642" s="73"/>
      <c r="U642" s="73"/>
      <c r="V642" s="73"/>
      <c r="W642" s="73"/>
      <c r="X642" s="73"/>
      <c r="Y642" s="77"/>
      <c r="Z642" s="104"/>
      <c r="AA642" s="73"/>
      <c r="AB642" s="104"/>
      <c r="AC642" s="104"/>
      <c r="AD642" s="74"/>
      <c r="AE642" s="106"/>
      <c r="AF642" s="195"/>
      <c r="AG642" s="80"/>
      <c r="AH642" s="104"/>
      <c r="AI642" s="73"/>
      <c r="AJ642" s="114"/>
      <c r="AK642" s="106"/>
      <c r="AL642" s="74"/>
      <c r="AM642" s="73"/>
      <c r="AN642" s="73"/>
      <c r="AO642" s="102"/>
      <c r="AP642" s="73"/>
      <c r="AQ642" s="73"/>
      <c r="AR642" s="74"/>
      <c r="AS642" s="73"/>
      <c r="AT642" s="73"/>
      <c r="AU642" s="73"/>
      <c r="AV642" s="73"/>
      <c r="AW642" s="114"/>
      <c r="AX642" s="74"/>
      <c r="AY642" s="73"/>
      <c r="AZ642" s="73"/>
      <c r="BA642" s="74"/>
      <c r="BB642" s="73"/>
      <c r="BC642" s="73"/>
      <c r="BD642" s="73"/>
      <c r="BE642" s="73"/>
      <c r="BF642" s="73"/>
      <c r="BG642" s="73"/>
      <c r="BH642" s="73"/>
      <c r="BI642" s="73"/>
      <c r="BJ642" s="73"/>
      <c r="BK642" s="73"/>
      <c r="BL642" s="73"/>
      <c r="BM642" s="73"/>
      <c r="BN642" s="73"/>
      <c r="BO642" s="73"/>
      <c r="BP642" s="73"/>
      <c r="BQ642" s="73"/>
      <c r="BR642" s="73"/>
      <c r="BS642" s="73"/>
      <c r="BT642" s="74"/>
      <c r="BU642" s="73"/>
      <c r="BV642" s="73"/>
      <c r="BW642" s="73"/>
      <c r="BX642" s="73"/>
      <c r="BY642" s="73"/>
      <c r="BZ642" s="73"/>
      <c r="CA642" s="73"/>
      <c r="CB642" s="73"/>
      <c r="CC642" s="73"/>
      <c r="CD642" s="73"/>
      <c r="CE642" s="73"/>
    </row>
    <row r="643">
      <c r="A643" s="73"/>
      <c r="B643" s="73"/>
      <c r="C643" s="73"/>
      <c r="D643" s="74"/>
      <c r="E643" s="73"/>
      <c r="F643" s="73"/>
      <c r="G643" s="73"/>
      <c r="H643" s="73"/>
      <c r="I643" s="73"/>
      <c r="J643" s="73"/>
      <c r="K643" s="92"/>
      <c r="L643" s="73"/>
      <c r="M643" s="73"/>
      <c r="N643" s="73"/>
      <c r="O643" s="73"/>
      <c r="P643" s="73"/>
      <c r="Q643" s="75"/>
      <c r="R643" s="82"/>
      <c r="S643" s="73"/>
      <c r="T643" s="73"/>
      <c r="U643" s="73"/>
      <c r="V643" s="73"/>
      <c r="W643" s="73"/>
      <c r="X643" s="73"/>
      <c r="Y643" s="77"/>
      <c r="Z643" s="104"/>
      <c r="AA643" s="73"/>
      <c r="AB643" s="104"/>
      <c r="AC643" s="104"/>
      <c r="AD643" s="74"/>
      <c r="AE643" s="106"/>
      <c r="AF643" s="195"/>
      <c r="AG643" s="80"/>
      <c r="AH643" s="104"/>
      <c r="AI643" s="73"/>
      <c r="AJ643" s="114"/>
      <c r="AK643" s="106"/>
      <c r="AL643" s="74"/>
      <c r="AM643" s="73"/>
      <c r="AN643" s="73"/>
      <c r="AO643" s="102"/>
      <c r="AP643" s="73"/>
      <c r="AQ643" s="73"/>
      <c r="AR643" s="74"/>
      <c r="AS643" s="73"/>
      <c r="AT643" s="73"/>
      <c r="AU643" s="73"/>
      <c r="AV643" s="73"/>
      <c r="AW643" s="114"/>
      <c r="AX643" s="74"/>
      <c r="AY643" s="73"/>
      <c r="AZ643" s="73"/>
      <c r="BA643" s="74"/>
      <c r="BB643" s="73"/>
      <c r="BC643" s="73"/>
      <c r="BD643" s="73"/>
      <c r="BE643" s="73"/>
      <c r="BF643" s="73"/>
      <c r="BG643" s="73"/>
      <c r="BH643" s="73"/>
      <c r="BI643" s="73"/>
      <c r="BJ643" s="73"/>
      <c r="BK643" s="73"/>
      <c r="BL643" s="73"/>
      <c r="BM643" s="73"/>
      <c r="BN643" s="73"/>
      <c r="BO643" s="73"/>
      <c r="BP643" s="73"/>
      <c r="BQ643" s="73"/>
      <c r="BR643" s="73"/>
      <c r="BS643" s="73"/>
      <c r="BT643" s="74"/>
      <c r="BU643" s="73"/>
      <c r="BV643" s="73"/>
      <c r="BW643" s="73"/>
      <c r="BX643" s="73"/>
      <c r="BY643" s="73"/>
      <c r="BZ643" s="73"/>
      <c r="CA643" s="73"/>
      <c r="CB643" s="73"/>
      <c r="CC643" s="73"/>
      <c r="CD643" s="73"/>
      <c r="CE643" s="73"/>
    </row>
    <row r="644">
      <c r="A644" s="73"/>
      <c r="B644" s="73"/>
      <c r="C644" s="73"/>
      <c r="D644" s="74"/>
      <c r="E644" s="73"/>
      <c r="F644" s="73"/>
      <c r="G644" s="73"/>
      <c r="H644" s="73"/>
      <c r="I644" s="73"/>
      <c r="J644" s="73"/>
      <c r="K644" s="92"/>
      <c r="L644" s="73"/>
      <c r="M644" s="73"/>
      <c r="N644" s="73"/>
      <c r="O644" s="73"/>
      <c r="P644" s="73"/>
      <c r="Q644" s="75"/>
      <c r="R644" s="82"/>
      <c r="S644" s="73"/>
      <c r="T644" s="73"/>
      <c r="U644" s="73"/>
      <c r="V644" s="73"/>
      <c r="W644" s="73"/>
      <c r="X644" s="73"/>
      <c r="Y644" s="77"/>
      <c r="Z644" s="104"/>
      <c r="AA644" s="73"/>
      <c r="AB644" s="104"/>
      <c r="AC644" s="104"/>
      <c r="AD644" s="74"/>
      <c r="AE644" s="106"/>
      <c r="AF644" s="195"/>
      <c r="AG644" s="80"/>
      <c r="AH644" s="104"/>
      <c r="AI644" s="73"/>
      <c r="AJ644" s="114"/>
      <c r="AK644" s="106"/>
      <c r="AL644" s="74"/>
      <c r="AM644" s="73"/>
      <c r="AN644" s="73"/>
      <c r="AO644" s="102"/>
      <c r="AP644" s="73"/>
      <c r="AQ644" s="73"/>
      <c r="AR644" s="74"/>
      <c r="AS644" s="73"/>
      <c r="AT644" s="73"/>
      <c r="AU644" s="73"/>
      <c r="AV644" s="73"/>
      <c r="AW644" s="114"/>
      <c r="AX644" s="74"/>
      <c r="AY644" s="73"/>
      <c r="AZ644" s="73"/>
      <c r="BA644" s="74"/>
      <c r="BB644" s="73"/>
      <c r="BC644" s="73"/>
      <c r="BD644" s="73"/>
      <c r="BE644" s="73"/>
      <c r="BF644" s="73"/>
      <c r="BG644" s="73"/>
      <c r="BH644" s="73"/>
      <c r="BI644" s="73"/>
      <c r="BJ644" s="73"/>
      <c r="BK644" s="73"/>
      <c r="BL644" s="73"/>
      <c r="BM644" s="73"/>
      <c r="BN644" s="73"/>
      <c r="BO644" s="73"/>
      <c r="BP644" s="73"/>
      <c r="BQ644" s="73"/>
      <c r="BR644" s="73"/>
      <c r="BS644" s="73"/>
      <c r="BT644" s="74"/>
      <c r="BU644" s="73"/>
      <c r="BV644" s="73"/>
      <c r="BW644" s="73"/>
      <c r="BX644" s="73"/>
      <c r="BY644" s="73"/>
      <c r="BZ644" s="73"/>
      <c r="CA644" s="73"/>
      <c r="CB644" s="73"/>
      <c r="CC644" s="73"/>
      <c r="CD644" s="73"/>
      <c r="CE644" s="73"/>
    </row>
    <row r="645">
      <c r="A645" s="73"/>
      <c r="B645" s="73"/>
      <c r="C645" s="73"/>
      <c r="D645" s="74"/>
      <c r="E645" s="73"/>
      <c r="F645" s="73"/>
      <c r="G645" s="73"/>
      <c r="H645" s="73"/>
      <c r="I645" s="73"/>
      <c r="J645" s="73"/>
      <c r="K645" s="92"/>
      <c r="L645" s="73"/>
      <c r="M645" s="73"/>
      <c r="N645" s="73"/>
      <c r="O645" s="73"/>
      <c r="P645" s="73"/>
      <c r="Q645" s="75"/>
      <c r="R645" s="82"/>
      <c r="S645" s="73"/>
      <c r="T645" s="73"/>
      <c r="U645" s="73"/>
      <c r="V645" s="73"/>
      <c r="W645" s="73"/>
      <c r="X645" s="73"/>
      <c r="Y645" s="77"/>
      <c r="Z645" s="104"/>
      <c r="AA645" s="73"/>
      <c r="AB645" s="104"/>
      <c r="AC645" s="104"/>
      <c r="AD645" s="74"/>
      <c r="AE645" s="106"/>
      <c r="AF645" s="195"/>
      <c r="AG645" s="80"/>
      <c r="AH645" s="104"/>
      <c r="AI645" s="73"/>
      <c r="AJ645" s="114"/>
      <c r="AK645" s="106"/>
      <c r="AL645" s="74"/>
      <c r="AM645" s="73"/>
      <c r="AN645" s="73"/>
      <c r="AO645" s="102"/>
      <c r="AP645" s="73"/>
      <c r="AQ645" s="73"/>
      <c r="AR645" s="74"/>
      <c r="AS645" s="73"/>
      <c r="AT645" s="73"/>
      <c r="AU645" s="73"/>
      <c r="AV645" s="73"/>
      <c r="AW645" s="114"/>
      <c r="AX645" s="74"/>
      <c r="AY645" s="73"/>
      <c r="AZ645" s="73"/>
      <c r="BA645" s="74"/>
      <c r="BB645" s="73"/>
      <c r="BC645" s="73"/>
      <c r="BD645" s="73"/>
      <c r="BE645" s="73"/>
      <c r="BF645" s="73"/>
      <c r="BG645" s="73"/>
      <c r="BH645" s="73"/>
      <c r="BI645" s="73"/>
      <c r="BJ645" s="73"/>
      <c r="BK645" s="73"/>
      <c r="BL645" s="73"/>
      <c r="BM645" s="73"/>
      <c r="BN645" s="73"/>
      <c r="BO645" s="73"/>
      <c r="BP645" s="73"/>
      <c r="BQ645" s="73"/>
      <c r="BR645" s="73"/>
      <c r="BS645" s="73"/>
      <c r="BT645" s="74"/>
      <c r="BU645" s="73"/>
      <c r="BV645" s="73"/>
      <c r="BW645" s="73"/>
      <c r="BX645" s="73"/>
      <c r="BY645" s="73"/>
      <c r="BZ645" s="73"/>
      <c r="CA645" s="73"/>
      <c r="CB645" s="73"/>
      <c r="CC645" s="73"/>
      <c r="CD645" s="73"/>
      <c r="CE645" s="73"/>
    </row>
    <row r="646">
      <c r="A646" s="73"/>
      <c r="B646" s="73"/>
      <c r="C646" s="73"/>
      <c r="D646" s="74"/>
      <c r="E646" s="73"/>
      <c r="F646" s="73"/>
      <c r="G646" s="73"/>
      <c r="H646" s="73"/>
      <c r="I646" s="73"/>
      <c r="J646" s="73"/>
      <c r="K646" s="92"/>
      <c r="L646" s="73"/>
      <c r="M646" s="73"/>
      <c r="N646" s="73"/>
      <c r="O646" s="73"/>
      <c r="P646" s="73"/>
      <c r="Q646" s="75"/>
      <c r="R646" s="82"/>
      <c r="S646" s="73"/>
      <c r="T646" s="73"/>
      <c r="U646" s="73"/>
      <c r="V646" s="73"/>
      <c r="W646" s="73"/>
      <c r="X646" s="73"/>
      <c r="Y646" s="77"/>
      <c r="Z646" s="104"/>
      <c r="AA646" s="73"/>
      <c r="AB646" s="104"/>
      <c r="AC646" s="104"/>
      <c r="AD646" s="74"/>
      <c r="AE646" s="106"/>
      <c r="AF646" s="195"/>
      <c r="AG646" s="80"/>
      <c r="AH646" s="104"/>
      <c r="AI646" s="73"/>
      <c r="AJ646" s="114"/>
      <c r="AK646" s="106"/>
      <c r="AL646" s="74"/>
      <c r="AM646" s="73"/>
      <c r="AN646" s="73"/>
      <c r="AO646" s="102"/>
      <c r="AP646" s="73"/>
      <c r="AQ646" s="73"/>
      <c r="AR646" s="74"/>
      <c r="AS646" s="73"/>
      <c r="AT646" s="73"/>
      <c r="AU646" s="73"/>
      <c r="AV646" s="73"/>
      <c r="AW646" s="114"/>
      <c r="AX646" s="74"/>
      <c r="AY646" s="73"/>
      <c r="AZ646" s="73"/>
      <c r="BA646" s="74"/>
      <c r="BB646" s="73"/>
      <c r="BC646" s="73"/>
      <c r="BD646" s="73"/>
      <c r="BE646" s="73"/>
      <c r="BF646" s="73"/>
      <c r="BG646" s="73"/>
      <c r="BH646" s="73"/>
      <c r="BI646" s="73"/>
      <c r="BJ646" s="73"/>
      <c r="BK646" s="73"/>
      <c r="BL646" s="73"/>
      <c r="BM646" s="73"/>
      <c r="BN646" s="73"/>
      <c r="BO646" s="73"/>
      <c r="BP646" s="73"/>
      <c r="BQ646" s="73"/>
      <c r="BR646" s="73"/>
      <c r="BS646" s="73"/>
      <c r="BT646" s="74"/>
      <c r="BU646" s="73"/>
      <c r="BV646" s="73"/>
      <c r="BW646" s="73"/>
      <c r="BX646" s="73"/>
      <c r="BY646" s="73"/>
      <c r="BZ646" s="73"/>
      <c r="CA646" s="73"/>
      <c r="CB646" s="73"/>
      <c r="CC646" s="73"/>
      <c r="CD646" s="73"/>
      <c r="CE646" s="73"/>
    </row>
    <row r="647">
      <c r="A647" s="73"/>
      <c r="B647" s="73"/>
      <c r="C647" s="73"/>
      <c r="D647" s="74"/>
      <c r="E647" s="73"/>
      <c r="F647" s="73"/>
      <c r="G647" s="73"/>
      <c r="H647" s="73"/>
      <c r="I647" s="73"/>
      <c r="J647" s="73"/>
      <c r="K647" s="92"/>
      <c r="L647" s="73"/>
      <c r="M647" s="73"/>
      <c r="N647" s="73"/>
      <c r="O647" s="73"/>
      <c r="P647" s="73"/>
      <c r="Q647" s="75"/>
      <c r="R647" s="82"/>
      <c r="S647" s="73"/>
      <c r="T647" s="73"/>
      <c r="U647" s="73"/>
      <c r="V647" s="73"/>
      <c r="W647" s="73"/>
      <c r="X647" s="73"/>
      <c r="Y647" s="77"/>
      <c r="Z647" s="104"/>
      <c r="AA647" s="73"/>
      <c r="AB647" s="104"/>
      <c r="AC647" s="104"/>
      <c r="AD647" s="74"/>
      <c r="AE647" s="106"/>
      <c r="AF647" s="195"/>
      <c r="AG647" s="80"/>
      <c r="AH647" s="104"/>
      <c r="AI647" s="73"/>
      <c r="AJ647" s="114"/>
      <c r="AK647" s="106"/>
      <c r="AL647" s="74"/>
      <c r="AM647" s="73"/>
      <c r="AN647" s="73"/>
      <c r="AO647" s="102"/>
      <c r="AP647" s="73"/>
      <c r="AQ647" s="73"/>
      <c r="AR647" s="74"/>
      <c r="AS647" s="73"/>
      <c r="AT647" s="73"/>
      <c r="AU647" s="73"/>
      <c r="AV647" s="73"/>
      <c r="AW647" s="114"/>
      <c r="AX647" s="74"/>
      <c r="AY647" s="73"/>
      <c r="AZ647" s="73"/>
      <c r="BA647" s="74"/>
      <c r="BB647" s="73"/>
      <c r="BC647" s="73"/>
      <c r="BD647" s="73"/>
      <c r="BE647" s="73"/>
      <c r="BF647" s="73"/>
      <c r="BG647" s="73"/>
      <c r="BH647" s="73"/>
      <c r="BI647" s="73"/>
      <c r="BJ647" s="73"/>
      <c r="BK647" s="73"/>
      <c r="BL647" s="73"/>
      <c r="BM647" s="73"/>
      <c r="BN647" s="73"/>
      <c r="BO647" s="73"/>
      <c r="BP647" s="73"/>
      <c r="BQ647" s="73"/>
      <c r="BR647" s="73"/>
      <c r="BS647" s="73"/>
      <c r="BT647" s="74"/>
      <c r="BU647" s="73"/>
      <c r="BV647" s="73"/>
      <c r="BW647" s="73"/>
      <c r="BX647" s="73"/>
      <c r="BY647" s="73"/>
      <c r="BZ647" s="73"/>
      <c r="CA647" s="73"/>
      <c r="CB647" s="73"/>
      <c r="CC647" s="73"/>
      <c r="CD647" s="73"/>
      <c r="CE647" s="73"/>
    </row>
    <row r="648">
      <c r="A648" s="73"/>
      <c r="B648" s="73"/>
      <c r="C648" s="73"/>
      <c r="D648" s="74"/>
      <c r="E648" s="73"/>
      <c r="F648" s="73"/>
      <c r="G648" s="73"/>
      <c r="H648" s="73"/>
      <c r="I648" s="73"/>
      <c r="J648" s="73"/>
      <c r="K648" s="92"/>
      <c r="L648" s="73"/>
      <c r="M648" s="73"/>
      <c r="N648" s="73"/>
      <c r="O648" s="73"/>
      <c r="P648" s="73"/>
      <c r="Q648" s="75"/>
      <c r="R648" s="82"/>
      <c r="S648" s="73"/>
      <c r="T648" s="73"/>
      <c r="U648" s="73"/>
      <c r="V648" s="73"/>
      <c r="W648" s="73"/>
      <c r="X648" s="73"/>
      <c r="Y648" s="77"/>
      <c r="Z648" s="104"/>
      <c r="AA648" s="73"/>
      <c r="AB648" s="104"/>
      <c r="AC648" s="104"/>
      <c r="AD648" s="74"/>
      <c r="AE648" s="106"/>
      <c r="AF648" s="195"/>
      <c r="AG648" s="80"/>
      <c r="AH648" s="104"/>
      <c r="AI648" s="73"/>
      <c r="AJ648" s="114"/>
      <c r="AK648" s="106"/>
      <c r="AL648" s="74"/>
      <c r="AM648" s="73"/>
      <c r="AN648" s="73"/>
      <c r="AO648" s="102"/>
      <c r="AP648" s="73"/>
      <c r="AQ648" s="73"/>
      <c r="AR648" s="74"/>
      <c r="AS648" s="73"/>
      <c r="AT648" s="73"/>
      <c r="AU648" s="73"/>
      <c r="AV648" s="73"/>
      <c r="AW648" s="114"/>
      <c r="AX648" s="74"/>
      <c r="AY648" s="73"/>
      <c r="AZ648" s="73"/>
      <c r="BA648" s="74"/>
      <c r="BB648" s="73"/>
      <c r="BC648" s="73"/>
      <c r="BD648" s="73"/>
      <c r="BE648" s="73"/>
      <c r="BF648" s="73"/>
      <c r="BG648" s="73"/>
      <c r="BH648" s="73"/>
      <c r="BI648" s="73"/>
      <c r="BJ648" s="73"/>
      <c r="BK648" s="73"/>
      <c r="BL648" s="73"/>
      <c r="BM648" s="73"/>
      <c r="BN648" s="73"/>
      <c r="BO648" s="73"/>
      <c r="BP648" s="73"/>
      <c r="BQ648" s="73"/>
      <c r="BR648" s="73"/>
      <c r="BS648" s="73"/>
      <c r="BT648" s="74"/>
      <c r="BU648" s="73"/>
      <c r="BV648" s="73"/>
      <c r="BW648" s="73"/>
      <c r="BX648" s="73"/>
      <c r="BY648" s="73"/>
      <c r="BZ648" s="73"/>
      <c r="CA648" s="73"/>
      <c r="CB648" s="73"/>
      <c r="CC648" s="73"/>
      <c r="CD648" s="73"/>
      <c r="CE648" s="73"/>
    </row>
    <row r="649">
      <c r="A649" s="73"/>
      <c r="B649" s="73"/>
      <c r="C649" s="73"/>
      <c r="D649" s="74"/>
      <c r="E649" s="73"/>
      <c r="F649" s="73"/>
      <c r="G649" s="73"/>
      <c r="H649" s="73"/>
      <c r="I649" s="73"/>
      <c r="J649" s="73"/>
      <c r="K649" s="92"/>
      <c r="L649" s="73"/>
      <c r="M649" s="73"/>
      <c r="N649" s="73"/>
      <c r="O649" s="73"/>
      <c r="P649" s="73"/>
      <c r="Q649" s="75"/>
      <c r="R649" s="82"/>
      <c r="S649" s="73"/>
      <c r="T649" s="73"/>
      <c r="U649" s="73"/>
      <c r="V649" s="73"/>
      <c r="W649" s="73"/>
      <c r="X649" s="73"/>
      <c r="Y649" s="77"/>
      <c r="Z649" s="104"/>
      <c r="AA649" s="73"/>
      <c r="AB649" s="104"/>
      <c r="AC649" s="104"/>
      <c r="AD649" s="74"/>
      <c r="AE649" s="106"/>
      <c r="AF649" s="195"/>
      <c r="AG649" s="80"/>
      <c r="AH649" s="104"/>
      <c r="AI649" s="73"/>
      <c r="AJ649" s="114"/>
      <c r="AK649" s="106"/>
      <c r="AL649" s="74"/>
      <c r="AM649" s="73"/>
      <c r="AN649" s="73"/>
      <c r="AO649" s="102"/>
      <c r="AP649" s="73"/>
      <c r="AQ649" s="73"/>
      <c r="AR649" s="74"/>
      <c r="AS649" s="73"/>
      <c r="AT649" s="73"/>
      <c r="AU649" s="73"/>
      <c r="AV649" s="73"/>
      <c r="AW649" s="114"/>
      <c r="AX649" s="74"/>
      <c r="AY649" s="73"/>
      <c r="AZ649" s="73"/>
      <c r="BA649" s="74"/>
      <c r="BB649" s="73"/>
      <c r="BC649" s="73"/>
      <c r="BD649" s="73"/>
      <c r="BE649" s="73"/>
      <c r="BF649" s="73"/>
      <c r="BG649" s="73"/>
      <c r="BH649" s="73"/>
      <c r="BI649" s="73"/>
      <c r="BJ649" s="73"/>
      <c r="BK649" s="73"/>
      <c r="BL649" s="73"/>
      <c r="BM649" s="73"/>
      <c r="BN649" s="73"/>
      <c r="BO649" s="73"/>
      <c r="BP649" s="73"/>
      <c r="BQ649" s="73"/>
      <c r="BR649" s="73"/>
      <c r="BS649" s="73"/>
      <c r="BT649" s="74"/>
      <c r="BU649" s="73"/>
      <c r="BV649" s="73"/>
      <c r="BW649" s="73"/>
      <c r="BX649" s="73"/>
      <c r="BY649" s="73"/>
      <c r="BZ649" s="73"/>
      <c r="CA649" s="73"/>
      <c r="CB649" s="73"/>
      <c r="CC649" s="73"/>
      <c r="CD649" s="73"/>
      <c r="CE649" s="73"/>
    </row>
    <row r="650">
      <c r="A650" s="73"/>
      <c r="B650" s="73"/>
      <c r="C650" s="73"/>
      <c r="D650" s="74"/>
      <c r="E650" s="73"/>
      <c r="F650" s="73"/>
      <c r="G650" s="73"/>
      <c r="H650" s="73"/>
      <c r="I650" s="73"/>
      <c r="J650" s="73"/>
      <c r="K650" s="92"/>
      <c r="L650" s="73"/>
      <c r="M650" s="73"/>
      <c r="N650" s="73"/>
      <c r="O650" s="73"/>
      <c r="P650" s="73"/>
      <c r="Q650" s="75"/>
      <c r="R650" s="82"/>
      <c r="S650" s="73"/>
      <c r="T650" s="73"/>
      <c r="U650" s="73"/>
      <c r="V650" s="73"/>
      <c r="W650" s="73"/>
      <c r="X650" s="73"/>
      <c r="Y650" s="77"/>
      <c r="Z650" s="104"/>
      <c r="AA650" s="73"/>
      <c r="AB650" s="104"/>
      <c r="AC650" s="104"/>
      <c r="AD650" s="74"/>
      <c r="AE650" s="106"/>
      <c r="AF650" s="195"/>
      <c r="AG650" s="80"/>
      <c r="AH650" s="104"/>
      <c r="AI650" s="73"/>
      <c r="AJ650" s="114"/>
      <c r="AK650" s="106"/>
      <c r="AL650" s="74"/>
      <c r="AM650" s="73"/>
      <c r="AN650" s="73"/>
      <c r="AO650" s="102"/>
      <c r="AP650" s="73"/>
      <c r="AQ650" s="73"/>
      <c r="AR650" s="74"/>
      <c r="AS650" s="73"/>
      <c r="AT650" s="73"/>
      <c r="AU650" s="73"/>
      <c r="AV650" s="73"/>
      <c r="AW650" s="104"/>
      <c r="AX650" s="74"/>
      <c r="AY650" s="73"/>
      <c r="AZ650" s="73"/>
      <c r="BA650" s="74"/>
      <c r="BB650" s="73"/>
      <c r="BC650" s="73"/>
      <c r="BD650" s="73"/>
      <c r="BE650" s="73"/>
      <c r="BF650" s="73"/>
      <c r="BG650" s="73"/>
      <c r="BH650" s="73"/>
      <c r="BI650" s="73"/>
      <c r="BJ650" s="73"/>
      <c r="BK650" s="73"/>
      <c r="BL650" s="73"/>
      <c r="BM650" s="73"/>
      <c r="BN650" s="73"/>
      <c r="BO650" s="73"/>
      <c r="BP650" s="73"/>
      <c r="BQ650" s="73"/>
      <c r="BR650" s="73"/>
      <c r="BS650" s="73"/>
      <c r="BT650" s="74"/>
      <c r="BU650" s="73"/>
      <c r="BV650" s="73"/>
      <c r="BW650" s="73"/>
      <c r="BX650" s="73"/>
      <c r="BY650" s="73"/>
      <c r="BZ650" s="73"/>
      <c r="CA650" s="73"/>
      <c r="CB650" s="73"/>
      <c r="CC650" s="73"/>
      <c r="CD650" s="73"/>
      <c r="CE650" s="73"/>
    </row>
    <row r="651">
      <c r="A651" s="73"/>
      <c r="B651" s="73"/>
      <c r="C651" s="73"/>
      <c r="D651" s="74"/>
      <c r="E651" s="73"/>
      <c r="F651" s="73"/>
      <c r="G651" s="73"/>
      <c r="H651" s="73"/>
      <c r="I651" s="73"/>
      <c r="J651" s="73"/>
      <c r="K651" s="92"/>
      <c r="L651" s="73"/>
      <c r="M651" s="73"/>
      <c r="N651" s="73"/>
      <c r="O651" s="73"/>
      <c r="P651" s="73"/>
      <c r="Q651" s="75"/>
      <c r="R651" s="82"/>
      <c r="S651" s="73"/>
      <c r="T651" s="73"/>
      <c r="U651" s="73"/>
      <c r="V651" s="73"/>
      <c r="W651" s="73"/>
      <c r="X651" s="73"/>
      <c r="Y651" s="77"/>
      <c r="Z651" s="104"/>
      <c r="AA651" s="73"/>
      <c r="AB651" s="104"/>
      <c r="AC651" s="104"/>
      <c r="AD651" s="74"/>
      <c r="AE651" s="106"/>
      <c r="AF651" s="195"/>
      <c r="AG651" s="80"/>
      <c r="AH651" s="104"/>
      <c r="AI651" s="73"/>
      <c r="AJ651" s="114"/>
      <c r="AK651" s="106"/>
      <c r="AL651" s="74"/>
      <c r="AM651" s="73"/>
      <c r="AN651" s="73"/>
      <c r="AO651" s="102"/>
      <c r="AP651" s="73"/>
      <c r="AQ651" s="73"/>
      <c r="AR651" s="74"/>
      <c r="AS651" s="73"/>
      <c r="AT651" s="73"/>
      <c r="AU651" s="73"/>
      <c r="AV651" s="73"/>
      <c r="AW651" s="104"/>
      <c r="AX651" s="74"/>
      <c r="AY651" s="73"/>
      <c r="AZ651" s="73"/>
      <c r="BA651" s="74"/>
      <c r="BB651" s="73"/>
      <c r="BC651" s="73"/>
      <c r="BD651" s="73"/>
      <c r="BE651" s="73"/>
      <c r="BF651" s="73"/>
      <c r="BG651" s="73"/>
      <c r="BH651" s="73"/>
      <c r="BI651" s="73"/>
      <c r="BJ651" s="73"/>
      <c r="BK651" s="73"/>
      <c r="BL651" s="73"/>
      <c r="BM651" s="73"/>
      <c r="BN651" s="73"/>
      <c r="BO651" s="73"/>
      <c r="BP651" s="73"/>
      <c r="BQ651" s="73"/>
      <c r="BR651" s="73"/>
      <c r="BS651" s="73"/>
      <c r="BT651" s="74"/>
      <c r="BU651" s="73"/>
      <c r="BV651" s="73"/>
      <c r="BW651" s="73"/>
      <c r="BX651" s="73"/>
      <c r="BY651" s="73"/>
      <c r="BZ651" s="73"/>
      <c r="CA651" s="73"/>
      <c r="CB651" s="73"/>
      <c r="CC651" s="73"/>
      <c r="CD651" s="73"/>
      <c r="CE651" s="73"/>
    </row>
    <row r="652">
      <c r="A652" s="73"/>
      <c r="B652" s="73"/>
      <c r="C652" s="73"/>
      <c r="D652" s="74"/>
      <c r="E652" s="73"/>
      <c r="F652" s="73"/>
      <c r="G652" s="73"/>
      <c r="H652" s="73"/>
      <c r="I652" s="73"/>
      <c r="J652" s="73"/>
      <c r="K652" s="92"/>
      <c r="L652" s="73"/>
      <c r="M652" s="73"/>
      <c r="N652" s="73"/>
      <c r="O652" s="73"/>
      <c r="P652" s="73"/>
      <c r="Q652" s="75"/>
      <c r="R652" s="82"/>
      <c r="S652" s="73"/>
      <c r="T652" s="73"/>
      <c r="U652" s="73"/>
      <c r="V652" s="73"/>
      <c r="W652" s="73"/>
      <c r="X652" s="73"/>
      <c r="Y652" s="77"/>
      <c r="Z652" s="104"/>
      <c r="AA652" s="73"/>
      <c r="AB652" s="104"/>
      <c r="AC652" s="104"/>
      <c r="AD652" s="74"/>
      <c r="AE652" s="106"/>
      <c r="AF652" s="195"/>
      <c r="AG652" s="80"/>
      <c r="AH652" s="104"/>
      <c r="AI652" s="73"/>
      <c r="AJ652" s="114"/>
      <c r="AK652" s="106"/>
      <c r="AL652" s="74"/>
      <c r="AM652" s="73"/>
      <c r="AN652" s="73"/>
      <c r="AO652" s="102"/>
      <c r="AP652" s="73"/>
      <c r="AQ652" s="73"/>
      <c r="AR652" s="74"/>
      <c r="AS652" s="73"/>
      <c r="AT652" s="73"/>
      <c r="AU652" s="73"/>
      <c r="AV652" s="73"/>
      <c r="AW652" s="73"/>
      <c r="AX652" s="74"/>
      <c r="AY652" s="73"/>
      <c r="AZ652" s="73"/>
      <c r="BA652" s="74"/>
      <c r="BB652" s="73"/>
      <c r="BC652" s="73"/>
      <c r="BD652" s="73"/>
      <c r="BE652" s="73"/>
      <c r="BF652" s="73"/>
      <c r="BG652" s="73"/>
      <c r="BH652" s="73"/>
      <c r="BI652" s="73"/>
      <c r="BJ652" s="73"/>
      <c r="BK652" s="73"/>
      <c r="BL652" s="73"/>
      <c r="BM652" s="73"/>
      <c r="BN652" s="73"/>
      <c r="BO652" s="73"/>
      <c r="BP652" s="73"/>
      <c r="BQ652" s="73"/>
      <c r="BR652" s="73"/>
      <c r="BS652" s="73"/>
      <c r="BT652" s="74"/>
      <c r="BU652" s="73"/>
      <c r="BV652" s="73"/>
      <c r="BW652" s="73"/>
      <c r="BX652" s="73"/>
      <c r="BY652" s="73"/>
      <c r="BZ652" s="73"/>
      <c r="CA652" s="73"/>
      <c r="CB652" s="73"/>
      <c r="CC652" s="73"/>
      <c r="CD652" s="73"/>
      <c r="CE652" s="73"/>
    </row>
    <row r="653">
      <c r="A653" s="73"/>
      <c r="B653" s="73"/>
      <c r="C653" s="73"/>
      <c r="D653" s="74"/>
      <c r="E653" s="73"/>
      <c r="F653" s="73"/>
      <c r="G653" s="73"/>
      <c r="H653" s="73"/>
      <c r="I653" s="73"/>
      <c r="J653" s="73"/>
      <c r="K653" s="92"/>
      <c r="L653" s="73"/>
      <c r="M653" s="73"/>
      <c r="N653" s="73"/>
      <c r="O653" s="73"/>
      <c r="P653" s="73"/>
      <c r="Q653" s="75"/>
      <c r="R653" s="82"/>
      <c r="S653" s="73"/>
      <c r="T653" s="73"/>
      <c r="U653" s="73"/>
      <c r="V653" s="73"/>
      <c r="W653" s="73"/>
      <c r="X653" s="73"/>
      <c r="Y653" s="77"/>
      <c r="Z653" s="104"/>
      <c r="AA653" s="73"/>
      <c r="AB653" s="104"/>
      <c r="AC653" s="104"/>
      <c r="AD653" s="74"/>
      <c r="AE653" s="106"/>
      <c r="AF653" s="195"/>
      <c r="AG653" s="80"/>
      <c r="AH653" s="104"/>
      <c r="AI653" s="73"/>
      <c r="AJ653" s="114"/>
      <c r="AK653" s="106"/>
      <c r="AL653" s="74"/>
      <c r="AM653" s="73"/>
      <c r="AN653" s="73"/>
      <c r="AO653" s="102"/>
      <c r="AP653" s="73"/>
      <c r="AQ653" s="73"/>
      <c r="AR653" s="74"/>
      <c r="AS653" s="73"/>
      <c r="AT653" s="73"/>
      <c r="AU653" s="73"/>
      <c r="AV653" s="73"/>
      <c r="AW653" s="73"/>
      <c r="AX653" s="74"/>
      <c r="AY653" s="73"/>
      <c r="AZ653" s="73"/>
      <c r="BA653" s="74"/>
      <c r="BB653" s="73"/>
      <c r="BC653" s="73"/>
      <c r="BD653" s="73"/>
      <c r="BE653" s="73"/>
      <c r="BF653" s="73"/>
      <c r="BG653" s="73"/>
      <c r="BH653" s="73"/>
      <c r="BI653" s="73"/>
      <c r="BJ653" s="73"/>
      <c r="BK653" s="73"/>
      <c r="BL653" s="73"/>
      <c r="BM653" s="73"/>
      <c r="BN653" s="73"/>
      <c r="BO653" s="73"/>
      <c r="BP653" s="73"/>
      <c r="BQ653" s="73"/>
      <c r="BR653" s="73"/>
      <c r="BS653" s="73"/>
      <c r="BT653" s="74"/>
      <c r="BU653" s="73"/>
      <c r="BV653" s="73"/>
      <c r="BW653" s="73"/>
      <c r="BX653" s="73"/>
      <c r="BY653" s="73"/>
      <c r="BZ653" s="73"/>
      <c r="CA653" s="73"/>
      <c r="CB653" s="73"/>
      <c r="CC653" s="73"/>
      <c r="CD653" s="73"/>
      <c r="CE653" s="73"/>
    </row>
    <row r="654">
      <c r="A654" s="73"/>
      <c r="B654" s="73"/>
      <c r="C654" s="73"/>
      <c r="D654" s="74"/>
      <c r="E654" s="73"/>
      <c r="F654" s="73"/>
      <c r="G654" s="73"/>
      <c r="H654" s="73"/>
      <c r="I654" s="73"/>
      <c r="J654" s="73"/>
      <c r="K654" s="92"/>
      <c r="L654" s="73"/>
      <c r="M654" s="73"/>
      <c r="N654" s="73"/>
      <c r="O654" s="73"/>
      <c r="P654" s="73"/>
      <c r="Q654" s="75"/>
      <c r="R654" s="82"/>
      <c r="S654" s="73"/>
      <c r="T654" s="73"/>
      <c r="U654" s="73"/>
      <c r="V654" s="73"/>
      <c r="W654" s="73"/>
      <c r="X654" s="73"/>
      <c r="Y654" s="77"/>
      <c r="Z654" s="104"/>
      <c r="AA654" s="73"/>
      <c r="AB654" s="104"/>
      <c r="AC654" s="104"/>
      <c r="AD654" s="74"/>
      <c r="AE654" s="106"/>
      <c r="AF654" s="195"/>
      <c r="AG654" s="80"/>
      <c r="AH654" s="104"/>
      <c r="AI654" s="73"/>
      <c r="AJ654" s="114"/>
      <c r="AK654" s="106"/>
      <c r="AL654" s="74"/>
      <c r="AM654" s="73"/>
      <c r="AN654" s="73"/>
      <c r="AO654" s="102"/>
      <c r="AP654" s="73"/>
      <c r="AQ654" s="73"/>
      <c r="AR654" s="74"/>
      <c r="AS654" s="73"/>
      <c r="AT654" s="73"/>
      <c r="AU654" s="73"/>
      <c r="AV654" s="73"/>
      <c r="AW654" s="73"/>
      <c r="AX654" s="74"/>
      <c r="AY654" s="73"/>
      <c r="AZ654" s="73"/>
      <c r="BA654" s="74"/>
      <c r="BB654" s="73"/>
      <c r="BC654" s="73"/>
      <c r="BD654" s="73"/>
      <c r="BE654" s="73"/>
      <c r="BF654" s="73"/>
      <c r="BG654" s="73"/>
      <c r="BH654" s="73"/>
      <c r="BI654" s="73"/>
      <c r="BJ654" s="73"/>
      <c r="BK654" s="73"/>
      <c r="BL654" s="73"/>
      <c r="BM654" s="73"/>
      <c r="BN654" s="73"/>
      <c r="BO654" s="73"/>
      <c r="BP654" s="73"/>
      <c r="BQ654" s="73"/>
      <c r="BR654" s="73"/>
      <c r="BS654" s="73"/>
      <c r="BT654" s="74"/>
      <c r="BU654" s="73"/>
      <c r="BV654" s="73"/>
      <c r="BW654" s="73"/>
      <c r="BX654" s="73"/>
      <c r="BY654" s="73"/>
      <c r="BZ654" s="73"/>
      <c r="CA654" s="73"/>
      <c r="CB654" s="73"/>
      <c r="CC654" s="73"/>
      <c r="CD654" s="73"/>
      <c r="CE654" s="73"/>
    </row>
    <row r="655">
      <c r="A655" s="73"/>
      <c r="B655" s="73"/>
      <c r="C655" s="73"/>
      <c r="D655" s="74"/>
      <c r="E655" s="73"/>
      <c r="F655" s="73"/>
      <c r="G655" s="73"/>
      <c r="H655" s="73"/>
      <c r="I655" s="73"/>
      <c r="J655" s="73"/>
      <c r="K655" s="92"/>
      <c r="L655" s="73"/>
      <c r="M655" s="73"/>
      <c r="N655" s="73"/>
      <c r="O655" s="73"/>
      <c r="P655" s="73"/>
      <c r="Q655" s="75"/>
      <c r="R655" s="82"/>
      <c r="S655" s="73"/>
      <c r="T655" s="73"/>
      <c r="U655" s="73"/>
      <c r="V655" s="73"/>
      <c r="W655" s="73"/>
      <c r="X655" s="73"/>
      <c r="Y655" s="77"/>
      <c r="Z655" s="104"/>
      <c r="AA655" s="73"/>
      <c r="AB655" s="104"/>
      <c r="AC655" s="104"/>
      <c r="AD655" s="74"/>
      <c r="AE655" s="106"/>
      <c r="AF655" s="195"/>
      <c r="AG655" s="80"/>
      <c r="AH655" s="104"/>
      <c r="AI655" s="73"/>
      <c r="AJ655" s="114"/>
      <c r="AK655" s="106"/>
      <c r="AL655" s="74"/>
      <c r="AM655" s="73"/>
      <c r="AN655" s="73"/>
      <c r="AO655" s="102"/>
      <c r="AP655" s="73"/>
      <c r="AQ655" s="73"/>
      <c r="AR655" s="74"/>
      <c r="AS655" s="73"/>
      <c r="AT655" s="73"/>
      <c r="AU655" s="73"/>
      <c r="AV655" s="73"/>
      <c r="AW655" s="73"/>
      <c r="AX655" s="74"/>
      <c r="AY655" s="73"/>
      <c r="AZ655" s="73"/>
      <c r="BA655" s="74"/>
      <c r="BB655" s="73"/>
      <c r="BC655" s="73"/>
      <c r="BD655" s="73"/>
      <c r="BE655" s="73"/>
      <c r="BF655" s="73"/>
      <c r="BG655" s="73"/>
      <c r="BH655" s="73"/>
      <c r="BI655" s="73"/>
      <c r="BJ655" s="73"/>
      <c r="BK655" s="73"/>
      <c r="BL655" s="73"/>
      <c r="BM655" s="73"/>
      <c r="BN655" s="73"/>
      <c r="BO655" s="73"/>
      <c r="BP655" s="73"/>
      <c r="BQ655" s="73"/>
      <c r="BR655" s="73"/>
      <c r="BS655" s="73"/>
      <c r="BT655" s="74"/>
      <c r="BU655" s="73"/>
      <c r="BV655" s="73"/>
      <c r="BW655" s="73"/>
      <c r="BX655" s="73"/>
      <c r="BY655" s="73"/>
      <c r="BZ655" s="73"/>
      <c r="CA655" s="73"/>
      <c r="CB655" s="73"/>
      <c r="CC655" s="73"/>
      <c r="CD655" s="73"/>
      <c r="CE655" s="73"/>
    </row>
    <row r="656">
      <c r="A656" s="73"/>
      <c r="B656" s="73"/>
      <c r="C656" s="73"/>
      <c r="D656" s="74"/>
      <c r="E656" s="73"/>
      <c r="F656" s="73"/>
      <c r="G656" s="73"/>
      <c r="H656" s="73"/>
      <c r="I656" s="73"/>
      <c r="J656" s="73"/>
      <c r="K656" s="92"/>
      <c r="L656" s="73"/>
      <c r="M656" s="73"/>
      <c r="N656" s="73"/>
      <c r="O656" s="73"/>
      <c r="P656" s="73"/>
      <c r="Q656" s="75"/>
      <c r="R656" s="82"/>
      <c r="S656" s="73"/>
      <c r="T656" s="73"/>
      <c r="U656" s="73"/>
      <c r="V656" s="73"/>
      <c r="W656" s="73"/>
      <c r="X656" s="73"/>
      <c r="Y656" s="77"/>
      <c r="Z656" s="104"/>
      <c r="AA656" s="73"/>
      <c r="AB656" s="104"/>
      <c r="AC656" s="104"/>
      <c r="AD656" s="74"/>
      <c r="AE656" s="106"/>
      <c r="AF656" s="195"/>
      <c r="AG656" s="80"/>
      <c r="AH656" s="104"/>
      <c r="AI656" s="73"/>
      <c r="AJ656" s="114"/>
      <c r="AK656" s="106"/>
      <c r="AL656" s="74"/>
      <c r="AM656" s="73"/>
      <c r="AN656" s="73"/>
      <c r="AO656" s="102"/>
      <c r="AP656" s="73"/>
      <c r="AQ656" s="73"/>
      <c r="AR656" s="74"/>
      <c r="AS656" s="73"/>
      <c r="AT656" s="73"/>
      <c r="AU656" s="73"/>
      <c r="AV656" s="73"/>
      <c r="AW656" s="73"/>
      <c r="AX656" s="74"/>
      <c r="AY656" s="73"/>
      <c r="AZ656" s="73"/>
      <c r="BA656" s="74"/>
      <c r="BB656" s="73"/>
      <c r="BC656" s="73"/>
      <c r="BD656" s="73"/>
      <c r="BE656" s="73"/>
      <c r="BF656" s="73"/>
      <c r="BG656" s="73"/>
      <c r="BH656" s="73"/>
      <c r="BI656" s="73"/>
      <c r="BJ656" s="73"/>
      <c r="BK656" s="73"/>
      <c r="BL656" s="73"/>
      <c r="BM656" s="73"/>
      <c r="BN656" s="73"/>
      <c r="BO656" s="73"/>
      <c r="BP656" s="73"/>
      <c r="BQ656" s="73"/>
      <c r="BR656" s="73"/>
      <c r="BS656" s="73"/>
      <c r="BT656" s="74"/>
      <c r="BU656" s="73"/>
      <c r="BV656" s="73"/>
      <c r="BW656" s="73"/>
      <c r="BX656" s="73"/>
      <c r="BY656" s="73"/>
      <c r="BZ656" s="73"/>
      <c r="CA656" s="73"/>
      <c r="CB656" s="73"/>
      <c r="CC656" s="73"/>
      <c r="CD656" s="73"/>
      <c r="CE656" s="73"/>
    </row>
    <row r="657">
      <c r="A657" s="73"/>
      <c r="B657" s="73"/>
      <c r="C657" s="73"/>
      <c r="D657" s="74"/>
      <c r="E657" s="73"/>
      <c r="F657" s="73"/>
      <c r="G657" s="73"/>
      <c r="H657" s="73"/>
      <c r="I657" s="73"/>
      <c r="J657" s="73"/>
      <c r="K657" s="92"/>
      <c r="L657" s="73"/>
      <c r="M657" s="73"/>
      <c r="N657" s="73"/>
      <c r="O657" s="73"/>
      <c r="P657" s="73"/>
      <c r="Q657" s="75"/>
      <c r="R657" s="82"/>
      <c r="S657" s="73"/>
      <c r="T657" s="73"/>
      <c r="U657" s="73"/>
      <c r="V657" s="73"/>
      <c r="W657" s="73"/>
      <c r="X657" s="73"/>
      <c r="Y657" s="77"/>
      <c r="Z657" s="104"/>
      <c r="AA657" s="73"/>
      <c r="AB657" s="104"/>
      <c r="AC657" s="104"/>
      <c r="AD657" s="74"/>
      <c r="AE657" s="106"/>
      <c r="AF657" s="195"/>
      <c r="AG657" s="80"/>
      <c r="AH657" s="104"/>
      <c r="AI657" s="73"/>
      <c r="AJ657" s="114"/>
      <c r="AK657" s="106"/>
      <c r="AL657" s="74"/>
      <c r="AM657" s="73"/>
      <c r="AN657" s="73"/>
      <c r="AO657" s="102"/>
      <c r="AP657" s="73"/>
      <c r="AQ657" s="73"/>
      <c r="AR657" s="74"/>
      <c r="AS657" s="73"/>
      <c r="AT657" s="73"/>
      <c r="AU657" s="73"/>
      <c r="AV657" s="73"/>
      <c r="AW657" s="73"/>
      <c r="AX657" s="74"/>
      <c r="AY657" s="73"/>
      <c r="AZ657" s="73"/>
      <c r="BA657" s="74"/>
      <c r="BB657" s="73"/>
      <c r="BC657" s="73"/>
      <c r="BD657" s="73"/>
      <c r="BE657" s="73"/>
      <c r="BF657" s="73"/>
      <c r="BG657" s="73"/>
      <c r="BH657" s="73"/>
      <c r="BI657" s="73"/>
      <c r="BJ657" s="73"/>
      <c r="BK657" s="73"/>
      <c r="BL657" s="73"/>
      <c r="BM657" s="73"/>
      <c r="BN657" s="73"/>
      <c r="BO657" s="73"/>
      <c r="BP657" s="73"/>
      <c r="BQ657" s="73"/>
      <c r="BR657" s="73"/>
      <c r="BS657" s="73"/>
      <c r="BT657" s="74"/>
      <c r="BU657" s="73"/>
      <c r="BV657" s="73"/>
      <c r="BW657" s="73"/>
      <c r="BX657" s="73"/>
      <c r="BY657" s="73"/>
      <c r="BZ657" s="73"/>
      <c r="CA657" s="73"/>
      <c r="CB657" s="73"/>
      <c r="CC657" s="73"/>
      <c r="CD657" s="73"/>
      <c r="CE657" s="73"/>
    </row>
    <row r="658">
      <c r="A658" s="73"/>
      <c r="B658" s="73"/>
      <c r="C658" s="73"/>
      <c r="D658" s="74"/>
      <c r="E658" s="73"/>
      <c r="F658" s="73"/>
      <c r="G658" s="73"/>
      <c r="H658" s="73"/>
      <c r="I658" s="73"/>
      <c r="J658" s="73"/>
      <c r="K658" s="92"/>
      <c r="L658" s="73"/>
      <c r="M658" s="73"/>
      <c r="N658" s="73"/>
      <c r="O658" s="73"/>
      <c r="P658" s="73"/>
      <c r="Q658" s="75"/>
      <c r="R658" s="82"/>
      <c r="S658" s="73"/>
      <c r="T658" s="73"/>
      <c r="U658" s="73"/>
      <c r="V658" s="73"/>
      <c r="W658" s="73"/>
      <c r="X658" s="73"/>
      <c r="Y658" s="77"/>
      <c r="Z658" s="104"/>
      <c r="AA658" s="73"/>
      <c r="AB658" s="104"/>
      <c r="AC658" s="104"/>
      <c r="AD658" s="74"/>
      <c r="AE658" s="106"/>
      <c r="AF658" s="195"/>
      <c r="AG658" s="80"/>
      <c r="AH658" s="104"/>
      <c r="AI658" s="73"/>
      <c r="AJ658" s="114"/>
      <c r="AK658" s="106"/>
      <c r="AL658" s="74"/>
      <c r="AM658" s="73"/>
      <c r="AN658" s="73"/>
      <c r="AO658" s="102"/>
      <c r="AP658" s="73"/>
      <c r="AQ658" s="73"/>
      <c r="AR658" s="74"/>
      <c r="AS658" s="73"/>
      <c r="AT658" s="73"/>
      <c r="AU658" s="73"/>
      <c r="AV658" s="73"/>
      <c r="AW658" s="73"/>
      <c r="AX658" s="74"/>
      <c r="AY658" s="73"/>
      <c r="AZ658" s="73"/>
      <c r="BA658" s="74"/>
      <c r="BB658" s="73"/>
      <c r="BC658" s="73"/>
      <c r="BD658" s="73"/>
      <c r="BE658" s="73"/>
      <c r="BF658" s="73"/>
      <c r="BG658" s="73"/>
      <c r="BH658" s="73"/>
      <c r="BI658" s="73"/>
      <c r="BJ658" s="73"/>
      <c r="BK658" s="73"/>
      <c r="BL658" s="73"/>
      <c r="BM658" s="73"/>
      <c r="BN658" s="73"/>
      <c r="BO658" s="73"/>
      <c r="BP658" s="73"/>
      <c r="BQ658" s="73"/>
      <c r="BR658" s="73"/>
      <c r="BS658" s="73"/>
      <c r="BT658" s="74"/>
      <c r="BU658" s="73"/>
      <c r="BV658" s="73"/>
      <c r="BW658" s="73"/>
      <c r="BX658" s="73"/>
      <c r="BY658" s="73"/>
      <c r="BZ658" s="73"/>
      <c r="CA658" s="73"/>
      <c r="CB658" s="73"/>
      <c r="CC658" s="73"/>
      <c r="CD658" s="73"/>
      <c r="CE658" s="73"/>
    </row>
    <row r="659">
      <c r="A659" s="73"/>
      <c r="B659" s="73"/>
      <c r="C659" s="73"/>
      <c r="D659" s="74"/>
      <c r="E659" s="73"/>
      <c r="F659" s="73"/>
      <c r="G659" s="73"/>
      <c r="H659" s="73"/>
      <c r="I659" s="73"/>
      <c r="J659" s="73"/>
      <c r="K659" s="92"/>
      <c r="L659" s="73"/>
      <c r="M659" s="73"/>
      <c r="N659" s="73"/>
      <c r="O659" s="73"/>
      <c r="P659" s="73"/>
      <c r="Q659" s="75"/>
      <c r="R659" s="82"/>
      <c r="S659" s="73"/>
      <c r="T659" s="73"/>
      <c r="U659" s="73"/>
      <c r="V659" s="73"/>
      <c r="W659" s="73"/>
      <c r="X659" s="73"/>
      <c r="Y659" s="77"/>
      <c r="Z659" s="104"/>
      <c r="AA659" s="73"/>
      <c r="AB659" s="104"/>
      <c r="AC659" s="104"/>
      <c r="AD659" s="74"/>
      <c r="AE659" s="106"/>
      <c r="AF659" s="195"/>
      <c r="AG659" s="80"/>
      <c r="AH659" s="104"/>
      <c r="AI659" s="73"/>
      <c r="AJ659" s="114"/>
      <c r="AK659" s="106"/>
      <c r="AL659" s="74"/>
      <c r="AM659" s="73"/>
      <c r="AN659" s="73"/>
      <c r="AO659" s="102"/>
      <c r="AP659" s="73"/>
      <c r="AQ659" s="73"/>
      <c r="AR659" s="74"/>
      <c r="AS659" s="73"/>
      <c r="AT659" s="73"/>
      <c r="AU659" s="73"/>
      <c r="AV659" s="73"/>
      <c r="AW659" s="73"/>
      <c r="AX659" s="74"/>
      <c r="AY659" s="73"/>
      <c r="AZ659" s="73"/>
      <c r="BA659" s="74"/>
      <c r="BB659" s="73"/>
      <c r="BC659" s="73"/>
      <c r="BD659" s="73"/>
      <c r="BE659" s="73"/>
      <c r="BF659" s="73"/>
      <c r="BG659" s="73"/>
      <c r="BH659" s="73"/>
      <c r="BI659" s="73"/>
      <c r="BJ659" s="73"/>
      <c r="BK659" s="73"/>
      <c r="BL659" s="73"/>
      <c r="BM659" s="73"/>
      <c r="BN659" s="73"/>
      <c r="BO659" s="73"/>
      <c r="BP659" s="73"/>
      <c r="BQ659" s="73"/>
      <c r="BR659" s="73"/>
      <c r="BS659" s="73"/>
      <c r="BT659" s="74"/>
      <c r="BU659" s="73"/>
      <c r="BV659" s="73"/>
      <c r="BW659" s="73"/>
      <c r="BX659" s="73"/>
      <c r="BY659" s="73"/>
      <c r="BZ659" s="73"/>
      <c r="CA659" s="73"/>
      <c r="CB659" s="73"/>
      <c r="CC659" s="73"/>
      <c r="CD659" s="73"/>
      <c r="CE659" s="73"/>
    </row>
    <row r="660">
      <c r="A660" s="73"/>
      <c r="B660" s="73"/>
      <c r="C660" s="73"/>
      <c r="D660" s="74"/>
      <c r="E660" s="73"/>
      <c r="F660" s="73"/>
      <c r="G660" s="73"/>
      <c r="H660" s="73"/>
      <c r="I660" s="73"/>
      <c r="J660" s="73"/>
      <c r="K660" s="92"/>
      <c r="L660" s="73"/>
      <c r="M660" s="73"/>
      <c r="N660" s="73"/>
      <c r="O660" s="73"/>
      <c r="P660" s="73"/>
      <c r="Q660" s="75"/>
      <c r="R660" s="82"/>
      <c r="S660" s="73"/>
      <c r="T660" s="73"/>
      <c r="U660" s="73"/>
      <c r="V660" s="73"/>
      <c r="W660" s="73"/>
      <c r="X660" s="73"/>
      <c r="Y660" s="77"/>
      <c r="Z660" s="104"/>
      <c r="AA660" s="73"/>
      <c r="AB660" s="104"/>
      <c r="AC660" s="104"/>
      <c r="AD660" s="74"/>
      <c r="AE660" s="106"/>
      <c r="AF660" s="195"/>
      <c r="AG660" s="80"/>
      <c r="AH660" s="104"/>
      <c r="AI660" s="73"/>
      <c r="AJ660" s="114"/>
      <c r="AK660" s="106"/>
      <c r="AL660" s="74"/>
      <c r="AM660" s="73"/>
      <c r="AN660" s="73"/>
      <c r="AO660" s="102"/>
      <c r="AP660" s="73"/>
      <c r="AQ660" s="73"/>
      <c r="AR660" s="74"/>
      <c r="AS660" s="73"/>
      <c r="AT660" s="73"/>
      <c r="AU660" s="73"/>
      <c r="AV660" s="73"/>
      <c r="AW660" s="73"/>
      <c r="AX660" s="74"/>
      <c r="AY660" s="73"/>
      <c r="AZ660" s="73"/>
      <c r="BA660" s="74"/>
      <c r="BB660" s="73"/>
      <c r="BC660" s="73"/>
      <c r="BD660" s="73"/>
      <c r="BE660" s="73"/>
      <c r="BF660" s="73"/>
      <c r="BG660" s="73"/>
      <c r="BH660" s="73"/>
      <c r="BI660" s="73"/>
      <c r="BJ660" s="73"/>
      <c r="BK660" s="73"/>
      <c r="BL660" s="73"/>
      <c r="BM660" s="73"/>
      <c r="BN660" s="73"/>
      <c r="BO660" s="73"/>
      <c r="BP660" s="73"/>
      <c r="BQ660" s="73"/>
      <c r="BR660" s="73"/>
      <c r="BS660" s="73"/>
      <c r="BT660" s="74"/>
      <c r="BU660" s="73"/>
      <c r="BV660" s="73"/>
      <c r="BW660" s="73"/>
      <c r="BX660" s="73"/>
      <c r="BY660" s="73"/>
      <c r="BZ660" s="73"/>
      <c r="CA660" s="73"/>
      <c r="CB660" s="73"/>
      <c r="CC660" s="73"/>
      <c r="CD660" s="73"/>
      <c r="CE660" s="73"/>
    </row>
    <row r="661">
      <c r="A661" s="73"/>
      <c r="B661" s="73"/>
      <c r="C661" s="73"/>
      <c r="D661" s="74"/>
      <c r="E661" s="73"/>
      <c r="F661" s="73"/>
      <c r="G661" s="73"/>
      <c r="H661" s="73"/>
      <c r="I661" s="73"/>
      <c r="J661" s="73"/>
      <c r="K661" s="92"/>
      <c r="L661" s="73"/>
      <c r="M661" s="73"/>
      <c r="N661" s="73"/>
      <c r="O661" s="73"/>
      <c r="P661" s="73"/>
      <c r="Q661" s="75"/>
      <c r="R661" s="82"/>
      <c r="S661" s="73"/>
      <c r="T661" s="73"/>
      <c r="U661" s="73"/>
      <c r="V661" s="73"/>
      <c r="W661" s="73"/>
      <c r="X661" s="73"/>
      <c r="Y661" s="77"/>
      <c r="Z661" s="104"/>
      <c r="AA661" s="73"/>
      <c r="AB661" s="104"/>
      <c r="AC661" s="104"/>
      <c r="AD661" s="74"/>
      <c r="AE661" s="106"/>
      <c r="AF661" s="195"/>
      <c r="AG661" s="80"/>
      <c r="AH661" s="104"/>
      <c r="AI661" s="73"/>
      <c r="AJ661" s="114"/>
      <c r="AK661" s="106"/>
      <c r="AL661" s="74"/>
      <c r="AM661" s="73"/>
      <c r="AN661" s="73"/>
      <c r="AO661" s="102"/>
      <c r="AP661" s="73"/>
      <c r="AQ661" s="73"/>
      <c r="AR661" s="74"/>
      <c r="AS661" s="73"/>
      <c r="AT661" s="73"/>
      <c r="AU661" s="73"/>
      <c r="AV661" s="73"/>
      <c r="AW661" s="73"/>
      <c r="AX661" s="74"/>
      <c r="AY661" s="73"/>
      <c r="AZ661" s="73"/>
      <c r="BA661" s="74"/>
      <c r="BB661" s="73"/>
      <c r="BC661" s="73"/>
      <c r="BD661" s="73"/>
      <c r="BE661" s="73"/>
      <c r="BF661" s="73"/>
      <c r="BG661" s="73"/>
      <c r="BH661" s="73"/>
      <c r="BI661" s="73"/>
      <c r="BJ661" s="73"/>
      <c r="BK661" s="73"/>
      <c r="BL661" s="73"/>
      <c r="BM661" s="73"/>
      <c r="BN661" s="73"/>
      <c r="BO661" s="73"/>
      <c r="BP661" s="73"/>
      <c r="BQ661" s="73"/>
      <c r="BR661" s="73"/>
      <c r="BS661" s="73"/>
      <c r="BT661" s="74"/>
      <c r="BU661" s="73"/>
      <c r="BV661" s="73"/>
      <c r="BW661" s="73"/>
      <c r="BX661" s="73"/>
      <c r="BY661" s="73"/>
      <c r="BZ661" s="73"/>
      <c r="CA661" s="73"/>
      <c r="CB661" s="73"/>
      <c r="CC661" s="73"/>
      <c r="CD661" s="73"/>
      <c r="CE661" s="73"/>
    </row>
    <row r="662">
      <c r="A662" s="73"/>
      <c r="B662" s="73"/>
      <c r="C662" s="73"/>
      <c r="D662" s="74"/>
      <c r="E662" s="73"/>
      <c r="F662" s="73"/>
      <c r="G662" s="73"/>
      <c r="H662" s="73"/>
      <c r="I662" s="73"/>
      <c r="J662" s="73"/>
      <c r="K662" s="92"/>
      <c r="L662" s="73"/>
      <c r="M662" s="73"/>
      <c r="N662" s="73"/>
      <c r="O662" s="73"/>
      <c r="P662" s="73"/>
      <c r="Q662" s="75"/>
      <c r="R662" s="82"/>
      <c r="S662" s="73"/>
      <c r="T662" s="73"/>
      <c r="U662" s="73"/>
      <c r="V662" s="73"/>
      <c r="W662" s="73"/>
      <c r="X662" s="73"/>
      <c r="Y662" s="77"/>
      <c r="Z662" s="104"/>
      <c r="AA662" s="73"/>
      <c r="AB662" s="104"/>
      <c r="AC662" s="104"/>
      <c r="AD662" s="74"/>
      <c r="AE662" s="106"/>
      <c r="AF662" s="195"/>
      <c r="AG662" s="80"/>
      <c r="AH662" s="104"/>
      <c r="AI662" s="73"/>
      <c r="AJ662" s="114"/>
      <c r="AK662" s="106"/>
      <c r="AL662" s="74"/>
      <c r="AM662" s="73"/>
      <c r="AN662" s="73"/>
      <c r="AO662" s="102"/>
      <c r="AP662" s="73"/>
      <c r="AQ662" s="73"/>
      <c r="AR662" s="74"/>
      <c r="AS662" s="73"/>
      <c r="AT662" s="73"/>
      <c r="AU662" s="73"/>
      <c r="AV662" s="73"/>
      <c r="AW662" s="73"/>
      <c r="AX662" s="74"/>
      <c r="AY662" s="73"/>
      <c r="AZ662" s="73"/>
      <c r="BA662" s="74"/>
      <c r="BB662" s="73"/>
      <c r="BC662" s="73"/>
      <c r="BD662" s="73"/>
      <c r="BE662" s="73"/>
      <c r="BF662" s="73"/>
      <c r="BG662" s="73"/>
      <c r="BH662" s="73"/>
      <c r="BI662" s="73"/>
      <c r="BJ662" s="73"/>
      <c r="BK662" s="73"/>
      <c r="BL662" s="73"/>
      <c r="BM662" s="73"/>
      <c r="BN662" s="73"/>
      <c r="BO662" s="73"/>
      <c r="BP662" s="73"/>
      <c r="BQ662" s="73"/>
      <c r="BR662" s="73"/>
      <c r="BS662" s="73"/>
      <c r="BT662" s="74"/>
      <c r="BU662" s="73"/>
      <c r="BV662" s="73"/>
      <c r="BW662" s="73"/>
      <c r="BX662" s="73"/>
      <c r="BY662" s="73"/>
      <c r="BZ662" s="73"/>
      <c r="CA662" s="73"/>
      <c r="CB662" s="73"/>
      <c r="CC662" s="73"/>
      <c r="CD662" s="73"/>
      <c r="CE662" s="73"/>
    </row>
    <row r="663">
      <c r="A663" s="73"/>
      <c r="B663" s="73"/>
      <c r="C663" s="73"/>
      <c r="D663" s="74"/>
      <c r="E663" s="73"/>
      <c r="F663" s="73"/>
      <c r="G663" s="73"/>
      <c r="H663" s="73"/>
      <c r="I663" s="73"/>
      <c r="J663" s="73"/>
      <c r="K663" s="92"/>
      <c r="L663" s="73"/>
      <c r="M663" s="73"/>
      <c r="N663" s="73"/>
      <c r="O663" s="73"/>
      <c r="P663" s="73"/>
      <c r="Q663" s="75"/>
      <c r="R663" s="82"/>
      <c r="S663" s="73"/>
      <c r="T663" s="73"/>
      <c r="U663" s="73"/>
      <c r="V663" s="73"/>
      <c r="W663" s="73"/>
      <c r="X663" s="73"/>
      <c r="Y663" s="77"/>
      <c r="Z663" s="104"/>
      <c r="AA663" s="73"/>
      <c r="AB663" s="104"/>
      <c r="AC663" s="104"/>
      <c r="AD663" s="74"/>
      <c r="AE663" s="106"/>
      <c r="AF663" s="195"/>
      <c r="AG663" s="80"/>
      <c r="AH663" s="104"/>
      <c r="AI663" s="73"/>
      <c r="AJ663" s="114"/>
      <c r="AK663" s="106"/>
      <c r="AL663" s="74"/>
      <c r="AM663" s="73"/>
      <c r="AN663" s="73"/>
      <c r="AO663" s="102"/>
      <c r="AP663" s="73"/>
      <c r="AQ663" s="73"/>
      <c r="AR663" s="74"/>
      <c r="AS663" s="73"/>
      <c r="AT663" s="73"/>
      <c r="AU663" s="73"/>
      <c r="AV663" s="73"/>
      <c r="AW663" s="73"/>
      <c r="AX663" s="74"/>
      <c r="AY663" s="73"/>
      <c r="AZ663" s="73"/>
      <c r="BA663" s="74"/>
      <c r="BB663" s="73"/>
      <c r="BC663" s="73"/>
      <c r="BD663" s="73"/>
      <c r="BE663" s="73"/>
      <c r="BF663" s="73"/>
      <c r="BG663" s="73"/>
      <c r="BH663" s="73"/>
      <c r="BI663" s="73"/>
      <c r="BJ663" s="73"/>
      <c r="BK663" s="73"/>
      <c r="BL663" s="73"/>
      <c r="BM663" s="73"/>
      <c r="BN663" s="73"/>
      <c r="BO663" s="73"/>
      <c r="BP663" s="73"/>
      <c r="BQ663" s="73"/>
      <c r="BR663" s="73"/>
      <c r="BS663" s="73"/>
      <c r="BT663" s="74"/>
      <c r="BU663" s="73"/>
      <c r="BV663" s="73"/>
      <c r="BW663" s="73"/>
      <c r="BX663" s="73"/>
      <c r="BY663" s="73"/>
      <c r="BZ663" s="73"/>
      <c r="CA663" s="73"/>
      <c r="CB663" s="73"/>
      <c r="CC663" s="73"/>
      <c r="CD663" s="73"/>
      <c r="CE663" s="73"/>
    </row>
    <row r="664">
      <c r="A664" s="73"/>
      <c r="B664" s="73"/>
      <c r="C664" s="73"/>
      <c r="D664" s="74"/>
      <c r="E664" s="73"/>
      <c r="F664" s="73"/>
      <c r="G664" s="73"/>
      <c r="H664" s="73"/>
      <c r="I664" s="73"/>
      <c r="J664" s="73"/>
      <c r="K664" s="92"/>
      <c r="L664" s="73"/>
      <c r="M664" s="73"/>
      <c r="N664" s="73"/>
      <c r="O664" s="73"/>
      <c r="P664" s="73"/>
      <c r="Q664" s="75"/>
      <c r="R664" s="82"/>
      <c r="S664" s="73"/>
      <c r="T664" s="73"/>
      <c r="U664" s="73"/>
      <c r="V664" s="73"/>
      <c r="W664" s="73"/>
      <c r="X664" s="73"/>
      <c r="Y664" s="77"/>
      <c r="Z664" s="104"/>
      <c r="AA664" s="73"/>
      <c r="AB664" s="104"/>
      <c r="AC664" s="104"/>
      <c r="AD664" s="74"/>
      <c r="AE664" s="106"/>
      <c r="AF664" s="195"/>
      <c r="AG664" s="80"/>
      <c r="AH664" s="104"/>
      <c r="AI664" s="73"/>
      <c r="AJ664" s="114"/>
      <c r="AK664" s="106"/>
      <c r="AL664" s="74"/>
      <c r="AM664" s="73"/>
      <c r="AN664" s="73"/>
      <c r="AO664" s="102"/>
      <c r="AP664" s="73"/>
      <c r="AQ664" s="73"/>
      <c r="AR664" s="74"/>
      <c r="AS664" s="73"/>
      <c r="AT664" s="73"/>
      <c r="AU664" s="73"/>
      <c r="AV664" s="73"/>
      <c r="AW664" s="73"/>
      <c r="AX664" s="74"/>
      <c r="AY664" s="73"/>
      <c r="AZ664" s="73"/>
      <c r="BA664" s="74"/>
      <c r="BB664" s="73"/>
      <c r="BC664" s="73"/>
      <c r="BD664" s="73"/>
      <c r="BE664" s="73"/>
      <c r="BF664" s="73"/>
      <c r="BG664" s="73"/>
      <c r="BH664" s="73"/>
      <c r="BI664" s="73"/>
      <c r="BJ664" s="73"/>
      <c r="BK664" s="73"/>
      <c r="BL664" s="73"/>
      <c r="BM664" s="73"/>
      <c r="BN664" s="73"/>
      <c r="BO664" s="73"/>
      <c r="BP664" s="73"/>
      <c r="BQ664" s="73"/>
      <c r="BR664" s="73"/>
      <c r="BS664" s="73"/>
      <c r="BT664" s="74"/>
      <c r="BU664" s="73"/>
      <c r="BV664" s="73"/>
      <c r="BW664" s="73"/>
      <c r="BX664" s="73"/>
      <c r="BY664" s="73"/>
      <c r="BZ664" s="73"/>
      <c r="CA664" s="73"/>
      <c r="CB664" s="73"/>
      <c r="CC664" s="73"/>
      <c r="CD664" s="73"/>
      <c r="CE664" s="73"/>
    </row>
    <row r="665">
      <c r="A665" s="73"/>
      <c r="B665" s="73"/>
      <c r="C665" s="73"/>
      <c r="D665" s="74"/>
      <c r="E665" s="73"/>
      <c r="F665" s="73"/>
      <c r="G665" s="73"/>
      <c r="H665" s="73"/>
      <c r="I665" s="73"/>
      <c r="J665" s="73"/>
      <c r="K665" s="92"/>
      <c r="L665" s="73"/>
      <c r="M665" s="73"/>
      <c r="N665" s="73"/>
      <c r="O665" s="73"/>
      <c r="P665" s="73"/>
      <c r="Q665" s="75"/>
      <c r="R665" s="82"/>
      <c r="S665" s="73"/>
      <c r="T665" s="73"/>
      <c r="U665" s="73"/>
      <c r="V665" s="73"/>
      <c r="W665" s="73"/>
      <c r="X665" s="73"/>
      <c r="Y665" s="77"/>
      <c r="Z665" s="104"/>
      <c r="AA665" s="73"/>
      <c r="AB665" s="104"/>
      <c r="AC665" s="104"/>
      <c r="AD665" s="74"/>
      <c r="AE665" s="106"/>
      <c r="AF665" s="195"/>
      <c r="AG665" s="80"/>
      <c r="AH665" s="104"/>
      <c r="AI665" s="73"/>
      <c r="AJ665" s="114"/>
      <c r="AK665" s="106"/>
      <c r="AL665" s="74"/>
      <c r="AM665" s="73"/>
      <c r="AN665" s="73"/>
      <c r="AO665" s="102"/>
      <c r="AP665" s="73"/>
      <c r="AQ665" s="73"/>
      <c r="AR665" s="74"/>
      <c r="AS665" s="73"/>
      <c r="AT665" s="73"/>
      <c r="AU665" s="73"/>
      <c r="AV665" s="73"/>
      <c r="AW665" s="73"/>
      <c r="AX665" s="74"/>
      <c r="AY665" s="73"/>
      <c r="AZ665" s="73"/>
      <c r="BA665" s="74"/>
      <c r="BB665" s="73"/>
      <c r="BC665" s="73"/>
      <c r="BD665" s="73"/>
      <c r="BE665" s="73"/>
      <c r="BF665" s="73"/>
      <c r="BG665" s="73"/>
      <c r="BH665" s="73"/>
      <c r="BI665" s="73"/>
      <c r="BJ665" s="73"/>
      <c r="BK665" s="73"/>
      <c r="BL665" s="73"/>
      <c r="BM665" s="73"/>
      <c r="BN665" s="73"/>
      <c r="BO665" s="73"/>
      <c r="BP665" s="73"/>
      <c r="BQ665" s="73"/>
      <c r="BR665" s="73"/>
      <c r="BS665" s="73"/>
      <c r="BT665" s="74"/>
      <c r="BU665" s="73"/>
      <c r="BV665" s="73"/>
      <c r="BW665" s="73"/>
      <c r="BX665" s="73"/>
      <c r="BY665" s="73"/>
      <c r="BZ665" s="73"/>
      <c r="CA665" s="73"/>
      <c r="CB665" s="73"/>
      <c r="CC665" s="73"/>
      <c r="CD665" s="73"/>
      <c r="CE665" s="73"/>
    </row>
    <row r="666">
      <c r="A666" s="73"/>
      <c r="B666" s="73"/>
      <c r="C666" s="73"/>
      <c r="D666" s="74"/>
      <c r="E666" s="73"/>
      <c r="F666" s="73"/>
      <c r="G666" s="73"/>
      <c r="H666" s="73"/>
      <c r="I666" s="73"/>
      <c r="J666" s="73"/>
      <c r="K666" s="92"/>
      <c r="L666" s="73"/>
      <c r="M666" s="73"/>
      <c r="N666" s="73"/>
      <c r="O666" s="73"/>
      <c r="P666" s="73"/>
      <c r="Q666" s="75"/>
      <c r="R666" s="82"/>
      <c r="S666" s="73"/>
      <c r="T666" s="73"/>
      <c r="U666" s="73"/>
      <c r="V666" s="73"/>
      <c r="W666" s="73"/>
      <c r="X666" s="73"/>
      <c r="Y666" s="77"/>
      <c r="Z666" s="104"/>
      <c r="AA666" s="73"/>
      <c r="AB666" s="104"/>
      <c r="AC666" s="104"/>
      <c r="AD666" s="74"/>
      <c r="AE666" s="106"/>
      <c r="AF666" s="195"/>
      <c r="AG666" s="80"/>
      <c r="AH666" s="104"/>
      <c r="AI666" s="73"/>
      <c r="AJ666" s="114"/>
      <c r="AK666" s="106"/>
      <c r="AL666" s="74"/>
      <c r="AM666" s="73"/>
      <c r="AN666" s="73"/>
      <c r="AO666" s="102"/>
      <c r="AP666" s="73"/>
      <c r="AQ666" s="73"/>
      <c r="AR666" s="74"/>
      <c r="AS666" s="73"/>
      <c r="AT666" s="73"/>
      <c r="AU666" s="73"/>
      <c r="AV666" s="73"/>
      <c r="AW666" s="73"/>
      <c r="AX666" s="74"/>
      <c r="AY666" s="73"/>
      <c r="AZ666" s="73"/>
      <c r="BA666" s="74"/>
      <c r="BB666" s="73"/>
      <c r="BC666" s="73"/>
      <c r="BD666" s="73"/>
      <c r="BE666" s="73"/>
      <c r="BF666" s="73"/>
      <c r="BG666" s="73"/>
      <c r="BH666" s="73"/>
      <c r="BI666" s="73"/>
      <c r="BJ666" s="73"/>
      <c r="BK666" s="73"/>
      <c r="BL666" s="73"/>
      <c r="BM666" s="73"/>
      <c r="BN666" s="73"/>
      <c r="BO666" s="73"/>
      <c r="BP666" s="73"/>
      <c r="BQ666" s="73"/>
      <c r="BR666" s="73"/>
      <c r="BS666" s="73"/>
      <c r="BT666" s="74"/>
      <c r="BU666" s="73"/>
      <c r="BV666" s="73"/>
      <c r="BW666" s="73"/>
      <c r="BX666" s="73"/>
      <c r="BY666" s="73"/>
      <c r="BZ666" s="73"/>
      <c r="CA666" s="73"/>
      <c r="CB666" s="73"/>
      <c r="CC666" s="73"/>
      <c r="CD666" s="73"/>
      <c r="CE666" s="73"/>
    </row>
    <row r="667">
      <c r="A667" s="73"/>
      <c r="B667" s="73"/>
      <c r="C667" s="73"/>
      <c r="D667" s="74"/>
      <c r="E667" s="73"/>
      <c r="F667" s="73"/>
      <c r="G667" s="73"/>
      <c r="H667" s="73"/>
      <c r="I667" s="73"/>
      <c r="J667" s="73"/>
      <c r="K667" s="92"/>
      <c r="L667" s="73"/>
      <c r="M667" s="73"/>
      <c r="N667" s="73"/>
      <c r="O667" s="73"/>
      <c r="P667" s="73"/>
      <c r="Q667" s="75"/>
      <c r="R667" s="82"/>
      <c r="S667" s="73"/>
      <c r="T667" s="73"/>
      <c r="U667" s="73"/>
      <c r="V667" s="73"/>
      <c r="W667" s="73"/>
      <c r="X667" s="73"/>
      <c r="Y667" s="77"/>
      <c r="Z667" s="104"/>
      <c r="AA667" s="73"/>
      <c r="AB667" s="104"/>
      <c r="AC667" s="104"/>
      <c r="AD667" s="74"/>
      <c r="AE667" s="106"/>
      <c r="AF667" s="195"/>
      <c r="AG667" s="80"/>
      <c r="AH667" s="104"/>
      <c r="AI667" s="73"/>
      <c r="AJ667" s="114"/>
      <c r="AK667" s="106"/>
      <c r="AL667" s="74"/>
      <c r="AM667" s="73"/>
      <c r="AN667" s="73"/>
      <c r="AO667" s="102"/>
      <c r="AP667" s="73"/>
      <c r="AQ667" s="73"/>
      <c r="AR667" s="74"/>
      <c r="AS667" s="73"/>
      <c r="AT667" s="73"/>
      <c r="AU667" s="73"/>
      <c r="AV667" s="73"/>
      <c r="AW667" s="73"/>
      <c r="AX667" s="74"/>
      <c r="AY667" s="73"/>
      <c r="AZ667" s="73"/>
      <c r="BA667" s="74"/>
      <c r="BB667" s="73"/>
      <c r="BC667" s="73"/>
      <c r="BD667" s="73"/>
      <c r="BE667" s="73"/>
      <c r="BF667" s="73"/>
      <c r="BG667" s="73"/>
      <c r="BH667" s="73"/>
      <c r="BI667" s="73"/>
      <c r="BJ667" s="73"/>
      <c r="BK667" s="73"/>
      <c r="BL667" s="73"/>
      <c r="BM667" s="73"/>
      <c r="BN667" s="73"/>
      <c r="BO667" s="73"/>
      <c r="BP667" s="73"/>
      <c r="BQ667" s="73"/>
      <c r="BR667" s="73"/>
      <c r="BS667" s="73"/>
      <c r="BT667" s="74"/>
      <c r="BU667" s="73"/>
      <c r="BV667" s="73"/>
      <c r="BW667" s="73"/>
      <c r="BX667" s="73"/>
      <c r="BY667" s="73"/>
      <c r="BZ667" s="73"/>
      <c r="CA667" s="73"/>
      <c r="CB667" s="73"/>
      <c r="CC667" s="73"/>
      <c r="CD667" s="73"/>
      <c r="CE667" s="73"/>
    </row>
    <row r="668">
      <c r="A668" s="73"/>
      <c r="B668" s="73"/>
      <c r="C668" s="73"/>
      <c r="D668" s="74"/>
      <c r="E668" s="73"/>
      <c r="F668" s="73"/>
      <c r="G668" s="73"/>
      <c r="H668" s="73"/>
      <c r="I668" s="73"/>
      <c r="J668" s="73"/>
      <c r="K668" s="92"/>
      <c r="L668" s="73"/>
      <c r="M668" s="73"/>
      <c r="N668" s="73"/>
      <c r="O668" s="73"/>
      <c r="P668" s="73"/>
      <c r="Q668" s="75"/>
      <c r="R668" s="82"/>
      <c r="S668" s="73"/>
      <c r="T668" s="73"/>
      <c r="U668" s="73"/>
      <c r="V668" s="73"/>
      <c r="W668" s="73"/>
      <c r="X668" s="73"/>
      <c r="Y668" s="77"/>
      <c r="Z668" s="104"/>
      <c r="AA668" s="73"/>
      <c r="AB668" s="104"/>
      <c r="AC668" s="104"/>
      <c r="AD668" s="74"/>
      <c r="AE668" s="106"/>
      <c r="AF668" s="195"/>
      <c r="AG668" s="80"/>
      <c r="AH668" s="104"/>
      <c r="AI668" s="73"/>
      <c r="AJ668" s="114"/>
      <c r="AK668" s="106"/>
      <c r="AL668" s="74"/>
      <c r="AM668" s="73"/>
      <c r="AN668" s="73"/>
      <c r="AO668" s="102"/>
      <c r="AP668" s="73"/>
      <c r="AQ668" s="73"/>
      <c r="AR668" s="74"/>
      <c r="AS668" s="73"/>
      <c r="AT668" s="73"/>
      <c r="AU668" s="73"/>
      <c r="AV668" s="73"/>
      <c r="AW668" s="73"/>
      <c r="AX668" s="74"/>
      <c r="AY668" s="73"/>
      <c r="AZ668" s="73"/>
      <c r="BA668" s="74"/>
      <c r="BB668" s="73"/>
      <c r="BC668" s="73"/>
      <c r="BD668" s="73"/>
      <c r="BE668" s="73"/>
      <c r="BF668" s="73"/>
      <c r="BG668" s="73"/>
      <c r="BH668" s="73"/>
      <c r="BI668" s="73"/>
      <c r="BJ668" s="73"/>
      <c r="BK668" s="73"/>
      <c r="BL668" s="73"/>
      <c r="BM668" s="73"/>
      <c r="BN668" s="73"/>
      <c r="BO668" s="73"/>
      <c r="BP668" s="73"/>
      <c r="BQ668" s="73"/>
      <c r="BR668" s="73"/>
      <c r="BS668" s="73"/>
      <c r="BT668" s="74"/>
      <c r="BU668" s="73"/>
      <c r="BV668" s="73"/>
      <c r="BW668" s="73"/>
      <c r="BX668" s="73"/>
      <c r="BY668" s="73"/>
      <c r="BZ668" s="73"/>
      <c r="CA668" s="73"/>
      <c r="CB668" s="73"/>
      <c r="CC668" s="73"/>
      <c r="CD668" s="73"/>
      <c r="CE668" s="73"/>
    </row>
    <row r="669">
      <c r="A669" s="73"/>
      <c r="B669" s="73"/>
      <c r="C669" s="73"/>
      <c r="D669" s="74"/>
      <c r="E669" s="73"/>
      <c r="F669" s="73"/>
      <c r="G669" s="73"/>
      <c r="H669" s="73"/>
      <c r="I669" s="73"/>
      <c r="J669" s="73"/>
      <c r="K669" s="92"/>
      <c r="L669" s="73"/>
      <c r="M669" s="73"/>
      <c r="N669" s="73"/>
      <c r="O669" s="73"/>
      <c r="P669" s="73"/>
      <c r="Q669" s="75"/>
      <c r="R669" s="82"/>
      <c r="S669" s="73"/>
      <c r="T669" s="73"/>
      <c r="U669" s="73"/>
      <c r="V669" s="73"/>
      <c r="W669" s="73"/>
      <c r="X669" s="73"/>
      <c r="Y669" s="77"/>
      <c r="Z669" s="104"/>
      <c r="AA669" s="73"/>
      <c r="AB669" s="104"/>
      <c r="AC669" s="104"/>
      <c r="AD669" s="74"/>
      <c r="AE669" s="106"/>
      <c r="AF669" s="195"/>
      <c r="AG669" s="80"/>
      <c r="AH669" s="104"/>
      <c r="AI669" s="73"/>
      <c r="AJ669" s="114"/>
      <c r="AK669" s="106"/>
      <c r="AL669" s="74"/>
      <c r="AM669" s="73"/>
      <c r="AN669" s="73"/>
      <c r="AO669" s="102"/>
      <c r="AP669" s="73"/>
      <c r="AQ669" s="73"/>
      <c r="AR669" s="74"/>
      <c r="AS669" s="73"/>
      <c r="AT669" s="73"/>
      <c r="AU669" s="73"/>
      <c r="AV669" s="73"/>
      <c r="AW669" s="73"/>
      <c r="AX669" s="74"/>
      <c r="AY669" s="73"/>
      <c r="AZ669" s="73"/>
      <c r="BA669" s="74"/>
      <c r="BB669" s="73"/>
      <c r="BC669" s="73"/>
      <c r="BD669" s="73"/>
      <c r="BE669" s="73"/>
      <c r="BF669" s="73"/>
      <c r="BG669" s="73"/>
      <c r="BH669" s="73"/>
      <c r="BI669" s="73"/>
      <c r="BJ669" s="73"/>
      <c r="BK669" s="73"/>
      <c r="BL669" s="73"/>
      <c r="BM669" s="73"/>
      <c r="BN669" s="73"/>
      <c r="BO669" s="73"/>
      <c r="BP669" s="73"/>
      <c r="BQ669" s="73"/>
      <c r="BR669" s="73"/>
      <c r="BS669" s="73"/>
      <c r="BT669" s="74"/>
      <c r="BU669" s="73"/>
      <c r="BV669" s="73"/>
      <c r="BW669" s="73"/>
      <c r="BX669" s="73"/>
      <c r="BY669" s="73"/>
      <c r="BZ669" s="73"/>
      <c r="CA669" s="73"/>
      <c r="CB669" s="73"/>
      <c r="CC669" s="73"/>
      <c r="CD669" s="73"/>
      <c r="CE669" s="73"/>
    </row>
    <row r="670">
      <c r="A670" s="73"/>
      <c r="B670" s="73"/>
      <c r="C670" s="73"/>
      <c r="D670" s="74"/>
      <c r="E670" s="73"/>
      <c r="F670" s="73"/>
      <c r="G670" s="73"/>
      <c r="H670" s="73"/>
      <c r="I670" s="73"/>
      <c r="J670" s="73"/>
      <c r="K670" s="92"/>
      <c r="L670" s="73"/>
      <c r="M670" s="73"/>
      <c r="N670" s="73"/>
      <c r="O670" s="73"/>
      <c r="P670" s="73"/>
      <c r="Q670" s="75"/>
      <c r="R670" s="82"/>
      <c r="S670" s="73"/>
      <c r="T670" s="73"/>
      <c r="U670" s="73"/>
      <c r="V670" s="73"/>
      <c r="W670" s="73"/>
      <c r="X670" s="73"/>
      <c r="Y670" s="77"/>
      <c r="Z670" s="104"/>
      <c r="AA670" s="73"/>
      <c r="AB670" s="104"/>
      <c r="AC670" s="104"/>
      <c r="AD670" s="74"/>
      <c r="AE670" s="106"/>
      <c r="AF670" s="195"/>
      <c r="AG670" s="80"/>
      <c r="AH670" s="104"/>
      <c r="AI670" s="73"/>
      <c r="AJ670" s="114"/>
      <c r="AK670" s="106"/>
      <c r="AL670" s="74"/>
      <c r="AM670" s="73"/>
      <c r="AN670" s="73"/>
      <c r="AO670" s="102"/>
      <c r="AP670" s="73"/>
      <c r="AQ670" s="73"/>
      <c r="AR670" s="74"/>
      <c r="AS670" s="73"/>
      <c r="AT670" s="73"/>
      <c r="AU670" s="73"/>
      <c r="AV670" s="73"/>
      <c r="AW670" s="73"/>
      <c r="AX670" s="74"/>
      <c r="AY670" s="73"/>
      <c r="AZ670" s="73"/>
      <c r="BA670" s="74"/>
      <c r="BB670" s="73"/>
      <c r="BC670" s="73"/>
      <c r="BD670" s="73"/>
      <c r="BE670" s="73"/>
      <c r="BF670" s="73"/>
      <c r="BG670" s="73"/>
      <c r="BH670" s="73"/>
      <c r="BI670" s="73"/>
      <c r="BJ670" s="73"/>
      <c r="BK670" s="73"/>
      <c r="BL670" s="73"/>
      <c r="BM670" s="73"/>
      <c r="BN670" s="73"/>
      <c r="BO670" s="73"/>
      <c r="BP670" s="73"/>
      <c r="BQ670" s="73"/>
      <c r="BR670" s="73"/>
      <c r="BS670" s="73"/>
      <c r="BT670" s="74"/>
      <c r="BU670" s="73"/>
      <c r="BV670" s="73"/>
      <c r="BW670" s="73"/>
      <c r="BX670" s="73"/>
      <c r="BY670" s="73"/>
      <c r="BZ670" s="73"/>
      <c r="CA670" s="73"/>
      <c r="CB670" s="73"/>
      <c r="CC670" s="73"/>
      <c r="CD670" s="73"/>
      <c r="CE670" s="73"/>
    </row>
    <row r="671">
      <c r="A671" s="73"/>
      <c r="B671" s="73"/>
      <c r="C671" s="73"/>
      <c r="D671" s="74"/>
      <c r="E671" s="73"/>
      <c r="F671" s="73"/>
      <c r="G671" s="73"/>
      <c r="H671" s="73"/>
      <c r="I671" s="73"/>
      <c r="J671" s="73"/>
      <c r="K671" s="92"/>
      <c r="L671" s="73"/>
      <c r="M671" s="73"/>
      <c r="N671" s="73"/>
      <c r="O671" s="73"/>
      <c r="P671" s="73"/>
      <c r="Q671" s="75"/>
      <c r="R671" s="82"/>
      <c r="S671" s="73"/>
      <c r="T671" s="73"/>
      <c r="U671" s="73"/>
      <c r="V671" s="73"/>
      <c r="W671" s="73"/>
      <c r="X671" s="73"/>
      <c r="Y671" s="77"/>
      <c r="Z671" s="104"/>
      <c r="AA671" s="73"/>
      <c r="AB671" s="104"/>
      <c r="AC671" s="104"/>
      <c r="AD671" s="74"/>
      <c r="AE671" s="106"/>
      <c r="AF671" s="195"/>
      <c r="AG671" s="80"/>
      <c r="AH671" s="104"/>
      <c r="AI671" s="73"/>
      <c r="AJ671" s="114"/>
      <c r="AK671" s="106"/>
      <c r="AL671" s="74"/>
      <c r="AM671" s="73"/>
      <c r="AN671" s="73"/>
      <c r="AO671" s="102"/>
      <c r="AP671" s="73"/>
      <c r="AQ671" s="73"/>
      <c r="AR671" s="74"/>
      <c r="AS671" s="73"/>
      <c r="AT671" s="73"/>
      <c r="AU671" s="73"/>
      <c r="AV671" s="73"/>
      <c r="AW671" s="73"/>
      <c r="AX671" s="74"/>
      <c r="AY671" s="73"/>
      <c r="AZ671" s="73"/>
      <c r="BA671" s="74"/>
      <c r="BB671" s="73"/>
      <c r="BC671" s="73"/>
      <c r="BD671" s="73"/>
      <c r="BE671" s="73"/>
      <c r="BF671" s="73"/>
      <c r="BG671" s="73"/>
      <c r="BH671" s="73"/>
      <c r="BI671" s="73"/>
      <c r="BJ671" s="73"/>
      <c r="BK671" s="73"/>
      <c r="BL671" s="73"/>
      <c r="BM671" s="73"/>
      <c r="BN671" s="73"/>
      <c r="BO671" s="73"/>
      <c r="BP671" s="73"/>
      <c r="BQ671" s="73"/>
      <c r="BR671" s="73"/>
      <c r="BS671" s="73"/>
      <c r="BT671" s="74"/>
      <c r="BU671" s="73"/>
      <c r="BV671" s="73"/>
      <c r="BW671" s="73"/>
      <c r="BX671" s="73"/>
      <c r="BY671" s="73"/>
      <c r="BZ671" s="73"/>
      <c r="CA671" s="73"/>
      <c r="CB671" s="73"/>
      <c r="CC671" s="73"/>
      <c r="CD671" s="73"/>
      <c r="CE671" s="73"/>
    </row>
    <row r="672">
      <c r="A672" s="73"/>
      <c r="B672" s="73"/>
      <c r="C672" s="73"/>
      <c r="D672" s="74"/>
      <c r="E672" s="73"/>
      <c r="F672" s="73"/>
      <c r="G672" s="73"/>
      <c r="H672" s="73"/>
      <c r="I672" s="73"/>
      <c r="J672" s="73"/>
      <c r="K672" s="92"/>
      <c r="L672" s="73"/>
      <c r="M672" s="73"/>
      <c r="N672" s="73"/>
      <c r="O672" s="73"/>
      <c r="P672" s="73"/>
      <c r="Q672" s="75"/>
      <c r="R672" s="82"/>
      <c r="S672" s="73"/>
      <c r="T672" s="73"/>
      <c r="U672" s="73"/>
      <c r="V672" s="73"/>
      <c r="W672" s="73"/>
      <c r="X672" s="73"/>
      <c r="Y672" s="77"/>
      <c r="Z672" s="104"/>
      <c r="AA672" s="73"/>
      <c r="AB672" s="104"/>
      <c r="AC672" s="104"/>
      <c r="AD672" s="74"/>
      <c r="AE672" s="106"/>
      <c r="AF672" s="195"/>
      <c r="AG672" s="80"/>
      <c r="AH672" s="104"/>
      <c r="AI672" s="73"/>
      <c r="AJ672" s="114"/>
      <c r="AK672" s="106"/>
      <c r="AL672" s="74"/>
      <c r="AM672" s="73"/>
      <c r="AN672" s="73"/>
      <c r="AO672" s="102"/>
      <c r="AP672" s="73"/>
      <c r="AQ672" s="73"/>
      <c r="AR672" s="74"/>
      <c r="AS672" s="73"/>
      <c r="AT672" s="73"/>
      <c r="AU672" s="73"/>
      <c r="AV672" s="73"/>
      <c r="AW672" s="73"/>
      <c r="AX672" s="74"/>
      <c r="AY672" s="73"/>
      <c r="AZ672" s="73"/>
      <c r="BA672" s="74"/>
      <c r="BB672" s="73"/>
      <c r="BC672" s="73"/>
      <c r="BD672" s="73"/>
      <c r="BE672" s="73"/>
      <c r="BF672" s="73"/>
      <c r="BG672" s="73"/>
      <c r="BH672" s="73"/>
      <c r="BI672" s="73"/>
      <c r="BJ672" s="73"/>
      <c r="BK672" s="73"/>
      <c r="BL672" s="73"/>
      <c r="BM672" s="73"/>
      <c r="BN672" s="73"/>
      <c r="BO672" s="73"/>
      <c r="BP672" s="73"/>
      <c r="BQ672" s="73"/>
      <c r="BR672" s="73"/>
      <c r="BS672" s="73"/>
      <c r="BT672" s="74"/>
      <c r="BU672" s="73"/>
      <c r="BV672" s="73"/>
      <c r="BW672" s="73"/>
      <c r="BX672" s="73"/>
      <c r="BY672" s="73"/>
      <c r="BZ672" s="73"/>
      <c r="CA672" s="73"/>
      <c r="CB672" s="73"/>
      <c r="CC672" s="73"/>
      <c r="CD672" s="73"/>
      <c r="CE672" s="73"/>
    </row>
    <row r="673">
      <c r="A673" s="73"/>
      <c r="B673" s="73"/>
      <c r="C673" s="73"/>
      <c r="D673" s="74"/>
      <c r="E673" s="73"/>
      <c r="F673" s="73"/>
      <c r="G673" s="73"/>
      <c r="H673" s="73"/>
      <c r="I673" s="73"/>
      <c r="J673" s="73"/>
      <c r="K673" s="92"/>
      <c r="L673" s="73"/>
      <c r="M673" s="73"/>
      <c r="N673" s="73"/>
      <c r="O673" s="73"/>
      <c r="P673" s="73"/>
      <c r="Q673" s="75"/>
      <c r="R673" s="82"/>
      <c r="S673" s="73"/>
      <c r="T673" s="73"/>
      <c r="U673" s="73"/>
      <c r="V673" s="73"/>
      <c r="W673" s="73"/>
      <c r="X673" s="73"/>
      <c r="Y673" s="77"/>
      <c r="Z673" s="104"/>
      <c r="AA673" s="73"/>
      <c r="AB673" s="104"/>
      <c r="AC673" s="104"/>
      <c r="AD673" s="74"/>
      <c r="AE673" s="106"/>
      <c r="AF673" s="195"/>
      <c r="AG673" s="80"/>
      <c r="AH673" s="104"/>
      <c r="AI673" s="73"/>
      <c r="AJ673" s="114"/>
      <c r="AK673" s="106"/>
      <c r="AL673" s="74"/>
      <c r="AM673" s="73"/>
      <c r="AN673" s="73"/>
      <c r="AO673" s="102"/>
      <c r="AP673" s="73"/>
      <c r="AQ673" s="73"/>
      <c r="AR673" s="74"/>
      <c r="AS673" s="73"/>
      <c r="AT673" s="73"/>
      <c r="AU673" s="73"/>
      <c r="AV673" s="73"/>
      <c r="AW673" s="73"/>
      <c r="AX673" s="74"/>
      <c r="AY673" s="73"/>
      <c r="AZ673" s="73"/>
      <c r="BA673" s="74"/>
      <c r="BB673" s="73"/>
      <c r="BC673" s="73"/>
      <c r="BD673" s="73"/>
      <c r="BE673" s="73"/>
      <c r="BF673" s="73"/>
      <c r="BG673" s="73"/>
      <c r="BH673" s="73"/>
      <c r="BI673" s="73"/>
      <c r="BJ673" s="73"/>
      <c r="BK673" s="73"/>
      <c r="BL673" s="73"/>
      <c r="BM673" s="73"/>
      <c r="BN673" s="73"/>
      <c r="BO673" s="73"/>
      <c r="BP673" s="73"/>
      <c r="BQ673" s="73"/>
      <c r="BR673" s="73"/>
      <c r="BS673" s="73"/>
      <c r="BT673" s="74"/>
      <c r="BU673" s="73"/>
      <c r="BV673" s="73"/>
      <c r="BW673" s="73"/>
      <c r="BX673" s="73"/>
      <c r="BY673" s="73"/>
      <c r="BZ673" s="73"/>
      <c r="CA673" s="73"/>
      <c r="CB673" s="73"/>
      <c r="CC673" s="73"/>
      <c r="CD673" s="73"/>
      <c r="CE673" s="73"/>
    </row>
    <row r="674">
      <c r="A674" s="73"/>
      <c r="B674" s="73"/>
      <c r="C674" s="73"/>
      <c r="D674" s="74"/>
      <c r="E674" s="73"/>
      <c r="F674" s="73"/>
      <c r="G674" s="73"/>
      <c r="H674" s="73"/>
      <c r="I674" s="73"/>
      <c r="J674" s="73"/>
      <c r="K674" s="92"/>
      <c r="L674" s="73"/>
      <c r="M674" s="73"/>
      <c r="N674" s="73"/>
      <c r="O674" s="73"/>
      <c r="P674" s="73"/>
      <c r="Q674" s="75"/>
      <c r="R674" s="82"/>
      <c r="S674" s="73"/>
      <c r="T674" s="73"/>
      <c r="U674" s="73"/>
      <c r="V674" s="73"/>
      <c r="W674" s="73"/>
      <c r="X674" s="73"/>
      <c r="Y674" s="77"/>
      <c r="Z674" s="104"/>
      <c r="AA674" s="73"/>
      <c r="AB674" s="104"/>
      <c r="AC674" s="104"/>
      <c r="AD674" s="74"/>
      <c r="AE674" s="106"/>
      <c r="AF674" s="195"/>
      <c r="AG674" s="80"/>
      <c r="AH674" s="104"/>
      <c r="AI674" s="73"/>
      <c r="AJ674" s="114"/>
      <c r="AK674" s="106"/>
      <c r="AL674" s="74"/>
      <c r="AM674" s="73"/>
      <c r="AN674" s="73"/>
      <c r="AO674" s="102"/>
      <c r="AP674" s="73"/>
      <c r="AQ674" s="73"/>
      <c r="AR674" s="74"/>
      <c r="AS674" s="73"/>
      <c r="AT674" s="73"/>
      <c r="AU674" s="73"/>
      <c r="AV674" s="73"/>
      <c r="AW674" s="73"/>
      <c r="AX674" s="74"/>
      <c r="AY674" s="73"/>
      <c r="AZ674" s="73"/>
      <c r="BA674" s="74"/>
      <c r="BB674" s="73"/>
      <c r="BC674" s="73"/>
      <c r="BD674" s="73"/>
      <c r="BE674" s="73"/>
      <c r="BF674" s="73"/>
      <c r="BG674" s="73"/>
      <c r="BH674" s="73"/>
      <c r="BI674" s="73"/>
      <c r="BJ674" s="73"/>
      <c r="BK674" s="73"/>
      <c r="BL674" s="73"/>
      <c r="BM674" s="73"/>
      <c r="BN674" s="73"/>
      <c r="BO674" s="73"/>
      <c r="BP674" s="73"/>
      <c r="BQ674" s="73"/>
      <c r="BR674" s="73"/>
      <c r="BS674" s="73"/>
      <c r="BT674" s="74"/>
      <c r="BU674" s="73"/>
      <c r="BV674" s="73"/>
      <c r="BW674" s="73"/>
      <c r="BX674" s="73"/>
      <c r="BY674" s="73"/>
      <c r="BZ674" s="73"/>
      <c r="CA674" s="73"/>
      <c r="CB674" s="73"/>
      <c r="CC674" s="73"/>
      <c r="CD674" s="73"/>
      <c r="CE674" s="73"/>
    </row>
    <row r="675">
      <c r="A675" s="73"/>
      <c r="B675" s="73"/>
      <c r="C675" s="73"/>
      <c r="D675" s="74"/>
      <c r="E675" s="73"/>
      <c r="F675" s="73"/>
      <c r="G675" s="73"/>
      <c r="H675" s="73"/>
      <c r="I675" s="73"/>
      <c r="J675" s="73"/>
      <c r="K675" s="92"/>
      <c r="L675" s="73"/>
      <c r="M675" s="73"/>
      <c r="N675" s="73"/>
      <c r="O675" s="73"/>
      <c r="P675" s="73"/>
      <c r="Q675" s="75"/>
      <c r="R675" s="82"/>
      <c r="S675" s="73"/>
      <c r="T675" s="73"/>
      <c r="U675" s="73"/>
      <c r="V675" s="73"/>
      <c r="W675" s="73"/>
      <c r="X675" s="73"/>
      <c r="Y675" s="77"/>
      <c r="Z675" s="104"/>
      <c r="AA675" s="73"/>
      <c r="AB675" s="104"/>
      <c r="AC675" s="104"/>
      <c r="AD675" s="74"/>
      <c r="AE675" s="106"/>
      <c r="AF675" s="195"/>
      <c r="AG675" s="80"/>
      <c r="AH675" s="104"/>
      <c r="AI675" s="73"/>
      <c r="AJ675" s="114"/>
      <c r="AK675" s="106"/>
      <c r="AL675" s="74"/>
      <c r="AM675" s="73"/>
      <c r="AN675" s="73"/>
      <c r="AO675" s="102"/>
      <c r="AP675" s="73"/>
      <c r="AQ675" s="73"/>
      <c r="AR675" s="74"/>
      <c r="AS675" s="73"/>
      <c r="AT675" s="73"/>
      <c r="AU675" s="73"/>
      <c r="AV675" s="73"/>
      <c r="AW675" s="73"/>
      <c r="AX675" s="74"/>
      <c r="AY675" s="73"/>
      <c r="AZ675" s="73"/>
      <c r="BA675" s="74"/>
      <c r="BB675" s="73"/>
      <c r="BC675" s="73"/>
      <c r="BD675" s="73"/>
      <c r="BE675" s="73"/>
      <c r="BF675" s="73"/>
      <c r="BG675" s="73"/>
      <c r="BH675" s="73"/>
      <c r="BI675" s="73"/>
      <c r="BJ675" s="73"/>
      <c r="BK675" s="73"/>
      <c r="BL675" s="73"/>
      <c r="BM675" s="73"/>
      <c r="BN675" s="73"/>
      <c r="BO675" s="73"/>
      <c r="BP675" s="73"/>
      <c r="BQ675" s="73"/>
      <c r="BR675" s="73"/>
      <c r="BS675" s="73"/>
      <c r="BT675" s="74"/>
      <c r="BU675" s="73"/>
      <c r="BV675" s="73"/>
      <c r="BW675" s="73"/>
      <c r="BX675" s="73"/>
      <c r="BY675" s="73"/>
      <c r="BZ675" s="73"/>
      <c r="CA675" s="73"/>
      <c r="CB675" s="73"/>
      <c r="CC675" s="73"/>
      <c r="CD675" s="73"/>
      <c r="CE675" s="73"/>
    </row>
    <row r="676">
      <c r="A676" s="73"/>
      <c r="B676" s="73"/>
      <c r="C676" s="73"/>
      <c r="D676" s="74"/>
      <c r="E676" s="73"/>
      <c r="F676" s="73"/>
      <c r="G676" s="73"/>
      <c r="H676" s="73"/>
      <c r="I676" s="73"/>
      <c r="J676" s="73"/>
      <c r="K676" s="92"/>
      <c r="L676" s="73"/>
      <c r="M676" s="73"/>
      <c r="N676" s="73"/>
      <c r="O676" s="73"/>
      <c r="P676" s="73"/>
      <c r="Q676" s="75"/>
      <c r="R676" s="82"/>
      <c r="S676" s="73"/>
      <c r="T676" s="73"/>
      <c r="U676" s="73"/>
      <c r="V676" s="73"/>
      <c r="W676" s="73"/>
      <c r="X676" s="73"/>
      <c r="Y676" s="77"/>
      <c r="Z676" s="104"/>
      <c r="AA676" s="73"/>
      <c r="AB676" s="104"/>
      <c r="AC676" s="104"/>
      <c r="AD676" s="74"/>
      <c r="AE676" s="106"/>
      <c r="AF676" s="195"/>
      <c r="AG676" s="80"/>
      <c r="AH676" s="104"/>
      <c r="AI676" s="73"/>
      <c r="AJ676" s="114"/>
      <c r="AK676" s="106"/>
      <c r="AL676" s="74"/>
      <c r="AM676" s="73"/>
      <c r="AN676" s="73"/>
      <c r="AO676" s="102"/>
      <c r="AP676" s="73"/>
      <c r="AQ676" s="73"/>
      <c r="AR676" s="74"/>
      <c r="AS676" s="73"/>
      <c r="AT676" s="73"/>
      <c r="AU676" s="73"/>
      <c r="AV676" s="73"/>
      <c r="AW676" s="73"/>
      <c r="AX676" s="74"/>
      <c r="AY676" s="73"/>
      <c r="AZ676" s="73"/>
      <c r="BA676" s="74"/>
      <c r="BB676" s="73"/>
      <c r="BC676" s="73"/>
      <c r="BD676" s="73"/>
      <c r="BE676" s="73"/>
      <c r="BF676" s="73"/>
      <c r="BG676" s="73"/>
      <c r="BH676" s="73"/>
      <c r="BI676" s="73"/>
      <c r="BJ676" s="73"/>
      <c r="BK676" s="73"/>
      <c r="BL676" s="73"/>
      <c r="BM676" s="73"/>
      <c r="BN676" s="73"/>
      <c r="BO676" s="73"/>
      <c r="BP676" s="73"/>
      <c r="BQ676" s="73"/>
      <c r="BR676" s="73"/>
      <c r="BS676" s="73"/>
      <c r="BT676" s="74"/>
      <c r="BU676" s="73"/>
      <c r="BV676" s="73"/>
      <c r="BW676" s="73"/>
      <c r="BX676" s="73"/>
      <c r="BY676" s="73"/>
      <c r="BZ676" s="73"/>
      <c r="CA676" s="73"/>
      <c r="CB676" s="73"/>
      <c r="CC676" s="73"/>
      <c r="CD676" s="73"/>
      <c r="CE676" s="73"/>
    </row>
    <row r="677">
      <c r="A677" s="73"/>
      <c r="B677" s="73"/>
      <c r="C677" s="73"/>
      <c r="D677" s="74"/>
      <c r="E677" s="73"/>
      <c r="F677" s="73"/>
      <c r="G677" s="73"/>
      <c r="H677" s="73"/>
      <c r="I677" s="73"/>
      <c r="J677" s="73"/>
      <c r="K677" s="92"/>
      <c r="L677" s="73"/>
      <c r="M677" s="73"/>
      <c r="N677" s="73"/>
      <c r="O677" s="73"/>
      <c r="P677" s="73"/>
      <c r="Q677" s="75"/>
      <c r="R677" s="82"/>
      <c r="S677" s="73"/>
      <c r="T677" s="73"/>
      <c r="U677" s="73"/>
      <c r="V677" s="73"/>
      <c r="W677" s="73"/>
      <c r="X677" s="73"/>
      <c r="Y677" s="77"/>
      <c r="Z677" s="104"/>
      <c r="AA677" s="73"/>
      <c r="AB677" s="104"/>
      <c r="AC677" s="104"/>
      <c r="AD677" s="74"/>
      <c r="AE677" s="106"/>
      <c r="AF677" s="195"/>
      <c r="AG677" s="80"/>
      <c r="AH677" s="104"/>
      <c r="AI677" s="73"/>
      <c r="AJ677" s="114"/>
      <c r="AK677" s="106"/>
      <c r="AL677" s="74"/>
      <c r="AM677" s="73"/>
      <c r="AN677" s="73"/>
      <c r="AO677" s="102"/>
      <c r="AP677" s="73"/>
      <c r="AQ677" s="73"/>
      <c r="AR677" s="74"/>
      <c r="AS677" s="73"/>
      <c r="AT677" s="73"/>
      <c r="AU677" s="73"/>
      <c r="AV677" s="73"/>
      <c r="AW677" s="73"/>
      <c r="AX677" s="74"/>
      <c r="AY677" s="73"/>
      <c r="AZ677" s="73"/>
      <c r="BA677" s="74"/>
      <c r="BB677" s="73"/>
      <c r="BC677" s="73"/>
      <c r="BD677" s="73"/>
      <c r="BE677" s="73"/>
      <c r="BF677" s="73"/>
      <c r="BG677" s="73"/>
      <c r="BH677" s="73"/>
      <c r="BI677" s="73"/>
      <c r="BJ677" s="73"/>
      <c r="BK677" s="73"/>
      <c r="BL677" s="73"/>
      <c r="BM677" s="73"/>
      <c r="BN677" s="73"/>
      <c r="BO677" s="73"/>
      <c r="BP677" s="73"/>
      <c r="BQ677" s="73"/>
      <c r="BR677" s="73"/>
      <c r="BS677" s="73"/>
      <c r="BT677" s="74"/>
      <c r="BU677" s="73"/>
      <c r="BV677" s="73"/>
      <c r="BW677" s="73"/>
      <c r="BX677" s="73"/>
      <c r="BY677" s="73"/>
      <c r="BZ677" s="73"/>
      <c r="CA677" s="73"/>
      <c r="CB677" s="73"/>
      <c r="CC677" s="73"/>
      <c r="CD677" s="73"/>
      <c r="CE677" s="73"/>
    </row>
    <row r="678">
      <c r="A678" s="73"/>
      <c r="B678" s="73"/>
      <c r="C678" s="73"/>
      <c r="D678" s="74"/>
      <c r="E678" s="73"/>
      <c r="F678" s="73"/>
      <c r="G678" s="73"/>
      <c r="H678" s="73"/>
      <c r="I678" s="73"/>
      <c r="J678" s="73"/>
      <c r="K678" s="92"/>
      <c r="L678" s="73"/>
      <c r="M678" s="73"/>
      <c r="N678" s="73"/>
      <c r="O678" s="73"/>
      <c r="P678" s="73"/>
      <c r="Q678" s="75"/>
      <c r="R678" s="82"/>
      <c r="S678" s="73"/>
      <c r="T678" s="73"/>
      <c r="U678" s="73"/>
      <c r="V678" s="73"/>
      <c r="W678" s="73"/>
      <c r="X678" s="73"/>
      <c r="Y678" s="77"/>
      <c r="Z678" s="104"/>
      <c r="AA678" s="73"/>
      <c r="AB678" s="104"/>
      <c r="AC678" s="104"/>
      <c r="AD678" s="74"/>
      <c r="AE678" s="106"/>
      <c r="AF678" s="195"/>
      <c r="AG678" s="80"/>
      <c r="AH678" s="104"/>
      <c r="AI678" s="73"/>
      <c r="AJ678" s="114"/>
      <c r="AK678" s="106"/>
      <c r="AL678" s="74"/>
      <c r="AM678" s="73"/>
      <c r="AN678" s="73"/>
      <c r="AO678" s="102"/>
      <c r="AP678" s="73"/>
      <c r="AQ678" s="73"/>
      <c r="AR678" s="74"/>
      <c r="AS678" s="73"/>
      <c r="AT678" s="73"/>
      <c r="AU678" s="73"/>
      <c r="AV678" s="73"/>
      <c r="AW678" s="73"/>
      <c r="AX678" s="74"/>
      <c r="AY678" s="73"/>
      <c r="AZ678" s="73"/>
      <c r="BA678" s="74"/>
      <c r="BB678" s="73"/>
      <c r="BC678" s="73"/>
      <c r="BD678" s="73"/>
      <c r="BE678" s="73"/>
      <c r="BF678" s="73"/>
      <c r="BG678" s="73"/>
      <c r="BH678" s="73"/>
      <c r="BI678" s="73"/>
      <c r="BJ678" s="73"/>
      <c r="BK678" s="73"/>
      <c r="BL678" s="73"/>
      <c r="BM678" s="73"/>
      <c r="BN678" s="73"/>
      <c r="BO678" s="73"/>
      <c r="BP678" s="73"/>
      <c r="BQ678" s="73"/>
      <c r="BR678" s="73"/>
      <c r="BS678" s="73"/>
      <c r="BT678" s="74"/>
      <c r="BU678" s="73"/>
      <c r="BV678" s="73"/>
      <c r="BW678" s="73"/>
      <c r="BX678" s="73"/>
      <c r="BY678" s="73"/>
      <c r="BZ678" s="73"/>
      <c r="CA678" s="73"/>
      <c r="CB678" s="73"/>
      <c r="CC678" s="73"/>
      <c r="CD678" s="73"/>
      <c r="CE678" s="73"/>
    </row>
    <row r="679">
      <c r="A679" s="73"/>
      <c r="B679" s="73"/>
      <c r="C679" s="73"/>
      <c r="D679" s="74"/>
      <c r="E679" s="73"/>
      <c r="F679" s="73"/>
      <c r="G679" s="73"/>
      <c r="H679" s="73"/>
      <c r="I679" s="73"/>
      <c r="J679" s="73"/>
      <c r="K679" s="92"/>
      <c r="L679" s="73"/>
      <c r="M679" s="73"/>
      <c r="N679" s="73"/>
      <c r="O679" s="73"/>
      <c r="P679" s="73"/>
      <c r="Q679" s="75"/>
      <c r="R679" s="82"/>
      <c r="S679" s="73"/>
      <c r="T679" s="73"/>
      <c r="U679" s="73"/>
      <c r="V679" s="73"/>
      <c r="W679" s="73"/>
      <c r="X679" s="73"/>
      <c r="Y679" s="77"/>
      <c r="Z679" s="104"/>
      <c r="AA679" s="73"/>
      <c r="AB679" s="104"/>
      <c r="AC679" s="104"/>
      <c r="AD679" s="74"/>
      <c r="AE679" s="106"/>
      <c r="AF679" s="195"/>
      <c r="AG679" s="80"/>
      <c r="AH679" s="104"/>
      <c r="AI679" s="73"/>
      <c r="AJ679" s="114"/>
      <c r="AK679" s="106"/>
      <c r="AL679" s="74"/>
      <c r="AM679" s="73"/>
      <c r="AN679" s="73"/>
      <c r="AO679" s="102"/>
      <c r="AP679" s="73"/>
      <c r="AQ679" s="73"/>
      <c r="AR679" s="74"/>
      <c r="AS679" s="73"/>
      <c r="AT679" s="73"/>
      <c r="AU679" s="73"/>
      <c r="AV679" s="73"/>
      <c r="AW679" s="73"/>
      <c r="AX679" s="74"/>
      <c r="AY679" s="73"/>
      <c r="AZ679" s="73"/>
      <c r="BA679" s="74"/>
      <c r="BB679" s="73"/>
      <c r="BC679" s="73"/>
      <c r="BD679" s="73"/>
      <c r="BE679" s="73"/>
      <c r="BF679" s="73"/>
      <c r="BG679" s="73"/>
      <c r="BH679" s="73"/>
      <c r="BI679" s="73"/>
      <c r="BJ679" s="73"/>
      <c r="BK679" s="73"/>
      <c r="BL679" s="73"/>
      <c r="BM679" s="73"/>
      <c r="BN679" s="73"/>
      <c r="BO679" s="73"/>
      <c r="BP679" s="73"/>
      <c r="BQ679" s="73"/>
      <c r="BR679" s="73"/>
      <c r="BS679" s="73"/>
      <c r="BT679" s="74"/>
      <c r="BU679" s="73"/>
      <c r="BV679" s="73"/>
      <c r="BW679" s="73"/>
      <c r="BX679" s="73"/>
      <c r="BY679" s="73"/>
      <c r="BZ679" s="73"/>
      <c r="CA679" s="73"/>
      <c r="CB679" s="73"/>
      <c r="CC679" s="73"/>
      <c r="CD679" s="73"/>
      <c r="CE679" s="73"/>
    </row>
    <row r="680">
      <c r="A680" s="73"/>
      <c r="B680" s="73"/>
      <c r="C680" s="73"/>
      <c r="D680" s="74"/>
      <c r="E680" s="73"/>
      <c r="F680" s="73"/>
      <c r="G680" s="73"/>
      <c r="H680" s="73"/>
      <c r="I680" s="73"/>
      <c r="J680" s="73"/>
      <c r="K680" s="92"/>
      <c r="L680" s="73"/>
      <c r="M680" s="73"/>
      <c r="N680" s="73"/>
      <c r="O680" s="73"/>
      <c r="P680" s="73"/>
      <c r="Q680" s="75"/>
      <c r="R680" s="82"/>
      <c r="S680" s="73"/>
      <c r="T680" s="73"/>
      <c r="U680" s="73"/>
      <c r="V680" s="73"/>
      <c r="W680" s="73"/>
      <c r="X680" s="73"/>
      <c r="Y680" s="77"/>
      <c r="Z680" s="104"/>
      <c r="AA680" s="73"/>
      <c r="AB680" s="104"/>
      <c r="AC680" s="104"/>
      <c r="AD680" s="74"/>
      <c r="AE680" s="106"/>
      <c r="AF680" s="195"/>
      <c r="AG680" s="80"/>
      <c r="AH680" s="104"/>
      <c r="AI680" s="73"/>
      <c r="AJ680" s="114"/>
      <c r="AK680" s="106"/>
      <c r="AL680" s="74"/>
      <c r="AM680" s="73"/>
      <c r="AN680" s="73"/>
      <c r="AO680" s="102"/>
      <c r="AP680" s="73"/>
      <c r="AQ680" s="73"/>
      <c r="AR680" s="74"/>
      <c r="AS680" s="73"/>
      <c r="AT680" s="73"/>
      <c r="AU680" s="73"/>
      <c r="AV680" s="73"/>
      <c r="AW680" s="73"/>
      <c r="AX680" s="74"/>
      <c r="AY680" s="73"/>
      <c r="AZ680" s="73"/>
      <c r="BA680" s="74"/>
      <c r="BB680" s="73"/>
      <c r="BC680" s="73"/>
      <c r="BD680" s="73"/>
      <c r="BE680" s="73"/>
      <c r="BF680" s="73"/>
      <c r="BG680" s="73"/>
      <c r="BH680" s="73"/>
      <c r="BI680" s="73"/>
      <c r="BJ680" s="73"/>
      <c r="BK680" s="73"/>
      <c r="BL680" s="73"/>
      <c r="BM680" s="73"/>
      <c r="BN680" s="73"/>
      <c r="BO680" s="73"/>
      <c r="BP680" s="73"/>
      <c r="BQ680" s="73"/>
      <c r="BR680" s="73"/>
      <c r="BS680" s="73"/>
      <c r="BT680" s="74"/>
      <c r="BU680" s="73"/>
      <c r="BV680" s="73"/>
      <c r="BW680" s="73"/>
      <c r="BX680" s="73"/>
      <c r="BY680" s="73"/>
      <c r="BZ680" s="73"/>
      <c r="CA680" s="73"/>
      <c r="CB680" s="73"/>
      <c r="CC680" s="73"/>
      <c r="CD680" s="73"/>
      <c r="CE680" s="73"/>
    </row>
    <row r="681">
      <c r="A681" s="73"/>
      <c r="B681" s="73"/>
      <c r="C681" s="73"/>
      <c r="D681" s="74"/>
      <c r="E681" s="73"/>
      <c r="F681" s="73"/>
      <c r="G681" s="73"/>
      <c r="H681" s="73"/>
      <c r="I681" s="73"/>
      <c r="J681" s="73"/>
      <c r="K681" s="92"/>
      <c r="L681" s="73"/>
      <c r="M681" s="73"/>
      <c r="N681" s="73"/>
      <c r="O681" s="73"/>
      <c r="P681" s="73"/>
      <c r="Q681" s="75"/>
      <c r="R681" s="82"/>
      <c r="S681" s="73"/>
      <c r="T681" s="73"/>
      <c r="U681" s="73"/>
      <c r="V681" s="73"/>
      <c r="W681" s="73"/>
      <c r="X681" s="73"/>
      <c r="Y681" s="77"/>
      <c r="Z681" s="104"/>
      <c r="AA681" s="73"/>
      <c r="AB681" s="104"/>
      <c r="AC681" s="104"/>
      <c r="AD681" s="74"/>
      <c r="AE681" s="106"/>
      <c r="AF681" s="195"/>
      <c r="AG681" s="80"/>
      <c r="AH681" s="104"/>
      <c r="AI681" s="73"/>
      <c r="AJ681" s="114"/>
      <c r="AK681" s="106"/>
      <c r="AL681" s="74"/>
      <c r="AM681" s="73"/>
      <c r="AN681" s="73"/>
      <c r="AO681" s="102"/>
      <c r="AP681" s="73"/>
      <c r="AQ681" s="73"/>
      <c r="AR681" s="74"/>
      <c r="AS681" s="73"/>
      <c r="AT681" s="73"/>
      <c r="AU681" s="73"/>
      <c r="AV681" s="73"/>
      <c r="AW681" s="73"/>
      <c r="AX681" s="74"/>
      <c r="AY681" s="73"/>
      <c r="AZ681" s="73"/>
      <c r="BA681" s="74"/>
      <c r="BB681" s="73"/>
      <c r="BC681" s="73"/>
      <c r="BD681" s="73"/>
      <c r="BE681" s="73"/>
      <c r="BF681" s="73"/>
      <c r="BG681" s="73"/>
      <c r="BH681" s="73"/>
      <c r="BI681" s="73"/>
      <c r="BJ681" s="73"/>
      <c r="BK681" s="73"/>
      <c r="BL681" s="73"/>
      <c r="BM681" s="73"/>
      <c r="BN681" s="73"/>
      <c r="BO681" s="73"/>
      <c r="BP681" s="73"/>
      <c r="BQ681" s="73"/>
      <c r="BR681" s="73"/>
      <c r="BS681" s="73"/>
      <c r="BT681" s="74"/>
      <c r="BU681" s="73"/>
      <c r="BV681" s="73"/>
      <c r="BW681" s="73"/>
      <c r="BX681" s="73"/>
      <c r="BY681" s="73"/>
      <c r="BZ681" s="73"/>
      <c r="CA681" s="73"/>
      <c r="CB681" s="73"/>
      <c r="CC681" s="73"/>
      <c r="CD681" s="73"/>
      <c r="CE681" s="73"/>
    </row>
    <row r="682">
      <c r="A682" s="73"/>
      <c r="B682" s="73"/>
      <c r="C682" s="73"/>
      <c r="D682" s="74"/>
      <c r="E682" s="73"/>
      <c r="F682" s="73"/>
      <c r="G682" s="73"/>
      <c r="H682" s="73"/>
      <c r="I682" s="73"/>
      <c r="J682" s="73"/>
      <c r="K682" s="92"/>
      <c r="L682" s="73"/>
      <c r="M682" s="73"/>
      <c r="N682" s="73"/>
      <c r="O682" s="73"/>
      <c r="P682" s="73"/>
      <c r="Q682" s="75"/>
      <c r="R682" s="82"/>
      <c r="S682" s="73"/>
      <c r="T682" s="73"/>
      <c r="U682" s="73"/>
      <c r="V682" s="73"/>
      <c r="W682" s="73"/>
      <c r="X682" s="73"/>
      <c r="Y682" s="77"/>
      <c r="Z682" s="104"/>
      <c r="AA682" s="73"/>
      <c r="AB682" s="104"/>
      <c r="AC682" s="104"/>
      <c r="AD682" s="74"/>
      <c r="AE682" s="106"/>
      <c r="AF682" s="195"/>
      <c r="AG682" s="80"/>
      <c r="AH682" s="104"/>
      <c r="AI682" s="73"/>
      <c r="AJ682" s="114"/>
      <c r="AK682" s="106"/>
      <c r="AL682" s="74"/>
      <c r="AM682" s="73"/>
      <c r="AN682" s="73"/>
      <c r="AO682" s="102"/>
      <c r="AP682" s="73"/>
      <c r="AQ682" s="73"/>
      <c r="AR682" s="74"/>
      <c r="AS682" s="73"/>
      <c r="AT682" s="73"/>
      <c r="AU682" s="73"/>
      <c r="AV682" s="73"/>
      <c r="AW682" s="73"/>
      <c r="AX682" s="74"/>
      <c r="AY682" s="73"/>
      <c r="AZ682" s="73"/>
      <c r="BA682" s="74"/>
      <c r="BB682" s="73"/>
      <c r="BC682" s="73"/>
      <c r="BD682" s="73"/>
      <c r="BE682" s="73"/>
      <c r="BF682" s="73"/>
      <c r="BG682" s="73"/>
      <c r="BH682" s="73"/>
      <c r="BI682" s="73"/>
      <c r="BJ682" s="73"/>
      <c r="BK682" s="73"/>
      <c r="BL682" s="73"/>
      <c r="BM682" s="73"/>
      <c r="BN682" s="73"/>
      <c r="BO682" s="73"/>
      <c r="BP682" s="73"/>
      <c r="BQ682" s="73"/>
      <c r="BR682" s="73"/>
      <c r="BS682" s="73"/>
      <c r="BT682" s="74"/>
      <c r="BU682" s="73"/>
      <c r="BV682" s="73"/>
      <c r="BW682" s="73"/>
      <c r="BX682" s="73"/>
      <c r="BY682" s="73"/>
      <c r="BZ682" s="73"/>
      <c r="CA682" s="73"/>
      <c r="CB682" s="73"/>
      <c r="CC682" s="73"/>
      <c r="CD682" s="73"/>
      <c r="CE682" s="73"/>
    </row>
    <row r="683">
      <c r="A683" s="73"/>
      <c r="B683" s="73"/>
      <c r="C683" s="73"/>
      <c r="D683" s="74"/>
      <c r="E683" s="73"/>
      <c r="F683" s="73"/>
      <c r="G683" s="73"/>
      <c r="H683" s="73"/>
      <c r="I683" s="73"/>
      <c r="J683" s="73"/>
      <c r="K683" s="92"/>
      <c r="L683" s="73"/>
      <c r="M683" s="73"/>
      <c r="N683" s="73"/>
      <c r="O683" s="73"/>
      <c r="P683" s="73"/>
      <c r="Q683" s="75"/>
      <c r="R683" s="82"/>
      <c r="S683" s="73"/>
      <c r="T683" s="73"/>
      <c r="U683" s="73"/>
      <c r="V683" s="73"/>
      <c r="W683" s="73"/>
      <c r="X683" s="73"/>
      <c r="Y683" s="77"/>
      <c r="Z683" s="104"/>
      <c r="AA683" s="73"/>
      <c r="AB683" s="104"/>
      <c r="AC683" s="104"/>
      <c r="AD683" s="74"/>
      <c r="AE683" s="106"/>
      <c r="AF683" s="195"/>
      <c r="AG683" s="80"/>
      <c r="AH683" s="104"/>
      <c r="AI683" s="73"/>
      <c r="AJ683" s="114"/>
      <c r="AK683" s="106"/>
      <c r="AL683" s="74"/>
      <c r="AM683" s="73"/>
      <c r="AN683" s="73"/>
      <c r="AO683" s="102"/>
      <c r="AP683" s="73"/>
      <c r="AQ683" s="73"/>
      <c r="AR683" s="74"/>
      <c r="AS683" s="73"/>
      <c r="AT683" s="73"/>
      <c r="AU683" s="73"/>
      <c r="AV683" s="73"/>
      <c r="AW683" s="73"/>
      <c r="AX683" s="74"/>
      <c r="AY683" s="73"/>
      <c r="AZ683" s="73"/>
      <c r="BA683" s="74"/>
      <c r="BB683" s="73"/>
      <c r="BC683" s="73"/>
      <c r="BD683" s="73"/>
      <c r="BE683" s="73"/>
      <c r="BF683" s="73"/>
      <c r="BG683" s="73"/>
      <c r="BH683" s="73"/>
      <c r="BI683" s="73"/>
      <c r="BJ683" s="73"/>
      <c r="BK683" s="73"/>
      <c r="BL683" s="73"/>
      <c r="BM683" s="73"/>
      <c r="BN683" s="73"/>
      <c r="BO683" s="73"/>
      <c r="BP683" s="73"/>
      <c r="BQ683" s="73"/>
      <c r="BR683" s="73"/>
      <c r="BS683" s="73"/>
      <c r="BT683" s="74"/>
      <c r="BU683" s="73"/>
      <c r="BV683" s="73"/>
      <c r="BW683" s="73"/>
      <c r="BX683" s="73"/>
      <c r="BY683" s="73"/>
      <c r="BZ683" s="73"/>
      <c r="CA683" s="73"/>
      <c r="CB683" s="73"/>
      <c r="CC683" s="73"/>
      <c r="CD683" s="73"/>
      <c r="CE683" s="73"/>
    </row>
    <row r="684">
      <c r="A684" s="73"/>
      <c r="B684" s="73"/>
      <c r="C684" s="73"/>
      <c r="D684" s="74"/>
      <c r="E684" s="73"/>
      <c r="F684" s="73"/>
      <c r="G684" s="73"/>
      <c r="H684" s="73"/>
      <c r="I684" s="73"/>
      <c r="J684" s="73"/>
      <c r="K684" s="92"/>
      <c r="L684" s="73"/>
      <c r="M684" s="73"/>
      <c r="N684" s="73"/>
      <c r="O684" s="73"/>
      <c r="P684" s="73"/>
      <c r="Q684" s="75"/>
      <c r="R684" s="82"/>
      <c r="S684" s="73"/>
      <c r="T684" s="73"/>
      <c r="U684" s="73"/>
      <c r="V684" s="73"/>
      <c r="W684" s="73"/>
      <c r="X684" s="73"/>
      <c r="Y684" s="77"/>
      <c r="Z684" s="104"/>
      <c r="AA684" s="73"/>
      <c r="AB684" s="104"/>
      <c r="AC684" s="104"/>
      <c r="AD684" s="74"/>
      <c r="AE684" s="106"/>
      <c r="AF684" s="195"/>
      <c r="AG684" s="80"/>
      <c r="AH684" s="104"/>
      <c r="AI684" s="73"/>
      <c r="AJ684" s="114"/>
      <c r="AK684" s="106"/>
      <c r="AL684" s="74"/>
      <c r="AM684" s="73"/>
      <c r="AN684" s="73"/>
      <c r="AO684" s="102"/>
      <c r="AP684" s="73"/>
      <c r="AQ684" s="73"/>
      <c r="AR684" s="74"/>
      <c r="AS684" s="73"/>
      <c r="AT684" s="73"/>
      <c r="AU684" s="73"/>
      <c r="AV684" s="73"/>
      <c r="AW684" s="73"/>
      <c r="AX684" s="74"/>
      <c r="AY684" s="73"/>
      <c r="AZ684" s="73"/>
      <c r="BA684" s="74"/>
      <c r="BB684" s="73"/>
      <c r="BC684" s="73"/>
      <c r="BD684" s="73"/>
      <c r="BE684" s="73"/>
      <c r="BF684" s="73"/>
      <c r="BG684" s="73"/>
      <c r="BH684" s="73"/>
      <c r="BI684" s="73"/>
      <c r="BJ684" s="73"/>
      <c r="BK684" s="73"/>
      <c r="BL684" s="73"/>
      <c r="BM684" s="73"/>
      <c r="BN684" s="73"/>
      <c r="BO684" s="73"/>
      <c r="BP684" s="73"/>
      <c r="BQ684" s="73"/>
      <c r="BR684" s="73"/>
      <c r="BS684" s="73"/>
      <c r="BT684" s="74"/>
      <c r="BU684" s="73"/>
      <c r="BV684" s="73"/>
      <c r="BW684" s="73"/>
      <c r="BX684" s="73"/>
      <c r="BY684" s="73"/>
      <c r="BZ684" s="73"/>
      <c r="CA684" s="73"/>
      <c r="CB684" s="73"/>
      <c r="CC684" s="73"/>
      <c r="CD684" s="73"/>
      <c r="CE684" s="73"/>
    </row>
    <row r="685">
      <c r="A685" s="73"/>
      <c r="B685" s="73"/>
      <c r="C685" s="73"/>
      <c r="D685" s="74"/>
      <c r="E685" s="73"/>
      <c r="F685" s="73"/>
      <c r="G685" s="73"/>
      <c r="H685" s="73"/>
      <c r="I685" s="73"/>
      <c r="J685" s="73"/>
      <c r="K685" s="92"/>
      <c r="L685" s="73"/>
      <c r="M685" s="73"/>
      <c r="N685" s="73"/>
      <c r="O685" s="73"/>
      <c r="P685" s="73"/>
      <c r="Q685" s="75"/>
      <c r="R685" s="82"/>
      <c r="S685" s="73"/>
      <c r="T685" s="73"/>
      <c r="U685" s="73"/>
      <c r="V685" s="73"/>
      <c r="W685" s="73"/>
      <c r="X685" s="73"/>
      <c r="Y685" s="77"/>
      <c r="Z685" s="104"/>
      <c r="AA685" s="73"/>
      <c r="AB685" s="104"/>
      <c r="AC685" s="104"/>
      <c r="AD685" s="74"/>
      <c r="AE685" s="106"/>
      <c r="AF685" s="195"/>
      <c r="AG685" s="80"/>
      <c r="AH685" s="104"/>
      <c r="AI685" s="73"/>
      <c r="AJ685" s="114"/>
      <c r="AK685" s="106"/>
      <c r="AL685" s="74"/>
      <c r="AM685" s="73"/>
      <c r="AN685" s="73"/>
      <c r="AO685" s="102"/>
      <c r="AP685" s="73"/>
      <c r="AQ685" s="73"/>
      <c r="AR685" s="74"/>
      <c r="AS685" s="73"/>
      <c r="AT685" s="73"/>
      <c r="AU685" s="73"/>
      <c r="AV685" s="73"/>
      <c r="AW685" s="73"/>
      <c r="AX685" s="74"/>
      <c r="AY685" s="73"/>
      <c r="AZ685" s="73"/>
      <c r="BA685" s="74"/>
      <c r="BB685" s="73"/>
      <c r="BC685" s="73"/>
      <c r="BD685" s="73"/>
      <c r="BE685" s="73"/>
      <c r="BF685" s="73"/>
      <c r="BG685" s="73"/>
      <c r="BH685" s="73"/>
      <c r="BI685" s="73"/>
      <c r="BJ685" s="73"/>
      <c r="BK685" s="73"/>
      <c r="BL685" s="73"/>
      <c r="BM685" s="73"/>
      <c r="BN685" s="73"/>
      <c r="BO685" s="73"/>
      <c r="BP685" s="73"/>
      <c r="BQ685" s="73"/>
      <c r="BR685" s="73"/>
      <c r="BS685" s="73"/>
      <c r="BT685" s="74"/>
      <c r="BU685" s="73"/>
      <c r="BV685" s="73"/>
      <c r="BW685" s="73"/>
      <c r="BX685" s="73"/>
      <c r="BY685" s="73"/>
      <c r="BZ685" s="73"/>
      <c r="CA685" s="73"/>
      <c r="CB685" s="73"/>
      <c r="CC685" s="73"/>
      <c r="CD685" s="73"/>
      <c r="CE685" s="73"/>
    </row>
    <row r="686">
      <c r="A686" s="73"/>
      <c r="B686" s="73"/>
      <c r="C686" s="73"/>
      <c r="D686" s="74"/>
      <c r="E686" s="73"/>
      <c r="F686" s="73"/>
      <c r="G686" s="73"/>
      <c r="H686" s="73"/>
      <c r="I686" s="73"/>
      <c r="J686" s="73"/>
      <c r="K686" s="92"/>
      <c r="L686" s="73"/>
      <c r="M686" s="73"/>
      <c r="N686" s="73"/>
      <c r="O686" s="73"/>
      <c r="P686" s="73"/>
      <c r="Q686" s="75"/>
      <c r="R686" s="82"/>
      <c r="S686" s="73"/>
      <c r="T686" s="73"/>
      <c r="U686" s="73"/>
      <c r="V686" s="73"/>
      <c r="W686" s="73"/>
      <c r="X686" s="73"/>
      <c r="Y686" s="77"/>
      <c r="Z686" s="104"/>
      <c r="AA686" s="73"/>
      <c r="AB686" s="104"/>
      <c r="AC686" s="104"/>
      <c r="AD686" s="74"/>
      <c r="AE686" s="106"/>
      <c r="AF686" s="195"/>
      <c r="AG686" s="80"/>
      <c r="AH686" s="104"/>
      <c r="AI686" s="73"/>
      <c r="AJ686" s="114"/>
      <c r="AK686" s="106"/>
      <c r="AL686" s="74"/>
      <c r="AM686" s="73"/>
      <c r="AN686" s="73"/>
      <c r="AO686" s="102"/>
      <c r="AP686" s="73"/>
      <c r="AQ686" s="73"/>
      <c r="AR686" s="74"/>
      <c r="AS686" s="73"/>
      <c r="AT686" s="73"/>
      <c r="AU686" s="73"/>
      <c r="AV686" s="73"/>
      <c r="AW686" s="73"/>
      <c r="AX686" s="74"/>
      <c r="AY686" s="73"/>
      <c r="AZ686" s="73"/>
      <c r="BA686" s="74"/>
      <c r="BB686" s="73"/>
      <c r="BC686" s="73"/>
      <c r="BD686" s="73"/>
      <c r="BE686" s="73"/>
      <c r="BF686" s="73"/>
      <c r="BG686" s="73"/>
      <c r="BH686" s="73"/>
      <c r="BI686" s="73"/>
      <c r="BJ686" s="73"/>
      <c r="BK686" s="73"/>
      <c r="BL686" s="73"/>
      <c r="BM686" s="73"/>
      <c r="BN686" s="73"/>
      <c r="BO686" s="73"/>
      <c r="BP686" s="73"/>
      <c r="BQ686" s="73"/>
      <c r="BR686" s="73"/>
      <c r="BS686" s="73"/>
      <c r="BT686" s="74"/>
      <c r="BU686" s="73"/>
      <c r="BV686" s="73"/>
      <c r="BW686" s="73"/>
      <c r="BX686" s="73"/>
      <c r="BY686" s="73"/>
      <c r="BZ686" s="73"/>
      <c r="CA686" s="73"/>
      <c r="CB686" s="73"/>
      <c r="CC686" s="73"/>
      <c r="CD686" s="73"/>
      <c r="CE686" s="73"/>
    </row>
    <row r="687">
      <c r="A687" s="73"/>
      <c r="B687" s="73"/>
      <c r="C687" s="73"/>
      <c r="D687" s="74"/>
      <c r="E687" s="73"/>
      <c r="F687" s="73"/>
      <c r="G687" s="73"/>
      <c r="H687" s="73"/>
      <c r="I687" s="73"/>
      <c r="J687" s="73"/>
      <c r="K687" s="92"/>
      <c r="L687" s="73"/>
      <c r="M687" s="73"/>
      <c r="N687" s="73"/>
      <c r="O687" s="73"/>
      <c r="P687" s="73"/>
      <c r="Q687" s="75"/>
      <c r="R687" s="82"/>
      <c r="S687" s="73"/>
      <c r="T687" s="73"/>
      <c r="U687" s="73"/>
      <c r="V687" s="73"/>
      <c r="W687" s="73"/>
      <c r="X687" s="73"/>
      <c r="Y687" s="77"/>
      <c r="Z687" s="104"/>
      <c r="AA687" s="73"/>
      <c r="AB687" s="104"/>
      <c r="AC687" s="104"/>
      <c r="AD687" s="74"/>
      <c r="AE687" s="106"/>
      <c r="AF687" s="195"/>
      <c r="AG687" s="80"/>
      <c r="AH687" s="104"/>
      <c r="AI687" s="73"/>
      <c r="AJ687" s="114"/>
      <c r="AK687" s="106"/>
      <c r="AL687" s="74"/>
      <c r="AM687" s="73"/>
      <c r="AN687" s="73"/>
      <c r="AO687" s="102"/>
      <c r="AP687" s="73"/>
      <c r="AQ687" s="73"/>
      <c r="AR687" s="74"/>
      <c r="AS687" s="73"/>
      <c r="AT687" s="73"/>
      <c r="AU687" s="73"/>
      <c r="AV687" s="73"/>
      <c r="AW687" s="73"/>
      <c r="AX687" s="74"/>
      <c r="AY687" s="73"/>
      <c r="AZ687" s="73"/>
      <c r="BA687" s="74"/>
      <c r="BB687" s="73"/>
      <c r="BC687" s="73"/>
      <c r="BD687" s="73"/>
      <c r="BE687" s="73"/>
      <c r="BF687" s="73"/>
      <c r="BG687" s="73"/>
      <c r="BH687" s="73"/>
      <c r="BI687" s="73"/>
      <c r="BJ687" s="73"/>
      <c r="BK687" s="73"/>
      <c r="BL687" s="73"/>
      <c r="BM687" s="73"/>
      <c r="BN687" s="73"/>
      <c r="BO687" s="73"/>
      <c r="BP687" s="73"/>
      <c r="BQ687" s="73"/>
      <c r="BR687" s="73"/>
      <c r="BS687" s="73"/>
      <c r="BT687" s="74"/>
      <c r="BU687" s="73"/>
      <c r="BV687" s="73"/>
      <c r="BW687" s="73"/>
      <c r="BX687" s="73"/>
      <c r="BY687" s="73"/>
      <c r="BZ687" s="73"/>
      <c r="CA687" s="73"/>
      <c r="CB687" s="73"/>
      <c r="CC687" s="73"/>
      <c r="CD687" s="73"/>
      <c r="CE687" s="73"/>
    </row>
    <row r="688">
      <c r="A688" s="73"/>
      <c r="B688" s="73"/>
      <c r="C688" s="73"/>
      <c r="D688" s="74"/>
      <c r="E688" s="73"/>
      <c r="F688" s="73"/>
      <c r="G688" s="73"/>
      <c r="H688" s="73"/>
      <c r="I688" s="73"/>
      <c r="J688" s="73"/>
      <c r="K688" s="92"/>
      <c r="L688" s="73"/>
      <c r="M688" s="73"/>
      <c r="N688" s="73"/>
      <c r="O688" s="73"/>
      <c r="P688" s="73"/>
      <c r="Q688" s="75"/>
      <c r="R688" s="82"/>
      <c r="S688" s="73"/>
      <c r="T688" s="73"/>
      <c r="U688" s="73"/>
      <c r="V688" s="73"/>
      <c r="W688" s="73"/>
      <c r="X688" s="73"/>
      <c r="Y688" s="77"/>
      <c r="Z688" s="104"/>
      <c r="AA688" s="73"/>
      <c r="AB688" s="104"/>
      <c r="AC688" s="104"/>
      <c r="AD688" s="74"/>
      <c r="AE688" s="106"/>
      <c r="AF688" s="195"/>
      <c r="AG688" s="80"/>
      <c r="AH688" s="104"/>
      <c r="AI688" s="73"/>
      <c r="AJ688" s="114"/>
      <c r="AK688" s="106"/>
      <c r="AL688" s="74"/>
      <c r="AM688" s="73"/>
      <c r="AN688" s="73"/>
      <c r="AO688" s="102"/>
      <c r="AP688" s="73"/>
      <c r="AQ688" s="73"/>
      <c r="AR688" s="74"/>
      <c r="AS688" s="73"/>
      <c r="AT688" s="73"/>
      <c r="AU688" s="73"/>
      <c r="AV688" s="73"/>
      <c r="AW688" s="73"/>
      <c r="AX688" s="74"/>
      <c r="AY688" s="73"/>
      <c r="AZ688" s="73"/>
      <c r="BA688" s="74"/>
      <c r="BB688" s="73"/>
      <c r="BC688" s="73"/>
      <c r="BD688" s="73"/>
      <c r="BE688" s="73"/>
      <c r="BF688" s="73"/>
      <c r="BG688" s="73"/>
      <c r="BH688" s="73"/>
      <c r="BI688" s="73"/>
      <c r="BJ688" s="73"/>
      <c r="BK688" s="73"/>
      <c r="BL688" s="73"/>
      <c r="BM688" s="73"/>
      <c r="BN688" s="73"/>
      <c r="BO688" s="73"/>
      <c r="BP688" s="73"/>
      <c r="BQ688" s="73"/>
      <c r="BR688" s="73"/>
      <c r="BS688" s="73"/>
      <c r="BT688" s="74"/>
      <c r="BU688" s="73"/>
      <c r="BV688" s="73"/>
      <c r="BW688" s="73"/>
      <c r="BX688" s="73"/>
      <c r="BY688" s="73"/>
      <c r="BZ688" s="73"/>
      <c r="CA688" s="73"/>
      <c r="CB688" s="73"/>
      <c r="CC688" s="73"/>
      <c r="CD688" s="73"/>
      <c r="CE688" s="73"/>
    </row>
    <row r="689">
      <c r="A689" s="73"/>
      <c r="B689" s="73"/>
      <c r="C689" s="73"/>
      <c r="D689" s="74"/>
      <c r="E689" s="73"/>
      <c r="F689" s="73"/>
      <c r="G689" s="73"/>
      <c r="H689" s="73"/>
      <c r="I689" s="73"/>
      <c r="J689" s="73"/>
      <c r="K689" s="92"/>
      <c r="L689" s="73"/>
      <c r="M689" s="73"/>
      <c r="N689" s="73"/>
      <c r="O689" s="73"/>
      <c r="P689" s="73"/>
      <c r="Q689" s="75"/>
      <c r="R689" s="82"/>
      <c r="S689" s="73"/>
      <c r="T689" s="73"/>
      <c r="U689" s="73"/>
      <c r="V689" s="73"/>
      <c r="W689" s="73"/>
      <c r="X689" s="73"/>
      <c r="Y689" s="77"/>
      <c r="Z689" s="104"/>
      <c r="AA689" s="73"/>
      <c r="AB689" s="104"/>
      <c r="AC689" s="104"/>
      <c r="AD689" s="74"/>
      <c r="AE689" s="106"/>
      <c r="AF689" s="195"/>
      <c r="AG689" s="80"/>
      <c r="AH689" s="104"/>
      <c r="AI689" s="73"/>
      <c r="AJ689" s="114"/>
      <c r="AK689" s="106"/>
      <c r="AL689" s="74"/>
      <c r="AM689" s="73"/>
      <c r="AN689" s="73"/>
      <c r="AO689" s="102"/>
      <c r="AP689" s="73"/>
      <c r="AQ689" s="73"/>
      <c r="AR689" s="74"/>
      <c r="AS689" s="73"/>
      <c r="AT689" s="73"/>
      <c r="AU689" s="73"/>
      <c r="AV689" s="73"/>
      <c r="AW689" s="73"/>
      <c r="AX689" s="74"/>
      <c r="AY689" s="73"/>
      <c r="AZ689" s="73"/>
      <c r="BA689" s="74"/>
      <c r="BB689" s="73"/>
      <c r="BC689" s="73"/>
      <c r="BD689" s="73"/>
      <c r="BE689" s="73"/>
      <c r="BF689" s="73"/>
      <c r="BG689" s="73"/>
      <c r="BH689" s="73"/>
      <c r="BI689" s="73"/>
      <c r="BJ689" s="73"/>
      <c r="BK689" s="73"/>
      <c r="BL689" s="73"/>
      <c r="BM689" s="73"/>
      <c r="BN689" s="73"/>
      <c r="BO689" s="73"/>
      <c r="BP689" s="73"/>
      <c r="BQ689" s="73"/>
      <c r="BR689" s="73"/>
      <c r="BS689" s="73"/>
      <c r="BT689" s="74"/>
      <c r="BU689" s="73"/>
      <c r="BV689" s="73"/>
      <c r="BW689" s="73"/>
      <c r="BX689" s="73"/>
      <c r="BY689" s="73"/>
      <c r="BZ689" s="73"/>
      <c r="CA689" s="73"/>
      <c r="CB689" s="73"/>
      <c r="CC689" s="73"/>
      <c r="CD689" s="73"/>
      <c r="CE689" s="73"/>
    </row>
    <row r="690">
      <c r="A690" s="73"/>
      <c r="B690" s="73"/>
      <c r="C690" s="73"/>
      <c r="D690" s="74"/>
      <c r="E690" s="73"/>
      <c r="F690" s="73"/>
      <c r="G690" s="73"/>
      <c r="H690" s="73"/>
      <c r="I690" s="73"/>
      <c r="J690" s="73"/>
      <c r="K690" s="92"/>
      <c r="L690" s="73"/>
      <c r="M690" s="73"/>
      <c r="N690" s="73"/>
      <c r="O690" s="73"/>
      <c r="P690" s="73"/>
      <c r="Q690" s="75"/>
      <c r="R690" s="82"/>
      <c r="S690" s="73"/>
      <c r="T690" s="73"/>
      <c r="U690" s="73"/>
      <c r="V690" s="73"/>
      <c r="W690" s="73"/>
      <c r="X690" s="73"/>
      <c r="Y690" s="77"/>
      <c r="Z690" s="104"/>
      <c r="AA690" s="73"/>
      <c r="AB690" s="104"/>
      <c r="AC690" s="104"/>
      <c r="AD690" s="74"/>
      <c r="AE690" s="106"/>
      <c r="AF690" s="195"/>
      <c r="AG690" s="80"/>
      <c r="AH690" s="104"/>
      <c r="AI690" s="73"/>
      <c r="AJ690" s="114"/>
      <c r="AK690" s="106"/>
      <c r="AL690" s="74"/>
      <c r="AM690" s="73"/>
      <c r="AN690" s="73"/>
      <c r="AO690" s="102"/>
      <c r="AP690" s="73"/>
      <c r="AQ690" s="73"/>
      <c r="AR690" s="74"/>
      <c r="AS690" s="73"/>
      <c r="AT690" s="73"/>
      <c r="AU690" s="73"/>
      <c r="AV690" s="73"/>
      <c r="AW690" s="73"/>
      <c r="AX690" s="74"/>
      <c r="AY690" s="73"/>
      <c r="AZ690" s="73"/>
      <c r="BA690" s="74"/>
      <c r="BB690" s="73"/>
      <c r="BC690" s="73"/>
      <c r="BD690" s="73"/>
      <c r="BE690" s="73"/>
      <c r="BF690" s="73"/>
      <c r="BG690" s="73"/>
      <c r="BH690" s="73"/>
      <c r="BI690" s="73"/>
      <c r="BJ690" s="73"/>
      <c r="BK690" s="73"/>
      <c r="BL690" s="73"/>
      <c r="BM690" s="73"/>
      <c r="BN690" s="73"/>
      <c r="BO690" s="73"/>
      <c r="BP690" s="73"/>
      <c r="BQ690" s="73"/>
      <c r="BR690" s="73"/>
      <c r="BS690" s="73"/>
      <c r="BT690" s="74"/>
      <c r="BU690" s="73"/>
      <c r="BV690" s="73"/>
      <c r="BW690" s="73"/>
      <c r="BX690" s="73"/>
      <c r="BY690" s="73"/>
      <c r="BZ690" s="73"/>
      <c r="CA690" s="73"/>
      <c r="CB690" s="73"/>
      <c r="CC690" s="73"/>
      <c r="CD690" s="73"/>
      <c r="CE690" s="73"/>
    </row>
    <row r="691">
      <c r="A691" s="73"/>
      <c r="B691" s="73"/>
      <c r="C691" s="73"/>
      <c r="D691" s="74"/>
      <c r="E691" s="73"/>
      <c r="F691" s="73"/>
      <c r="G691" s="73"/>
      <c r="H691" s="73"/>
      <c r="I691" s="73"/>
      <c r="J691" s="73"/>
      <c r="K691" s="92"/>
      <c r="L691" s="73"/>
      <c r="M691" s="73"/>
      <c r="N691" s="73"/>
      <c r="O691" s="73"/>
      <c r="P691" s="73"/>
      <c r="Q691" s="75"/>
      <c r="R691" s="82"/>
      <c r="S691" s="73"/>
      <c r="T691" s="73"/>
      <c r="U691" s="73"/>
      <c r="V691" s="73"/>
      <c r="W691" s="73"/>
      <c r="X691" s="73"/>
      <c r="Y691" s="77"/>
      <c r="Z691" s="104"/>
      <c r="AA691" s="73"/>
      <c r="AB691" s="104"/>
      <c r="AC691" s="104"/>
      <c r="AD691" s="74"/>
      <c r="AE691" s="106"/>
      <c r="AF691" s="195"/>
      <c r="AG691" s="80"/>
      <c r="AH691" s="104"/>
      <c r="AI691" s="73"/>
      <c r="AJ691" s="114"/>
      <c r="AK691" s="106"/>
      <c r="AL691" s="74"/>
      <c r="AM691" s="73"/>
      <c r="AN691" s="73"/>
      <c r="AO691" s="102"/>
      <c r="AP691" s="73"/>
      <c r="AQ691" s="73"/>
      <c r="AR691" s="74"/>
      <c r="AS691" s="73"/>
      <c r="AT691" s="73"/>
      <c r="AU691" s="73"/>
      <c r="AV691" s="73"/>
      <c r="AW691" s="73"/>
      <c r="AX691" s="74"/>
      <c r="AY691" s="73"/>
      <c r="AZ691" s="73"/>
      <c r="BA691" s="74"/>
      <c r="BB691" s="73"/>
      <c r="BC691" s="73"/>
      <c r="BD691" s="73"/>
      <c r="BE691" s="73"/>
      <c r="BF691" s="73"/>
      <c r="BG691" s="73"/>
      <c r="BH691" s="73"/>
      <c r="BI691" s="73"/>
      <c r="BJ691" s="73"/>
      <c r="BK691" s="73"/>
      <c r="BL691" s="73"/>
      <c r="BM691" s="73"/>
      <c r="BN691" s="73"/>
      <c r="BO691" s="73"/>
      <c r="BP691" s="73"/>
      <c r="BQ691" s="73"/>
      <c r="BR691" s="73"/>
      <c r="BS691" s="73"/>
      <c r="BT691" s="74"/>
      <c r="BU691" s="73"/>
      <c r="BV691" s="73"/>
      <c r="BW691" s="73"/>
      <c r="BX691" s="73"/>
      <c r="BY691" s="73"/>
      <c r="BZ691" s="73"/>
      <c r="CA691" s="73"/>
      <c r="CB691" s="73"/>
      <c r="CC691" s="73"/>
      <c r="CD691" s="73"/>
      <c r="CE691" s="73"/>
    </row>
    <row r="692">
      <c r="A692" s="131"/>
      <c r="B692" s="73"/>
      <c r="C692" s="73"/>
      <c r="D692" s="74"/>
      <c r="E692" s="73"/>
      <c r="F692" s="73"/>
      <c r="G692" s="73"/>
      <c r="H692" s="73"/>
      <c r="I692" s="73"/>
      <c r="J692" s="73"/>
      <c r="K692" s="92"/>
      <c r="L692" s="73"/>
      <c r="M692" s="73"/>
      <c r="N692" s="73"/>
      <c r="O692" s="73"/>
      <c r="P692" s="73"/>
      <c r="Q692" s="75"/>
      <c r="R692" s="82"/>
      <c r="S692" s="73"/>
      <c r="T692" s="73"/>
      <c r="U692" s="73"/>
      <c r="V692" s="73"/>
      <c r="W692" s="73"/>
      <c r="X692" s="73"/>
      <c r="Y692" s="77"/>
      <c r="Z692" s="104"/>
      <c r="AA692" s="73"/>
      <c r="AB692" s="104"/>
      <c r="AC692" s="104"/>
      <c r="AD692" s="74"/>
      <c r="AE692" s="106"/>
      <c r="AF692" s="195"/>
      <c r="AG692" s="80"/>
      <c r="AH692" s="104"/>
      <c r="AI692" s="73"/>
      <c r="AJ692" s="114"/>
      <c r="AK692" s="106"/>
      <c r="AL692" s="74"/>
      <c r="AM692" s="73"/>
      <c r="AN692" s="73"/>
      <c r="AO692" s="102"/>
      <c r="AP692" s="73"/>
      <c r="AQ692" s="73"/>
      <c r="AR692" s="74"/>
      <c r="AS692" s="73"/>
      <c r="AT692" s="73"/>
      <c r="AU692" s="73"/>
      <c r="AV692" s="73"/>
      <c r="AW692" s="73"/>
      <c r="AX692" s="74"/>
      <c r="AY692" s="73"/>
      <c r="AZ692" s="73"/>
      <c r="BA692" s="74"/>
      <c r="BB692" s="73"/>
      <c r="BC692" s="73"/>
      <c r="BD692" s="73"/>
      <c r="BE692" s="73"/>
      <c r="BF692" s="73"/>
      <c r="BG692" s="73"/>
      <c r="BH692" s="73"/>
      <c r="BI692" s="73"/>
      <c r="BJ692" s="73"/>
      <c r="BK692" s="73"/>
      <c r="BL692" s="73"/>
      <c r="BM692" s="73"/>
      <c r="BN692" s="73"/>
      <c r="BO692" s="73"/>
      <c r="BP692" s="73"/>
      <c r="BQ692" s="73"/>
      <c r="BR692" s="73"/>
      <c r="BS692" s="73"/>
      <c r="BT692" s="74"/>
      <c r="BU692" s="73"/>
      <c r="BV692" s="73"/>
      <c r="BW692" s="73"/>
      <c r="BX692" s="73"/>
      <c r="BY692" s="73"/>
      <c r="BZ692" s="73"/>
      <c r="CA692" s="73"/>
      <c r="CB692" s="73"/>
      <c r="CC692" s="73"/>
      <c r="CD692" s="73"/>
      <c r="CE692" s="73"/>
    </row>
    <row r="693">
      <c r="A693" s="73"/>
      <c r="B693" s="73"/>
      <c r="C693" s="73"/>
      <c r="D693" s="74"/>
      <c r="E693" s="73"/>
      <c r="F693" s="73"/>
      <c r="G693" s="73"/>
      <c r="H693" s="73"/>
      <c r="I693" s="73"/>
      <c r="J693" s="73"/>
      <c r="K693" s="92"/>
      <c r="L693" s="73"/>
      <c r="M693" s="73"/>
      <c r="N693" s="73"/>
      <c r="O693" s="73"/>
      <c r="P693" s="73"/>
      <c r="Q693" s="75"/>
      <c r="R693" s="82"/>
      <c r="S693" s="73"/>
      <c r="T693" s="73"/>
      <c r="U693" s="73"/>
      <c r="V693" s="73"/>
      <c r="W693" s="73"/>
      <c r="X693" s="73"/>
      <c r="Y693" s="77"/>
      <c r="Z693" s="104"/>
      <c r="AA693" s="73"/>
      <c r="AB693" s="104"/>
      <c r="AC693" s="104"/>
      <c r="AD693" s="74"/>
      <c r="AE693" s="106"/>
      <c r="AF693" s="195"/>
      <c r="AG693" s="80"/>
      <c r="AH693" s="104"/>
      <c r="AI693" s="73"/>
      <c r="AJ693" s="114"/>
      <c r="AK693" s="106"/>
      <c r="AL693" s="74"/>
      <c r="AM693" s="73"/>
      <c r="AN693" s="73"/>
      <c r="AO693" s="102"/>
      <c r="AP693" s="73"/>
      <c r="AQ693" s="73"/>
      <c r="AR693" s="74"/>
      <c r="AS693" s="73"/>
      <c r="AT693" s="73"/>
      <c r="AU693" s="73"/>
      <c r="AV693" s="73"/>
      <c r="AW693" s="73"/>
      <c r="AX693" s="74"/>
      <c r="AY693" s="73"/>
      <c r="AZ693" s="73"/>
      <c r="BA693" s="74"/>
      <c r="BB693" s="73"/>
      <c r="BC693" s="73"/>
      <c r="BD693" s="73"/>
      <c r="BE693" s="73"/>
      <c r="BF693" s="73"/>
      <c r="BG693" s="73"/>
      <c r="BH693" s="73"/>
      <c r="BI693" s="73"/>
      <c r="BJ693" s="73"/>
      <c r="BK693" s="73"/>
      <c r="BL693" s="73"/>
      <c r="BM693" s="73"/>
      <c r="BN693" s="73"/>
      <c r="BO693" s="73"/>
      <c r="BP693" s="73"/>
      <c r="BQ693" s="73"/>
      <c r="BR693" s="73"/>
      <c r="BS693" s="73"/>
      <c r="BT693" s="74"/>
      <c r="BU693" s="73"/>
      <c r="BV693" s="73"/>
      <c r="BW693" s="73"/>
      <c r="BX693" s="73"/>
      <c r="BY693" s="73"/>
      <c r="BZ693" s="73"/>
      <c r="CA693" s="73"/>
      <c r="CB693" s="73"/>
      <c r="CC693" s="73"/>
      <c r="CD693" s="73"/>
      <c r="CE693" s="73"/>
    </row>
    <row r="694">
      <c r="A694" s="73"/>
      <c r="B694" s="73"/>
      <c r="C694" s="73"/>
      <c r="D694" s="74"/>
      <c r="E694" s="73"/>
      <c r="F694" s="73"/>
      <c r="G694" s="73"/>
      <c r="H694" s="73"/>
      <c r="I694" s="73"/>
      <c r="J694" s="73"/>
      <c r="K694" s="92"/>
      <c r="L694" s="73"/>
      <c r="M694" s="73"/>
      <c r="N694" s="73"/>
      <c r="O694" s="73"/>
      <c r="P694" s="73"/>
      <c r="Q694" s="75"/>
      <c r="R694" s="82"/>
      <c r="S694" s="73"/>
      <c r="T694" s="73"/>
      <c r="U694" s="73"/>
      <c r="V694" s="73"/>
      <c r="W694" s="73"/>
      <c r="X694" s="73"/>
      <c r="Y694" s="77"/>
      <c r="Z694" s="104"/>
      <c r="AA694" s="73"/>
      <c r="AB694" s="104"/>
      <c r="AC694" s="104"/>
      <c r="AD694" s="74"/>
      <c r="AE694" s="106"/>
      <c r="AF694" s="195"/>
      <c r="AG694" s="80"/>
      <c r="AH694" s="104"/>
      <c r="AI694" s="73"/>
      <c r="AJ694" s="114"/>
      <c r="AK694" s="106"/>
      <c r="AL694" s="74"/>
      <c r="AM694" s="73"/>
      <c r="AN694" s="73"/>
      <c r="AO694" s="102"/>
      <c r="AP694" s="73"/>
      <c r="AQ694" s="73"/>
      <c r="AR694" s="74"/>
      <c r="AS694" s="73"/>
      <c r="AT694" s="73"/>
      <c r="AU694" s="73"/>
      <c r="AV694" s="73"/>
      <c r="AW694" s="73"/>
      <c r="AX694" s="74"/>
      <c r="AY694" s="73"/>
      <c r="AZ694" s="73"/>
      <c r="BA694" s="74"/>
      <c r="BB694" s="73"/>
      <c r="BC694" s="73"/>
      <c r="BD694" s="73"/>
      <c r="BE694" s="73"/>
      <c r="BF694" s="73"/>
      <c r="BG694" s="73"/>
      <c r="BH694" s="73"/>
      <c r="BI694" s="73"/>
      <c r="BJ694" s="73"/>
      <c r="BK694" s="73"/>
      <c r="BL694" s="73"/>
      <c r="BM694" s="73"/>
      <c r="BN694" s="73"/>
      <c r="BO694" s="73"/>
      <c r="BP694" s="73"/>
      <c r="BQ694" s="73"/>
      <c r="BR694" s="73"/>
      <c r="BS694" s="73"/>
      <c r="BT694" s="74"/>
      <c r="BU694" s="73"/>
      <c r="BV694" s="73"/>
      <c r="BW694" s="73"/>
      <c r="BX694" s="73"/>
      <c r="BY694" s="73"/>
      <c r="BZ694" s="73"/>
      <c r="CA694" s="73"/>
      <c r="CB694" s="73"/>
      <c r="CC694" s="73"/>
      <c r="CD694" s="73"/>
      <c r="CE694" s="73"/>
    </row>
    <row r="695">
      <c r="A695" s="73"/>
      <c r="B695" s="73"/>
      <c r="C695" s="73"/>
      <c r="D695" s="74"/>
      <c r="E695" s="73"/>
      <c r="F695" s="73"/>
      <c r="G695" s="73"/>
      <c r="H695" s="73"/>
      <c r="I695" s="73"/>
      <c r="J695" s="73"/>
      <c r="K695" s="92"/>
      <c r="L695" s="73"/>
      <c r="M695" s="73"/>
      <c r="N695" s="73"/>
      <c r="O695" s="73"/>
      <c r="P695" s="73"/>
      <c r="Q695" s="75"/>
      <c r="R695" s="82"/>
      <c r="S695" s="73"/>
      <c r="T695" s="73"/>
      <c r="U695" s="73"/>
      <c r="V695" s="73"/>
      <c r="W695" s="73"/>
      <c r="X695" s="73"/>
      <c r="Y695" s="77"/>
      <c r="Z695" s="104"/>
      <c r="AA695" s="73"/>
      <c r="AB695" s="104"/>
      <c r="AC695" s="104"/>
      <c r="AD695" s="74"/>
      <c r="AE695" s="106"/>
      <c r="AF695" s="195"/>
      <c r="AG695" s="80"/>
      <c r="AH695" s="104"/>
      <c r="AI695" s="73"/>
      <c r="AJ695" s="114"/>
      <c r="AK695" s="106"/>
      <c r="AL695" s="74"/>
      <c r="AM695" s="73"/>
      <c r="AN695" s="73"/>
      <c r="AO695" s="102"/>
      <c r="AP695" s="73"/>
      <c r="AQ695" s="73"/>
      <c r="AR695" s="74"/>
      <c r="AS695" s="73"/>
      <c r="AT695" s="73"/>
      <c r="AU695" s="73"/>
      <c r="AV695" s="73"/>
      <c r="AW695" s="73"/>
      <c r="AX695" s="74"/>
      <c r="AY695" s="73"/>
      <c r="AZ695" s="73"/>
      <c r="BA695" s="74"/>
      <c r="BB695" s="73"/>
      <c r="BC695" s="73"/>
      <c r="BD695" s="73"/>
      <c r="BE695" s="73"/>
      <c r="BF695" s="73"/>
      <c r="BG695" s="73"/>
      <c r="BH695" s="73"/>
      <c r="BI695" s="73"/>
      <c r="BJ695" s="73"/>
      <c r="BK695" s="73"/>
      <c r="BL695" s="73"/>
      <c r="BM695" s="73"/>
      <c r="BN695" s="73"/>
      <c r="BO695" s="73"/>
      <c r="BP695" s="73"/>
      <c r="BQ695" s="73"/>
      <c r="BR695" s="73"/>
      <c r="BS695" s="73"/>
      <c r="BT695" s="74"/>
      <c r="BU695" s="73"/>
      <c r="BV695" s="73"/>
      <c r="BW695" s="73"/>
      <c r="BX695" s="73"/>
      <c r="BY695" s="73"/>
      <c r="BZ695" s="73"/>
      <c r="CA695" s="73"/>
      <c r="CB695" s="73"/>
      <c r="CC695" s="73"/>
      <c r="CD695" s="73"/>
      <c r="CE695" s="73"/>
    </row>
    <row r="696">
      <c r="A696" s="73"/>
      <c r="B696" s="73"/>
      <c r="C696" s="73"/>
      <c r="D696" s="74"/>
      <c r="E696" s="73"/>
      <c r="F696" s="73"/>
      <c r="G696" s="73"/>
      <c r="H696" s="73"/>
      <c r="I696" s="73"/>
      <c r="J696" s="73"/>
      <c r="K696" s="92"/>
      <c r="L696" s="73"/>
      <c r="M696" s="73"/>
      <c r="N696" s="73"/>
      <c r="O696" s="73"/>
      <c r="P696" s="73"/>
      <c r="Q696" s="75"/>
      <c r="R696" s="82"/>
      <c r="S696" s="73"/>
      <c r="T696" s="73"/>
      <c r="U696" s="73"/>
      <c r="V696" s="73"/>
      <c r="W696" s="73"/>
      <c r="X696" s="73"/>
      <c r="Y696" s="77"/>
      <c r="Z696" s="104"/>
      <c r="AA696" s="73"/>
      <c r="AB696" s="104"/>
      <c r="AC696" s="104"/>
      <c r="AD696" s="74"/>
      <c r="AE696" s="106"/>
      <c r="AF696" s="195"/>
      <c r="AG696" s="80"/>
      <c r="AH696" s="104"/>
      <c r="AI696" s="73"/>
      <c r="AJ696" s="114"/>
      <c r="AK696" s="106"/>
      <c r="AL696" s="74"/>
      <c r="AM696" s="73"/>
      <c r="AN696" s="73"/>
      <c r="AO696" s="102"/>
      <c r="AP696" s="73"/>
      <c r="AQ696" s="73"/>
      <c r="AR696" s="74"/>
      <c r="AS696" s="73"/>
      <c r="AT696" s="73"/>
      <c r="AU696" s="73"/>
      <c r="AV696" s="73"/>
      <c r="AW696" s="73"/>
      <c r="AX696" s="74"/>
      <c r="AY696" s="73"/>
      <c r="AZ696" s="73"/>
      <c r="BA696" s="74"/>
      <c r="BB696" s="73"/>
      <c r="BC696" s="73"/>
      <c r="BD696" s="73"/>
      <c r="BE696" s="73"/>
      <c r="BF696" s="73"/>
      <c r="BG696" s="73"/>
      <c r="BH696" s="73"/>
      <c r="BI696" s="73"/>
      <c r="BJ696" s="73"/>
      <c r="BK696" s="73"/>
      <c r="BL696" s="73"/>
      <c r="BM696" s="73"/>
      <c r="BN696" s="73"/>
      <c r="BO696" s="73"/>
      <c r="BP696" s="73"/>
      <c r="BQ696" s="73"/>
      <c r="BR696" s="73"/>
      <c r="BS696" s="73"/>
      <c r="BT696" s="74"/>
      <c r="BU696" s="73"/>
      <c r="BV696" s="73"/>
      <c r="BW696" s="73"/>
      <c r="BX696" s="73"/>
      <c r="BY696" s="73"/>
      <c r="BZ696" s="73"/>
      <c r="CA696" s="73"/>
      <c r="CB696" s="73"/>
      <c r="CC696" s="73"/>
      <c r="CD696" s="73"/>
      <c r="CE696" s="73"/>
    </row>
    <row r="697">
      <c r="A697" s="73"/>
      <c r="B697" s="73"/>
      <c r="C697" s="73"/>
      <c r="D697" s="74"/>
      <c r="E697" s="73"/>
      <c r="F697" s="73"/>
      <c r="G697" s="73"/>
      <c r="H697" s="73"/>
      <c r="I697" s="73"/>
      <c r="J697" s="73"/>
      <c r="K697" s="92"/>
      <c r="L697" s="73"/>
      <c r="M697" s="73"/>
      <c r="N697" s="73"/>
      <c r="O697" s="73"/>
      <c r="P697" s="73"/>
      <c r="Q697" s="75"/>
      <c r="R697" s="82"/>
      <c r="S697" s="73"/>
      <c r="T697" s="73"/>
      <c r="U697" s="73"/>
      <c r="V697" s="73"/>
      <c r="W697" s="73"/>
      <c r="X697" s="73"/>
      <c r="Y697" s="77"/>
      <c r="Z697" s="104"/>
      <c r="AA697" s="73"/>
      <c r="AB697" s="104"/>
      <c r="AC697" s="104"/>
      <c r="AD697" s="74"/>
      <c r="AE697" s="106"/>
      <c r="AF697" s="195"/>
      <c r="AG697" s="80"/>
      <c r="AH697" s="104"/>
      <c r="AI697" s="73"/>
      <c r="AJ697" s="114"/>
      <c r="AK697" s="106"/>
      <c r="AL697" s="74"/>
      <c r="AM697" s="73"/>
      <c r="AN697" s="73"/>
      <c r="AO697" s="102"/>
      <c r="AP697" s="73"/>
      <c r="AQ697" s="73"/>
      <c r="AR697" s="74"/>
      <c r="AS697" s="73"/>
      <c r="AT697" s="73"/>
      <c r="AU697" s="73"/>
      <c r="AV697" s="73"/>
      <c r="AW697" s="73"/>
      <c r="AX697" s="74"/>
      <c r="AY697" s="73"/>
      <c r="AZ697" s="73"/>
      <c r="BA697" s="74"/>
      <c r="BB697" s="73"/>
      <c r="BC697" s="73"/>
      <c r="BD697" s="73"/>
      <c r="BE697" s="73"/>
      <c r="BF697" s="73"/>
      <c r="BG697" s="73"/>
      <c r="BH697" s="73"/>
      <c r="BI697" s="73"/>
      <c r="BJ697" s="73"/>
      <c r="BK697" s="73"/>
      <c r="BL697" s="73"/>
      <c r="BM697" s="73"/>
      <c r="BN697" s="73"/>
      <c r="BO697" s="73"/>
      <c r="BP697" s="73"/>
      <c r="BQ697" s="73"/>
      <c r="BR697" s="73"/>
      <c r="BS697" s="73"/>
      <c r="BT697" s="74"/>
      <c r="BU697" s="73"/>
      <c r="BV697" s="73"/>
      <c r="BW697" s="73"/>
      <c r="BX697" s="73"/>
      <c r="BY697" s="73"/>
      <c r="BZ697" s="73"/>
      <c r="CA697" s="73"/>
      <c r="CB697" s="73"/>
      <c r="CC697" s="73"/>
      <c r="CD697" s="73"/>
      <c r="CE697" s="73"/>
    </row>
    <row r="698">
      <c r="A698" s="73"/>
      <c r="B698" s="73"/>
      <c r="C698" s="73"/>
      <c r="D698" s="74"/>
      <c r="E698" s="73"/>
      <c r="F698" s="73"/>
      <c r="G698" s="73"/>
      <c r="H698" s="73"/>
      <c r="I698" s="73"/>
      <c r="J698" s="73"/>
      <c r="K698" s="92"/>
      <c r="L698" s="73"/>
      <c r="M698" s="73"/>
      <c r="N698" s="73"/>
      <c r="O698" s="73"/>
      <c r="P698" s="73"/>
      <c r="Q698" s="75"/>
      <c r="R698" s="82"/>
      <c r="S698" s="73"/>
      <c r="T698" s="73"/>
      <c r="U698" s="73"/>
      <c r="V698" s="73"/>
      <c r="W698" s="73"/>
      <c r="X698" s="73"/>
      <c r="Y698" s="77"/>
      <c r="Z698" s="104"/>
      <c r="AA698" s="73"/>
      <c r="AB698" s="104"/>
      <c r="AC698" s="104"/>
      <c r="AD698" s="74"/>
      <c r="AE698" s="106"/>
      <c r="AF698" s="195"/>
      <c r="AG698" s="80"/>
      <c r="AH698" s="104"/>
      <c r="AI698" s="73"/>
      <c r="AJ698" s="114"/>
      <c r="AK698" s="106"/>
      <c r="AL698" s="74"/>
      <c r="AM698" s="73"/>
      <c r="AN698" s="73"/>
      <c r="AO698" s="102"/>
      <c r="AP698" s="73"/>
      <c r="AQ698" s="73"/>
      <c r="AR698" s="74"/>
      <c r="AS698" s="73"/>
      <c r="AT698" s="73"/>
      <c r="AU698" s="73"/>
      <c r="AV698" s="73"/>
      <c r="AW698" s="73"/>
      <c r="AX698" s="74"/>
      <c r="AY698" s="73"/>
      <c r="AZ698" s="73"/>
      <c r="BA698" s="74"/>
      <c r="BB698" s="73"/>
      <c r="BC698" s="73"/>
      <c r="BD698" s="73"/>
      <c r="BE698" s="73"/>
      <c r="BF698" s="73"/>
      <c r="BG698" s="73"/>
      <c r="BH698" s="73"/>
      <c r="BI698" s="73"/>
      <c r="BJ698" s="73"/>
      <c r="BK698" s="73"/>
      <c r="BL698" s="73"/>
      <c r="BM698" s="73"/>
      <c r="BN698" s="73"/>
      <c r="BO698" s="73"/>
      <c r="BP698" s="73"/>
      <c r="BQ698" s="73"/>
      <c r="BR698" s="73"/>
      <c r="BS698" s="73"/>
      <c r="BT698" s="74"/>
      <c r="BU698" s="73"/>
      <c r="BV698" s="73"/>
      <c r="BW698" s="73"/>
      <c r="BX698" s="73"/>
      <c r="BY698" s="73"/>
      <c r="BZ698" s="73"/>
      <c r="CA698" s="73"/>
      <c r="CB698" s="73"/>
      <c r="CC698" s="73"/>
      <c r="CD698" s="73"/>
      <c r="CE698" s="73"/>
    </row>
    <row r="699">
      <c r="A699" s="73"/>
      <c r="B699" s="73"/>
      <c r="C699" s="73"/>
      <c r="D699" s="74"/>
      <c r="E699" s="73"/>
      <c r="F699" s="73"/>
      <c r="G699" s="73"/>
      <c r="H699" s="73"/>
      <c r="I699" s="73"/>
      <c r="J699" s="73"/>
      <c r="K699" s="92"/>
      <c r="L699" s="73"/>
      <c r="M699" s="73"/>
      <c r="N699" s="73"/>
      <c r="O699" s="73"/>
      <c r="P699" s="73"/>
      <c r="Q699" s="75"/>
      <c r="R699" s="82"/>
      <c r="S699" s="73"/>
      <c r="T699" s="73"/>
      <c r="U699" s="73"/>
      <c r="V699" s="73"/>
      <c r="W699" s="73"/>
      <c r="X699" s="73"/>
      <c r="Y699" s="77"/>
      <c r="Z699" s="104"/>
      <c r="AA699" s="73"/>
      <c r="AB699" s="104"/>
      <c r="AC699" s="104"/>
      <c r="AD699" s="74"/>
      <c r="AE699" s="106"/>
      <c r="AF699" s="195"/>
      <c r="AG699" s="80"/>
      <c r="AH699" s="104"/>
      <c r="AI699" s="73"/>
      <c r="AJ699" s="114"/>
      <c r="AK699" s="106"/>
      <c r="AL699" s="74"/>
      <c r="AM699" s="73"/>
      <c r="AN699" s="73"/>
      <c r="AO699" s="102"/>
      <c r="AP699" s="73"/>
      <c r="AQ699" s="73"/>
      <c r="AR699" s="74"/>
      <c r="AS699" s="73"/>
      <c r="AT699" s="73"/>
      <c r="AU699" s="73"/>
      <c r="AV699" s="73"/>
      <c r="AW699" s="73"/>
      <c r="AX699" s="74"/>
      <c r="AY699" s="73"/>
      <c r="AZ699" s="73"/>
      <c r="BA699" s="74"/>
      <c r="BB699" s="73"/>
      <c r="BC699" s="73"/>
      <c r="BD699" s="73"/>
      <c r="BE699" s="73"/>
      <c r="BF699" s="73"/>
      <c r="BG699" s="73"/>
      <c r="BH699" s="73"/>
      <c r="BI699" s="73"/>
      <c r="BJ699" s="73"/>
      <c r="BK699" s="73"/>
      <c r="BL699" s="73"/>
      <c r="BM699" s="73"/>
      <c r="BN699" s="73"/>
      <c r="BO699" s="73"/>
      <c r="BP699" s="73"/>
      <c r="BQ699" s="73"/>
      <c r="BR699" s="73"/>
      <c r="BS699" s="73"/>
      <c r="BT699" s="74"/>
      <c r="BU699" s="73"/>
      <c r="BV699" s="73"/>
      <c r="BW699" s="73"/>
      <c r="BX699" s="73"/>
      <c r="BY699" s="73"/>
      <c r="BZ699" s="73"/>
      <c r="CA699" s="73"/>
      <c r="CB699" s="73"/>
      <c r="CC699" s="73"/>
      <c r="CD699" s="73"/>
      <c r="CE699" s="73"/>
    </row>
    <row r="700">
      <c r="A700" s="73"/>
      <c r="B700" s="73"/>
      <c r="C700" s="73"/>
      <c r="D700" s="74"/>
      <c r="E700" s="73"/>
      <c r="F700" s="73"/>
      <c r="G700" s="73"/>
      <c r="H700" s="73"/>
      <c r="I700" s="73"/>
      <c r="J700" s="73"/>
      <c r="K700" s="92"/>
      <c r="L700" s="73"/>
      <c r="M700" s="73"/>
      <c r="N700" s="73"/>
      <c r="O700" s="73"/>
      <c r="P700" s="73"/>
      <c r="Q700" s="75"/>
      <c r="R700" s="82"/>
      <c r="S700" s="73"/>
      <c r="T700" s="73"/>
      <c r="U700" s="73"/>
      <c r="V700" s="73"/>
      <c r="W700" s="73"/>
      <c r="X700" s="73"/>
      <c r="Y700" s="77"/>
      <c r="Z700" s="104"/>
      <c r="AA700" s="73"/>
      <c r="AB700" s="104"/>
      <c r="AC700" s="104"/>
      <c r="AD700" s="74"/>
      <c r="AE700" s="106"/>
      <c r="AF700" s="195"/>
      <c r="AG700" s="80"/>
      <c r="AH700" s="104"/>
      <c r="AI700" s="73"/>
      <c r="AJ700" s="114"/>
      <c r="AK700" s="106"/>
      <c r="AL700" s="74"/>
      <c r="AM700" s="73"/>
      <c r="AN700" s="73"/>
      <c r="AO700" s="102"/>
      <c r="AP700" s="73"/>
      <c r="AQ700" s="73"/>
      <c r="AR700" s="74"/>
      <c r="AS700" s="73"/>
      <c r="AT700" s="73"/>
      <c r="AU700" s="73"/>
      <c r="AV700" s="73"/>
      <c r="AW700" s="73"/>
      <c r="AX700" s="74"/>
      <c r="AY700" s="73"/>
      <c r="AZ700" s="73"/>
      <c r="BA700" s="74"/>
      <c r="BB700" s="73"/>
      <c r="BC700" s="73"/>
      <c r="BD700" s="73"/>
      <c r="BE700" s="73"/>
      <c r="BF700" s="73"/>
      <c r="BG700" s="73"/>
      <c r="BH700" s="73"/>
      <c r="BI700" s="73"/>
      <c r="BJ700" s="73"/>
      <c r="BK700" s="73"/>
      <c r="BL700" s="73"/>
      <c r="BM700" s="73"/>
      <c r="BN700" s="73"/>
      <c r="BO700" s="73"/>
      <c r="BP700" s="73"/>
      <c r="BQ700" s="73"/>
      <c r="BR700" s="73"/>
      <c r="BS700" s="73"/>
      <c r="BT700" s="74"/>
      <c r="BU700" s="73"/>
      <c r="BV700" s="73"/>
      <c r="BW700" s="73"/>
      <c r="BX700" s="73"/>
      <c r="BY700" s="73"/>
      <c r="BZ700" s="73"/>
      <c r="CA700" s="73"/>
      <c r="CB700" s="73"/>
      <c r="CC700" s="73"/>
      <c r="CD700" s="73"/>
      <c r="CE700" s="73"/>
    </row>
    <row r="701">
      <c r="A701" s="73"/>
      <c r="B701" s="73"/>
      <c r="C701" s="73"/>
      <c r="D701" s="74"/>
      <c r="E701" s="73"/>
      <c r="F701" s="73"/>
      <c r="G701" s="73"/>
      <c r="H701" s="73"/>
      <c r="I701" s="73"/>
      <c r="J701" s="73"/>
      <c r="K701" s="92"/>
      <c r="L701" s="73"/>
      <c r="M701" s="73"/>
      <c r="N701" s="73"/>
      <c r="O701" s="73"/>
      <c r="P701" s="73"/>
      <c r="Q701" s="75"/>
      <c r="R701" s="82"/>
      <c r="S701" s="73"/>
      <c r="T701" s="73"/>
      <c r="U701" s="73"/>
      <c r="V701" s="73"/>
      <c r="W701" s="73"/>
      <c r="X701" s="73"/>
      <c r="Y701" s="77"/>
      <c r="Z701" s="104"/>
      <c r="AA701" s="73"/>
      <c r="AB701" s="104"/>
      <c r="AC701" s="104"/>
      <c r="AD701" s="74"/>
      <c r="AE701" s="106"/>
      <c r="AF701" s="195"/>
      <c r="AG701" s="80"/>
      <c r="AH701" s="104"/>
      <c r="AI701" s="73"/>
      <c r="AJ701" s="114"/>
      <c r="AK701" s="106"/>
      <c r="AL701" s="74"/>
      <c r="AM701" s="73"/>
      <c r="AN701" s="73"/>
      <c r="AO701" s="102"/>
      <c r="AP701" s="73"/>
      <c r="AQ701" s="73"/>
      <c r="AR701" s="74"/>
      <c r="AS701" s="73"/>
      <c r="AT701" s="73"/>
      <c r="AU701" s="73"/>
      <c r="AV701" s="73"/>
      <c r="AW701" s="73"/>
      <c r="AX701" s="74"/>
      <c r="AY701" s="73"/>
      <c r="AZ701" s="73"/>
      <c r="BA701" s="74"/>
      <c r="BB701" s="73"/>
      <c r="BC701" s="73"/>
      <c r="BD701" s="73"/>
      <c r="BE701" s="73"/>
      <c r="BF701" s="73"/>
      <c r="BG701" s="73"/>
      <c r="BH701" s="73"/>
      <c r="BI701" s="73"/>
      <c r="BJ701" s="73"/>
      <c r="BK701" s="73"/>
      <c r="BL701" s="73"/>
      <c r="BM701" s="73"/>
      <c r="BN701" s="73"/>
      <c r="BO701" s="73"/>
      <c r="BP701" s="73"/>
      <c r="BQ701" s="73"/>
      <c r="BR701" s="73"/>
      <c r="BS701" s="73"/>
      <c r="BT701" s="74"/>
      <c r="BU701" s="73"/>
      <c r="BV701" s="73"/>
      <c r="BW701" s="73"/>
      <c r="BX701" s="73"/>
      <c r="BY701" s="73"/>
      <c r="BZ701" s="73"/>
      <c r="CA701" s="73"/>
      <c r="CB701" s="73"/>
      <c r="CC701" s="73"/>
      <c r="CD701" s="73"/>
      <c r="CE701" s="73"/>
    </row>
    <row r="702">
      <c r="A702" s="73"/>
      <c r="B702" s="73"/>
      <c r="C702" s="73"/>
      <c r="D702" s="74"/>
      <c r="E702" s="73"/>
      <c r="F702" s="73"/>
      <c r="G702" s="73"/>
      <c r="H702" s="73"/>
      <c r="I702" s="73"/>
      <c r="J702" s="73"/>
      <c r="K702" s="92"/>
      <c r="L702" s="73"/>
      <c r="M702" s="73"/>
      <c r="N702" s="73"/>
      <c r="O702" s="73"/>
      <c r="P702" s="73"/>
      <c r="Q702" s="75"/>
      <c r="R702" s="82"/>
      <c r="S702" s="73"/>
      <c r="T702" s="73"/>
      <c r="U702" s="73"/>
      <c r="V702" s="73"/>
      <c r="W702" s="73"/>
      <c r="X702" s="73"/>
      <c r="Y702" s="77"/>
      <c r="Z702" s="104"/>
      <c r="AA702" s="73"/>
      <c r="AB702" s="104"/>
      <c r="AC702" s="104"/>
      <c r="AD702" s="74"/>
      <c r="AE702" s="106"/>
      <c r="AF702" s="195"/>
      <c r="AG702" s="80"/>
      <c r="AH702" s="104"/>
      <c r="AI702" s="73"/>
      <c r="AJ702" s="114"/>
      <c r="AK702" s="106"/>
      <c r="AL702" s="74"/>
      <c r="AM702" s="73"/>
      <c r="AN702" s="73"/>
      <c r="AO702" s="102"/>
      <c r="AP702" s="73"/>
      <c r="AQ702" s="73"/>
      <c r="AR702" s="74"/>
      <c r="AS702" s="73"/>
      <c r="AT702" s="73"/>
      <c r="AU702" s="73"/>
      <c r="AV702" s="73"/>
      <c r="AW702" s="73"/>
      <c r="AX702" s="74"/>
      <c r="AY702" s="73"/>
      <c r="AZ702" s="73"/>
      <c r="BA702" s="74"/>
      <c r="BB702" s="73"/>
      <c r="BC702" s="73"/>
      <c r="BD702" s="73"/>
      <c r="BE702" s="73"/>
      <c r="BF702" s="73"/>
      <c r="BG702" s="73"/>
      <c r="BH702" s="73"/>
      <c r="BI702" s="73"/>
      <c r="BJ702" s="73"/>
      <c r="BK702" s="73"/>
      <c r="BL702" s="73"/>
      <c r="BM702" s="73"/>
      <c r="BN702" s="73"/>
      <c r="BO702" s="73"/>
      <c r="BP702" s="73"/>
      <c r="BQ702" s="73"/>
      <c r="BR702" s="73"/>
      <c r="BS702" s="73"/>
      <c r="BT702" s="74"/>
      <c r="BU702" s="73"/>
      <c r="BV702" s="73"/>
      <c r="BW702" s="73"/>
      <c r="BX702" s="73"/>
      <c r="BY702" s="73"/>
      <c r="BZ702" s="73"/>
      <c r="CA702" s="73"/>
      <c r="CB702" s="73"/>
      <c r="CC702" s="73"/>
      <c r="CD702" s="73"/>
      <c r="CE702" s="73"/>
    </row>
    <row r="703">
      <c r="A703" s="73"/>
      <c r="B703" s="73"/>
      <c r="C703" s="73"/>
      <c r="D703" s="74"/>
      <c r="E703" s="73"/>
      <c r="F703" s="73"/>
      <c r="G703" s="73"/>
      <c r="H703" s="73"/>
      <c r="I703" s="73"/>
      <c r="J703" s="73"/>
      <c r="K703" s="92"/>
      <c r="L703" s="73"/>
      <c r="M703" s="73"/>
      <c r="N703" s="73"/>
      <c r="O703" s="73"/>
      <c r="P703" s="73"/>
      <c r="Q703" s="75"/>
      <c r="R703" s="82"/>
      <c r="S703" s="73"/>
      <c r="T703" s="73"/>
      <c r="U703" s="73"/>
      <c r="V703" s="73"/>
      <c r="W703" s="73"/>
      <c r="X703" s="73"/>
      <c r="Y703" s="77"/>
      <c r="Z703" s="104"/>
      <c r="AA703" s="73"/>
      <c r="AB703" s="104"/>
      <c r="AC703" s="104"/>
      <c r="AD703" s="74"/>
      <c r="AE703" s="106"/>
      <c r="AF703" s="195"/>
      <c r="AG703" s="80"/>
      <c r="AH703" s="104"/>
      <c r="AI703" s="73"/>
      <c r="AJ703" s="114"/>
      <c r="AK703" s="106"/>
      <c r="AL703" s="74"/>
      <c r="AM703" s="73"/>
      <c r="AN703" s="73"/>
      <c r="AO703" s="102"/>
      <c r="AP703" s="73"/>
      <c r="AQ703" s="73"/>
      <c r="AR703" s="74"/>
      <c r="AS703" s="73"/>
      <c r="AT703" s="73"/>
      <c r="AU703" s="73"/>
      <c r="AV703" s="73"/>
      <c r="AW703" s="73"/>
      <c r="AX703" s="74"/>
      <c r="AY703" s="73"/>
      <c r="AZ703" s="73"/>
      <c r="BA703" s="74"/>
      <c r="BB703" s="73"/>
      <c r="BC703" s="73"/>
      <c r="BD703" s="73"/>
      <c r="BE703" s="73"/>
      <c r="BF703" s="73"/>
      <c r="BG703" s="73"/>
      <c r="BH703" s="73"/>
      <c r="BI703" s="73"/>
      <c r="BJ703" s="73"/>
      <c r="BK703" s="73"/>
      <c r="BL703" s="73"/>
      <c r="BM703" s="73"/>
      <c r="BN703" s="73"/>
      <c r="BO703" s="73"/>
      <c r="BP703" s="73"/>
      <c r="BQ703" s="73"/>
      <c r="BR703" s="73"/>
      <c r="BS703" s="73"/>
      <c r="BT703" s="74"/>
      <c r="BU703" s="73"/>
      <c r="BV703" s="73"/>
      <c r="BW703" s="73"/>
      <c r="BX703" s="73"/>
      <c r="BY703" s="73"/>
      <c r="BZ703" s="73"/>
      <c r="CA703" s="73"/>
      <c r="CB703" s="73"/>
      <c r="CC703" s="73"/>
      <c r="CD703" s="73"/>
      <c r="CE703" s="73"/>
    </row>
    <row r="704">
      <c r="A704" s="73"/>
      <c r="B704" s="73"/>
      <c r="C704" s="73"/>
      <c r="D704" s="74"/>
      <c r="E704" s="73"/>
      <c r="F704" s="73"/>
      <c r="G704" s="73"/>
      <c r="H704" s="73"/>
      <c r="I704" s="73"/>
      <c r="J704" s="73"/>
      <c r="K704" s="92"/>
      <c r="L704" s="73"/>
      <c r="M704" s="73"/>
      <c r="N704" s="73"/>
      <c r="O704" s="73"/>
      <c r="P704" s="73"/>
      <c r="Q704" s="75"/>
      <c r="R704" s="82"/>
      <c r="S704" s="73"/>
      <c r="T704" s="73"/>
      <c r="U704" s="73"/>
      <c r="V704" s="73"/>
      <c r="W704" s="73"/>
      <c r="X704" s="73"/>
      <c r="Y704" s="77"/>
      <c r="Z704" s="104"/>
      <c r="AA704" s="73"/>
      <c r="AB704" s="104"/>
      <c r="AC704" s="104"/>
      <c r="AD704" s="74"/>
      <c r="AE704" s="106"/>
      <c r="AF704" s="195"/>
      <c r="AG704" s="80"/>
      <c r="AH704" s="104"/>
      <c r="AI704" s="73"/>
      <c r="AJ704" s="114"/>
      <c r="AK704" s="106"/>
      <c r="AL704" s="74"/>
      <c r="AM704" s="73"/>
      <c r="AN704" s="73"/>
      <c r="AO704" s="102"/>
      <c r="AP704" s="73"/>
      <c r="AQ704" s="73"/>
      <c r="AR704" s="74"/>
      <c r="AS704" s="73"/>
      <c r="AT704" s="73"/>
      <c r="AU704" s="73"/>
      <c r="AV704" s="73"/>
      <c r="AW704" s="73"/>
      <c r="AX704" s="74"/>
      <c r="AY704" s="73"/>
      <c r="AZ704" s="73"/>
      <c r="BA704" s="74"/>
      <c r="BB704" s="73"/>
      <c r="BC704" s="73"/>
      <c r="BD704" s="73"/>
      <c r="BE704" s="73"/>
      <c r="BF704" s="73"/>
      <c r="BG704" s="73"/>
      <c r="BH704" s="73"/>
      <c r="BI704" s="73"/>
      <c r="BJ704" s="73"/>
      <c r="BK704" s="73"/>
      <c r="BL704" s="73"/>
      <c r="BM704" s="73"/>
      <c r="BN704" s="73"/>
      <c r="BO704" s="73"/>
      <c r="BP704" s="73"/>
      <c r="BQ704" s="73"/>
      <c r="BR704" s="73"/>
      <c r="BS704" s="73"/>
      <c r="BT704" s="74"/>
      <c r="BU704" s="73"/>
      <c r="BV704" s="73"/>
      <c r="BW704" s="73"/>
      <c r="BX704" s="73"/>
      <c r="BY704" s="73"/>
      <c r="BZ704" s="73"/>
      <c r="CA704" s="73"/>
      <c r="CB704" s="73"/>
      <c r="CC704" s="73"/>
      <c r="CD704" s="73"/>
      <c r="CE704" s="73"/>
    </row>
    <row r="705">
      <c r="A705" s="73"/>
      <c r="B705" s="73"/>
      <c r="C705" s="73"/>
      <c r="D705" s="74"/>
      <c r="E705" s="73"/>
      <c r="F705" s="73"/>
      <c r="G705" s="73"/>
      <c r="H705" s="73"/>
      <c r="I705" s="73"/>
      <c r="J705" s="73"/>
      <c r="K705" s="92"/>
      <c r="L705" s="73"/>
      <c r="M705" s="73"/>
      <c r="N705" s="73"/>
      <c r="O705" s="73"/>
      <c r="P705" s="73"/>
      <c r="Q705" s="75"/>
      <c r="R705" s="82"/>
      <c r="S705" s="73"/>
      <c r="T705" s="73"/>
      <c r="U705" s="73"/>
      <c r="V705" s="73"/>
      <c r="W705" s="73"/>
      <c r="X705" s="73"/>
      <c r="Y705" s="77"/>
      <c r="Z705" s="104"/>
      <c r="AA705" s="73"/>
      <c r="AB705" s="104"/>
      <c r="AC705" s="104"/>
      <c r="AD705" s="74"/>
      <c r="AE705" s="106"/>
      <c r="AF705" s="195"/>
      <c r="AG705" s="80"/>
      <c r="AH705" s="104"/>
      <c r="AI705" s="73"/>
      <c r="AJ705" s="114"/>
      <c r="AK705" s="106"/>
      <c r="AL705" s="74"/>
      <c r="AM705" s="73"/>
      <c r="AN705" s="73"/>
      <c r="AO705" s="102"/>
      <c r="AP705" s="73"/>
      <c r="AQ705" s="73"/>
      <c r="AR705" s="74"/>
      <c r="AS705" s="73"/>
      <c r="AT705" s="73"/>
      <c r="AU705" s="73"/>
      <c r="AV705" s="73"/>
      <c r="AW705" s="73"/>
      <c r="AX705" s="74"/>
      <c r="AY705" s="73"/>
      <c r="AZ705" s="73"/>
      <c r="BA705" s="74"/>
      <c r="BB705" s="73"/>
      <c r="BC705" s="73"/>
      <c r="BD705" s="73"/>
      <c r="BE705" s="73"/>
      <c r="BF705" s="73"/>
      <c r="BG705" s="73"/>
      <c r="BH705" s="73"/>
      <c r="BI705" s="73"/>
      <c r="BJ705" s="73"/>
      <c r="BK705" s="73"/>
      <c r="BL705" s="73"/>
      <c r="BM705" s="73"/>
      <c r="BN705" s="73"/>
      <c r="BO705" s="73"/>
      <c r="BP705" s="73"/>
      <c r="BQ705" s="73"/>
      <c r="BR705" s="73"/>
      <c r="BS705" s="73"/>
      <c r="BT705" s="74"/>
      <c r="BU705" s="73"/>
      <c r="BV705" s="73"/>
      <c r="BW705" s="73"/>
      <c r="BX705" s="73"/>
      <c r="BY705" s="73"/>
      <c r="BZ705" s="73"/>
      <c r="CA705" s="73"/>
      <c r="CB705" s="73"/>
      <c r="CC705" s="73"/>
      <c r="CD705" s="73"/>
      <c r="CE705" s="73"/>
    </row>
    <row r="706">
      <c r="A706" s="73"/>
      <c r="B706" s="73"/>
      <c r="C706" s="73"/>
      <c r="D706" s="74"/>
      <c r="E706" s="73"/>
      <c r="F706" s="73"/>
      <c r="G706" s="73"/>
      <c r="H706" s="73"/>
      <c r="I706" s="73"/>
      <c r="J706" s="73"/>
      <c r="K706" s="92"/>
      <c r="L706" s="73"/>
      <c r="M706" s="73"/>
      <c r="N706" s="73"/>
      <c r="O706" s="73"/>
      <c r="P706" s="73"/>
      <c r="Q706" s="75"/>
      <c r="R706" s="82"/>
      <c r="S706" s="73"/>
      <c r="T706" s="73"/>
      <c r="U706" s="73"/>
      <c r="V706" s="73"/>
      <c r="W706" s="73"/>
      <c r="X706" s="73"/>
      <c r="Y706" s="77"/>
      <c r="Z706" s="104"/>
      <c r="AA706" s="73"/>
      <c r="AB706" s="104"/>
      <c r="AC706" s="104"/>
      <c r="AD706" s="74"/>
      <c r="AE706" s="106"/>
      <c r="AF706" s="195"/>
      <c r="AG706" s="80"/>
      <c r="AH706" s="104"/>
      <c r="AI706" s="73"/>
      <c r="AJ706" s="114"/>
      <c r="AK706" s="106"/>
      <c r="AL706" s="74"/>
      <c r="AM706" s="73"/>
      <c r="AN706" s="73"/>
      <c r="AO706" s="102"/>
      <c r="AP706" s="73"/>
      <c r="AQ706" s="73"/>
      <c r="AR706" s="74"/>
      <c r="AS706" s="73"/>
      <c r="AT706" s="73"/>
      <c r="AU706" s="73"/>
      <c r="AV706" s="73"/>
      <c r="AW706" s="73"/>
      <c r="AX706" s="74"/>
      <c r="AY706" s="73"/>
      <c r="AZ706" s="73"/>
      <c r="BA706" s="74"/>
      <c r="BB706" s="73"/>
      <c r="BC706" s="73"/>
      <c r="BD706" s="73"/>
      <c r="BE706" s="73"/>
      <c r="BF706" s="73"/>
      <c r="BG706" s="73"/>
      <c r="BH706" s="73"/>
      <c r="BI706" s="73"/>
      <c r="BJ706" s="73"/>
      <c r="BK706" s="73"/>
      <c r="BL706" s="73"/>
      <c r="BM706" s="73"/>
      <c r="BN706" s="73"/>
      <c r="BO706" s="73"/>
      <c r="BP706" s="73"/>
      <c r="BQ706" s="73"/>
      <c r="BR706" s="73"/>
      <c r="BS706" s="73"/>
      <c r="BT706" s="74"/>
      <c r="BU706" s="73"/>
      <c r="BV706" s="73"/>
      <c r="BW706" s="73"/>
      <c r="BX706" s="73"/>
      <c r="BY706" s="73"/>
      <c r="BZ706" s="73"/>
      <c r="CA706" s="73"/>
      <c r="CB706" s="73"/>
      <c r="CC706" s="73"/>
      <c r="CD706" s="73"/>
      <c r="CE706" s="73"/>
    </row>
    <row r="707">
      <c r="A707" s="73"/>
      <c r="B707" s="73"/>
      <c r="C707" s="73"/>
      <c r="D707" s="74"/>
      <c r="E707" s="73"/>
      <c r="F707" s="73"/>
      <c r="G707" s="73"/>
      <c r="H707" s="73"/>
      <c r="I707" s="73"/>
      <c r="J707" s="73"/>
      <c r="K707" s="92"/>
      <c r="L707" s="73"/>
      <c r="M707" s="73"/>
      <c r="N707" s="73"/>
      <c r="O707" s="73"/>
      <c r="P707" s="73"/>
      <c r="Q707" s="75"/>
      <c r="R707" s="82"/>
      <c r="S707" s="73"/>
      <c r="T707" s="73"/>
      <c r="U707" s="73"/>
      <c r="V707" s="73"/>
      <c r="W707" s="73"/>
      <c r="X707" s="73"/>
      <c r="Y707" s="77"/>
      <c r="Z707" s="104"/>
      <c r="AA707" s="73"/>
      <c r="AB707" s="104"/>
      <c r="AC707" s="104"/>
      <c r="AD707" s="74"/>
      <c r="AE707" s="106"/>
      <c r="AF707" s="195"/>
      <c r="AG707" s="80"/>
      <c r="AH707" s="104"/>
      <c r="AI707" s="73"/>
      <c r="AJ707" s="114"/>
      <c r="AK707" s="106"/>
      <c r="AL707" s="74"/>
      <c r="AM707" s="73"/>
      <c r="AN707" s="73"/>
      <c r="AO707" s="102"/>
      <c r="AP707" s="73"/>
      <c r="AQ707" s="73"/>
      <c r="AR707" s="74"/>
      <c r="AS707" s="73"/>
      <c r="AT707" s="73"/>
      <c r="AU707" s="73"/>
      <c r="AV707" s="73"/>
      <c r="AW707" s="73"/>
      <c r="AX707" s="74"/>
      <c r="AY707" s="73"/>
      <c r="AZ707" s="73"/>
      <c r="BA707" s="74"/>
      <c r="BB707" s="73"/>
      <c r="BC707" s="73"/>
      <c r="BD707" s="73"/>
      <c r="BE707" s="73"/>
      <c r="BF707" s="73"/>
      <c r="BG707" s="73"/>
      <c r="BH707" s="73"/>
      <c r="BI707" s="73"/>
      <c r="BJ707" s="73"/>
      <c r="BK707" s="73"/>
      <c r="BL707" s="73"/>
      <c r="BM707" s="73"/>
      <c r="BN707" s="73"/>
      <c r="BO707" s="73"/>
      <c r="BP707" s="73"/>
      <c r="BQ707" s="73"/>
      <c r="BR707" s="73"/>
      <c r="BS707" s="73"/>
      <c r="BT707" s="74"/>
      <c r="BU707" s="73"/>
      <c r="BV707" s="73"/>
      <c r="BW707" s="73"/>
      <c r="BX707" s="73"/>
      <c r="BY707" s="73"/>
      <c r="BZ707" s="73"/>
      <c r="CA707" s="73"/>
      <c r="CB707" s="73"/>
      <c r="CC707" s="73"/>
      <c r="CD707" s="73"/>
      <c r="CE707" s="73"/>
    </row>
    <row r="708">
      <c r="A708" s="73"/>
      <c r="B708" s="73"/>
      <c r="C708" s="73"/>
      <c r="D708" s="74"/>
      <c r="E708" s="73"/>
      <c r="F708" s="73"/>
      <c r="G708" s="73"/>
      <c r="H708" s="73"/>
      <c r="I708" s="73"/>
      <c r="J708" s="73"/>
      <c r="K708" s="92"/>
      <c r="L708" s="73"/>
      <c r="M708" s="73"/>
      <c r="N708" s="73"/>
      <c r="O708" s="73"/>
      <c r="P708" s="73"/>
      <c r="Q708" s="75"/>
      <c r="R708" s="82"/>
      <c r="S708" s="73"/>
      <c r="T708" s="73"/>
      <c r="U708" s="73"/>
      <c r="V708" s="73"/>
      <c r="W708" s="73"/>
      <c r="X708" s="73"/>
      <c r="Y708" s="77"/>
      <c r="Z708" s="104"/>
      <c r="AA708" s="73"/>
      <c r="AB708" s="104"/>
      <c r="AC708" s="104"/>
      <c r="AD708" s="74"/>
      <c r="AE708" s="106"/>
      <c r="AF708" s="195"/>
      <c r="AG708" s="80"/>
      <c r="AH708" s="104"/>
      <c r="AI708" s="73"/>
      <c r="AJ708" s="114"/>
      <c r="AK708" s="106"/>
      <c r="AL708" s="74"/>
      <c r="AM708" s="73"/>
      <c r="AN708" s="73"/>
      <c r="AO708" s="102"/>
      <c r="AP708" s="73"/>
      <c r="AQ708" s="73"/>
      <c r="AR708" s="74"/>
      <c r="AS708" s="73"/>
      <c r="AT708" s="73"/>
      <c r="AU708" s="73"/>
      <c r="AV708" s="73"/>
      <c r="AW708" s="73"/>
      <c r="AX708" s="74"/>
      <c r="AY708" s="73"/>
      <c r="AZ708" s="73"/>
      <c r="BA708" s="74"/>
      <c r="BB708" s="73"/>
      <c r="BC708" s="73"/>
      <c r="BD708" s="73"/>
      <c r="BE708" s="73"/>
      <c r="BF708" s="73"/>
      <c r="BG708" s="73"/>
      <c r="BH708" s="73"/>
      <c r="BI708" s="73"/>
      <c r="BJ708" s="73"/>
      <c r="BK708" s="73"/>
      <c r="BL708" s="73"/>
      <c r="BM708" s="73"/>
      <c r="BN708" s="73"/>
      <c r="BO708" s="73"/>
      <c r="BP708" s="73"/>
      <c r="BQ708" s="73"/>
      <c r="BR708" s="73"/>
      <c r="BS708" s="73"/>
      <c r="BT708" s="74"/>
      <c r="BU708" s="73"/>
      <c r="BV708" s="73"/>
      <c r="BW708" s="73"/>
      <c r="BX708" s="73"/>
      <c r="BY708" s="73"/>
      <c r="BZ708" s="73"/>
      <c r="CA708" s="73"/>
      <c r="CB708" s="73"/>
      <c r="CC708" s="73"/>
      <c r="CD708" s="73"/>
      <c r="CE708" s="73"/>
    </row>
    <row r="709">
      <c r="A709" s="73"/>
      <c r="B709" s="73"/>
      <c r="C709" s="73"/>
      <c r="D709" s="74"/>
      <c r="E709" s="73"/>
      <c r="F709" s="73"/>
      <c r="G709" s="73"/>
      <c r="H709" s="73"/>
      <c r="I709" s="73"/>
      <c r="J709" s="73"/>
      <c r="K709" s="92"/>
      <c r="L709" s="73"/>
      <c r="M709" s="73"/>
      <c r="N709" s="73"/>
      <c r="O709" s="73"/>
      <c r="P709" s="73"/>
      <c r="Q709" s="75"/>
      <c r="R709" s="82"/>
      <c r="S709" s="73"/>
      <c r="T709" s="73"/>
      <c r="U709" s="73"/>
      <c r="V709" s="73"/>
      <c r="W709" s="73"/>
      <c r="X709" s="73"/>
      <c r="Y709" s="77"/>
      <c r="Z709" s="104"/>
      <c r="AA709" s="73"/>
      <c r="AB709" s="104"/>
      <c r="AC709" s="104"/>
      <c r="AD709" s="74"/>
      <c r="AE709" s="106"/>
      <c r="AF709" s="195"/>
      <c r="AG709" s="80"/>
      <c r="AH709" s="104"/>
      <c r="AI709" s="73"/>
      <c r="AJ709" s="114"/>
      <c r="AK709" s="106"/>
      <c r="AL709" s="74"/>
      <c r="AM709" s="73"/>
      <c r="AN709" s="73"/>
      <c r="AO709" s="102"/>
      <c r="AP709" s="73"/>
      <c r="AQ709" s="73"/>
      <c r="AR709" s="74"/>
      <c r="AS709" s="73"/>
      <c r="AT709" s="73"/>
      <c r="AU709" s="73"/>
      <c r="AV709" s="73"/>
      <c r="AW709" s="73"/>
      <c r="AX709" s="74"/>
      <c r="AY709" s="73"/>
      <c r="AZ709" s="73"/>
      <c r="BA709" s="74"/>
      <c r="BB709" s="73"/>
      <c r="BC709" s="73"/>
      <c r="BD709" s="73"/>
      <c r="BE709" s="73"/>
      <c r="BF709" s="73"/>
      <c r="BG709" s="73"/>
      <c r="BH709" s="73"/>
      <c r="BI709" s="73"/>
      <c r="BJ709" s="73"/>
      <c r="BK709" s="73"/>
      <c r="BL709" s="73"/>
      <c r="BM709" s="73"/>
      <c r="BN709" s="73"/>
      <c r="BO709" s="73"/>
      <c r="BP709" s="73"/>
      <c r="BQ709" s="73"/>
      <c r="BR709" s="73"/>
      <c r="BS709" s="73"/>
      <c r="BT709" s="74"/>
      <c r="BU709" s="73"/>
      <c r="BV709" s="73"/>
      <c r="BW709" s="73"/>
      <c r="BX709" s="73"/>
      <c r="BY709" s="73"/>
      <c r="BZ709" s="73"/>
      <c r="CA709" s="73"/>
      <c r="CB709" s="73"/>
      <c r="CC709" s="73"/>
      <c r="CD709" s="73"/>
      <c r="CE709" s="73"/>
    </row>
    <row r="710">
      <c r="A710" s="73"/>
      <c r="B710" s="73"/>
      <c r="C710" s="73"/>
      <c r="D710" s="74"/>
      <c r="E710" s="73"/>
      <c r="F710" s="73"/>
      <c r="G710" s="73"/>
      <c r="H710" s="73"/>
      <c r="I710" s="73"/>
      <c r="J710" s="73"/>
      <c r="K710" s="92"/>
      <c r="L710" s="73"/>
      <c r="M710" s="73"/>
      <c r="N710" s="73"/>
      <c r="O710" s="73"/>
      <c r="P710" s="73"/>
      <c r="Q710" s="75"/>
      <c r="R710" s="82"/>
      <c r="S710" s="73"/>
      <c r="T710" s="73"/>
      <c r="U710" s="73"/>
      <c r="V710" s="73"/>
      <c r="W710" s="73"/>
      <c r="X710" s="73"/>
      <c r="Y710" s="77"/>
      <c r="Z710" s="104"/>
      <c r="AA710" s="73"/>
      <c r="AB710" s="104"/>
      <c r="AC710" s="104"/>
      <c r="AD710" s="74"/>
      <c r="AE710" s="106"/>
      <c r="AF710" s="195"/>
      <c r="AG710" s="80"/>
      <c r="AH710" s="104"/>
      <c r="AI710" s="73"/>
      <c r="AJ710" s="114"/>
      <c r="AK710" s="106"/>
      <c r="AL710" s="74"/>
      <c r="AM710" s="73"/>
      <c r="AN710" s="73"/>
      <c r="AO710" s="102"/>
      <c r="AP710" s="73"/>
      <c r="AQ710" s="73"/>
      <c r="AR710" s="74"/>
      <c r="AS710" s="73"/>
      <c r="AT710" s="73"/>
      <c r="AU710" s="73"/>
      <c r="AV710" s="73"/>
      <c r="AW710" s="73"/>
      <c r="AX710" s="74"/>
      <c r="AY710" s="73"/>
      <c r="AZ710" s="73"/>
      <c r="BA710" s="74"/>
      <c r="BB710" s="73"/>
      <c r="BC710" s="73"/>
      <c r="BD710" s="73"/>
      <c r="BE710" s="73"/>
      <c r="BF710" s="73"/>
      <c r="BG710" s="73"/>
      <c r="BH710" s="73"/>
      <c r="BI710" s="73"/>
      <c r="BJ710" s="73"/>
      <c r="BK710" s="73"/>
      <c r="BL710" s="73"/>
      <c r="BM710" s="73"/>
      <c r="BN710" s="73"/>
      <c r="BO710" s="73"/>
      <c r="BP710" s="73"/>
      <c r="BQ710" s="73"/>
      <c r="BR710" s="73"/>
      <c r="BS710" s="73"/>
      <c r="BT710" s="74"/>
      <c r="BU710" s="73"/>
      <c r="BV710" s="73"/>
      <c r="BW710" s="73"/>
      <c r="BX710" s="73"/>
      <c r="BY710" s="73"/>
      <c r="BZ710" s="73"/>
      <c r="CA710" s="73"/>
      <c r="CB710" s="73"/>
      <c r="CC710" s="73"/>
      <c r="CD710" s="73"/>
      <c r="CE710" s="73"/>
    </row>
    <row r="711">
      <c r="A711" s="73"/>
      <c r="B711" s="73"/>
      <c r="C711" s="73"/>
      <c r="D711" s="74"/>
      <c r="E711" s="73"/>
      <c r="F711" s="73"/>
      <c r="G711" s="73"/>
      <c r="H711" s="73"/>
      <c r="I711" s="73"/>
      <c r="J711" s="73"/>
      <c r="K711" s="92"/>
      <c r="L711" s="73"/>
      <c r="M711" s="73"/>
      <c r="N711" s="73"/>
      <c r="O711" s="73"/>
      <c r="P711" s="73"/>
      <c r="Q711" s="75"/>
      <c r="R711" s="82"/>
      <c r="S711" s="73"/>
      <c r="T711" s="73"/>
      <c r="U711" s="73"/>
      <c r="V711" s="73"/>
      <c r="W711" s="73"/>
      <c r="X711" s="73"/>
      <c r="Y711" s="77"/>
      <c r="Z711" s="104"/>
      <c r="AA711" s="73"/>
      <c r="AB711" s="104"/>
      <c r="AC711" s="104"/>
      <c r="AD711" s="74"/>
      <c r="AE711" s="106"/>
      <c r="AF711" s="195"/>
      <c r="AG711" s="80"/>
      <c r="AH711" s="104"/>
      <c r="AI711" s="73"/>
      <c r="AJ711" s="114"/>
      <c r="AK711" s="106"/>
      <c r="AL711" s="74"/>
      <c r="AM711" s="73"/>
      <c r="AN711" s="73"/>
      <c r="AO711" s="102"/>
      <c r="AP711" s="73"/>
      <c r="AQ711" s="73"/>
      <c r="AR711" s="74"/>
      <c r="AS711" s="73"/>
      <c r="AT711" s="73"/>
      <c r="AU711" s="73"/>
      <c r="AV711" s="73"/>
      <c r="AW711" s="73"/>
      <c r="AX711" s="74"/>
      <c r="AY711" s="73"/>
      <c r="AZ711" s="73"/>
      <c r="BA711" s="74"/>
      <c r="BB711" s="73"/>
      <c r="BC711" s="73"/>
      <c r="BD711" s="73"/>
      <c r="BE711" s="73"/>
      <c r="BF711" s="73"/>
      <c r="BG711" s="73"/>
      <c r="BH711" s="73"/>
      <c r="BI711" s="73"/>
      <c r="BJ711" s="73"/>
      <c r="BK711" s="73"/>
      <c r="BL711" s="73"/>
      <c r="BM711" s="73"/>
      <c r="BN711" s="73"/>
      <c r="BO711" s="73"/>
      <c r="BP711" s="73"/>
      <c r="BQ711" s="73"/>
      <c r="BR711" s="73"/>
      <c r="BS711" s="73"/>
      <c r="BT711" s="74"/>
      <c r="BU711" s="73"/>
      <c r="BV711" s="73"/>
      <c r="BW711" s="73"/>
      <c r="BX711" s="73"/>
      <c r="BY711" s="73"/>
      <c r="BZ711" s="73"/>
      <c r="CA711" s="73"/>
      <c r="CB711" s="73"/>
      <c r="CC711" s="73"/>
      <c r="CD711" s="73"/>
      <c r="CE711" s="73"/>
    </row>
    <row r="712">
      <c r="A712" s="73"/>
      <c r="B712" s="73"/>
      <c r="C712" s="73"/>
      <c r="D712" s="74"/>
      <c r="E712" s="73"/>
      <c r="F712" s="73"/>
      <c r="G712" s="73"/>
      <c r="H712" s="73"/>
      <c r="I712" s="73"/>
      <c r="J712" s="73"/>
      <c r="K712" s="92"/>
      <c r="L712" s="73"/>
      <c r="M712" s="73"/>
      <c r="N712" s="73"/>
      <c r="O712" s="73"/>
      <c r="P712" s="73"/>
      <c r="Q712" s="75"/>
      <c r="R712" s="82"/>
      <c r="S712" s="73"/>
      <c r="T712" s="73"/>
      <c r="U712" s="73"/>
      <c r="V712" s="73"/>
      <c r="W712" s="73"/>
      <c r="X712" s="73"/>
      <c r="Y712" s="77"/>
      <c r="Z712" s="104"/>
      <c r="AA712" s="73"/>
      <c r="AB712" s="104"/>
      <c r="AC712" s="104"/>
      <c r="AD712" s="74"/>
      <c r="AE712" s="106"/>
      <c r="AF712" s="195"/>
      <c r="AG712" s="80"/>
      <c r="AH712" s="104"/>
      <c r="AI712" s="73"/>
      <c r="AJ712" s="114"/>
      <c r="AK712" s="106"/>
      <c r="AL712" s="74"/>
      <c r="AM712" s="73"/>
      <c r="AN712" s="73"/>
      <c r="AO712" s="102"/>
      <c r="AP712" s="73"/>
      <c r="AQ712" s="73"/>
      <c r="AR712" s="74"/>
      <c r="AS712" s="73"/>
      <c r="AT712" s="73"/>
      <c r="AU712" s="73"/>
      <c r="AV712" s="73"/>
      <c r="AW712" s="73"/>
      <c r="AX712" s="74"/>
      <c r="AY712" s="73"/>
      <c r="AZ712" s="73"/>
      <c r="BA712" s="74"/>
      <c r="BB712" s="73"/>
      <c r="BC712" s="73"/>
      <c r="BD712" s="73"/>
      <c r="BE712" s="73"/>
      <c r="BF712" s="73"/>
      <c r="BG712" s="73"/>
      <c r="BH712" s="73"/>
      <c r="BI712" s="73"/>
      <c r="BJ712" s="73"/>
      <c r="BK712" s="73"/>
      <c r="BL712" s="73"/>
      <c r="BM712" s="73"/>
      <c r="BN712" s="73"/>
      <c r="BO712" s="73"/>
      <c r="BP712" s="73"/>
      <c r="BQ712" s="73"/>
      <c r="BR712" s="73"/>
      <c r="BS712" s="73"/>
      <c r="BT712" s="74"/>
      <c r="BU712" s="73"/>
      <c r="BV712" s="73"/>
      <c r="BW712" s="73"/>
      <c r="BX712" s="73"/>
      <c r="BY712" s="73"/>
      <c r="BZ712" s="73"/>
      <c r="CA712" s="73"/>
      <c r="CB712" s="73"/>
      <c r="CC712" s="73"/>
      <c r="CD712" s="73"/>
      <c r="CE712" s="73"/>
    </row>
    <row r="713">
      <c r="A713" s="73"/>
      <c r="B713" s="73"/>
      <c r="C713" s="73"/>
      <c r="D713" s="74"/>
      <c r="E713" s="73"/>
      <c r="F713" s="73"/>
      <c r="G713" s="73"/>
      <c r="H713" s="73"/>
      <c r="I713" s="73"/>
      <c r="J713" s="73"/>
      <c r="K713" s="92"/>
      <c r="L713" s="73"/>
      <c r="M713" s="73"/>
      <c r="N713" s="73"/>
      <c r="O713" s="73"/>
      <c r="P713" s="73"/>
      <c r="Q713" s="75"/>
      <c r="R713" s="82"/>
      <c r="S713" s="73"/>
      <c r="T713" s="73"/>
      <c r="U713" s="73"/>
      <c r="V713" s="73"/>
      <c r="W713" s="73"/>
      <c r="X713" s="73"/>
      <c r="Y713" s="77"/>
      <c r="Z713" s="104"/>
      <c r="AA713" s="73"/>
      <c r="AB713" s="104"/>
      <c r="AC713" s="104"/>
      <c r="AD713" s="74"/>
      <c r="AE713" s="106"/>
      <c r="AF713" s="195"/>
      <c r="AG713" s="80"/>
      <c r="AH713" s="104"/>
      <c r="AI713" s="73"/>
      <c r="AJ713" s="114"/>
      <c r="AK713" s="106"/>
      <c r="AL713" s="74"/>
      <c r="AM713" s="73"/>
      <c r="AN713" s="73"/>
      <c r="AO713" s="102"/>
      <c r="AP713" s="73"/>
      <c r="AQ713" s="73"/>
      <c r="AR713" s="74"/>
      <c r="AS713" s="73"/>
      <c r="AT713" s="73"/>
      <c r="AU713" s="73"/>
      <c r="AV713" s="73"/>
      <c r="AW713" s="73"/>
      <c r="AX713" s="74"/>
      <c r="AY713" s="73"/>
      <c r="AZ713" s="73"/>
      <c r="BA713" s="74"/>
      <c r="BB713" s="73"/>
      <c r="BC713" s="73"/>
      <c r="BD713" s="73"/>
      <c r="BE713" s="73"/>
      <c r="BF713" s="73"/>
      <c r="BG713" s="73"/>
      <c r="BH713" s="73"/>
      <c r="BI713" s="73"/>
      <c r="BJ713" s="73"/>
      <c r="BK713" s="73"/>
      <c r="BL713" s="73"/>
      <c r="BM713" s="73"/>
      <c r="BN713" s="73"/>
      <c r="BO713" s="73"/>
      <c r="BP713" s="73"/>
      <c r="BQ713" s="73"/>
      <c r="BR713" s="73"/>
      <c r="BS713" s="73"/>
      <c r="BT713" s="74"/>
      <c r="BU713" s="73"/>
      <c r="BV713" s="73"/>
      <c r="BW713" s="73"/>
      <c r="BX713" s="73"/>
      <c r="BY713" s="73"/>
      <c r="BZ713" s="73"/>
      <c r="CA713" s="73"/>
      <c r="CB713" s="73"/>
      <c r="CC713" s="73"/>
      <c r="CD713" s="73"/>
      <c r="CE713" s="73"/>
    </row>
    <row r="714">
      <c r="A714" s="73"/>
      <c r="B714" s="73"/>
      <c r="C714" s="73"/>
      <c r="D714" s="74"/>
      <c r="E714" s="73"/>
      <c r="F714" s="73"/>
      <c r="G714" s="73"/>
      <c r="H714" s="73"/>
      <c r="I714" s="73"/>
      <c r="J714" s="73"/>
      <c r="K714" s="92"/>
      <c r="L714" s="73"/>
      <c r="M714" s="73"/>
      <c r="N714" s="73"/>
      <c r="O714" s="73"/>
      <c r="P714" s="73"/>
      <c r="Q714" s="75"/>
      <c r="R714" s="82"/>
      <c r="S714" s="73"/>
      <c r="T714" s="73"/>
      <c r="U714" s="73"/>
      <c r="V714" s="73"/>
      <c r="W714" s="73"/>
      <c r="X714" s="73"/>
      <c r="Y714" s="77"/>
      <c r="Z714" s="104"/>
      <c r="AA714" s="73"/>
      <c r="AB714" s="104"/>
      <c r="AC714" s="104"/>
      <c r="AD714" s="74"/>
      <c r="AE714" s="106"/>
      <c r="AF714" s="195"/>
      <c r="AG714" s="80"/>
      <c r="AH714" s="104"/>
      <c r="AI714" s="73"/>
      <c r="AJ714" s="114"/>
      <c r="AK714" s="106"/>
      <c r="AL714" s="74"/>
      <c r="AM714" s="73"/>
      <c r="AN714" s="73"/>
      <c r="AO714" s="102"/>
      <c r="AP714" s="73"/>
      <c r="AQ714" s="73"/>
      <c r="AR714" s="74"/>
      <c r="AS714" s="73"/>
      <c r="AT714" s="73"/>
      <c r="AU714" s="73"/>
      <c r="AV714" s="73"/>
      <c r="AW714" s="73"/>
      <c r="AX714" s="74"/>
      <c r="AY714" s="73"/>
      <c r="AZ714" s="73"/>
      <c r="BA714" s="74"/>
      <c r="BB714" s="73"/>
      <c r="BC714" s="73"/>
      <c r="BD714" s="73"/>
      <c r="BE714" s="73"/>
      <c r="BF714" s="73"/>
      <c r="BG714" s="73"/>
      <c r="BH714" s="73"/>
      <c r="BI714" s="73"/>
      <c r="BJ714" s="73"/>
      <c r="BK714" s="73"/>
      <c r="BL714" s="73"/>
      <c r="BM714" s="73"/>
      <c r="BN714" s="73"/>
      <c r="BO714" s="73"/>
      <c r="BP714" s="73"/>
      <c r="BQ714" s="73"/>
      <c r="BR714" s="73"/>
      <c r="BS714" s="73"/>
      <c r="BT714" s="74"/>
      <c r="BU714" s="73"/>
      <c r="BV714" s="73"/>
      <c r="BW714" s="73"/>
      <c r="BX714" s="73"/>
      <c r="BY714" s="73"/>
      <c r="BZ714" s="73"/>
      <c r="CA714" s="73"/>
      <c r="CB714" s="73"/>
      <c r="CC714" s="73"/>
      <c r="CD714" s="73"/>
      <c r="CE714" s="73"/>
    </row>
    <row r="715">
      <c r="A715" s="73"/>
      <c r="B715" s="73"/>
      <c r="C715" s="73"/>
      <c r="D715" s="74"/>
      <c r="E715" s="73"/>
      <c r="F715" s="73"/>
      <c r="G715" s="73"/>
      <c r="H715" s="73"/>
      <c r="I715" s="73"/>
      <c r="J715" s="73"/>
      <c r="K715" s="92"/>
      <c r="L715" s="73"/>
      <c r="M715" s="73"/>
      <c r="N715" s="73"/>
      <c r="O715" s="73"/>
      <c r="P715" s="73"/>
      <c r="Q715" s="75"/>
      <c r="R715" s="82"/>
      <c r="S715" s="73"/>
      <c r="T715" s="73"/>
      <c r="U715" s="73"/>
      <c r="V715" s="73"/>
      <c r="W715" s="73"/>
      <c r="X715" s="73"/>
      <c r="Y715" s="77"/>
      <c r="Z715" s="104"/>
      <c r="AA715" s="73"/>
      <c r="AB715" s="104"/>
      <c r="AC715" s="104"/>
      <c r="AD715" s="74"/>
      <c r="AE715" s="106"/>
      <c r="AF715" s="195"/>
      <c r="AG715" s="80"/>
      <c r="AH715" s="104"/>
      <c r="AI715" s="73"/>
      <c r="AJ715" s="114"/>
      <c r="AK715" s="106"/>
      <c r="AL715" s="74"/>
      <c r="AM715" s="73"/>
      <c r="AN715" s="73"/>
      <c r="AO715" s="102"/>
      <c r="AP715" s="73"/>
      <c r="AQ715" s="73"/>
      <c r="AR715" s="74"/>
      <c r="AS715" s="73"/>
      <c r="AT715" s="73"/>
      <c r="AU715" s="73"/>
      <c r="AV715" s="73"/>
      <c r="AW715" s="73"/>
      <c r="AX715" s="74"/>
      <c r="AY715" s="73"/>
      <c r="AZ715" s="73"/>
      <c r="BA715" s="74"/>
      <c r="BB715" s="73"/>
      <c r="BC715" s="73"/>
      <c r="BD715" s="73"/>
      <c r="BE715" s="73"/>
      <c r="BF715" s="73"/>
      <c r="BG715" s="73"/>
      <c r="BH715" s="73"/>
      <c r="BI715" s="73"/>
      <c r="BJ715" s="73"/>
      <c r="BK715" s="73"/>
      <c r="BL715" s="73"/>
      <c r="BM715" s="73"/>
      <c r="BN715" s="73"/>
      <c r="BO715" s="73"/>
      <c r="BP715" s="73"/>
      <c r="BQ715" s="73"/>
      <c r="BR715" s="73"/>
      <c r="BS715" s="73"/>
      <c r="BT715" s="74"/>
      <c r="BU715" s="73"/>
      <c r="BV715" s="73"/>
      <c r="BW715" s="73"/>
      <c r="BX715" s="73"/>
      <c r="BY715" s="73"/>
      <c r="BZ715" s="73"/>
      <c r="CA715" s="73"/>
      <c r="CB715" s="73"/>
      <c r="CC715" s="73"/>
      <c r="CD715" s="73"/>
      <c r="CE715" s="73"/>
    </row>
    <row r="716">
      <c r="A716" s="73"/>
      <c r="B716" s="73"/>
      <c r="C716" s="73"/>
      <c r="D716" s="74"/>
      <c r="E716" s="73"/>
      <c r="F716" s="73"/>
      <c r="G716" s="73"/>
      <c r="H716" s="73"/>
      <c r="I716" s="73"/>
      <c r="J716" s="73"/>
      <c r="K716" s="92"/>
      <c r="L716" s="73"/>
      <c r="M716" s="73"/>
      <c r="N716" s="73"/>
      <c r="O716" s="73"/>
      <c r="P716" s="73"/>
      <c r="Q716" s="75"/>
      <c r="R716" s="82"/>
      <c r="S716" s="73"/>
      <c r="T716" s="73"/>
      <c r="U716" s="73"/>
      <c r="V716" s="73"/>
      <c r="W716" s="73"/>
      <c r="X716" s="73"/>
      <c r="Y716" s="77"/>
      <c r="Z716" s="104"/>
      <c r="AA716" s="73"/>
      <c r="AB716" s="104"/>
      <c r="AC716" s="104"/>
      <c r="AD716" s="74"/>
      <c r="AE716" s="106"/>
      <c r="AF716" s="195"/>
      <c r="AG716" s="80"/>
      <c r="AH716" s="104"/>
      <c r="AI716" s="73"/>
      <c r="AJ716" s="114"/>
      <c r="AK716" s="106"/>
      <c r="AL716" s="74"/>
      <c r="AM716" s="73"/>
      <c r="AN716" s="73"/>
      <c r="AO716" s="102"/>
      <c r="AP716" s="73"/>
      <c r="AQ716" s="73"/>
      <c r="AR716" s="74"/>
      <c r="AS716" s="73"/>
      <c r="AT716" s="73"/>
      <c r="AU716" s="73"/>
      <c r="AV716" s="73"/>
      <c r="AW716" s="73"/>
      <c r="AX716" s="74"/>
      <c r="AY716" s="73"/>
      <c r="AZ716" s="73"/>
      <c r="BA716" s="74"/>
      <c r="BB716" s="73"/>
      <c r="BC716" s="73"/>
      <c r="BD716" s="73"/>
      <c r="BE716" s="73"/>
      <c r="BF716" s="73"/>
      <c r="BG716" s="73"/>
      <c r="BH716" s="73"/>
      <c r="BI716" s="73"/>
      <c r="BJ716" s="73"/>
      <c r="BK716" s="73"/>
      <c r="BL716" s="73"/>
      <c r="BM716" s="73"/>
      <c r="BN716" s="73"/>
      <c r="BO716" s="73"/>
      <c r="BP716" s="73"/>
      <c r="BQ716" s="73"/>
      <c r="BR716" s="73"/>
      <c r="BS716" s="73"/>
      <c r="BT716" s="74"/>
      <c r="BU716" s="73"/>
      <c r="BV716" s="73"/>
      <c r="BW716" s="73"/>
      <c r="BX716" s="73"/>
      <c r="BY716" s="73"/>
      <c r="BZ716" s="73"/>
      <c r="CA716" s="73"/>
      <c r="CB716" s="73"/>
      <c r="CC716" s="73"/>
      <c r="CD716" s="73"/>
      <c r="CE716" s="73"/>
    </row>
    <row r="717">
      <c r="A717" s="73"/>
      <c r="B717" s="73"/>
      <c r="C717" s="73"/>
      <c r="D717" s="74"/>
      <c r="E717" s="73"/>
      <c r="F717" s="73"/>
      <c r="G717" s="73"/>
      <c r="H717" s="73"/>
      <c r="I717" s="73"/>
      <c r="J717" s="73"/>
      <c r="K717" s="92"/>
      <c r="L717" s="73"/>
      <c r="M717" s="73"/>
      <c r="N717" s="73"/>
      <c r="O717" s="73"/>
      <c r="P717" s="73"/>
      <c r="Q717" s="75"/>
      <c r="R717" s="82"/>
      <c r="S717" s="73"/>
      <c r="T717" s="73"/>
      <c r="U717" s="73"/>
      <c r="V717" s="73"/>
      <c r="W717" s="73"/>
      <c r="X717" s="73"/>
      <c r="Y717" s="77"/>
      <c r="Z717" s="104"/>
      <c r="AA717" s="73"/>
      <c r="AB717" s="104"/>
      <c r="AC717" s="104"/>
      <c r="AD717" s="74"/>
      <c r="AE717" s="106"/>
      <c r="AF717" s="195"/>
      <c r="AG717" s="80"/>
      <c r="AH717" s="104"/>
      <c r="AI717" s="73"/>
      <c r="AJ717" s="114"/>
      <c r="AK717" s="106"/>
      <c r="AL717" s="74"/>
      <c r="AM717" s="73"/>
      <c r="AN717" s="73"/>
      <c r="AO717" s="102"/>
      <c r="AP717" s="73"/>
      <c r="AQ717" s="73"/>
      <c r="AR717" s="74"/>
      <c r="AS717" s="73"/>
      <c r="AT717" s="73"/>
      <c r="AU717" s="73"/>
      <c r="AV717" s="73"/>
      <c r="AW717" s="73"/>
      <c r="AX717" s="74"/>
      <c r="AY717" s="73"/>
      <c r="AZ717" s="73"/>
      <c r="BA717" s="74"/>
      <c r="BB717" s="73"/>
      <c r="BC717" s="73"/>
      <c r="BD717" s="73"/>
      <c r="BE717" s="73"/>
      <c r="BF717" s="73"/>
      <c r="BG717" s="73"/>
      <c r="BH717" s="73"/>
      <c r="BI717" s="73"/>
      <c r="BJ717" s="73"/>
      <c r="BK717" s="73"/>
      <c r="BL717" s="73"/>
      <c r="BM717" s="73"/>
      <c r="BN717" s="73"/>
      <c r="BO717" s="73"/>
      <c r="BP717" s="73"/>
      <c r="BQ717" s="73"/>
      <c r="BR717" s="73"/>
      <c r="BS717" s="73"/>
      <c r="BT717" s="74"/>
      <c r="BU717" s="73"/>
      <c r="BV717" s="73"/>
      <c r="BW717" s="73"/>
      <c r="BX717" s="73"/>
      <c r="BY717" s="73"/>
      <c r="BZ717" s="73"/>
      <c r="CA717" s="73"/>
      <c r="CB717" s="73"/>
      <c r="CC717" s="73"/>
      <c r="CD717" s="73"/>
      <c r="CE717" s="73"/>
    </row>
    <row r="718">
      <c r="A718" s="73"/>
      <c r="B718" s="73"/>
      <c r="C718" s="73"/>
      <c r="D718" s="74"/>
      <c r="E718" s="73"/>
      <c r="F718" s="73"/>
      <c r="G718" s="73"/>
      <c r="H718" s="73"/>
      <c r="I718" s="73"/>
      <c r="J718" s="73"/>
      <c r="K718" s="92"/>
      <c r="L718" s="73"/>
      <c r="M718" s="73"/>
      <c r="N718" s="73"/>
      <c r="O718" s="73"/>
      <c r="P718" s="73"/>
      <c r="Q718" s="75"/>
      <c r="R718" s="82"/>
      <c r="S718" s="73"/>
      <c r="T718" s="73"/>
      <c r="U718" s="73"/>
      <c r="V718" s="73"/>
      <c r="W718" s="73"/>
      <c r="X718" s="73"/>
      <c r="Y718" s="77"/>
      <c r="Z718" s="104"/>
      <c r="AA718" s="73"/>
      <c r="AB718" s="104"/>
      <c r="AC718" s="104"/>
      <c r="AD718" s="74"/>
      <c r="AE718" s="106"/>
      <c r="AF718" s="195"/>
      <c r="AG718" s="80"/>
      <c r="AH718" s="104"/>
      <c r="AI718" s="73"/>
      <c r="AJ718" s="114"/>
      <c r="AK718" s="106"/>
      <c r="AL718" s="74"/>
      <c r="AM718" s="73"/>
      <c r="AN718" s="73"/>
      <c r="AO718" s="102"/>
      <c r="AP718" s="73"/>
      <c r="AQ718" s="73"/>
      <c r="AR718" s="74"/>
      <c r="AS718" s="73"/>
      <c r="AT718" s="73"/>
      <c r="AU718" s="73"/>
      <c r="AV718" s="73"/>
      <c r="AW718" s="73"/>
      <c r="AX718" s="74"/>
      <c r="AY718" s="73"/>
      <c r="AZ718" s="73"/>
      <c r="BA718" s="74"/>
      <c r="BB718" s="73"/>
      <c r="BC718" s="73"/>
      <c r="BD718" s="73"/>
      <c r="BE718" s="73"/>
      <c r="BF718" s="73"/>
      <c r="BG718" s="73"/>
      <c r="BH718" s="73"/>
      <c r="BI718" s="73"/>
      <c r="BJ718" s="73"/>
      <c r="BK718" s="73"/>
      <c r="BL718" s="73"/>
      <c r="BM718" s="73"/>
      <c r="BN718" s="73"/>
      <c r="BO718" s="73"/>
      <c r="BP718" s="73"/>
      <c r="BQ718" s="73"/>
      <c r="BR718" s="73"/>
      <c r="BS718" s="73"/>
      <c r="BT718" s="74"/>
      <c r="BU718" s="73"/>
      <c r="BV718" s="73"/>
      <c r="BW718" s="73"/>
      <c r="BX718" s="73"/>
      <c r="BY718" s="73"/>
      <c r="BZ718" s="73"/>
      <c r="CA718" s="73"/>
      <c r="CB718" s="73"/>
      <c r="CC718" s="73"/>
      <c r="CD718" s="73"/>
      <c r="CE718" s="73"/>
    </row>
    <row r="719">
      <c r="A719" s="73"/>
      <c r="B719" s="73"/>
      <c r="C719" s="73"/>
      <c r="D719" s="74"/>
      <c r="E719" s="73"/>
      <c r="F719" s="73"/>
      <c r="G719" s="73"/>
      <c r="H719" s="73"/>
      <c r="I719" s="73"/>
      <c r="J719" s="73"/>
      <c r="K719" s="92"/>
      <c r="L719" s="73"/>
      <c r="M719" s="73"/>
      <c r="N719" s="73"/>
      <c r="O719" s="73"/>
      <c r="P719" s="73"/>
      <c r="Q719" s="75"/>
      <c r="R719" s="82"/>
      <c r="S719" s="73"/>
      <c r="T719" s="73"/>
      <c r="U719" s="73"/>
      <c r="V719" s="73"/>
      <c r="W719" s="73"/>
      <c r="X719" s="73"/>
      <c r="Y719" s="77"/>
      <c r="Z719" s="104"/>
      <c r="AA719" s="73"/>
      <c r="AB719" s="104"/>
      <c r="AC719" s="104"/>
      <c r="AD719" s="74"/>
      <c r="AE719" s="106"/>
      <c r="AF719" s="195"/>
      <c r="AG719" s="80"/>
      <c r="AH719" s="104"/>
      <c r="AI719" s="73"/>
      <c r="AJ719" s="114"/>
      <c r="AK719" s="106"/>
      <c r="AL719" s="74"/>
      <c r="AM719" s="73"/>
      <c r="AN719" s="73"/>
      <c r="AO719" s="102"/>
      <c r="AP719" s="73"/>
      <c r="AQ719" s="73"/>
      <c r="AR719" s="74"/>
      <c r="AS719" s="73"/>
      <c r="AT719" s="73"/>
      <c r="AU719" s="73"/>
      <c r="AV719" s="73"/>
      <c r="AW719" s="73"/>
      <c r="AX719" s="74"/>
      <c r="AY719" s="73"/>
      <c r="AZ719" s="73"/>
      <c r="BA719" s="74"/>
      <c r="BB719" s="73"/>
      <c r="BC719" s="73"/>
      <c r="BD719" s="73"/>
      <c r="BE719" s="73"/>
      <c r="BF719" s="73"/>
      <c r="BG719" s="73"/>
      <c r="BH719" s="73"/>
      <c r="BI719" s="73"/>
      <c r="BJ719" s="73"/>
      <c r="BK719" s="73"/>
      <c r="BL719" s="73"/>
      <c r="BM719" s="73"/>
      <c r="BN719" s="73"/>
      <c r="BO719" s="73"/>
      <c r="BP719" s="73"/>
      <c r="BQ719" s="73"/>
      <c r="BR719" s="73"/>
      <c r="BS719" s="73"/>
      <c r="BT719" s="74"/>
      <c r="BU719" s="73"/>
      <c r="BV719" s="73"/>
      <c r="BW719" s="73"/>
      <c r="BX719" s="73"/>
      <c r="BY719" s="73"/>
      <c r="BZ719" s="73"/>
      <c r="CA719" s="73"/>
      <c r="CB719" s="73"/>
      <c r="CC719" s="73"/>
      <c r="CD719" s="73"/>
      <c r="CE719" s="73"/>
    </row>
    <row r="720">
      <c r="A720" s="73"/>
      <c r="B720" s="73"/>
      <c r="C720" s="73"/>
      <c r="D720" s="74"/>
      <c r="E720" s="73"/>
      <c r="F720" s="73"/>
      <c r="G720" s="73"/>
      <c r="H720" s="73"/>
      <c r="I720" s="73"/>
      <c r="J720" s="73"/>
      <c r="K720" s="92"/>
      <c r="L720" s="73"/>
      <c r="M720" s="73"/>
      <c r="N720" s="73"/>
      <c r="O720" s="73"/>
      <c r="P720" s="73"/>
      <c r="Q720" s="75"/>
      <c r="R720" s="82"/>
      <c r="S720" s="73"/>
      <c r="T720" s="73"/>
      <c r="U720" s="73"/>
      <c r="V720" s="73"/>
      <c r="W720" s="73"/>
      <c r="X720" s="73"/>
      <c r="Y720" s="77"/>
      <c r="Z720" s="104"/>
      <c r="AA720" s="73"/>
      <c r="AB720" s="104"/>
      <c r="AC720" s="104"/>
      <c r="AD720" s="74"/>
      <c r="AE720" s="106"/>
      <c r="AF720" s="195"/>
      <c r="AG720" s="80"/>
      <c r="AH720" s="104"/>
      <c r="AI720" s="73"/>
      <c r="AJ720" s="114"/>
      <c r="AK720" s="106"/>
      <c r="AL720" s="74"/>
      <c r="AM720" s="73"/>
      <c r="AN720" s="73"/>
      <c r="AO720" s="102"/>
      <c r="AP720" s="73"/>
      <c r="AQ720" s="73"/>
      <c r="AR720" s="74"/>
      <c r="AS720" s="73"/>
      <c r="AT720" s="73"/>
      <c r="AU720" s="73"/>
      <c r="AV720" s="73"/>
      <c r="AW720" s="73"/>
      <c r="AX720" s="74"/>
      <c r="AY720" s="73"/>
      <c r="AZ720" s="73"/>
      <c r="BA720" s="74"/>
      <c r="BB720" s="73"/>
      <c r="BC720" s="73"/>
      <c r="BD720" s="73"/>
      <c r="BE720" s="73"/>
      <c r="BF720" s="73"/>
      <c r="BG720" s="73"/>
      <c r="BH720" s="73"/>
      <c r="BI720" s="73"/>
      <c r="BJ720" s="73"/>
      <c r="BK720" s="73"/>
      <c r="BL720" s="73"/>
      <c r="BM720" s="73"/>
      <c r="BN720" s="73"/>
      <c r="BO720" s="73"/>
      <c r="BP720" s="73"/>
      <c r="BQ720" s="73"/>
      <c r="BR720" s="73"/>
      <c r="BS720" s="73"/>
      <c r="BT720" s="74"/>
      <c r="BU720" s="73"/>
      <c r="BV720" s="73"/>
      <c r="BW720" s="73"/>
      <c r="BX720" s="73"/>
      <c r="BY720" s="73"/>
      <c r="BZ720" s="73"/>
      <c r="CA720" s="73"/>
      <c r="CB720" s="73"/>
      <c r="CC720" s="73"/>
      <c r="CD720" s="73"/>
      <c r="CE720" s="73"/>
    </row>
    <row r="721">
      <c r="A721" s="73"/>
      <c r="B721" s="73"/>
      <c r="C721" s="73"/>
      <c r="D721" s="74"/>
      <c r="E721" s="73"/>
      <c r="F721" s="73"/>
      <c r="G721" s="73"/>
      <c r="H721" s="73"/>
      <c r="I721" s="73"/>
      <c r="J721" s="73"/>
      <c r="K721" s="92"/>
      <c r="L721" s="73"/>
      <c r="M721" s="73"/>
      <c r="N721" s="73"/>
      <c r="O721" s="73"/>
      <c r="P721" s="73"/>
      <c r="Q721" s="75"/>
      <c r="R721" s="82"/>
      <c r="S721" s="73"/>
      <c r="T721" s="73"/>
      <c r="U721" s="73"/>
      <c r="V721" s="73"/>
      <c r="W721" s="73"/>
      <c r="X721" s="73"/>
      <c r="Y721" s="77"/>
      <c r="Z721" s="104"/>
      <c r="AA721" s="73"/>
      <c r="AB721" s="104"/>
      <c r="AC721" s="104"/>
      <c r="AD721" s="74"/>
      <c r="AE721" s="106"/>
      <c r="AF721" s="195"/>
      <c r="AG721" s="80"/>
      <c r="AH721" s="104"/>
      <c r="AI721" s="73"/>
      <c r="AJ721" s="114"/>
      <c r="AK721" s="106"/>
      <c r="AL721" s="74"/>
      <c r="AM721" s="73"/>
      <c r="AN721" s="73"/>
      <c r="AO721" s="102"/>
      <c r="AP721" s="73"/>
      <c r="AQ721" s="73"/>
      <c r="AR721" s="74"/>
      <c r="AS721" s="73"/>
      <c r="AT721" s="73"/>
      <c r="AU721" s="73"/>
      <c r="AV721" s="73"/>
      <c r="AW721" s="73"/>
      <c r="AX721" s="74"/>
      <c r="AY721" s="73"/>
      <c r="AZ721" s="73"/>
      <c r="BA721" s="74"/>
      <c r="BB721" s="73"/>
      <c r="BC721" s="73"/>
      <c r="BD721" s="73"/>
      <c r="BE721" s="73"/>
      <c r="BF721" s="73"/>
      <c r="BG721" s="73"/>
      <c r="BH721" s="73"/>
      <c r="BI721" s="73"/>
      <c r="BJ721" s="73"/>
      <c r="BK721" s="73"/>
      <c r="BL721" s="73"/>
      <c r="BM721" s="73"/>
      <c r="BN721" s="73"/>
      <c r="BO721" s="73"/>
      <c r="BP721" s="73"/>
      <c r="BQ721" s="73"/>
      <c r="BR721" s="73"/>
      <c r="BS721" s="73"/>
      <c r="BT721" s="74"/>
      <c r="BU721" s="73"/>
      <c r="BV721" s="73"/>
      <c r="BW721" s="73"/>
      <c r="BX721" s="73"/>
      <c r="BY721" s="73"/>
      <c r="BZ721" s="73"/>
      <c r="CA721" s="73"/>
      <c r="CB721" s="73"/>
      <c r="CC721" s="73"/>
      <c r="CD721" s="73"/>
      <c r="CE721" s="73"/>
    </row>
    <row r="722">
      <c r="A722" s="73"/>
      <c r="B722" s="73"/>
      <c r="C722" s="73"/>
      <c r="D722" s="74"/>
      <c r="E722" s="73"/>
      <c r="F722" s="73"/>
      <c r="G722" s="73"/>
      <c r="H722" s="73"/>
      <c r="I722" s="73"/>
      <c r="J722" s="73"/>
      <c r="K722" s="92"/>
      <c r="L722" s="73"/>
      <c r="M722" s="73"/>
      <c r="N722" s="73"/>
      <c r="O722" s="73"/>
      <c r="P722" s="73"/>
      <c r="Q722" s="75"/>
      <c r="R722" s="82"/>
      <c r="S722" s="73"/>
      <c r="T722" s="73"/>
      <c r="U722" s="73"/>
      <c r="V722" s="73"/>
      <c r="W722" s="73"/>
      <c r="X722" s="73"/>
      <c r="Y722" s="77"/>
      <c r="Z722" s="104"/>
      <c r="AA722" s="73"/>
      <c r="AB722" s="104"/>
      <c r="AC722" s="104"/>
      <c r="AD722" s="74"/>
      <c r="AE722" s="106"/>
      <c r="AF722" s="195"/>
      <c r="AG722" s="80"/>
      <c r="AH722" s="104"/>
      <c r="AI722" s="73"/>
      <c r="AJ722" s="114"/>
      <c r="AK722" s="106"/>
      <c r="AL722" s="74"/>
      <c r="AM722" s="73"/>
      <c r="AN722" s="73"/>
      <c r="AO722" s="102"/>
      <c r="AP722" s="73"/>
      <c r="AQ722" s="73"/>
      <c r="AR722" s="74"/>
      <c r="AS722" s="73"/>
      <c r="AT722" s="73"/>
      <c r="AU722" s="73"/>
      <c r="AV722" s="73"/>
      <c r="AW722" s="73"/>
      <c r="AX722" s="74"/>
      <c r="AY722" s="73"/>
      <c r="AZ722" s="73"/>
      <c r="BA722" s="74"/>
      <c r="BB722" s="73"/>
      <c r="BC722" s="73"/>
      <c r="BD722" s="73"/>
      <c r="BE722" s="73"/>
      <c r="BF722" s="73"/>
      <c r="BG722" s="73"/>
      <c r="BH722" s="73"/>
      <c r="BI722" s="73"/>
      <c r="BJ722" s="73"/>
      <c r="BK722" s="73"/>
      <c r="BL722" s="73"/>
      <c r="BM722" s="73"/>
      <c r="BN722" s="73"/>
      <c r="BO722" s="73"/>
      <c r="BP722" s="73"/>
      <c r="BQ722" s="73"/>
      <c r="BR722" s="73"/>
      <c r="BS722" s="73"/>
      <c r="BT722" s="74"/>
      <c r="BU722" s="73"/>
      <c r="BV722" s="73"/>
      <c r="BW722" s="73"/>
      <c r="BX722" s="73"/>
      <c r="BY722" s="73"/>
      <c r="BZ722" s="73"/>
      <c r="CA722" s="73"/>
      <c r="CB722" s="73"/>
      <c r="CC722" s="73"/>
      <c r="CD722" s="73"/>
      <c r="CE722" s="73"/>
    </row>
    <row r="723">
      <c r="A723" s="73"/>
      <c r="B723" s="73"/>
      <c r="C723" s="73"/>
      <c r="D723" s="74"/>
      <c r="E723" s="73"/>
      <c r="F723" s="73"/>
      <c r="G723" s="73"/>
      <c r="H723" s="73"/>
      <c r="I723" s="73"/>
      <c r="J723" s="73"/>
      <c r="K723" s="92"/>
      <c r="L723" s="73"/>
      <c r="M723" s="73"/>
      <c r="N723" s="73"/>
      <c r="O723" s="73"/>
      <c r="P723" s="73"/>
      <c r="Q723" s="75"/>
      <c r="R723" s="82"/>
      <c r="S723" s="73"/>
      <c r="T723" s="73"/>
      <c r="U723" s="73"/>
      <c r="V723" s="73"/>
      <c r="W723" s="73"/>
      <c r="X723" s="73"/>
      <c r="Y723" s="77"/>
      <c r="Z723" s="104"/>
      <c r="AA723" s="73"/>
      <c r="AB723" s="104"/>
      <c r="AC723" s="104"/>
      <c r="AD723" s="74"/>
      <c r="AE723" s="106"/>
      <c r="AF723" s="195"/>
      <c r="AG723" s="80"/>
      <c r="AH723" s="104"/>
      <c r="AI723" s="73"/>
      <c r="AJ723" s="114"/>
      <c r="AK723" s="106"/>
      <c r="AL723" s="74"/>
      <c r="AM723" s="73"/>
      <c r="AN723" s="73"/>
      <c r="AO723" s="102"/>
      <c r="AP723" s="73"/>
      <c r="AQ723" s="73"/>
      <c r="AR723" s="74"/>
      <c r="AS723" s="73"/>
      <c r="AT723" s="73"/>
      <c r="AU723" s="73"/>
      <c r="AV723" s="73"/>
      <c r="AW723" s="73"/>
      <c r="AX723" s="74"/>
      <c r="AY723" s="73"/>
      <c r="AZ723" s="73"/>
      <c r="BA723" s="74"/>
      <c r="BB723" s="73"/>
      <c r="BC723" s="73"/>
      <c r="BD723" s="73"/>
      <c r="BE723" s="73"/>
      <c r="BF723" s="73"/>
      <c r="BG723" s="73"/>
      <c r="BH723" s="73"/>
      <c r="BI723" s="73"/>
      <c r="BJ723" s="73"/>
      <c r="BK723" s="73"/>
      <c r="BL723" s="73"/>
      <c r="BM723" s="73"/>
      <c r="BN723" s="73"/>
      <c r="BO723" s="73"/>
      <c r="BP723" s="73"/>
      <c r="BQ723" s="73"/>
      <c r="BR723" s="73"/>
      <c r="BS723" s="73"/>
      <c r="BT723" s="74"/>
      <c r="BU723" s="73"/>
      <c r="BV723" s="73"/>
      <c r="BW723" s="73"/>
      <c r="BX723" s="73"/>
      <c r="BY723" s="73"/>
      <c r="BZ723" s="73"/>
      <c r="CA723" s="73"/>
      <c r="CB723" s="73"/>
      <c r="CC723" s="73"/>
      <c r="CD723" s="73"/>
      <c r="CE723" s="73"/>
    </row>
    <row r="724">
      <c r="A724" s="73"/>
      <c r="B724" s="73"/>
      <c r="C724" s="73"/>
      <c r="D724" s="74"/>
      <c r="E724" s="73"/>
      <c r="F724" s="73"/>
      <c r="G724" s="73"/>
      <c r="H724" s="73"/>
      <c r="I724" s="73"/>
      <c r="J724" s="73"/>
      <c r="K724" s="92"/>
      <c r="L724" s="73"/>
      <c r="M724" s="73"/>
      <c r="N724" s="73"/>
      <c r="O724" s="73"/>
      <c r="P724" s="73"/>
      <c r="Q724" s="75"/>
      <c r="R724" s="82"/>
      <c r="S724" s="73"/>
      <c r="T724" s="73"/>
      <c r="U724" s="73"/>
      <c r="V724" s="73"/>
      <c r="W724" s="73"/>
      <c r="X724" s="73"/>
      <c r="Y724" s="77"/>
      <c r="Z724" s="104"/>
      <c r="AA724" s="73"/>
      <c r="AB724" s="104"/>
      <c r="AC724" s="104"/>
      <c r="AD724" s="74"/>
      <c r="AE724" s="106"/>
      <c r="AF724" s="195"/>
      <c r="AG724" s="80"/>
      <c r="AH724" s="104"/>
      <c r="AI724" s="73"/>
      <c r="AJ724" s="114"/>
      <c r="AK724" s="106"/>
      <c r="AL724" s="74"/>
      <c r="AM724" s="73"/>
      <c r="AN724" s="73"/>
      <c r="AO724" s="102"/>
      <c r="AP724" s="73"/>
      <c r="AQ724" s="73"/>
      <c r="AR724" s="74"/>
      <c r="AS724" s="73"/>
      <c r="AT724" s="73"/>
      <c r="AU724" s="73"/>
      <c r="AV724" s="73"/>
      <c r="AW724" s="73"/>
      <c r="AX724" s="74"/>
      <c r="AY724" s="73"/>
      <c r="AZ724" s="73"/>
      <c r="BA724" s="74"/>
      <c r="BB724" s="73"/>
      <c r="BC724" s="73"/>
      <c r="BD724" s="73"/>
      <c r="BE724" s="73"/>
      <c r="BF724" s="73"/>
      <c r="BG724" s="73"/>
      <c r="BH724" s="73"/>
      <c r="BI724" s="73"/>
      <c r="BJ724" s="73"/>
      <c r="BK724" s="73"/>
      <c r="BL724" s="73"/>
      <c r="BM724" s="73"/>
      <c r="BN724" s="73"/>
      <c r="BO724" s="73"/>
      <c r="BP724" s="73"/>
      <c r="BQ724" s="73"/>
      <c r="BR724" s="73"/>
      <c r="BS724" s="73"/>
      <c r="BT724" s="74"/>
      <c r="BU724" s="73"/>
      <c r="BV724" s="73"/>
      <c r="BW724" s="73"/>
      <c r="BX724" s="73"/>
      <c r="BY724" s="73"/>
      <c r="BZ724" s="73"/>
      <c r="CA724" s="73"/>
      <c r="CB724" s="73"/>
      <c r="CC724" s="73"/>
      <c r="CD724" s="73"/>
      <c r="CE724" s="73"/>
    </row>
    <row r="725">
      <c r="A725" s="73"/>
      <c r="B725" s="73"/>
      <c r="C725" s="73"/>
      <c r="D725" s="74"/>
      <c r="E725" s="73"/>
      <c r="F725" s="73"/>
      <c r="G725" s="73"/>
      <c r="H725" s="73"/>
      <c r="I725" s="73"/>
      <c r="J725" s="73"/>
      <c r="K725" s="92"/>
      <c r="L725" s="73"/>
      <c r="M725" s="73"/>
      <c r="N725" s="73"/>
      <c r="O725" s="73"/>
      <c r="P725" s="73"/>
      <c r="Q725" s="75"/>
      <c r="R725" s="82"/>
      <c r="S725" s="73"/>
      <c r="T725" s="73"/>
      <c r="U725" s="73"/>
      <c r="V725" s="73"/>
      <c r="W725" s="73"/>
      <c r="X725" s="73"/>
      <c r="Y725" s="77"/>
      <c r="Z725" s="104"/>
      <c r="AA725" s="73"/>
      <c r="AB725" s="104"/>
      <c r="AC725" s="104"/>
      <c r="AD725" s="74"/>
      <c r="AE725" s="106"/>
      <c r="AF725" s="195"/>
      <c r="AG725" s="80"/>
      <c r="AH725" s="104"/>
      <c r="AI725" s="73"/>
      <c r="AJ725" s="114"/>
      <c r="AK725" s="106"/>
      <c r="AL725" s="74"/>
      <c r="AM725" s="73"/>
      <c r="AN725" s="73"/>
      <c r="AO725" s="102"/>
      <c r="AP725" s="73"/>
      <c r="AQ725" s="73"/>
      <c r="AR725" s="74"/>
      <c r="AS725" s="73"/>
      <c r="AT725" s="73"/>
      <c r="AU725" s="73"/>
      <c r="AV725" s="73"/>
      <c r="AW725" s="73"/>
      <c r="AX725" s="74"/>
      <c r="AY725" s="73"/>
      <c r="AZ725" s="73"/>
      <c r="BA725" s="74"/>
      <c r="BB725" s="73"/>
      <c r="BC725" s="73"/>
      <c r="BD725" s="73"/>
      <c r="BE725" s="73"/>
      <c r="BF725" s="73"/>
      <c r="BG725" s="73"/>
      <c r="BH725" s="73"/>
      <c r="BI725" s="73"/>
      <c r="BJ725" s="73"/>
      <c r="BK725" s="73"/>
      <c r="BL725" s="73"/>
      <c r="BM725" s="73"/>
      <c r="BN725" s="73"/>
      <c r="BO725" s="73"/>
      <c r="BP725" s="73"/>
      <c r="BQ725" s="73"/>
      <c r="BR725" s="73"/>
      <c r="BS725" s="73"/>
      <c r="BT725" s="74"/>
      <c r="BU725" s="73"/>
      <c r="BV725" s="73"/>
      <c r="BW725" s="73"/>
      <c r="BX725" s="73"/>
      <c r="BY725" s="73"/>
      <c r="BZ725" s="73"/>
      <c r="CA725" s="73"/>
      <c r="CB725" s="73"/>
      <c r="CC725" s="73"/>
      <c r="CD725" s="73"/>
      <c r="CE725" s="73"/>
    </row>
    <row r="726">
      <c r="A726" s="73"/>
      <c r="B726" s="73"/>
      <c r="C726" s="73"/>
      <c r="D726" s="74"/>
      <c r="E726" s="73"/>
      <c r="F726" s="73"/>
      <c r="G726" s="73"/>
      <c r="H726" s="73"/>
      <c r="I726" s="73"/>
      <c r="J726" s="73"/>
      <c r="K726" s="92"/>
      <c r="L726" s="73"/>
      <c r="M726" s="73"/>
      <c r="N726" s="73"/>
      <c r="O726" s="73"/>
      <c r="P726" s="73"/>
      <c r="Q726" s="75"/>
      <c r="R726" s="82"/>
      <c r="S726" s="73"/>
      <c r="T726" s="73"/>
      <c r="U726" s="73"/>
      <c r="V726" s="73"/>
      <c r="W726" s="73"/>
      <c r="X726" s="73"/>
      <c r="Y726" s="77"/>
      <c r="Z726" s="104"/>
      <c r="AA726" s="73"/>
      <c r="AB726" s="104"/>
      <c r="AC726" s="104"/>
      <c r="AD726" s="74"/>
      <c r="AE726" s="106"/>
      <c r="AF726" s="195"/>
      <c r="AG726" s="80"/>
      <c r="AH726" s="104"/>
      <c r="AI726" s="73"/>
      <c r="AJ726" s="114"/>
      <c r="AK726" s="106"/>
      <c r="AL726" s="74"/>
      <c r="AM726" s="73"/>
      <c r="AN726" s="73"/>
      <c r="AO726" s="102"/>
      <c r="AP726" s="73"/>
      <c r="AQ726" s="73"/>
      <c r="AR726" s="74"/>
      <c r="AS726" s="73"/>
      <c r="AT726" s="73"/>
      <c r="AU726" s="73"/>
      <c r="AV726" s="73"/>
      <c r="AW726" s="73"/>
      <c r="AX726" s="74"/>
      <c r="AY726" s="73"/>
      <c r="AZ726" s="73"/>
      <c r="BA726" s="74"/>
      <c r="BB726" s="73"/>
      <c r="BC726" s="73"/>
      <c r="BD726" s="73"/>
      <c r="BE726" s="73"/>
      <c r="BF726" s="73"/>
      <c r="BG726" s="73"/>
      <c r="BH726" s="73"/>
      <c r="BI726" s="73"/>
      <c r="BJ726" s="73"/>
      <c r="BK726" s="73"/>
      <c r="BL726" s="73"/>
      <c r="BM726" s="73"/>
      <c r="BN726" s="73"/>
      <c r="BO726" s="73"/>
      <c r="BP726" s="73"/>
      <c r="BQ726" s="73"/>
      <c r="BR726" s="73"/>
      <c r="BS726" s="73"/>
      <c r="BT726" s="74"/>
      <c r="BU726" s="73"/>
      <c r="BV726" s="73"/>
      <c r="BW726" s="73"/>
      <c r="BX726" s="73"/>
      <c r="BY726" s="73"/>
      <c r="BZ726" s="73"/>
      <c r="CA726" s="73"/>
      <c r="CB726" s="73"/>
      <c r="CC726" s="73"/>
      <c r="CD726" s="73"/>
      <c r="CE726" s="73"/>
    </row>
    <row r="727">
      <c r="A727" s="73"/>
      <c r="B727" s="73"/>
      <c r="C727" s="73"/>
      <c r="D727" s="74"/>
      <c r="E727" s="73"/>
      <c r="F727" s="73"/>
      <c r="G727" s="73"/>
      <c r="H727" s="73"/>
      <c r="I727" s="73"/>
      <c r="J727" s="73"/>
      <c r="K727" s="92"/>
      <c r="L727" s="73"/>
      <c r="M727" s="73"/>
      <c r="N727" s="73"/>
      <c r="O727" s="73"/>
      <c r="P727" s="73"/>
      <c r="Q727" s="75"/>
      <c r="R727" s="82"/>
      <c r="S727" s="73"/>
      <c r="T727" s="73"/>
      <c r="U727" s="73"/>
      <c r="V727" s="73"/>
      <c r="W727" s="73"/>
      <c r="X727" s="73"/>
      <c r="Y727" s="77"/>
      <c r="Z727" s="104"/>
      <c r="AA727" s="73"/>
      <c r="AB727" s="104"/>
      <c r="AC727" s="104"/>
      <c r="AD727" s="74"/>
      <c r="AE727" s="106"/>
      <c r="AF727" s="195"/>
      <c r="AG727" s="80"/>
      <c r="AH727" s="104"/>
      <c r="AI727" s="73"/>
      <c r="AJ727" s="114"/>
      <c r="AK727" s="106"/>
      <c r="AL727" s="74"/>
      <c r="AM727" s="73"/>
      <c r="AN727" s="73"/>
      <c r="AO727" s="102"/>
      <c r="AP727" s="73"/>
      <c r="AQ727" s="73"/>
      <c r="AR727" s="74"/>
      <c r="AS727" s="73"/>
      <c r="AT727" s="73"/>
      <c r="AU727" s="73"/>
      <c r="AV727" s="73"/>
      <c r="AW727" s="73"/>
      <c r="AX727" s="74"/>
      <c r="AY727" s="73"/>
      <c r="AZ727" s="73"/>
      <c r="BA727" s="74"/>
      <c r="BB727" s="73"/>
      <c r="BC727" s="73"/>
      <c r="BD727" s="73"/>
      <c r="BE727" s="73"/>
      <c r="BF727" s="73"/>
      <c r="BG727" s="73"/>
      <c r="BH727" s="73"/>
      <c r="BI727" s="73"/>
      <c r="BJ727" s="73"/>
      <c r="BK727" s="73"/>
      <c r="BL727" s="73"/>
      <c r="BM727" s="73"/>
      <c r="BN727" s="73"/>
      <c r="BO727" s="73"/>
      <c r="BP727" s="73"/>
      <c r="BQ727" s="73"/>
      <c r="BR727" s="73"/>
      <c r="BS727" s="73"/>
      <c r="BT727" s="74"/>
      <c r="BU727" s="73"/>
      <c r="BV727" s="73"/>
      <c r="BW727" s="73"/>
      <c r="BX727" s="73"/>
      <c r="BY727" s="73"/>
      <c r="BZ727" s="73"/>
      <c r="CA727" s="73"/>
      <c r="CB727" s="73"/>
      <c r="CC727" s="73"/>
      <c r="CD727" s="73"/>
      <c r="CE727" s="73"/>
    </row>
    <row r="728">
      <c r="A728" s="73"/>
      <c r="B728" s="73"/>
      <c r="C728" s="73"/>
      <c r="D728" s="74"/>
      <c r="E728" s="73"/>
      <c r="F728" s="73"/>
      <c r="G728" s="73"/>
      <c r="H728" s="73"/>
      <c r="I728" s="73"/>
      <c r="J728" s="73"/>
      <c r="K728" s="92"/>
      <c r="L728" s="73"/>
      <c r="M728" s="73"/>
      <c r="N728" s="73"/>
      <c r="O728" s="73"/>
      <c r="P728" s="73"/>
      <c r="Q728" s="75"/>
      <c r="R728" s="82"/>
      <c r="S728" s="73"/>
      <c r="T728" s="73"/>
      <c r="U728" s="73"/>
      <c r="V728" s="73"/>
      <c r="W728" s="73"/>
      <c r="X728" s="73"/>
      <c r="Y728" s="77"/>
      <c r="Z728" s="104"/>
      <c r="AA728" s="73"/>
      <c r="AB728" s="104"/>
      <c r="AC728" s="104"/>
      <c r="AD728" s="74"/>
      <c r="AE728" s="106"/>
      <c r="AF728" s="195"/>
      <c r="AG728" s="80"/>
      <c r="AH728" s="104"/>
      <c r="AI728" s="73"/>
      <c r="AJ728" s="114"/>
      <c r="AK728" s="106"/>
      <c r="AL728" s="74"/>
      <c r="AM728" s="73"/>
      <c r="AN728" s="73"/>
      <c r="AO728" s="102"/>
      <c r="AP728" s="73"/>
      <c r="AQ728" s="73"/>
      <c r="AR728" s="74"/>
      <c r="AS728" s="73"/>
      <c r="AT728" s="73"/>
      <c r="AU728" s="73"/>
      <c r="AV728" s="73"/>
      <c r="AW728" s="73"/>
      <c r="AX728" s="74"/>
      <c r="AY728" s="73"/>
      <c r="AZ728" s="73"/>
      <c r="BA728" s="74"/>
      <c r="BB728" s="73"/>
      <c r="BC728" s="73"/>
      <c r="BD728" s="73"/>
      <c r="BE728" s="73"/>
      <c r="BF728" s="73"/>
      <c r="BG728" s="73"/>
      <c r="BH728" s="73"/>
      <c r="BI728" s="73"/>
      <c r="BJ728" s="73"/>
      <c r="BK728" s="73"/>
      <c r="BL728" s="73"/>
      <c r="BM728" s="73"/>
      <c r="BN728" s="73"/>
      <c r="BO728" s="73"/>
      <c r="BP728" s="73"/>
      <c r="BQ728" s="73"/>
      <c r="BR728" s="73"/>
      <c r="BS728" s="73"/>
      <c r="BT728" s="74"/>
      <c r="BU728" s="73"/>
      <c r="BV728" s="73"/>
      <c r="BW728" s="73"/>
      <c r="BX728" s="73"/>
      <c r="BY728" s="73"/>
      <c r="BZ728" s="73"/>
      <c r="CA728" s="73"/>
      <c r="CB728" s="73"/>
      <c r="CC728" s="73"/>
      <c r="CD728" s="73"/>
      <c r="CE728" s="73"/>
    </row>
    <row r="729">
      <c r="A729" s="73"/>
      <c r="B729" s="73"/>
      <c r="C729" s="73"/>
      <c r="D729" s="74"/>
      <c r="E729" s="73"/>
      <c r="F729" s="73"/>
      <c r="G729" s="73"/>
      <c r="H729" s="73"/>
      <c r="I729" s="73"/>
      <c r="J729" s="73"/>
      <c r="K729" s="92"/>
      <c r="L729" s="73"/>
      <c r="M729" s="73"/>
      <c r="N729" s="73"/>
      <c r="O729" s="73"/>
      <c r="P729" s="73"/>
      <c r="Q729" s="75"/>
      <c r="R729" s="82"/>
      <c r="S729" s="73"/>
      <c r="T729" s="73"/>
      <c r="U729" s="73"/>
      <c r="V729" s="73"/>
      <c r="W729" s="73"/>
      <c r="X729" s="73"/>
      <c r="Y729" s="77"/>
      <c r="Z729" s="104"/>
      <c r="AA729" s="73"/>
      <c r="AB729" s="104"/>
      <c r="AC729" s="104"/>
      <c r="AD729" s="74"/>
      <c r="AE729" s="106"/>
      <c r="AF729" s="195"/>
      <c r="AG729" s="80"/>
      <c r="AH729" s="104"/>
      <c r="AI729" s="73"/>
      <c r="AJ729" s="114"/>
      <c r="AK729" s="106"/>
      <c r="AL729" s="74"/>
      <c r="AM729" s="73"/>
      <c r="AN729" s="73"/>
      <c r="AO729" s="102"/>
      <c r="AP729" s="73"/>
      <c r="AQ729" s="73"/>
      <c r="AR729" s="74"/>
      <c r="AS729" s="73"/>
      <c r="AT729" s="73"/>
      <c r="AU729" s="73"/>
      <c r="AV729" s="73"/>
      <c r="AW729" s="73"/>
      <c r="AX729" s="74"/>
      <c r="AY729" s="73"/>
      <c r="AZ729" s="73"/>
      <c r="BA729" s="74"/>
      <c r="BB729" s="73"/>
      <c r="BC729" s="73"/>
      <c r="BD729" s="73"/>
      <c r="BE729" s="73"/>
      <c r="BF729" s="73"/>
      <c r="BG729" s="73"/>
      <c r="BH729" s="73"/>
      <c r="BI729" s="73"/>
      <c r="BJ729" s="73"/>
      <c r="BK729" s="73"/>
      <c r="BL729" s="73"/>
      <c r="BM729" s="73"/>
      <c r="BN729" s="73"/>
      <c r="BO729" s="73"/>
      <c r="BP729" s="73"/>
      <c r="BQ729" s="73"/>
      <c r="BR729" s="73"/>
      <c r="BS729" s="73"/>
      <c r="BT729" s="74"/>
      <c r="BU729" s="73"/>
      <c r="BV729" s="73"/>
      <c r="BW729" s="73"/>
      <c r="BX729" s="73"/>
      <c r="BY729" s="73"/>
      <c r="BZ729" s="73"/>
      <c r="CA729" s="73"/>
      <c r="CB729" s="73"/>
      <c r="CC729" s="73"/>
      <c r="CD729" s="73"/>
      <c r="CE729" s="73"/>
    </row>
    <row r="730">
      <c r="A730" s="73"/>
      <c r="B730" s="73"/>
      <c r="C730" s="73"/>
      <c r="D730" s="74"/>
      <c r="E730" s="73"/>
      <c r="F730" s="73"/>
      <c r="G730" s="73"/>
      <c r="H730" s="73"/>
      <c r="I730" s="73"/>
      <c r="J730" s="73"/>
      <c r="K730" s="92"/>
      <c r="L730" s="73"/>
      <c r="M730" s="73"/>
      <c r="N730" s="73"/>
      <c r="O730" s="73"/>
      <c r="P730" s="73"/>
      <c r="Q730" s="75"/>
      <c r="R730" s="82"/>
      <c r="S730" s="73"/>
      <c r="T730" s="73"/>
      <c r="U730" s="73"/>
      <c r="V730" s="73"/>
      <c r="W730" s="73"/>
      <c r="X730" s="73"/>
      <c r="Y730" s="77"/>
      <c r="Z730" s="104"/>
      <c r="AA730" s="73"/>
      <c r="AB730" s="104"/>
      <c r="AC730" s="104"/>
      <c r="AD730" s="74"/>
      <c r="AE730" s="106"/>
      <c r="AF730" s="195"/>
      <c r="AG730" s="80"/>
      <c r="AH730" s="104"/>
      <c r="AI730" s="73"/>
      <c r="AJ730" s="114"/>
      <c r="AK730" s="106"/>
      <c r="AL730" s="74"/>
      <c r="AM730" s="73"/>
      <c r="AN730" s="73"/>
      <c r="AO730" s="102"/>
      <c r="AP730" s="73"/>
      <c r="AQ730" s="73"/>
      <c r="AR730" s="74"/>
      <c r="AS730" s="73"/>
      <c r="AT730" s="73"/>
      <c r="AU730" s="73"/>
      <c r="AV730" s="73"/>
      <c r="AW730" s="73"/>
      <c r="AX730" s="74"/>
      <c r="AY730" s="73"/>
      <c r="AZ730" s="73"/>
      <c r="BA730" s="74"/>
      <c r="BB730" s="73"/>
      <c r="BC730" s="73"/>
      <c r="BD730" s="73"/>
      <c r="BE730" s="73"/>
      <c r="BF730" s="73"/>
      <c r="BG730" s="73"/>
      <c r="BH730" s="73"/>
      <c r="BI730" s="73"/>
      <c r="BJ730" s="73"/>
      <c r="BK730" s="73"/>
      <c r="BL730" s="73"/>
      <c r="BM730" s="73"/>
      <c r="BN730" s="73"/>
      <c r="BO730" s="73"/>
      <c r="BP730" s="73"/>
      <c r="BQ730" s="73"/>
      <c r="BR730" s="73"/>
      <c r="BS730" s="73"/>
      <c r="BT730" s="74"/>
      <c r="BU730" s="73"/>
      <c r="BV730" s="73"/>
      <c r="BW730" s="73"/>
      <c r="BX730" s="73"/>
      <c r="BY730" s="73"/>
      <c r="BZ730" s="73"/>
      <c r="CA730" s="73"/>
      <c r="CB730" s="73"/>
      <c r="CC730" s="73"/>
      <c r="CD730" s="73"/>
      <c r="CE730" s="73"/>
    </row>
    <row r="731">
      <c r="A731" s="73"/>
      <c r="B731" s="73"/>
      <c r="C731" s="73"/>
      <c r="D731" s="74"/>
      <c r="E731" s="73"/>
      <c r="F731" s="73"/>
      <c r="G731" s="73"/>
      <c r="H731" s="73"/>
      <c r="I731" s="73"/>
      <c r="J731" s="73"/>
      <c r="K731" s="92"/>
      <c r="L731" s="73"/>
      <c r="M731" s="73"/>
      <c r="N731" s="73"/>
      <c r="O731" s="73"/>
      <c r="P731" s="73"/>
      <c r="Q731" s="75"/>
      <c r="R731" s="82"/>
      <c r="S731" s="73"/>
      <c r="T731" s="73"/>
      <c r="U731" s="73"/>
      <c r="V731" s="73"/>
      <c r="W731" s="73"/>
      <c r="X731" s="73"/>
      <c r="Y731" s="77"/>
      <c r="Z731" s="104"/>
      <c r="AA731" s="73"/>
      <c r="AB731" s="104"/>
      <c r="AC731" s="104"/>
      <c r="AD731" s="74"/>
      <c r="AE731" s="106"/>
      <c r="AF731" s="195"/>
      <c r="AG731" s="80"/>
      <c r="AH731" s="104"/>
      <c r="AI731" s="73"/>
      <c r="AJ731" s="114"/>
      <c r="AK731" s="106"/>
      <c r="AL731" s="74"/>
      <c r="AM731" s="73"/>
      <c r="AN731" s="73"/>
      <c r="AO731" s="102"/>
      <c r="AP731" s="73"/>
      <c r="AQ731" s="73"/>
      <c r="AR731" s="74"/>
      <c r="AS731" s="73"/>
      <c r="AT731" s="73"/>
      <c r="AU731" s="73"/>
      <c r="AV731" s="73"/>
      <c r="AW731" s="73"/>
      <c r="AX731" s="74"/>
      <c r="AY731" s="73"/>
      <c r="AZ731" s="73"/>
      <c r="BA731" s="74"/>
      <c r="BB731" s="73"/>
      <c r="BC731" s="73"/>
      <c r="BD731" s="73"/>
      <c r="BE731" s="73"/>
      <c r="BF731" s="73"/>
      <c r="BG731" s="73"/>
      <c r="BH731" s="73"/>
      <c r="BI731" s="73"/>
      <c r="BJ731" s="73"/>
      <c r="BK731" s="73"/>
      <c r="BL731" s="73"/>
      <c r="BM731" s="73"/>
      <c r="BN731" s="73"/>
      <c r="BO731" s="73"/>
      <c r="BP731" s="73"/>
      <c r="BQ731" s="73"/>
      <c r="BR731" s="73"/>
      <c r="BS731" s="73"/>
      <c r="BT731" s="74"/>
      <c r="BU731" s="73"/>
      <c r="BV731" s="73"/>
      <c r="BW731" s="73"/>
      <c r="BX731" s="73"/>
      <c r="BY731" s="73"/>
      <c r="BZ731" s="73"/>
      <c r="CA731" s="73"/>
      <c r="CB731" s="73"/>
      <c r="CC731" s="73"/>
      <c r="CD731" s="73"/>
      <c r="CE731" s="73"/>
    </row>
    <row r="732">
      <c r="A732" s="73"/>
      <c r="B732" s="73"/>
      <c r="C732" s="73"/>
      <c r="D732" s="74"/>
      <c r="E732" s="73"/>
      <c r="F732" s="73"/>
      <c r="G732" s="73"/>
      <c r="H732" s="73"/>
      <c r="I732" s="73"/>
      <c r="J732" s="73"/>
      <c r="K732" s="92"/>
      <c r="L732" s="73"/>
      <c r="M732" s="73"/>
      <c r="N732" s="73"/>
      <c r="O732" s="73"/>
      <c r="P732" s="73"/>
      <c r="Q732" s="75"/>
      <c r="R732" s="82"/>
      <c r="S732" s="73"/>
      <c r="T732" s="73"/>
      <c r="U732" s="73"/>
      <c r="V732" s="73"/>
      <c r="W732" s="73"/>
      <c r="X732" s="73"/>
      <c r="Y732" s="77"/>
      <c r="Z732" s="104"/>
      <c r="AA732" s="73"/>
      <c r="AB732" s="104"/>
      <c r="AC732" s="104"/>
      <c r="AD732" s="74"/>
      <c r="AE732" s="106"/>
      <c r="AF732" s="195"/>
      <c r="AG732" s="80"/>
      <c r="AH732" s="104"/>
      <c r="AI732" s="73"/>
      <c r="AJ732" s="114"/>
      <c r="AK732" s="106"/>
      <c r="AL732" s="74"/>
      <c r="AM732" s="73"/>
      <c r="AN732" s="73"/>
      <c r="AO732" s="102"/>
      <c r="AP732" s="73"/>
      <c r="AQ732" s="73"/>
      <c r="AR732" s="74"/>
      <c r="AS732" s="73"/>
      <c r="AT732" s="73"/>
      <c r="AU732" s="73"/>
      <c r="AV732" s="73"/>
      <c r="AW732" s="73"/>
      <c r="AX732" s="74"/>
      <c r="AY732" s="73"/>
      <c r="AZ732" s="73"/>
      <c r="BA732" s="74"/>
      <c r="BB732" s="73"/>
      <c r="BC732" s="73"/>
      <c r="BD732" s="73"/>
      <c r="BE732" s="73"/>
      <c r="BF732" s="73"/>
      <c r="BG732" s="73"/>
      <c r="BH732" s="73"/>
      <c r="BI732" s="73"/>
      <c r="BJ732" s="73"/>
      <c r="BK732" s="73"/>
      <c r="BL732" s="73"/>
      <c r="BM732" s="73"/>
      <c r="BN732" s="73"/>
      <c r="BO732" s="73"/>
      <c r="BP732" s="73"/>
      <c r="BQ732" s="73"/>
      <c r="BR732" s="73"/>
      <c r="BS732" s="73"/>
      <c r="BT732" s="74"/>
      <c r="BU732" s="73"/>
      <c r="BV732" s="73"/>
      <c r="BW732" s="73"/>
      <c r="BX732" s="73"/>
      <c r="BY732" s="73"/>
      <c r="BZ732" s="73"/>
      <c r="CA732" s="73"/>
      <c r="CB732" s="73"/>
      <c r="CC732" s="73"/>
      <c r="CD732" s="73"/>
      <c r="CE732" s="73"/>
    </row>
    <row r="733">
      <c r="A733" s="73"/>
      <c r="B733" s="73"/>
      <c r="C733" s="73"/>
      <c r="D733" s="74"/>
      <c r="E733" s="73"/>
      <c r="F733" s="73"/>
      <c r="G733" s="73"/>
      <c r="H733" s="73"/>
      <c r="I733" s="73"/>
      <c r="J733" s="73"/>
      <c r="K733" s="92"/>
      <c r="L733" s="73"/>
      <c r="M733" s="73"/>
      <c r="N733" s="73"/>
      <c r="O733" s="73"/>
      <c r="P733" s="73"/>
      <c r="Q733" s="75"/>
      <c r="R733" s="82"/>
      <c r="S733" s="73"/>
      <c r="T733" s="73"/>
      <c r="U733" s="73"/>
      <c r="V733" s="73"/>
      <c r="W733" s="73"/>
      <c r="X733" s="73"/>
      <c r="Y733" s="77"/>
      <c r="Z733" s="104"/>
      <c r="AA733" s="73"/>
      <c r="AB733" s="104"/>
      <c r="AC733" s="104"/>
      <c r="AD733" s="74"/>
      <c r="AE733" s="106"/>
      <c r="AF733" s="195"/>
      <c r="AG733" s="80"/>
      <c r="AH733" s="104"/>
      <c r="AI733" s="73"/>
      <c r="AJ733" s="114"/>
      <c r="AK733" s="106"/>
      <c r="AL733" s="74"/>
      <c r="AM733" s="73"/>
      <c r="AN733" s="73"/>
      <c r="AO733" s="102"/>
      <c r="AP733" s="73"/>
      <c r="AQ733" s="73"/>
      <c r="AR733" s="74"/>
      <c r="AS733" s="73"/>
      <c r="AT733" s="73"/>
      <c r="AU733" s="73"/>
      <c r="AV733" s="73"/>
      <c r="AW733" s="73"/>
      <c r="AX733" s="74"/>
      <c r="AY733" s="73"/>
      <c r="AZ733" s="73"/>
      <c r="BA733" s="74"/>
      <c r="BB733" s="73"/>
      <c r="BC733" s="73"/>
      <c r="BD733" s="73"/>
      <c r="BE733" s="73"/>
      <c r="BF733" s="73"/>
      <c r="BG733" s="73"/>
      <c r="BH733" s="73"/>
      <c r="BI733" s="73"/>
      <c r="BJ733" s="73"/>
      <c r="BK733" s="73"/>
      <c r="BL733" s="73"/>
      <c r="BM733" s="73"/>
      <c r="BN733" s="73"/>
      <c r="BO733" s="73"/>
      <c r="BP733" s="73"/>
      <c r="BQ733" s="73"/>
      <c r="BR733" s="73"/>
      <c r="BS733" s="73"/>
      <c r="BT733" s="74"/>
      <c r="BU733" s="73"/>
      <c r="BV733" s="73"/>
      <c r="BW733" s="73"/>
      <c r="BX733" s="73"/>
      <c r="BY733" s="73"/>
      <c r="BZ733" s="73"/>
      <c r="CA733" s="73"/>
      <c r="CB733" s="73"/>
      <c r="CC733" s="73"/>
      <c r="CD733" s="73"/>
      <c r="CE733" s="73"/>
    </row>
    <row r="734">
      <c r="A734" s="73"/>
      <c r="B734" s="73"/>
      <c r="C734" s="73"/>
      <c r="D734" s="74"/>
      <c r="E734" s="73"/>
      <c r="F734" s="73"/>
      <c r="G734" s="73"/>
      <c r="H734" s="73"/>
      <c r="I734" s="73"/>
      <c r="J734" s="73"/>
      <c r="K734" s="92"/>
      <c r="L734" s="73"/>
      <c r="M734" s="73"/>
      <c r="N734" s="73"/>
      <c r="O734" s="73"/>
      <c r="P734" s="73"/>
      <c r="Q734" s="75"/>
      <c r="R734" s="82"/>
      <c r="S734" s="73"/>
      <c r="T734" s="73"/>
      <c r="U734" s="73"/>
      <c r="V734" s="73"/>
      <c r="W734" s="73"/>
      <c r="X734" s="73"/>
      <c r="Y734" s="77"/>
      <c r="Z734" s="104"/>
      <c r="AA734" s="73"/>
      <c r="AB734" s="104"/>
      <c r="AC734" s="104"/>
      <c r="AD734" s="74"/>
      <c r="AE734" s="106"/>
      <c r="AF734" s="195"/>
      <c r="AG734" s="80"/>
      <c r="AH734" s="104"/>
      <c r="AI734" s="73"/>
      <c r="AJ734" s="114"/>
      <c r="AK734" s="106"/>
      <c r="AL734" s="74"/>
      <c r="AM734" s="73"/>
      <c r="AN734" s="73"/>
      <c r="AO734" s="102"/>
      <c r="AP734" s="73"/>
      <c r="AQ734" s="73"/>
      <c r="AR734" s="74"/>
      <c r="AS734" s="73"/>
      <c r="AT734" s="73"/>
      <c r="AU734" s="73"/>
      <c r="AV734" s="73"/>
      <c r="AW734" s="73"/>
      <c r="AX734" s="74"/>
      <c r="AY734" s="73"/>
      <c r="AZ734" s="73"/>
      <c r="BA734" s="74"/>
      <c r="BB734" s="73"/>
      <c r="BC734" s="73"/>
      <c r="BD734" s="73"/>
      <c r="BE734" s="73"/>
      <c r="BF734" s="73"/>
      <c r="BG734" s="73"/>
      <c r="BH734" s="73"/>
      <c r="BI734" s="73"/>
      <c r="BJ734" s="73"/>
      <c r="BK734" s="73"/>
      <c r="BL734" s="73"/>
      <c r="BM734" s="73"/>
      <c r="BN734" s="73"/>
      <c r="BO734" s="73"/>
      <c r="BP734" s="73"/>
      <c r="BQ734" s="73"/>
      <c r="BR734" s="73"/>
      <c r="BS734" s="73"/>
      <c r="BT734" s="74"/>
      <c r="BU734" s="73"/>
      <c r="BV734" s="73"/>
      <c r="BW734" s="73"/>
      <c r="BX734" s="73"/>
      <c r="BY734" s="73"/>
      <c r="BZ734" s="73"/>
      <c r="CA734" s="73"/>
      <c r="CB734" s="73"/>
      <c r="CC734" s="73"/>
      <c r="CD734" s="73"/>
      <c r="CE734" s="73"/>
    </row>
    <row r="735">
      <c r="A735" s="73"/>
      <c r="B735" s="73"/>
      <c r="C735" s="73"/>
      <c r="D735" s="74"/>
      <c r="E735" s="73"/>
      <c r="F735" s="73"/>
      <c r="G735" s="73"/>
      <c r="H735" s="73"/>
      <c r="I735" s="73"/>
      <c r="J735" s="73"/>
      <c r="K735" s="92"/>
      <c r="L735" s="73"/>
      <c r="M735" s="73"/>
      <c r="N735" s="73"/>
      <c r="O735" s="73"/>
      <c r="P735" s="73"/>
      <c r="Q735" s="75"/>
      <c r="R735" s="82"/>
      <c r="S735" s="73"/>
      <c r="T735" s="73"/>
      <c r="U735" s="73"/>
      <c r="V735" s="73"/>
      <c r="W735" s="73"/>
      <c r="X735" s="73"/>
      <c r="Y735" s="77"/>
      <c r="Z735" s="104"/>
      <c r="AA735" s="73"/>
      <c r="AB735" s="104"/>
      <c r="AC735" s="104"/>
      <c r="AD735" s="74"/>
      <c r="AE735" s="106"/>
      <c r="AF735" s="195"/>
      <c r="AG735" s="80"/>
      <c r="AH735" s="104"/>
      <c r="AI735" s="73"/>
      <c r="AJ735" s="114"/>
      <c r="AK735" s="106"/>
      <c r="AL735" s="74"/>
      <c r="AM735" s="73"/>
      <c r="AN735" s="73"/>
      <c r="AO735" s="102"/>
      <c r="AP735" s="73"/>
      <c r="AQ735" s="73"/>
      <c r="AR735" s="74"/>
      <c r="AS735" s="73"/>
      <c r="AT735" s="73"/>
      <c r="AU735" s="73"/>
      <c r="AV735" s="73"/>
      <c r="AW735" s="73"/>
      <c r="AX735" s="74"/>
      <c r="AY735" s="73"/>
      <c r="AZ735" s="73"/>
      <c r="BA735" s="74"/>
      <c r="BB735" s="73"/>
      <c r="BC735" s="73"/>
      <c r="BD735" s="73"/>
      <c r="BE735" s="73"/>
      <c r="BF735" s="73"/>
      <c r="BG735" s="73"/>
      <c r="BH735" s="73"/>
      <c r="BI735" s="73"/>
      <c r="BJ735" s="73"/>
      <c r="BK735" s="73"/>
      <c r="BL735" s="73"/>
      <c r="BM735" s="73"/>
      <c r="BN735" s="73"/>
      <c r="BO735" s="73"/>
      <c r="BP735" s="73"/>
      <c r="BQ735" s="73"/>
      <c r="BR735" s="73"/>
      <c r="BS735" s="73"/>
      <c r="BT735" s="74"/>
      <c r="BU735" s="73"/>
      <c r="BV735" s="73"/>
      <c r="BW735" s="73"/>
      <c r="BX735" s="73"/>
      <c r="BY735" s="73"/>
      <c r="BZ735" s="73"/>
      <c r="CA735" s="73"/>
      <c r="CB735" s="73"/>
      <c r="CC735" s="73"/>
      <c r="CD735" s="73"/>
      <c r="CE735" s="73"/>
    </row>
    <row r="736">
      <c r="A736" s="73"/>
      <c r="B736" s="73"/>
      <c r="C736" s="73"/>
      <c r="D736" s="74"/>
      <c r="E736" s="73"/>
      <c r="F736" s="73"/>
      <c r="G736" s="73"/>
      <c r="H736" s="73"/>
      <c r="I736" s="73"/>
      <c r="J736" s="73"/>
      <c r="K736" s="92"/>
      <c r="L736" s="73"/>
      <c r="M736" s="73"/>
      <c r="N736" s="73"/>
      <c r="O736" s="73"/>
      <c r="P736" s="73"/>
      <c r="Q736" s="75"/>
      <c r="R736" s="82"/>
      <c r="S736" s="73"/>
      <c r="T736" s="73"/>
      <c r="U736" s="73"/>
      <c r="V736" s="73"/>
      <c r="W736" s="73"/>
      <c r="X736" s="73"/>
      <c r="Y736" s="77"/>
      <c r="Z736" s="104"/>
      <c r="AA736" s="73"/>
      <c r="AB736" s="104"/>
      <c r="AC736" s="104"/>
      <c r="AD736" s="74"/>
      <c r="AE736" s="106"/>
      <c r="AF736" s="195"/>
      <c r="AG736" s="80"/>
      <c r="AH736" s="104"/>
      <c r="AI736" s="73"/>
      <c r="AJ736" s="114"/>
      <c r="AK736" s="106"/>
      <c r="AL736" s="74"/>
      <c r="AM736" s="73"/>
      <c r="AN736" s="73"/>
      <c r="AO736" s="102"/>
      <c r="AP736" s="73"/>
      <c r="AQ736" s="73"/>
      <c r="AR736" s="74"/>
      <c r="AS736" s="73"/>
      <c r="AT736" s="73"/>
      <c r="AU736" s="73"/>
      <c r="AV736" s="73"/>
      <c r="AW736" s="73"/>
      <c r="AX736" s="74"/>
      <c r="AY736" s="73"/>
      <c r="AZ736" s="73"/>
      <c r="BA736" s="74"/>
      <c r="BB736" s="73"/>
      <c r="BC736" s="73"/>
      <c r="BD736" s="73"/>
      <c r="BE736" s="73"/>
      <c r="BF736" s="73"/>
      <c r="BG736" s="73"/>
      <c r="BH736" s="73"/>
      <c r="BI736" s="73"/>
      <c r="BJ736" s="73"/>
      <c r="BK736" s="73"/>
      <c r="BL736" s="73"/>
      <c r="BM736" s="73"/>
      <c r="BN736" s="73"/>
      <c r="BO736" s="73"/>
      <c r="BP736" s="73"/>
      <c r="BQ736" s="73"/>
      <c r="BR736" s="73"/>
      <c r="BS736" s="73"/>
      <c r="BT736" s="74"/>
      <c r="BU736" s="73"/>
      <c r="BV736" s="73"/>
      <c r="BW736" s="73"/>
      <c r="BX736" s="73"/>
      <c r="BY736" s="73"/>
      <c r="BZ736" s="73"/>
      <c r="CA736" s="73"/>
      <c r="CB736" s="73"/>
      <c r="CC736" s="73"/>
      <c r="CD736" s="73"/>
      <c r="CE736" s="73"/>
    </row>
    <row r="737">
      <c r="A737" s="73"/>
      <c r="B737" s="73"/>
      <c r="C737" s="73"/>
      <c r="D737" s="74"/>
      <c r="E737" s="73"/>
      <c r="F737" s="73"/>
      <c r="G737" s="73"/>
      <c r="H737" s="73"/>
      <c r="I737" s="73"/>
      <c r="J737" s="73"/>
      <c r="K737" s="92"/>
      <c r="L737" s="73"/>
      <c r="M737" s="73"/>
      <c r="N737" s="73"/>
      <c r="O737" s="73"/>
      <c r="P737" s="73"/>
      <c r="Q737" s="75"/>
      <c r="R737" s="82"/>
      <c r="S737" s="73"/>
      <c r="T737" s="73"/>
      <c r="U737" s="73"/>
      <c r="V737" s="73"/>
      <c r="W737" s="73"/>
      <c r="X737" s="73"/>
      <c r="Y737" s="77"/>
      <c r="Z737" s="104"/>
      <c r="AA737" s="73"/>
      <c r="AB737" s="104"/>
      <c r="AC737" s="104"/>
      <c r="AD737" s="74"/>
      <c r="AE737" s="106"/>
      <c r="AF737" s="195"/>
      <c r="AG737" s="80"/>
      <c r="AH737" s="104"/>
      <c r="AI737" s="73"/>
      <c r="AJ737" s="114"/>
      <c r="AK737" s="106"/>
      <c r="AL737" s="74"/>
      <c r="AM737" s="73"/>
      <c r="AN737" s="73"/>
      <c r="AO737" s="102"/>
      <c r="AP737" s="73"/>
      <c r="AQ737" s="73"/>
      <c r="AR737" s="74"/>
      <c r="AS737" s="73"/>
      <c r="AT737" s="73"/>
      <c r="AU737" s="73"/>
      <c r="AV737" s="73"/>
      <c r="AW737" s="73"/>
      <c r="AX737" s="74"/>
      <c r="AY737" s="73"/>
      <c r="AZ737" s="73"/>
      <c r="BA737" s="74"/>
      <c r="BB737" s="73"/>
      <c r="BC737" s="73"/>
      <c r="BD737" s="73"/>
      <c r="BE737" s="73"/>
      <c r="BF737" s="73"/>
      <c r="BG737" s="73"/>
      <c r="BH737" s="73"/>
      <c r="BI737" s="73"/>
      <c r="BJ737" s="73"/>
      <c r="BK737" s="73"/>
      <c r="BL737" s="73"/>
      <c r="BM737" s="73"/>
      <c r="BN737" s="73"/>
      <c r="BO737" s="73"/>
      <c r="BP737" s="73"/>
      <c r="BQ737" s="73"/>
      <c r="BR737" s="73"/>
      <c r="BS737" s="73"/>
      <c r="BT737" s="74"/>
      <c r="BU737" s="73"/>
      <c r="BV737" s="73"/>
      <c r="BW737" s="73"/>
      <c r="BX737" s="73"/>
      <c r="BY737" s="73"/>
      <c r="BZ737" s="73"/>
      <c r="CA737" s="73"/>
      <c r="CB737" s="73"/>
      <c r="CC737" s="73"/>
      <c r="CD737" s="73"/>
      <c r="CE737" s="73"/>
    </row>
    <row r="738">
      <c r="A738" s="73"/>
      <c r="B738" s="73"/>
      <c r="C738" s="73"/>
      <c r="D738" s="74"/>
      <c r="E738" s="73"/>
      <c r="F738" s="73"/>
      <c r="G738" s="73"/>
      <c r="H738" s="73"/>
      <c r="I738" s="73"/>
      <c r="J738" s="73"/>
      <c r="K738" s="92"/>
      <c r="L738" s="73"/>
      <c r="M738" s="73"/>
      <c r="N738" s="73"/>
      <c r="O738" s="73"/>
      <c r="P738" s="73"/>
      <c r="Q738" s="75"/>
      <c r="R738" s="82"/>
      <c r="S738" s="73"/>
      <c r="T738" s="73"/>
      <c r="U738" s="73"/>
      <c r="V738" s="73"/>
      <c r="W738" s="73"/>
      <c r="X738" s="73"/>
      <c r="Y738" s="77"/>
      <c r="Z738" s="104"/>
      <c r="AA738" s="73"/>
      <c r="AB738" s="104"/>
      <c r="AC738" s="104"/>
      <c r="AD738" s="74"/>
      <c r="AE738" s="106"/>
      <c r="AF738" s="195"/>
      <c r="AG738" s="80"/>
      <c r="AH738" s="104"/>
      <c r="AI738" s="73"/>
      <c r="AJ738" s="114"/>
      <c r="AK738" s="106"/>
      <c r="AL738" s="74"/>
      <c r="AM738" s="73"/>
      <c r="AN738" s="73"/>
      <c r="AO738" s="102"/>
      <c r="AP738" s="73"/>
      <c r="AQ738" s="73"/>
      <c r="AR738" s="74"/>
      <c r="AS738" s="73"/>
      <c r="AT738" s="73"/>
      <c r="AU738" s="73"/>
      <c r="AV738" s="73"/>
      <c r="AW738" s="73"/>
      <c r="AX738" s="74"/>
      <c r="AY738" s="73"/>
      <c r="AZ738" s="73"/>
      <c r="BA738" s="74"/>
      <c r="BB738" s="73"/>
      <c r="BC738" s="73"/>
      <c r="BD738" s="73"/>
      <c r="BE738" s="73"/>
      <c r="BF738" s="73"/>
      <c r="BG738" s="73"/>
      <c r="BH738" s="73"/>
      <c r="BI738" s="73"/>
      <c r="BJ738" s="73"/>
      <c r="BK738" s="73"/>
      <c r="BL738" s="73"/>
      <c r="BM738" s="73"/>
      <c r="BN738" s="73"/>
      <c r="BO738" s="73"/>
      <c r="BP738" s="73"/>
      <c r="BQ738" s="73"/>
      <c r="BR738" s="73"/>
      <c r="BS738" s="73"/>
      <c r="BT738" s="74"/>
      <c r="BU738" s="73"/>
      <c r="BV738" s="73"/>
      <c r="BW738" s="73"/>
      <c r="BX738" s="73"/>
      <c r="BY738" s="73"/>
      <c r="BZ738" s="73"/>
      <c r="CA738" s="73"/>
      <c r="CB738" s="73"/>
      <c r="CC738" s="73"/>
      <c r="CD738" s="73"/>
      <c r="CE738" s="73"/>
    </row>
    <row r="739">
      <c r="A739" s="73"/>
      <c r="B739" s="73"/>
      <c r="C739" s="73"/>
      <c r="D739" s="74"/>
      <c r="E739" s="73"/>
      <c r="F739" s="73"/>
      <c r="G739" s="73"/>
      <c r="H739" s="73"/>
      <c r="I739" s="73"/>
      <c r="J739" s="73"/>
      <c r="K739" s="92"/>
      <c r="L739" s="73"/>
      <c r="M739" s="73"/>
      <c r="N739" s="73"/>
      <c r="O739" s="73"/>
      <c r="P739" s="73"/>
      <c r="Q739" s="75"/>
      <c r="R739" s="82"/>
      <c r="S739" s="73"/>
      <c r="T739" s="73"/>
      <c r="U739" s="73"/>
      <c r="V739" s="73"/>
      <c r="W739" s="73"/>
      <c r="X739" s="73"/>
      <c r="Y739" s="77"/>
      <c r="Z739" s="104"/>
      <c r="AA739" s="73"/>
      <c r="AB739" s="104"/>
      <c r="AC739" s="104"/>
      <c r="AD739" s="74"/>
      <c r="AE739" s="106"/>
      <c r="AF739" s="195"/>
      <c r="AG739" s="80"/>
      <c r="AH739" s="104"/>
      <c r="AI739" s="73"/>
      <c r="AJ739" s="114"/>
      <c r="AK739" s="106"/>
      <c r="AL739" s="74"/>
      <c r="AM739" s="73"/>
      <c r="AN739" s="73"/>
      <c r="AO739" s="102"/>
      <c r="AP739" s="73"/>
      <c r="AQ739" s="73"/>
      <c r="AR739" s="74"/>
      <c r="AS739" s="73"/>
      <c r="AT739" s="73"/>
      <c r="AU739" s="73"/>
      <c r="AV739" s="73"/>
      <c r="AW739" s="73"/>
      <c r="AX739" s="74"/>
      <c r="AY739" s="73"/>
      <c r="AZ739" s="73"/>
      <c r="BA739" s="74"/>
      <c r="BB739" s="73"/>
      <c r="BC739" s="73"/>
      <c r="BD739" s="73"/>
      <c r="BE739" s="73"/>
      <c r="BF739" s="73"/>
      <c r="BG739" s="73"/>
      <c r="BH739" s="73"/>
      <c r="BI739" s="73"/>
      <c r="BJ739" s="73"/>
      <c r="BK739" s="73"/>
      <c r="BL739" s="73"/>
      <c r="BM739" s="73"/>
      <c r="BN739" s="73"/>
      <c r="BO739" s="73"/>
      <c r="BP739" s="73"/>
      <c r="BQ739" s="73"/>
      <c r="BR739" s="73"/>
      <c r="BS739" s="73"/>
      <c r="BT739" s="74"/>
      <c r="BU739" s="73"/>
      <c r="BV739" s="73"/>
      <c r="BW739" s="73"/>
      <c r="BX739" s="73"/>
      <c r="BY739" s="73"/>
      <c r="BZ739" s="73"/>
      <c r="CA739" s="73"/>
      <c r="CB739" s="73"/>
      <c r="CC739" s="73"/>
      <c r="CD739" s="73"/>
      <c r="CE739" s="73"/>
    </row>
    <row r="740">
      <c r="A740" s="73"/>
      <c r="B740" s="73"/>
      <c r="C740" s="73"/>
      <c r="D740" s="74"/>
      <c r="E740" s="73"/>
      <c r="F740" s="73"/>
      <c r="G740" s="73"/>
      <c r="H740" s="73"/>
      <c r="I740" s="73"/>
      <c r="J740" s="73"/>
      <c r="K740" s="92"/>
      <c r="L740" s="73"/>
      <c r="M740" s="73"/>
      <c r="N740" s="73"/>
      <c r="O740" s="73"/>
      <c r="P740" s="73"/>
      <c r="Q740" s="75"/>
      <c r="R740" s="82"/>
      <c r="S740" s="73"/>
      <c r="T740" s="73"/>
      <c r="U740" s="73"/>
      <c r="V740" s="73"/>
      <c r="W740" s="73"/>
      <c r="X740" s="73"/>
      <c r="Y740" s="77"/>
      <c r="Z740" s="104"/>
      <c r="AA740" s="73"/>
      <c r="AB740" s="104"/>
      <c r="AC740" s="104"/>
      <c r="AD740" s="74"/>
      <c r="AE740" s="106"/>
      <c r="AF740" s="195"/>
      <c r="AG740" s="80"/>
      <c r="AH740" s="104"/>
      <c r="AI740" s="73"/>
      <c r="AJ740" s="114"/>
      <c r="AK740" s="106"/>
      <c r="AL740" s="74"/>
      <c r="AM740" s="73"/>
      <c r="AN740" s="73"/>
      <c r="AO740" s="102"/>
      <c r="AP740" s="73"/>
      <c r="AQ740" s="73"/>
      <c r="AR740" s="74"/>
      <c r="AS740" s="73"/>
      <c r="AT740" s="73"/>
      <c r="AU740" s="73"/>
      <c r="AV740" s="73"/>
      <c r="AW740" s="73"/>
      <c r="AX740" s="74"/>
      <c r="AY740" s="73"/>
      <c r="AZ740" s="73"/>
      <c r="BA740" s="74"/>
      <c r="BB740" s="73"/>
      <c r="BC740" s="73"/>
      <c r="BD740" s="73"/>
      <c r="BE740" s="73"/>
      <c r="BF740" s="73"/>
      <c r="BG740" s="73"/>
      <c r="BH740" s="73"/>
      <c r="BI740" s="73"/>
      <c r="BJ740" s="73"/>
      <c r="BK740" s="73"/>
      <c r="BL740" s="73"/>
      <c r="BM740" s="73"/>
      <c r="BN740" s="73"/>
      <c r="BO740" s="73"/>
      <c r="BP740" s="73"/>
      <c r="BQ740" s="73"/>
      <c r="BR740" s="73"/>
      <c r="BS740" s="73"/>
      <c r="BT740" s="74"/>
      <c r="BU740" s="73"/>
      <c r="BV740" s="73"/>
      <c r="BW740" s="73"/>
      <c r="BX740" s="73"/>
      <c r="BY740" s="73"/>
      <c r="BZ740" s="73"/>
      <c r="CA740" s="73"/>
      <c r="CB740" s="73"/>
      <c r="CC740" s="73"/>
      <c r="CD740" s="73"/>
      <c r="CE740" s="73"/>
    </row>
    <row r="741">
      <c r="A741" s="73"/>
      <c r="B741" s="73"/>
      <c r="C741" s="73"/>
      <c r="D741" s="74"/>
      <c r="E741" s="73"/>
      <c r="F741" s="73"/>
      <c r="G741" s="73"/>
      <c r="H741" s="73"/>
      <c r="I741" s="73"/>
      <c r="J741" s="73"/>
      <c r="K741" s="92"/>
      <c r="L741" s="73"/>
      <c r="M741" s="73"/>
      <c r="N741" s="73"/>
      <c r="O741" s="73"/>
      <c r="P741" s="73"/>
      <c r="Q741" s="75"/>
      <c r="R741" s="82"/>
      <c r="S741" s="73"/>
      <c r="T741" s="73"/>
      <c r="U741" s="73"/>
      <c r="V741" s="73"/>
      <c r="W741" s="73"/>
      <c r="X741" s="73"/>
      <c r="Y741" s="77"/>
      <c r="Z741" s="104"/>
      <c r="AA741" s="73"/>
      <c r="AB741" s="104"/>
      <c r="AC741" s="104"/>
      <c r="AD741" s="74"/>
      <c r="AE741" s="106"/>
      <c r="AF741" s="195"/>
      <c r="AG741" s="80"/>
      <c r="AH741" s="104"/>
      <c r="AI741" s="73"/>
      <c r="AJ741" s="114"/>
      <c r="AK741" s="106"/>
      <c r="AL741" s="74"/>
      <c r="AM741" s="73"/>
      <c r="AN741" s="73"/>
      <c r="AO741" s="102"/>
      <c r="AP741" s="73"/>
      <c r="AQ741" s="73"/>
      <c r="AR741" s="74"/>
      <c r="AS741" s="73"/>
      <c r="AT741" s="73"/>
      <c r="AU741" s="73"/>
      <c r="AV741" s="73"/>
      <c r="AW741" s="73"/>
      <c r="AX741" s="74"/>
      <c r="AY741" s="73"/>
      <c r="AZ741" s="73"/>
      <c r="BA741" s="74"/>
      <c r="BB741" s="73"/>
      <c r="BC741" s="73"/>
      <c r="BD741" s="73"/>
      <c r="BE741" s="73"/>
      <c r="BF741" s="73"/>
      <c r="BG741" s="73"/>
      <c r="BH741" s="73"/>
      <c r="BI741" s="73"/>
      <c r="BJ741" s="73"/>
      <c r="BK741" s="73"/>
      <c r="BL741" s="73"/>
      <c r="BM741" s="73"/>
      <c r="BN741" s="73"/>
      <c r="BO741" s="73"/>
      <c r="BP741" s="73"/>
      <c r="BQ741" s="73"/>
      <c r="BR741" s="73"/>
      <c r="BS741" s="73"/>
      <c r="BT741" s="74"/>
      <c r="BU741" s="73"/>
      <c r="BV741" s="73"/>
      <c r="BW741" s="73"/>
      <c r="BX741" s="73"/>
      <c r="BY741" s="73"/>
      <c r="BZ741" s="73"/>
      <c r="CA741" s="73"/>
      <c r="CB741" s="73"/>
      <c r="CC741" s="73"/>
      <c r="CD741" s="73"/>
      <c r="CE741" s="73"/>
    </row>
    <row r="742">
      <c r="A742" s="73"/>
      <c r="B742" s="73"/>
      <c r="C742" s="73"/>
      <c r="D742" s="74"/>
      <c r="E742" s="73"/>
      <c r="F742" s="73"/>
      <c r="G742" s="73"/>
      <c r="H742" s="73"/>
      <c r="I742" s="73"/>
      <c r="J742" s="73"/>
      <c r="K742" s="92"/>
      <c r="L742" s="73"/>
      <c r="M742" s="73"/>
      <c r="N742" s="73"/>
      <c r="O742" s="73"/>
      <c r="P742" s="73"/>
      <c r="Q742" s="75"/>
      <c r="R742" s="82"/>
      <c r="S742" s="73"/>
      <c r="T742" s="73"/>
      <c r="U742" s="73"/>
      <c r="V742" s="73"/>
      <c r="W742" s="73"/>
      <c r="X742" s="73"/>
      <c r="Y742" s="77"/>
      <c r="Z742" s="104"/>
      <c r="AA742" s="73"/>
      <c r="AB742" s="104"/>
      <c r="AC742" s="104"/>
      <c r="AD742" s="74"/>
      <c r="AE742" s="106"/>
      <c r="AF742" s="195"/>
      <c r="AG742" s="80"/>
      <c r="AH742" s="104"/>
      <c r="AI742" s="73"/>
      <c r="AJ742" s="114"/>
      <c r="AK742" s="106"/>
      <c r="AL742" s="74"/>
      <c r="AM742" s="73"/>
      <c r="AN742" s="73"/>
      <c r="AO742" s="102"/>
      <c r="AP742" s="73"/>
      <c r="AQ742" s="73"/>
      <c r="AR742" s="74"/>
      <c r="AS742" s="73"/>
      <c r="AT742" s="73"/>
      <c r="AU742" s="73"/>
      <c r="AV742" s="73"/>
      <c r="AW742" s="73"/>
      <c r="AX742" s="74"/>
      <c r="AY742" s="73"/>
      <c r="AZ742" s="73"/>
      <c r="BA742" s="74"/>
      <c r="BB742" s="73"/>
      <c r="BC742" s="73"/>
      <c r="BD742" s="73"/>
      <c r="BE742" s="73"/>
      <c r="BF742" s="73"/>
      <c r="BG742" s="73"/>
      <c r="BH742" s="73"/>
      <c r="BI742" s="73"/>
      <c r="BJ742" s="73"/>
      <c r="BK742" s="73"/>
      <c r="BL742" s="73"/>
      <c r="BM742" s="73"/>
      <c r="BN742" s="73"/>
      <c r="BO742" s="73"/>
      <c r="BP742" s="73"/>
      <c r="BQ742" s="73"/>
      <c r="BR742" s="73"/>
      <c r="BS742" s="73"/>
      <c r="BT742" s="74"/>
      <c r="BU742" s="73"/>
      <c r="BV742" s="73"/>
      <c r="BW742" s="73"/>
      <c r="BX742" s="73"/>
      <c r="BY742" s="73"/>
      <c r="BZ742" s="73"/>
      <c r="CA742" s="73"/>
      <c r="CB742" s="73"/>
      <c r="CC742" s="73"/>
      <c r="CD742" s="73"/>
      <c r="CE742" s="73"/>
    </row>
    <row r="743">
      <c r="A743" s="73"/>
      <c r="B743" s="73"/>
      <c r="C743" s="73"/>
      <c r="D743" s="74"/>
      <c r="E743" s="73"/>
      <c r="F743" s="73"/>
      <c r="G743" s="73"/>
      <c r="H743" s="73"/>
      <c r="I743" s="73"/>
      <c r="J743" s="73"/>
      <c r="K743" s="92"/>
      <c r="L743" s="73"/>
      <c r="M743" s="73"/>
      <c r="N743" s="73"/>
      <c r="O743" s="73"/>
      <c r="P743" s="73"/>
      <c r="Q743" s="75"/>
      <c r="R743" s="82"/>
      <c r="S743" s="73"/>
      <c r="T743" s="73"/>
      <c r="U743" s="73"/>
      <c r="V743" s="73"/>
      <c r="W743" s="73"/>
      <c r="X743" s="73"/>
      <c r="Y743" s="77"/>
      <c r="Z743" s="104"/>
      <c r="AA743" s="73"/>
      <c r="AB743" s="104"/>
      <c r="AC743" s="104"/>
      <c r="AD743" s="74"/>
      <c r="AE743" s="106"/>
      <c r="AF743" s="195"/>
      <c r="AG743" s="80"/>
      <c r="AH743" s="104"/>
      <c r="AI743" s="73"/>
      <c r="AJ743" s="114"/>
      <c r="AK743" s="106"/>
      <c r="AL743" s="74"/>
      <c r="AM743" s="73"/>
      <c r="AN743" s="73"/>
      <c r="AO743" s="102"/>
      <c r="AP743" s="73"/>
      <c r="AQ743" s="73"/>
      <c r="AR743" s="74"/>
      <c r="AS743" s="73"/>
      <c r="AT743" s="73"/>
      <c r="AU743" s="73"/>
      <c r="AV743" s="73"/>
      <c r="AW743" s="73"/>
      <c r="AX743" s="74"/>
      <c r="AY743" s="73"/>
      <c r="AZ743" s="73"/>
      <c r="BA743" s="74"/>
      <c r="BB743" s="73"/>
      <c r="BC743" s="73"/>
      <c r="BD743" s="73"/>
      <c r="BE743" s="73"/>
      <c r="BF743" s="73"/>
      <c r="BG743" s="73"/>
      <c r="BH743" s="73"/>
      <c r="BI743" s="73"/>
      <c r="BJ743" s="73"/>
      <c r="BK743" s="73"/>
      <c r="BL743" s="73"/>
      <c r="BM743" s="73"/>
      <c r="BN743" s="73"/>
      <c r="BO743" s="73"/>
      <c r="BP743" s="73"/>
      <c r="BQ743" s="73"/>
      <c r="BR743" s="73"/>
      <c r="BS743" s="73"/>
      <c r="BT743" s="74"/>
      <c r="BU743" s="73"/>
      <c r="BV743" s="73"/>
      <c r="BW743" s="73"/>
      <c r="BX743" s="73"/>
      <c r="BY743" s="73"/>
      <c r="BZ743" s="73"/>
      <c r="CA743" s="73"/>
      <c r="CB743" s="73"/>
      <c r="CC743" s="73"/>
      <c r="CD743" s="73"/>
      <c r="CE743" s="73"/>
    </row>
    <row r="744">
      <c r="A744" s="73"/>
      <c r="B744" s="73"/>
      <c r="C744" s="73"/>
      <c r="D744" s="74"/>
      <c r="E744" s="73"/>
      <c r="F744" s="73"/>
      <c r="G744" s="73"/>
      <c r="H744" s="73"/>
      <c r="I744" s="73"/>
      <c r="J744" s="73"/>
      <c r="K744" s="92"/>
      <c r="L744" s="73"/>
      <c r="M744" s="73"/>
      <c r="N744" s="73"/>
      <c r="O744" s="73"/>
      <c r="P744" s="73"/>
      <c r="Q744" s="75"/>
      <c r="R744" s="82"/>
      <c r="S744" s="73"/>
      <c r="T744" s="73"/>
      <c r="U744" s="73"/>
      <c r="V744" s="73"/>
      <c r="W744" s="73"/>
      <c r="X744" s="73"/>
      <c r="Y744" s="77"/>
      <c r="Z744" s="104"/>
      <c r="AA744" s="73"/>
      <c r="AB744" s="104"/>
      <c r="AC744" s="104"/>
      <c r="AD744" s="74"/>
      <c r="AE744" s="106"/>
      <c r="AF744" s="195"/>
      <c r="AG744" s="80"/>
      <c r="AH744" s="104"/>
      <c r="AI744" s="73"/>
      <c r="AJ744" s="114"/>
      <c r="AK744" s="106"/>
      <c r="AL744" s="74"/>
      <c r="AM744" s="73"/>
      <c r="AN744" s="73"/>
      <c r="AO744" s="102"/>
      <c r="AP744" s="73"/>
      <c r="AQ744" s="73"/>
      <c r="AR744" s="74"/>
      <c r="AS744" s="73"/>
      <c r="AT744" s="73"/>
      <c r="AU744" s="73"/>
      <c r="AV744" s="73"/>
      <c r="AW744" s="73"/>
      <c r="AX744" s="74"/>
      <c r="AY744" s="73"/>
      <c r="AZ744" s="73"/>
      <c r="BA744" s="74"/>
      <c r="BB744" s="73"/>
      <c r="BC744" s="73"/>
      <c r="BD744" s="73"/>
      <c r="BE744" s="73"/>
      <c r="BF744" s="73"/>
      <c r="BG744" s="73"/>
      <c r="BH744" s="73"/>
      <c r="BI744" s="73"/>
      <c r="BJ744" s="73"/>
      <c r="BK744" s="73"/>
      <c r="BL744" s="73"/>
      <c r="BM744" s="73"/>
      <c r="BN744" s="73"/>
      <c r="BO744" s="73"/>
      <c r="BP744" s="73"/>
      <c r="BQ744" s="73"/>
      <c r="BR744" s="73"/>
      <c r="BS744" s="73"/>
      <c r="BT744" s="74"/>
      <c r="BU744" s="73"/>
      <c r="BV744" s="73"/>
      <c r="BW744" s="73"/>
      <c r="BX744" s="73"/>
      <c r="BY744" s="73"/>
      <c r="BZ744" s="73"/>
      <c r="CA744" s="73"/>
      <c r="CB744" s="73"/>
      <c r="CC744" s="73"/>
      <c r="CD744" s="73"/>
      <c r="CE744" s="73"/>
    </row>
    <row r="745">
      <c r="A745" s="131"/>
      <c r="B745" s="73"/>
      <c r="C745" s="73"/>
      <c r="D745" s="74"/>
      <c r="E745" s="73"/>
      <c r="F745" s="73"/>
      <c r="G745" s="73"/>
      <c r="H745" s="73"/>
      <c r="I745" s="73"/>
      <c r="J745" s="73"/>
      <c r="K745" s="92"/>
      <c r="L745" s="73"/>
      <c r="M745" s="73"/>
      <c r="N745" s="73"/>
      <c r="O745" s="73"/>
      <c r="P745" s="73"/>
      <c r="Q745" s="75"/>
      <c r="R745" s="82"/>
      <c r="S745" s="73"/>
      <c r="T745" s="73"/>
      <c r="U745" s="73"/>
      <c r="V745" s="73"/>
      <c r="W745" s="73"/>
      <c r="X745" s="73"/>
      <c r="Y745" s="77"/>
      <c r="Z745" s="104"/>
      <c r="AA745" s="73"/>
      <c r="AB745" s="104"/>
      <c r="AC745" s="104"/>
      <c r="AD745" s="74"/>
      <c r="AE745" s="106"/>
      <c r="AF745" s="195"/>
      <c r="AG745" s="80"/>
      <c r="AH745" s="104"/>
      <c r="AI745" s="73"/>
      <c r="AJ745" s="114"/>
      <c r="AK745" s="106"/>
      <c r="AL745" s="74"/>
      <c r="AM745" s="73"/>
      <c r="AN745" s="73"/>
      <c r="AO745" s="102"/>
      <c r="AP745" s="73"/>
      <c r="AQ745" s="73"/>
      <c r="AR745" s="74"/>
      <c r="AS745" s="73"/>
      <c r="AT745" s="73"/>
      <c r="AU745" s="73"/>
      <c r="AV745" s="73"/>
      <c r="AW745" s="73"/>
      <c r="AX745" s="74"/>
      <c r="AY745" s="73"/>
      <c r="AZ745" s="73"/>
      <c r="BA745" s="74"/>
      <c r="BB745" s="73"/>
      <c r="BC745" s="73"/>
      <c r="BD745" s="73"/>
      <c r="BE745" s="73"/>
      <c r="BF745" s="73"/>
      <c r="BG745" s="73"/>
      <c r="BH745" s="73"/>
      <c r="BI745" s="73"/>
      <c r="BJ745" s="73"/>
      <c r="BK745" s="73"/>
      <c r="BL745" s="73"/>
      <c r="BM745" s="73"/>
      <c r="BN745" s="73"/>
      <c r="BO745" s="73"/>
      <c r="BP745" s="73"/>
      <c r="BQ745" s="73"/>
      <c r="BR745" s="73"/>
      <c r="BS745" s="73"/>
      <c r="BT745" s="74"/>
      <c r="BU745" s="73"/>
      <c r="BV745" s="73"/>
      <c r="BW745" s="73"/>
      <c r="BX745" s="73"/>
      <c r="BY745" s="73"/>
      <c r="BZ745" s="73"/>
      <c r="CA745" s="73"/>
      <c r="CB745" s="73"/>
      <c r="CC745" s="73"/>
      <c r="CD745" s="73"/>
      <c r="CE745" s="73"/>
    </row>
    <row r="746">
      <c r="A746" s="131"/>
      <c r="B746" s="73"/>
      <c r="C746" s="73"/>
      <c r="D746" s="74"/>
      <c r="E746" s="73"/>
      <c r="F746" s="73"/>
      <c r="G746" s="73"/>
      <c r="H746" s="73"/>
      <c r="I746" s="73"/>
      <c r="J746" s="73"/>
      <c r="K746" s="92"/>
      <c r="L746" s="73"/>
      <c r="M746" s="73"/>
      <c r="N746" s="73"/>
      <c r="O746" s="73"/>
      <c r="P746" s="73"/>
      <c r="Q746" s="75"/>
      <c r="R746" s="82"/>
      <c r="S746" s="73"/>
      <c r="T746" s="73"/>
      <c r="U746" s="73"/>
      <c r="V746" s="73"/>
      <c r="W746" s="73"/>
      <c r="X746" s="73"/>
      <c r="Y746" s="77"/>
      <c r="Z746" s="104"/>
      <c r="AA746" s="73"/>
      <c r="AB746" s="104"/>
      <c r="AC746" s="104"/>
      <c r="AD746" s="74"/>
      <c r="AE746" s="106"/>
      <c r="AF746" s="195"/>
      <c r="AG746" s="80"/>
      <c r="AH746" s="104"/>
      <c r="AI746" s="73"/>
      <c r="AJ746" s="114"/>
      <c r="AK746" s="106"/>
      <c r="AL746" s="74"/>
      <c r="AM746" s="73"/>
      <c r="AN746" s="73"/>
      <c r="AO746" s="102"/>
      <c r="AP746" s="73"/>
      <c r="AQ746" s="73"/>
      <c r="AR746" s="74"/>
      <c r="AS746" s="73"/>
      <c r="AT746" s="73"/>
      <c r="AU746" s="73"/>
      <c r="AV746" s="73"/>
      <c r="AW746" s="73"/>
      <c r="AX746" s="74"/>
      <c r="AY746" s="73"/>
      <c r="AZ746" s="73"/>
      <c r="BA746" s="74"/>
      <c r="BB746" s="73"/>
      <c r="BC746" s="73"/>
      <c r="BD746" s="73"/>
      <c r="BE746" s="73"/>
      <c r="BF746" s="73"/>
      <c r="BG746" s="73"/>
      <c r="BH746" s="73"/>
      <c r="BI746" s="73"/>
      <c r="BJ746" s="73"/>
      <c r="BK746" s="73"/>
      <c r="BL746" s="73"/>
      <c r="BM746" s="73"/>
      <c r="BN746" s="73"/>
      <c r="BO746" s="73"/>
      <c r="BP746" s="73"/>
      <c r="BQ746" s="73"/>
      <c r="BR746" s="73"/>
      <c r="BS746" s="73"/>
      <c r="BT746" s="74"/>
      <c r="BU746" s="73"/>
      <c r="BV746" s="73"/>
      <c r="BW746" s="73"/>
      <c r="BX746" s="73"/>
      <c r="BY746" s="73"/>
      <c r="BZ746" s="73"/>
      <c r="CA746" s="73"/>
      <c r="CB746" s="73"/>
      <c r="CC746" s="73"/>
      <c r="CD746" s="73"/>
      <c r="CE746" s="73"/>
    </row>
    <row r="747">
      <c r="A747" s="131"/>
      <c r="B747" s="73"/>
      <c r="C747" s="73"/>
      <c r="D747" s="74"/>
      <c r="E747" s="73"/>
      <c r="F747" s="73"/>
      <c r="G747" s="73"/>
      <c r="H747" s="73"/>
      <c r="I747" s="73"/>
      <c r="J747" s="73"/>
      <c r="K747" s="92"/>
      <c r="L747" s="73"/>
      <c r="M747" s="73"/>
      <c r="N747" s="73"/>
      <c r="O747" s="73"/>
      <c r="P747" s="73"/>
      <c r="Q747" s="75"/>
      <c r="R747" s="82"/>
      <c r="S747" s="73"/>
      <c r="T747" s="73"/>
      <c r="U747" s="73"/>
      <c r="V747" s="73"/>
      <c r="W747" s="73"/>
      <c r="X747" s="73"/>
      <c r="Y747" s="77"/>
      <c r="Z747" s="104"/>
      <c r="AA747" s="73"/>
      <c r="AB747" s="104"/>
      <c r="AC747" s="104"/>
      <c r="AD747" s="74"/>
      <c r="AE747" s="106"/>
      <c r="AF747" s="195"/>
      <c r="AG747" s="80"/>
      <c r="AH747" s="104"/>
      <c r="AI747" s="73"/>
      <c r="AJ747" s="114"/>
      <c r="AK747" s="106"/>
      <c r="AL747" s="74"/>
      <c r="AM747" s="73"/>
      <c r="AN747" s="73"/>
      <c r="AO747" s="102"/>
      <c r="AP747" s="73"/>
      <c r="AQ747" s="73"/>
      <c r="AR747" s="74"/>
      <c r="AS747" s="73"/>
      <c r="AT747" s="73"/>
      <c r="AU747" s="73"/>
      <c r="AV747" s="73"/>
      <c r="AW747" s="73"/>
      <c r="AX747" s="74"/>
      <c r="AY747" s="73"/>
      <c r="AZ747" s="73"/>
      <c r="BA747" s="74"/>
      <c r="BB747" s="73"/>
      <c r="BC747" s="73"/>
      <c r="BD747" s="73"/>
      <c r="BE747" s="73"/>
      <c r="BF747" s="73"/>
      <c r="BG747" s="73"/>
      <c r="BH747" s="73"/>
      <c r="BI747" s="73"/>
      <c r="BJ747" s="73"/>
      <c r="BK747" s="73"/>
      <c r="BL747" s="73"/>
      <c r="BM747" s="73"/>
      <c r="BN747" s="73"/>
      <c r="BO747" s="73"/>
      <c r="BP747" s="73"/>
      <c r="BQ747" s="73"/>
      <c r="BR747" s="73"/>
      <c r="BS747" s="73"/>
      <c r="BT747" s="74"/>
      <c r="BU747" s="73"/>
      <c r="BV747" s="73"/>
      <c r="BW747" s="73"/>
      <c r="BX747" s="73"/>
      <c r="BY747" s="73"/>
      <c r="BZ747" s="73"/>
      <c r="CA747" s="73"/>
      <c r="CB747" s="73"/>
      <c r="CC747" s="73"/>
      <c r="CD747" s="73"/>
      <c r="CE747" s="73"/>
    </row>
    <row r="748">
      <c r="A748" s="131"/>
      <c r="B748" s="73"/>
      <c r="C748" s="73"/>
      <c r="D748" s="74"/>
      <c r="E748" s="73"/>
      <c r="F748" s="73"/>
      <c r="G748" s="73"/>
      <c r="H748" s="73"/>
      <c r="I748" s="73"/>
      <c r="J748" s="73"/>
      <c r="K748" s="92"/>
      <c r="L748" s="73"/>
      <c r="M748" s="73"/>
      <c r="N748" s="73"/>
      <c r="O748" s="73"/>
      <c r="P748" s="73"/>
      <c r="Q748" s="75"/>
      <c r="R748" s="82"/>
      <c r="S748" s="73"/>
      <c r="T748" s="73"/>
      <c r="U748" s="73"/>
      <c r="V748" s="73"/>
      <c r="W748" s="73"/>
      <c r="X748" s="73"/>
      <c r="Y748" s="77"/>
      <c r="Z748" s="104"/>
      <c r="AA748" s="73"/>
      <c r="AB748" s="104"/>
      <c r="AC748" s="104"/>
      <c r="AD748" s="74"/>
      <c r="AE748" s="106"/>
      <c r="AF748" s="195"/>
      <c r="AG748" s="80"/>
      <c r="AH748" s="104"/>
      <c r="AI748" s="73"/>
      <c r="AJ748" s="114"/>
      <c r="AK748" s="106"/>
      <c r="AL748" s="74"/>
      <c r="AM748" s="73"/>
      <c r="AN748" s="73"/>
      <c r="AO748" s="102"/>
      <c r="AP748" s="73"/>
      <c r="AQ748" s="73"/>
      <c r="AR748" s="74"/>
      <c r="AS748" s="73"/>
      <c r="AT748" s="73"/>
      <c r="AU748" s="73"/>
      <c r="AV748" s="73"/>
      <c r="AW748" s="73"/>
      <c r="AX748" s="74"/>
      <c r="AY748" s="73"/>
      <c r="AZ748" s="73"/>
      <c r="BA748" s="74"/>
      <c r="BB748" s="73"/>
      <c r="BC748" s="73"/>
      <c r="BD748" s="73"/>
      <c r="BE748" s="73"/>
      <c r="BF748" s="73"/>
      <c r="BG748" s="73"/>
      <c r="BH748" s="73"/>
      <c r="BI748" s="73"/>
      <c r="BJ748" s="73"/>
      <c r="BK748" s="73"/>
      <c r="BL748" s="73"/>
      <c r="BM748" s="73"/>
      <c r="BN748" s="73"/>
      <c r="BO748" s="73"/>
      <c r="BP748" s="73"/>
      <c r="BQ748" s="73"/>
      <c r="BR748" s="73"/>
      <c r="BS748" s="73"/>
      <c r="BT748" s="74"/>
      <c r="BU748" s="73"/>
      <c r="BV748" s="73"/>
      <c r="BW748" s="73"/>
      <c r="BX748" s="73"/>
      <c r="BY748" s="73"/>
      <c r="BZ748" s="73"/>
      <c r="CA748" s="73"/>
      <c r="CB748" s="73"/>
      <c r="CC748" s="73"/>
      <c r="CD748" s="73"/>
      <c r="CE748" s="73"/>
    </row>
    <row r="749">
      <c r="A749" s="131"/>
      <c r="B749" s="73"/>
      <c r="C749" s="73"/>
      <c r="D749" s="74"/>
      <c r="E749" s="73"/>
      <c r="F749" s="73"/>
      <c r="G749" s="73"/>
      <c r="H749" s="73"/>
      <c r="I749" s="73"/>
      <c r="J749" s="73"/>
      <c r="K749" s="92"/>
      <c r="L749" s="73"/>
      <c r="M749" s="73"/>
      <c r="N749" s="73"/>
      <c r="O749" s="73"/>
      <c r="P749" s="73"/>
      <c r="Q749" s="75"/>
      <c r="R749" s="82"/>
      <c r="S749" s="73"/>
      <c r="T749" s="73"/>
      <c r="U749" s="73"/>
      <c r="V749" s="73"/>
      <c r="W749" s="73"/>
      <c r="X749" s="73"/>
      <c r="Y749" s="77"/>
      <c r="Z749" s="104"/>
      <c r="AA749" s="73"/>
      <c r="AB749" s="104"/>
      <c r="AC749" s="104"/>
      <c r="AD749" s="74"/>
      <c r="AE749" s="106"/>
      <c r="AF749" s="195"/>
      <c r="AG749" s="80"/>
      <c r="AH749" s="104"/>
      <c r="AI749" s="73"/>
      <c r="AJ749" s="114"/>
      <c r="AK749" s="106"/>
      <c r="AL749" s="74"/>
      <c r="AM749" s="73"/>
      <c r="AN749" s="73"/>
      <c r="AO749" s="102"/>
      <c r="AP749" s="73"/>
      <c r="AQ749" s="73"/>
      <c r="AR749" s="74"/>
      <c r="AS749" s="73"/>
      <c r="AT749" s="73"/>
      <c r="AU749" s="73"/>
      <c r="AV749" s="73"/>
      <c r="AW749" s="73"/>
      <c r="AX749" s="74"/>
      <c r="AY749" s="73"/>
      <c r="AZ749" s="73"/>
      <c r="BA749" s="74"/>
      <c r="BB749" s="73"/>
      <c r="BC749" s="73"/>
      <c r="BD749" s="73"/>
      <c r="BE749" s="73"/>
      <c r="BF749" s="73"/>
      <c r="BG749" s="73"/>
      <c r="BH749" s="73"/>
      <c r="BI749" s="73"/>
      <c r="BJ749" s="73"/>
      <c r="BK749" s="73"/>
      <c r="BL749" s="73"/>
      <c r="BM749" s="73"/>
      <c r="BN749" s="73"/>
      <c r="BO749" s="73"/>
      <c r="BP749" s="73"/>
      <c r="BQ749" s="73"/>
      <c r="BR749" s="73"/>
      <c r="BS749" s="73"/>
      <c r="BT749" s="74"/>
      <c r="BU749" s="73"/>
      <c r="BV749" s="73"/>
      <c r="BW749" s="73"/>
      <c r="BX749" s="73"/>
      <c r="BY749" s="73"/>
      <c r="BZ749" s="73"/>
      <c r="CA749" s="73"/>
      <c r="CB749" s="73"/>
      <c r="CC749" s="73"/>
      <c r="CD749" s="73"/>
      <c r="CE749" s="73"/>
    </row>
    <row r="750">
      <c r="A750" s="131"/>
      <c r="B750" s="73"/>
      <c r="C750" s="73"/>
      <c r="D750" s="74"/>
      <c r="E750" s="73"/>
      <c r="F750" s="73"/>
      <c r="G750" s="73"/>
      <c r="H750" s="73"/>
      <c r="I750" s="73"/>
      <c r="J750" s="73"/>
      <c r="K750" s="92"/>
      <c r="L750" s="73"/>
      <c r="M750" s="73"/>
      <c r="N750" s="73"/>
      <c r="O750" s="73"/>
      <c r="P750" s="73"/>
      <c r="Q750" s="75"/>
      <c r="R750" s="82"/>
      <c r="S750" s="73"/>
      <c r="T750" s="73"/>
      <c r="U750" s="73"/>
      <c r="V750" s="73"/>
      <c r="W750" s="73"/>
      <c r="X750" s="73"/>
      <c r="Y750" s="77"/>
      <c r="Z750" s="104"/>
      <c r="AA750" s="73"/>
      <c r="AB750" s="104"/>
      <c r="AC750" s="104"/>
      <c r="AD750" s="74"/>
      <c r="AE750" s="106"/>
      <c r="AF750" s="195"/>
      <c r="AG750" s="80"/>
      <c r="AH750" s="104"/>
      <c r="AI750" s="73"/>
      <c r="AJ750" s="114"/>
      <c r="AK750" s="106"/>
      <c r="AL750" s="74"/>
      <c r="AM750" s="73"/>
      <c r="AN750" s="73"/>
      <c r="AO750" s="102"/>
      <c r="AP750" s="73"/>
      <c r="AQ750" s="73"/>
      <c r="AR750" s="74"/>
      <c r="AS750" s="73"/>
      <c r="AT750" s="73"/>
      <c r="AU750" s="73"/>
      <c r="AV750" s="73"/>
      <c r="AW750" s="73"/>
      <c r="AX750" s="74"/>
      <c r="AY750" s="73"/>
      <c r="AZ750" s="73"/>
      <c r="BA750" s="74"/>
      <c r="BB750" s="73"/>
      <c r="BC750" s="73"/>
      <c r="BD750" s="73"/>
      <c r="BE750" s="73"/>
      <c r="BF750" s="73"/>
      <c r="BG750" s="73"/>
      <c r="BH750" s="73"/>
      <c r="BI750" s="73"/>
      <c r="BJ750" s="73"/>
      <c r="BK750" s="73"/>
      <c r="BL750" s="73"/>
      <c r="BM750" s="73"/>
      <c r="BN750" s="73"/>
      <c r="BO750" s="73"/>
      <c r="BP750" s="73"/>
      <c r="BQ750" s="73"/>
      <c r="BR750" s="73"/>
      <c r="BS750" s="73"/>
      <c r="BT750" s="74"/>
      <c r="BU750" s="73"/>
      <c r="BV750" s="73"/>
      <c r="BW750" s="73"/>
      <c r="BX750" s="73"/>
      <c r="BY750" s="73"/>
      <c r="BZ750" s="73"/>
      <c r="CA750" s="73"/>
      <c r="CB750" s="73"/>
      <c r="CC750" s="73"/>
      <c r="CD750" s="73"/>
      <c r="CE750" s="73"/>
    </row>
    <row r="751">
      <c r="A751" s="131"/>
      <c r="B751" s="73"/>
      <c r="C751" s="73"/>
      <c r="D751" s="74"/>
      <c r="E751" s="73"/>
      <c r="F751" s="73"/>
      <c r="G751" s="73"/>
      <c r="H751" s="73"/>
      <c r="I751" s="73"/>
      <c r="J751" s="73"/>
      <c r="K751" s="92"/>
      <c r="L751" s="73"/>
      <c r="M751" s="73"/>
      <c r="N751" s="73"/>
      <c r="O751" s="73"/>
      <c r="P751" s="73"/>
      <c r="Q751" s="75"/>
      <c r="R751" s="82"/>
      <c r="S751" s="73"/>
      <c r="T751" s="73"/>
      <c r="U751" s="73"/>
      <c r="V751" s="73"/>
      <c r="W751" s="73"/>
      <c r="X751" s="73"/>
      <c r="Y751" s="77"/>
      <c r="Z751" s="104"/>
      <c r="AA751" s="73"/>
      <c r="AB751" s="104"/>
      <c r="AC751" s="104"/>
      <c r="AD751" s="74"/>
      <c r="AE751" s="106"/>
      <c r="AF751" s="195"/>
      <c r="AG751" s="80"/>
      <c r="AH751" s="104"/>
      <c r="AI751" s="73"/>
      <c r="AJ751" s="114"/>
      <c r="AK751" s="106"/>
      <c r="AL751" s="74"/>
      <c r="AM751" s="73"/>
      <c r="AN751" s="73"/>
      <c r="AO751" s="102"/>
      <c r="AP751" s="73"/>
      <c r="AQ751" s="73"/>
      <c r="AR751" s="74"/>
      <c r="AS751" s="73"/>
      <c r="AT751" s="73"/>
      <c r="AU751" s="73"/>
      <c r="AV751" s="73"/>
      <c r="AW751" s="73"/>
      <c r="AX751" s="74"/>
      <c r="AY751" s="73"/>
      <c r="AZ751" s="73"/>
      <c r="BA751" s="74"/>
      <c r="BB751" s="73"/>
      <c r="BC751" s="73"/>
      <c r="BD751" s="73"/>
      <c r="BE751" s="73"/>
      <c r="BF751" s="73"/>
      <c r="BG751" s="73"/>
      <c r="BH751" s="73"/>
      <c r="BI751" s="73"/>
      <c r="BJ751" s="73"/>
      <c r="BK751" s="73"/>
      <c r="BL751" s="73"/>
      <c r="BM751" s="73"/>
      <c r="BN751" s="73"/>
      <c r="BO751" s="73"/>
      <c r="BP751" s="73"/>
      <c r="BQ751" s="73"/>
      <c r="BR751" s="73"/>
      <c r="BS751" s="73"/>
      <c r="BT751" s="74"/>
      <c r="BU751" s="73"/>
      <c r="BV751" s="73"/>
      <c r="BW751" s="73"/>
      <c r="BX751" s="73"/>
      <c r="BY751" s="73"/>
      <c r="BZ751" s="73"/>
      <c r="CA751" s="73"/>
      <c r="CB751" s="73"/>
      <c r="CC751" s="73"/>
      <c r="CD751" s="73"/>
      <c r="CE751" s="73"/>
    </row>
    <row r="752">
      <c r="A752" s="131"/>
      <c r="B752" s="73"/>
      <c r="C752" s="73"/>
      <c r="D752" s="74"/>
      <c r="E752" s="73"/>
      <c r="F752" s="73"/>
      <c r="G752" s="73"/>
      <c r="H752" s="73"/>
      <c r="I752" s="73"/>
      <c r="J752" s="73"/>
      <c r="K752" s="92"/>
      <c r="L752" s="73"/>
      <c r="M752" s="73"/>
      <c r="N752" s="73"/>
      <c r="O752" s="73"/>
      <c r="P752" s="73"/>
      <c r="Q752" s="75"/>
      <c r="R752" s="82"/>
      <c r="S752" s="73"/>
      <c r="T752" s="73"/>
      <c r="U752" s="73"/>
      <c r="V752" s="73"/>
      <c r="W752" s="73"/>
      <c r="X752" s="73"/>
      <c r="Y752" s="77"/>
      <c r="Z752" s="104"/>
      <c r="AA752" s="73"/>
      <c r="AB752" s="104"/>
      <c r="AC752" s="104"/>
      <c r="AD752" s="74"/>
      <c r="AE752" s="106"/>
      <c r="AF752" s="195"/>
      <c r="AG752" s="80"/>
      <c r="AH752" s="104"/>
      <c r="AI752" s="73"/>
      <c r="AJ752" s="114"/>
      <c r="AK752" s="106"/>
      <c r="AL752" s="74"/>
      <c r="AM752" s="73"/>
      <c r="AN752" s="73"/>
      <c r="AO752" s="102"/>
      <c r="AP752" s="73"/>
      <c r="AQ752" s="73"/>
      <c r="AR752" s="74"/>
      <c r="AS752" s="73"/>
      <c r="AT752" s="73"/>
      <c r="AU752" s="73"/>
      <c r="AV752" s="73"/>
      <c r="AW752" s="73"/>
      <c r="AX752" s="74"/>
      <c r="AY752" s="73"/>
      <c r="AZ752" s="73"/>
      <c r="BA752" s="74"/>
      <c r="BB752" s="73"/>
      <c r="BC752" s="73"/>
      <c r="BD752" s="73"/>
      <c r="BE752" s="73"/>
      <c r="BF752" s="73"/>
      <c r="BG752" s="73"/>
      <c r="BH752" s="73"/>
      <c r="BI752" s="73"/>
      <c r="BJ752" s="73"/>
      <c r="BK752" s="73"/>
      <c r="BL752" s="73"/>
      <c r="BM752" s="73"/>
      <c r="BN752" s="73"/>
      <c r="BO752" s="73"/>
      <c r="BP752" s="73"/>
      <c r="BQ752" s="73"/>
      <c r="BR752" s="73"/>
      <c r="BS752" s="73"/>
      <c r="BT752" s="74"/>
      <c r="BU752" s="73"/>
      <c r="BV752" s="73"/>
      <c r="BW752" s="73"/>
      <c r="BX752" s="73"/>
      <c r="BY752" s="73"/>
      <c r="BZ752" s="73"/>
      <c r="CA752" s="73"/>
      <c r="CB752" s="73"/>
      <c r="CC752" s="73"/>
      <c r="CD752" s="73"/>
      <c r="CE752" s="73"/>
    </row>
    <row r="753">
      <c r="A753" s="131"/>
      <c r="B753" s="73"/>
      <c r="C753" s="73"/>
      <c r="D753" s="74"/>
      <c r="E753" s="73"/>
      <c r="F753" s="73"/>
      <c r="G753" s="73"/>
      <c r="H753" s="73"/>
      <c r="I753" s="73"/>
      <c r="J753" s="73"/>
      <c r="K753" s="92"/>
      <c r="L753" s="73"/>
      <c r="M753" s="73"/>
      <c r="N753" s="73"/>
      <c r="O753" s="73"/>
      <c r="P753" s="73"/>
      <c r="Q753" s="75"/>
      <c r="R753" s="82"/>
      <c r="S753" s="73"/>
      <c r="T753" s="73"/>
      <c r="U753" s="73"/>
      <c r="V753" s="73"/>
      <c r="W753" s="73"/>
      <c r="X753" s="73"/>
      <c r="Y753" s="77"/>
      <c r="Z753" s="104"/>
      <c r="AA753" s="73"/>
      <c r="AB753" s="104"/>
      <c r="AC753" s="104"/>
      <c r="AD753" s="74"/>
      <c r="AE753" s="106"/>
      <c r="AF753" s="195"/>
      <c r="AG753" s="80"/>
      <c r="AH753" s="104"/>
      <c r="AI753" s="73"/>
      <c r="AJ753" s="114"/>
      <c r="AK753" s="106"/>
      <c r="AL753" s="74"/>
      <c r="AM753" s="73"/>
      <c r="AN753" s="73"/>
      <c r="AO753" s="102"/>
      <c r="AP753" s="73"/>
      <c r="AQ753" s="73"/>
      <c r="AR753" s="74"/>
      <c r="AS753" s="73"/>
      <c r="AT753" s="73"/>
      <c r="AU753" s="73"/>
      <c r="AV753" s="73"/>
      <c r="AW753" s="73"/>
      <c r="AX753" s="74"/>
      <c r="AY753" s="73"/>
      <c r="AZ753" s="73"/>
      <c r="BA753" s="74"/>
      <c r="BB753" s="73"/>
      <c r="BC753" s="73"/>
      <c r="BD753" s="73"/>
      <c r="BE753" s="73"/>
      <c r="BF753" s="73"/>
      <c r="BG753" s="73"/>
      <c r="BH753" s="73"/>
      <c r="BI753" s="73"/>
      <c r="BJ753" s="73"/>
      <c r="BK753" s="73"/>
      <c r="BL753" s="73"/>
      <c r="BM753" s="73"/>
      <c r="BN753" s="73"/>
      <c r="BO753" s="73"/>
      <c r="BP753" s="73"/>
      <c r="BQ753" s="73"/>
      <c r="BR753" s="73"/>
      <c r="BS753" s="73"/>
      <c r="BT753" s="74"/>
      <c r="BU753" s="73"/>
      <c r="BV753" s="73"/>
      <c r="BW753" s="73"/>
      <c r="BX753" s="73"/>
      <c r="BY753" s="73"/>
      <c r="BZ753" s="73"/>
      <c r="CA753" s="73"/>
      <c r="CB753" s="73"/>
      <c r="CC753" s="73"/>
      <c r="CD753" s="73"/>
      <c r="CE753" s="73"/>
    </row>
    <row r="754">
      <c r="A754" s="131"/>
      <c r="B754" s="73"/>
      <c r="C754" s="73"/>
      <c r="D754" s="74"/>
      <c r="E754" s="73"/>
      <c r="F754" s="73"/>
      <c r="G754" s="73"/>
      <c r="H754" s="73"/>
      <c r="I754" s="73"/>
      <c r="J754" s="73"/>
      <c r="K754" s="92"/>
      <c r="L754" s="73"/>
      <c r="M754" s="73"/>
      <c r="N754" s="73"/>
      <c r="O754" s="73"/>
      <c r="P754" s="73"/>
      <c r="Q754" s="75"/>
      <c r="R754" s="82"/>
      <c r="S754" s="73"/>
      <c r="T754" s="73"/>
      <c r="U754" s="73"/>
      <c r="V754" s="73"/>
      <c r="W754" s="73"/>
      <c r="X754" s="73"/>
      <c r="Y754" s="77"/>
      <c r="Z754" s="104"/>
      <c r="AA754" s="73"/>
      <c r="AB754" s="104"/>
      <c r="AC754" s="104"/>
      <c r="AD754" s="74"/>
      <c r="AE754" s="106"/>
      <c r="AF754" s="195"/>
      <c r="AG754" s="80"/>
      <c r="AH754" s="104"/>
      <c r="AI754" s="73"/>
      <c r="AJ754" s="114"/>
      <c r="AK754" s="106"/>
      <c r="AL754" s="74"/>
      <c r="AM754" s="73"/>
      <c r="AN754" s="73"/>
      <c r="AO754" s="102"/>
      <c r="AP754" s="73"/>
      <c r="AQ754" s="73"/>
      <c r="AR754" s="74"/>
      <c r="AS754" s="73"/>
      <c r="AT754" s="73"/>
      <c r="AU754" s="73"/>
      <c r="AV754" s="73"/>
      <c r="AW754" s="73"/>
      <c r="AX754" s="74"/>
      <c r="AY754" s="73"/>
      <c r="AZ754" s="73"/>
      <c r="BA754" s="74"/>
      <c r="BB754" s="73"/>
      <c r="BC754" s="73"/>
      <c r="BD754" s="73"/>
      <c r="BE754" s="73"/>
      <c r="BF754" s="73"/>
      <c r="BG754" s="73"/>
      <c r="BH754" s="73"/>
      <c r="BI754" s="73"/>
      <c r="BJ754" s="73"/>
      <c r="BK754" s="73"/>
      <c r="BL754" s="73"/>
      <c r="BM754" s="73"/>
      <c r="BN754" s="73"/>
      <c r="BO754" s="73"/>
      <c r="BP754" s="73"/>
      <c r="BQ754" s="73"/>
      <c r="BR754" s="73"/>
      <c r="BS754" s="73"/>
      <c r="BT754" s="74"/>
      <c r="BU754" s="73"/>
      <c r="BV754" s="73"/>
      <c r="BW754" s="73"/>
      <c r="BX754" s="73"/>
      <c r="BY754" s="73"/>
      <c r="BZ754" s="73"/>
      <c r="CA754" s="73"/>
      <c r="CB754" s="73"/>
      <c r="CC754" s="73"/>
      <c r="CD754" s="73"/>
      <c r="CE754" s="73"/>
    </row>
    <row r="755">
      <c r="A755" s="131"/>
      <c r="B755" s="73"/>
      <c r="C755" s="73"/>
      <c r="D755" s="74"/>
      <c r="E755" s="73"/>
      <c r="F755" s="73"/>
      <c r="G755" s="73"/>
      <c r="H755" s="73"/>
      <c r="I755" s="73"/>
      <c r="J755" s="73"/>
      <c r="K755" s="92"/>
      <c r="L755" s="73"/>
      <c r="M755" s="73"/>
      <c r="N755" s="73"/>
      <c r="O755" s="73"/>
      <c r="P755" s="73"/>
      <c r="Q755" s="75"/>
      <c r="R755" s="82"/>
      <c r="S755" s="73"/>
      <c r="T755" s="73"/>
      <c r="U755" s="73"/>
      <c r="V755" s="73"/>
      <c r="W755" s="73"/>
      <c r="X755" s="73"/>
      <c r="Y755" s="77"/>
      <c r="Z755" s="104"/>
      <c r="AA755" s="73"/>
      <c r="AB755" s="104"/>
      <c r="AC755" s="104"/>
      <c r="AD755" s="74"/>
      <c r="AE755" s="106"/>
      <c r="AF755" s="195"/>
      <c r="AG755" s="80"/>
      <c r="AH755" s="104"/>
      <c r="AI755" s="73"/>
      <c r="AJ755" s="114"/>
      <c r="AK755" s="106"/>
      <c r="AL755" s="74"/>
      <c r="AM755" s="73"/>
      <c r="AN755" s="73"/>
      <c r="AO755" s="102"/>
      <c r="AP755" s="73"/>
      <c r="AQ755" s="73"/>
      <c r="AR755" s="74"/>
      <c r="AS755" s="73"/>
      <c r="AT755" s="73"/>
      <c r="AU755" s="73"/>
      <c r="AV755" s="73"/>
      <c r="AW755" s="73"/>
      <c r="AX755" s="74"/>
      <c r="AY755" s="73"/>
      <c r="AZ755" s="73"/>
      <c r="BA755" s="74"/>
      <c r="BB755" s="73"/>
      <c r="BC755" s="73"/>
      <c r="BD755" s="73"/>
      <c r="BE755" s="73"/>
      <c r="BF755" s="73"/>
      <c r="BG755" s="73"/>
      <c r="BH755" s="73"/>
      <c r="BI755" s="73"/>
      <c r="BJ755" s="73"/>
      <c r="BK755" s="73"/>
      <c r="BL755" s="73"/>
      <c r="BM755" s="73"/>
      <c r="BN755" s="73"/>
      <c r="BO755" s="73"/>
      <c r="BP755" s="73"/>
      <c r="BQ755" s="73"/>
      <c r="BR755" s="73"/>
      <c r="BS755" s="73"/>
      <c r="BT755" s="74"/>
      <c r="BU755" s="73"/>
      <c r="BV755" s="73"/>
      <c r="BW755" s="73"/>
      <c r="BX755" s="73"/>
      <c r="BY755" s="73"/>
      <c r="BZ755" s="73"/>
      <c r="CA755" s="73"/>
      <c r="CB755" s="73"/>
      <c r="CC755" s="73"/>
      <c r="CD755" s="73"/>
      <c r="CE755" s="73"/>
    </row>
    <row r="756">
      <c r="A756" s="131"/>
      <c r="B756" s="73"/>
      <c r="C756" s="73"/>
      <c r="D756" s="74"/>
      <c r="E756" s="73"/>
      <c r="F756" s="73"/>
      <c r="G756" s="73"/>
      <c r="H756" s="73"/>
      <c r="I756" s="73"/>
      <c r="J756" s="73"/>
      <c r="K756" s="92"/>
      <c r="L756" s="73"/>
      <c r="M756" s="73"/>
      <c r="N756" s="73"/>
      <c r="O756" s="73"/>
      <c r="P756" s="73"/>
      <c r="Q756" s="75"/>
      <c r="R756" s="82"/>
      <c r="S756" s="73"/>
      <c r="T756" s="73"/>
      <c r="U756" s="73"/>
      <c r="V756" s="73"/>
      <c r="W756" s="73"/>
      <c r="X756" s="73"/>
      <c r="Y756" s="77"/>
      <c r="Z756" s="104"/>
      <c r="AA756" s="73"/>
      <c r="AB756" s="104"/>
      <c r="AC756" s="104"/>
      <c r="AD756" s="74"/>
      <c r="AE756" s="106"/>
      <c r="AF756" s="195"/>
      <c r="AG756" s="80"/>
      <c r="AH756" s="104"/>
      <c r="AI756" s="73"/>
      <c r="AJ756" s="114"/>
      <c r="AK756" s="106"/>
      <c r="AL756" s="74"/>
      <c r="AM756" s="73"/>
      <c r="AN756" s="73"/>
      <c r="AO756" s="102"/>
      <c r="AP756" s="73"/>
      <c r="AQ756" s="73"/>
      <c r="AR756" s="74"/>
      <c r="AS756" s="73"/>
      <c r="AT756" s="73"/>
      <c r="AU756" s="73"/>
      <c r="AV756" s="73"/>
      <c r="AW756" s="73"/>
      <c r="AX756" s="74"/>
      <c r="AY756" s="73"/>
      <c r="AZ756" s="73"/>
      <c r="BA756" s="74"/>
      <c r="BB756" s="73"/>
      <c r="BC756" s="73"/>
      <c r="BD756" s="73"/>
      <c r="BE756" s="73"/>
      <c r="BF756" s="73"/>
      <c r="BG756" s="73"/>
      <c r="BH756" s="73"/>
      <c r="BI756" s="73"/>
      <c r="BJ756" s="73"/>
      <c r="BK756" s="73"/>
      <c r="BL756" s="73"/>
      <c r="BM756" s="73"/>
      <c r="BN756" s="73"/>
      <c r="BO756" s="73"/>
      <c r="BP756" s="73"/>
      <c r="BQ756" s="73"/>
      <c r="BR756" s="73"/>
      <c r="BS756" s="73"/>
      <c r="BT756" s="74"/>
      <c r="BU756" s="73"/>
      <c r="BV756" s="73"/>
      <c r="BW756" s="73"/>
      <c r="BX756" s="73"/>
      <c r="BY756" s="73"/>
      <c r="BZ756" s="73"/>
      <c r="CA756" s="73"/>
      <c r="CB756" s="73"/>
      <c r="CC756" s="73"/>
      <c r="CD756" s="73"/>
      <c r="CE756" s="73"/>
    </row>
    <row r="757">
      <c r="A757" s="131"/>
      <c r="B757" s="73"/>
      <c r="C757" s="73"/>
      <c r="D757" s="74"/>
      <c r="E757" s="73"/>
      <c r="F757" s="73"/>
      <c r="G757" s="73"/>
      <c r="H757" s="73"/>
      <c r="I757" s="73"/>
      <c r="J757" s="73"/>
      <c r="K757" s="92"/>
      <c r="L757" s="73"/>
      <c r="M757" s="73"/>
      <c r="N757" s="73"/>
      <c r="O757" s="73"/>
      <c r="P757" s="73"/>
      <c r="Q757" s="75"/>
      <c r="R757" s="82"/>
      <c r="S757" s="73"/>
      <c r="T757" s="73"/>
      <c r="U757" s="73"/>
      <c r="V757" s="73"/>
      <c r="W757" s="73"/>
      <c r="X757" s="73"/>
      <c r="Y757" s="77"/>
      <c r="Z757" s="104"/>
      <c r="AA757" s="73"/>
      <c r="AB757" s="104"/>
      <c r="AC757" s="104"/>
      <c r="AD757" s="74"/>
      <c r="AE757" s="106"/>
      <c r="AF757" s="195"/>
      <c r="AG757" s="80"/>
      <c r="AH757" s="104"/>
      <c r="AI757" s="73"/>
      <c r="AJ757" s="114"/>
      <c r="AK757" s="106"/>
      <c r="AL757" s="74"/>
      <c r="AM757" s="73"/>
      <c r="AN757" s="73"/>
      <c r="AO757" s="102"/>
      <c r="AP757" s="73"/>
      <c r="AQ757" s="73"/>
      <c r="AR757" s="74"/>
      <c r="AS757" s="73"/>
      <c r="AT757" s="73"/>
      <c r="AU757" s="73"/>
      <c r="AV757" s="73"/>
      <c r="AW757" s="73"/>
      <c r="AX757" s="74"/>
      <c r="AY757" s="73"/>
      <c r="AZ757" s="73"/>
      <c r="BA757" s="74"/>
      <c r="BB757" s="73"/>
      <c r="BC757" s="73"/>
      <c r="BD757" s="73"/>
      <c r="BE757" s="73"/>
      <c r="BF757" s="73"/>
      <c r="BG757" s="73"/>
      <c r="BH757" s="73"/>
      <c r="BI757" s="73"/>
      <c r="BJ757" s="73"/>
      <c r="BK757" s="73"/>
      <c r="BL757" s="73"/>
      <c r="BM757" s="73"/>
      <c r="BN757" s="73"/>
      <c r="BO757" s="73"/>
      <c r="BP757" s="73"/>
      <c r="BQ757" s="73"/>
      <c r="BR757" s="73"/>
      <c r="BS757" s="73"/>
      <c r="BT757" s="74"/>
      <c r="BU757" s="73"/>
      <c r="BV757" s="73"/>
      <c r="BW757" s="73"/>
      <c r="BX757" s="73"/>
      <c r="BY757" s="73"/>
      <c r="BZ757" s="73"/>
      <c r="CA757" s="73"/>
      <c r="CB757" s="73"/>
      <c r="CC757" s="73"/>
      <c r="CD757" s="73"/>
      <c r="CE757" s="73"/>
    </row>
    <row r="758">
      <c r="A758" s="131"/>
      <c r="B758" s="73"/>
      <c r="C758" s="73"/>
      <c r="D758" s="74"/>
      <c r="E758" s="73"/>
      <c r="F758" s="73"/>
      <c r="G758" s="73"/>
      <c r="H758" s="73"/>
      <c r="I758" s="73"/>
      <c r="J758" s="73"/>
      <c r="K758" s="92"/>
      <c r="L758" s="73"/>
      <c r="M758" s="73"/>
      <c r="N758" s="73"/>
      <c r="O758" s="73"/>
      <c r="P758" s="73"/>
      <c r="Q758" s="75"/>
      <c r="R758" s="82"/>
      <c r="S758" s="73"/>
      <c r="T758" s="73"/>
      <c r="U758" s="73"/>
      <c r="V758" s="73"/>
      <c r="W758" s="73"/>
      <c r="X758" s="73"/>
      <c r="Y758" s="77"/>
      <c r="Z758" s="104"/>
      <c r="AA758" s="73"/>
      <c r="AB758" s="104"/>
      <c r="AC758" s="104"/>
      <c r="AD758" s="74"/>
      <c r="AE758" s="106"/>
      <c r="AF758" s="195"/>
      <c r="AG758" s="80"/>
      <c r="AH758" s="104"/>
      <c r="AI758" s="73"/>
      <c r="AJ758" s="114"/>
      <c r="AK758" s="106"/>
      <c r="AL758" s="74"/>
      <c r="AM758" s="73"/>
      <c r="AN758" s="73"/>
      <c r="AO758" s="102"/>
      <c r="AP758" s="73"/>
      <c r="AQ758" s="73"/>
      <c r="AR758" s="74"/>
      <c r="AS758" s="73"/>
      <c r="AT758" s="73"/>
      <c r="AU758" s="73"/>
      <c r="AV758" s="73"/>
      <c r="AW758" s="73"/>
      <c r="AX758" s="74"/>
      <c r="AY758" s="73"/>
      <c r="AZ758" s="73"/>
      <c r="BA758" s="74"/>
      <c r="BB758" s="73"/>
      <c r="BC758" s="73"/>
      <c r="BD758" s="73"/>
      <c r="BE758" s="73"/>
      <c r="BF758" s="73"/>
      <c r="BG758" s="73"/>
      <c r="BH758" s="73"/>
      <c r="BI758" s="73"/>
      <c r="BJ758" s="73"/>
      <c r="BK758" s="73"/>
      <c r="BL758" s="73"/>
      <c r="BM758" s="73"/>
      <c r="BN758" s="73"/>
      <c r="BO758" s="73"/>
      <c r="BP758" s="73"/>
      <c r="BQ758" s="73"/>
      <c r="BR758" s="73"/>
      <c r="BS758" s="73"/>
      <c r="BT758" s="74"/>
      <c r="BU758" s="73"/>
      <c r="BV758" s="73"/>
      <c r="BW758" s="73"/>
      <c r="BX758" s="73"/>
      <c r="BY758" s="73"/>
      <c r="BZ758" s="73"/>
      <c r="CA758" s="73"/>
      <c r="CB758" s="73"/>
      <c r="CC758" s="73"/>
      <c r="CD758" s="73"/>
      <c r="CE758" s="73"/>
    </row>
    <row r="759">
      <c r="A759" s="131"/>
      <c r="B759" s="73"/>
      <c r="C759" s="73"/>
      <c r="D759" s="74"/>
      <c r="E759" s="73"/>
      <c r="F759" s="73"/>
      <c r="G759" s="73"/>
      <c r="H759" s="73"/>
      <c r="I759" s="73"/>
      <c r="J759" s="73"/>
      <c r="K759" s="92"/>
      <c r="L759" s="73"/>
      <c r="M759" s="73"/>
      <c r="N759" s="73"/>
      <c r="O759" s="73"/>
      <c r="P759" s="73"/>
      <c r="Q759" s="75"/>
      <c r="R759" s="82"/>
      <c r="S759" s="73"/>
      <c r="T759" s="73"/>
      <c r="U759" s="73"/>
      <c r="V759" s="73"/>
      <c r="W759" s="73"/>
      <c r="X759" s="73"/>
      <c r="Y759" s="77"/>
      <c r="Z759" s="104"/>
      <c r="AA759" s="73"/>
      <c r="AB759" s="104"/>
      <c r="AC759" s="104"/>
      <c r="AD759" s="74"/>
      <c r="AE759" s="106"/>
      <c r="AF759" s="195"/>
      <c r="AG759" s="80"/>
      <c r="AH759" s="104"/>
      <c r="AI759" s="73"/>
      <c r="AJ759" s="114"/>
      <c r="AK759" s="106"/>
      <c r="AL759" s="74"/>
      <c r="AM759" s="73"/>
      <c r="AN759" s="73"/>
      <c r="AO759" s="102"/>
      <c r="AP759" s="73"/>
      <c r="AQ759" s="73"/>
      <c r="AR759" s="74"/>
      <c r="AS759" s="73"/>
      <c r="AT759" s="73"/>
      <c r="AU759" s="73"/>
      <c r="AV759" s="73"/>
      <c r="AW759" s="73"/>
      <c r="AX759" s="74"/>
      <c r="AY759" s="73"/>
      <c r="AZ759" s="73"/>
      <c r="BA759" s="74"/>
      <c r="BB759" s="73"/>
      <c r="BC759" s="73"/>
      <c r="BD759" s="73"/>
      <c r="BE759" s="73"/>
      <c r="BF759" s="73"/>
      <c r="BG759" s="73"/>
      <c r="BH759" s="73"/>
      <c r="BI759" s="73"/>
      <c r="BJ759" s="73"/>
      <c r="BK759" s="73"/>
      <c r="BL759" s="73"/>
      <c r="BM759" s="73"/>
      <c r="BN759" s="73"/>
      <c r="BO759" s="73"/>
      <c r="BP759" s="73"/>
      <c r="BQ759" s="73"/>
      <c r="BR759" s="73"/>
      <c r="BS759" s="73"/>
      <c r="BT759" s="74"/>
      <c r="BU759" s="73"/>
      <c r="BV759" s="73"/>
      <c r="BW759" s="73"/>
      <c r="BX759" s="73"/>
      <c r="BY759" s="73"/>
      <c r="BZ759" s="73"/>
      <c r="CA759" s="73"/>
      <c r="CB759" s="73"/>
      <c r="CC759" s="73"/>
      <c r="CD759" s="73"/>
      <c r="CE759" s="73"/>
    </row>
    <row r="760">
      <c r="A760" s="131"/>
      <c r="B760" s="73"/>
      <c r="C760" s="73"/>
      <c r="D760" s="74"/>
      <c r="E760" s="73"/>
      <c r="F760" s="73"/>
      <c r="G760" s="73"/>
      <c r="H760" s="73"/>
      <c r="I760" s="73"/>
      <c r="J760" s="73"/>
      <c r="K760" s="92"/>
      <c r="L760" s="73"/>
      <c r="M760" s="73"/>
      <c r="N760" s="73"/>
      <c r="O760" s="73"/>
      <c r="P760" s="73"/>
      <c r="Q760" s="75"/>
      <c r="R760" s="82"/>
      <c r="S760" s="73"/>
      <c r="T760" s="73"/>
      <c r="U760" s="73"/>
      <c r="V760" s="73"/>
      <c r="W760" s="73"/>
      <c r="X760" s="73"/>
      <c r="Y760" s="77"/>
      <c r="Z760" s="104"/>
      <c r="AA760" s="73"/>
      <c r="AB760" s="104"/>
      <c r="AC760" s="104"/>
      <c r="AD760" s="74"/>
      <c r="AE760" s="106"/>
      <c r="AF760" s="195"/>
      <c r="AG760" s="80"/>
      <c r="AH760" s="104"/>
      <c r="AI760" s="73"/>
      <c r="AJ760" s="114"/>
      <c r="AK760" s="106"/>
      <c r="AL760" s="74"/>
      <c r="AM760" s="73"/>
      <c r="AN760" s="73"/>
      <c r="AO760" s="102"/>
      <c r="AP760" s="73"/>
      <c r="AQ760" s="73"/>
      <c r="AR760" s="74"/>
      <c r="AS760" s="73"/>
      <c r="AT760" s="73"/>
      <c r="AU760" s="73"/>
      <c r="AV760" s="73"/>
      <c r="AW760" s="73"/>
      <c r="AX760" s="74"/>
      <c r="AY760" s="73"/>
      <c r="AZ760" s="73"/>
      <c r="BA760" s="74"/>
      <c r="BB760" s="73"/>
      <c r="BC760" s="73"/>
      <c r="BD760" s="73"/>
      <c r="BE760" s="73"/>
      <c r="BF760" s="73"/>
      <c r="BG760" s="73"/>
      <c r="BH760" s="73"/>
      <c r="BI760" s="73"/>
      <c r="BJ760" s="73"/>
      <c r="BK760" s="73"/>
      <c r="BL760" s="73"/>
      <c r="BM760" s="73"/>
      <c r="BN760" s="73"/>
      <c r="BO760" s="73"/>
      <c r="BP760" s="73"/>
      <c r="BQ760" s="73"/>
      <c r="BR760" s="73"/>
      <c r="BS760" s="73"/>
      <c r="BT760" s="74"/>
      <c r="BU760" s="73"/>
      <c r="BV760" s="73"/>
      <c r="BW760" s="73"/>
      <c r="BX760" s="73"/>
      <c r="BY760" s="73"/>
      <c r="BZ760" s="73"/>
      <c r="CA760" s="73"/>
      <c r="CB760" s="73"/>
      <c r="CC760" s="73"/>
      <c r="CD760" s="73"/>
      <c r="CE760" s="73"/>
    </row>
    <row r="761">
      <c r="A761" s="131"/>
      <c r="B761" s="73"/>
      <c r="C761" s="73"/>
      <c r="D761" s="74"/>
      <c r="E761" s="73"/>
      <c r="F761" s="73"/>
      <c r="G761" s="73"/>
      <c r="H761" s="73"/>
      <c r="I761" s="73"/>
      <c r="J761" s="73"/>
      <c r="K761" s="92"/>
      <c r="L761" s="73"/>
      <c r="M761" s="73"/>
      <c r="N761" s="73"/>
      <c r="O761" s="73"/>
      <c r="P761" s="73"/>
      <c r="Q761" s="75"/>
      <c r="R761" s="82"/>
      <c r="S761" s="73"/>
      <c r="T761" s="73"/>
      <c r="U761" s="73"/>
      <c r="V761" s="73"/>
      <c r="W761" s="73"/>
      <c r="X761" s="73"/>
      <c r="Y761" s="77"/>
      <c r="Z761" s="104"/>
      <c r="AA761" s="73"/>
      <c r="AB761" s="104"/>
      <c r="AC761" s="104"/>
      <c r="AD761" s="74"/>
      <c r="AE761" s="106"/>
      <c r="AF761" s="195"/>
      <c r="AG761" s="80"/>
      <c r="AH761" s="104"/>
      <c r="AI761" s="73"/>
      <c r="AJ761" s="114"/>
      <c r="AK761" s="106"/>
      <c r="AL761" s="74"/>
      <c r="AM761" s="73"/>
      <c r="AN761" s="73"/>
      <c r="AO761" s="102"/>
      <c r="AP761" s="73"/>
      <c r="AQ761" s="73"/>
      <c r="AR761" s="74"/>
      <c r="AS761" s="73"/>
      <c r="AT761" s="73"/>
      <c r="AU761" s="73"/>
      <c r="AV761" s="73"/>
      <c r="AW761" s="73"/>
      <c r="AX761" s="74"/>
      <c r="AY761" s="73"/>
      <c r="AZ761" s="73"/>
      <c r="BA761" s="74"/>
      <c r="BB761" s="73"/>
      <c r="BC761" s="73"/>
      <c r="BD761" s="73"/>
      <c r="BE761" s="73"/>
      <c r="BF761" s="73"/>
      <c r="BG761" s="73"/>
      <c r="BH761" s="73"/>
      <c r="BI761" s="73"/>
      <c r="BJ761" s="73"/>
      <c r="BK761" s="73"/>
      <c r="BL761" s="73"/>
      <c r="BM761" s="73"/>
      <c r="BN761" s="73"/>
      <c r="BO761" s="73"/>
      <c r="BP761" s="73"/>
      <c r="BQ761" s="73"/>
      <c r="BR761" s="73"/>
      <c r="BS761" s="73"/>
      <c r="BT761" s="74"/>
      <c r="BU761" s="73"/>
      <c r="BV761" s="73"/>
      <c r="BW761" s="73"/>
      <c r="BX761" s="73"/>
      <c r="BY761" s="73"/>
      <c r="BZ761" s="73"/>
      <c r="CA761" s="73"/>
      <c r="CB761" s="73"/>
      <c r="CC761" s="73"/>
      <c r="CD761" s="73"/>
      <c r="CE761" s="73"/>
    </row>
    <row r="762">
      <c r="A762" s="131"/>
      <c r="B762" s="73"/>
      <c r="C762" s="73"/>
      <c r="D762" s="74"/>
      <c r="E762" s="73"/>
      <c r="F762" s="73"/>
      <c r="G762" s="73"/>
      <c r="H762" s="73"/>
      <c r="I762" s="73"/>
      <c r="J762" s="73"/>
      <c r="K762" s="92"/>
      <c r="L762" s="73"/>
      <c r="M762" s="73"/>
      <c r="N762" s="73"/>
      <c r="O762" s="73"/>
      <c r="P762" s="73"/>
      <c r="Q762" s="75"/>
      <c r="R762" s="82"/>
      <c r="S762" s="73"/>
      <c r="T762" s="73"/>
      <c r="U762" s="73"/>
      <c r="V762" s="73"/>
      <c r="W762" s="73"/>
      <c r="X762" s="73"/>
      <c r="Y762" s="77"/>
      <c r="Z762" s="104"/>
      <c r="AA762" s="73"/>
      <c r="AB762" s="104"/>
      <c r="AC762" s="104"/>
      <c r="AD762" s="74"/>
      <c r="AE762" s="106"/>
      <c r="AF762" s="195"/>
      <c r="AG762" s="80"/>
      <c r="AH762" s="104"/>
      <c r="AI762" s="73"/>
      <c r="AJ762" s="114"/>
      <c r="AK762" s="106"/>
      <c r="AL762" s="74"/>
      <c r="AM762" s="73"/>
      <c r="AN762" s="73"/>
      <c r="AO762" s="102"/>
      <c r="AP762" s="73"/>
      <c r="AQ762" s="73"/>
      <c r="AR762" s="74"/>
      <c r="AS762" s="73"/>
      <c r="AT762" s="73"/>
      <c r="AU762" s="73"/>
      <c r="AV762" s="73"/>
      <c r="AW762" s="73"/>
      <c r="AX762" s="74"/>
      <c r="AY762" s="73"/>
      <c r="AZ762" s="73"/>
      <c r="BA762" s="74"/>
      <c r="BB762" s="73"/>
      <c r="BC762" s="73"/>
      <c r="BD762" s="73"/>
      <c r="BE762" s="73"/>
      <c r="BF762" s="73"/>
      <c r="BG762" s="73"/>
      <c r="BH762" s="73"/>
      <c r="BI762" s="73"/>
      <c r="BJ762" s="73"/>
      <c r="BK762" s="73"/>
      <c r="BL762" s="73"/>
      <c r="BM762" s="73"/>
      <c r="BN762" s="73"/>
      <c r="BO762" s="73"/>
      <c r="BP762" s="73"/>
      <c r="BQ762" s="73"/>
      <c r="BR762" s="73"/>
      <c r="BS762" s="73"/>
      <c r="BT762" s="74"/>
      <c r="BU762" s="73"/>
      <c r="BV762" s="73"/>
      <c r="BW762" s="73"/>
      <c r="BX762" s="73"/>
      <c r="BY762" s="73"/>
      <c r="BZ762" s="73"/>
      <c r="CA762" s="73"/>
      <c r="CB762" s="73"/>
      <c r="CC762" s="73"/>
      <c r="CD762" s="73"/>
      <c r="CE762" s="73"/>
    </row>
    <row r="763">
      <c r="A763" s="131"/>
      <c r="B763" s="73"/>
      <c r="C763" s="73"/>
      <c r="D763" s="74"/>
      <c r="E763" s="73"/>
      <c r="F763" s="73"/>
      <c r="G763" s="73"/>
      <c r="H763" s="73"/>
      <c r="I763" s="73"/>
      <c r="J763" s="73"/>
      <c r="K763" s="92"/>
      <c r="L763" s="73"/>
      <c r="M763" s="73"/>
      <c r="N763" s="73"/>
      <c r="O763" s="73"/>
      <c r="P763" s="73"/>
      <c r="Q763" s="75"/>
      <c r="R763" s="82"/>
      <c r="S763" s="73"/>
      <c r="T763" s="73"/>
      <c r="U763" s="73"/>
      <c r="V763" s="73"/>
      <c r="W763" s="73"/>
      <c r="X763" s="73"/>
      <c r="Y763" s="77"/>
      <c r="Z763" s="104"/>
      <c r="AA763" s="73"/>
      <c r="AB763" s="104"/>
      <c r="AC763" s="104"/>
      <c r="AD763" s="74"/>
      <c r="AE763" s="106"/>
      <c r="AF763" s="195"/>
      <c r="AG763" s="80"/>
      <c r="AH763" s="104"/>
      <c r="AI763" s="73"/>
      <c r="AJ763" s="114"/>
      <c r="AK763" s="106"/>
      <c r="AL763" s="74"/>
      <c r="AM763" s="73"/>
      <c r="AN763" s="73"/>
      <c r="AO763" s="102"/>
      <c r="AP763" s="73"/>
      <c r="AQ763" s="73"/>
      <c r="AR763" s="74"/>
      <c r="AS763" s="73"/>
      <c r="AT763" s="73"/>
      <c r="AU763" s="73"/>
      <c r="AV763" s="73"/>
      <c r="AW763" s="73"/>
      <c r="AX763" s="74"/>
      <c r="AY763" s="73"/>
      <c r="AZ763" s="73"/>
      <c r="BA763" s="74"/>
      <c r="BB763" s="73"/>
      <c r="BC763" s="73"/>
      <c r="BD763" s="73"/>
      <c r="BE763" s="73"/>
      <c r="BF763" s="73"/>
      <c r="BG763" s="73"/>
      <c r="BH763" s="73"/>
      <c r="BI763" s="73"/>
      <c r="BJ763" s="73"/>
      <c r="BK763" s="73"/>
      <c r="BL763" s="73"/>
      <c r="BM763" s="73"/>
      <c r="BN763" s="73"/>
      <c r="BO763" s="73"/>
      <c r="BP763" s="73"/>
      <c r="BQ763" s="73"/>
      <c r="BR763" s="73"/>
      <c r="BS763" s="73"/>
      <c r="BT763" s="74"/>
      <c r="BU763" s="73"/>
      <c r="BV763" s="73"/>
      <c r="BW763" s="73"/>
      <c r="BX763" s="73"/>
      <c r="BY763" s="73"/>
      <c r="BZ763" s="73"/>
      <c r="CA763" s="73"/>
      <c r="CB763" s="73"/>
      <c r="CC763" s="73"/>
      <c r="CD763" s="73"/>
      <c r="CE763" s="73"/>
    </row>
    <row r="764">
      <c r="A764" s="131"/>
      <c r="B764" s="73"/>
      <c r="C764" s="73"/>
      <c r="D764" s="74"/>
      <c r="E764" s="73"/>
      <c r="F764" s="73"/>
      <c r="G764" s="73"/>
      <c r="H764" s="73"/>
      <c r="I764" s="73"/>
      <c r="J764" s="73"/>
      <c r="K764" s="92"/>
      <c r="L764" s="73"/>
      <c r="M764" s="73"/>
      <c r="N764" s="73"/>
      <c r="O764" s="73"/>
      <c r="P764" s="73"/>
      <c r="Q764" s="75"/>
      <c r="R764" s="82"/>
      <c r="S764" s="73"/>
      <c r="T764" s="73"/>
      <c r="U764" s="73"/>
      <c r="V764" s="73"/>
      <c r="W764" s="73"/>
      <c r="X764" s="73"/>
      <c r="Y764" s="77"/>
      <c r="Z764" s="104"/>
      <c r="AA764" s="73"/>
      <c r="AB764" s="104"/>
      <c r="AC764" s="104"/>
      <c r="AD764" s="74"/>
      <c r="AE764" s="106"/>
      <c r="AF764" s="195"/>
      <c r="AG764" s="80"/>
      <c r="AH764" s="104"/>
      <c r="AI764" s="73"/>
      <c r="AJ764" s="114"/>
      <c r="AK764" s="106"/>
      <c r="AL764" s="74"/>
      <c r="AM764" s="73"/>
      <c r="AN764" s="73"/>
      <c r="AO764" s="102"/>
      <c r="AP764" s="73"/>
      <c r="AQ764" s="73"/>
      <c r="AR764" s="74"/>
      <c r="AS764" s="73"/>
      <c r="AT764" s="73"/>
      <c r="AU764" s="73"/>
      <c r="AV764" s="73"/>
      <c r="AW764" s="73"/>
      <c r="AX764" s="74"/>
      <c r="AY764" s="73"/>
      <c r="AZ764" s="73"/>
      <c r="BA764" s="74"/>
      <c r="BB764" s="73"/>
      <c r="BC764" s="73"/>
      <c r="BD764" s="73"/>
      <c r="BE764" s="73"/>
      <c r="BF764" s="73"/>
      <c r="BG764" s="73"/>
      <c r="BH764" s="73"/>
      <c r="BI764" s="73"/>
      <c r="BJ764" s="73"/>
      <c r="BK764" s="73"/>
      <c r="BL764" s="73"/>
      <c r="BM764" s="73"/>
      <c r="BN764" s="73"/>
      <c r="BO764" s="73"/>
      <c r="BP764" s="73"/>
      <c r="BQ764" s="73"/>
      <c r="BR764" s="73"/>
      <c r="BS764" s="73"/>
      <c r="BT764" s="74"/>
      <c r="BU764" s="73"/>
      <c r="BV764" s="73"/>
      <c r="BW764" s="73"/>
      <c r="BX764" s="73"/>
      <c r="BY764" s="73"/>
      <c r="BZ764" s="73"/>
      <c r="CA764" s="73"/>
      <c r="CB764" s="73"/>
      <c r="CC764" s="73"/>
      <c r="CD764" s="73"/>
      <c r="CE764" s="73"/>
    </row>
    <row r="765">
      <c r="A765" s="131"/>
      <c r="B765" s="73"/>
      <c r="C765" s="73"/>
      <c r="D765" s="74"/>
      <c r="E765" s="73"/>
      <c r="F765" s="73"/>
      <c r="G765" s="73"/>
      <c r="H765" s="73"/>
      <c r="I765" s="73"/>
      <c r="J765" s="73"/>
      <c r="K765" s="92"/>
      <c r="L765" s="73"/>
      <c r="M765" s="73"/>
      <c r="N765" s="73"/>
      <c r="O765" s="73"/>
      <c r="P765" s="73"/>
      <c r="Q765" s="75"/>
      <c r="R765" s="82"/>
      <c r="S765" s="73"/>
      <c r="T765" s="73"/>
      <c r="U765" s="73"/>
      <c r="V765" s="73"/>
      <c r="W765" s="73"/>
      <c r="X765" s="73"/>
      <c r="Y765" s="77"/>
      <c r="Z765" s="104"/>
      <c r="AA765" s="73"/>
      <c r="AB765" s="104"/>
      <c r="AC765" s="104"/>
      <c r="AD765" s="74"/>
      <c r="AE765" s="106"/>
      <c r="AF765" s="195"/>
      <c r="AG765" s="80"/>
      <c r="AH765" s="104"/>
      <c r="AI765" s="73"/>
      <c r="AJ765" s="114"/>
      <c r="AK765" s="106"/>
      <c r="AL765" s="74"/>
      <c r="AM765" s="73"/>
      <c r="AN765" s="73"/>
      <c r="AO765" s="102"/>
      <c r="AP765" s="73"/>
      <c r="AQ765" s="73"/>
      <c r="AR765" s="74"/>
      <c r="AS765" s="73"/>
      <c r="AT765" s="73"/>
      <c r="AU765" s="73"/>
      <c r="AV765" s="73"/>
      <c r="AW765" s="73"/>
      <c r="AX765" s="74"/>
      <c r="AY765" s="73"/>
      <c r="AZ765" s="73"/>
      <c r="BA765" s="74"/>
      <c r="BB765" s="73"/>
      <c r="BC765" s="73"/>
      <c r="BD765" s="73"/>
      <c r="BE765" s="73"/>
      <c r="BF765" s="73"/>
      <c r="BG765" s="73"/>
      <c r="BH765" s="73"/>
      <c r="BI765" s="73"/>
      <c r="BJ765" s="73"/>
      <c r="BK765" s="73"/>
      <c r="BL765" s="73"/>
      <c r="BM765" s="73"/>
      <c r="BN765" s="73"/>
      <c r="BO765" s="73"/>
      <c r="BP765" s="73"/>
      <c r="BQ765" s="73"/>
      <c r="BR765" s="73"/>
      <c r="BS765" s="73"/>
      <c r="BT765" s="74"/>
      <c r="BU765" s="73"/>
      <c r="BV765" s="73"/>
      <c r="BW765" s="73"/>
      <c r="BX765" s="73"/>
      <c r="BY765" s="73"/>
      <c r="BZ765" s="73"/>
      <c r="CA765" s="73"/>
      <c r="CB765" s="73"/>
      <c r="CC765" s="73"/>
      <c r="CD765" s="73"/>
      <c r="CE765" s="73"/>
    </row>
    <row r="766">
      <c r="A766" s="131"/>
      <c r="B766" s="73"/>
      <c r="C766" s="73"/>
      <c r="D766" s="74"/>
      <c r="E766" s="73"/>
      <c r="F766" s="73"/>
      <c r="G766" s="73"/>
      <c r="H766" s="73"/>
      <c r="I766" s="73"/>
      <c r="J766" s="73"/>
      <c r="K766" s="92"/>
      <c r="L766" s="73"/>
      <c r="M766" s="73"/>
      <c r="N766" s="73"/>
      <c r="O766" s="73"/>
      <c r="P766" s="73"/>
      <c r="Q766" s="75"/>
      <c r="R766" s="82"/>
      <c r="S766" s="73"/>
      <c r="T766" s="73"/>
      <c r="U766" s="73"/>
      <c r="V766" s="73"/>
      <c r="W766" s="73"/>
      <c r="X766" s="73"/>
      <c r="Y766" s="77"/>
      <c r="Z766" s="104"/>
      <c r="AA766" s="73"/>
      <c r="AB766" s="104"/>
      <c r="AC766" s="104"/>
      <c r="AD766" s="74"/>
      <c r="AE766" s="106"/>
      <c r="AF766" s="195"/>
      <c r="AG766" s="80"/>
      <c r="AH766" s="104"/>
      <c r="AI766" s="73"/>
      <c r="AJ766" s="114"/>
      <c r="AK766" s="106"/>
      <c r="AL766" s="74"/>
      <c r="AM766" s="73"/>
      <c r="AN766" s="73"/>
      <c r="AO766" s="102"/>
      <c r="AP766" s="73"/>
      <c r="AQ766" s="73"/>
      <c r="AR766" s="74"/>
      <c r="AS766" s="73"/>
      <c r="AT766" s="73"/>
      <c r="AU766" s="73"/>
      <c r="AV766" s="73"/>
      <c r="AW766" s="73"/>
      <c r="AX766" s="74"/>
      <c r="AY766" s="73"/>
      <c r="AZ766" s="73"/>
      <c r="BA766" s="74"/>
      <c r="BB766" s="73"/>
      <c r="BC766" s="73"/>
      <c r="BD766" s="73"/>
      <c r="BE766" s="73"/>
      <c r="BF766" s="73"/>
      <c r="BG766" s="73"/>
      <c r="BH766" s="73"/>
      <c r="BI766" s="73"/>
      <c r="BJ766" s="73"/>
      <c r="BK766" s="73"/>
      <c r="BL766" s="73"/>
      <c r="BM766" s="73"/>
      <c r="BN766" s="73"/>
      <c r="BO766" s="73"/>
      <c r="BP766" s="73"/>
      <c r="BQ766" s="73"/>
      <c r="BR766" s="73"/>
      <c r="BS766" s="73"/>
      <c r="BT766" s="74"/>
      <c r="BU766" s="73"/>
      <c r="BV766" s="73"/>
      <c r="BW766" s="73"/>
      <c r="BX766" s="73"/>
      <c r="BY766" s="73"/>
      <c r="BZ766" s="73"/>
      <c r="CA766" s="73"/>
      <c r="CB766" s="73"/>
      <c r="CC766" s="73"/>
      <c r="CD766" s="73"/>
      <c r="CE766" s="73"/>
    </row>
    <row r="767">
      <c r="A767" s="131"/>
      <c r="B767" s="73"/>
      <c r="C767" s="73"/>
      <c r="D767" s="74"/>
      <c r="E767" s="73"/>
      <c r="F767" s="73"/>
      <c r="G767" s="73"/>
      <c r="H767" s="73"/>
      <c r="I767" s="73"/>
      <c r="J767" s="73"/>
      <c r="K767" s="92"/>
      <c r="L767" s="73"/>
      <c r="M767" s="73"/>
      <c r="N767" s="73"/>
      <c r="O767" s="73"/>
      <c r="P767" s="73"/>
      <c r="Q767" s="75"/>
      <c r="R767" s="82"/>
      <c r="S767" s="73"/>
      <c r="T767" s="73"/>
      <c r="U767" s="73"/>
      <c r="V767" s="73"/>
      <c r="W767" s="73"/>
      <c r="X767" s="73"/>
      <c r="Y767" s="77"/>
      <c r="Z767" s="104"/>
      <c r="AA767" s="73"/>
      <c r="AB767" s="104"/>
      <c r="AC767" s="104"/>
      <c r="AD767" s="74"/>
      <c r="AE767" s="106"/>
      <c r="AF767" s="195"/>
      <c r="AG767" s="80"/>
      <c r="AH767" s="104"/>
      <c r="AI767" s="73"/>
      <c r="AJ767" s="114"/>
      <c r="AK767" s="106"/>
      <c r="AL767" s="74"/>
      <c r="AM767" s="73"/>
      <c r="AN767" s="73"/>
      <c r="AO767" s="102"/>
      <c r="AP767" s="73"/>
      <c r="AQ767" s="73"/>
      <c r="AR767" s="74"/>
      <c r="AS767" s="73"/>
      <c r="AT767" s="73"/>
      <c r="AU767" s="73"/>
      <c r="AV767" s="73"/>
      <c r="AW767" s="73"/>
      <c r="AX767" s="74"/>
      <c r="AY767" s="73"/>
      <c r="AZ767" s="73"/>
      <c r="BA767" s="74"/>
      <c r="BB767" s="73"/>
      <c r="BC767" s="73"/>
      <c r="BD767" s="73"/>
      <c r="BE767" s="73"/>
      <c r="BF767" s="73"/>
      <c r="BG767" s="73"/>
      <c r="BH767" s="73"/>
      <c r="BI767" s="73"/>
      <c r="BJ767" s="73"/>
      <c r="BK767" s="73"/>
      <c r="BL767" s="73"/>
      <c r="BM767" s="73"/>
      <c r="BN767" s="73"/>
      <c r="BO767" s="73"/>
      <c r="BP767" s="73"/>
      <c r="BQ767" s="73"/>
      <c r="BR767" s="73"/>
      <c r="BS767" s="73"/>
      <c r="BT767" s="74"/>
      <c r="BU767" s="73"/>
      <c r="BV767" s="73"/>
      <c r="BW767" s="73"/>
      <c r="BX767" s="73"/>
      <c r="BY767" s="73"/>
      <c r="BZ767" s="73"/>
      <c r="CA767" s="73"/>
      <c r="CB767" s="73"/>
      <c r="CC767" s="73"/>
      <c r="CD767" s="73"/>
      <c r="CE767" s="73"/>
    </row>
    <row r="768">
      <c r="A768" s="131"/>
      <c r="B768" s="73"/>
      <c r="C768" s="73"/>
      <c r="D768" s="74"/>
      <c r="E768" s="73"/>
      <c r="F768" s="73"/>
      <c r="G768" s="73"/>
      <c r="H768" s="73"/>
      <c r="I768" s="73"/>
      <c r="J768" s="73"/>
      <c r="K768" s="92"/>
      <c r="L768" s="73"/>
      <c r="M768" s="73"/>
      <c r="N768" s="73"/>
      <c r="O768" s="73"/>
      <c r="P768" s="73"/>
      <c r="Q768" s="75"/>
      <c r="R768" s="82"/>
      <c r="S768" s="73"/>
      <c r="T768" s="73"/>
      <c r="U768" s="73"/>
      <c r="V768" s="73"/>
      <c r="W768" s="73"/>
      <c r="X768" s="73"/>
      <c r="Y768" s="77"/>
      <c r="Z768" s="104"/>
      <c r="AA768" s="73"/>
      <c r="AB768" s="104"/>
      <c r="AC768" s="104"/>
      <c r="AD768" s="74"/>
      <c r="AE768" s="106"/>
      <c r="AF768" s="195"/>
      <c r="AG768" s="80"/>
      <c r="AH768" s="104"/>
      <c r="AI768" s="73"/>
      <c r="AJ768" s="114"/>
      <c r="AK768" s="106"/>
      <c r="AL768" s="74"/>
      <c r="AM768" s="73"/>
      <c r="AN768" s="73"/>
      <c r="AO768" s="102"/>
      <c r="AP768" s="73"/>
      <c r="AQ768" s="73"/>
      <c r="AR768" s="74"/>
      <c r="AS768" s="73"/>
      <c r="AT768" s="73"/>
      <c r="AU768" s="73"/>
      <c r="AV768" s="73"/>
      <c r="AW768" s="73"/>
      <c r="AX768" s="74"/>
      <c r="AY768" s="73"/>
      <c r="AZ768" s="73"/>
      <c r="BA768" s="74"/>
      <c r="BB768" s="73"/>
      <c r="BC768" s="73"/>
      <c r="BD768" s="73"/>
      <c r="BE768" s="73"/>
      <c r="BF768" s="73"/>
      <c r="BG768" s="73"/>
      <c r="BH768" s="73"/>
      <c r="BI768" s="73"/>
      <c r="BJ768" s="73"/>
      <c r="BK768" s="73"/>
      <c r="BL768" s="73"/>
      <c r="BM768" s="73"/>
      <c r="BN768" s="73"/>
      <c r="BO768" s="73"/>
      <c r="BP768" s="73"/>
      <c r="BQ768" s="73"/>
      <c r="BR768" s="73"/>
      <c r="BS768" s="73"/>
      <c r="BT768" s="74"/>
      <c r="BU768" s="73"/>
      <c r="BV768" s="73"/>
      <c r="BW768" s="73"/>
      <c r="BX768" s="73"/>
      <c r="BY768" s="73"/>
      <c r="BZ768" s="73"/>
      <c r="CA768" s="73"/>
      <c r="CB768" s="73"/>
      <c r="CC768" s="73"/>
      <c r="CD768" s="73"/>
      <c r="CE768" s="73"/>
    </row>
    <row r="769">
      <c r="A769" s="131"/>
      <c r="B769" s="73"/>
      <c r="C769" s="73"/>
      <c r="D769" s="74"/>
      <c r="E769" s="73"/>
      <c r="F769" s="73"/>
      <c r="G769" s="73"/>
      <c r="H769" s="73"/>
      <c r="I769" s="73"/>
      <c r="J769" s="73"/>
      <c r="K769" s="92"/>
      <c r="L769" s="73"/>
      <c r="M769" s="73"/>
      <c r="N769" s="73"/>
      <c r="O769" s="73"/>
      <c r="P769" s="73"/>
      <c r="Q769" s="75"/>
      <c r="R769" s="82"/>
      <c r="S769" s="73"/>
      <c r="T769" s="73"/>
      <c r="U769" s="73"/>
      <c r="V769" s="73"/>
      <c r="W769" s="73"/>
      <c r="X769" s="73"/>
      <c r="Y769" s="77"/>
      <c r="Z769" s="104"/>
      <c r="AA769" s="73"/>
      <c r="AB769" s="104"/>
      <c r="AC769" s="104"/>
      <c r="AD769" s="74"/>
      <c r="AE769" s="106"/>
      <c r="AF769" s="195"/>
      <c r="AG769" s="80"/>
      <c r="AH769" s="104"/>
      <c r="AI769" s="73"/>
      <c r="AJ769" s="114"/>
      <c r="AK769" s="106"/>
      <c r="AL769" s="74"/>
      <c r="AM769" s="73"/>
      <c r="AN769" s="73"/>
      <c r="AO769" s="102"/>
      <c r="AP769" s="73"/>
      <c r="AQ769" s="73"/>
      <c r="AR769" s="74"/>
      <c r="AS769" s="73"/>
      <c r="AT769" s="73"/>
      <c r="AU769" s="73"/>
      <c r="AV769" s="73"/>
      <c r="AW769" s="73"/>
      <c r="AX769" s="74"/>
      <c r="AY769" s="73"/>
      <c r="AZ769" s="73"/>
      <c r="BA769" s="74"/>
      <c r="BB769" s="73"/>
      <c r="BC769" s="73"/>
      <c r="BD769" s="73"/>
      <c r="BE769" s="73"/>
      <c r="BF769" s="73"/>
      <c r="BG769" s="73"/>
      <c r="BH769" s="73"/>
      <c r="BI769" s="73"/>
      <c r="BJ769" s="73"/>
      <c r="BK769" s="73"/>
      <c r="BL769" s="73"/>
      <c r="BM769" s="73"/>
      <c r="BN769" s="73"/>
      <c r="BO769" s="73"/>
      <c r="BP769" s="73"/>
      <c r="BQ769" s="73"/>
      <c r="BR769" s="73"/>
      <c r="BS769" s="73"/>
      <c r="BT769" s="74"/>
      <c r="BU769" s="73"/>
      <c r="BV769" s="73"/>
      <c r="BW769" s="73"/>
      <c r="BX769" s="73"/>
      <c r="BY769" s="73"/>
      <c r="BZ769" s="73"/>
      <c r="CA769" s="73"/>
      <c r="CB769" s="73"/>
      <c r="CC769" s="73"/>
      <c r="CD769" s="73"/>
      <c r="CE769" s="73"/>
    </row>
    <row r="770">
      <c r="A770" s="131"/>
      <c r="B770" s="73"/>
      <c r="C770" s="73"/>
      <c r="D770" s="74"/>
      <c r="E770" s="73"/>
      <c r="F770" s="73"/>
      <c r="G770" s="73"/>
      <c r="H770" s="73"/>
      <c r="I770" s="73"/>
      <c r="J770" s="73"/>
      <c r="K770" s="92"/>
      <c r="L770" s="73"/>
      <c r="M770" s="73"/>
      <c r="N770" s="73"/>
      <c r="O770" s="73"/>
      <c r="P770" s="73"/>
      <c r="Q770" s="75"/>
      <c r="R770" s="82"/>
      <c r="S770" s="73"/>
      <c r="T770" s="73"/>
      <c r="U770" s="73"/>
      <c r="V770" s="73"/>
      <c r="W770" s="73"/>
      <c r="X770" s="73"/>
      <c r="Y770" s="77"/>
      <c r="Z770" s="104"/>
      <c r="AA770" s="73"/>
      <c r="AB770" s="104"/>
      <c r="AC770" s="104"/>
      <c r="AD770" s="74"/>
      <c r="AE770" s="106"/>
      <c r="AF770" s="195"/>
      <c r="AG770" s="80"/>
      <c r="AH770" s="104"/>
      <c r="AI770" s="73"/>
      <c r="AJ770" s="114"/>
      <c r="AK770" s="106"/>
      <c r="AL770" s="74"/>
      <c r="AM770" s="73"/>
      <c r="AN770" s="73"/>
      <c r="AO770" s="102"/>
      <c r="AP770" s="73"/>
      <c r="AQ770" s="73"/>
      <c r="AR770" s="74"/>
      <c r="AS770" s="73"/>
      <c r="AT770" s="73"/>
      <c r="AU770" s="73"/>
      <c r="AV770" s="73"/>
      <c r="AW770" s="73"/>
      <c r="AX770" s="74"/>
      <c r="AY770" s="73"/>
      <c r="AZ770" s="73"/>
      <c r="BA770" s="74"/>
      <c r="BB770" s="73"/>
      <c r="BC770" s="73"/>
      <c r="BD770" s="73"/>
      <c r="BE770" s="73"/>
      <c r="BF770" s="73"/>
      <c r="BG770" s="73"/>
      <c r="BH770" s="73"/>
      <c r="BI770" s="73"/>
      <c r="BJ770" s="73"/>
      <c r="BK770" s="73"/>
      <c r="BL770" s="73"/>
      <c r="BM770" s="73"/>
      <c r="BN770" s="73"/>
      <c r="BO770" s="73"/>
      <c r="BP770" s="73"/>
      <c r="BQ770" s="73"/>
      <c r="BR770" s="73"/>
      <c r="BS770" s="73"/>
      <c r="BT770" s="74"/>
      <c r="BU770" s="73"/>
      <c r="BV770" s="73"/>
      <c r="BW770" s="73"/>
      <c r="BX770" s="73"/>
      <c r="BY770" s="73"/>
      <c r="BZ770" s="73"/>
      <c r="CA770" s="73"/>
      <c r="CB770" s="73"/>
      <c r="CC770" s="73"/>
      <c r="CD770" s="73"/>
      <c r="CE770" s="73"/>
    </row>
    <row r="771">
      <c r="A771" s="131"/>
      <c r="B771" s="73"/>
      <c r="C771" s="73"/>
      <c r="D771" s="74"/>
      <c r="E771" s="73"/>
      <c r="F771" s="73"/>
      <c r="G771" s="73"/>
      <c r="H771" s="73"/>
      <c r="I771" s="73"/>
      <c r="J771" s="73"/>
      <c r="K771" s="92"/>
      <c r="L771" s="73"/>
      <c r="M771" s="73"/>
      <c r="N771" s="73"/>
      <c r="O771" s="73"/>
      <c r="P771" s="73"/>
      <c r="Q771" s="75"/>
      <c r="R771" s="82"/>
      <c r="S771" s="73"/>
      <c r="T771" s="73"/>
      <c r="U771" s="73"/>
      <c r="V771" s="73"/>
      <c r="W771" s="73"/>
      <c r="X771" s="73"/>
      <c r="Y771" s="77"/>
      <c r="Z771" s="104"/>
      <c r="AA771" s="73"/>
      <c r="AB771" s="104"/>
      <c r="AC771" s="104"/>
      <c r="AD771" s="74"/>
      <c r="AE771" s="106"/>
      <c r="AF771" s="195"/>
      <c r="AG771" s="80"/>
      <c r="AH771" s="104"/>
      <c r="AI771" s="73"/>
      <c r="AJ771" s="114"/>
      <c r="AK771" s="106"/>
      <c r="AL771" s="74"/>
      <c r="AM771" s="73"/>
      <c r="AN771" s="73"/>
      <c r="AO771" s="102"/>
      <c r="AP771" s="73"/>
      <c r="AQ771" s="73"/>
      <c r="AR771" s="74"/>
      <c r="AS771" s="73"/>
      <c r="AT771" s="73"/>
      <c r="AU771" s="73"/>
      <c r="AV771" s="73"/>
      <c r="AW771" s="73"/>
      <c r="AX771" s="74"/>
      <c r="AY771" s="73"/>
      <c r="AZ771" s="73"/>
      <c r="BA771" s="74"/>
      <c r="BB771" s="73"/>
      <c r="BC771" s="73"/>
      <c r="BD771" s="73"/>
      <c r="BE771" s="73"/>
      <c r="BF771" s="73"/>
      <c r="BG771" s="73"/>
      <c r="BH771" s="73"/>
      <c r="BI771" s="73"/>
      <c r="BJ771" s="73"/>
      <c r="BK771" s="73"/>
      <c r="BL771" s="73"/>
      <c r="BM771" s="73"/>
      <c r="BN771" s="73"/>
      <c r="BO771" s="73"/>
      <c r="BP771" s="73"/>
      <c r="BQ771" s="73"/>
      <c r="BR771" s="73"/>
      <c r="BS771" s="73"/>
      <c r="BT771" s="74"/>
      <c r="BU771" s="73"/>
      <c r="BV771" s="73"/>
      <c r="BW771" s="73"/>
      <c r="BX771" s="73"/>
      <c r="BY771" s="73"/>
      <c r="BZ771" s="73"/>
      <c r="CA771" s="73"/>
      <c r="CB771" s="73"/>
      <c r="CC771" s="73"/>
      <c r="CD771" s="73"/>
      <c r="CE771" s="73"/>
    </row>
    <row r="772">
      <c r="A772" s="131"/>
      <c r="B772" s="73"/>
      <c r="C772" s="73"/>
      <c r="D772" s="74"/>
      <c r="E772" s="73"/>
      <c r="F772" s="73"/>
      <c r="G772" s="73"/>
      <c r="H772" s="73"/>
      <c r="I772" s="73"/>
      <c r="J772" s="73"/>
      <c r="K772" s="92"/>
      <c r="L772" s="73"/>
      <c r="M772" s="73"/>
      <c r="N772" s="73"/>
      <c r="O772" s="73"/>
      <c r="P772" s="73"/>
      <c r="Q772" s="75"/>
      <c r="R772" s="82"/>
      <c r="S772" s="73"/>
      <c r="T772" s="73"/>
      <c r="U772" s="73"/>
      <c r="V772" s="73"/>
      <c r="W772" s="73"/>
      <c r="X772" s="73"/>
      <c r="Y772" s="77"/>
      <c r="Z772" s="104"/>
      <c r="AA772" s="73"/>
      <c r="AB772" s="104"/>
      <c r="AC772" s="104"/>
      <c r="AD772" s="74"/>
      <c r="AE772" s="106"/>
      <c r="AF772" s="195"/>
      <c r="AG772" s="80"/>
      <c r="AH772" s="104"/>
      <c r="AI772" s="73"/>
      <c r="AJ772" s="114"/>
      <c r="AK772" s="106"/>
      <c r="AL772" s="74"/>
      <c r="AM772" s="73"/>
      <c r="AN772" s="73"/>
      <c r="AO772" s="102"/>
      <c r="AP772" s="73"/>
      <c r="AQ772" s="73"/>
      <c r="AR772" s="74"/>
      <c r="AS772" s="73"/>
      <c r="AT772" s="73"/>
      <c r="AU772" s="73"/>
      <c r="AV772" s="73"/>
      <c r="AW772" s="73"/>
      <c r="AX772" s="74"/>
      <c r="AY772" s="73"/>
      <c r="AZ772" s="73"/>
      <c r="BA772" s="74"/>
      <c r="BB772" s="73"/>
      <c r="BC772" s="73"/>
      <c r="BD772" s="73"/>
      <c r="BE772" s="73"/>
      <c r="BF772" s="73"/>
      <c r="BG772" s="73"/>
      <c r="BH772" s="73"/>
      <c r="BI772" s="73"/>
      <c r="BJ772" s="73"/>
      <c r="BK772" s="73"/>
      <c r="BL772" s="73"/>
      <c r="BM772" s="73"/>
      <c r="BN772" s="73"/>
      <c r="BO772" s="73"/>
      <c r="BP772" s="73"/>
      <c r="BQ772" s="73"/>
      <c r="BR772" s="73"/>
      <c r="BS772" s="73"/>
      <c r="BT772" s="74"/>
      <c r="BU772" s="73"/>
      <c r="BV772" s="73"/>
      <c r="BW772" s="73"/>
      <c r="BX772" s="73"/>
      <c r="BY772" s="73"/>
      <c r="BZ772" s="73"/>
      <c r="CA772" s="73"/>
      <c r="CB772" s="73"/>
      <c r="CC772" s="73"/>
      <c r="CD772" s="73"/>
      <c r="CE772" s="73"/>
    </row>
    <row r="773">
      <c r="A773" s="131"/>
      <c r="B773" s="73"/>
      <c r="C773" s="73"/>
      <c r="D773" s="74"/>
      <c r="E773" s="73"/>
      <c r="F773" s="73"/>
      <c r="G773" s="73"/>
      <c r="H773" s="73"/>
      <c r="I773" s="73"/>
      <c r="J773" s="73"/>
      <c r="K773" s="92"/>
      <c r="L773" s="73"/>
      <c r="M773" s="73"/>
      <c r="N773" s="73"/>
      <c r="O773" s="73"/>
      <c r="P773" s="73"/>
      <c r="Q773" s="75"/>
      <c r="R773" s="82"/>
      <c r="S773" s="73"/>
      <c r="T773" s="73"/>
      <c r="U773" s="73"/>
      <c r="V773" s="73"/>
      <c r="W773" s="73"/>
      <c r="X773" s="73"/>
      <c r="Y773" s="77"/>
      <c r="Z773" s="104"/>
      <c r="AA773" s="73"/>
      <c r="AB773" s="104"/>
      <c r="AC773" s="104"/>
      <c r="AD773" s="74"/>
      <c r="AE773" s="106"/>
      <c r="AF773" s="195"/>
      <c r="AG773" s="80"/>
      <c r="AH773" s="104"/>
      <c r="AI773" s="73"/>
      <c r="AJ773" s="114"/>
      <c r="AK773" s="106"/>
      <c r="AL773" s="74"/>
      <c r="AM773" s="73"/>
      <c r="AN773" s="73"/>
      <c r="AO773" s="102"/>
      <c r="AP773" s="73"/>
      <c r="AQ773" s="73"/>
      <c r="AR773" s="74"/>
      <c r="AS773" s="73"/>
      <c r="AT773" s="73"/>
      <c r="AU773" s="73"/>
      <c r="AV773" s="73"/>
      <c r="AW773" s="73"/>
      <c r="AX773" s="74"/>
      <c r="AY773" s="73"/>
      <c r="AZ773" s="73"/>
      <c r="BA773" s="74"/>
      <c r="BB773" s="73"/>
      <c r="BC773" s="73"/>
      <c r="BD773" s="73"/>
      <c r="BE773" s="73"/>
      <c r="BF773" s="73"/>
      <c r="BG773" s="73"/>
      <c r="BH773" s="73"/>
      <c r="BI773" s="73"/>
      <c r="BJ773" s="73"/>
      <c r="BK773" s="73"/>
      <c r="BL773" s="73"/>
      <c r="BM773" s="73"/>
      <c r="BN773" s="73"/>
      <c r="BO773" s="73"/>
      <c r="BP773" s="73"/>
      <c r="BQ773" s="73"/>
      <c r="BR773" s="73"/>
      <c r="BS773" s="73"/>
      <c r="BT773" s="74"/>
      <c r="BU773" s="73"/>
      <c r="BV773" s="73"/>
      <c r="BW773" s="73"/>
      <c r="BX773" s="73"/>
      <c r="BY773" s="73"/>
      <c r="BZ773" s="73"/>
      <c r="CA773" s="73"/>
      <c r="CB773" s="73"/>
      <c r="CC773" s="73"/>
      <c r="CD773" s="73"/>
      <c r="CE773" s="73"/>
    </row>
    <row r="774">
      <c r="A774" s="131"/>
      <c r="B774" s="73"/>
      <c r="C774" s="73"/>
      <c r="D774" s="74"/>
      <c r="E774" s="73"/>
      <c r="F774" s="73"/>
      <c r="G774" s="73"/>
      <c r="H774" s="73"/>
      <c r="I774" s="73"/>
      <c r="J774" s="73"/>
      <c r="K774" s="92"/>
      <c r="L774" s="73"/>
      <c r="M774" s="73"/>
      <c r="N774" s="73"/>
      <c r="O774" s="73"/>
      <c r="P774" s="73"/>
      <c r="Q774" s="75"/>
      <c r="R774" s="82"/>
      <c r="S774" s="73"/>
      <c r="T774" s="73"/>
      <c r="U774" s="73"/>
      <c r="V774" s="73"/>
      <c r="W774" s="73"/>
      <c r="X774" s="73"/>
      <c r="Y774" s="77"/>
      <c r="Z774" s="104"/>
      <c r="AA774" s="73"/>
      <c r="AB774" s="104"/>
      <c r="AC774" s="104"/>
      <c r="AD774" s="74"/>
      <c r="AE774" s="106"/>
      <c r="AF774" s="195"/>
      <c r="AG774" s="80"/>
      <c r="AH774" s="104"/>
      <c r="AI774" s="73"/>
      <c r="AJ774" s="114"/>
      <c r="AK774" s="106"/>
      <c r="AL774" s="74"/>
      <c r="AM774" s="73"/>
      <c r="AN774" s="73"/>
      <c r="AO774" s="102"/>
      <c r="AP774" s="73"/>
      <c r="AQ774" s="73"/>
      <c r="AR774" s="74"/>
      <c r="AS774" s="73"/>
      <c r="AT774" s="73"/>
      <c r="AU774" s="73"/>
      <c r="AV774" s="73"/>
      <c r="AW774" s="73"/>
      <c r="AX774" s="74"/>
      <c r="AY774" s="73"/>
      <c r="AZ774" s="73"/>
      <c r="BA774" s="74"/>
      <c r="BB774" s="73"/>
      <c r="BC774" s="73"/>
      <c r="BD774" s="73"/>
      <c r="BE774" s="73"/>
      <c r="BF774" s="73"/>
      <c r="BG774" s="73"/>
      <c r="BH774" s="73"/>
      <c r="BI774" s="73"/>
      <c r="BJ774" s="73"/>
      <c r="BK774" s="73"/>
      <c r="BL774" s="73"/>
      <c r="BM774" s="73"/>
      <c r="BN774" s="73"/>
      <c r="BO774" s="73"/>
      <c r="BP774" s="73"/>
      <c r="BQ774" s="73"/>
      <c r="BR774" s="73"/>
      <c r="BS774" s="73"/>
      <c r="BT774" s="74"/>
      <c r="BU774" s="73"/>
      <c r="BV774" s="73"/>
      <c r="BW774" s="73"/>
      <c r="BX774" s="73"/>
      <c r="BY774" s="73"/>
      <c r="BZ774" s="73"/>
      <c r="CA774" s="73"/>
      <c r="CB774" s="73"/>
      <c r="CC774" s="73"/>
      <c r="CD774" s="73"/>
      <c r="CE774" s="73"/>
    </row>
    <row r="775">
      <c r="A775" s="73"/>
      <c r="B775" s="73"/>
      <c r="C775" s="73"/>
      <c r="D775" s="74"/>
      <c r="E775" s="73"/>
      <c r="F775" s="73"/>
      <c r="G775" s="73"/>
      <c r="H775" s="73"/>
      <c r="I775" s="73"/>
      <c r="J775" s="73"/>
      <c r="K775" s="92"/>
      <c r="L775" s="73"/>
      <c r="M775" s="73"/>
      <c r="N775" s="73"/>
      <c r="O775" s="73"/>
      <c r="P775" s="73"/>
      <c r="Q775" s="75"/>
      <c r="R775" s="82"/>
      <c r="S775" s="73"/>
      <c r="T775" s="73"/>
      <c r="U775" s="73"/>
      <c r="V775" s="73"/>
      <c r="W775" s="73"/>
      <c r="X775" s="73"/>
      <c r="Y775" s="77"/>
      <c r="Z775" s="104"/>
      <c r="AA775" s="73"/>
      <c r="AB775" s="104"/>
      <c r="AC775" s="104"/>
      <c r="AD775" s="74"/>
      <c r="AE775" s="106"/>
      <c r="AF775" s="195"/>
      <c r="AG775" s="80"/>
      <c r="AH775" s="104"/>
      <c r="AI775" s="73"/>
      <c r="AJ775" s="114"/>
      <c r="AK775" s="106"/>
      <c r="AL775" s="74"/>
      <c r="AM775" s="73"/>
      <c r="AN775" s="73"/>
      <c r="AO775" s="102"/>
      <c r="AP775" s="73"/>
      <c r="AQ775" s="73"/>
      <c r="AR775" s="74"/>
      <c r="AS775" s="73"/>
      <c r="AT775" s="73"/>
      <c r="AU775" s="73"/>
      <c r="AV775" s="73"/>
      <c r="AW775" s="73"/>
      <c r="AX775" s="74"/>
      <c r="AY775" s="73"/>
      <c r="AZ775" s="73"/>
      <c r="BA775" s="74"/>
      <c r="BB775" s="73"/>
      <c r="BC775" s="73"/>
      <c r="BD775" s="73"/>
      <c r="BE775" s="73"/>
      <c r="BF775" s="73"/>
      <c r="BG775" s="73"/>
      <c r="BH775" s="73"/>
      <c r="BI775" s="73"/>
      <c r="BJ775" s="73"/>
      <c r="BK775" s="73"/>
      <c r="BL775" s="73"/>
      <c r="BM775" s="73"/>
      <c r="BN775" s="73"/>
      <c r="BO775" s="73"/>
      <c r="BP775" s="73"/>
      <c r="BQ775" s="73"/>
      <c r="BR775" s="73"/>
      <c r="BS775" s="73"/>
      <c r="BT775" s="74"/>
      <c r="BU775" s="73"/>
      <c r="BV775" s="73"/>
      <c r="BW775" s="73"/>
      <c r="BX775" s="73"/>
      <c r="BY775" s="73"/>
      <c r="BZ775" s="73"/>
      <c r="CA775" s="73"/>
      <c r="CB775" s="73"/>
      <c r="CC775" s="73"/>
      <c r="CD775" s="73"/>
      <c r="CE775" s="73"/>
    </row>
    <row r="776">
      <c r="A776" s="73"/>
      <c r="B776" s="73"/>
      <c r="C776" s="73"/>
      <c r="D776" s="74"/>
      <c r="E776" s="73"/>
      <c r="F776" s="73"/>
      <c r="G776" s="73"/>
      <c r="H776" s="73"/>
      <c r="I776" s="73"/>
      <c r="J776" s="73"/>
      <c r="K776" s="92"/>
      <c r="L776" s="73"/>
      <c r="M776" s="73"/>
      <c r="N776" s="73"/>
      <c r="O776" s="73"/>
      <c r="P776" s="73"/>
      <c r="Q776" s="75"/>
      <c r="R776" s="82"/>
      <c r="S776" s="73"/>
      <c r="T776" s="73"/>
      <c r="U776" s="73"/>
      <c r="V776" s="73"/>
      <c r="W776" s="73"/>
      <c r="X776" s="73"/>
      <c r="Y776" s="77"/>
      <c r="Z776" s="104"/>
      <c r="AA776" s="73"/>
      <c r="AB776" s="104"/>
      <c r="AC776" s="104"/>
      <c r="AD776" s="74"/>
      <c r="AE776" s="106"/>
      <c r="AF776" s="195"/>
      <c r="AG776" s="80"/>
      <c r="AH776" s="104"/>
      <c r="AI776" s="73"/>
      <c r="AJ776" s="114"/>
      <c r="AK776" s="106"/>
      <c r="AL776" s="74"/>
      <c r="AM776" s="73"/>
      <c r="AN776" s="73"/>
      <c r="AO776" s="102"/>
      <c r="AP776" s="73"/>
      <c r="AQ776" s="73"/>
      <c r="AR776" s="74"/>
      <c r="AS776" s="73"/>
      <c r="AT776" s="73"/>
      <c r="AU776" s="73"/>
      <c r="AV776" s="73"/>
      <c r="AW776" s="73"/>
      <c r="AX776" s="74"/>
      <c r="AY776" s="73"/>
      <c r="AZ776" s="73"/>
      <c r="BA776" s="74"/>
      <c r="BB776" s="73"/>
      <c r="BC776" s="73"/>
      <c r="BD776" s="73"/>
      <c r="BE776" s="73"/>
      <c r="BF776" s="73"/>
      <c r="BG776" s="73"/>
      <c r="BH776" s="73"/>
      <c r="BI776" s="73"/>
      <c r="BJ776" s="73"/>
      <c r="BK776" s="73"/>
      <c r="BL776" s="73"/>
      <c r="BM776" s="73"/>
      <c r="BN776" s="73"/>
      <c r="BO776" s="73"/>
      <c r="BP776" s="73"/>
      <c r="BQ776" s="73"/>
      <c r="BR776" s="73"/>
      <c r="BS776" s="73"/>
      <c r="BT776" s="74"/>
      <c r="BU776" s="73"/>
      <c r="BV776" s="73"/>
      <c r="BW776" s="73"/>
      <c r="BX776" s="73"/>
      <c r="BY776" s="73"/>
      <c r="BZ776" s="73"/>
      <c r="CA776" s="73"/>
      <c r="CB776" s="73"/>
      <c r="CC776" s="73"/>
      <c r="CD776" s="73"/>
      <c r="CE776" s="73"/>
    </row>
    <row r="777">
      <c r="A777" s="73"/>
      <c r="B777" s="73"/>
      <c r="C777" s="73"/>
      <c r="D777" s="74"/>
      <c r="E777" s="73"/>
      <c r="F777" s="73"/>
      <c r="G777" s="73"/>
      <c r="H777" s="73"/>
      <c r="I777" s="73"/>
      <c r="J777" s="73"/>
      <c r="K777" s="92"/>
      <c r="L777" s="73"/>
      <c r="M777" s="73"/>
      <c r="N777" s="73"/>
      <c r="O777" s="73"/>
      <c r="P777" s="73"/>
      <c r="Q777" s="75"/>
      <c r="R777" s="82"/>
      <c r="S777" s="73"/>
      <c r="T777" s="73"/>
      <c r="U777" s="73"/>
      <c r="V777" s="73"/>
      <c r="W777" s="73"/>
      <c r="X777" s="73"/>
      <c r="Y777" s="77"/>
      <c r="Z777" s="104"/>
      <c r="AA777" s="73"/>
      <c r="AB777" s="104"/>
      <c r="AC777" s="104"/>
      <c r="AD777" s="74"/>
      <c r="AE777" s="106"/>
      <c r="AF777" s="195"/>
      <c r="AG777" s="80"/>
      <c r="AH777" s="104"/>
      <c r="AI777" s="73"/>
      <c r="AJ777" s="114"/>
      <c r="AK777" s="106"/>
      <c r="AL777" s="74"/>
      <c r="AM777" s="73"/>
      <c r="AN777" s="73"/>
      <c r="AO777" s="102"/>
      <c r="AP777" s="73"/>
      <c r="AQ777" s="73"/>
      <c r="AR777" s="74"/>
      <c r="AS777" s="73"/>
      <c r="AT777" s="73"/>
      <c r="AU777" s="73"/>
      <c r="AV777" s="73"/>
      <c r="AW777" s="73"/>
      <c r="AX777" s="74"/>
      <c r="AY777" s="73"/>
      <c r="AZ777" s="73"/>
      <c r="BA777" s="74"/>
      <c r="BB777" s="73"/>
      <c r="BC777" s="73"/>
      <c r="BD777" s="73"/>
      <c r="BE777" s="73"/>
      <c r="BF777" s="73"/>
      <c r="BG777" s="73"/>
      <c r="BH777" s="73"/>
      <c r="BI777" s="73"/>
      <c r="BJ777" s="73"/>
      <c r="BK777" s="73"/>
      <c r="BL777" s="73"/>
      <c r="BM777" s="73"/>
      <c r="BN777" s="73"/>
      <c r="BO777" s="73"/>
      <c r="BP777" s="73"/>
      <c r="BQ777" s="73"/>
      <c r="BR777" s="73"/>
      <c r="BS777" s="73"/>
      <c r="BT777" s="74"/>
      <c r="BU777" s="73"/>
      <c r="BV777" s="73"/>
      <c r="BW777" s="73"/>
      <c r="BX777" s="73"/>
      <c r="BY777" s="73"/>
      <c r="BZ777" s="73"/>
      <c r="CA777" s="73"/>
      <c r="CB777" s="73"/>
      <c r="CC777" s="73"/>
      <c r="CD777" s="73"/>
      <c r="CE777" s="73"/>
    </row>
    <row r="778">
      <c r="A778" s="73"/>
      <c r="B778" s="73"/>
      <c r="C778" s="73"/>
      <c r="D778" s="74"/>
      <c r="E778" s="73"/>
      <c r="F778" s="73"/>
      <c r="G778" s="73"/>
      <c r="H778" s="73"/>
      <c r="I778" s="73"/>
      <c r="J778" s="73"/>
      <c r="K778" s="92"/>
      <c r="L778" s="73"/>
      <c r="M778" s="73"/>
      <c r="N778" s="73"/>
      <c r="O778" s="73"/>
      <c r="P778" s="73"/>
      <c r="Q778" s="75"/>
      <c r="R778" s="82"/>
      <c r="S778" s="73"/>
      <c r="T778" s="73"/>
      <c r="U778" s="73"/>
      <c r="V778" s="73"/>
      <c r="W778" s="73"/>
      <c r="X778" s="73"/>
      <c r="Y778" s="77"/>
      <c r="Z778" s="104"/>
      <c r="AA778" s="73"/>
      <c r="AB778" s="104"/>
      <c r="AC778" s="104"/>
      <c r="AD778" s="74"/>
      <c r="AE778" s="106"/>
      <c r="AF778" s="195"/>
      <c r="AG778" s="80"/>
      <c r="AH778" s="104"/>
      <c r="AI778" s="73"/>
      <c r="AJ778" s="114"/>
      <c r="AK778" s="106"/>
      <c r="AL778" s="74"/>
      <c r="AM778" s="73"/>
      <c r="AN778" s="73"/>
      <c r="AO778" s="102"/>
      <c r="AP778" s="73"/>
      <c r="AQ778" s="73"/>
      <c r="AR778" s="74"/>
      <c r="AS778" s="73"/>
      <c r="AT778" s="73"/>
      <c r="AU778" s="73"/>
      <c r="AV778" s="73"/>
      <c r="AW778" s="73"/>
      <c r="AX778" s="74"/>
      <c r="AY778" s="73"/>
      <c r="AZ778" s="73"/>
      <c r="BA778" s="74"/>
      <c r="BB778" s="73"/>
      <c r="BC778" s="73"/>
      <c r="BD778" s="73"/>
      <c r="BE778" s="73"/>
      <c r="BF778" s="73"/>
      <c r="BG778" s="73"/>
      <c r="BH778" s="73"/>
      <c r="BI778" s="73"/>
      <c r="BJ778" s="73"/>
      <c r="BK778" s="73"/>
      <c r="BL778" s="73"/>
      <c r="BM778" s="73"/>
      <c r="BN778" s="73"/>
      <c r="BO778" s="73"/>
      <c r="BP778" s="73"/>
      <c r="BQ778" s="73"/>
      <c r="BR778" s="73"/>
      <c r="BS778" s="73"/>
      <c r="BT778" s="74"/>
      <c r="BU778" s="73"/>
      <c r="BV778" s="73"/>
      <c r="BW778" s="73"/>
      <c r="BX778" s="73"/>
      <c r="BY778" s="73"/>
      <c r="BZ778" s="73"/>
      <c r="CA778" s="73"/>
      <c r="CB778" s="73"/>
      <c r="CC778" s="73"/>
      <c r="CD778" s="73"/>
      <c r="CE778" s="73"/>
    </row>
    <row r="779">
      <c r="A779" s="73"/>
      <c r="B779" s="73"/>
      <c r="C779" s="73"/>
      <c r="D779" s="74"/>
      <c r="E779" s="73"/>
      <c r="F779" s="73"/>
      <c r="G779" s="73"/>
      <c r="H779" s="73"/>
      <c r="I779" s="73"/>
      <c r="J779" s="73"/>
      <c r="K779" s="92"/>
      <c r="L779" s="73"/>
      <c r="M779" s="73"/>
      <c r="N779" s="73"/>
      <c r="O779" s="73"/>
      <c r="P779" s="73"/>
      <c r="Q779" s="75"/>
      <c r="R779" s="82"/>
      <c r="S779" s="73"/>
      <c r="T779" s="73"/>
      <c r="U779" s="73"/>
      <c r="V779" s="73"/>
      <c r="W779" s="73"/>
      <c r="X779" s="73"/>
      <c r="Y779" s="77"/>
      <c r="Z779" s="104"/>
      <c r="AA779" s="73"/>
      <c r="AB779" s="104"/>
      <c r="AC779" s="104"/>
      <c r="AD779" s="74"/>
      <c r="AE779" s="106"/>
      <c r="AF779" s="195"/>
      <c r="AG779" s="80"/>
      <c r="AH779" s="104"/>
      <c r="AI779" s="73"/>
      <c r="AJ779" s="114"/>
      <c r="AK779" s="106"/>
      <c r="AL779" s="74"/>
      <c r="AM779" s="73"/>
      <c r="AN779" s="73"/>
      <c r="AO779" s="102"/>
      <c r="AP779" s="73"/>
      <c r="AQ779" s="73"/>
      <c r="AR779" s="74"/>
      <c r="AS779" s="73"/>
      <c r="AT779" s="73"/>
      <c r="AU779" s="73"/>
      <c r="AV779" s="73"/>
      <c r="AW779" s="73"/>
      <c r="AX779" s="74"/>
      <c r="AY779" s="73"/>
      <c r="AZ779" s="73"/>
      <c r="BA779" s="74"/>
      <c r="BB779" s="73"/>
      <c r="BC779" s="73"/>
      <c r="BD779" s="73"/>
      <c r="BE779" s="73"/>
      <c r="BF779" s="73"/>
      <c r="BG779" s="73"/>
      <c r="BH779" s="73"/>
      <c r="BI779" s="73"/>
      <c r="BJ779" s="73"/>
      <c r="BK779" s="73"/>
      <c r="BL779" s="73"/>
      <c r="BM779" s="73"/>
      <c r="BN779" s="73"/>
      <c r="BO779" s="73"/>
      <c r="BP779" s="73"/>
      <c r="BQ779" s="73"/>
      <c r="BR779" s="73"/>
      <c r="BS779" s="73"/>
      <c r="BT779" s="74"/>
      <c r="BU779" s="73"/>
      <c r="BV779" s="73"/>
      <c r="BW779" s="73"/>
      <c r="BX779" s="73"/>
      <c r="BY779" s="73"/>
      <c r="BZ779" s="73"/>
      <c r="CA779" s="73"/>
      <c r="CB779" s="73"/>
      <c r="CC779" s="73"/>
      <c r="CD779" s="73"/>
      <c r="CE779" s="73"/>
    </row>
    <row r="780">
      <c r="A780" s="73"/>
      <c r="B780" s="73"/>
      <c r="C780" s="73"/>
      <c r="D780" s="74"/>
      <c r="E780" s="73"/>
      <c r="F780" s="73"/>
      <c r="G780" s="73"/>
      <c r="H780" s="73"/>
      <c r="I780" s="73"/>
      <c r="J780" s="73"/>
      <c r="K780" s="92"/>
      <c r="L780" s="73"/>
      <c r="M780" s="73"/>
      <c r="N780" s="73"/>
      <c r="O780" s="73"/>
      <c r="P780" s="73"/>
      <c r="Q780" s="75"/>
      <c r="R780" s="82"/>
      <c r="S780" s="73"/>
      <c r="T780" s="73"/>
      <c r="U780" s="73"/>
      <c r="V780" s="73"/>
      <c r="W780" s="73"/>
      <c r="X780" s="73"/>
      <c r="Y780" s="77"/>
      <c r="Z780" s="104"/>
      <c r="AA780" s="73"/>
      <c r="AB780" s="104"/>
      <c r="AC780" s="104"/>
      <c r="AD780" s="74"/>
      <c r="AE780" s="106"/>
      <c r="AF780" s="195"/>
      <c r="AG780" s="80"/>
      <c r="AH780" s="104"/>
      <c r="AI780" s="73"/>
      <c r="AJ780" s="114"/>
      <c r="AK780" s="106"/>
      <c r="AL780" s="74"/>
      <c r="AM780" s="73"/>
      <c r="AN780" s="73"/>
      <c r="AO780" s="102"/>
      <c r="AP780" s="73"/>
      <c r="AQ780" s="73"/>
      <c r="AR780" s="74"/>
      <c r="AS780" s="73"/>
      <c r="AT780" s="73"/>
      <c r="AU780" s="73"/>
      <c r="AV780" s="73"/>
      <c r="AW780" s="73"/>
      <c r="AX780" s="74"/>
      <c r="AY780" s="73"/>
      <c r="AZ780" s="73"/>
      <c r="BA780" s="74"/>
      <c r="BB780" s="73"/>
      <c r="BC780" s="73"/>
      <c r="BD780" s="73"/>
      <c r="BE780" s="73"/>
      <c r="BF780" s="73"/>
      <c r="BG780" s="73"/>
      <c r="BH780" s="73"/>
      <c r="BI780" s="73"/>
      <c r="BJ780" s="73"/>
      <c r="BK780" s="73"/>
      <c r="BL780" s="73"/>
      <c r="BM780" s="73"/>
      <c r="BN780" s="73"/>
      <c r="BO780" s="73"/>
      <c r="BP780" s="73"/>
      <c r="BQ780" s="73"/>
      <c r="BR780" s="73"/>
      <c r="BS780" s="73"/>
      <c r="BT780" s="74"/>
      <c r="BU780" s="73"/>
      <c r="BV780" s="73"/>
      <c r="BW780" s="73"/>
      <c r="BX780" s="73"/>
      <c r="BY780" s="73"/>
      <c r="BZ780" s="73"/>
      <c r="CA780" s="73"/>
      <c r="CB780" s="73"/>
      <c r="CC780" s="73"/>
      <c r="CD780" s="73"/>
      <c r="CE780" s="73"/>
    </row>
    <row r="781">
      <c r="A781" s="73"/>
      <c r="B781" s="73"/>
      <c r="C781" s="73"/>
      <c r="D781" s="74"/>
      <c r="E781" s="73"/>
      <c r="F781" s="73"/>
      <c r="G781" s="73"/>
      <c r="H781" s="73"/>
      <c r="I781" s="73"/>
      <c r="J781" s="73"/>
      <c r="K781" s="92"/>
      <c r="L781" s="73"/>
      <c r="M781" s="73"/>
      <c r="N781" s="73"/>
      <c r="O781" s="73"/>
      <c r="P781" s="73"/>
      <c r="Q781" s="75"/>
      <c r="R781" s="82"/>
      <c r="S781" s="73"/>
      <c r="T781" s="73"/>
      <c r="U781" s="73"/>
      <c r="V781" s="73"/>
      <c r="W781" s="73"/>
      <c r="X781" s="73"/>
      <c r="Y781" s="77"/>
      <c r="Z781" s="104"/>
      <c r="AA781" s="73"/>
      <c r="AB781" s="104"/>
      <c r="AC781" s="104"/>
      <c r="AD781" s="74"/>
      <c r="AE781" s="106"/>
      <c r="AF781" s="195"/>
      <c r="AG781" s="80"/>
      <c r="AH781" s="104"/>
      <c r="AI781" s="73"/>
      <c r="AJ781" s="114"/>
      <c r="AK781" s="106"/>
      <c r="AL781" s="74"/>
      <c r="AM781" s="73"/>
      <c r="AN781" s="73"/>
      <c r="AO781" s="102"/>
      <c r="AP781" s="73"/>
      <c r="AQ781" s="73"/>
      <c r="AR781" s="74"/>
      <c r="AS781" s="73"/>
      <c r="AT781" s="73"/>
      <c r="AU781" s="73"/>
      <c r="AV781" s="73"/>
      <c r="AW781" s="73"/>
      <c r="AX781" s="74"/>
      <c r="AY781" s="73"/>
      <c r="AZ781" s="73"/>
      <c r="BA781" s="74"/>
      <c r="BB781" s="73"/>
      <c r="BC781" s="73"/>
      <c r="BD781" s="73"/>
      <c r="BE781" s="73"/>
      <c r="BF781" s="73"/>
      <c r="BG781" s="73"/>
      <c r="BH781" s="73"/>
      <c r="BI781" s="73"/>
      <c r="BJ781" s="73"/>
      <c r="BK781" s="73"/>
      <c r="BL781" s="73"/>
      <c r="BM781" s="73"/>
      <c r="BN781" s="73"/>
      <c r="BO781" s="73"/>
      <c r="BP781" s="73"/>
      <c r="BQ781" s="73"/>
      <c r="BR781" s="73"/>
      <c r="BS781" s="73"/>
      <c r="BT781" s="74"/>
      <c r="BU781" s="73"/>
      <c r="BV781" s="73"/>
      <c r="BW781" s="73"/>
      <c r="BX781" s="73"/>
      <c r="BY781" s="73"/>
      <c r="BZ781" s="73"/>
      <c r="CA781" s="73"/>
      <c r="CB781" s="73"/>
      <c r="CC781" s="73"/>
      <c r="CD781" s="73"/>
      <c r="CE781" s="73"/>
    </row>
    <row r="782">
      <c r="A782" s="73"/>
      <c r="B782" s="73"/>
      <c r="C782" s="73"/>
      <c r="D782" s="74"/>
      <c r="E782" s="73"/>
      <c r="F782" s="73"/>
      <c r="G782" s="73"/>
      <c r="H782" s="73"/>
      <c r="I782" s="73"/>
      <c r="J782" s="73"/>
      <c r="K782" s="92"/>
      <c r="L782" s="73"/>
      <c r="M782" s="73"/>
      <c r="N782" s="73"/>
      <c r="O782" s="73"/>
      <c r="P782" s="73"/>
      <c r="Q782" s="75"/>
      <c r="R782" s="82"/>
      <c r="S782" s="73"/>
      <c r="T782" s="73"/>
      <c r="U782" s="73"/>
      <c r="V782" s="73"/>
      <c r="W782" s="73"/>
      <c r="X782" s="73"/>
      <c r="Y782" s="77"/>
      <c r="Z782" s="104"/>
      <c r="AA782" s="73"/>
      <c r="AB782" s="104"/>
      <c r="AC782" s="104"/>
      <c r="AD782" s="74"/>
      <c r="AE782" s="106"/>
      <c r="AF782" s="195"/>
      <c r="AG782" s="80"/>
      <c r="AH782" s="104"/>
      <c r="AI782" s="73"/>
      <c r="AJ782" s="114"/>
      <c r="AK782" s="106"/>
      <c r="AL782" s="74"/>
      <c r="AM782" s="73"/>
      <c r="AN782" s="73"/>
      <c r="AO782" s="102"/>
      <c r="AP782" s="73"/>
      <c r="AQ782" s="73"/>
      <c r="AR782" s="74"/>
      <c r="AS782" s="73"/>
      <c r="AT782" s="73"/>
      <c r="AU782" s="73"/>
      <c r="AV782" s="73"/>
      <c r="AW782" s="73"/>
      <c r="AX782" s="74"/>
      <c r="AY782" s="73"/>
      <c r="AZ782" s="73"/>
      <c r="BA782" s="74"/>
      <c r="BB782" s="73"/>
      <c r="BC782" s="73"/>
      <c r="BD782" s="73"/>
      <c r="BE782" s="73"/>
      <c r="BF782" s="73"/>
      <c r="BG782" s="73"/>
      <c r="BH782" s="73"/>
      <c r="BI782" s="73"/>
      <c r="BJ782" s="73"/>
      <c r="BK782" s="73"/>
      <c r="BL782" s="73"/>
      <c r="BM782" s="73"/>
      <c r="BN782" s="73"/>
      <c r="BO782" s="73"/>
      <c r="BP782" s="73"/>
      <c r="BQ782" s="73"/>
      <c r="BR782" s="73"/>
      <c r="BS782" s="73"/>
      <c r="BT782" s="74"/>
      <c r="BU782" s="73"/>
      <c r="BV782" s="73"/>
      <c r="BW782" s="73"/>
      <c r="BX782" s="73"/>
      <c r="BY782" s="73"/>
      <c r="BZ782" s="73"/>
      <c r="CA782" s="73"/>
      <c r="CB782" s="73"/>
      <c r="CC782" s="73"/>
      <c r="CD782" s="73"/>
      <c r="CE782" s="73"/>
    </row>
    <row r="783">
      <c r="A783" s="73"/>
      <c r="B783" s="73"/>
      <c r="C783" s="73"/>
      <c r="D783" s="74"/>
      <c r="E783" s="73"/>
      <c r="F783" s="73"/>
      <c r="G783" s="73"/>
      <c r="H783" s="73"/>
      <c r="I783" s="73"/>
      <c r="J783" s="73"/>
      <c r="K783" s="92"/>
      <c r="L783" s="73"/>
      <c r="M783" s="73"/>
      <c r="N783" s="73"/>
      <c r="O783" s="73"/>
      <c r="P783" s="73"/>
      <c r="Q783" s="75"/>
      <c r="R783" s="82"/>
      <c r="S783" s="73"/>
      <c r="T783" s="73"/>
      <c r="U783" s="73"/>
      <c r="V783" s="73"/>
      <c r="W783" s="73"/>
      <c r="X783" s="73"/>
      <c r="Y783" s="77"/>
      <c r="Z783" s="104"/>
      <c r="AA783" s="73"/>
      <c r="AB783" s="104"/>
      <c r="AC783" s="104"/>
      <c r="AD783" s="74"/>
      <c r="AE783" s="106"/>
      <c r="AF783" s="195"/>
      <c r="AG783" s="80"/>
      <c r="AH783" s="104"/>
      <c r="AI783" s="73"/>
      <c r="AJ783" s="114"/>
      <c r="AK783" s="106"/>
      <c r="AL783" s="74"/>
      <c r="AM783" s="73"/>
      <c r="AN783" s="73"/>
      <c r="AO783" s="102"/>
      <c r="AP783" s="73"/>
      <c r="AQ783" s="73"/>
      <c r="AR783" s="74"/>
      <c r="AS783" s="73"/>
      <c r="AT783" s="73"/>
      <c r="AU783" s="73"/>
      <c r="AV783" s="73"/>
      <c r="AW783" s="73"/>
      <c r="AX783" s="74"/>
      <c r="AY783" s="73"/>
      <c r="AZ783" s="73"/>
      <c r="BA783" s="74"/>
      <c r="BB783" s="73"/>
      <c r="BC783" s="73"/>
      <c r="BD783" s="73"/>
      <c r="BE783" s="73"/>
      <c r="BF783" s="73"/>
      <c r="BG783" s="73"/>
      <c r="BH783" s="73"/>
      <c r="BI783" s="73"/>
      <c r="BJ783" s="73"/>
      <c r="BK783" s="73"/>
      <c r="BL783" s="73"/>
      <c r="BM783" s="73"/>
      <c r="BN783" s="73"/>
      <c r="BO783" s="73"/>
      <c r="BP783" s="73"/>
      <c r="BQ783" s="73"/>
      <c r="BR783" s="73"/>
      <c r="BS783" s="73"/>
      <c r="BT783" s="74"/>
      <c r="BU783" s="73"/>
      <c r="BV783" s="73"/>
      <c r="BW783" s="73"/>
      <c r="BX783" s="73"/>
      <c r="BY783" s="73"/>
      <c r="BZ783" s="73"/>
      <c r="CA783" s="73"/>
      <c r="CB783" s="73"/>
      <c r="CC783" s="73"/>
      <c r="CD783" s="73"/>
      <c r="CE783" s="73"/>
    </row>
    <row r="784">
      <c r="A784" s="73"/>
      <c r="B784" s="73"/>
      <c r="C784" s="73"/>
      <c r="D784" s="74"/>
      <c r="E784" s="73"/>
      <c r="F784" s="73"/>
      <c r="G784" s="73"/>
      <c r="H784" s="73"/>
      <c r="I784" s="73"/>
      <c r="J784" s="73"/>
      <c r="K784" s="92"/>
      <c r="L784" s="73"/>
      <c r="M784" s="73"/>
      <c r="N784" s="73"/>
      <c r="O784" s="73"/>
      <c r="P784" s="73"/>
      <c r="Q784" s="75"/>
      <c r="R784" s="82"/>
      <c r="S784" s="73"/>
      <c r="T784" s="73"/>
      <c r="U784" s="73"/>
      <c r="V784" s="73"/>
      <c r="W784" s="73"/>
      <c r="X784" s="73"/>
      <c r="Y784" s="77"/>
      <c r="Z784" s="104"/>
      <c r="AA784" s="73"/>
      <c r="AB784" s="104"/>
      <c r="AC784" s="104"/>
      <c r="AD784" s="74"/>
      <c r="AE784" s="106"/>
      <c r="AF784" s="195"/>
      <c r="AG784" s="80"/>
      <c r="AH784" s="104"/>
      <c r="AI784" s="73"/>
      <c r="AJ784" s="114"/>
      <c r="AK784" s="106"/>
      <c r="AL784" s="74"/>
      <c r="AM784" s="73"/>
      <c r="AN784" s="73"/>
      <c r="AO784" s="102"/>
      <c r="AP784" s="73"/>
      <c r="AQ784" s="73"/>
      <c r="AR784" s="74"/>
      <c r="AS784" s="73"/>
      <c r="AT784" s="73"/>
      <c r="AU784" s="73"/>
      <c r="AV784" s="73"/>
      <c r="AW784" s="73"/>
      <c r="AX784" s="74"/>
      <c r="AY784" s="73"/>
      <c r="AZ784" s="73"/>
      <c r="BA784" s="74"/>
      <c r="BB784" s="73"/>
      <c r="BC784" s="73"/>
      <c r="BD784" s="73"/>
      <c r="BE784" s="73"/>
      <c r="BF784" s="73"/>
      <c r="BG784" s="73"/>
      <c r="BH784" s="73"/>
      <c r="BI784" s="73"/>
      <c r="BJ784" s="73"/>
      <c r="BK784" s="73"/>
      <c r="BL784" s="73"/>
      <c r="BM784" s="73"/>
      <c r="BN784" s="73"/>
      <c r="BO784" s="73"/>
      <c r="BP784" s="73"/>
      <c r="BQ784" s="73"/>
      <c r="BR784" s="73"/>
      <c r="BS784" s="73"/>
      <c r="BT784" s="74"/>
      <c r="BU784" s="73"/>
      <c r="BV784" s="73"/>
      <c r="BW784" s="73"/>
      <c r="BX784" s="73"/>
      <c r="BY784" s="73"/>
      <c r="BZ784" s="73"/>
      <c r="CA784" s="73"/>
      <c r="CB784" s="73"/>
      <c r="CC784" s="73"/>
      <c r="CD784" s="73"/>
      <c r="CE784" s="73"/>
    </row>
    <row r="785">
      <c r="A785" s="73"/>
      <c r="B785" s="73"/>
      <c r="C785" s="73"/>
      <c r="D785" s="74"/>
      <c r="E785" s="73"/>
      <c r="F785" s="73"/>
      <c r="G785" s="73"/>
      <c r="H785" s="73"/>
      <c r="I785" s="73"/>
      <c r="J785" s="73"/>
      <c r="K785" s="92"/>
      <c r="L785" s="73"/>
      <c r="M785" s="73"/>
      <c r="N785" s="73"/>
      <c r="O785" s="73"/>
      <c r="P785" s="73"/>
      <c r="Q785" s="75"/>
      <c r="R785" s="82"/>
      <c r="S785" s="73"/>
      <c r="T785" s="73"/>
      <c r="U785" s="73"/>
      <c r="V785" s="73"/>
      <c r="W785" s="73"/>
      <c r="X785" s="73"/>
      <c r="Y785" s="77"/>
      <c r="Z785" s="104"/>
      <c r="AA785" s="73"/>
      <c r="AB785" s="104"/>
      <c r="AC785" s="104"/>
      <c r="AD785" s="74"/>
      <c r="AE785" s="106"/>
      <c r="AF785" s="195"/>
      <c r="AG785" s="80"/>
      <c r="AH785" s="104"/>
      <c r="AI785" s="73"/>
      <c r="AJ785" s="114"/>
      <c r="AK785" s="106"/>
      <c r="AL785" s="74"/>
      <c r="AM785" s="73"/>
      <c r="AN785" s="73"/>
      <c r="AO785" s="102"/>
      <c r="AP785" s="73"/>
      <c r="AQ785" s="73"/>
      <c r="AR785" s="74"/>
      <c r="AS785" s="73"/>
      <c r="AT785" s="73"/>
      <c r="AU785" s="73"/>
      <c r="AV785" s="73"/>
      <c r="AW785" s="73"/>
      <c r="AX785" s="74"/>
      <c r="AY785" s="73"/>
      <c r="AZ785" s="73"/>
      <c r="BA785" s="74"/>
      <c r="BB785" s="73"/>
      <c r="BC785" s="73"/>
      <c r="BD785" s="73"/>
      <c r="BE785" s="73"/>
      <c r="BF785" s="73"/>
      <c r="BG785" s="73"/>
      <c r="BH785" s="73"/>
      <c r="BI785" s="73"/>
      <c r="BJ785" s="73"/>
      <c r="BK785" s="73"/>
      <c r="BL785" s="73"/>
      <c r="BM785" s="73"/>
      <c r="BN785" s="73"/>
      <c r="BO785" s="73"/>
      <c r="BP785" s="73"/>
      <c r="BQ785" s="73"/>
      <c r="BR785" s="73"/>
      <c r="BS785" s="73"/>
      <c r="BT785" s="74"/>
      <c r="BU785" s="73"/>
      <c r="BV785" s="73"/>
      <c r="BW785" s="73"/>
      <c r="BX785" s="73"/>
      <c r="BY785" s="73"/>
      <c r="BZ785" s="73"/>
      <c r="CA785" s="73"/>
      <c r="CB785" s="73"/>
      <c r="CC785" s="73"/>
      <c r="CD785" s="73"/>
      <c r="CE785" s="73"/>
    </row>
    <row r="786">
      <c r="A786" s="73"/>
      <c r="B786" s="73"/>
      <c r="C786" s="73"/>
      <c r="D786" s="74"/>
      <c r="E786" s="73"/>
      <c r="F786" s="73"/>
      <c r="G786" s="73"/>
      <c r="H786" s="73"/>
      <c r="I786" s="73"/>
      <c r="J786" s="73"/>
      <c r="K786" s="92"/>
      <c r="L786" s="73"/>
      <c r="M786" s="73"/>
      <c r="N786" s="73"/>
      <c r="O786" s="73"/>
      <c r="P786" s="73"/>
      <c r="Q786" s="75"/>
      <c r="R786" s="82"/>
      <c r="S786" s="73"/>
      <c r="T786" s="73"/>
      <c r="U786" s="73"/>
      <c r="V786" s="73"/>
      <c r="W786" s="73"/>
      <c r="X786" s="73"/>
      <c r="Y786" s="77"/>
      <c r="Z786" s="104"/>
      <c r="AA786" s="73"/>
      <c r="AB786" s="104"/>
      <c r="AC786" s="104"/>
      <c r="AD786" s="74"/>
      <c r="AE786" s="106"/>
      <c r="AF786" s="195"/>
      <c r="AG786" s="80"/>
      <c r="AH786" s="104"/>
      <c r="AI786" s="73"/>
      <c r="AJ786" s="114"/>
      <c r="AK786" s="106"/>
      <c r="AL786" s="74"/>
      <c r="AM786" s="73"/>
      <c r="AN786" s="73"/>
      <c r="AO786" s="102"/>
      <c r="AP786" s="73"/>
      <c r="AQ786" s="73"/>
      <c r="AR786" s="74"/>
      <c r="AS786" s="73"/>
      <c r="AT786" s="73"/>
      <c r="AU786" s="73"/>
      <c r="AV786" s="73"/>
      <c r="AW786" s="73"/>
      <c r="AX786" s="74"/>
      <c r="AY786" s="73"/>
      <c r="AZ786" s="73"/>
      <c r="BA786" s="74"/>
      <c r="BB786" s="73"/>
      <c r="BC786" s="73"/>
      <c r="BD786" s="73"/>
      <c r="BE786" s="73"/>
      <c r="BF786" s="73"/>
      <c r="BG786" s="73"/>
      <c r="BH786" s="73"/>
      <c r="BI786" s="73"/>
      <c r="BJ786" s="73"/>
      <c r="BK786" s="73"/>
      <c r="BL786" s="73"/>
      <c r="BM786" s="73"/>
      <c r="BN786" s="73"/>
      <c r="BO786" s="73"/>
      <c r="BP786" s="73"/>
      <c r="BQ786" s="73"/>
      <c r="BR786" s="73"/>
      <c r="BS786" s="73"/>
      <c r="BT786" s="74"/>
      <c r="BU786" s="73"/>
      <c r="BV786" s="73"/>
      <c r="BW786" s="73"/>
      <c r="BX786" s="73"/>
      <c r="BY786" s="73"/>
      <c r="BZ786" s="73"/>
      <c r="CA786" s="73"/>
      <c r="CB786" s="73"/>
      <c r="CC786" s="73"/>
      <c r="CD786" s="73"/>
      <c r="CE786" s="73"/>
    </row>
    <row r="787">
      <c r="A787" s="73"/>
      <c r="B787" s="73"/>
      <c r="C787" s="73"/>
      <c r="D787" s="74"/>
      <c r="E787" s="73"/>
      <c r="F787" s="73"/>
      <c r="G787" s="73"/>
      <c r="H787" s="73"/>
      <c r="I787" s="73"/>
      <c r="J787" s="73"/>
      <c r="K787" s="92"/>
      <c r="L787" s="73"/>
      <c r="M787" s="73"/>
      <c r="N787" s="73"/>
      <c r="O787" s="73"/>
      <c r="P787" s="73"/>
      <c r="Q787" s="75"/>
      <c r="R787" s="82"/>
      <c r="S787" s="73"/>
      <c r="T787" s="73"/>
      <c r="U787" s="73"/>
      <c r="V787" s="73"/>
      <c r="W787" s="73"/>
      <c r="X787" s="73"/>
      <c r="Y787" s="77"/>
      <c r="Z787" s="104"/>
      <c r="AA787" s="73"/>
      <c r="AB787" s="104"/>
      <c r="AC787" s="104"/>
      <c r="AD787" s="74"/>
      <c r="AE787" s="106"/>
      <c r="AF787" s="195"/>
      <c r="AG787" s="80"/>
      <c r="AH787" s="104"/>
      <c r="AI787" s="73"/>
      <c r="AJ787" s="114"/>
      <c r="AK787" s="106"/>
      <c r="AL787" s="74"/>
      <c r="AM787" s="73"/>
      <c r="AN787" s="73"/>
      <c r="AO787" s="102"/>
      <c r="AP787" s="73"/>
      <c r="AQ787" s="73"/>
      <c r="AR787" s="74"/>
      <c r="AS787" s="73"/>
      <c r="AT787" s="73"/>
      <c r="AU787" s="73"/>
      <c r="AV787" s="73"/>
      <c r="AW787" s="73"/>
      <c r="AX787" s="74"/>
      <c r="AY787" s="73"/>
      <c r="AZ787" s="73"/>
      <c r="BA787" s="74"/>
      <c r="BB787" s="73"/>
      <c r="BC787" s="73"/>
      <c r="BD787" s="73"/>
      <c r="BE787" s="73"/>
      <c r="BF787" s="73"/>
      <c r="BG787" s="73"/>
      <c r="BH787" s="73"/>
      <c r="BI787" s="73"/>
      <c r="BJ787" s="73"/>
      <c r="BK787" s="73"/>
      <c r="BL787" s="73"/>
      <c r="BM787" s="73"/>
      <c r="BN787" s="73"/>
      <c r="BO787" s="73"/>
      <c r="BP787" s="73"/>
      <c r="BQ787" s="73"/>
      <c r="BR787" s="73"/>
      <c r="BS787" s="73"/>
      <c r="BT787" s="74"/>
      <c r="BU787" s="73"/>
      <c r="BV787" s="73"/>
      <c r="BW787" s="73"/>
      <c r="BX787" s="73"/>
      <c r="BY787" s="73"/>
      <c r="BZ787" s="73"/>
      <c r="CA787" s="73"/>
      <c r="CB787" s="73"/>
      <c r="CC787" s="73"/>
      <c r="CD787" s="73"/>
      <c r="CE787" s="73"/>
    </row>
    <row r="788">
      <c r="A788" s="73"/>
      <c r="B788" s="73"/>
      <c r="C788" s="73"/>
      <c r="D788" s="74"/>
      <c r="E788" s="73"/>
      <c r="F788" s="73"/>
      <c r="G788" s="73"/>
      <c r="H788" s="73"/>
      <c r="I788" s="73"/>
      <c r="J788" s="73"/>
      <c r="K788" s="92"/>
      <c r="L788" s="73"/>
      <c r="M788" s="73"/>
      <c r="N788" s="73"/>
      <c r="O788" s="73"/>
      <c r="P788" s="73"/>
      <c r="Q788" s="75"/>
      <c r="R788" s="82"/>
      <c r="S788" s="73"/>
      <c r="T788" s="73"/>
      <c r="U788" s="73"/>
      <c r="V788" s="73"/>
      <c r="W788" s="73"/>
      <c r="X788" s="73"/>
      <c r="Y788" s="77"/>
      <c r="Z788" s="104"/>
      <c r="AA788" s="73"/>
      <c r="AB788" s="104"/>
      <c r="AC788" s="104"/>
      <c r="AD788" s="74"/>
      <c r="AE788" s="106"/>
      <c r="AF788" s="195"/>
      <c r="AG788" s="80"/>
      <c r="AH788" s="104"/>
      <c r="AI788" s="73"/>
      <c r="AJ788" s="114"/>
      <c r="AK788" s="106"/>
      <c r="AL788" s="74"/>
      <c r="AM788" s="73"/>
      <c r="AN788" s="73"/>
      <c r="AO788" s="102"/>
      <c r="AP788" s="73"/>
      <c r="AQ788" s="73"/>
      <c r="AR788" s="74"/>
      <c r="AS788" s="73"/>
      <c r="AT788" s="73"/>
      <c r="AU788" s="73"/>
      <c r="AV788" s="73"/>
      <c r="AW788" s="73"/>
      <c r="AX788" s="74"/>
      <c r="AY788" s="73"/>
      <c r="AZ788" s="73"/>
      <c r="BA788" s="74"/>
      <c r="BB788" s="73"/>
      <c r="BC788" s="73"/>
      <c r="BD788" s="73"/>
      <c r="BE788" s="73"/>
      <c r="BF788" s="73"/>
      <c r="BG788" s="73"/>
      <c r="BH788" s="73"/>
      <c r="BI788" s="73"/>
      <c r="BJ788" s="73"/>
      <c r="BK788" s="73"/>
      <c r="BL788" s="73"/>
      <c r="BM788" s="73"/>
      <c r="BN788" s="73"/>
      <c r="BO788" s="73"/>
      <c r="BP788" s="73"/>
      <c r="BQ788" s="73"/>
      <c r="BR788" s="73"/>
      <c r="BS788" s="73"/>
      <c r="BT788" s="74"/>
      <c r="BU788" s="73"/>
      <c r="BV788" s="73"/>
      <c r="BW788" s="73"/>
      <c r="BX788" s="73"/>
      <c r="BY788" s="73"/>
      <c r="BZ788" s="73"/>
      <c r="CA788" s="73"/>
      <c r="CB788" s="73"/>
      <c r="CC788" s="73"/>
      <c r="CD788" s="73"/>
      <c r="CE788" s="73"/>
    </row>
    <row r="789">
      <c r="A789" s="73"/>
      <c r="B789" s="73"/>
      <c r="C789" s="73"/>
      <c r="D789" s="74"/>
      <c r="E789" s="73"/>
      <c r="F789" s="73"/>
      <c r="G789" s="73"/>
      <c r="H789" s="73"/>
      <c r="I789" s="73"/>
      <c r="J789" s="73"/>
      <c r="K789" s="92"/>
      <c r="L789" s="73"/>
      <c r="M789" s="73"/>
      <c r="N789" s="73"/>
      <c r="O789" s="73"/>
      <c r="P789" s="73"/>
      <c r="Q789" s="75"/>
      <c r="R789" s="82"/>
      <c r="S789" s="73"/>
      <c r="T789" s="73"/>
      <c r="U789" s="73"/>
      <c r="V789" s="73"/>
      <c r="W789" s="73"/>
      <c r="X789" s="73"/>
      <c r="Y789" s="77"/>
      <c r="Z789" s="104"/>
      <c r="AA789" s="73"/>
      <c r="AB789" s="104"/>
      <c r="AC789" s="104"/>
      <c r="AD789" s="74"/>
      <c r="AE789" s="106"/>
      <c r="AF789" s="195"/>
      <c r="AG789" s="80"/>
      <c r="AH789" s="104"/>
      <c r="AI789" s="73"/>
      <c r="AJ789" s="114"/>
      <c r="AK789" s="106"/>
      <c r="AL789" s="74"/>
      <c r="AM789" s="73"/>
      <c r="AN789" s="73"/>
      <c r="AO789" s="102"/>
      <c r="AP789" s="73"/>
      <c r="AQ789" s="73"/>
      <c r="AR789" s="74"/>
      <c r="AS789" s="73"/>
      <c r="AT789" s="73"/>
      <c r="AU789" s="73"/>
      <c r="AV789" s="73"/>
      <c r="AW789" s="73"/>
      <c r="AX789" s="74"/>
      <c r="AY789" s="73"/>
      <c r="AZ789" s="73"/>
      <c r="BA789" s="74"/>
      <c r="BB789" s="73"/>
      <c r="BC789" s="73"/>
      <c r="BD789" s="73"/>
      <c r="BE789" s="73"/>
      <c r="BF789" s="73"/>
      <c r="BG789" s="73"/>
      <c r="BH789" s="73"/>
      <c r="BI789" s="73"/>
      <c r="BJ789" s="73"/>
      <c r="BK789" s="73"/>
      <c r="BL789" s="73"/>
      <c r="BM789" s="73"/>
      <c r="BN789" s="73"/>
      <c r="BO789" s="73"/>
      <c r="BP789" s="73"/>
      <c r="BQ789" s="73"/>
      <c r="BR789" s="73"/>
      <c r="BS789" s="73"/>
      <c r="BT789" s="74"/>
      <c r="BU789" s="73"/>
      <c r="BV789" s="73"/>
      <c r="BW789" s="73"/>
      <c r="BX789" s="73"/>
      <c r="BY789" s="73"/>
      <c r="BZ789" s="73"/>
      <c r="CA789" s="73"/>
      <c r="CB789" s="73"/>
      <c r="CC789" s="73"/>
      <c r="CD789" s="73"/>
      <c r="CE789" s="73"/>
    </row>
    <row r="790">
      <c r="A790" s="73"/>
      <c r="B790" s="73"/>
      <c r="C790" s="73"/>
      <c r="D790" s="74"/>
      <c r="E790" s="73"/>
      <c r="F790" s="73"/>
      <c r="G790" s="73"/>
      <c r="H790" s="73"/>
      <c r="I790" s="73"/>
      <c r="J790" s="73"/>
      <c r="K790" s="92"/>
      <c r="L790" s="73"/>
      <c r="M790" s="73"/>
      <c r="N790" s="73"/>
      <c r="O790" s="73"/>
      <c r="P790" s="73"/>
      <c r="Q790" s="75"/>
      <c r="R790" s="82"/>
      <c r="S790" s="73"/>
      <c r="T790" s="73"/>
      <c r="U790" s="73"/>
      <c r="V790" s="73"/>
      <c r="W790" s="73"/>
      <c r="X790" s="73"/>
      <c r="Y790" s="77"/>
      <c r="Z790" s="104"/>
      <c r="AA790" s="73"/>
      <c r="AB790" s="104"/>
      <c r="AC790" s="104"/>
      <c r="AD790" s="74"/>
      <c r="AE790" s="106"/>
      <c r="AF790" s="195"/>
      <c r="AG790" s="80"/>
      <c r="AH790" s="104"/>
      <c r="AI790" s="73"/>
      <c r="AJ790" s="114"/>
      <c r="AK790" s="106"/>
      <c r="AL790" s="74"/>
      <c r="AM790" s="73"/>
      <c r="AN790" s="73"/>
      <c r="AO790" s="102"/>
      <c r="AP790" s="73"/>
      <c r="AQ790" s="73"/>
      <c r="AR790" s="74"/>
      <c r="AS790" s="73"/>
      <c r="AT790" s="73"/>
      <c r="AU790" s="73"/>
      <c r="AV790" s="73"/>
      <c r="AW790" s="73"/>
      <c r="AX790" s="74"/>
      <c r="AY790" s="73"/>
      <c r="AZ790" s="73"/>
      <c r="BA790" s="74"/>
      <c r="BB790" s="73"/>
      <c r="BC790" s="73"/>
      <c r="BD790" s="73"/>
      <c r="BE790" s="73"/>
      <c r="BF790" s="73"/>
      <c r="BG790" s="73"/>
      <c r="BH790" s="73"/>
      <c r="BI790" s="73"/>
      <c r="BJ790" s="73"/>
      <c r="BK790" s="73"/>
      <c r="BL790" s="73"/>
      <c r="BM790" s="73"/>
      <c r="BN790" s="73"/>
      <c r="BO790" s="73"/>
      <c r="BP790" s="73"/>
      <c r="BQ790" s="73"/>
      <c r="BR790" s="73"/>
      <c r="BS790" s="73"/>
      <c r="BT790" s="74"/>
      <c r="BU790" s="73"/>
      <c r="BV790" s="73"/>
      <c r="BW790" s="73"/>
      <c r="BX790" s="73"/>
      <c r="BY790" s="73"/>
      <c r="BZ790" s="73"/>
      <c r="CA790" s="73"/>
      <c r="CB790" s="73"/>
      <c r="CC790" s="73"/>
      <c r="CD790" s="73"/>
      <c r="CE790" s="73"/>
    </row>
    <row r="791">
      <c r="A791" s="73"/>
      <c r="B791" s="73"/>
      <c r="C791" s="73"/>
      <c r="D791" s="74"/>
      <c r="E791" s="73"/>
      <c r="F791" s="73"/>
      <c r="G791" s="73"/>
      <c r="H791" s="73"/>
      <c r="I791" s="73"/>
      <c r="J791" s="73"/>
      <c r="K791" s="92"/>
      <c r="L791" s="73"/>
      <c r="M791" s="73"/>
      <c r="N791" s="73"/>
      <c r="O791" s="73"/>
      <c r="P791" s="73"/>
      <c r="Q791" s="75"/>
      <c r="R791" s="82"/>
      <c r="S791" s="73"/>
      <c r="T791" s="73"/>
      <c r="U791" s="73"/>
      <c r="V791" s="73"/>
      <c r="W791" s="73"/>
      <c r="X791" s="73"/>
      <c r="Y791" s="77"/>
      <c r="Z791" s="104"/>
      <c r="AA791" s="73"/>
      <c r="AB791" s="104"/>
      <c r="AC791" s="104"/>
      <c r="AD791" s="74"/>
      <c r="AE791" s="106"/>
      <c r="AF791" s="195"/>
      <c r="AG791" s="80"/>
      <c r="AH791" s="104"/>
      <c r="AI791" s="73"/>
      <c r="AJ791" s="114"/>
      <c r="AK791" s="106"/>
      <c r="AL791" s="74"/>
      <c r="AM791" s="73"/>
      <c r="AN791" s="73"/>
      <c r="AO791" s="102"/>
      <c r="AP791" s="73"/>
      <c r="AQ791" s="73"/>
      <c r="AR791" s="74"/>
      <c r="AS791" s="73"/>
      <c r="AT791" s="73"/>
      <c r="AU791" s="73"/>
      <c r="AV791" s="73"/>
      <c r="AW791" s="73"/>
      <c r="AX791" s="74"/>
      <c r="AY791" s="73"/>
      <c r="AZ791" s="73"/>
      <c r="BA791" s="74"/>
      <c r="BB791" s="73"/>
      <c r="BC791" s="73"/>
      <c r="BD791" s="73"/>
      <c r="BE791" s="73"/>
      <c r="BF791" s="73"/>
      <c r="BG791" s="73"/>
      <c r="BH791" s="73"/>
      <c r="BI791" s="73"/>
      <c r="BJ791" s="73"/>
      <c r="BK791" s="73"/>
      <c r="BL791" s="73"/>
      <c r="BM791" s="73"/>
      <c r="BN791" s="73"/>
      <c r="BO791" s="73"/>
      <c r="BP791" s="73"/>
      <c r="BQ791" s="73"/>
      <c r="BR791" s="73"/>
      <c r="BS791" s="73"/>
      <c r="BT791" s="74"/>
      <c r="BU791" s="73"/>
      <c r="BV791" s="73"/>
      <c r="BW791" s="73"/>
      <c r="BX791" s="73"/>
      <c r="BY791" s="73"/>
      <c r="BZ791" s="73"/>
      <c r="CA791" s="73"/>
      <c r="CB791" s="73"/>
      <c r="CC791" s="73"/>
      <c r="CD791" s="73"/>
      <c r="CE791" s="73"/>
    </row>
    <row r="792">
      <c r="A792" s="73"/>
      <c r="B792" s="73"/>
      <c r="C792" s="73"/>
      <c r="D792" s="74"/>
      <c r="E792" s="73"/>
      <c r="F792" s="73"/>
      <c r="G792" s="73"/>
      <c r="H792" s="73"/>
      <c r="I792" s="73"/>
      <c r="J792" s="73"/>
      <c r="K792" s="92"/>
      <c r="L792" s="73"/>
      <c r="M792" s="73"/>
      <c r="N792" s="73"/>
      <c r="O792" s="73"/>
      <c r="P792" s="73"/>
      <c r="Q792" s="75"/>
      <c r="R792" s="82"/>
      <c r="S792" s="73"/>
      <c r="T792" s="73"/>
      <c r="U792" s="73"/>
      <c r="V792" s="73"/>
      <c r="W792" s="73"/>
      <c r="X792" s="73"/>
      <c r="Y792" s="77"/>
      <c r="Z792" s="104"/>
      <c r="AA792" s="73"/>
      <c r="AB792" s="104"/>
      <c r="AC792" s="104"/>
      <c r="AD792" s="74"/>
      <c r="AE792" s="106"/>
      <c r="AF792" s="195"/>
      <c r="AG792" s="80"/>
      <c r="AH792" s="104"/>
      <c r="AI792" s="73"/>
      <c r="AJ792" s="114"/>
      <c r="AK792" s="106"/>
      <c r="AL792" s="74"/>
      <c r="AM792" s="73"/>
      <c r="AN792" s="73"/>
      <c r="AO792" s="102"/>
      <c r="AP792" s="73"/>
      <c r="AQ792" s="73"/>
      <c r="AR792" s="74"/>
      <c r="AS792" s="73"/>
      <c r="AT792" s="73"/>
      <c r="AU792" s="73"/>
      <c r="AV792" s="73"/>
      <c r="AW792" s="73"/>
      <c r="AX792" s="74"/>
      <c r="AY792" s="73"/>
      <c r="AZ792" s="73"/>
      <c r="BA792" s="74"/>
      <c r="BB792" s="73"/>
      <c r="BC792" s="73"/>
      <c r="BD792" s="73"/>
      <c r="BE792" s="73"/>
      <c r="BF792" s="73"/>
      <c r="BG792" s="73"/>
      <c r="BH792" s="73"/>
      <c r="BI792" s="73"/>
      <c r="BJ792" s="73"/>
      <c r="BK792" s="73"/>
      <c r="BL792" s="73"/>
      <c r="BM792" s="73"/>
      <c r="BN792" s="73"/>
      <c r="BO792" s="73"/>
      <c r="BP792" s="73"/>
      <c r="BQ792" s="73"/>
      <c r="BR792" s="73"/>
      <c r="BS792" s="73"/>
      <c r="BT792" s="74"/>
      <c r="BU792" s="73"/>
      <c r="BV792" s="73"/>
      <c r="BW792" s="73"/>
      <c r="BX792" s="73"/>
      <c r="BY792" s="73"/>
      <c r="BZ792" s="73"/>
      <c r="CA792" s="73"/>
      <c r="CB792" s="73"/>
      <c r="CC792" s="73"/>
      <c r="CD792" s="73"/>
      <c r="CE792" s="73"/>
    </row>
    <row r="793">
      <c r="A793" s="73"/>
      <c r="B793" s="73"/>
      <c r="C793" s="73"/>
      <c r="D793" s="74"/>
      <c r="E793" s="73"/>
      <c r="F793" s="73"/>
      <c r="G793" s="73"/>
      <c r="H793" s="73"/>
      <c r="I793" s="73"/>
      <c r="J793" s="73"/>
      <c r="K793" s="92"/>
      <c r="L793" s="73"/>
      <c r="M793" s="73"/>
      <c r="N793" s="73"/>
      <c r="O793" s="73"/>
      <c r="P793" s="73"/>
      <c r="Q793" s="75"/>
      <c r="R793" s="82"/>
      <c r="S793" s="73"/>
      <c r="T793" s="73"/>
      <c r="U793" s="73"/>
      <c r="V793" s="73"/>
      <c r="W793" s="73"/>
      <c r="X793" s="73"/>
      <c r="Y793" s="77"/>
      <c r="Z793" s="104"/>
      <c r="AA793" s="73"/>
      <c r="AB793" s="104"/>
      <c r="AC793" s="104"/>
      <c r="AD793" s="74"/>
      <c r="AE793" s="106"/>
      <c r="AF793" s="195"/>
      <c r="AG793" s="80"/>
      <c r="AH793" s="104"/>
      <c r="AI793" s="73"/>
      <c r="AJ793" s="114"/>
      <c r="AK793" s="106"/>
      <c r="AL793" s="74"/>
      <c r="AM793" s="73"/>
      <c r="AN793" s="73"/>
      <c r="AO793" s="102"/>
      <c r="AP793" s="73"/>
      <c r="AQ793" s="73"/>
      <c r="AR793" s="74"/>
      <c r="AS793" s="73"/>
      <c r="AT793" s="73"/>
      <c r="AU793" s="73"/>
      <c r="AV793" s="73"/>
      <c r="AW793" s="73"/>
      <c r="AX793" s="74"/>
      <c r="AY793" s="73"/>
      <c r="AZ793" s="73"/>
      <c r="BA793" s="74"/>
      <c r="BB793" s="73"/>
      <c r="BC793" s="73"/>
      <c r="BD793" s="73"/>
      <c r="BE793" s="73"/>
      <c r="BF793" s="73"/>
      <c r="BG793" s="73"/>
      <c r="BH793" s="73"/>
      <c r="BI793" s="73"/>
      <c r="BJ793" s="73"/>
      <c r="BK793" s="73"/>
      <c r="BL793" s="73"/>
      <c r="BM793" s="73"/>
      <c r="BN793" s="73"/>
      <c r="BO793" s="73"/>
      <c r="BP793" s="73"/>
      <c r="BQ793" s="73"/>
      <c r="BR793" s="73"/>
      <c r="BS793" s="73"/>
      <c r="BT793" s="74"/>
      <c r="BU793" s="73"/>
      <c r="BV793" s="73"/>
      <c r="BW793" s="73"/>
      <c r="BX793" s="73"/>
      <c r="BY793" s="73"/>
      <c r="BZ793" s="73"/>
      <c r="CA793" s="73"/>
      <c r="CB793" s="73"/>
      <c r="CC793" s="73"/>
      <c r="CD793" s="73"/>
      <c r="CE793" s="73"/>
    </row>
    <row r="794">
      <c r="A794" s="73"/>
      <c r="B794" s="73"/>
      <c r="C794" s="73"/>
      <c r="D794" s="74"/>
      <c r="E794" s="73"/>
      <c r="F794" s="73"/>
      <c r="G794" s="73"/>
      <c r="H794" s="73"/>
      <c r="I794" s="73"/>
      <c r="J794" s="73"/>
      <c r="K794" s="92"/>
      <c r="L794" s="73"/>
      <c r="M794" s="73"/>
      <c r="N794" s="73"/>
      <c r="O794" s="73"/>
      <c r="P794" s="73"/>
      <c r="Q794" s="75"/>
      <c r="R794" s="82"/>
      <c r="S794" s="73"/>
      <c r="T794" s="73"/>
      <c r="U794" s="73"/>
      <c r="V794" s="73"/>
      <c r="W794" s="73"/>
      <c r="X794" s="73"/>
      <c r="Y794" s="77"/>
      <c r="Z794" s="104"/>
      <c r="AA794" s="73"/>
      <c r="AB794" s="104"/>
      <c r="AC794" s="104"/>
      <c r="AD794" s="74"/>
      <c r="AE794" s="106"/>
      <c r="AF794" s="195"/>
      <c r="AG794" s="80"/>
      <c r="AH794" s="104"/>
      <c r="AI794" s="73"/>
      <c r="AJ794" s="114"/>
      <c r="AK794" s="106"/>
      <c r="AL794" s="74"/>
      <c r="AM794" s="73"/>
      <c r="AN794" s="73"/>
      <c r="AO794" s="102"/>
      <c r="AP794" s="73"/>
      <c r="AQ794" s="73"/>
      <c r="AR794" s="74"/>
      <c r="AS794" s="73"/>
      <c r="AT794" s="73"/>
      <c r="AU794" s="73"/>
      <c r="AV794" s="73"/>
      <c r="AW794" s="73"/>
      <c r="AX794" s="74"/>
      <c r="AY794" s="73"/>
      <c r="AZ794" s="73"/>
      <c r="BA794" s="74"/>
      <c r="BB794" s="73"/>
      <c r="BC794" s="73"/>
      <c r="BD794" s="73"/>
      <c r="BE794" s="73"/>
      <c r="BF794" s="73"/>
      <c r="BG794" s="73"/>
      <c r="BH794" s="73"/>
      <c r="BI794" s="73"/>
      <c r="BJ794" s="73"/>
      <c r="BK794" s="73"/>
      <c r="BL794" s="73"/>
      <c r="BM794" s="73"/>
      <c r="BN794" s="73"/>
      <c r="BO794" s="73"/>
      <c r="BP794" s="73"/>
      <c r="BQ794" s="73"/>
      <c r="BR794" s="73"/>
      <c r="BS794" s="73"/>
      <c r="BT794" s="74"/>
      <c r="BU794" s="73"/>
      <c r="BV794" s="73"/>
      <c r="BW794" s="73"/>
      <c r="BX794" s="73"/>
      <c r="BY794" s="73"/>
      <c r="BZ794" s="73"/>
      <c r="CA794" s="73"/>
      <c r="CB794" s="73"/>
      <c r="CC794" s="73"/>
      <c r="CD794" s="73"/>
      <c r="CE794" s="73"/>
    </row>
    <row r="795">
      <c r="A795" s="73"/>
      <c r="B795" s="73"/>
      <c r="C795" s="73"/>
      <c r="D795" s="74"/>
      <c r="E795" s="73"/>
      <c r="F795" s="73"/>
      <c r="G795" s="73"/>
      <c r="H795" s="73"/>
      <c r="I795" s="73"/>
      <c r="J795" s="73"/>
      <c r="K795" s="92"/>
      <c r="L795" s="73"/>
      <c r="M795" s="73"/>
      <c r="N795" s="73"/>
      <c r="O795" s="73"/>
      <c r="P795" s="73"/>
      <c r="Q795" s="75"/>
      <c r="R795" s="82"/>
      <c r="S795" s="73"/>
      <c r="T795" s="73"/>
      <c r="U795" s="73"/>
      <c r="V795" s="73"/>
      <c r="W795" s="73"/>
      <c r="X795" s="73"/>
      <c r="Y795" s="77"/>
      <c r="Z795" s="104"/>
      <c r="AA795" s="73"/>
      <c r="AB795" s="104"/>
      <c r="AC795" s="104"/>
      <c r="AD795" s="74"/>
      <c r="AE795" s="106"/>
      <c r="AF795" s="195"/>
      <c r="AG795" s="80"/>
      <c r="AH795" s="104"/>
      <c r="AI795" s="73"/>
      <c r="AJ795" s="114"/>
      <c r="AK795" s="106"/>
      <c r="AL795" s="74"/>
      <c r="AM795" s="73"/>
      <c r="AN795" s="73"/>
      <c r="AO795" s="102"/>
      <c r="AP795" s="73"/>
      <c r="AQ795" s="73"/>
      <c r="AR795" s="74"/>
      <c r="AS795" s="73"/>
      <c r="AT795" s="73"/>
      <c r="AU795" s="73"/>
      <c r="AV795" s="73"/>
      <c r="AW795" s="73"/>
      <c r="AX795" s="74"/>
      <c r="AY795" s="73"/>
      <c r="AZ795" s="73"/>
      <c r="BA795" s="74"/>
      <c r="BB795" s="73"/>
      <c r="BC795" s="73"/>
      <c r="BD795" s="73"/>
      <c r="BE795" s="73"/>
      <c r="BF795" s="73"/>
      <c r="BG795" s="73"/>
      <c r="BH795" s="73"/>
      <c r="BI795" s="73"/>
      <c r="BJ795" s="73"/>
      <c r="BK795" s="73"/>
      <c r="BL795" s="73"/>
      <c r="BM795" s="73"/>
      <c r="BN795" s="73"/>
      <c r="BO795" s="73"/>
      <c r="BP795" s="73"/>
      <c r="BQ795" s="73"/>
      <c r="BR795" s="73"/>
      <c r="BS795" s="73"/>
      <c r="BT795" s="74"/>
      <c r="BU795" s="73"/>
      <c r="BV795" s="73"/>
      <c r="BW795" s="73"/>
      <c r="BX795" s="73"/>
      <c r="BY795" s="73"/>
      <c r="BZ795" s="73"/>
      <c r="CA795" s="73"/>
      <c r="CB795" s="73"/>
      <c r="CC795" s="73"/>
      <c r="CD795" s="73"/>
      <c r="CE795" s="73"/>
    </row>
    <row r="796">
      <c r="A796" s="73"/>
      <c r="B796" s="73"/>
      <c r="C796" s="73"/>
      <c r="D796" s="74"/>
      <c r="E796" s="73"/>
      <c r="F796" s="73"/>
      <c r="G796" s="73"/>
      <c r="H796" s="73"/>
      <c r="I796" s="73"/>
      <c r="J796" s="73"/>
      <c r="K796" s="92"/>
      <c r="L796" s="73"/>
      <c r="M796" s="73"/>
      <c r="N796" s="73"/>
      <c r="O796" s="73"/>
      <c r="P796" s="73"/>
      <c r="Q796" s="75"/>
      <c r="R796" s="82"/>
      <c r="S796" s="73"/>
      <c r="T796" s="73"/>
      <c r="U796" s="73"/>
      <c r="V796" s="73"/>
      <c r="W796" s="73"/>
      <c r="X796" s="73"/>
      <c r="Y796" s="77"/>
      <c r="Z796" s="104"/>
      <c r="AA796" s="73"/>
      <c r="AB796" s="104"/>
      <c r="AC796" s="104"/>
      <c r="AD796" s="74"/>
      <c r="AE796" s="106"/>
      <c r="AF796" s="195"/>
      <c r="AG796" s="80"/>
      <c r="AH796" s="104"/>
      <c r="AI796" s="73"/>
      <c r="AJ796" s="114"/>
      <c r="AK796" s="106"/>
      <c r="AL796" s="74"/>
      <c r="AM796" s="73"/>
      <c r="AN796" s="73"/>
      <c r="AO796" s="102"/>
      <c r="AP796" s="73"/>
      <c r="AQ796" s="73"/>
      <c r="AR796" s="74"/>
      <c r="AS796" s="73"/>
      <c r="AT796" s="73"/>
      <c r="AU796" s="73"/>
      <c r="AV796" s="73"/>
      <c r="AW796" s="73"/>
      <c r="AX796" s="74"/>
      <c r="AY796" s="73"/>
      <c r="AZ796" s="73"/>
      <c r="BA796" s="74"/>
      <c r="BB796" s="73"/>
      <c r="BC796" s="73"/>
      <c r="BD796" s="73"/>
      <c r="BE796" s="73"/>
      <c r="BF796" s="73"/>
      <c r="BG796" s="73"/>
      <c r="BH796" s="73"/>
      <c r="BI796" s="73"/>
      <c r="BJ796" s="73"/>
      <c r="BK796" s="73"/>
      <c r="BL796" s="73"/>
      <c r="BM796" s="73"/>
      <c r="BN796" s="73"/>
      <c r="BO796" s="73"/>
      <c r="BP796" s="73"/>
      <c r="BQ796" s="73"/>
      <c r="BR796" s="73"/>
      <c r="BS796" s="73"/>
      <c r="BT796" s="74"/>
      <c r="BU796" s="73"/>
      <c r="BV796" s="73"/>
      <c r="BW796" s="73"/>
      <c r="BX796" s="73"/>
      <c r="BY796" s="73"/>
      <c r="BZ796" s="73"/>
      <c r="CA796" s="73"/>
      <c r="CB796" s="73"/>
      <c r="CC796" s="73"/>
      <c r="CD796" s="73"/>
      <c r="CE796" s="73"/>
    </row>
    <row r="797">
      <c r="A797" s="73"/>
      <c r="B797" s="73"/>
      <c r="C797" s="73"/>
      <c r="D797" s="74"/>
      <c r="E797" s="73"/>
      <c r="F797" s="73"/>
      <c r="G797" s="73"/>
      <c r="H797" s="73"/>
      <c r="I797" s="73"/>
      <c r="J797" s="73"/>
      <c r="K797" s="92"/>
      <c r="L797" s="73"/>
      <c r="M797" s="73"/>
      <c r="N797" s="73"/>
      <c r="O797" s="73"/>
      <c r="P797" s="73"/>
      <c r="Q797" s="75"/>
      <c r="R797" s="82"/>
      <c r="S797" s="73"/>
      <c r="T797" s="73"/>
      <c r="U797" s="73"/>
      <c r="V797" s="73"/>
      <c r="W797" s="73"/>
      <c r="X797" s="73"/>
      <c r="Y797" s="77"/>
      <c r="Z797" s="104"/>
      <c r="AA797" s="73"/>
      <c r="AB797" s="104"/>
      <c r="AC797" s="104"/>
      <c r="AD797" s="74"/>
      <c r="AE797" s="106"/>
      <c r="AF797" s="195"/>
      <c r="AG797" s="80"/>
      <c r="AH797" s="104"/>
      <c r="AI797" s="73"/>
      <c r="AJ797" s="114"/>
      <c r="AK797" s="106"/>
      <c r="AL797" s="74"/>
      <c r="AM797" s="73"/>
      <c r="AN797" s="73"/>
      <c r="AO797" s="102"/>
      <c r="AP797" s="73"/>
      <c r="AQ797" s="73"/>
      <c r="AR797" s="74"/>
      <c r="AS797" s="73"/>
      <c r="AT797" s="73"/>
      <c r="AU797" s="73"/>
      <c r="AV797" s="73"/>
      <c r="AW797" s="73"/>
      <c r="AX797" s="74"/>
      <c r="AY797" s="73"/>
      <c r="AZ797" s="73"/>
      <c r="BA797" s="74"/>
      <c r="BB797" s="73"/>
      <c r="BC797" s="73"/>
      <c r="BD797" s="73"/>
      <c r="BE797" s="73"/>
      <c r="BF797" s="73"/>
      <c r="BG797" s="73"/>
      <c r="BH797" s="73"/>
      <c r="BI797" s="73"/>
      <c r="BJ797" s="73"/>
      <c r="BK797" s="73"/>
      <c r="BL797" s="73"/>
      <c r="BM797" s="73"/>
      <c r="BN797" s="73"/>
      <c r="BO797" s="73"/>
      <c r="BP797" s="73"/>
      <c r="BQ797" s="73"/>
      <c r="BR797" s="73"/>
      <c r="BS797" s="73"/>
      <c r="BT797" s="74"/>
      <c r="BU797" s="73"/>
      <c r="BV797" s="73"/>
      <c r="BW797" s="73"/>
      <c r="BX797" s="73"/>
      <c r="BY797" s="73"/>
      <c r="BZ797" s="73"/>
      <c r="CA797" s="73"/>
      <c r="CB797" s="73"/>
      <c r="CC797" s="73"/>
      <c r="CD797" s="73"/>
      <c r="CE797" s="73"/>
    </row>
    <row r="798">
      <c r="A798" s="73"/>
      <c r="B798" s="73"/>
      <c r="C798" s="73"/>
      <c r="D798" s="74"/>
      <c r="E798" s="73"/>
      <c r="F798" s="73"/>
      <c r="G798" s="73"/>
      <c r="H798" s="73"/>
      <c r="I798" s="73"/>
      <c r="J798" s="73"/>
      <c r="K798" s="92"/>
      <c r="L798" s="73"/>
      <c r="M798" s="73"/>
      <c r="N798" s="73"/>
      <c r="O798" s="73"/>
      <c r="P798" s="73"/>
      <c r="Q798" s="75"/>
      <c r="R798" s="82"/>
      <c r="S798" s="73"/>
      <c r="T798" s="73"/>
      <c r="U798" s="73"/>
      <c r="V798" s="73"/>
      <c r="W798" s="73"/>
      <c r="X798" s="73"/>
      <c r="Y798" s="77"/>
      <c r="Z798" s="104"/>
      <c r="AA798" s="73"/>
      <c r="AB798" s="104"/>
      <c r="AC798" s="104"/>
      <c r="AD798" s="74"/>
      <c r="AE798" s="106"/>
      <c r="AF798" s="195"/>
      <c r="AG798" s="80"/>
      <c r="AH798" s="104"/>
      <c r="AI798" s="73"/>
      <c r="AJ798" s="114"/>
      <c r="AK798" s="106"/>
      <c r="AL798" s="74"/>
      <c r="AM798" s="73"/>
      <c r="AN798" s="73"/>
      <c r="AO798" s="102"/>
      <c r="AP798" s="73"/>
      <c r="AQ798" s="73"/>
      <c r="AR798" s="74"/>
      <c r="AS798" s="73"/>
      <c r="AT798" s="73"/>
      <c r="AU798" s="73"/>
      <c r="AV798" s="73"/>
      <c r="AW798" s="73"/>
      <c r="AX798" s="74"/>
      <c r="AY798" s="73"/>
      <c r="AZ798" s="73"/>
      <c r="BA798" s="74"/>
      <c r="BB798" s="73"/>
      <c r="BC798" s="73"/>
      <c r="BD798" s="73"/>
      <c r="BE798" s="73"/>
      <c r="BF798" s="73"/>
      <c r="BG798" s="73"/>
      <c r="BH798" s="73"/>
      <c r="BI798" s="73"/>
      <c r="BJ798" s="73"/>
      <c r="BK798" s="73"/>
      <c r="BL798" s="73"/>
      <c r="BM798" s="73"/>
      <c r="BN798" s="73"/>
      <c r="BO798" s="73"/>
      <c r="BP798" s="73"/>
      <c r="BQ798" s="73"/>
      <c r="BR798" s="73"/>
      <c r="BS798" s="73"/>
      <c r="BT798" s="74"/>
      <c r="BU798" s="73"/>
      <c r="BV798" s="73"/>
      <c r="BW798" s="73"/>
      <c r="BX798" s="73"/>
      <c r="BY798" s="73"/>
      <c r="BZ798" s="73"/>
      <c r="CA798" s="73"/>
      <c r="CB798" s="73"/>
      <c r="CC798" s="73"/>
      <c r="CD798" s="73"/>
      <c r="CE798" s="73"/>
    </row>
    <row r="799">
      <c r="A799" s="73"/>
      <c r="B799" s="73"/>
      <c r="C799" s="73"/>
      <c r="D799" s="74"/>
      <c r="E799" s="73"/>
      <c r="F799" s="73"/>
      <c r="G799" s="73"/>
      <c r="H799" s="73"/>
      <c r="I799" s="73"/>
      <c r="J799" s="73"/>
      <c r="K799" s="92"/>
      <c r="L799" s="73"/>
      <c r="M799" s="73"/>
      <c r="N799" s="73"/>
      <c r="O799" s="73"/>
      <c r="P799" s="73"/>
      <c r="Q799" s="75"/>
      <c r="R799" s="82"/>
      <c r="S799" s="73"/>
      <c r="T799" s="73"/>
      <c r="U799" s="73"/>
      <c r="V799" s="73"/>
      <c r="W799" s="73"/>
      <c r="X799" s="73"/>
      <c r="Y799" s="77"/>
      <c r="Z799" s="104"/>
      <c r="AA799" s="73"/>
      <c r="AB799" s="104"/>
      <c r="AC799" s="104"/>
      <c r="AD799" s="74"/>
      <c r="AE799" s="106"/>
      <c r="AF799" s="195"/>
      <c r="AG799" s="80"/>
      <c r="AH799" s="104"/>
      <c r="AI799" s="73"/>
      <c r="AJ799" s="114"/>
      <c r="AK799" s="106"/>
      <c r="AL799" s="74"/>
      <c r="AM799" s="73"/>
      <c r="AN799" s="73"/>
      <c r="AO799" s="102"/>
      <c r="AP799" s="73"/>
      <c r="AQ799" s="73"/>
      <c r="AR799" s="74"/>
      <c r="AS799" s="73"/>
      <c r="AT799" s="73"/>
      <c r="AU799" s="73"/>
      <c r="AV799" s="73"/>
      <c r="AW799" s="73"/>
      <c r="AX799" s="74"/>
      <c r="AY799" s="73"/>
      <c r="AZ799" s="73"/>
      <c r="BA799" s="74"/>
      <c r="BB799" s="73"/>
      <c r="BC799" s="73"/>
      <c r="BD799" s="73"/>
      <c r="BE799" s="73"/>
      <c r="BF799" s="73"/>
      <c r="BG799" s="73"/>
      <c r="BH799" s="73"/>
      <c r="BI799" s="73"/>
      <c r="BJ799" s="73"/>
      <c r="BK799" s="73"/>
      <c r="BL799" s="73"/>
      <c r="BM799" s="73"/>
      <c r="BN799" s="73"/>
      <c r="BO799" s="73"/>
      <c r="BP799" s="73"/>
      <c r="BQ799" s="73"/>
      <c r="BR799" s="73"/>
      <c r="BS799" s="73"/>
      <c r="BT799" s="74"/>
      <c r="BU799" s="73"/>
      <c r="BV799" s="73"/>
      <c r="BW799" s="73"/>
      <c r="BX799" s="73"/>
      <c r="BY799" s="73"/>
      <c r="BZ799" s="73"/>
      <c r="CA799" s="73"/>
      <c r="CB799" s="73"/>
      <c r="CC799" s="73"/>
      <c r="CD799" s="73"/>
      <c r="CE799" s="73"/>
    </row>
    <row r="800">
      <c r="A800" s="73"/>
      <c r="B800" s="73"/>
      <c r="C800" s="73"/>
      <c r="D800" s="74"/>
      <c r="E800" s="73"/>
      <c r="F800" s="73"/>
      <c r="G800" s="73"/>
      <c r="H800" s="73"/>
      <c r="I800" s="73"/>
      <c r="J800" s="73"/>
      <c r="K800" s="92"/>
      <c r="L800" s="73"/>
      <c r="M800" s="73"/>
      <c r="N800" s="73"/>
      <c r="O800" s="73"/>
      <c r="P800" s="73"/>
      <c r="Q800" s="75"/>
      <c r="R800" s="82"/>
      <c r="S800" s="73"/>
      <c r="T800" s="73"/>
      <c r="U800" s="73"/>
      <c r="V800" s="73"/>
      <c r="W800" s="73"/>
      <c r="X800" s="73"/>
      <c r="Y800" s="77"/>
      <c r="Z800" s="104"/>
      <c r="AA800" s="73"/>
      <c r="AB800" s="104"/>
      <c r="AC800" s="104"/>
      <c r="AD800" s="74"/>
      <c r="AE800" s="106"/>
      <c r="AF800" s="195"/>
      <c r="AG800" s="80"/>
      <c r="AH800" s="104"/>
      <c r="AI800" s="73"/>
      <c r="AJ800" s="114"/>
      <c r="AK800" s="106"/>
      <c r="AL800" s="74"/>
      <c r="AM800" s="73"/>
      <c r="AN800" s="73"/>
      <c r="AO800" s="102"/>
      <c r="AP800" s="73"/>
      <c r="AQ800" s="73"/>
      <c r="AR800" s="74"/>
      <c r="AS800" s="73"/>
      <c r="AT800" s="73"/>
      <c r="AU800" s="73"/>
      <c r="AV800" s="73"/>
      <c r="AW800" s="73"/>
      <c r="AX800" s="74"/>
      <c r="AY800" s="73"/>
      <c r="AZ800" s="73"/>
      <c r="BA800" s="74"/>
      <c r="BB800" s="73"/>
      <c r="BC800" s="73"/>
      <c r="BD800" s="73"/>
      <c r="BE800" s="73"/>
      <c r="BF800" s="73"/>
      <c r="BG800" s="73"/>
      <c r="BH800" s="73"/>
      <c r="BI800" s="73"/>
      <c r="BJ800" s="73"/>
      <c r="BK800" s="73"/>
      <c r="BL800" s="73"/>
      <c r="BM800" s="73"/>
      <c r="BN800" s="73"/>
      <c r="BO800" s="73"/>
      <c r="BP800" s="73"/>
      <c r="BQ800" s="73"/>
      <c r="BR800" s="73"/>
      <c r="BS800" s="73"/>
      <c r="BT800" s="74"/>
      <c r="BU800" s="73"/>
      <c r="BV800" s="73"/>
      <c r="BW800" s="73"/>
      <c r="BX800" s="73"/>
      <c r="BY800" s="73"/>
      <c r="BZ800" s="73"/>
      <c r="CA800" s="73"/>
      <c r="CB800" s="73"/>
      <c r="CC800" s="73"/>
      <c r="CD800" s="73"/>
      <c r="CE800" s="73"/>
    </row>
    <row r="801">
      <c r="A801" s="73"/>
      <c r="B801" s="73"/>
      <c r="C801" s="73"/>
      <c r="D801" s="74"/>
      <c r="E801" s="73"/>
      <c r="F801" s="73"/>
      <c r="G801" s="73"/>
      <c r="H801" s="73"/>
      <c r="I801" s="73"/>
      <c r="J801" s="73"/>
      <c r="K801" s="92"/>
      <c r="L801" s="73"/>
      <c r="M801" s="73"/>
      <c r="N801" s="73"/>
      <c r="O801" s="73"/>
      <c r="P801" s="73"/>
      <c r="Q801" s="75"/>
      <c r="R801" s="82"/>
      <c r="S801" s="73"/>
      <c r="T801" s="73"/>
      <c r="U801" s="73"/>
      <c r="V801" s="73"/>
      <c r="W801" s="73"/>
      <c r="X801" s="73"/>
      <c r="Y801" s="77"/>
      <c r="Z801" s="104"/>
      <c r="AA801" s="73"/>
      <c r="AB801" s="104"/>
      <c r="AC801" s="104"/>
      <c r="AD801" s="74"/>
      <c r="AE801" s="106"/>
      <c r="AF801" s="195"/>
      <c r="AG801" s="80"/>
      <c r="AH801" s="78"/>
      <c r="AI801" s="73"/>
      <c r="AJ801" s="114"/>
      <c r="AK801" s="106"/>
      <c r="AL801" s="74"/>
      <c r="AM801" s="73"/>
      <c r="AN801" s="73"/>
      <c r="AO801" s="102"/>
      <c r="AP801" s="73"/>
      <c r="AQ801" s="73"/>
      <c r="AR801" s="74"/>
      <c r="AS801" s="73"/>
      <c r="AT801" s="73"/>
      <c r="AU801" s="73"/>
      <c r="AV801" s="73"/>
      <c r="AW801" s="73"/>
      <c r="AX801" s="74"/>
      <c r="AY801" s="73"/>
      <c r="AZ801" s="73"/>
      <c r="BA801" s="74"/>
      <c r="BB801" s="73"/>
      <c r="BC801" s="73"/>
      <c r="BD801" s="73"/>
      <c r="BE801" s="73"/>
      <c r="BF801" s="73"/>
      <c r="BG801" s="73"/>
      <c r="BH801" s="73"/>
      <c r="BI801" s="73"/>
      <c r="BJ801" s="73"/>
      <c r="BK801" s="73"/>
      <c r="BL801" s="73"/>
      <c r="BM801" s="73"/>
      <c r="BN801" s="73"/>
      <c r="BO801" s="73"/>
      <c r="BP801" s="73"/>
      <c r="BQ801" s="73"/>
      <c r="BR801" s="73"/>
      <c r="BS801" s="73"/>
      <c r="BT801" s="74"/>
      <c r="BU801" s="73"/>
      <c r="BV801" s="73"/>
      <c r="BW801" s="73"/>
      <c r="BX801" s="73"/>
      <c r="BY801" s="73"/>
      <c r="BZ801" s="73"/>
      <c r="CA801" s="73"/>
      <c r="CB801" s="73"/>
      <c r="CC801" s="73"/>
      <c r="CD801" s="73"/>
      <c r="CE801" s="73"/>
    </row>
    <row r="802">
      <c r="A802" s="73"/>
      <c r="B802" s="73"/>
      <c r="C802" s="73"/>
      <c r="D802" s="74"/>
      <c r="E802" s="73"/>
      <c r="F802" s="73"/>
      <c r="G802" s="73"/>
      <c r="H802" s="73"/>
      <c r="I802" s="73"/>
      <c r="J802" s="73"/>
      <c r="K802" s="92"/>
      <c r="L802" s="73"/>
      <c r="M802" s="73"/>
      <c r="N802" s="73"/>
      <c r="O802" s="73"/>
      <c r="P802" s="73"/>
      <c r="Q802" s="75"/>
      <c r="R802" s="82"/>
      <c r="S802" s="92"/>
      <c r="T802" s="73"/>
      <c r="U802" s="73"/>
      <c r="V802" s="73"/>
      <c r="W802" s="73"/>
      <c r="X802" s="73"/>
      <c r="Y802" s="77"/>
      <c r="Z802" s="104"/>
      <c r="AA802" s="73"/>
      <c r="AB802" s="104"/>
      <c r="AC802" s="104"/>
      <c r="AD802" s="74"/>
      <c r="AE802" s="106"/>
      <c r="AF802" s="195"/>
      <c r="AG802" s="80"/>
      <c r="AH802" s="78"/>
      <c r="AI802" s="82"/>
      <c r="AJ802" s="114"/>
      <c r="AK802" s="106"/>
      <c r="AL802" s="74"/>
      <c r="AM802" s="73"/>
      <c r="AN802" s="73"/>
      <c r="AO802" s="102"/>
      <c r="AP802" s="73"/>
      <c r="AQ802" s="104"/>
      <c r="AR802" s="74"/>
      <c r="AS802" s="73"/>
      <c r="AT802" s="104"/>
      <c r="AU802" s="73"/>
      <c r="AV802" s="73"/>
      <c r="AW802" s="106"/>
      <c r="AX802" s="74"/>
      <c r="AY802" s="73"/>
      <c r="AZ802" s="73"/>
      <c r="BA802" s="102"/>
      <c r="BB802" s="73"/>
      <c r="BC802" s="73"/>
      <c r="BD802" s="73"/>
      <c r="BE802" s="73"/>
      <c r="BF802" s="73"/>
      <c r="BG802" s="73"/>
      <c r="BH802" s="73"/>
      <c r="BI802" s="73"/>
      <c r="BJ802" s="73"/>
      <c r="BK802" s="73"/>
      <c r="BL802" s="73"/>
      <c r="BM802" s="73"/>
      <c r="BN802" s="73"/>
      <c r="BO802" s="73"/>
      <c r="BP802" s="73"/>
      <c r="BQ802" s="73"/>
      <c r="BR802" s="73"/>
      <c r="BS802" s="73"/>
      <c r="BT802" s="74"/>
      <c r="BU802" s="73"/>
      <c r="BV802" s="73"/>
      <c r="BW802" s="73"/>
      <c r="BX802" s="73"/>
      <c r="BY802" s="73"/>
      <c r="BZ802" s="73"/>
      <c r="CA802" s="73"/>
      <c r="CB802" s="73"/>
      <c r="CC802" s="73"/>
      <c r="CD802" s="73"/>
      <c r="CE802" s="73"/>
    </row>
    <row r="803">
      <c r="A803" s="73"/>
      <c r="B803" s="73"/>
      <c r="C803" s="73"/>
      <c r="D803" s="74"/>
      <c r="E803" s="73"/>
      <c r="F803" s="73"/>
      <c r="G803" s="73"/>
      <c r="H803" s="73"/>
      <c r="I803" s="73"/>
      <c r="J803" s="73"/>
      <c r="K803" s="92"/>
      <c r="L803" s="73"/>
      <c r="M803" s="73"/>
      <c r="N803" s="73"/>
      <c r="O803" s="73"/>
      <c r="P803" s="73"/>
      <c r="Q803" s="75"/>
      <c r="R803" s="82"/>
      <c r="S803" s="92"/>
      <c r="T803" s="73"/>
      <c r="U803" s="73"/>
      <c r="V803" s="73"/>
      <c r="W803" s="73"/>
      <c r="X803" s="73"/>
      <c r="Y803" s="77"/>
      <c r="Z803" s="104"/>
      <c r="AA803" s="73"/>
      <c r="AB803" s="104"/>
      <c r="AC803" s="104"/>
      <c r="AD803" s="74"/>
      <c r="AE803" s="106"/>
      <c r="AF803" s="195"/>
      <c r="AG803" s="80"/>
      <c r="AH803" s="113"/>
      <c r="AI803" s="82"/>
      <c r="AJ803" s="114"/>
      <c r="AK803" s="106"/>
      <c r="AL803" s="74"/>
      <c r="AM803" s="73"/>
      <c r="AN803" s="73"/>
      <c r="AO803" s="102"/>
      <c r="AP803" s="73"/>
      <c r="AQ803" s="116"/>
      <c r="AR803" s="74"/>
      <c r="AS803" s="73"/>
      <c r="AT803" s="116"/>
      <c r="AU803" s="73"/>
      <c r="AV803" s="73"/>
      <c r="AW803" s="73"/>
      <c r="AX803" s="74"/>
      <c r="AY803" s="73"/>
      <c r="AZ803" s="73"/>
      <c r="BA803" s="119"/>
      <c r="BB803" s="118"/>
      <c r="BC803" s="73"/>
      <c r="BD803" s="73"/>
      <c r="BE803" s="73"/>
      <c r="BF803" s="73"/>
      <c r="BG803" s="73"/>
      <c r="BH803" s="73"/>
      <c r="BI803" s="73"/>
      <c r="BJ803" s="73"/>
      <c r="BK803" s="73"/>
      <c r="BL803" s="73"/>
      <c r="BM803" s="73"/>
      <c r="BN803" s="73"/>
      <c r="BO803" s="73"/>
      <c r="BP803" s="73"/>
      <c r="BQ803" s="73"/>
      <c r="BR803" s="73"/>
      <c r="BS803" s="73"/>
      <c r="BT803" s="74"/>
      <c r="BU803" s="73"/>
      <c r="BV803" s="73"/>
      <c r="BW803" s="73"/>
      <c r="BX803" s="73"/>
      <c r="BY803" s="73"/>
      <c r="BZ803" s="73"/>
      <c r="CA803" s="73"/>
      <c r="CB803" s="73"/>
      <c r="CC803" s="73"/>
      <c r="CD803" s="73"/>
      <c r="CE803" s="73"/>
    </row>
    <row r="804">
      <c r="A804" s="73"/>
      <c r="B804" s="73"/>
      <c r="C804" s="73"/>
      <c r="D804" s="74"/>
      <c r="E804" s="73"/>
      <c r="F804" s="73"/>
      <c r="G804" s="73"/>
      <c r="H804" s="73"/>
      <c r="I804" s="73"/>
      <c r="J804" s="73"/>
      <c r="K804" s="92"/>
      <c r="L804" s="73"/>
      <c r="M804" s="73"/>
      <c r="N804" s="73"/>
      <c r="O804" s="73"/>
      <c r="P804" s="73"/>
      <c r="Q804" s="75"/>
      <c r="R804" s="82"/>
      <c r="S804" s="92"/>
      <c r="T804" s="73"/>
      <c r="U804" s="73"/>
      <c r="V804" s="73"/>
      <c r="W804" s="73"/>
      <c r="X804" s="73"/>
      <c r="Y804" s="77"/>
      <c r="Z804" s="104"/>
      <c r="AA804" s="73"/>
      <c r="AB804" s="104"/>
      <c r="AC804" s="104"/>
      <c r="AD804" s="74"/>
      <c r="AE804" s="106"/>
      <c r="AF804" s="195"/>
      <c r="AG804" s="80"/>
      <c r="AH804" s="104"/>
      <c r="AI804" s="82"/>
      <c r="AJ804" s="114"/>
      <c r="AK804" s="106"/>
      <c r="AL804" s="74"/>
      <c r="AM804" s="73"/>
      <c r="AN804" s="73"/>
      <c r="AO804" s="102"/>
      <c r="AP804" s="73"/>
      <c r="AQ804" s="116"/>
      <c r="AR804" s="74"/>
      <c r="AS804" s="73"/>
      <c r="AT804" s="116"/>
      <c r="AU804" s="73"/>
      <c r="AV804" s="73"/>
      <c r="AW804" s="73"/>
      <c r="AX804" s="74"/>
      <c r="AY804" s="73"/>
      <c r="AZ804" s="73"/>
      <c r="BA804" s="91"/>
      <c r="BB804" s="128"/>
      <c r="BC804" s="73"/>
      <c r="BD804" s="73"/>
      <c r="BE804" s="73"/>
      <c r="BF804" s="73"/>
      <c r="BG804" s="73"/>
      <c r="BH804" s="73"/>
      <c r="BI804" s="73"/>
      <c r="BJ804" s="73"/>
      <c r="BK804" s="73"/>
      <c r="BL804" s="73"/>
      <c r="BM804" s="73"/>
      <c r="BN804" s="73"/>
      <c r="BO804" s="73"/>
      <c r="BP804" s="73"/>
      <c r="BQ804" s="73"/>
      <c r="BR804" s="73"/>
      <c r="BS804" s="73"/>
      <c r="BT804" s="74"/>
      <c r="BU804" s="73"/>
      <c r="BV804" s="73"/>
      <c r="BW804" s="73"/>
      <c r="BX804" s="73"/>
      <c r="BY804" s="73"/>
      <c r="BZ804" s="73"/>
      <c r="CA804" s="73"/>
      <c r="CB804" s="73"/>
      <c r="CC804" s="73"/>
      <c r="CD804" s="73"/>
      <c r="CE804" s="73"/>
    </row>
    <row r="805">
      <c r="A805" s="73"/>
      <c r="B805" s="73"/>
      <c r="C805" s="73"/>
      <c r="D805" s="74"/>
      <c r="E805" s="73"/>
      <c r="F805" s="73"/>
      <c r="G805" s="73"/>
      <c r="H805" s="73"/>
      <c r="I805" s="73"/>
      <c r="J805" s="73"/>
      <c r="K805" s="92"/>
      <c r="L805" s="73"/>
      <c r="M805" s="73"/>
      <c r="N805" s="73"/>
      <c r="O805" s="73"/>
      <c r="P805" s="73"/>
      <c r="Q805" s="75"/>
      <c r="R805" s="82"/>
      <c r="S805" s="92"/>
      <c r="T805" s="73"/>
      <c r="U805" s="73"/>
      <c r="V805" s="73"/>
      <c r="W805" s="73"/>
      <c r="X805" s="73"/>
      <c r="Y805" s="77"/>
      <c r="Z805" s="104"/>
      <c r="AA805" s="73"/>
      <c r="AB805" s="104"/>
      <c r="AC805" s="104"/>
      <c r="AD805" s="74"/>
      <c r="AE805" s="106"/>
      <c r="AF805" s="195"/>
      <c r="AG805" s="80"/>
      <c r="AH805" s="135"/>
      <c r="AI805" s="82"/>
      <c r="AJ805" s="114"/>
      <c r="AK805" s="106"/>
      <c r="AL805" s="74"/>
      <c r="AM805" s="73"/>
      <c r="AN805" s="73"/>
      <c r="AO805" s="102"/>
      <c r="AP805" s="73"/>
      <c r="AQ805" s="116"/>
      <c r="AR805" s="74"/>
      <c r="AS805" s="73"/>
      <c r="AT805" s="116"/>
      <c r="AU805" s="73"/>
      <c r="AV805" s="73"/>
      <c r="AW805" s="73"/>
      <c r="AX805" s="74"/>
      <c r="AY805" s="131"/>
      <c r="AZ805" s="73"/>
      <c r="BA805" s="140"/>
      <c r="BB805" s="139"/>
      <c r="BC805" s="73"/>
      <c r="BD805" s="73"/>
      <c r="BE805" s="73"/>
      <c r="BF805" s="73"/>
      <c r="BG805" s="73"/>
      <c r="BH805" s="73"/>
      <c r="BI805" s="73"/>
      <c r="BJ805" s="73"/>
      <c r="BK805" s="73"/>
      <c r="BL805" s="73"/>
      <c r="BM805" s="73"/>
      <c r="BN805" s="73"/>
      <c r="BO805" s="73"/>
      <c r="BP805" s="73"/>
      <c r="BQ805" s="73"/>
      <c r="BR805" s="73"/>
      <c r="BS805" s="73"/>
      <c r="BT805" s="74"/>
      <c r="BU805" s="73"/>
      <c r="BV805" s="73"/>
      <c r="BW805" s="73"/>
      <c r="BX805" s="73"/>
      <c r="BY805" s="73"/>
      <c r="BZ805" s="73"/>
      <c r="CA805" s="73"/>
      <c r="CB805" s="73"/>
      <c r="CC805" s="73"/>
      <c r="CD805" s="73"/>
      <c r="CE805" s="73"/>
    </row>
    <row r="806">
      <c r="A806" s="73"/>
      <c r="B806" s="73"/>
      <c r="C806" s="73"/>
      <c r="D806" s="74"/>
      <c r="E806" s="73"/>
      <c r="F806" s="73"/>
      <c r="G806" s="73"/>
      <c r="H806" s="73"/>
      <c r="I806" s="73"/>
      <c r="J806" s="73"/>
      <c r="K806" s="92"/>
      <c r="L806" s="73"/>
      <c r="M806" s="73"/>
      <c r="N806" s="73"/>
      <c r="O806" s="73"/>
      <c r="P806" s="73"/>
      <c r="Q806" s="75"/>
      <c r="R806" s="82"/>
      <c r="S806" s="92"/>
      <c r="T806" s="73"/>
      <c r="U806" s="73"/>
      <c r="V806" s="73"/>
      <c r="W806" s="73"/>
      <c r="X806" s="73"/>
      <c r="Y806" s="77"/>
      <c r="Z806" s="104"/>
      <c r="AA806" s="73"/>
      <c r="AB806" s="104"/>
      <c r="AC806" s="104"/>
      <c r="AD806" s="74"/>
      <c r="AE806" s="106"/>
      <c r="AF806" s="195"/>
      <c r="AG806" s="80"/>
      <c r="AH806" s="143"/>
      <c r="AI806" s="82"/>
      <c r="AJ806" s="114"/>
      <c r="AK806" s="106"/>
      <c r="AL806" s="74"/>
      <c r="AM806" s="73"/>
      <c r="AN806" s="73"/>
      <c r="AO806" s="102"/>
      <c r="AP806" s="73"/>
      <c r="AQ806" s="116"/>
      <c r="AR806" s="74"/>
      <c r="AS806" s="73"/>
      <c r="AT806" s="116"/>
      <c r="AU806" s="73"/>
      <c r="AV806" s="73"/>
      <c r="AW806" s="139"/>
      <c r="AX806" s="74"/>
      <c r="AY806" s="73"/>
      <c r="AZ806" s="73"/>
      <c r="BA806" s="147"/>
      <c r="BB806" s="145"/>
      <c r="BC806" s="73"/>
      <c r="BD806" s="73"/>
      <c r="BE806" s="73"/>
      <c r="BF806" s="73"/>
      <c r="BG806" s="73"/>
      <c r="BH806" s="73"/>
      <c r="BI806" s="73"/>
      <c r="BJ806" s="73"/>
      <c r="BK806" s="73"/>
      <c r="BL806" s="73"/>
      <c r="BM806" s="73"/>
      <c r="BN806" s="73"/>
      <c r="BO806" s="73"/>
      <c r="BP806" s="73"/>
      <c r="BQ806" s="73"/>
      <c r="BR806" s="73"/>
      <c r="BS806" s="73"/>
      <c r="BT806" s="74"/>
      <c r="BU806" s="73"/>
      <c r="BV806" s="73"/>
      <c r="BW806" s="73"/>
      <c r="BX806" s="73"/>
      <c r="BY806" s="73"/>
      <c r="BZ806" s="73"/>
      <c r="CA806" s="73"/>
      <c r="CB806" s="73"/>
      <c r="CC806" s="73"/>
      <c r="CD806" s="73"/>
      <c r="CE806" s="73"/>
    </row>
    <row r="807">
      <c r="A807" s="73"/>
      <c r="B807" s="73"/>
      <c r="C807" s="73"/>
      <c r="D807" s="74"/>
      <c r="E807" s="73"/>
      <c r="F807" s="73"/>
      <c r="G807" s="73"/>
      <c r="H807" s="73"/>
      <c r="I807" s="73"/>
      <c r="J807" s="73"/>
      <c r="K807" s="92"/>
      <c r="L807" s="73"/>
      <c r="M807" s="73"/>
      <c r="N807" s="73"/>
      <c r="O807" s="73"/>
      <c r="P807" s="73"/>
      <c r="Q807" s="75"/>
      <c r="R807" s="82"/>
      <c r="S807" s="92"/>
      <c r="T807" s="73"/>
      <c r="U807" s="73"/>
      <c r="V807" s="73"/>
      <c r="W807" s="73"/>
      <c r="X807" s="73"/>
      <c r="Y807" s="77"/>
      <c r="Z807" s="104"/>
      <c r="AA807" s="73"/>
      <c r="AB807" s="104"/>
      <c r="AC807" s="104"/>
      <c r="AD807" s="74"/>
      <c r="AE807" s="106"/>
      <c r="AF807" s="195"/>
      <c r="AG807" s="80"/>
      <c r="AH807" s="113"/>
      <c r="AI807" s="73"/>
      <c r="AJ807" s="114"/>
      <c r="AK807" s="106"/>
      <c r="AL807" s="74"/>
      <c r="AM807" s="73"/>
      <c r="AN807" s="73"/>
      <c r="AO807" s="102"/>
      <c r="AP807" s="73"/>
      <c r="AQ807" s="73"/>
      <c r="AR807" s="74"/>
      <c r="AS807" s="73"/>
      <c r="AT807" s="73"/>
      <c r="AU807" s="73"/>
      <c r="AV807" s="73"/>
      <c r="AW807" s="104"/>
      <c r="AX807" s="74"/>
      <c r="AY807" s="73"/>
      <c r="AZ807" s="73"/>
      <c r="BA807" s="151"/>
      <c r="BB807" s="150"/>
      <c r="BC807" s="73"/>
      <c r="BD807" s="73"/>
      <c r="BE807" s="73"/>
      <c r="BF807" s="73"/>
      <c r="BG807" s="73"/>
      <c r="BH807" s="73"/>
      <c r="BI807" s="73"/>
      <c r="BJ807" s="73"/>
      <c r="BK807" s="73"/>
      <c r="BL807" s="73"/>
      <c r="BM807" s="73"/>
      <c r="BN807" s="73"/>
      <c r="BO807" s="73"/>
      <c r="BP807" s="73"/>
      <c r="BQ807" s="73"/>
      <c r="BR807" s="73"/>
      <c r="BS807" s="73"/>
      <c r="BT807" s="74"/>
      <c r="BU807" s="73"/>
      <c r="BV807" s="73"/>
      <c r="BW807" s="73"/>
      <c r="BX807" s="73"/>
      <c r="BY807" s="73"/>
      <c r="BZ807" s="73"/>
      <c r="CA807" s="73"/>
      <c r="CB807" s="73"/>
      <c r="CC807" s="73"/>
      <c r="CD807" s="73"/>
      <c r="CE807" s="73"/>
    </row>
    <row r="808">
      <c r="A808" s="73"/>
      <c r="B808" s="73"/>
      <c r="C808" s="73"/>
      <c r="D808" s="74"/>
      <c r="E808" s="73"/>
      <c r="F808" s="73"/>
      <c r="G808" s="73"/>
      <c r="H808" s="73"/>
      <c r="I808" s="73"/>
      <c r="J808" s="73"/>
      <c r="K808" s="92"/>
      <c r="L808" s="73"/>
      <c r="M808" s="73"/>
      <c r="N808" s="73"/>
      <c r="O808" s="73"/>
      <c r="P808" s="73"/>
      <c r="Q808" s="75"/>
      <c r="R808" s="82"/>
      <c r="S808" s="92"/>
      <c r="T808" s="73"/>
      <c r="U808" s="73"/>
      <c r="V808" s="73"/>
      <c r="W808" s="73"/>
      <c r="X808" s="73"/>
      <c r="Y808" s="77"/>
      <c r="Z808" s="104"/>
      <c r="AA808" s="73"/>
      <c r="AB808" s="104"/>
      <c r="AC808" s="104"/>
      <c r="AD808" s="74"/>
      <c r="AE808" s="106"/>
      <c r="AF808" s="195"/>
      <c r="AG808" s="80"/>
      <c r="AH808" s="153"/>
      <c r="AI808" s="82"/>
      <c r="AJ808" s="114"/>
      <c r="AK808" s="106"/>
      <c r="AL808" s="74"/>
      <c r="AM808" s="73"/>
      <c r="AN808" s="73"/>
      <c r="AO808" s="102"/>
      <c r="AP808" s="73"/>
      <c r="AQ808" s="73"/>
      <c r="AR808" s="74"/>
      <c r="AS808" s="73"/>
      <c r="AT808" s="104"/>
      <c r="AU808" s="73"/>
      <c r="AV808" s="73"/>
      <c r="AW808" s="104"/>
      <c r="AX808" s="74"/>
      <c r="AY808" s="73"/>
      <c r="AZ808" s="73"/>
      <c r="BA808" s="102"/>
      <c r="BB808" s="73"/>
      <c r="BC808" s="73"/>
      <c r="BD808" s="73"/>
      <c r="BE808" s="73"/>
      <c r="BF808" s="73"/>
      <c r="BG808" s="73"/>
      <c r="BH808" s="73"/>
      <c r="BI808" s="73"/>
      <c r="BJ808" s="73"/>
      <c r="BK808" s="73"/>
      <c r="BL808" s="73"/>
      <c r="BM808" s="73"/>
      <c r="BN808" s="73"/>
      <c r="BO808" s="73"/>
      <c r="BP808" s="73"/>
      <c r="BQ808" s="73"/>
      <c r="BR808" s="73"/>
      <c r="BS808" s="73"/>
      <c r="BT808" s="74"/>
      <c r="BU808" s="73"/>
      <c r="BV808" s="73"/>
      <c r="BW808" s="73"/>
      <c r="BX808" s="73"/>
      <c r="BY808" s="73"/>
      <c r="BZ808" s="73"/>
      <c r="CA808" s="73"/>
      <c r="CB808" s="73"/>
      <c r="CC808" s="73"/>
      <c r="CD808" s="73"/>
      <c r="CE808" s="73"/>
    </row>
    <row r="809">
      <c r="A809" s="73"/>
      <c r="B809" s="73"/>
      <c r="C809" s="73"/>
      <c r="D809" s="74"/>
      <c r="E809" s="73"/>
      <c r="F809" s="73"/>
      <c r="G809" s="73"/>
      <c r="H809" s="73"/>
      <c r="I809" s="73"/>
      <c r="J809" s="73"/>
      <c r="K809" s="92"/>
      <c r="L809" s="73"/>
      <c r="M809" s="73"/>
      <c r="N809" s="73"/>
      <c r="O809" s="73"/>
      <c r="P809" s="73"/>
      <c r="Q809" s="75"/>
      <c r="R809" s="82"/>
      <c r="S809" s="92"/>
      <c r="T809" s="73"/>
      <c r="U809" s="73"/>
      <c r="V809" s="73"/>
      <c r="W809" s="73"/>
      <c r="X809" s="73"/>
      <c r="Y809" s="77"/>
      <c r="Z809" s="104"/>
      <c r="AA809" s="73"/>
      <c r="AB809" s="104"/>
      <c r="AC809" s="104"/>
      <c r="AD809" s="74"/>
      <c r="AE809" s="106"/>
      <c r="AF809" s="195"/>
      <c r="AG809" s="80"/>
      <c r="AH809" s="153"/>
      <c r="AI809" s="82"/>
      <c r="AJ809" s="114"/>
      <c r="AK809" s="106"/>
      <c r="AL809" s="74"/>
      <c r="AM809" s="73"/>
      <c r="AN809" s="73"/>
      <c r="AO809" s="102"/>
      <c r="AP809" s="73"/>
      <c r="AQ809" s="73"/>
      <c r="AR809" s="74"/>
      <c r="AS809" s="73"/>
      <c r="AT809" s="73"/>
      <c r="AU809" s="73"/>
      <c r="AV809" s="73"/>
      <c r="AW809" s="73"/>
      <c r="AX809" s="74"/>
      <c r="AY809" s="73"/>
      <c r="AZ809" s="73"/>
      <c r="BA809" s="159"/>
      <c r="BB809" s="139"/>
      <c r="BC809" s="73"/>
      <c r="BD809" s="73"/>
      <c r="BE809" s="73"/>
      <c r="BF809" s="73"/>
      <c r="BG809" s="73"/>
      <c r="BH809" s="73"/>
      <c r="BI809" s="73"/>
      <c r="BJ809" s="73"/>
      <c r="BK809" s="73"/>
      <c r="BL809" s="73"/>
      <c r="BM809" s="73"/>
      <c r="BN809" s="73"/>
      <c r="BO809" s="73"/>
      <c r="BP809" s="73"/>
      <c r="BQ809" s="73"/>
      <c r="BR809" s="73"/>
      <c r="BS809" s="73"/>
      <c r="BT809" s="74"/>
      <c r="BU809" s="73"/>
      <c r="BV809" s="73"/>
      <c r="BW809" s="73"/>
      <c r="BX809" s="73"/>
      <c r="BY809" s="73"/>
      <c r="BZ809" s="73"/>
      <c r="CA809" s="73"/>
      <c r="CB809" s="73"/>
      <c r="CC809" s="73"/>
      <c r="CD809" s="73"/>
      <c r="CE809" s="73"/>
    </row>
    <row r="810">
      <c r="A810" s="73"/>
      <c r="B810" s="73"/>
      <c r="C810" s="73"/>
      <c r="D810" s="74"/>
      <c r="E810" s="73"/>
      <c r="F810" s="73"/>
      <c r="G810" s="73"/>
      <c r="H810" s="73"/>
      <c r="I810" s="73"/>
      <c r="J810" s="73"/>
      <c r="K810" s="92"/>
      <c r="L810" s="73"/>
      <c r="M810" s="73"/>
      <c r="N810" s="73"/>
      <c r="O810" s="73"/>
      <c r="P810" s="73"/>
      <c r="Q810" s="75"/>
      <c r="R810" s="82"/>
      <c r="S810" s="92"/>
      <c r="T810" s="73"/>
      <c r="U810" s="73"/>
      <c r="V810" s="73"/>
      <c r="W810" s="73"/>
      <c r="X810" s="73"/>
      <c r="Y810" s="77"/>
      <c r="Z810" s="104"/>
      <c r="AA810" s="73"/>
      <c r="AB810" s="104"/>
      <c r="AC810" s="104"/>
      <c r="AD810" s="74"/>
      <c r="AE810" s="106"/>
      <c r="AF810" s="195"/>
      <c r="AG810" s="80"/>
      <c r="AH810" s="78"/>
      <c r="AI810" s="73"/>
      <c r="AJ810" s="114"/>
      <c r="AK810" s="106"/>
      <c r="AL810" s="74"/>
      <c r="AM810" s="73"/>
      <c r="AN810" s="73"/>
      <c r="AO810" s="102"/>
      <c r="AP810" s="73"/>
      <c r="AQ810" s="104"/>
      <c r="AR810" s="74"/>
      <c r="AS810" s="73"/>
      <c r="AT810" s="104"/>
      <c r="AU810" s="104"/>
      <c r="AV810" s="104"/>
      <c r="AW810" s="104"/>
      <c r="AX810" s="74"/>
      <c r="AY810" s="73"/>
      <c r="AZ810" s="73"/>
      <c r="BA810" s="161"/>
      <c r="BB810" s="82"/>
      <c r="BC810" s="73"/>
      <c r="BD810" s="73"/>
      <c r="BE810" s="73"/>
      <c r="BF810" s="73"/>
      <c r="BG810" s="73"/>
      <c r="BH810" s="73"/>
      <c r="BI810" s="73"/>
      <c r="BJ810" s="73"/>
      <c r="BK810" s="73"/>
      <c r="BL810" s="73"/>
      <c r="BM810" s="73"/>
      <c r="BN810" s="73"/>
      <c r="BO810" s="73"/>
      <c r="BP810" s="73"/>
      <c r="BQ810" s="73"/>
      <c r="BR810" s="73"/>
      <c r="BS810" s="73"/>
      <c r="BT810" s="74"/>
      <c r="BU810" s="73"/>
      <c r="BV810" s="73"/>
      <c r="BW810" s="73"/>
      <c r="BX810" s="73"/>
      <c r="BY810" s="73"/>
      <c r="BZ810" s="73"/>
      <c r="CA810" s="73"/>
      <c r="CB810" s="73"/>
      <c r="CC810" s="73"/>
      <c r="CD810" s="73"/>
      <c r="CE810" s="73"/>
    </row>
    <row r="811">
      <c r="A811" s="73"/>
      <c r="B811" s="73"/>
      <c r="C811" s="73"/>
      <c r="D811" s="74"/>
      <c r="E811" s="73"/>
      <c r="F811" s="73"/>
      <c r="G811" s="73"/>
      <c r="H811" s="73"/>
      <c r="I811" s="73"/>
      <c r="J811" s="73"/>
      <c r="K811" s="92"/>
      <c r="L811" s="73"/>
      <c r="M811" s="73"/>
      <c r="N811" s="73"/>
      <c r="O811" s="73"/>
      <c r="P811" s="73"/>
      <c r="Q811" s="75"/>
      <c r="R811" s="82"/>
      <c r="S811" s="92"/>
      <c r="T811" s="73"/>
      <c r="U811" s="73"/>
      <c r="V811" s="73"/>
      <c r="W811" s="73"/>
      <c r="X811" s="73"/>
      <c r="Y811" s="77"/>
      <c r="Z811" s="104"/>
      <c r="AA811" s="73"/>
      <c r="AB811" s="104"/>
      <c r="AC811" s="104"/>
      <c r="AD811" s="74"/>
      <c r="AE811" s="106"/>
      <c r="AF811" s="195"/>
      <c r="AG811" s="80"/>
      <c r="AH811" s="163"/>
      <c r="AI811" s="73"/>
      <c r="AJ811" s="114"/>
      <c r="AK811" s="106"/>
      <c r="AL811" s="74"/>
      <c r="AM811" s="73"/>
      <c r="AN811" s="73"/>
      <c r="AO811" s="102"/>
      <c r="AP811" s="73"/>
      <c r="AQ811" s="139"/>
      <c r="AR811" s="74"/>
      <c r="AS811" s="73"/>
      <c r="AT811" s="139"/>
      <c r="AU811" s="73"/>
      <c r="AV811" s="73"/>
      <c r="AW811" s="73"/>
      <c r="AX811" s="74"/>
      <c r="AY811" s="73"/>
      <c r="AZ811" s="73"/>
      <c r="BA811" s="167"/>
      <c r="BB811" s="82"/>
      <c r="BC811" s="73"/>
      <c r="BD811" s="73"/>
      <c r="BE811" s="73"/>
      <c r="BF811" s="73"/>
      <c r="BG811" s="73"/>
      <c r="BH811" s="73"/>
      <c r="BI811" s="73"/>
      <c r="BJ811" s="73"/>
      <c r="BK811" s="73"/>
      <c r="BL811" s="73"/>
      <c r="BM811" s="73"/>
      <c r="BN811" s="73"/>
      <c r="BO811" s="73"/>
      <c r="BP811" s="73"/>
      <c r="BQ811" s="73"/>
      <c r="BR811" s="73"/>
      <c r="BS811" s="73"/>
      <c r="BT811" s="74"/>
      <c r="BU811" s="73"/>
      <c r="BV811" s="73"/>
      <c r="BW811" s="73"/>
      <c r="BX811" s="73"/>
      <c r="BY811" s="73"/>
      <c r="BZ811" s="73"/>
      <c r="CA811" s="73"/>
      <c r="CB811" s="73"/>
      <c r="CC811" s="73"/>
      <c r="CD811" s="73"/>
      <c r="CE811" s="73"/>
    </row>
    <row r="812">
      <c r="A812" s="73"/>
      <c r="B812" s="73"/>
      <c r="C812" s="73"/>
      <c r="D812" s="74"/>
      <c r="E812" s="73"/>
      <c r="F812" s="73"/>
      <c r="G812" s="73"/>
      <c r="H812" s="73"/>
      <c r="I812" s="73"/>
      <c r="J812" s="73"/>
      <c r="K812" s="92"/>
      <c r="L812" s="73"/>
      <c r="M812" s="73"/>
      <c r="N812" s="73"/>
      <c r="O812" s="73"/>
      <c r="P812" s="73"/>
      <c r="Q812" s="75"/>
      <c r="R812" s="82"/>
      <c r="S812" s="92"/>
      <c r="T812" s="73"/>
      <c r="U812" s="73"/>
      <c r="V812" s="73"/>
      <c r="W812" s="73"/>
      <c r="X812" s="73"/>
      <c r="Y812" s="77"/>
      <c r="Z812" s="104"/>
      <c r="AA812" s="73"/>
      <c r="AB812" s="104"/>
      <c r="AC812" s="104"/>
      <c r="AD812" s="74"/>
      <c r="AE812" s="106"/>
      <c r="AF812" s="195"/>
      <c r="AG812" s="80"/>
      <c r="AH812" s="118"/>
      <c r="AI812" s="73"/>
      <c r="AJ812" s="114"/>
      <c r="AK812" s="106"/>
      <c r="AL812" s="74"/>
      <c r="AM812" s="73"/>
      <c r="AN812" s="73"/>
      <c r="AO812" s="102"/>
      <c r="AP812" s="73"/>
      <c r="AQ812" s="73"/>
      <c r="AR812" s="74"/>
      <c r="AS812" s="73"/>
      <c r="AT812" s="73"/>
      <c r="AU812" s="73"/>
      <c r="AV812" s="73"/>
      <c r="AW812" s="73"/>
      <c r="AX812" s="74"/>
      <c r="AY812" s="73"/>
      <c r="AZ812" s="73"/>
      <c r="BA812" s="171"/>
      <c r="BB812" s="82"/>
      <c r="BC812" s="73"/>
      <c r="BD812" s="73"/>
      <c r="BE812" s="73"/>
      <c r="BF812" s="73"/>
      <c r="BG812" s="73"/>
      <c r="BH812" s="73"/>
      <c r="BI812" s="73"/>
      <c r="BJ812" s="73"/>
      <c r="BK812" s="73"/>
      <c r="BL812" s="73"/>
      <c r="BM812" s="73"/>
      <c r="BN812" s="73"/>
      <c r="BO812" s="73"/>
      <c r="BP812" s="73"/>
      <c r="BQ812" s="73"/>
      <c r="BR812" s="73"/>
      <c r="BS812" s="73"/>
      <c r="BT812" s="74"/>
      <c r="BU812" s="73"/>
      <c r="BV812" s="73"/>
      <c r="BW812" s="73"/>
      <c r="BX812" s="73"/>
      <c r="BY812" s="73"/>
      <c r="BZ812" s="73"/>
      <c r="CA812" s="73"/>
      <c r="CB812" s="73"/>
      <c r="CC812" s="73"/>
      <c r="CD812" s="73"/>
      <c r="CE812" s="73"/>
    </row>
    <row r="813">
      <c r="A813" s="73"/>
      <c r="B813" s="73"/>
      <c r="C813" s="73"/>
      <c r="D813" s="74"/>
      <c r="E813" s="73"/>
      <c r="F813" s="73"/>
      <c r="G813" s="73"/>
      <c r="H813" s="73"/>
      <c r="I813" s="73"/>
      <c r="J813" s="73"/>
      <c r="K813" s="92"/>
      <c r="L813" s="73"/>
      <c r="M813" s="73"/>
      <c r="N813" s="73"/>
      <c r="O813" s="73"/>
      <c r="P813" s="73"/>
      <c r="Q813" s="75"/>
      <c r="R813" s="82"/>
      <c r="S813" s="92"/>
      <c r="T813" s="73"/>
      <c r="U813" s="73"/>
      <c r="V813" s="73"/>
      <c r="W813" s="73"/>
      <c r="X813" s="73"/>
      <c r="Y813" s="77"/>
      <c r="Z813" s="104"/>
      <c r="AA813" s="73"/>
      <c r="AB813" s="104"/>
      <c r="AC813" s="104"/>
      <c r="AD813" s="74"/>
      <c r="AE813" s="106"/>
      <c r="AF813" s="195"/>
      <c r="AG813" s="80"/>
      <c r="AH813" s="173"/>
      <c r="AI813" s="73"/>
      <c r="AJ813" s="114"/>
      <c r="AK813" s="106"/>
      <c r="AL813" s="74"/>
      <c r="AM813" s="73"/>
      <c r="AN813" s="73"/>
      <c r="AO813" s="102"/>
      <c r="AP813" s="73"/>
      <c r="AQ813" s="104"/>
      <c r="AR813" s="74"/>
      <c r="AS813" s="73"/>
      <c r="AT813" s="104"/>
      <c r="AU813" s="73"/>
      <c r="AV813" s="73"/>
      <c r="AW813" s="114"/>
      <c r="AX813" s="74"/>
      <c r="AY813" s="131"/>
      <c r="AZ813" s="73"/>
      <c r="BA813" s="159"/>
      <c r="BB813" s="82"/>
      <c r="BC813" s="73"/>
      <c r="BD813" s="73"/>
      <c r="BE813" s="73"/>
      <c r="BF813" s="73"/>
      <c r="BG813" s="73"/>
      <c r="BH813" s="73"/>
      <c r="BI813" s="73"/>
      <c r="BJ813" s="73"/>
      <c r="BK813" s="73"/>
      <c r="BL813" s="73"/>
      <c r="BM813" s="73"/>
      <c r="BN813" s="73"/>
      <c r="BO813" s="73"/>
      <c r="BP813" s="73"/>
      <c r="BQ813" s="73"/>
      <c r="BR813" s="73"/>
      <c r="BS813" s="73"/>
      <c r="BT813" s="74"/>
      <c r="BU813" s="73"/>
      <c r="BV813" s="73"/>
      <c r="BW813" s="73"/>
      <c r="BX813" s="73"/>
      <c r="BY813" s="73"/>
      <c r="BZ813" s="73"/>
      <c r="CA813" s="73"/>
      <c r="CB813" s="73"/>
      <c r="CC813" s="73"/>
      <c r="CD813" s="73"/>
      <c r="CE813" s="73"/>
    </row>
    <row r="814">
      <c r="A814" s="73"/>
      <c r="B814" s="73"/>
      <c r="C814" s="73"/>
      <c r="D814" s="74"/>
      <c r="E814" s="73"/>
      <c r="F814" s="73"/>
      <c r="G814" s="73"/>
      <c r="H814" s="73"/>
      <c r="I814" s="73"/>
      <c r="J814" s="73"/>
      <c r="K814" s="92"/>
      <c r="L814" s="73"/>
      <c r="M814" s="73"/>
      <c r="N814" s="73"/>
      <c r="O814" s="73"/>
      <c r="P814" s="73"/>
      <c r="Q814" s="75"/>
      <c r="R814" s="82"/>
      <c r="S814" s="92"/>
      <c r="T814" s="73"/>
      <c r="U814" s="73"/>
      <c r="V814" s="73"/>
      <c r="W814" s="73"/>
      <c r="X814" s="73"/>
      <c r="Y814" s="77"/>
      <c r="Z814" s="104"/>
      <c r="AA814" s="73"/>
      <c r="AB814" s="104"/>
      <c r="AC814" s="104"/>
      <c r="AD814" s="74"/>
      <c r="AE814" s="106"/>
      <c r="AF814" s="195"/>
      <c r="AG814" s="80"/>
      <c r="AH814" s="153"/>
      <c r="AI814" s="82"/>
      <c r="AJ814" s="114"/>
      <c r="AK814" s="106"/>
      <c r="AL814" s="74"/>
      <c r="AM814" s="73"/>
      <c r="AN814" s="73"/>
      <c r="AO814" s="102"/>
      <c r="AP814" s="73"/>
      <c r="AQ814" s="104"/>
      <c r="AR814" s="74"/>
      <c r="AS814" s="73"/>
      <c r="AT814" s="104"/>
      <c r="AU814" s="73"/>
      <c r="AV814" s="73"/>
      <c r="AW814" s="114"/>
      <c r="AX814" s="74"/>
      <c r="AY814" s="73"/>
      <c r="AZ814" s="73"/>
      <c r="BA814" s="161"/>
      <c r="BB814" s="82"/>
      <c r="BC814" s="73"/>
      <c r="BD814" s="73"/>
      <c r="BE814" s="73"/>
      <c r="BF814" s="73"/>
      <c r="BG814" s="73"/>
      <c r="BH814" s="73"/>
      <c r="BI814" s="73"/>
      <c r="BJ814" s="73"/>
      <c r="BK814" s="73"/>
      <c r="BL814" s="73"/>
      <c r="BM814" s="73"/>
      <c r="BN814" s="73"/>
      <c r="BO814" s="73"/>
      <c r="BP814" s="73"/>
      <c r="BQ814" s="73"/>
      <c r="BR814" s="73"/>
      <c r="BS814" s="73"/>
      <c r="BT814" s="74"/>
      <c r="BU814" s="73"/>
      <c r="BV814" s="73"/>
      <c r="BW814" s="73"/>
      <c r="BX814" s="73"/>
      <c r="BY814" s="73"/>
      <c r="BZ814" s="73"/>
      <c r="CA814" s="73"/>
      <c r="CB814" s="73"/>
      <c r="CC814" s="73"/>
      <c r="CD814" s="73"/>
      <c r="CE814" s="73"/>
    </row>
    <row r="815">
      <c r="A815" s="73"/>
      <c r="B815" s="73"/>
      <c r="C815" s="73"/>
      <c r="D815" s="74"/>
      <c r="E815" s="73"/>
      <c r="F815" s="73"/>
      <c r="G815" s="73"/>
      <c r="H815" s="73"/>
      <c r="I815" s="73"/>
      <c r="J815" s="73"/>
      <c r="K815" s="92"/>
      <c r="L815" s="73"/>
      <c r="M815" s="73"/>
      <c r="N815" s="73"/>
      <c r="O815" s="73"/>
      <c r="P815" s="73"/>
      <c r="Q815" s="75"/>
      <c r="R815" s="82"/>
      <c r="S815" s="92"/>
      <c r="T815" s="73"/>
      <c r="U815" s="73"/>
      <c r="V815" s="73"/>
      <c r="W815" s="73"/>
      <c r="X815" s="73"/>
      <c r="Y815" s="77"/>
      <c r="Z815" s="104"/>
      <c r="AA815" s="73"/>
      <c r="AB815" s="104"/>
      <c r="AC815" s="104"/>
      <c r="AD815" s="74"/>
      <c r="AE815" s="106"/>
      <c r="AF815" s="195"/>
      <c r="AG815" s="80"/>
      <c r="AH815" s="114"/>
      <c r="AI815" s="82"/>
      <c r="AJ815" s="114"/>
      <c r="AK815" s="106"/>
      <c r="AL815" s="74"/>
      <c r="AM815" s="73"/>
      <c r="AN815" s="73"/>
      <c r="AO815" s="102"/>
      <c r="AP815" s="73"/>
      <c r="AQ815" s="104"/>
      <c r="AR815" s="74"/>
      <c r="AS815" s="73"/>
      <c r="AT815" s="104"/>
      <c r="AU815" s="73"/>
      <c r="AV815" s="73"/>
      <c r="AW815" s="114"/>
      <c r="AX815" s="74"/>
      <c r="AY815" s="73"/>
      <c r="AZ815" s="73"/>
      <c r="BA815" s="178"/>
      <c r="BB815" s="82"/>
      <c r="BC815" s="73"/>
      <c r="BD815" s="73"/>
      <c r="BE815" s="73"/>
      <c r="BF815" s="73"/>
      <c r="BG815" s="73"/>
      <c r="BH815" s="73"/>
      <c r="BI815" s="73"/>
      <c r="BJ815" s="73"/>
      <c r="BK815" s="73"/>
      <c r="BL815" s="73"/>
      <c r="BM815" s="73"/>
      <c r="BN815" s="73"/>
      <c r="BO815" s="73"/>
      <c r="BP815" s="73"/>
      <c r="BQ815" s="73"/>
      <c r="BR815" s="73"/>
      <c r="BS815" s="73"/>
      <c r="BT815" s="74"/>
      <c r="BU815" s="73"/>
      <c r="BV815" s="73"/>
      <c r="BW815" s="73"/>
      <c r="BX815" s="73"/>
      <c r="BY815" s="73"/>
      <c r="BZ815" s="73"/>
      <c r="CA815" s="73"/>
      <c r="CB815" s="73"/>
      <c r="CC815" s="73"/>
      <c r="CD815" s="73"/>
      <c r="CE815" s="73"/>
    </row>
    <row r="816">
      <c r="A816" s="131"/>
      <c r="B816" s="73"/>
      <c r="C816" s="73"/>
      <c r="D816" s="74"/>
      <c r="E816" s="73"/>
      <c r="F816" s="73"/>
      <c r="G816" s="73"/>
      <c r="H816" s="73"/>
      <c r="I816" s="73"/>
      <c r="J816" s="73"/>
      <c r="K816" s="92"/>
      <c r="L816" s="73"/>
      <c r="M816" s="73"/>
      <c r="N816" s="73"/>
      <c r="O816" s="73"/>
      <c r="P816" s="73"/>
      <c r="Q816" s="75"/>
      <c r="R816" s="82"/>
      <c r="S816" s="92"/>
      <c r="T816" s="73"/>
      <c r="U816" s="73"/>
      <c r="V816" s="73"/>
      <c r="W816" s="73"/>
      <c r="X816" s="73"/>
      <c r="Y816" s="77"/>
      <c r="Z816" s="104"/>
      <c r="AA816" s="73"/>
      <c r="AB816" s="104"/>
      <c r="AC816" s="104"/>
      <c r="AD816" s="74"/>
      <c r="AE816" s="106"/>
      <c r="AF816" s="195"/>
      <c r="AG816" s="80"/>
      <c r="AH816" s="153"/>
      <c r="AI816" s="82"/>
      <c r="AJ816" s="114"/>
      <c r="AK816" s="106"/>
      <c r="AL816" s="74"/>
      <c r="AM816" s="73"/>
      <c r="AN816" s="73"/>
      <c r="AO816" s="102"/>
      <c r="AP816" s="73"/>
      <c r="AQ816" s="104"/>
      <c r="AR816" s="74"/>
      <c r="AS816" s="73"/>
      <c r="AT816" s="104"/>
      <c r="AU816" s="73"/>
      <c r="AV816" s="73"/>
      <c r="AW816" s="114"/>
      <c r="AX816" s="74"/>
      <c r="AY816" s="73"/>
      <c r="AZ816" s="73"/>
      <c r="BA816" s="171"/>
      <c r="BB816" s="82"/>
      <c r="BC816" s="73"/>
      <c r="BD816" s="73"/>
      <c r="BE816" s="73"/>
      <c r="BF816" s="73"/>
      <c r="BG816" s="73"/>
      <c r="BH816" s="73"/>
      <c r="BI816" s="73"/>
      <c r="BJ816" s="73"/>
      <c r="BK816" s="73"/>
      <c r="BL816" s="73"/>
      <c r="BM816" s="73"/>
      <c r="BN816" s="73"/>
      <c r="BO816" s="73"/>
      <c r="BP816" s="73"/>
      <c r="BQ816" s="73"/>
      <c r="BR816" s="73"/>
      <c r="BS816" s="73"/>
      <c r="BT816" s="74"/>
      <c r="BU816" s="73"/>
      <c r="BV816" s="73"/>
      <c r="BW816" s="73"/>
      <c r="BX816" s="73"/>
      <c r="BY816" s="73"/>
      <c r="BZ816" s="73"/>
      <c r="CA816" s="73"/>
      <c r="CB816" s="73"/>
      <c r="CC816" s="73"/>
      <c r="CD816" s="73"/>
      <c r="CE816" s="73"/>
    </row>
    <row r="817">
      <c r="A817" s="73"/>
      <c r="B817" s="73"/>
      <c r="C817" s="73"/>
      <c r="D817" s="74"/>
      <c r="E817" s="73"/>
      <c r="F817" s="73"/>
      <c r="G817" s="73"/>
      <c r="H817" s="73"/>
      <c r="I817" s="73"/>
      <c r="J817" s="73"/>
      <c r="K817" s="92"/>
      <c r="L817" s="73"/>
      <c r="M817" s="73"/>
      <c r="N817" s="73"/>
      <c r="O817" s="73"/>
      <c r="P817" s="73"/>
      <c r="Q817" s="75"/>
      <c r="R817" s="82"/>
      <c r="S817" s="92"/>
      <c r="T817" s="73"/>
      <c r="U817" s="73"/>
      <c r="V817" s="73"/>
      <c r="W817" s="73"/>
      <c r="X817" s="73"/>
      <c r="Y817" s="77"/>
      <c r="Z817" s="104"/>
      <c r="AA817" s="73"/>
      <c r="AB817" s="104"/>
      <c r="AC817" s="104"/>
      <c r="AD817" s="74"/>
      <c r="AE817" s="106"/>
      <c r="AF817" s="195"/>
      <c r="AG817" s="80"/>
      <c r="AH817" s="114"/>
      <c r="AI817" s="82"/>
      <c r="AJ817" s="114"/>
      <c r="AK817" s="106"/>
      <c r="AL817" s="74"/>
      <c r="AM817" s="73"/>
      <c r="AN817" s="73"/>
      <c r="AO817" s="102"/>
      <c r="AP817" s="73"/>
      <c r="AQ817" s="104"/>
      <c r="AR817" s="74"/>
      <c r="AS817" s="73"/>
      <c r="AT817" s="104"/>
      <c r="AU817" s="73"/>
      <c r="AV817" s="73"/>
      <c r="AW817" s="114"/>
      <c r="AX817" s="74"/>
      <c r="AY817" s="73"/>
      <c r="AZ817" s="73"/>
      <c r="BA817" s="159"/>
      <c r="BB817" s="82"/>
      <c r="BC817" s="73"/>
      <c r="BD817" s="73"/>
      <c r="BE817" s="73"/>
      <c r="BF817" s="73"/>
      <c r="BG817" s="73"/>
      <c r="BH817" s="73"/>
      <c r="BI817" s="73"/>
      <c r="BJ817" s="73"/>
      <c r="BK817" s="73"/>
      <c r="BL817" s="73"/>
      <c r="BM817" s="73"/>
      <c r="BN817" s="73"/>
      <c r="BO817" s="73"/>
      <c r="BP817" s="73"/>
      <c r="BQ817" s="73"/>
      <c r="BR817" s="73"/>
      <c r="BS817" s="73"/>
      <c r="BT817" s="74"/>
      <c r="BU817" s="73"/>
      <c r="BV817" s="73"/>
      <c r="BW817" s="73"/>
      <c r="BX817" s="73"/>
      <c r="BY817" s="73"/>
      <c r="BZ817" s="73"/>
      <c r="CA817" s="73"/>
      <c r="CB817" s="73"/>
      <c r="CC817" s="73"/>
      <c r="CD817" s="73"/>
      <c r="CE817" s="73"/>
    </row>
    <row r="818">
      <c r="A818" s="73"/>
      <c r="B818" s="73"/>
      <c r="C818" s="73"/>
      <c r="D818" s="74"/>
      <c r="E818" s="73"/>
      <c r="F818" s="73"/>
      <c r="G818" s="73"/>
      <c r="H818" s="73"/>
      <c r="I818" s="73"/>
      <c r="J818" s="73"/>
      <c r="K818" s="92"/>
      <c r="L818" s="73"/>
      <c r="M818" s="73"/>
      <c r="N818" s="73"/>
      <c r="O818" s="73"/>
      <c r="P818" s="73"/>
      <c r="Q818" s="75"/>
      <c r="R818" s="82"/>
      <c r="S818" s="92"/>
      <c r="T818" s="73"/>
      <c r="U818" s="73"/>
      <c r="V818" s="73"/>
      <c r="W818" s="73"/>
      <c r="X818" s="73"/>
      <c r="Y818" s="77"/>
      <c r="Z818" s="104"/>
      <c r="AA818" s="73"/>
      <c r="AB818" s="104"/>
      <c r="AC818" s="104"/>
      <c r="AD818" s="74"/>
      <c r="AE818" s="106"/>
      <c r="AF818" s="195"/>
      <c r="AG818" s="80"/>
      <c r="AH818" s="143"/>
      <c r="AI818" s="82"/>
      <c r="AJ818" s="114"/>
      <c r="AK818" s="106"/>
      <c r="AL818" s="74"/>
      <c r="AM818" s="73"/>
      <c r="AN818" s="73"/>
      <c r="AO818" s="102"/>
      <c r="AP818" s="73"/>
      <c r="AQ818" s="104"/>
      <c r="AR818" s="74"/>
      <c r="AS818" s="73"/>
      <c r="AT818" s="104"/>
      <c r="AU818" s="73"/>
      <c r="AV818" s="73"/>
      <c r="AW818" s="114"/>
      <c r="AX818" s="74"/>
      <c r="AY818" s="73"/>
      <c r="AZ818" s="73"/>
      <c r="BA818" s="74"/>
      <c r="BB818" s="73"/>
      <c r="BC818" s="73"/>
      <c r="BD818" s="73"/>
      <c r="BE818" s="73"/>
      <c r="BF818" s="73"/>
      <c r="BG818" s="73"/>
      <c r="BH818" s="73"/>
      <c r="BI818" s="73"/>
      <c r="BJ818" s="73"/>
      <c r="BK818" s="73"/>
      <c r="BL818" s="73"/>
      <c r="BM818" s="73"/>
      <c r="BN818" s="73"/>
      <c r="BO818" s="73"/>
      <c r="BP818" s="73"/>
      <c r="BQ818" s="73"/>
      <c r="BR818" s="73"/>
      <c r="BS818" s="73"/>
      <c r="BT818" s="74"/>
      <c r="BU818" s="73"/>
      <c r="BV818" s="73"/>
      <c r="BW818" s="73"/>
      <c r="BX818" s="73"/>
      <c r="BY818" s="73"/>
      <c r="BZ818" s="73"/>
      <c r="CA818" s="73"/>
      <c r="CB818" s="73"/>
      <c r="CC818" s="73"/>
      <c r="CD818" s="73"/>
      <c r="CE818" s="73"/>
    </row>
    <row r="819">
      <c r="A819" s="73"/>
      <c r="B819" s="73"/>
      <c r="C819" s="73"/>
      <c r="D819" s="74"/>
      <c r="E819" s="73"/>
      <c r="F819" s="73"/>
      <c r="G819" s="73"/>
      <c r="H819" s="73"/>
      <c r="I819" s="73"/>
      <c r="J819" s="73"/>
      <c r="K819" s="92"/>
      <c r="L819" s="73"/>
      <c r="M819" s="73"/>
      <c r="N819" s="73"/>
      <c r="O819" s="73"/>
      <c r="P819" s="73"/>
      <c r="Q819" s="75"/>
      <c r="R819" s="82"/>
      <c r="S819" s="92"/>
      <c r="T819" s="73"/>
      <c r="U819" s="73"/>
      <c r="V819" s="73"/>
      <c r="W819" s="73"/>
      <c r="X819" s="73"/>
      <c r="Y819" s="77"/>
      <c r="Z819" s="104"/>
      <c r="AA819" s="73"/>
      <c r="AB819" s="104"/>
      <c r="AC819" s="104"/>
      <c r="AD819" s="74"/>
      <c r="AE819" s="106"/>
      <c r="AF819" s="195"/>
      <c r="AG819" s="80"/>
      <c r="AH819" s="113"/>
      <c r="AI819" s="82"/>
      <c r="AJ819" s="114"/>
      <c r="AK819" s="106"/>
      <c r="AL819" s="74"/>
      <c r="AM819" s="73"/>
      <c r="AN819" s="73"/>
      <c r="AO819" s="102"/>
      <c r="AP819" s="73"/>
      <c r="AQ819" s="104"/>
      <c r="AR819" s="74"/>
      <c r="AS819" s="73"/>
      <c r="AT819" s="104"/>
      <c r="AU819" s="73"/>
      <c r="AV819" s="73"/>
      <c r="AW819" s="114"/>
      <c r="AX819" s="74"/>
      <c r="AY819" s="73"/>
      <c r="AZ819" s="73"/>
      <c r="BA819" s="74"/>
      <c r="BB819" s="73"/>
      <c r="BC819" s="73"/>
      <c r="BD819" s="73"/>
      <c r="BE819" s="73"/>
      <c r="BF819" s="73"/>
      <c r="BG819" s="73"/>
      <c r="BH819" s="73"/>
      <c r="BI819" s="73"/>
      <c r="BJ819" s="73"/>
      <c r="BK819" s="73"/>
      <c r="BL819" s="73"/>
      <c r="BM819" s="73"/>
      <c r="BN819" s="73"/>
      <c r="BO819" s="73"/>
      <c r="BP819" s="73"/>
      <c r="BQ819" s="73"/>
      <c r="BR819" s="73"/>
      <c r="BS819" s="73"/>
      <c r="BT819" s="74"/>
      <c r="BU819" s="73"/>
      <c r="BV819" s="73"/>
      <c r="BW819" s="73"/>
      <c r="BX819" s="73"/>
      <c r="BY819" s="73"/>
      <c r="BZ819" s="73"/>
      <c r="CA819" s="73"/>
      <c r="CB819" s="73"/>
      <c r="CC819" s="73"/>
      <c r="CD819" s="73"/>
      <c r="CE819" s="73"/>
    </row>
    <row r="820">
      <c r="A820" s="73"/>
      <c r="B820" s="73"/>
      <c r="C820" s="73"/>
      <c r="D820" s="74"/>
      <c r="E820" s="73"/>
      <c r="F820" s="73"/>
      <c r="G820" s="73"/>
      <c r="H820" s="73"/>
      <c r="I820" s="73"/>
      <c r="J820" s="73"/>
      <c r="K820" s="92"/>
      <c r="L820" s="73"/>
      <c r="M820" s="73"/>
      <c r="N820" s="73"/>
      <c r="O820" s="73"/>
      <c r="P820" s="73"/>
      <c r="Q820" s="75"/>
      <c r="R820" s="82"/>
      <c r="S820" s="73"/>
      <c r="T820" s="73"/>
      <c r="U820" s="73"/>
      <c r="V820" s="73"/>
      <c r="W820" s="73"/>
      <c r="X820" s="73"/>
      <c r="Y820" s="77"/>
      <c r="Z820" s="104"/>
      <c r="AA820" s="73"/>
      <c r="AB820" s="104"/>
      <c r="AC820" s="104"/>
      <c r="AD820" s="74"/>
      <c r="AE820" s="106"/>
      <c r="AF820" s="195"/>
      <c r="AG820" s="80"/>
      <c r="AH820" s="153"/>
      <c r="AI820" s="82"/>
      <c r="AJ820" s="114"/>
      <c r="AK820" s="106"/>
      <c r="AL820" s="74"/>
      <c r="AM820" s="73"/>
      <c r="AN820" s="73"/>
      <c r="AO820" s="102"/>
      <c r="AP820" s="73"/>
      <c r="AQ820" s="73"/>
      <c r="AR820" s="74"/>
      <c r="AS820" s="73"/>
      <c r="AT820" s="104"/>
      <c r="AU820" s="73"/>
      <c r="AV820" s="73"/>
      <c r="AW820" s="114"/>
      <c r="AX820" s="74"/>
      <c r="AY820" s="73"/>
      <c r="AZ820" s="73"/>
      <c r="BA820" s="74"/>
      <c r="BB820" s="73"/>
      <c r="BC820" s="73"/>
      <c r="BD820" s="73"/>
      <c r="BE820" s="73"/>
      <c r="BF820" s="73"/>
      <c r="BG820" s="73"/>
      <c r="BH820" s="73"/>
      <c r="BI820" s="73"/>
      <c r="BJ820" s="73"/>
      <c r="BK820" s="73"/>
      <c r="BL820" s="73"/>
      <c r="BM820" s="73"/>
      <c r="BN820" s="73"/>
      <c r="BO820" s="73"/>
      <c r="BP820" s="73"/>
      <c r="BQ820" s="73"/>
      <c r="BR820" s="73"/>
      <c r="BS820" s="73"/>
      <c r="BT820" s="74"/>
      <c r="BU820" s="73"/>
      <c r="BV820" s="73"/>
      <c r="BW820" s="73"/>
      <c r="BX820" s="73"/>
      <c r="BY820" s="73"/>
      <c r="BZ820" s="73"/>
      <c r="CA820" s="73"/>
      <c r="CB820" s="73"/>
      <c r="CC820" s="73"/>
      <c r="CD820" s="73"/>
      <c r="CE820" s="73"/>
    </row>
    <row r="821">
      <c r="A821" s="73"/>
      <c r="B821" s="73"/>
      <c r="C821" s="73"/>
      <c r="D821" s="74"/>
      <c r="E821" s="73"/>
      <c r="F821" s="73"/>
      <c r="G821" s="73"/>
      <c r="H821" s="73"/>
      <c r="I821" s="73"/>
      <c r="J821" s="73"/>
      <c r="K821" s="92"/>
      <c r="L821" s="73"/>
      <c r="M821" s="73"/>
      <c r="N821" s="73"/>
      <c r="O821" s="73"/>
      <c r="P821" s="73"/>
      <c r="Q821" s="75"/>
      <c r="R821" s="82"/>
      <c r="S821" s="73"/>
      <c r="T821" s="73"/>
      <c r="U821" s="73"/>
      <c r="V821" s="73"/>
      <c r="W821" s="73"/>
      <c r="X821" s="73"/>
      <c r="Y821" s="77"/>
      <c r="Z821" s="104"/>
      <c r="AA821" s="73"/>
      <c r="AB821" s="104"/>
      <c r="AC821" s="104"/>
      <c r="AD821" s="74"/>
      <c r="AE821" s="106"/>
      <c r="AF821" s="195"/>
      <c r="AG821" s="80"/>
      <c r="AH821" s="183"/>
      <c r="AI821" s="82"/>
      <c r="AJ821" s="114"/>
      <c r="AK821" s="106"/>
      <c r="AL821" s="74"/>
      <c r="AM821" s="73"/>
      <c r="AN821" s="73"/>
      <c r="AO821" s="102"/>
      <c r="AP821" s="73"/>
      <c r="AQ821" s="104"/>
      <c r="AR821" s="74"/>
      <c r="AS821" s="73"/>
      <c r="AT821" s="104"/>
      <c r="AU821" s="73"/>
      <c r="AV821" s="73"/>
      <c r="AW821" s="114"/>
      <c r="AX821" s="74"/>
      <c r="AY821" s="73"/>
      <c r="AZ821" s="73"/>
      <c r="BA821" s="74"/>
      <c r="BB821" s="73"/>
      <c r="BC821" s="73"/>
      <c r="BD821" s="73"/>
      <c r="BE821" s="73"/>
      <c r="BF821" s="73"/>
      <c r="BG821" s="73"/>
      <c r="BH821" s="73"/>
      <c r="BI821" s="73"/>
      <c r="BJ821" s="73"/>
      <c r="BK821" s="73"/>
      <c r="BL821" s="73"/>
      <c r="BM821" s="73"/>
      <c r="BN821" s="73"/>
      <c r="BO821" s="73"/>
      <c r="BP821" s="73"/>
      <c r="BQ821" s="73"/>
      <c r="BR821" s="73"/>
      <c r="BS821" s="73"/>
      <c r="BT821" s="74"/>
      <c r="BU821" s="73"/>
      <c r="BV821" s="73"/>
      <c r="BW821" s="73"/>
      <c r="BX821" s="73"/>
      <c r="BY821" s="73"/>
      <c r="BZ821" s="73"/>
      <c r="CA821" s="73"/>
      <c r="CB821" s="73"/>
      <c r="CC821" s="73"/>
      <c r="CD821" s="73"/>
      <c r="CE821" s="73"/>
    </row>
    <row r="822">
      <c r="A822" s="73"/>
      <c r="B822" s="73"/>
      <c r="C822" s="73"/>
      <c r="D822" s="74"/>
      <c r="E822" s="73"/>
      <c r="F822" s="73"/>
      <c r="G822" s="73"/>
      <c r="H822" s="73"/>
      <c r="I822" s="73"/>
      <c r="J822" s="73"/>
      <c r="K822" s="92"/>
      <c r="L822" s="73"/>
      <c r="M822" s="73"/>
      <c r="N822" s="73"/>
      <c r="O822" s="73"/>
      <c r="P822" s="73"/>
      <c r="Q822" s="75"/>
      <c r="R822" s="82"/>
      <c r="S822" s="73"/>
      <c r="T822" s="73"/>
      <c r="U822" s="73"/>
      <c r="V822" s="73"/>
      <c r="W822" s="73"/>
      <c r="X822" s="73"/>
      <c r="Y822" s="77"/>
      <c r="Z822" s="104"/>
      <c r="AA822" s="73"/>
      <c r="AB822" s="104"/>
      <c r="AC822" s="104"/>
      <c r="AD822" s="74"/>
      <c r="AE822" s="106"/>
      <c r="AF822" s="195"/>
      <c r="AG822" s="80"/>
      <c r="AH822" s="185"/>
      <c r="AI822" s="82"/>
      <c r="AJ822" s="114"/>
      <c r="AK822" s="106"/>
      <c r="AL822" s="74"/>
      <c r="AM822" s="73"/>
      <c r="AN822" s="73"/>
      <c r="AO822" s="102"/>
      <c r="AP822" s="73"/>
      <c r="AQ822" s="104"/>
      <c r="AR822" s="74"/>
      <c r="AS822" s="73"/>
      <c r="AT822" s="104"/>
      <c r="AU822" s="73"/>
      <c r="AV822" s="73"/>
      <c r="AW822" s="114"/>
      <c r="AX822" s="74"/>
      <c r="AY822" s="73"/>
      <c r="AZ822" s="73"/>
      <c r="BA822" s="74"/>
      <c r="BB822" s="73"/>
      <c r="BC822" s="73"/>
      <c r="BD822" s="73"/>
      <c r="BE822" s="73"/>
      <c r="BF822" s="73"/>
      <c r="BG822" s="73"/>
      <c r="BH822" s="73"/>
      <c r="BI822" s="73"/>
      <c r="BJ822" s="73"/>
      <c r="BK822" s="73"/>
      <c r="BL822" s="73"/>
      <c r="BM822" s="73"/>
      <c r="BN822" s="73"/>
      <c r="BO822" s="73"/>
      <c r="BP822" s="73"/>
      <c r="BQ822" s="73"/>
      <c r="BR822" s="73"/>
      <c r="BS822" s="73"/>
      <c r="BT822" s="74"/>
      <c r="BU822" s="73"/>
      <c r="BV822" s="73"/>
      <c r="BW822" s="73"/>
      <c r="BX822" s="73"/>
      <c r="BY822" s="73"/>
      <c r="BZ822" s="73"/>
      <c r="CA822" s="73"/>
      <c r="CB822" s="73"/>
      <c r="CC822" s="73"/>
      <c r="CD822" s="73"/>
      <c r="CE822" s="73"/>
    </row>
    <row r="823">
      <c r="A823" s="73"/>
      <c r="B823" s="73"/>
      <c r="C823" s="73"/>
      <c r="D823" s="74"/>
      <c r="E823" s="73"/>
      <c r="F823" s="73"/>
      <c r="G823" s="73"/>
      <c r="H823" s="73"/>
      <c r="I823" s="73"/>
      <c r="J823" s="73"/>
      <c r="K823" s="92"/>
      <c r="L823" s="73"/>
      <c r="M823" s="73"/>
      <c r="N823" s="73"/>
      <c r="O823" s="73"/>
      <c r="P823" s="73"/>
      <c r="Q823" s="75"/>
      <c r="R823" s="82"/>
      <c r="S823" s="73"/>
      <c r="T823" s="73"/>
      <c r="U823" s="73"/>
      <c r="V823" s="73"/>
      <c r="W823" s="73"/>
      <c r="X823" s="73"/>
      <c r="Y823" s="77"/>
      <c r="Z823" s="104"/>
      <c r="AA823" s="73"/>
      <c r="AB823" s="104"/>
      <c r="AC823" s="104"/>
      <c r="AD823" s="74"/>
      <c r="AE823" s="106"/>
      <c r="AF823" s="195"/>
      <c r="AG823" s="80"/>
      <c r="AH823" s="187"/>
      <c r="AI823" s="82"/>
      <c r="AJ823" s="114"/>
      <c r="AK823" s="106"/>
      <c r="AL823" s="74"/>
      <c r="AM823" s="73"/>
      <c r="AN823" s="73"/>
      <c r="AO823" s="102"/>
      <c r="AP823" s="73"/>
      <c r="AQ823" s="104"/>
      <c r="AR823" s="74"/>
      <c r="AS823" s="73"/>
      <c r="AT823" s="104"/>
      <c r="AU823" s="73"/>
      <c r="AV823" s="73"/>
      <c r="AW823" s="114"/>
      <c r="AX823" s="74"/>
      <c r="AY823" s="73"/>
      <c r="AZ823" s="73"/>
      <c r="BA823" s="74"/>
      <c r="BB823" s="73"/>
      <c r="BC823" s="73"/>
      <c r="BD823" s="73"/>
      <c r="BE823" s="73"/>
      <c r="BF823" s="73"/>
      <c r="BG823" s="73"/>
      <c r="BH823" s="73"/>
      <c r="BI823" s="73"/>
      <c r="BJ823" s="73"/>
      <c r="BK823" s="73"/>
      <c r="BL823" s="73"/>
      <c r="BM823" s="73"/>
      <c r="BN823" s="73"/>
      <c r="BO823" s="73"/>
      <c r="BP823" s="73"/>
      <c r="BQ823" s="73"/>
      <c r="BR823" s="73"/>
      <c r="BS823" s="73"/>
      <c r="BT823" s="74"/>
      <c r="BU823" s="73"/>
      <c r="BV823" s="73"/>
      <c r="BW823" s="73"/>
      <c r="BX823" s="73"/>
      <c r="BY823" s="73"/>
      <c r="BZ823" s="73"/>
      <c r="CA823" s="73"/>
      <c r="CB823" s="73"/>
      <c r="CC823" s="73"/>
      <c r="CD823" s="73"/>
      <c r="CE823" s="73"/>
    </row>
    <row r="824">
      <c r="A824" s="73"/>
      <c r="B824" s="73"/>
      <c r="C824" s="73"/>
      <c r="D824" s="74"/>
      <c r="E824" s="73"/>
      <c r="F824" s="73"/>
      <c r="G824" s="73"/>
      <c r="H824" s="73"/>
      <c r="I824" s="73"/>
      <c r="J824" s="73"/>
      <c r="K824" s="92"/>
      <c r="L824" s="73"/>
      <c r="M824" s="73"/>
      <c r="N824" s="73"/>
      <c r="O824" s="73"/>
      <c r="P824" s="73"/>
      <c r="Q824" s="75"/>
      <c r="R824" s="82"/>
      <c r="S824" s="73"/>
      <c r="T824" s="73"/>
      <c r="U824" s="73"/>
      <c r="V824" s="73"/>
      <c r="W824" s="73"/>
      <c r="X824" s="73"/>
      <c r="Y824" s="77"/>
      <c r="Z824" s="104"/>
      <c r="AA824" s="73"/>
      <c r="AB824" s="104"/>
      <c r="AC824" s="104"/>
      <c r="AD824" s="74"/>
      <c r="AE824" s="106"/>
      <c r="AF824" s="195"/>
      <c r="AG824" s="80"/>
      <c r="AH824" s="153"/>
      <c r="AI824" s="82"/>
      <c r="AJ824" s="114"/>
      <c r="AK824" s="106"/>
      <c r="AL824" s="74"/>
      <c r="AM824" s="73"/>
      <c r="AN824" s="73"/>
      <c r="AO824" s="102"/>
      <c r="AP824" s="73"/>
      <c r="AQ824" s="104"/>
      <c r="AR824" s="74"/>
      <c r="AS824" s="73"/>
      <c r="AT824" s="104"/>
      <c r="AU824" s="73"/>
      <c r="AV824" s="73"/>
      <c r="AW824" s="114"/>
      <c r="AX824" s="74"/>
      <c r="AY824" s="73"/>
      <c r="AZ824" s="73"/>
      <c r="BA824" s="74"/>
      <c r="BB824" s="73"/>
      <c r="BC824" s="73"/>
      <c r="BD824" s="73"/>
      <c r="BE824" s="73"/>
      <c r="BF824" s="73"/>
      <c r="BG824" s="73"/>
      <c r="BH824" s="73"/>
      <c r="BI824" s="73"/>
      <c r="BJ824" s="73"/>
      <c r="BK824" s="73"/>
      <c r="BL824" s="73"/>
      <c r="BM824" s="73"/>
      <c r="BN824" s="73"/>
      <c r="BO824" s="73"/>
      <c r="BP824" s="73"/>
      <c r="BQ824" s="73"/>
      <c r="BR824" s="73"/>
      <c r="BS824" s="73"/>
      <c r="BT824" s="74"/>
      <c r="BU824" s="73"/>
      <c r="BV824" s="73"/>
      <c r="BW824" s="73"/>
      <c r="BX824" s="73"/>
      <c r="BY824" s="73"/>
      <c r="BZ824" s="73"/>
      <c r="CA824" s="73"/>
      <c r="CB824" s="73"/>
      <c r="CC824" s="73"/>
      <c r="CD824" s="73"/>
      <c r="CE824" s="73"/>
    </row>
    <row r="825">
      <c r="A825" s="73"/>
      <c r="B825" s="73"/>
      <c r="C825" s="73"/>
      <c r="D825" s="74"/>
      <c r="E825" s="73"/>
      <c r="F825" s="73"/>
      <c r="G825" s="73"/>
      <c r="H825" s="73"/>
      <c r="I825" s="73"/>
      <c r="J825" s="73"/>
      <c r="K825" s="92"/>
      <c r="L825" s="73"/>
      <c r="M825" s="73"/>
      <c r="N825" s="73"/>
      <c r="O825" s="73"/>
      <c r="P825" s="73"/>
      <c r="Q825" s="75"/>
      <c r="R825" s="82"/>
      <c r="S825" s="73"/>
      <c r="T825" s="73"/>
      <c r="U825" s="73"/>
      <c r="V825" s="73"/>
      <c r="W825" s="73"/>
      <c r="X825" s="73"/>
      <c r="Y825" s="77"/>
      <c r="Z825" s="104"/>
      <c r="AA825" s="73"/>
      <c r="AB825" s="104"/>
      <c r="AC825" s="104"/>
      <c r="AD825" s="74"/>
      <c r="AE825" s="106"/>
      <c r="AF825" s="195"/>
      <c r="AG825" s="80"/>
      <c r="AH825" s="135"/>
      <c r="AI825" s="82"/>
      <c r="AJ825" s="114"/>
      <c r="AK825" s="106"/>
      <c r="AL825" s="74"/>
      <c r="AM825" s="73"/>
      <c r="AN825" s="73"/>
      <c r="AO825" s="102"/>
      <c r="AP825" s="73"/>
      <c r="AQ825" s="104"/>
      <c r="AR825" s="74"/>
      <c r="AS825" s="73"/>
      <c r="AT825" s="104"/>
      <c r="AU825" s="73"/>
      <c r="AV825" s="73"/>
      <c r="AW825" s="114"/>
      <c r="AX825" s="74"/>
      <c r="AY825" s="73"/>
      <c r="AZ825" s="73"/>
      <c r="BA825" s="74"/>
      <c r="BB825" s="73"/>
      <c r="BC825" s="73"/>
      <c r="BD825" s="73"/>
      <c r="BE825" s="73"/>
      <c r="BF825" s="73"/>
      <c r="BG825" s="73"/>
      <c r="BH825" s="73"/>
      <c r="BI825" s="73"/>
      <c r="BJ825" s="73"/>
      <c r="BK825" s="73"/>
      <c r="BL825" s="73"/>
      <c r="BM825" s="73"/>
      <c r="BN825" s="73"/>
      <c r="BO825" s="73"/>
      <c r="BP825" s="73"/>
      <c r="BQ825" s="73"/>
      <c r="BR825" s="73"/>
      <c r="BS825" s="73"/>
      <c r="BT825" s="74"/>
      <c r="BU825" s="73"/>
      <c r="BV825" s="73"/>
      <c r="BW825" s="73"/>
      <c r="BX825" s="73"/>
      <c r="BY825" s="73"/>
      <c r="BZ825" s="73"/>
      <c r="CA825" s="73"/>
      <c r="CB825" s="73"/>
      <c r="CC825" s="73"/>
      <c r="CD825" s="73"/>
      <c r="CE825" s="73"/>
    </row>
    <row r="826">
      <c r="A826" s="73"/>
      <c r="B826" s="73"/>
      <c r="C826" s="73"/>
      <c r="D826" s="74"/>
      <c r="E826" s="73"/>
      <c r="F826" s="73"/>
      <c r="G826" s="73"/>
      <c r="H826" s="73"/>
      <c r="I826" s="73"/>
      <c r="J826" s="73"/>
      <c r="K826" s="92"/>
      <c r="L826" s="73"/>
      <c r="M826" s="73"/>
      <c r="N826" s="73"/>
      <c r="O826" s="73"/>
      <c r="P826" s="73"/>
      <c r="Q826" s="75"/>
      <c r="R826" s="82"/>
      <c r="S826" s="73"/>
      <c r="T826" s="73"/>
      <c r="U826" s="73"/>
      <c r="V826" s="73"/>
      <c r="W826" s="73"/>
      <c r="X826" s="73"/>
      <c r="Y826" s="77"/>
      <c r="Z826" s="104"/>
      <c r="AA826" s="73"/>
      <c r="AB826" s="104"/>
      <c r="AC826" s="104"/>
      <c r="AD826" s="74"/>
      <c r="AE826" s="106"/>
      <c r="AF826" s="195"/>
      <c r="AG826" s="80"/>
      <c r="AH826" s="190"/>
      <c r="AI826" s="82"/>
      <c r="AJ826" s="114"/>
      <c r="AK826" s="106"/>
      <c r="AL826" s="74"/>
      <c r="AM826" s="73"/>
      <c r="AN826" s="73"/>
      <c r="AO826" s="102"/>
      <c r="AP826" s="73"/>
      <c r="AQ826" s="73"/>
      <c r="AR826" s="74"/>
      <c r="AS826" s="73"/>
      <c r="AT826" s="104"/>
      <c r="AU826" s="73"/>
      <c r="AV826" s="73"/>
      <c r="AW826" s="73"/>
      <c r="AX826" s="74"/>
      <c r="AY826" s="73"/>
      <c r="AZ826" s="73"/>
      <c r="BA826" s="74"/>
      <c r="BB826" s="73"/>
      <c r="BC826" s="73"/>
      <c r="BD826" s="73"/>
      <c r="BE826" s="73"/>
      <c r="BF826" s="73"/>
      <c r="BG826" s="73"/>
      <c r="BH826" s="73"/>
      <c r="BI826" s="73"/>
      <c r="BJ826" s="73"/>
      <c r="BK826" s="73"/>
      <c r="BL826" s="73"/>
      <c r="BM826" s="73"/>
      <c r="BN826" s="73"/>
      <c r="BO826" s="73"/>
      <c r="BP826" s="73"/>
      <c r="BQ826" s="73"/>
      <c r="BR826" s="73"/>
      <c r="BS826" s="73"/>
      <c r="BT826" s="74"/>
      <c r="BU826" s="73"/>
      <c r="BV826" s="73"/>
      <c r="BW826" s="73"/>
      <c r="BX826" s="73"/>
      <c r="BY826" s="73"/>
      <c r="BZ826" s="73"/>
      <c r="CA826" s="73"/>
      <c r="CB826" s="73"/>
      <c r="CC826" s="73"/>
      <c r="CD826" s="73"/>
      <c r="CE826" s="73"/>
    </row>
    <row r="827">
      <c r="A827" s="73"/>
      <c r="B827" s="73"/>
      <c r="C827" s="73"/>
      <c r="D827" s="74"/>
      <c r="E827" s="73"/>
      <c r="F827" s="73"/>
      <c r="G827" s="73"/>
      <c r="H827" s="73"/>
      <c r="I827" s="73"/>
      <c r="J827" s="73"/>
      <c r="K827" s="92"/>
      <c r="L827" s="73"/>
      <c r="M827" s="73"/>
      <c r="N827" s="73"/>
      <c r="O827" s="73"/>
      <c r="P827" s="73"/>
      <c r="Q827" s="75"/>
      <c r="R827" s="82"/>
      <c r="S827" s="73"/>
      <c r="T827" s="73"/>
      <c r="U827" s="73"/>
      <c r="V827" s="73"/>
      <c r="W827" s="73"/>
      <c r="X827" s="73"/>
      <c r="Y827" s="77"/>
      <c r="Z827" s="104"/>
      <c r="AA827" s="73"/>
      <c r="AB827" s="104"/>
      <c r="AC827" s="104"/>
      <c r="AD827" s="74"/>
      <c r="AE827" s="106"/>
      <c r="AF827" s="195"/>
      <c r="AG827" s="80"/>
      <c r="AH827" s="153"/>
      <c r="AI827" s="82"/>
      <c r="AJ827" s="114"/>
      <c r="AK827" s="106"/>
      <c r="AL827" s="74"/>
      <c r="AM827" s="73"/>
      <c r="AN827" s="73"/>
      <c r="AO827" s="102"/>
      <c r="AP827" s="73"/>
      <c r="AQ827" s="104"/>
      <c r="AR827" s="74"/>
      <c r="AS827" s="73"/>
      <c r="AT827" s="104"/>
      <c r="AU827" s="73"/>
      <c r="AV827" s="73"/>
      <c r="AW827" s="114"/>
      <c r="AX827" s="74"/>
      <c r="AY827" s="73"/>
      <c r="AZ827" s="73"/>
      <c r="BA827" s="74"/>
      <c r="BB827" s="73"/>
      <c r="BC827" s="73"/>
      <c r="BD827" s="73"/>
      <c r="BE827" s="73"/>
      <c r="BF827" s="73"/>
      <c r="BG827" s="73"/>
      <c r="BH827" s="73"/>
      <c r="BI827" s="73"/>
      <c r="BJ827" s="73"/>
      <c r="BK827" s="73"/>
      <c r="BL827" s="73"/>
      <c r="BM827" s="73"/>
      <c r="BN827" s="73"/>
      <c r="BO827" s="73"/>
      <c r="BP827" s="73"/>
      <c r="BQ827" s="73"/>
      <c r="BR827" s="73"/>
      <c r="BS827" s="73"/>
      <c r="BT827" s="74"/>
      <c r="BU827" s="73"/>
      <c r="BV827" s="73"/>
      <c r="BW827" s="73"/>
      <c r="BX827" s="73"/>
      <c r="BY827" s="73"/>
      <c r="BZ827" s="73"/>
      <c r="CA827" s="73"/>
      <c r="CB827" s="73"/>
      <c r="CC827" s="73"/>
      <c r="CD827" s="73"/>
      <c r="CE827" s="73"/>
    </row>
    <row r="828">
      <c r="A828" s="73"/>
      <c r="B828" s="73"/>
      <c r="C828" s="73"/>
      <c r="D828" s="74"/>
      <c r="E828" s="73"/>
      <c r="F828" s="73"/>
      <c r="G828" s="73"/>
      <c r="H828" s="73"/>
      <c r="I828" s="73"/>
      <c r="J828" s="73"/>
      <c r="K828" s="92"/>
      <c r="L828" s="73"/>
      <c r="M828" s="73"/>
      <c r="N828" s="73"/>
      <c r="O828" s="73"/>
      <c r="P828" s="73"/>
      <c r="Q828" s="75"/>
      <c r="R828" s="82"/>
      <c r="S828" s="73"/>
      <c r="T828" s="73"/>
      <c r="U828" s="73"/>
      <c r="V828" s="73"/>
      <c r="W828" s="73"/>
      <c r="X828" s="73"/>
      <c r="Y828" s="77"/>
      <c r="Z828" s="104"/>
      <c r="AA828" s="73"/>
      <c r="AB828" s="104"/>
      <c r="AC828" s="104"/>
      <c r="AD828" s="74"/>
      <c r="AE828" s="106"/>
      <c r="AF828" s="195"/>
      <c r="AG828" s="80"/>
      <c r="AH828" s="153"/>
      <c r="AI828" s="82"/>
      <c r="AJ828" s="114"/>
      <c r="AK828" s="106"/>
      <c r="AL828" s="74"/>
      <c r="AM828" s="73"/>
      <c r="AN828" s="73"/>
      <c r="AO828" s="102"/>
      <c r="AP828" s="73"/>
      <c r="AQ828" s="104"/>
      <c r="AR828" s="74"/>
      <c r="AS828" s="73"/>
      <c r="AT828" s="104"/>
      <c r="AU828" s="73"/>
      <c r="AV828" s="73"/>
      <c r="AW828" s="114"/>
      <c r="AX828" s="74"/>
      <c r="AY828" s="73"/>
      <c r="AZ828" s="73"/>
      <c r="BA828" s="74"/>
      <c r="BB828" s="73"/>
      <c r="BC828" s="73"/>
      <c r="BD828" s="73"/>
      <c r="BE828" s="73"/>
      <c r="BF828" s="73"/>
      <c r="BG828" s="73"/>
      <c r="BH828" s="73"/>
      <c r="BI828" s="73"/>
      <c r="BJ828" s="73"/>
      <c r="BK828" s="73"/>
      <c r="BL828" s="73"/>
      <c r="BM828" s="73"/>
      <c r="BN828" s="73"/>
      <c r="BO828" s="73"/>
      <c r="BP828" s="73"/>
      <c r="BQ828" s="73"/>
      <c r="BR828" s="73"/>
      <c r="BS828" s="73"/>
      <c r="BT828" s="74"/>
      <c r="BU828" s="73"/>
      <c r="BV828" s="73"/>
      <c r="BW828" s="73"/>
      <c r="BX828" s="73"/>
      <c r="BY828" s="73"/>
      <c r="BZ828" s="73"/>
      <c r="CA828" s="73"/>
      <c r="CB828" s="73"/>
      <c r="CC828" s="73"/>
      <c r="CD828" s="73"/>
      <c r="CE828" s="73"/>
    </row>
    <row r="829">
      <c r="A829" s="73"/>
      <c r="B829" s="73"/>
      <c r="C829" s="73"/>
      <c r="D829" s="74"/>
      <c r="E829" s="73"/>
      <c r="F829" s="73"/>
      <c r="G829" s="73"/>
      <c r="H829" s="73"/>
      <c r="I829" s="73"/>
      <c r="J829" s="73"/>
      <c r="K829" s="92"/>
      <c r="L829" s="73"/>
      <c r="M829" s="73"/>
      <c r="N829" s="73"/>
      <c r="O829" s="73"/>
      <c r="P829" s="73"/>
      <c r="Q829" s="75"/>
      <c r="R829" s="82"/>
      <c r="S829" s="73"/>
      <c r="T829" s="73"/>
      <c r="U829" s="73"/>
      <c r="V829" s="73"/>
      <c r="W829" s="73"/>
      <c r="X829" s="73"/>
      <c r="Y829" s="77"/>
      <c r="Z829" s="104"/>
      <c r="AA829" s="73"/>
      <c r="AB829" s="104"/>
      <c r="AC829" s="104"/>
      <c r="AD829" s="74"/>
      <c r="AE829" s="106"/>
      <c r="AF829" s="195"/>
      <c r="AG829" s="80"/>
      <c r="AH829" s="114"/>
      <c r="AI829" s="82"/>
      <c r="AJ829" s="114"/>
      <c r="AK829" s="106"/>
      <c r="AL829" s="74"/>
      <c r="AM829" s="73"/>
      <c r="AN829" s="73"/>
      <c r="AO829" s="102"/>
      <c r="AP829" s="73"/>
      <c r="AQ829" s="104"/>
      <c r="AR829" s="74"/>
      <c r="AS829" s="73"/>
      <c r="AT829" s="104"/>
      <c r="AU829" s="73"/>
      <c r="AV829" s="73"/>
      <c r="AW829" s="104"/>
      <c r="AX829" s="74"/>
      <c r="AY829" s="73"/>
      <c r="AZ829" s="73"/>
      <c r="BA829" s="74"/>
      <c r="BB829" s="73"/>
      <c r="BC829" s="73"/>
      <c r="BD829" s="73"/>
      <c r="BE829" s="73"/>
      <c r="BF829" s="73"/>
      <c r="BG829" s="73"/>
      <c r="BH829" s="73"/>
      <c r="BI829" s="73"/>
      <c r="BJ829" s="73"/>
      <c r="BK829" s="73"/>
      <c r="BL829" s="73"/>
      <c r="BM829" s="73"/>
      <c r="BN829" s="73"/>
      <c r="BO829" s="73"/>
      <c r="BP829" s="73"/>
      <c r="BQ829" s="73"/>
      <c r="BR829" s="73"/>
      <c r="BS829" s="73"/>
      <c r="BT829" s="74"/>
      <c r="BU829" s="73"/>
      <c r="BV829" s="73"/>
      <c r="BW829" s="73"/>
      <c r="BX829" s="73"/>
      <c r="BY829" s="73"/>
      <c r="BZ829" s="73"/>
      <c r="CA829" s="73"/>
      <c r="CB829" s="73"/>
      <c r="CC829" s="73"/>
      <c r="CD829" s="73"/>
      <c r="CE829" s="73"/>
    </row>
    <row r="830">
      <c r="A830" s="73"/>
      <c r="B830" s="73"/>
      <c r="C830" s="73"/>
      <c r="D830" s="74"/>
      <c r="E830" s="73"/>
      <c r="F830" s="73"/>
      <c r="G830" s="73"/>
      <c r="H830" s="73"/>
      <c r="I830" s="73"/>
      <c r="J830" s="73"/>
      <c r="K830" s="92"/>
      <c r="L830" s="73"/>
      <c r="M830" s="73"/>
      <c r="N830" s="73"/>
      <c r="O830" s="73"/>
      <c r="P830" s="73"/>
      <c r="Q830" s="75"/>
      <c r="R830" s="82"/>
      <c r="S830" s="73"/>
      <c r="T830" s="73"/>
      <c r="U830" s="73"/>
      <c r="V830" s="73"/>
      <c r="W830" s="73"/>
      <c r="X830" s="73"/>
      <c r="Y830" s="77"/>
      <c r="Z830" s="104"/>
      <c r="AA830" s="73"/>
      <c r="AB830" s="104"/>
      <c r="AC830" s="104"/>
      <c r="AD830" s="74"/>
      <c r="AE830" s="106"/>
      <c r="AF830" s="195"/>
      <c r="AG830" s="80"/>
      <c r="AH830" s="139"/>
      <c r="AI830" s="82"/>
      <c r="AJ830" s="114"/>
      <c r="AK830" s="106"/>
      <c r="AL830" s="74"/>
      <c r="AM830" s="73"/>
      <c r="AN830" s="73"/>
      <c r="AO830" s="102"/>
      <c r="AP830" s="73"/>
      <c r="AQ830" s="104"/>
      <c r="AR830" s="74"/>
      <c r="AS830" s="73"/>
      <c r="AT830" s="104"/>
      <c r="AU830" s="73"/>
      <c r="AV830" s="73"/>
      <c r="AW830" s="114"/>
      <c r="AX830" s="74"/>
      <c r="AY830" s="73"/>
      <c r="AZ830" s="73"/>
      <c r="BA830" s="74"/>
      <c r="BB830" s="73"/>
      <c r="BC830" s="73"/>
      <c r="BD830" s="73"/>
      <c r="BE830" s="73"/>
      <c r="BF830" s="73"/>
      <c r="BG830" s="73"/>
      <c r="BH830" s="73"/>
      <c r="BI830" s="73"/>
      <c r="BJ830" s="73"/>
      <c r="BK830" s="73"/>
      <c r="BL830" s="73"/>
      <c r="BM830" s="73"/>
      <c r="BN830" s="73"/>
      <c r="BO830" s="73"/>
      <c r="BP830" s="73"/>
      <c r="BQ830" s="73"/>
      <c r="BR830" s="73"/>
      <c r="BS830" s="73"/>
      <c r="BT830" s="74"/>
      <c r="BU830" s="73"/>
      <c r="BV830" s="73"/>
      <c r="BW830" s="73"/>
      <c r="BX830" s="73"/>
      <c r="BY830" s="73"/>
      <c r="BZ830" s="73"/>
      <c r="CA830" s="73"/>
      <c r="CB830" s="73"/>
      <c r="CC830" s="73"/>
      <c r="CD830" s="73"/>
      <c r="CE830" s="73"/>
    </row>
    <row r="831">
      <c r="A831" s="73"/>
      <c r="B831" s="73"/>
      <c r="C831" s="73"/>
      <c r="D831" s="74"/>
      <c r="E831" s="73"/>
      <c r="F831" s="73"/>
      <c r="G831" s="73"/>
      <c r="H831" s="73"/>
      <c r="I831" s="73"/>
      <c r="J831" s="73"/>
      <c r="K831" s="92"/>
      <c r="L831" s="73"/>
      <c r="M831" s="73"/>
      <c r="N831" s="73"/>
      <c r="O831" s="73"/>
      <c r="P831" s="73"/>
      <c r="Q831" s="75"/>
      <c r="R831" s="82"/>
      <c r="S831" s="73"/>
      <c r="T831" s="73"/>
      <c r="U831" s="73"/>
      <c r="V831" s="73"/>
      <c r="W831" s="73"/>
      <c r="X831" s="73"/>
      <c r="Y831" s="77"/>
      <c r="Z831" s="104"/>
      <c r="AA831" s="73"/>
      <c r="AB831" s="104"/>
      <c r="AC831" s="104"/>
      <c r="AD831" s="74"/>
      <c r="AE831" s="106"/>
      <c r="AF831" s="195"/>
      <c r="AG831" s="80"/>
      <c r="AH831" s="118"/>
      <c r="AI831" s="82"/>
      <c r="AJ831" s="114"/>
      <c r="AK831" s="106"/>
      <c r="AL831" s="74"/>
      <c r="AM831" s="73"/>
      <c r="AN831" s="73"/>
      <c r="AO831" s="102"/>
      <c r="AP831" s="73"/>
      <c r="AQ831" s="104"/>
      <c r="AR831" s="74"/>
      <c r="AS831" s="73"/>
      <c r="AT831" s="104"/>
      <c r="AU831" s="73"/>
      <c r="AV831" s="73"/>
      <c r="AW831" s="114"/>
      <c r="AX831" s="74"/>
      <c r="AY831" s="73"/>
      <c r="AZ831" s="73"/>
      <c r="BA831" s="74"/>
      <c r="BB831" s="73"/>
      <c r="BC831" s="73"/>
      <c r="BD831" s="73"/>
      <c r="BE831" s="73"/>
      <c r="BF831" s="73"/>
      <c r="BG831" s="73"/>
      <c r="BH831" s="73"/>
      <c r="BI831" s="73"/>
      <c r="BJ831" s="73"/>
      <c r="BK831" s="73"/>
      <c r="BL831" s="73"/>
      <c r="BM831" s="73"/>
      <c r="BN831" s="73"/>
      <c r="BO831" s="73"/>
      <c r="BP831" s="73"/>
      <c r="BQ831" s="73"/>
      <c r="BR831" s="73"/>
      <c r="BS831" s="73"/>
      <c r="BT831" s="74"/>
      <c r="BU831" s="73"/>
      <c r="BV831" s="73"/>
      <c r="BW831" s="73"/>
      <c r="BX831" s="73"/>
      <c r="BY831" s="73"/>
      <c r="BZ831" s="73"/>
      <c r="CA831" s="73"/>
      <c r="CB831" s="73"/>
      <c r="CC831" s="73"/>
      <c r="CD831" s="73"/>
      <c r="CE831" s="73"/>
    </row>
    <row r="832">
      <c r="A832" s="73"/>
      <c r="B832" s="73"/>
      <c r="C832" s="73"/>
      <c r="D832" s="74"/>
      <c r="E832" s="73"/>
      <c r="F832" s="73"/>
      <c r="G832" s="73"/>
      <c r="H832" s="73"/>
      <c r="I832" s="73"/>
      <c r="J832" s="73"/>
      <c r="K832" s="92"/>
      <c r="L832" s="73"/>
      <c r="M832" s="73"/>
      <c r="N832" s="73"/>
      <c r="O832" s="73"/>
      <c r="P832" s="73"/>
      <c r="Q832" s="75"/>
      <c r="R832" s="82"/>
      <c r="S832" s="73"/>
      <c r="T832" s="73"/>
      <c r="U832" s="73"/>
      <c r="V832" s="73"/>
      <c r="W832" s="73"/>
      <c r="X832" s="73"/>
      <c r="Y832" s="77"/>
      <c r="Z832" s="104"/>
      <c r="AA832" s="73"/>
      <c r="AB832" s="104"/>
      <c r="AC832" s="104"/>
      <c r="AD832" s="74"/>
      <c r="AE832" s="106"/>
      <c r="AF832" s="195"/>
      <c r="AG832" s="80"/>
      <c r="AH832" s="118"/>
      <c r="AI832" s="82"/>
      <c r="AJ832" s="114"/>
      <c r="AK832" s="106"/>
      <c r="AL832" s="74"/>
      <c r="AM832" s="73"/>
      <c r="AN832" s="73"/>
      <c r="AO832" s="102"/>
      <c r="AP832" s="73"/>
      <c r="AQ832" s="73"/>
      <c r="AR832" s="74"/>
      <c r="AS832" s="73"/>
      <c r="AT832" s="104"/>
      <c r="AU832" s="73"/>
      <c r="AV832" s="73"/>
      <c r="AW832" s="114"/>
      <c r="AX832" s="74"/>
      <c r="AY832" s="73"/>
      <c r="AZ832" s="73"/>
      <c r="BA832" s="74"/>
      <c r="BB832" s="73"/>
      <c r="BC832" s="73"/>
      <c r="BD832" s="73"/>
      <c r="BE832" s="73"/>
      <c r="BF832" s="73"/>
      <c r="BG832" s="73"/>
      <c r="BH832" s="73"/>
      <c r="BI832" s="73"/>
      <c r="BJ832" s="73"/>
      <c r="BK832" s="73"/>
      <c r="BL832" s="73"/>
      <c r="BM832" s="73"/>
      <c r="BN832" s="73"/>
      <c r="BO832" s="73"/>
      <c r="BP832" s="73"/>
      <c r="BQ832" s="73"/>
      <c r="BR832" s="73"/>
      <c r="BS832" s="73"/>
      <c r="BT832" s="74"/>
      <c r="BU832" s="73"/>
      <c r="BV832" s="73"/>
      <c r="BW832" s="73"/>
      <c r="BX832" s="73"/>
      <c r="BY832" s="73"/>
      <c r="BZ832" s="73"/>
      <c r="CA832" s="73"/>
      <c r="CB832" s="73"/>
      <c r="CC832" s="73"/>
      <c r="CD832" s="73"/>
      <c r="CE832" s="73"/>
    </row>
    <row r="833">
      <c r="A833" s="73"/>
      <c r="B833" s="73"/>
      <c r="C833" s="73"/>
      <c r="D833" s="74"/>
      <c r="E833" s="73"/>
      <c r="F833" s="73"/>
      <c r="G833" s="73"/>
      <c r="H833" s="73"/>
      <c r="I833" s="73"/>
      <c r="J833" s="73"/>
      <c r="K833" s="92"/>
      <c r="L833" s="73"/>
      <c r="M833" s="73"/>
      <c r="N833" s="73"/>
      <c r="O833" s="73"/>
      <c r="P833" s="73"/>
      <c r="Q833" s="75"/>
      <c r="R833" s="82"/>
      <c r="S833" s="73"/>
      <c r="T833" s="73"/>
      <c r="U833" s="73"/>
      <c r="V833" s="73"/>
      <c r="W833" s="73"/>
      <c r="X833" s="73"/>
      <c r="Y833" s="77"/>
      <c r="Z833" s="104"/>
      <c r="AA833" s="73"/>
      <c r="AB833" s="104"/>
      <c r="AC833" s="104"/>
      <c r="AD833" s="74"/>
      <c r="AE833" s="106"/>
      <c r="AF833" s="195"/>
      <c r="AG833" s="80"/>
      <c r="AH833" s="135"/>
      <c r="AI833" s="82"/>
      <c r="AJ833" s="114"/>
      <c r="AK833" s="106"/>
      <c r="AL833" s="74"/>
      <c r="AM833" s="73"/>
      <c r="AN833" s="73"/>
      <c r="AO833" s="102"/>
      <c r="AP833" s="73"/>
      <c r="AQ833" s="73"/>
      <c r="AR833" s="74"/>
      <c r="AS833" s="73"/>
      <c r="AT833" s="104"/>
      <c r="AU833" s="73"/>
      <c r="AV833" s="73"/>
      <c r="AW833" s="114"/>
      <c r="AX833" s="74"/>
      <c r="AY833" s="73"/>
      <c r="AZ833" s="73"/>
      <c r="BA833" s="74"/>
      <c r="BB833" s="73"/>
      <c r="BC833" s="73"/>
      <c r="BD833" s="73"/>
      <c r="BE833" s="73"/>
      <c r="BF833" s="73"/>
      <c r="BG833" s="73"/>
      <c r="BH833" s="73"/>
      <c r="BI833" s="73"/>
      <c r="BJ833" s="73"/>
      <c r="BK833" s="73"/>
      <c r="BL833" s="73"/>
      <c r="BM833" s="73"/>
      <c r="BN833" s="73"/>
      <c r="BO833" s="73"/>
      <c r="BP833" s="73"/>
      <c r="BQ833" s="73"/>
      <c r="BR833" s="73"/>
      <c r="BS833" s="73"/>
      <c r="BT833" s="74"/>
      <c r="BU833" s="73"/>
      <c r="BV833" s="73"/>
      <c r="BW833" s="73"/>
      <c r="BX833" s="73"/>
      <c r="BY833" s="73"/>
      <c r="BZ833" s="73"/>
      <c r="CA833" s="73"/>
      <c r="CB833" s="73"/>
      <c r="CC833" s="73"/>
      <c r="CD833" s="73"/>
      <c r="CE833" s="73"/>
    </row>
    <row r="834">
      <c r="A834" s="73"/>
      <c r="B834" s="73"/>
      <c r="C834" s="73"/>
      <c r="D834" s="74"/>
      <c r="E834" s="73"/>
      <c r="F834" s="73"/>
      <c r="G834" s="73"/>
      <c r="H834" s="73"/>
      <c r="I834" s="73"/>
      <c r="J834" s="73"/>
      <c r="K834" s="92"/>
      <c r="L834" s="73"/>
      <c r="M834" s="73"/>
      <c r="N834" s="73"/>
      <c r="O834" s="73"/>
      <c r="P834" s="73"/>
      <c r="Q834" s="75"/>
      <c r="R834" s="82"/>
      <c r="S834" s="73"/>
      <c r="T834" s="73"/>
      <c r="U834" s="73"/>
      <c r="V834" s="73"/>
      <c r="W834" s="73"/>
      <c r="X834" s="73"/>
      <c r="Y834" s="77"/>
      <c r="Z834" s="104"/>
      <c r="AA834" s="73"/>
      <c r="AB834" s="104"/>
      <c r="AC834" s="104"/>
      <c r="AD834" s="74"/>
      <c r="AE834" s="106"/>
      <c r="AF834" s="195"/>
      <c r="AG834" s="80"/>
      <c r="AH834" s="185"/>
      <c r="AI834" s="82"/>
      <c r="AJ834" s="114"/>
      <c r="AK834" s="106"/>
      <c r="AL834" s="74"/>
      <c r="AM834" s="73"/>
      <c r="AN834" s="73"/>
      <c r="AO834" s="102"/>
      <c r="AP834" s="73"/>
      <c r="AQ834" s="73"/>
      <c r="AR834" s="74"/>
      <c r="AS834" s="73"/>
      <c r="AT834" s="104"/>
      <c r="AU834" s="73"/>
      <c r="AV834" s="73"/>
      <c r="AW834" s="114"/>
      <c r="AX834" s="74"/>
      <c r="AY834" s="73"/>
      <c r="AZ834" s="73"/>
      <c r="BA834" s="74"/>
      <c r="BB834" s="73"/>
      <c r="BC834" s="73"/>
      <c r="BD834" s="73"/>
      <c r="BE834" s="73"/>
      <c r="BF834" s="73"/>
      <c r="BG834" s="73"/>
      <c r="BH834" s="73"/>
      <c r="BI834" s="73"/>
      <c r="BJ834" s="73"/>
      <c r="BK834" s="73"/>
      <c r="BL834" s="73"/>
      <c r="BM834" s="73"/>
      <c r="BN834" s="73"/>
      <c r="BO834" s="73"/>
      <c r="BP834" s="73"/>
      <c r="BQ834" s="73"/>
      <c r="BR834" s="73"/>
      <c r="BS834" s="73"/>
      <c r="BT834" s="74"/>
      <c r="BU834" s="73"/>
      <c r="BV834" s="73"/>
      <c r="BW834" s="73"/>
      <c r="BX834" s="73"/>
      <c r="BY834" s="73"/>
      <c r="BZ834" s="73"/>
      <c r="CA834" s="73"/>
      <c r="CB834" s="73"/>
      <c r="CC834" s="73"/>
      <c r="CD834" s="73"/>
      <c r="CE834" s="73"/>
    </row>
    <row r="835">
      <c r="A835" s="73"/>
      <c r="B835" s="73"/>
      <c r="C835" s="73"/>
      <c r="D835" s="74"/>
      <c r="E835" s="73"/>
      <c r="F835" s="73"/>
      <c r="G835" s="73"/>
      <c r="H835" s="73"/>
      <c r="I835" s="73"/>
      <c r="J835" s="73"/>
      <c r="K835" s="92"/>
      <c r="L835" s="73"/>
      <c r="M835" s="73"/>
      <c r="N835" s="73"/>
      <c r="O835" s="73"/>
      <c r="P835" s="73"/>
      <c r="Q835" s="75"/>
      <c r="R835" s="82"/>
      <c r="S835" s="73"/>
      <c r="T835" s="73"/>
      <c r="U835" s="73"/>
      <c r="V835" s="73"/>
      <c r="W835" s="73"/>
      <c r="X835" s="73"/>
      <c r="Y835" s="77"/>
      <c r="Z835" s="104"/>
      <c r="AA835" s="73"/>
      <c r="AB835" s="104"/>
      <c r="AC835" s="104"/>
      <c r="AD835" s="74"/>
      <c r="AE835" s="106"/>
      <c r="AF835" s="195"/>
      <c r="AG835" s="80"/>
      <c r="AH835" s="104"/>
      <c r="AI835" s="82"/>
      <c r="AJ835" s="114"/>
      <c r="AK835" s="106"/>
      <c r="AL835" s="74"/>
      <c r="AM835" s="73"/>
      <c r="AN835" s="73"/>
      <c r="AO835" s="102"/>
      <c r="AP835" s="73"/>
      <c r="AQ835" s="73"/>
      <c r="AR835" s="74"/>
      <c r="AS835" s="73"/>
      <c r="AT835" s="104"/>
      <c r="AU835" s="73"/>
      <c r="AV835" s="73"/>
      <c r="AW835" s="73"/>
      <c r="AX835" s="74"/>
      <c r="AY835" s="73"/>
      <c r="AZ835" s="73"/>
      <c r="BA835" s="74"/>
      <c r="BB835" s="73"/>
      <c r="BC835" s="73"/>
      <c r="BD835" s="73"/>
      <c r="BE835" s="73"/>
      <c r="BF835" s="73"/>
      <c r="BG835" s="73"/>
      <c r="BH835" s="73"/>
      <c r="BI835" s="73"/>
      <c r="BJ835" s="73"/>
      <c r="BK835" s="73"/>
      <c r="BL835" s="73"/>
      <c r="BM835" s="73"/>
      <c r="BN835" s="73"/>
      <c r="BO835" s="73"/>
      <c r="BP835" s="73"/>
      <c r="BQ835" s="73"/>
      <c r="BR835" s="73"/>
      <c r="BS835" s="73"/>
      <c r="BT835" s="74"/>
      <c r="BU835" s="73"/>
      <c r="BV835" s="73"/>
      <c r="BW835" s="73"/>
      <c r="BX835" s="73"/>
      <c r="BY835" s="73"/>
      <c r="BZ835" s="73"/>
      <c r="CA835" s="73"/>
      <c r="CB835" s="73"/>
      <c r="CC835" s="73"/>
      <c r="CD835" s="73"/>
      <c r="CE835" s="73"/>
    </row>
    <row r="836">
      <c r="A836" s="73"/>
      <c r="B836" s="73"/>
      <c r="C836" s="73"/>
      <c r="D836" s="74"/>
      <c r="E836" s="73"/>
      <c r="F836" s="73"/>
      <c r="G836" s="73"/>
      <c r="H836" s="73"/>
      <c r="I836" s="73"/>
      <c r="J836" s="73"/>
      <c r="K836" s="92"/>
      <c r="L836" s="73"/>
      <c r="M836" s="73"/>
      <c r="N836" s="73"/>
      <c r="O836" s="73"/>
      <c r="P836" s="73"/>
      <c r="Q836" s="75"/>
      <c r="R836" s="82"/>
      <c r="S836" s="73"/>
      <c r="T836" s="73"/>
      <c r="U836" s="73"/>
      <c r="V836" s="73"/>
      <c r="W836" s="73"/>
      <c r="X836" s="73"/>
      <c r="Y836" s="77"/>
      <c r="Z836" s="104"/>
      <c r="AA836" s="73"/>
      <c r="AB836" s="104"/>
      <c r="AC836" s="104"/>
      <c r="AD836" s="74"/>
      <c r="AE836" s="106"/>
      <c r="AF836" s="195"/>
      <c r="AG836" s="80"/>
      <c r="AH836" s="113"/>
      <c r="AI836" s="82"/>
      <c r="AJ836" s="114"/>
      <c r="AK836" s="106"/>
      <c r="AL836" s="74"/>
      <c r="AM836" s="73"/>
      <c r="AN836" s="73"/>
      <c r="AO836" s="102"/>
      <c r="AP836" s="73"/>
      <c r="AQ836" s="73"/>
      <c r="AR836" s="74"/>
      <c r="AS836" s="73"/>
      <c r="AT836" s="104"/>
      <c r="AU836" s="73"/>
      <c r="AV836" s="73"/>
      <c r="AW836" s="153"/>
      <c r="AX836" s="74"/>
      <c r="AY836" s="73"/>
      <c r="AZ836" s="73"/>
      <c r="BA836" s="74"/>
      <c r="BB836" s="73"/>
      <c r="BC836" s="73"/>
      <c r="BD836" s="73"/>
      <c r="BE836" s="73"/>
      <c r="BF836" s="73"/>
      <c r="BG836" s="73"/>
      <c r="BH836" s="73"/>
      <c r="BI836" s="73"/>
      <c r="BJ836" s="73"/>
      <c r="BK836" s="73"/>
      <c r="BL836" s="73"/>
      <c r="BM836" s="73"/>
      <c r="BN836" s="73"/>
      <c r="BO836" s="73"/>
      <c r="BP836" s="73"/>
      <c r="BQ836" s="73"/>
      <c r="BR836" s="73"/>
      <c r="BS836" s="73"/>
      <c r="BT836" s="74"/>
      <c r="BU836" s="73"/>
      <c r="BV836" s="73"/>
      <c r="BW836" s="73"/>
      <c r="BX836" s="73"/>
      <c r="BY836" s="73"/>
      <c r="BZ836" s="73"/>
      <c r="CA836" s="73"/>
      <c r="CB836" s="73"/>
      <c r="CC836" s="73"/>
      <c r="CD836" s="73"/>
      <c r="CE836" s="73"/>
    </row>
    <row r="837">
      <c r="A837" s="73"/>
      <c r="B837" s="73"/>
      <c r="C837" s="73"/>
      <c r="D837" s="74"/>
      <c r="E837" s="73"/>
      <c r="F837" s="73"/>
      <c r="G837" s="73"/>
      <c r="H837" s="73"/>
      <c r="I837" s="73"/>
      <c r="J837" s="73"/>
      <c r="K837" s="92"/>
      <c r="L837" s="73"/>
      <c r="M837" s="73"/>
      <c r="N837" s="73"/>
      <c r="O837" s="73"/>
      <c r="P837" s="73"/>
      <c r="Q837" s="75"/>
      <c r="R837" s="82"/>
      <c r="S837" s="73"/>
      <c r="T837" s="73"/>
      <c r="U837" s="73"/>
      <c r="V837" s="73"/>
      <c r="W837" s="73"/>
      <c r="X837" s="73"/>
      <c r="Y837" s="77"/>
      <c r="Z837" s="104"/>
      <c r="AA837" s="73"/>
      <c r="AB837" s="104"/>
      <c r="AC837" s="104"/>
      <c r="AD837" s="74"/>
      <c r="AE837" s="106"/>
      <c r="AF837" s="195"/>
      <c r="AG837" s="80"/>
      <c r="AH837" s="114"/>
      <c r="AI837" s="82"/>
      <c r="AJ837" s="114"/>
      <c r="AK837" s="106"/>
      <c r="AL837" s="74"/>
      <c r="AM837" s="73"/>
      <c r="AN837" s="73"/>
      <c r="AO837" s="102"/>
      <c r="AP837" s="73"/>
      <c r="AQ837" s="73"/>
      <c r="AR837" s="74"/>
      <c r="AS837" s="73"/>
      <c r="AT837" s="104"/>
      <c r="AU837" s="73"/>
      <c r="AV837" s="73"/>
      <c r="AW837" s="114"/>
      <c r="AX837" s="74"/>
      <c r="AY837" s="73"/>
      <c r="AZ837" s="73"/>
      <c r="BA837" s="74"/>
      <c r="BB837" s="73"/>
      <c r="BC837" s="73"/>
      <c r="BD837" s="73"/>
      <c r="BE837" s="73"/>
      <c r="BF837" s="73"/>
      <c r="BG837" s="73"/>
      <c r="BH837" s="73"/>
      <c r="BI837" s="73"/>
      <c r="BJ837" s="73"/>
      <c r="BK837" s="73"/>
      <c r="BL837" s="73"/>
      <c r="BM837" s="73"/>
      <c r="BN837" s="73"/>
      <c r="BO837" s="73"/>
      <c r="BP837" s="73"/>
      <c r="BQ837" s="73"/>
      <c r="BR837" s="73"/>
      <c r="BS837" s="73"/>
      <c r="BT837" s="74"/>
      <c r="BU837" s="73"/>
      <c r="BV837" s="73"/>
      <c r="BW837" s="73"/>
      <c r="BX837" s="73"/>
      <c r="BY837" s="73"/>
      <c r="BZ837" s="73"/>
      <c r="CA837" s="73"/>
      <c r="CB837" s="73"/>
      <c r="CC837" s="73"/>
      <c r="CD837" s="73"/>
      <c r="CE837" s="73"/>
    </row>
    <row r="838">
      <c r="A838" s="73"/>
      <c r="B838" s="73"/>
      <c r="C838" s="73"/>
      <c r="D838" s="74"/>
      <c r="E838" s="73"/>
      <c r="F838" s="73"/>
      <c r="G838" s="73"/>
      <c r="H838" s="73"/>
      <c r="I838" s="73"/>
      <c r="J838" s="73"/>
      <c r="K838" s="92"/>
      <c r="L838" s="73"/>
      <c r="M838" s="73"/>
      <c r="N838" s="73"/>
      <c r="O838" s="73"/>
      <c r="P838" s="73"/>
      <c r="Q838" s="75"/>
      <c r="R838" s="82"/>
      <c r="S838" s="73"/>
      <c r="T838" s="73"/>
      <c r="U838" s="73"/>
      <c r="V838" s="73"/>
      <c r="W838" s="73"/>
      <c r="X838" s="73"/>
      <c r="Y838" s="77"/>
      <c r="Z838" s="104"/>
      <c r="AA838" s="73"/>
      <c r="AB838" s="104"/>
      <c r="AC838" s="104"/>
      <c r="AD838" s="74"/>
      <c r="AE838" s="106"/>
      <c r="AF838" s="195"/>
      <c r="AG838" s="80"/>
      <c r="AH838" s="104"/>
      <c r="AI838" s="73"/>
      <c r="AJ838" s="114"/>
      <c r="AK838" s="106"/>
      <c r="AL838" s="74"/>
      <c r="AM838" s="73"/>
      <c r="AN838" s="73"/>
      <c r="AO838" s="102"/>
      <c r="AP838" s="73"/>
      <c r="AQ838" s="73"/>
      <c r="AR838" s="74"/>
      <c r="AS838" s="73"/>
      <c r="AT838" s="73"/>
      <c r="AU838" s="73"/>
      <c r="AV838" s="73"/>
      <c r="AW838" s="153"/>
      <c r="AX838" s="74"/>
      <c r="AY838" s="73"/>
      <c r="AZ838" s="73"/>
      <c r="BA838" s="74"/>
      <c r="BB838" s="73"/>
      <c r="BC838" s="73"/>
      <c r="BD838" s="73"/>
      <c r="BE838" s="73"/>
      <c r="BF838" s="73"/>
      <c r="BG838" s="73"/>
      <c r="BH838" s="73"/>
      <c r="BI838" s="73"/>
      <c r="BJ838" s="73"/>
      <c r="BK838" s="73"/>
      <c r="BL838" s="73"/>
      <c r="BM838" s="73"/>
      <c r="BN838" s="73"/>
      <c r="BO838" s="73"/>
      <c r="BP838" s="73"/>
      <c r="BQ838" s="73"/>
      <c r="BR838" s="73"/>
      <c r="BS838" s="73"/>
      <c r="BT838" s="74"/>
      <c r="BU838" s="73"/>
      <c r="BV838" s="73"/>
      <c r="BW838" s="73"/>
      <c r="BX838" s="73"/>
      <c r="BY838" s="73"/>
      <c r="BZ838" s="73"/>
      <c r="CA838" s="73"/>
      <c r="CB838" s="73"/>
      <c r="CC838" s="73"/>
      <c r="CD838" s="73"/>
      <c r="CE838" s="73"/>
    </row>
    <row r="839">
      <c r="A839" s="73"/>
      <c r="B839" s="73"/>
      <c r="C839" s="73"/>
      <c r="D839" s="74"/>
      <c r="E839" s="73"/>
      <c r="F839" s="73"/>
      <c r="G839" s="73"/>
      <c r="H839" s="73"/>
      <c r="I839" s="73"/>
      <c r="J839" s="73"/>
      <c r="K839" s="92"/>
      <c r="L839" s="73"/>
      <c r="M839" s="73"/>
      <c r="N839" s="73"/>
      <c r="O839" s="73"/>
      <c r="P839" s="73"/>
      <c r="Q839" s="75"/>
      <c r="R839" s="82"/>
      <c r="S839" s="73"/>
      <c r="T839" s="73"/>
      <c r="U839" s="73"/>
      <c r="V839" s="73"/>
      <c r="W839" s="73"/>
      <c r="X839" s="73"/>
      <c r="Y839" s="77"/>
      <c r="Z839" s="104"/>
      <c r="AA839" s="73"/>
      <c r="AB839" s="104"/>
      <c r="AC839" s="104"/>
      <c r="AD839" s="74"/>
      <c r="AE839" s="106"/>
      <c r="AF839" s="195"/>
      <c r="AG839" s="80"/>
      <c r="AH839" s="104"/>
      <c r="AI839" s="73"/>
      <c r="AJ839" s="114"/>
      <c r="AK839" s="106"/>
      <c r="AL839" s="74"/>
      <c r="AM839" s="73"/>
      <c r="AN839" s="73"/>
      <c r="AO839" s="102"/>
      <c r="AP839" s="73"/>
      <c r="AQ839" s="73"/>
      <c r="AR839" s="74"/>
      <c r="AS839" s="73"/>
      <c r="AT839" s="73"/>
      <c r="AU839" s="73"/>
      <c r="AV839" s="73"/>
      <c r="AW839" s="73"/>
      <c r="AX839" s="74"/>
      <c r="AY839" s="73"/>
      <c r="AZ839" s="73"/>
      <c r="BA839" s="74"/>
      <c r="BB839" s="73"/>
      <c r="BC839" s="73"/>
      <c r="BD839" s="73"/>
      <c r="BE839" s="73"/>
      <c r="BF839" s="73"/>
      <c r="BG839" s="73"/>
      <c r="BH839" s="73"/>
      <c r="BI839" s="73"/>
      <c r="BJ839" s="73"/>
      <c r="BK839" s="73"/>
      <c r="BL839" s="73"/>
      <c r="BM839" s="73"/>
      <c r="BN839" s="73"/>
      <c r="BO839" s="73"/>
      <c r="BP839" s="73"/>
      <c r="BQ839" s="73"/>
      <c r="BR839" s="73"/>
      <c r="BS839" s="73"/>
      <c r="BT839" s="74"/>
      <c r="BU839" s="73"/>
      <c r="BV839" s="73"/>
      <c r="BW839" s="73"/>
      <c r="BX839" s="73"/>
      <c r="BY839" s="73"/>
      <c r="BZ839" s="73"/>
      <c r="CA839" s="73"/>
      <c r="CB839" s="73"/>
      <c r="CC839" s="73"/>
      <c r="CD839" s="73"/>
      <c r="CE839" s="73"/>
    </row>
    <row r="840">
      <c r="A840" s="73"/>
      <c r="B840" s="73"/>
      <c r="C840" s="73"/>
      <c r="D840" s="74"/>
      <c r="E840" s="73"/>
      <c r="F840" s="73"/>
      <c r="G840" s="73"/>
      <c r="H840" s="73"/>
      <c r="I840" s="73"/>
      <c r="J840" s="73"/>
      <c r="K840" s="92"/>
      <c r="L840" s="73"/>
      <c r="M840" s="73"/>
      <c r="N840" s="73"/>
      <c r="O840" s="73"/>
      <c r="P840" s="73"/>
      <c r="Q840" s="75"/>
      <c r="R840" s="82"/>
      <c r="S840" s="73"/>
      <c r="T840" s="73"/>
      <c r="U840" s="73"/>
      <c r="V840" s="73"/>
      <c r="W840" s="73"/>
      <c r="X840" s="73"/>
      <c r="Y840" s="77"/>
      <c r="Z840" s="104"/>
      <c r="AA840" s="73"/>
      <c r="AB840" s="104"/>
      <c r="AC840" s="104"/>
      <c r="AD840" s="74"/>
      <c r="AE840" s="106"/>
      <c r="AF840" s="195"/>
      <c r="AG840" s="80"/>
      <c r="AH840" s="104"/>
      <c r="AI840" s="73"/>
      <c r="AJ840" s="114"/>
      <c r="AK840" s="106"/>
      <c r="AL840" s="74"/>
      <c r="AM840" s="73"/>
      <c r="AN840" s="73"/>
      <c r="AO840" s="102"/>
      <c r="AP840" s="73"/>
      <c r="AQ840" s="73"/>
      <c r="AR840" s="74"/>
      <c r="AS840" s="73"/>
      <c r="AT840" s="73"/>
      <c r="AU840" s="73"/>
      <c r="AV840" s="73"/>
      <c r="AW840" s="114"/>
      <c r="AX840" s="74"/>
      <c r="AY840" s="73"/>
      <c r="AZ840" s="73"/>
      <c r="BA840" s="74"/>
      <c r="BB840" s="73"/>
      <c r="BC840" s="73"/>
      <c r="BD840" s="73"/>
      <c r="BE840" s="73"/>
      <c r="BF840" s="73"/>
      <c r="BG840" s="73"/>
      <c r="BH840" s="73"/>
      <c r="BI840" s="73"/>
      <c r="BJ840" s="73"/>
      <c r="BK840" s="73"/>
      <c r="BL840" s="73"/>
      <c r="BM840" s="73"/>
      <c r="BN840" s="73"/>
      <c r="BO840" s="73"/>
      <c r="BP840" s="73"/>
      <c r="BQ840" s="73"/>
      <c r="BR840" s="73"/>
      <c r="BS840" s="73"/>
      <c r="BT840" s="74"/>
      <c r="BU840" s="73"/>
      <c r="BV840" s="73"/>
      <c r="BW840" s="73"/>
      <c r="BX840" s="73"/>
      <c r="BY840" s="73"/>
      <c r="BZ840" s="73"/>
      <c r="CA840" s="73"/>
      <c r="CB840" s="73"/>
      <c r="CC840" s="73"/>
      <c r="CD840" s="73"/>
      <c r="CE840" s="73"/>
    </row>
    <row r="841">
      <c r="A841" s="73"/>
      <c r="B841" s="73"/>
      <c r="C841" s="73"/>
      <c r="D841" s="74"/>
      <c r="E841" s="73"/>
      <c r="F841" s="73"/>
      <c r="G841" s="73"/>
      <c r="H841" s="73"/>
      <c r="I841" s="73"/>
      <c r="J841" s="73"/>
      <c r="K841" s="92"/>
      <c r="L841" s="73"/>
      <c r="M841" s="73"/>
      <c r="N841" s="73"/>
      <c r="O841" s="73"/>
      <c r="P841" s="73"/>
      <c r="Q841" s="75"/>
      <c r="R841" s="82"/>
      <c r="S841" s="73"/>
      <c r="T841" s="73"/>
      <c r="U841" s="73"/>
      <c r="V841" s="73"/>
      <c r="W841" s="73"/>
      <c r="X841" s="73"/>
      <c r="Y841" s="77"/>
      <c r="Z841" s="104"/>
      <c r="AA841" s="73"/>
      <c r="AB841" s="104"/>
      <c r="AC841" s="104"/>
      <c r="AD841" s="74"/>
      <c r="AE841" s="106"/>
      <c r="AF841" s="195"/>
      <c r="AG841" s="80"/>
      <c r="AH841" s="104"/>
      <c r="AI841" s="73"/>
      <c r="AJ841" s="114"/>
      <c r="AK841" s="106"/>
      <c r="AL841" s="74"/>
      <c r="AM841" s="73"/>
      <c r="AN841" s="73"/>
      <c r="AO841" s="102"/>
      <c r="AP841" s="73"/>
      <c r="AQ841" s="73"/>
      <c r="AR841" s="74"/>
      <c r="AS841" s="73"/>
      <c r="AT841" s="73"/>
      <c r="AU841" s="73"/>
      <c r="AV841" s="73"/>
      <c r="AW841" s="114"/>
      <c r="AX841" s="74"/>
      <c r="AY841" s="73"/>
      <c r="AZ841" s="73"/>
      <c r="BA841" s="74"/>
      <c r="BB841" s="73"/>
      <c r="BC841" s="73"/>
      <c r="BD841" s="73"/>
      <c r="BE841" s="73"/>
      <c r="BF841" s="73"/>
      <c r="BG841" s="73"/>
      <c r="BH841" s="73"/>
      <c r="BI841" s="73"/>
      <c r="BJ841" s="73"/>
      <c r="BK841" s="73"/>
      <c r="BL841" s="73"/>
      <c r="BM841" s="73"/>
      <c r="BN841" s="73"/>
      <c r="BO841" s="73"/>
      <c r="BP841" s="73"/>
      <c r="BQ841" s="73"/>
      <c r="BR841" s="73"/>
      <c r="BS841" s="73"/>
      <c r="BT841" s="74"/>
      <c r="BU841" s="73"/>
      <c r="BV841" s="73"/>
      <c r="BW841" s="73"/>
      <c r="BX841" s="73"/>
      <c r="BY841" s="73"/>
      <c r="BZ841" s="73"/>
      <c r="CA841" s="73"/>
      <c r="CB841" s="73"/>
      <c r="CC841" s="73"/>
      <c r="CD841" s="73"/>
      <c r="CE841" s="73"/>
    </row>
    <row r="842">
      <c r="A842" s="73"/>
      <c r="B842" s="73"/>
      <c r="C842" s="73"/>
      <c r="D842" s="74"/>
      <c r="E842" s="73"/>
      <c r="F842" s="73"/>
      <c r="G842" s="73"/>
      <c r="H842" s="73"/>
      <c r="I842" s="73"/>
      <c r="J842" s="73"/>
      <c r="K842" s="92"/>
      <c r="L842" s="73"/>
      <c r="M842" s="73"/>
      <c r="N842" s="73"/>
      <c r="O842" s="73"/>
      <c r="P842" s="73"/>
      <c r="Q842" s="75"/>
      <c r="R842" s="82"/>
      <c r="S842" s="73"/>
      <c r="T842" s="73"/>
      <c r="U842" s="73"/>
      <c r="V842" s="73"/>
      <c r="W842" s="73"/>
      <c r="X842" s="73"/>
      <c r="Y842" s="77"/>
      <c r="Z842" s="104"/>
      <c r="AA842" s="73"/>
      <c r="AB842" s="104"/>
      <c r="AC842" s="104"/>
      <c r="AD842" s="74"/>
      <c r="AE842" s="106"/>
      <c r="AF842" s="195"/>
      <c r="AG842" s="80"/>
      <c r="AH842" s="104"/>
      <c r="AI842" s="73"/>
      <c r="AJ842" s="114"/>
      <c r="AK842" s="106"/>
      <c r="AL842" s="74"/>
      <c r="AM842" s="73"/>
      <c r="AN842" s="73"/>
      <c r="AO842" s="102"/>
      <c r="AP842" s="73"/>
      <c r="AQ842" s="73"/>
      <c r="AR842" s="74"/>
      <c r="AS842" s="73"/>
      <c r="AT842" s="73"/>
      <c r="AU842" s="73"/>
      <c r="AV842" s="73"/>
      <c r="AW842" s="114"/>
      <c r="AX842" s="74"/>
      <c r="AY842" s="73"/>
      <c r="AZ842" s="73"/>
      <c r="BA842" s="74"/>
      <c r="BB842" s="73"/>
      <c r="BC842" s="73"/>
      <c r="BD842" s="73"/>
      <c r="BE842" s="73"/>
      <c r="BF842" s="73"/>
      <c r="BG842" s="73"/>
      <c r="BH842" s="73"/>
      <c r="BI842" s="73"/>
      <c r="BJ842" s="73"/>
      <c r="BK842" s="73"/>
      <c r="BL842" s="73"/>
      <c r="BM842" s="73"/>
      <c r="BN842" s="73"/>
      <c r="BO842" s="73"/>
      <c r="BP842" s="73"/>
      <c r="BQ842" s="73"/>
      <c r="BR842" s="73"/>
      <c r="BS842" s="73"/>
      <c r="BT842" s="74"/>
      <c r="BU842" s="73"/>
      <c r="BV842" s="73"/>
      <c r="BW842" s="73"/>
      <c r="BX842" s="73"/>
      <c r="BY842" s="73"/>
      <c r="BZ842" s="73"/>
      <c r="CA842" s="73"/>
      <c r="CB842" s="73"/>
      <c r="CC842" s="73"/>
      <c r="CD842" s="73"/>
      <c r="CE842" s="73"/>
    </row>
    <row r="843">
      <c r="A843" s="73"/>
      <c r="B843" s="73"/>
      <c r="C843" s="73"/>
      <c r="D843" s="74"/>
      <c r="E843" s="73"/>
      <c r="F843" s="73"/>
      <c r="G843" s="73"/>
      <c r="H843" s="73"/>
      <c r="I843" s="73"/>
      <c r="J843" s="73"/>
      <c r="K843" s="92"/>
      <c r="L843" s="73"/>
      <c r="M843" s="73"/>
      <c r="N843" s="73"/>
      <c r="O843" s="73"/>
      <c r="P843" s="73"/>
      <c r="Q843" s="75"/>
      <c r="R843" s="82"/>
      <c r="S843" s="73"/>
      <c r="T843" s="73"/>
      <c r="U843" s="73"/>
      <c r="V843" s="73"/>
      <c r="W843" s="73"/>
      <c r="X843" s="73"/>
      <c r="Y843" s="77"/>
      <c r="Z843" s="104"/>
      <c r="AA843" s="73"/>
      <c r="AB843" s="104"/>
      <c r="AC843" s="104"/>
      <c r="AD843" s="74"/>
      <c r="AE843" s="106"/>
      <c r="AF843" s="195"/>
      <c r="AG843" s="80"/>
      <c r="AH843" s="104"/>
      <c r="AI843" s="73"/>
      <c r="AJ843" s="114"/>
      <c r="AK843" s="106"/>
      <c r="AL843" s="74"/>
      <c r="AM843" s="73"/>
      <c r="AN843" s="73"/>
      <c r="AO843" s="102"/>
      <c r="AP843" s="73"/>
      <c r="AQ843" s="73"/>
      <c r="AR843" s="74"/>
      <c r="AS843" s="73"/>
      <c r="AT843" s="73"/>
      <c r="AU843" s="73"/>
      <c r="AV843" s="73"/>
      <c r="AW843" s="114"/>
      <c r="AX843" s="74"/>
      <c r="AY843" s="73"/>
      <c r="AZ843" s="73"/>
      <c r="BA843" s="74"/>
      <c r="BB843" s="73"/>
      <c r="BC843" s="73"/>
      <c r="BD843" s="73"/>
      <c r="BE843" s="73"/>
      <c r="BF843" s="73"/>
      <c r="BG843" s="73"/>
      <c r="BH843" s="73"/>
      <c r="BI843" s="73"/>
      <c r="BJ843" s="73"/>
      <c r="BK843" s="73"/>
      <c r="BL843" s="73"/>
      <c r="BM843" s="73"/>
      <c r="BN843" s="73"/>
      <c r="BO843" s="73"/>
      <c r="BP843" s="73"/>
      <c r="BQ843" s="73"/>
      <c r="BR843" s="73"/>
      <c r="BS843" s="73"/>
      <c r="BT843" s="74"/>
      <c r="BU843" s="73"/>
      <c r="BV843" s="73"/>
      <c r="BW843" s="73"/>
      <c r="BX843" s="73"/>
      <c r="BY843" s="73"/>
      <c r="BZ843" s="73"/>
      <c r="CA843" s="73"/>
      <c r="CB843" s="73"/>
      <c r="CC843" s="73"/>
      <c r="CD843" s="73"/>
      <c r="CE843" s="73"/>
    </row>
    <row r="844">
      <c r="A844" s="73"/>
      <c r="B844" s="73"/>
      <c r="C844" s="73"/>
      <c r="D844" s="74"/>
      <c r="E844" s="73"/>
      <c r="F844" s="73"/>
      <c r="G844" s="73"/>
      <c r="H844" s="73"/>
      <c r="I844" s="73"/>
      <c r="J844" s="73"/>
      <c r="K844" s="92"/>
      <c r="L844" s="73"/>
      <c r="M844" s="73"/>
      <c r="N844" s="73"/>
      <c r="O844" s="73"/>
      <c r="P844" s="73"/>
      <c r="Q844" s="75"/>
      <c r="R844" s="82"/>
      <c r="S844" s="73"/>
      <c r="T844" s="73"/>
      <c r="U844" s="73"/>
      <c r="V844" s="73"/>
      <c r="W844" s="73"/>
      <c r="X844" s="73"/>
      <c r="Y844" s="77"/>
      <c r="Z844" s="104"/>
      <c r="AA844" s="73"/>
      <c r="AB844" s="104"/>
      <c r="AC844" s="104"/>
      <c r="AD844" s="74"/>
      <c r="AE844" s="106"/>
      <c r="AF844" s="195"/>
      <c r="AG844" s="80"/>
      <c r="AH844" s="104"/>
      <c r="AI844" s="73"/>
      <c r="AJ844" s="114"/>
      <c r="AK844" s="106"/>
      <c r="AL844" s="74"/>
      <c r="AM844" s="73"/>
      <c r="AN844" s="73"/>
      <c r="AO844" s="102"/>
      <c r="AP844" s="73"/>
      <c r="AQ844" s="73"/>
      <c r="AR844" s="74"/>
      <c r="AS844" s="73"/>
      <c r="AT844" s="73"/>
      <c r="AU844" s="73"/>
      <c r="AV844" s="73"/>
      <c r="AW844" s="114"/>
      <c r="AX844" s="74"/>
      <c r="AY844" s="73"/>
      <c r="AZ844" s="73"/>
      <c r="BA844" s="74"/>
      <c r="BB844" s="73"/>
      <c r="BC844" s="73"/>
      <c r="BD844" s="73"/>
      <c r="BE844" s="73"/>
      <c r="BF844" s="73"/>
      <c r="BG844" s="73"/>
      <c r="BH844" s="73"/>
      <c r="BI844" s="73"/>
      <c r="BJ844" s="73"/>
      <c r="BK844" s="73"/>
      <c r="BL844" s="73"/>
      <c r="BM844" s="73"/>
      <c r="BN844" s="73"/>
      <c r="BO844" s="73"/>
      <c r="BP844" s="73"/>
      <c r="BQ844" s="73"/>
      <c r="BR844" s="73"/>
      <c r="BS844" s="73"/>
      <c r="BT844" s="74"/>
      <c r="BU844" s="73"/>
      <c r="BV844" s="73"/>
      <c r="BW844" s="73"/>
      <c r="BX844" s="73"/>
      <c r="BY844" s="73"/>
      <c r="BZ844" s="73"/>
      <c r="CA844" s="73"/>
      <c r="CB844" s="73"/>
      <c r="CC844" s="73"/>
      <c r="CD844" s="73"/>
      <c r="CE844" s="73"/>
    </row>
    <row r="845">
      <c r="A845" s="73"/>
      <c r="B845" s="73"/>
      <c r="C845" s="73"/>
      <c r="D845" s="74"/>
      <c r="E845" s="73"/>
      <c r="F845" s="73"/>
      <c r="G845" s="73"/>
      <c r="H845" s="73"/>
      <c r="I845" s="73"/>
      <c r="J845" s="73"/>
      <c r="K845" s="92"/>
      <c r="L845" s="73"/>
      <c r="M845" s="73"/>
      <c r="N845" s="73"/>
      <c r="O845" s="73"/>
      <c r="P845" s="73"/>
      <c r="Q845" s="75"/>
      <c r="R845" s="82"/>
      <c r="S845" s="73"/>
      <c r="T845" s="73"/>
      <c r="U845" s="73"/>
      <c r="V845" s="73"/>
      <c r="W845" s="73"/>
      <c r="X845" s="73"/>
      <c r="Y845" s="77"/>
      <c r="Z845" s="104"/>
      <c r="AA845" s="73"/>
      <c r="AB845" s="104"/>
      <c r="AC845" s="104"/>
      <c r="AD845" s="74"/>
      <c r="AE845" s="106"/>
      <c r="AF845" s="195"/>
      <c r="AG845" s="80"/>
      <c r="AH845" s="104"/>
      <c r="AI845" s="73"/>
      <c r="AJ845" s="114"/>
      <c r="AK845" s="106"/>
      <c r="AL845" s="74"/>
      <c r="AM845" s="73"/>
      <c r="AN845" s="73"/>
      <c r="AO845" s="102"/>
      <c r="AP845" s="73"/>
      <c r="AQ845" s="73"/>
      <c r="AR845" s="74"/>
      <c r="AS845" s="73"/>
      <c r="AT845" s="73"/>
      <c r="AU845" s="73"/>
      <c r="AV845" s="73"/>
      <c r="AW845" s="114"/>
      <c r="AX845" s="74"/>
      <c r="AY845" s="73"/>
      <c r="AZ845" s="73"/>
      <c r="BA845" s="74"/>
      <c r="BB845" s="73"/>
      <c r="BC845" s="73"/>
      <c r="BD845" s="73"/>
      <c r="BE845" s="73"/>
      <c r="BF845" s="73"/>
      <c r="BG845" s="73"/>
      <c r="BH845" s="73"/>
      <c r="BI845" s="73"/>
      <c r="BJ845" s="73"/>
      <c r="BK845" s="73"/>
      <c r="BL845" s="73"/>
      <c r="BM845" s="73"/>
      <c r="BN845" s="73"/>
      <c r="BO845" s="73"/>
      <c r="BP845" s="73"/>
      <c r="BQ845" s="73"/>
      <c r="BR845" s="73"/>
      <c r="BS845" s="73"/>
      <c r="BT845" s="74"/>
      <c r="BU845" s="73"/>
      <c r="BV845" s="73"/>
      <c r="BW845" s="73"/>
      <c r="BX845" s="73"/>
      <c r="BY845" s="73"/>
      <c r="BZ845" s="73"/>
      <c r="CA845" s="73"/>
      <c r="CB845" s="73"/>
      <c r="CC845" s="73"/>
      <c r="CD845" s="73"/>
      <c r="CE845" s="73"/>
    </row>
    <row r="846">
      <c r="A846" s="73"/>
      <c r="B846" s="73"/>
      <c r="C846" s="73"/>
      <c r="D846" s="74"/>
      <c r="E846" s="73"/>
      <c r="F846" s="73"/>
      <c r="G846" s="73"/>
      <c r="H846" s="73"/>
      <c r="I846" s="73"/>
      <c r="J846" s="73"/>
      <c r="K846" s="92"/>
      <c r="L846" s="73"/>
      <c r="M846" s="73"/>
      <c r="N846" s="73"/>
      <c r="O846" s="73"/>
      <c r="P846" s="73"/>
      <c r="Q846" s="75"/>
      <c r="R846" s="82"/>
      <c r="S846" s="73"/>
      <c r="T846" s="73"/>
      <c r="U846" s="73"/>
      <c r="V846" s="73"/>
      <c r="W846" s="73"/>
      <c r="X846" s="73"/>
      <c r="Y846" s="77"/>
      <c r="Z846" s="104"/>
      <c r="AA846" s="73"/>
      <c r="AB846" s="104"/>
      <c r="AC846" s="104"/>
      <c r="AD846" s="74"/>
      <c r="AE846" s="106"/>
      <c r="AF846" s="195"/>
      <c r="AG846" s="80"/>
      <c r="AH846" s="104"/>
      <c r="AI846" s="73"/>
      <c r="AJ846" s="114"/>
      <c r="AK846" s="106"/>
      <c r="AL846" s="74"/>
      <c r="AM846" s="73"/>
      <c r="AN846" s="73"/>
      <c r="AO846" s="102"/>
      <c r="AP846" s="73"/>
      <c r="AQ846" s="73"/>
      <c r="AR846" s="74"/>
      <c r="AS846" s="73"/>
      <c r="AT846" s="73"/>
      <c r="AU846" s="73"/>
      <c r="AV846" s="73"/>
      <c r="AW846" s="114"/>
      <c r="AX846" s="74"/>
      <c r="AY846" s="73"/>
      <c r="AZ846" s="73"/>
      <c r="BA846" s="74"/>
      <c r="BB846" s="73"/>
      <c r="BC846" s="73"/>
      <c r="BD846" s="73"/>
      <c r="BE846" s="73"/>
      <c r="BF846" s="73"/>
      <c r="BG846" s="73"/>
      <c r="BH846" s="73"/>
      <c r="BI846" s="73"/>
      <c r="BJ846" s="73"/>
      <c r="BK846" s="73"/>
      <c r="BL846" s="73"/>
      <c r="BM846" s="73"/>
      <c r="BN846" s="73"/>
      <c r="BO846" s="73"/>
      <c r="BP846" s="73"/>
      <c r="BQ846" s="73"/>
      <c r="BR846" s="73"/>
      <c r="BS846" s="73"/>
      <c r="BT846" s="74"/>
      <c r="BU846" s="73"/>
      <c r="BV846" s="73"/>
      <c r="BW846" s="73"/>
      <c r="BX846" s="73"/>
      <c r="BY846" s="73"/>
      <c r="BZ846" s="73"/>
      <c r="CA846" s="73"/>
      <c r="CB846" s="73"/>
      <c r="CC846" s="73"/>
      <c r="CD846" s="73"/>
      <c r="CE846" s="73"/>
    </row>
    <row r="847">
      <c r="A847" s="73"/>
      <c r="B847" s="73"/>
      <c r="C847" s="73"/>
      <c r="D847" s="74"/>
      <c r="E847" s="73"/>
      <c r="F847" s="73"/>
      <c r="G847" s="73"/>
      <c r="H847" s="73"/>
      <c r="I847" s="73"/>
      <c r="J847" s="73"/>
      <c r="K847" s="92"/>
      <c r="L847" s="73"/>
      <c r="M847" s="73"/>
      <c r="N847" s="73"/>
      <c r="O847" s="73"/>
      <c r="P847" s="73"/>
      <c r="Q847" s="75"/>
      <c r="R847" s="82"/>
      <c r="S847" s="73"/>
      <c r="T847" s="73"/>
      <c r="U847" s="73"/>
      <c r="V847" s="73"/>
      <c r="W847" s="73"/>
      <c r="X847" s="73"/>
      <c r="Y847" s="77"/>
      <c r="Z847" s="104"/>
      <c r="AA847" s="73"/>
      <c r="AB847" s="104"/>
      <c r="AC847" s="104"/>
      <c r="AD847" s="74"/>
      <c r="AE847" s="106"/>
      <c r="AF847" s="195"/>
      <c r="AG847" s="80"/>
      <c r="AH847" s="104"/>
      <c r="AI847" s="73"/>
      <c r="AJ847" s="114"/>
      <c r="AK847" s="106"/>
      <c r="AL847" s="74"/>
      <c r="AM847" s="73"/>
      <c r="AN847" s="73"/>
      <c r="AO847" s="102"/>
      <c r="AP847" s="73"/>
      <c r="AQ847" s="73"/>
      <c r="AR847" s="74"/>
      <c r="AS847" s="73"/>
      <c r="AT847" s="73"/>
      <c r="AU847" s="73"/>
      <c r="AV847" s="73"/>
      <c r="AW847" s="114"/>
      <c r="AX847" s="74"/>
      <c r="AY847" s="73"/>
      <c r="AZ847" s="73"/>
      <c r="BA847" s="74"/>
      <c r="BB847" s="73"/>
      <c r="BC847" s="73"/>
      <c r="BD847" s="73"/>
      <c r="BE847" s="73"/>
      <c r="BF847" s="73"/>
      <c r="BG847" s="73"/>
      <c r="BH847" s="73"/>
      <c r="BI847" s="73"/>
      <c r="BJ847" s="73"/>
      <c r="BK847" s="73"/>
      <c r="BL847" s="73"/>
      <c r="BM847" s="73"/>
      <c r="BN847" s="73"/>
      <c r="BO847" s="73"/>
      <c r="BP847" s="73"/>
      <c r="BQ847" s="73"/>
      <c r="BR847" s="73"/>
      <c r="BS847" s="73"/>
      <c r="BT847" s="74"/>
      <c r="BU847" s="73"/>
      <c r="BV847" s="73"/>
      <c r="BW847" s="73"/>
      <c r="BX847" s="73"/>
      <c r="BY847" s="73"/>
      <c r="BZ847" s="73"/>
      <c r="CA847" s="73"/>
      <c r="CB847" s="73"/>
      <c r="CC847" s="73"/>
      <c r="CD847" s="73"/>
      <c r="CE847" s="73"/>
    </row>
    <row r="848">
      <c r="A848" s="73"/>
      <c r="B848" s="73"/>
      <c r="C848" s="73"/>
      <c r="D848" s="74"/>
      <c r="E848" s="73"/>
      <c r="F848" s="73"/>
      <c r="G848" s="73"/>
      <c r="H848" s="73"/>
      <c r="I848" s="73"/>
      <c r="J848" s="73"/>
      <c r="K848" s="92"/>
      <c r="L848" s="73"/>
      <c r="M848" s="73"/>
      <c r="N848" s="73"/>
      <c r="O848" s="73"/>
      <c r="P848" s="73"/>
      <c r="Q848" s="75"/>
      <c r="R848" s="82"/>
      <c r="S848" s="73"/>
      <c r="T848" s="73"/>
      <c r="U848" s="73"/>
      <c r="V848" s="73"/>
      <c r="W848" s="73"/>
      <c r="X848" s="73"/>
      <c r="Y848" s="77"/>
      <c r="Z848" s="104"/>
      <c r="AA848" s="73"/>
      <c r="AB848" s="104"/>
      <c r="AC848" s="104"/>
      <c r="AD848" s="74"/>
      <c r="AE848" s="106"/>
      <c r="AF848" s="195"/>
      <c r="AG848" s="80"/>
      <c r="AH848" s="104"/>
      <c r="AI848" s="73"/>
      <c r="AJ848" s="114"/>
      <c r="AK848" s="106"/>
      <c r="AL848" s="74"/>
      <c r="AM848" s="73"/>
      <c r="AN848" s="73"/>
      <c r="AO848" s="102"/>
      <c r="AP848" s="73"/>
      <c r="AQ848" s="73"/>
      <c r="AR848" s="74"/>
      <c r="AS848" s="73"/>
      <c r="AT848" s="73"/>
      <c r="AU848" s="73"/>
      <c r="AV848" s="73"/>
      <c r="AW848" s="114"/>
      <c r="AX848" s="74"/>
      <c r="AY848" s="73"/>
      <c r="AZ848" s="73"/>
      <c r="BA848" s="74"/>
      <c r="BB848" s="73"/>
      <c r="BC848" s="73"/>
      <c r="BD848" s="73"/>
      <c r="BE848" s="73"/>
      <c r="BF848" s="73"/>
      <c r="BG848" s="73"/>
      <c r="BH848" s="73"/>
      <c r="BI848" s="73"/>
      <c r="BJ848" s="73"/>
      <c r="BK848" s="73"/>
      <c r="BL848" s="73"/>
      <c r="BM848" s="73"/>
      <c r="BN848" s="73"/>
      <c r="BO848" s="73"/>
      <c r="BP848" s="73"/>
      <c r="BQ848" s="73"/>
      <c r="BR848" s="73"/>
      <c r="BS848" s="73"/>
      <c r="BT848" s="74"/>
      <c r="BU848" s="73"/>
      <c r="BV848" s="73"/>
      <c r="BW848" s="73"/>
      <c r="BX848" s="73"/>
      <c r="BY848" s="73"/>
      <c r="BZ848" s="73"/>
      <c r="CA848" s="73"/>
      <c r="CB848" s="73"/>
      <c r="CC848" s="73"/>
      <c r="CD848" s="73"/>
      <c r="CE848" s="73"/>
    </row>
    <row r="849">
      <c r="A849" s="73"/>
      <c r="B849" s="73"/>
      <c r="C849" s="73"/>
      <c r="D849" s="74"/>
      <c r="E849" s="73"/>
      <c r="F849" s="73"/>
      <c r="G849" s="73"/>
      <c r="H849" s="73"/>
      <c r="I849" s="73"/>
      <c r="J849" s="73"/>
      <c r="K849" s="92"/>
      <c r="L849" s="73"/>
      <c r="M849" s="73"/>
      <c r="N849" s="73"/>
      <c r="O849" s="73"/>
      <c r="P849" s="73"/>
      <c r="Q849" s="75"/>
      <c r="R849" s="82"/>
      <c r="S849" s="73"/>
      <c r="T849" s="73"/>
      <c r="U849" s="73"/>
      <c r="V849" s="73"/>
      <c r="W849" s="73"/>
      <c r="X849" s="73"/>
      <c r="Y849" s="77"/>
      <c r="Z849" s="104"/>
      <c r="AA849" s="73"/>
      <c r="AB849" s="104"/>
      <c r="AC849" s="104"/>
      <c r="AD849" s="74"/>
      <c r="AE849" s="106"/>
      <c r="AF849" s="195"/>
      <c r="AG849" s="80"/>
      <c r="AH849" s="104"/>
      <c r="AI849" s="73"/>
      <c r="AJ849" s="114"/>
      <c r="AK849" s="106"/>
      <c r="AL849" s="74"/>
      <c r="AM849" s="73"/>
      <c r="AN849" s="73"/>
      <c r="AO849" s="102"/>
      <c r="AP849" s="73"/>
      <c r="AQ849" s="73"/>
      <c r="AR849" s="74"/>
      <c r="AS849" s="73"/>
      <c r="AT849" s="73"/>
      <c r="AU849" s="73"/>
      <c r="AV849" s="73"/>
      <c r="AW849" s="114"/>
      <c r="AX849" s="74"/>
      <c r="AY849" s="73"/>
      <c r="AZ849" s="73"/>
      <c r="BA849" s="74"/>
      <c r="BB849" s="73"/>
      <c r="BC849" s="73"/>
      <c r="BD849" s="73"/>
      <c r="BE849" s="73"/>
      <c r="BF849" s="73"/>
      <c r="BG849" s="73"/>
      <c r="BH849" s="73"/>
      <c r="BI849" s="73"/>
      <c r="BJ849" s="73"/>
      <c r="BK849" s="73"/>
      <c r="BL849" s="73"/>
      <c r="BM849" s="73"/>
      <c r="BN849" s="73"/>
      <c r="BO849" s="73"/>
      <c r="BP849" s="73"/>
      <c r="BQ849" s="73"/>
      <c r="BR849" s="73"/>
      <c r="BS849" s="73"/>
      <c r="BT849" s="74"/>
      <c r="BU849" s="73"/>
      <c r="BV849" s="73"/>
      <c r="BW849" s="73"/>
      <c r="BX849" s="73"/>
      <c r="BY849" s="73"/>
      <c r="BZ849" s="73"/>
      <c r="CA849" s="73"/>
      <c r="CB849" s="73"/>
      <c r="CC849" s="73"/>
      <c r="CD849" s="73"/>
      <c r="CE849" s="73"/>
    </row>
    <row r="850">
      <c r="A850" s="73"/>
      <c r="B850" s="73"/>
      <c r="C850" s="73"/>
      <c r="D850" s="74"/>
      <c r="E850" s="73"/>
      <c r="F850" s="73"/>
      <c r="G850" s="73"/>
      <c r="H850" s="73"/>
      <c r="I850" s="73"/>
      <c r="J850" s="73"/>
      <c r="K850" s="92"/>
      <c r="L850" s="73"/>
      <c r="M850" s="73"/>
      <c r="N850" s="73"/>
      <c r="O850" s="73"/>
      <c r="P850" s="73"/>
      <c r="Q850" s="75"/>
      <c r="R850" s="82"/>
      <c r="S850" s="73"/>
      <c r="T850" s="73"/>
      <c r="U850" s="73"/>
      <c r="V850" s="73"/>
      <c r="W850" s="73"/>
      <c r="X850" s="73"/>
      <c r="Y850" s="77"/>
      <c r="Z850" s="104"/>
      <c r="AA850" s="73"/>
      <c r="AB850" s="104"/>
      <c r="AC850" s="104"/>
      <c r="AD850" s="74"/>
      <c r="AE850" s="106"/>
      <c r="AF850" s="195"/>
      <c r="AG850" s="80"/>
      <c r="AH850" s="104"/>
      <c r="AI850" s="73"/>
      <c r="AJ850" s="114"/>
      <c r="AK850" s="106"/>
      <c r="AL850" s="74"/>
      <c r="AM850" s="73"/>
      <c r="AN850" s="73"/>
      <c r="AO850" s="102"/>
      <c r="AP850" s="73"/>
      <c r="AQ850" s="73"/>
      <c r="AR850" s="74"/>
      <c r="AS850" s="73"/>
      <c r="AT850" s="73"/>
      <c r="AU850" s="73"/>
      <c r="AV850" s="73"/>
      <c r="AW850" s="104"/>
      <c r="AX850" s="74"/>
      <c r="AY850" s="73"/>
      <c r="AZ850" s="73"/>
      <c r="BA850" s="74"/>
      <c r="BB850" s="73"/>
      <c r="BC850" s="73"/>
      <c r="BD850" s="73"/>
      <c r="BE850" s="73"/>
      <c r="BF850" s="73"/>
      <c r="BG850" s="73"/>
      <c r="BH850" s="73"/>
      <c r="BI850" s="73"/>
      <c r="BJ850" s="73"/>
      <c r="BK850" s="73"/>
      <c r="BL850" s="73"/>
      <c r="BM850" s="73"/>
      <c r="BN850" s="73"/>
      <c r="BO850" s="73"/>
      <c r="BP850" s="73"/>
      <c r="BQ850" s="73"/>
      <c r="BR850" s="73"/>
      <c r="BS850" s="73"/>
      <c r="BT850" s="74"/>
      <c r="BU850" s="73"/>
      <c r="BV850" s="73"/>
      <c r="BW850" s="73"/>
      <c r="BX850" s="73"/>
      <c r="BY850" s="73"/>
      <c r="BZ850" s="73"/>
      <c r="CA850" s="73"/>
      <c r="CB850" s="73"/>
      <c r="CC850" s="73"/>
      <c r="CD850" s="73"/>
      <c r="CE850" s="73"/>
    </row>
    <row r="851">
      <c r="A851" s="73"/>
      <c r="B851" s="73"/>
      <c r="C851" s="73"/>
      <c r="D851" s="74"/>
      <c r="E851" s="73"/>
      <c r="F851" s="73"/>
      <c r="G851" s="73"/>
      <c r="H851" s="73"/>
      <c r="I851" s="73"/>
      <c r="J851" s="73"/>
      <c r="K851" s="92"/>
      <c r="L851" s="73"/>
      <c r="M851" s="73"/>
      <c r="N851" s="73"/>
      <c r="O851" s="73"/>
      <c r="P851" s="73"/>
      <c r="Q851" s="75"/>
      <c r="R851" s="82"/>
      <c r="S851" s="73"/>
      <c r="T851" s="73"/>
      <c r="U851" s="73"/>
      <c r="V851" s="73"/>
      <c r="W851" s="73"/>
      <c r="X851" s="73"/>
      <c r="Y851" s="77"/>
      <c r="Z851" s="104"/>
      <c r="AA851" s="73"/>
      <c r="AB851" s="104"/>
      <c r="AC851" s="104"/>
      <c r="AD851" s="74"/>
      <c r="AE851" s="106"/>
      <c r="AF851" s="195"/>
      <c r="AG851" s="80"/>
      <c r="AH851" s="104"/>
      <c r="AI851" s="73"/>
      <c r="AJ851" s="114"/>
      <c r="AK851" s="106"/>
      <c r="AL851" s="74"/>
      <c r="AM851" s="73"/>
      <c r="AN851" s="73"/>
      <c r="AO851" s="102"/>
      <c r="AP851" s="73"/>
      <c r="AQ851" s="73"/>
      <c r="AR851" s="74"/>
      <c r="AS851" s="73"/>
      <c r="AT851" s="73"/>
      <c r="AU851" s="73"/>
      <c r="AV851" s="73"/>
      <c r="AW851" s="104"/>
      <c r="AX851" s="74"/>
      <c r="AY851" s="73"/>
      <c r="AZ851" s="73"/>
      <c r="BA851" s="74"/>
      <c r="BB851" s="73"/>
      <c r="BC851" s="73"/>
      <c r="BD851" s="73"/>
      <c r="BE851" s="73"/>
      <c r="BF851" s="73"/>
      <c r="BG851" s="73"/>
      <c r="BH851" s="73"/>
      <c r="BI851" s="73"/>
      <c r="BJ851" s="73"/>
      <c r="BK851" s="73"/>
      <c r="BL851" s="73"/>
      <c r="BM851" s="73"/>
      <c r="BN851" s="73"/>
      <c r="BO851" s="73"/>
      <c r="BP851" s="73"/>
      <c r="BQ851" s="73"/>
      <c r="BR851" s="73"/>
      <c r="BS851" s="73"/>
      <c r="BT851" s="74"/>
      <c r="BU851" s="73"/>
      <c r="BV851" s="73"/>
      <c r="BW851" s="73"/>
      <c r="BX851" s="73"/>
      <c r="BY851" s="73"/>
      <c r="BZ851" s="73"/>
      <c r="CA851" s="73"/>
      <c r="CB851" s="73"/>
      <c r="CC851" s="73"/>
      <c r="CD851" s="73"/>
      <c r="CE851" s="73"/>
    </row>
    <row r="852">
      <c r="A852" s="73"/>
      <c r="B852" s="73"/>
      <c r="C852" s="73"/>
      <c r="D852" s="74"/>
      <c r="E852" s="73"/>
      <c r="F852" s="73"/>
      <c r="G852" s="73"/>
      <c r="H852" s="73"/>
      <c r="I852" s="73"/>
      <c r="J852" s="73"/>
      <c r="K852" s="92"/>
      <c r="L852" s="73"/>
      <c r="M852" s="73"/>
      <c r="N852" s="73"/>
      <c r="O852" s="73"/>
      <c r="P852" s="73"/>
      <c r="Q852" s="75"/>
      <c r="R852" s="82"/>
      <c r="S852" s="73"/>
      <c r="T852" s="73"/>
      <c r="U852" s="73"/>
      <c r="V852" s="73"/>
      <c r="W852" s="73"/>
      <c r="X852" s="73"/>
      <c r="Y852" s="77"/>
      <c r="Z852" s="104"/>
      <c r="AA852" s="73"/>
      <c r="AB852" s="104"/>
      <c r="AC852" s="104"/>
      <c r="AD852" s="74"/>
      <c r="AE852" s="106"/>
      <c r="AF852" s="195"/>
      <c r="AG852" s="80"/>
      <c r="AH852" s="104"/>
      <c r="AI852" s="73"/>
      <c r="AJ852" s="114"/>
      <c r="AK852" s="106"/>
      <c r="AL852" s="74"/>
      <c r="AM852" s="73"/>
      <c r="AN852" s="73"/>
      <c r="AO852" s="102"/>
      <c r="AP852" s="73"/>
      <c r="AQ852" s="73"/>
      <c r="AR852" s="74"/>
      <c r="AS852" s="73"/>
      <c r="AT852" s="73"/>
      <c r="AU852" s="73"/>
      <c r="AV852" s="73"/>
      <c r="AW852" s="73"/>
      <c r="AX852" s="74"/>
      <c r="AY852" s="73"/>
      <c r="AZ852" s="73"/>
      <c r="BA852" s="74"/>
      <c r="BB852" s="73"/>
      <c r="BC852" s="73"/>
      <c r="BD852" s="73"/>
      <c r="BE852" s="73"/>
      <c r="BF852" s="73"/>
      <c r="BG852" s="73"/>
      <c r="BH852" s="73"/>
      <c r="BI852" s="73"/>
      <c r="BJ852" s="73"/>
      <c r="BK852" s="73"/>
      <c r="BL852" s="73"/>
      <c r="BM852" s="73"/>
      <c r="BN852" s="73"/>
      <c r="BO852" s="73"/>
      <c r="BP852" s="73"/>
      <c r="BQ852" s="73"/>
      <c r="BR852" s="73"/>
      <c r="BS852" s="73"/>
      <c r="BT852" s="74"/>
      <c r="BU852" s="73"/>
      <c r="BV852" s="73"/>
      <c r="BW852" s="73"/>
      <c r="BX852" s="73"/>
      <c r="BY852" s="73"/>
      <c r="BZ852" s="73"/>
      <c r="CA852" s="73"/>
      <c r="CB852" s="73"/>
      <c r="CC852" s="73"/>
      <c r="CD852" s="73"/>
      <c r="CE852" s="73"/>
    </row>
    <row r="853">
      <c r="A853" s="73"/>
      <c r="B853" s="73"/>
      <c r="C853" s="73"/>
      <c r="D853" s="74"/>
      <c r="E853" s="73"/>
      <c r="F853" s="73"/>
      <c r="G853" s="73"/>
      <c r="H853" s="73"/>
      <c r="I853" s="73"/>
      <c r="J853" s="73"/>
      <c r="K853" s="92"/>
      <c r="L853" s="73"/>
      <c r="M853" s="73"/>
      <c r="N853" s="73"/>
      <c r="O853" s="73"/>
      <c r="P853" s="73"/>
      <c r="Q853" s="75"/>
      <c r="R853" s="82"/>
      <c r="S853" s="73"/>
      <c r="T853" s="73"/>
      <c r="U853" s="73"/>
      <c r="V853" s="73"/>
      <c r="W853" s="73"/>
      <c r="X853" s="73"/>
      <c r="Y853" s="77"/>
      <c r="Z853" s="104"/>
      <c r="AA853" s="73"/>
      <c r="AB853" s="104"/>
      <c r="AC853" s="104"/>
      <c r="AD853" s="74"/>
      <c r="AE853" s="106"/>
      <c r="AF853" s="195"/>
      <c r="AG853" s="80"/>
      <c r="AH853" s="104"/>
      <c r="AI853" s="73"/>
      <c r="AJ853" s="114"/>
      <c r="AK853" s="106"/>
      <c r="AL853" s="74"/>
      <c r="AM853" s="73"/>
      <c r="AN853" s="73"/>
      <c r="AO853" s="102"/>
      <c r="AP853" s="73"/>
      <c r="AQ853" s="73"/>
      <c r="AR853" s="74"/>
      <c r="AS853" s="73"/>
      <c r="AT853" s="73"/>
      <c r="AU853" s="73"/>
      <c r="AV853" s="73"/>
      <c r="AW853" s="73"/>
      <c r="AX853" s="74"/>
      <c r="AY853" s="73"/>
      <c r="AZ853" s="73"/>
      <c r="BA853" s="74"/>
      <c r="BB853" s="73"/>
      <c r="BC853" s="73"/>
      <c r="BD853" s="73"/>
      <c r="BE853" s="73"/>
      <c r="BF853" s="73"/>
      <c r="BG853" s="73"/>
      <c r="BH853" s="73"/>
      <c r="BI853" s="73"/>
      <c r="BJ853" s="73"/>
      <c r="BK853" s="73"/>
      <c r="BL853" s="73"/>
      <c r="BM853" s="73"/>
      <c r="BN853" s="73"/>
      <c r="BO853" s="73"/>
      <c r="BP853" s="73"/>
      <c r="BQ853" s="73"/>
      <c r="BR853" s="73"/>
      <c r="BS853" s="73"/>
      <c r="BT853" s="74"/>
      <c r="BU853" s="73"/>
      <c r="BV853" s="73"/>
      <c r="BW853" s="73"/>
      <c r="BX853" s="73"/>
      <c r="BY853" s="73"/>
      <c r="BZ853" s="73"/>
      <c r="CA853" s="73"/>
      <c r="CB853" s="73"/>
      <c r="CC853" s="73"/>
      <c r="CD853" s="73"/>
      <c r="CE853" s="73"/>
    </row>
    <row r="854">
      <c r="A854" s="73"/>
      <c r="B854" s="73"/>
      <c r="C854" s="73"/>
      <c r="D854" s="74"/>
      <c r="E854" s="73"/>
      <c r="F854" s="73"/>
      <c r="G854" s="73"/>
      <c r="H854" s="73"/>
      <c r="I854" s="73"/>
      <c r="J854" s="73"/>
      <c r="K854" s="92"/>
      <c r="L854" s="73"/>
      <c r="M854" s="73"/>
      <c r="N854" s="73"/>
      <c r="O854" s="73"/>
      <c r="P854" s="73"/>
      <c r="Q854" s="75"/>
      <c r="R854" s="82"/>
      <c r="S854" s="73"/>
      <c r="T854" s="73"/>
      <c r="U854" s="73"/>
      <c r="V854" s="73"/>
      <c r="W854" s="73"/>
      <c r="X854" s="73"/>
      <c r="Y854" s="77"/>
      <c r="Z854" s="104"/>
      <c r="AA854" s="73"/>
      <c r="AB854" s="104"/>
      <c r="AC854" s="104"/>
      <c r="AD854" s="74"/>
      <c r="AE854" s="106"/>
      <c r="AF854" s="195"/>
      <c r="AG854" s="80"/>
      <c r="AH854" s="104"/>
      <c r="AI854" s="73"/>
      <c r="AJ854" s="114"/>
      <c r="AK854" s="106"/>
      <c r="AL854" s="74"/>
      <c r="AM854" s="73"/>
      <c r="AN854" s="73"/>
      <c r="AO854" s="102"/>
      <c r="AP854" s="73"/>
      <c r="AQ854" s="73"/>
      <c r="AR854" s="74"/>
      <c r="AS854" s="73"/>
      <c r="AT854" s="73"/>
      <c r="AU854" s="73"/>
      <c r="AV854" s="73"/>
      <c r="AW854" s="73"/>
      <c r="AX854" s="74"/>
      <c r="AY854" s="73"/>
      <c r="AZ854" s="73"/>
      <c r="BA854" s="74"/>
      <c r="BB854" s="73"/>
      <c r="BC854" s="73"/>
      <c r="BD854" s="73"/>
      <c r="BE854" s="73"/>
      <c r="BF854" s="73"/>
      <c r="BG854" s="73"/>
      <c r="BH854" s="73"/>
      <c r="BI854" s="73"/>
      <c r="BJ854" s="73"/>
      <c r="BK854" s="73"/>
      <c r="BL854" s="73"/>
      <c r="BM854" s="73"/>
      <c r="BN854" s="73"/>
      <c r="BO854" s="73"/>
      <c r="BP854" s="73"/>
      <c r="BQ854" s="73"/>
      <c r="BR854" s="73"/>
      <c r="BS854" s="73"/>
      <c r="BT854" s="74"/>
      <c r="BU854" s="73"/>
      <c r="BV854" s="73"/>
      <c r="BW854" s="73"/>
      <c r="BX854" s="73"/>
      <c r="BY854" s="73"/>
      <c r="BZ854" s="73"/>
      <c r="CA854" s="73"/>
      <c r="CB854" s="73"/>
      <c r="CC854" s="73"/>
      <c r="CD854" s="73"/>
      <c r="CE854" s="73"/>
    </row>
    <row r="855">
      <c r="A855" s="73"/>
      <c r="B855" s="73"/>
      <c r="C855" s="73"/>
      <c r="D855" s="74"/>
      <c r="E855" s="73"/>
      <c r="F855" s="73"/>
      <c r="G855" s="73"/>
      <c r="H855" s="73"/>
      <c r="I855" s="73"/>
      <c r="J855" s="73"/>
      <c r="K855" s="92"/>
      <c r="L855" s="73"/>
      <c r="M855" s="73"/>
      <c r="N855" s="73"/>
      <c r="O855" s="73"/>
      <c r="P855" s="73"/>
      <c r="Q855" s="75"/>
      <c r="R855" s="82"/>
      <c r="S855" s="73"/>
      <c r="T855" s="73"/>
      <c r="U855" s="73"/>
      <c r="V855" s="73"/>
      <c r="W855" s="73"/>
      <c r="X855" s="73"/>
      <c r="Y855" s="77"/>
      <c r="Z855" s="104"/>
      <c r="AA855" s="73"/>
      <c r="AB855" s="104"/>
      <c r="AC855" s="104"/>
      <c r="AD855" s="74"/>
      <c r="AE855" s="106"/>
      <c r="AF855" s="195"/>
      <c r="AG855" s="80"/>
      <c r="AH855" s="104"/>
      <c r="AI855" s="73"/>
      <c r="AJ855" s="114"/>
      <c r="AK855" s="106"/>
      <c r="AL855" s="74"/>
      <c r="AM855" s="73"/>
      <c r="AN855" s="73"/>
      <c r="AO855" s="102"/>
      <c r="AP855" s="73"/>
      <c r="AQ855" s="73"/>
      <c r="AR855" s="74"/>
      <c r="AS855" s="73"/>
      <c r="AT855" s="73"/>
      <c r="AU855" s="73"/>
      <c r="AV855" s="73"/>
      <c r="AW855" s="73"/>
      <c r="AX855" s="74"/>
      <c r="AY855" s="73"/>
      <c r="AZ855" s="73"/>
      <c r="BA855" s="74"/>
      <c r="BB855" s="73"/>
      <c r="BC855" s="73"/>
      <c r="BD855" s="73"/>
      <c r="BE855" s="73"/>
      <c r="BF855" s="73"/>
      <c r="BG855" s="73"/>
      <c r="BH855" s="73"/>
      <c r="BI855" s="73"/>
      <c r="BJ855" s="73"/>
      <c r="BK855" s="73"/>
      <c r="BL855" s="73"/>
      <c r="BM855" s="73"/>
      <c r="BN855" s="73"/>
      <c r="BO855" s="73"/>
      <c r="BP855" s="73"/>
      <c r="BQ855" s="73"/>
      <c r="BR855" s="73"/>
      <c r="BS855" s="73"/>
      <c r="BT855" s="74"/>
      <c r="BU855" s="73"/>
      <c r="BV855" s="73"/>
      <c r="BW855" s="73"/>
      <c r="BX855" s="73"/>
      <c r="BY855" s="73"/>
      <c r="BZ855" s="73"/>
      <c r="CA855" s="73"/>
      <c r="CB855" s="73"/>
      <c r="CC855" s="73"/>
      <c r="CD855" s="73"/>
      <c r="CE855" s="73"/>
    </row>
    <row r="856">
      <c r="A856" s="73"/>
      <c r="B856" s="73"/>
      <c r="C856" s="73"/>
      <c r="D856" s="74"/>
      <c r="E856" s="73"/>
      <c r="F856" s="73"/>
      <c r="G856" s="73"/>
      <c r="H856" s="73"/>
      <c r="I856" s="73"/>
      <c r="J856" s="73"/>
      <c r="K856" s="92"/>
      <c r="L856" s="73"/>
      <c r="M856" s="73"/>
      <c r="N856" s="73"/>
      <c r="O856" s="73"/>
      <c r="P856" s="73"/>
      <c r="Q856" s="75"/>
      <c r="R856" s="82"/>
      <c r="S856" s="73"/>
      <c r="T856" s="73"/>
      <c r="U856" s="73"/>
      <c r="V856" s="73"/>
      <c r="W856" s="73"/>
      <c r="X856" s="73"/>
      <c r="Y856" s="77"/>
      <c r="Z856" s="104"/>
      <c r="AA856" s="73"/>
      <c r="AB856" s="104"/>
      <c r="AC856" s="104"/>
      <c r="AD856" s="74"/>
      <c r="AE856" s="106"/>
      <c r="AF856" s="195"/>
      <c r="AG856" s="80"/>
      <c r="AH856" s="104"/>
      <c r="AI856" s="73"/>
      <c r="AJ856" s="114"/>
      <c r="AK856" s="106"/>
      <c r="AL856" s="74"/>
      <c r="AM856" s="73"/>
      <c r="AN856" s="73"/>
      <c r="AO856" s="102"/>
      <c r="AP856" s="73"/>
      <c r="AQ856" s="73"/>
      <c r="AR856" s="74"/>
      <c r="AS856" s="73"/>
      <c r="AT856" s="73"/>
      <c r="AU856" s="73"/>
      <c r="AV856" s="73"/>
      <c r="AW856" s="73"/>
      <c r="AX856" s="74"/>
      <c r="AY856" s="73"/>
      <c r="AZ856" s="73"/>
      <c r="BA856" s="74"/>
      <c r="BB856" s="73"/>
      <c r="BC856" s="73"/>
      <c r="BD856" s="73"/>
      <c r="BE856" s="73"/>
      <c r="BF856" s="73"/>
      <c r="BG856" s="73"/>
      <c r="BH856" s="73"/>
      <c r="BI856" s="73"/>
      <c r="BJ856" s="73"/>
      <c r="BK856" s="73"/>
      <c r="BL856" s="73"/>
      <c r="BM856" s="73"/>
      <c r="BN856" s="73"/>
      <c r="BO856" s="73"/>
      <c r="BP856" s="73"/>
      <c r="BQ856" s="73"/>
      <c r="BR856" s="73"/>
      <c r="BS856" s="73"/>
      <c r="BT856" s="74"/>
      <c r="BU856" s="73"/>
      <c r="BV856" s="73"/>
      <c r="BW856" s="73"/>
      <c r="BX856" s="73"/>
      <c r="BY856" s="73"/>
      <c r="BZ856" s="73"/>
      <c r="CA856" s="73"/>
      <c r="CB856" s="73"/>
      <c r="CC856" s="73"/>
      <c r="CD856" s="73"/>
      <c r="CE856" s="73"/>
    </row>
    <row r="857">
      <c r="A857" s="73"/>
      <c r="B857" s="73"/>
      <c r="C857" s="73"/>
      <c r="D857" s="74"/>
      <c r="E857" s="73"/>
      <c r="F857" s="73"/>
      <c r="G857" s="73"/>
      <c r="H857" s="73"/>
      <c r="I857" s="73"/>
      <c r="J857" s="73"/>
      <c r="K857" s="92"/>
      <c r="L857" s="73"/>
      <c r="M857" s="73"/>
      <c r="N857" s="73"/>
      <c r="O857" s="73"/>
      <c r="P857" s="73"/>
      <c r="Q857" s="75"/>
      <c r="R857" s="82"/>
      <c r="S857" s="73"/>
      <c r="T857" s="73"/>
      <c r="U857" s="73"/>
      <c r="V857" s="73"/>
      <c r="W857" s="73"/>
      <c r="X857" s="73"/>
      <c r="Y857" s="77"/>
      <c r="Z857" s="104"/>
      <c r="AA857" s="73"/>
      <c r="AB857" s="104"/>
      <c r="AC857" s="104"/>
      <c r="AD857" s="74"/>
      <c r="AE857" s="106"/>
      <c r="AF857" s="195"/>
      <c r="AG857" s="80"/>
      <c r="AH857" s="104"/>
      <c r="AI857" s="73"/>
      <c r="AJ857" s="114"/>
      <c r="AK857" s="106"/>
      <c r="AL857" s="74"/>
      <c r="AM857" s="73"/>
      <c r="AN857" s="73"/>
      <c r="AO857" s="102"/>
      <c r="AP857" s="73"/>
      <c r="AQ857" s="73"/>
      <c r="AR857" s="74"/>
      <c r="AS857" s="73"/>
      <c r="AT857" s="73"/>
      <c r="AU857" s="73"/>
      <c r="AV857" s="73"/>
      <c r="AW857" s="73"/>
      <c r="AX857" s="74"/>
      <c r="AY857" s="73"/>
      <c r="AZ857" s="73"/>
      <c r="BA857" s="74"/>
      <c r="BB857" s="73"/>
      <c r="BC857" s="73"/>
      <c r="BD857" s="73"/>
      <c r="BE857" s="73"/>
      <c r="BF857" s="73"/>
      <c r="BG857" s="73"/>
      <c r="BH857" s="73"/>
      <c r="BI857" s="73"/>
      <c r="BJ857" s="73"/>
      <c r="BK857" s="73"/>
      <c r="BL857" s="73"/>
      <c r="BM857" s="73"/>
      <c r="BN857" s="73"/>
      <c r="BO857" s="73"/>
      <c r="BP857" s="73"/>
      <c r="BQ857" s="73"/>
      <c r="BR857" s="73"/>
      <c r="BS857" s="73"/>
      <c r="BT857" s="74"/>
      <c r="BU857" s="73"/>
      <c r="BV857" s="73"/>
      <c r="BW857" s="73"/>
      <c r="BX857" s="73"/>
      <c r="BY857" s="73"/>
      <c r="BZ857" s="73"/>
      <c r="CA857" s="73"/>
      <c r="CB857" s="73"/>
      <c r="CC857" s="73"/>
      <c r="CD857" s="73"/>
      <c r="CE857" s="73"/>
    </row>
    <row r="858">
      <c r="A858" s="73"/>
      <c r="B858" s="73"/>
      <c r="C858" s="73"/>
      <c r="D858" s="74"/>
      <c r="E858" s="73"/>
      <c r="F858" s="73"/>
      <c r="G858" s="73"/>
      <c r="H858" s="73"/>
      <c r="I858" s="73"/>
      <c r="J858" s="73"/>
      <c r="K858" s="92"/>
      <c r="L858" s="73"/>
      <c r="M858" s="73"/>
      <c r="N858" s="73"/>
      <c r="O858" s="73"/>
      <c r="P858" s="73"/>
      <c r="Q858" s="75"/>
      <c r="R858" s="82"/>
      <c r="S858" s="73"/>
      <c r="T858" s="73"/>
      <c r="U858" s="73"/>
      <c r="V858" s="73"/>
      <c r="W858" s="73"/>
      <c r="X858" s="73"/>
      <c r="Y858" s="77"/>
      <c r="Z858" s="104"/>
      <c r="AA858" s="73"/>
      <c r="AB858" s="104"/>
      <c r="AC858" s="104"/>
      <c r="AD858" s="74"/>
      <c r="AE858" s="106"/>
      <c r="AF858" s="195"/>
      <c r="AG858" s="80"/>
      <c r="AH858" s="104"/>
      <c r="AI858" s="73"/>
      <c r="AJ858" s="114"/>
      <c r="AK858" s="106"/>
      <c r="AL858" s="74"/>
      <c r="AM858" s="73"/>
      <c r="AN858" s="73"/>
      <c r="AO858" s="102"/>
      <c r="AP858" s="73"/>
      <c r="AQ858" s="73"/>
      <c r="AR858" s="74"/>
      <c r="AS858" s="73"/>
      <c r="AT858" s="73"/>
      <c r="AU858" s="73"/>
      <c r="AV858" s="73"/>
      <c r="AW858" s="73"/>
      <c r="AX858" s="74"/>
      <c r="AY858" s="73"/>
      <c r="AZ858" s="73"/>
      <c r="BA858" s="74"/>
      <c r="BB858" s="73"/>
      <c r="BC858" s="73"/>
      <c r="BD858" s="73"/>
      <c r="BE858" s="73"/>
      <c r="BF858" s="73"/>
      <c r="BG858" s="73"/>
      <c r="BH858" s="73"/>
      <c r="BI858" s="73"/>
      <c r="BJ858" s="73"/>
      <c r="BK858" s="73"/>
      <c r="BL858" s="73"/>
      <c r="BM858" s="73"/>
      <c r="BN858" s="73"/>
      <c r="BO858" s="73"/>
      <c r="BP858" s="73"/>
      <c r="BQ858" s="73"/>
      <c r="BR858" s="73"/>
      <c r="BS858" s="73"/>
      <c r="BT858" s="74"/>
      <c r="BU858" s="73"/>
      <c r="BV858" s="73"/>
      <c r="BW858" s="73"/>
      <c r="BX858" s="73"/>
      <c r="BY858" s="73"/>
      <c r="BZ858" s="73"/>
      <c r="CA858" s="73"/>
      <c r="CB858" s="73"/>
      <c r="CC858" s="73"/>
      <c r="CD858" s="73"/>
      <c r="CE858" s="73"/>
    </row>
    <row r="859">
      <c r="A859" s="73"/>
      <c r="B859" s="73"/>
      <c r="C859" s="73"/>
      <c r="D859" s="74"/>
      <c r="E859" s="73"/>
      <c r="F859" s="73"/>
      <c r="G859" s="73"/>
      <c r="H859" s="73"/>
      <c r="I859" s="73"/>
      <c r="J859" s="73"/>
      <c r="K859" s="92"/>
      <c r="L859" s="73"/>
      <c r="M859" s="73"/>
      <c r="N859" s="73"/>
      <c r="O859" s="73"/>
      <c r="P859" s="73"/>
      <c r="Q859" s="75"/>
      <c r="R859" s="82"/>
      <c r="S859" s="73"/>
      <c r="T859" s="73"/>
      <c r="U859" s="73"/>
      <c r="V859" s="73"/>
      <c r="W859" s="73"/>
      <c r="X859" s="73"/>
      <c r="Y859" s="77"/>
      <c r="Z859" s="104"/>
      <c r="AA859" s="73"/>
      <c r="AB859" s="104"/>
      <c r="AC859" s="104"/>
      <c r="AD859" s="74"/>
      <c r="AE859" s="106"/>
      <c r="AF859" s="195"/>
      <c r="AG859" s="80"/>
      <c r="AH859" s="104"/>
      <c r="AI859" s="73"/>
      <c r="AJ859" s="114"/>
      <c r="AK859" s="106"/>
      <c r="AL859" s="74"/>
      <c r="AM859" s="73"/>
      <c r="AN859" s="73"/>
      <c r="AO859" s="102"/>
      <c r="AP859" s="73"/>
      <c r="AQ859" s="73"/>
      <c r="AR859" s="74"/>
      <c r="AS859" s="73"/>
      <c r="AT859" s="73"/>
      <c r="AU859" s="73"/>
      <c r="AV859" s="73"/>
      <c r="AW859" s="73"/>
      <c r="AX859" s="74"/>
      <c r="AY859" s="73"/>
      <c r="AZ859" s="73"/>
      <c r="BA859" s="74"/>
      <c r="BB859" s="73"/>
      <c r="BC859" s="73"/>
      <c r="BD859" s="73"/>
      <c r="BE859" s="73"/>
      <c r="BF859" s="73"/>
      <c r="BG859" s="73"/>
      <c r="BH859" s="73"/>
      <c r="BI859" s="73"/>
      <c r="BJ859" s="73"/>
      <c r="BK859" s="73"/>
      <c r="BL859" s="73"/>
      <c r="BM859" s="73"/>
      <c r="BN859" s="73"/>
      <c r="BO859" s="73"/>
      <c r="BP859" s="73"/>
      <c r="BQ859" s="73"/>
      <c r="BR859" s="73"/>
      <c r="BS859" s="73"/>
      <c r="BT859" s="74"/>
      <c r="BU859" s="73"/>
      <c r="BV859" s="73"/>
      <c r="BW859" s="73"/>
      <c r="BX859" s="73"/>
      <c r="BY859" s="73"/>
      <c r="BZ859" s="73"/>
      <c r="CA859" s="73"/>
      <c r="CB859" s="73"/>
      <c r="CC859" s="73"/>
      <c r="CD859" s="73"/>
      <c r="CE859" s="73"/>
    </row>
    <row r="860">
      <c r="A860" s="73"/>
      <c r="B860" s="73"/>
      <c r="C860" s="73"/>
      <c r="D860" s="74"/>
      <c r="E860" s="73"/>
      <c r="F860" s="73"/>
      <c r="G860" s="73"/>
      <c r="H860" s="73"/>
      <c r="I860" s="73"/>
      <c r="J860" s="73"/>
      <c r="K860" s="92"/>
      <c r="L860" s="73"/>
      <c r="M860" s="73"/>
      <c r="N860" s="73"/>
      <c r="O860" s="73"/>
      <c r="P860" s="73"/>
      <c r="Q860" s="75"/>
      <c r="R860" s="82"/>
      <c r="S860" s="73"/>
      <c r="T860" s="73"/>
      <c r="U860" s="73"/>
      <c r="V860" s="73"/>
      <c r="W860" s="73"/>
      <c r="X860" s="73"/>
      <c r="Y860" s="77"/>
      <c r="Z860" s="104"/>
      <c r="AA860" s="73"/>
      <c r="AB860" s="104"/>
      <c r="AC860" s="104"/>
      <c r="AD860" s="74"/>
      <c r="AE860" s="106"/>
      <c r="AF860" s="195"/>
      <c r="AG860" s="80"/>
      <c r="AH860" s="104"/>
      <c r="AI860" s="73"/>
      <c r="AJ860" s="114"/>
      <c r="AK860" s="106"/>
      <c r="AL860" s="74"/>
      <c r="AM860" s="73"/>
      <c r="AN860" s="73"/>
      <c r="AO860" s="102"/>
      <c r="AP860" s="73"/>
      <c r="AQ860" s="73"/>
      <c r="AR860" s="74"/>
      <c r="AS860" s="73"/>
      <c r="AT860" s="73"/>
      <c r="AU860" s="73"/>
      <c r="AV860" s="73"/>
      <c r="AW860" s="73"/>
      <c r="AX860" s="74"/>
      <c r="AY860" s="73"/>
      <c r="AZ860" s="73"/>
      <c r="BA860" s="74"/>
      <c r="BB860" s="73"/>
      <c r="BC860" s="73"/>
      <c r="BD860" s="73"/>
      <c r="BE860" s="73"/>
      <c r="BF860" s="73"/>
      <c r="BG860" s="73"/>
      <c r="BH860" s="73"/>
      <c r="BI860" s="73"/>
      <c r="BJ860" s="73"/>
      <c r="BK860" s="73"/>
      <c r="BL860" s="73"/>
      <c r="BM860" s="73"/>
      <c r="BN860" s="73"/>
      <c r="BO860" s="73"/>
      <c r="BP860" s="73"/>
      <c r="BQ860" s="73"/>
      <c r="BR860" s="73"/>
      <c r="BS860" s="73"/>
      <c r="BT860" s="74"/>
      <c r="BU860" s="73"/>
      <c r="BV860" s="73"/>
      <c r="BW860" s="73"/>
      <c r="BX860" s="73"/>
      <c r="BY860" s="73"/>
      <c r="BZ860" s="73"/>
      <c r="CA860" s="73"/>
      <c r="CB860" s="73"/>
      <c r="CC860" s="73"/>
      <c r="CD860" s="73"/>
      <c r="CE860" s="73"/>
    </row>
    <row r="861">
      <c r="A861" s="73"/>
      <c r="B861" s="73"/>
      <c r="C861" s="73"/>
      <c r="D861" s="74"/>
      <c r="E861" s="73"/>
      <c r="F861" s="73"/>
      <c r="G861" s="73"/>
      <c r="H861" s="73"/>
      <c r="I861" s="73"/>
      <c r="J861" s="73"/>
      <c r="K861" s="92"/>
      <c r="L861" s="73"/>
      <c r="M861" s="73"/>
      <c r="N861" s="73"/>
      <c r="O861" s="73"/>
      <c r="P861" s="73"/>
      <c r="Q861" s="75"/>
      <c r="R861" s="82"/>
      <c r="S861" s="73"/>
      <c r="T861" s="73"/>
      <c r="U861" s="73"/>
      <c r="V861" s="73"/>
      <c r="W861" s="73"/>
      <c r="X861" s="73"/>
      <c r="Y861" s="77"/>
      <c r="Z861" s="104"/>
      <c r="AA861" s="73"/>
      <c r="AB861" s="104"/>
      <c r="AC861" s="104"/>
      <c r="AD861" s="74"/>
      <c r="AE861" s="106"/>
      <c r="AF861" s="195"/>
      <c r="AG861" s="80"/>
      <c r="AH861" s="104"/>
      <c r="AI861" s="73"/>
      <c r="AJ861" s="114"/>
      <c r="AK861" s="106"/>
      <c r="AL861" s="74"/>
      <c r="AM861" s="73"/>
      <c r="AN861" s="73"/>
      <c r="AO861" s="102"/>
      <c r="AP861" s="73"/>
      <c r="AQ861" s="73"/>
      <c r="AR861" s="74"/>
      <c r="AS861" s="73"/>
      <c r="AT861" s="73"/>
      <c r="AU861" s="73"/>
      <c r="AV861" s="73"/>
      <c r="AW861" s="73"/>
      <c r="AX861" s="74"/>
      <c r="AY861" s="73"/>
      <c r="AZ861" s="73"/>
      <c r="BA861" s="74"/>
      <c r="BB861" s="73"/>
      <c r="BC861" s="73"/>
      <c r="BD861" s="73"/>
      <c r="BE861" s="73"/>
      <c r="BF861" s="73"/>
      <c r="BG861" s="73"/>
      <c r="BH861" s="73"/>
      <c r="BI861" s="73"/>
      <c r="BJ861" s="73"/>
      <c r="BK861" s="73"/>
      <c r="BL861" s="73"/>
      <c r="BM861" s="73"/>
      <c r="BN861" s="73"/>
      <c r="BO861" s="73"/>
      <c r="BP861" s="73"/>
      <c r="BQ861" s="73"/>
      <c r="BR861" s="73"/>
      <c r="BS861" s="73"/>
      <c r="BT861" s="74"/>
      <c r="BU861" s="73"/>
      <c r="BV861" s="73"/>
      <c r="BW861" s="73"/>
      <c r="BX861" s="73"/>
      <c r="BY861" s="73"/>
      <c r="BZ861" s="73"/>
      <c r="CA861" s="73"/>
      <c r="CB861" s="73"/>
      <c r="CC861" s="73"/>
      <c r="CD861" s="73"/>
      <c r="CE861" s="73"/>
    </row>
    <row r="862">
      <c r="A862" s="73"/>
      <c r="B862" s="73"/>
      <c r="C862" s="73"/>
      <c r="D862" s="74"/>
      <c r="E862" s="73"/>
      <c r="F862" s="73"/>
      <c r="G862" s="73"/>
      <c r="H862" s="73"/>
      <c r="I862" s="73"/>
      <c r="J862" s="73"/>
      <c r="K862" s="92"/>
      <c r="L862" s="73"/>
      <c r="M862" s="73"/>
      <c r="N862" s="73"/>
      <c r="O862" s="73"/>
      <c r="P862" s="73"/>
      <c r="Q862" s="75"/>
      <c r="R862" s="82"/>
      <c r="S862" s="73"/>
      <c r="T862" s="73"/>
      <c r="U862" s="73"/>
      <c r="V862" s="73"/>
      <c r="W862" s="73"/>
      <c r="X862" s="73"/>
      <c r="Y862" s="77"/>
      <c r="Z862" s="104"/>
      <c r="AA862" s="73"/>
      <c r="AB862" s="104"/>
      <c r="AC862" s="104"/>
      <c r="AD862" s="74"/>
      <c r="AE862" s="106"/>
      <c r="AF862" s="195"/>
      <c r="AG862" s="80"/>
      <c r="AH862" s="104"/>
      <c r="AI862" s="73"/>
      <c r="AJ862" s="114"/>
      <c r="AK862" s="106"/>
      <c r="AL862" s="74"/>
      <c r="AM862" s="73"/>
      <c r="AN862" s="73"/>
      <c r="AO862" s="102"/>
      <c r="AP862" s="73"/>
      <c r="AQ862" s="73"/>
      <c r="AR862" s="74"/>
      <c r="AS862" s="73"/>
      <c r="AT862" s="73"/>
      <c r="AU862" s="73"/>
      <c r="AV862" s="73"/>
      <c r="AW862" s="73"/>
      <c r="AX862" s="74"/>
      <c r="AY862" s="73"/>
      <c r="AZ862" s="73"/>
      <c r="BA862" s="74"/>
      <c r="BB862" s="73"/>
      <c r="BC862" s="73"/>
      <c r="BD862" s="73"/>
      <c r="BE862" s="73"/>
      <c r="BF862" s="73"/>
      <c r="BG862" s="73"/>
      <c r="BH862" s="73"/>
      <c r="BI862" s="73"/>
      <c r="BJ862" s="73"/>
      <c r="BK862" s="73"/>
      <c r="BL862" s="73"/>
      <c r="BM862" s="73"/>
      <c r="BN862" s="73"/>
      <c r="BO862" s="73"/>
      <c r="BP862" s="73"/>
      <c r="BQ862" s="73"/>
      <c r="BR862" s="73"/>
      <c r="BS862" s="73"/>
      <c r="BT862" s="74"/>
      <c r="BU862" s="73"/>
      <c r="BV862" s="73"/>
      <c r="BW862" s="73"/>
      <c r="BX862" s="73"/>
      <c r="BY862" s="73"/>
      <c r="BZ862" s="73"/>
      <c r="CA862" s="73"/>
      <c r="CB862" s="73"/>
      <c r="CC862" s="73"/>
      <c r="CD862" s="73"/>
      <c r="CE862" s="73"/>
    </row>
    <row r="863">
      <c r="A863" s="73"/>
      <c r="B863" s="73"/>
      <c r="C863" s="73"/>
      <c r="D863" s="74"/>
      <c r="E863" s="73"/>
      <c r="F863" s="73"/>
      <c r="G863" s="73"/>
      <c r="H863" s="73"/>
      <c r="I863" s="73"/>
      <c r="J863" s="73"/>
      <c r="K863" s="92"/>
      <c r="L863" s="73"/>
      <c r="M863" s="73"/>
      <c r="N863" s="73"/>
      <c r="O863" s="73"/>
      <c r="P863" s="73"/>
      <c r="Q863" s="75"/>
      <c r="R863" s="82"/>
      <c r="S863" s="73"/>
      <c r="T863" s="73"/>
      <c r="U863" s="73"/>
      <c r="V863" s="73"/>
      <c r="W863" s="73"/>
      <c r="X863" s="73"/>
      <c r="Y863" s="77"/>
      <c r="Z863" s="104"/>
      <c r="AA863" s="73"/>
      <c r="AB863" s="104"/>
      <c r="AC863" s="104"/>
      <c r="AD863" s="74"/>
      <c r="AE863" s="106"/>
      <c r="AF863" s="195"/>
      <c r="AG863" s="80"/>
      <c r="AH863" s="104"/>
      <c r="AI863" s="73"/>
      <c r="AJ863" s="114"/>
      <c r="AK863" s="106"/>
      <c r="AL863" s="74"/>
      <c r="AM863" s="73"/>
      <c r="AN863" s="73"/>
      <c r="AO863" s="102"/>
      <c r="AP863" s="73"/>
      <c r="AQ863" s="73"/>
      <c r="AR863" s="74"/>
      <c r="AS863" s="73"/>
      <c r="AT863" s="73"/>
      <c r="AU863" s="73"/>
      <c r="AV863" s="73"/>
      <c r="AW863" s="73"/>
      <c r="AX863" s="74"/>
      <c r="AY863" s="73"/>
      <c r="AZ863" s="73"/>
      <c r="BA863" s="74"/>
      <c r="BB863" s="73"/>
      <c r="BC863" s="73"/>
      <c r="BD863" s="73"/>
      <c r="BE863" s="73"/>
      <c r="BF863" s="73"/>
      <c r="BG863" s="73"/>
      <c r="BH863" s="73"/>
      <c r="BI863" s="73"/>
      <c r="BJ863" s="73"/>
      <c r="BK863" s="73"/>
      <c r="BL863" s="73"/>
      <c r="BM863" s="73"/>
      <c r="BN863" s="73"/>
      <c r="BO863" s="73"/>
      <c r="BP863" s="73"/>
      <c r="BQ863" s="73"/>
      <c r="BR863" s="73"/>
      <c r="BS863" s="73"/>
      <c r="BT863" s="74"/>
      <c r="BU863" s="73"/>
      <c r="BV863" s="73"/>
      <c r="BW863" s="73"/>
      <c r="BX863" s="73"/>
      <c r="BY863" s="73"/>
      <c r="BZ863" s="73"/>
      <c r="CA863" s="73"/>
      <c r="CB863" s="73"/>
      <c r="CC863" s="73"/>
      <c r="CD863" s="73"/>
      <c r="CE863" s="73"/>
    </row>
    <row r="864">
      <c r="A864" s="73"/>
      <c r="B864" s="73"/>
      <c r="C864" s="73"/>
      <c r="D864" s="74"/>
      <c r="E864" s="73"/>
      <c r="F864" s="73"/>
      <c r="G864" s="73"/>
      <c r="H864" s="73"/>
      <c r="I864" s="73"/>
      <c r="J864" s="73"/>
      <c r="K864" s="92"/>
      <c r="L864" s="73"/>
      <c r="M864" s="73"/>
      <c r="N864" s="73"/>
      <c r="O864" s="73"/>
      <c r="P864" s="73"/>
      <c r="Q864" s="75"/>
      <c r="R864" s="82"/>
      <c r="S864" s="73"/>
      <c r="T864" s="73"/>
      <c r="U864" s="73"/>
      <c r="V864" s="73"/>
      <c r="W864" s="73"/>
      <c r="X864" s="73"/>
      <c r="Y864" s="77"/>
      <c r="Z864" s="104"/>
      <c r="AA864" s="73"/>
      <c r="AB864" s="104"/>
      <c r="AC864" s="104"/>
      <c r="AD864" s="74"/>
      <c r="AE864" s="106"/>
      <c r="AF864" s="195"/>
      <c r="AG864" s="80"/>
      <c r="AH864" s="104"/>
      <c r="AI864" s="73"/>
      <c r="AJ864" s="114"/>
      <c r="AK864" s="106"/>
      <c r="AL864" s="74"/>
      <c r="AM864" s="73"/>
      <c r="AN864" s="73"/>
      <c r="AO864" s="102"/>
      <c r="AP864" s="73"/>
      <c r="AQ864" s="73"/>
      <c r="AR864" s="74"/>
      <c r="AS864" s="73"/>
      <c r="AT864" s="73"/>
      <c r="AU864" s="73"/>
      <c r="AV864" s="73"/>
      <c r="AW864" s="73"/>
      <c r="AX864" s="74"/>
      <c r="AY864" s="73"/>
      <c r="AZ864" s="73"/>
      <c r="BA864" s="74"/>
      <c r="BB864" s="73"/>
      <c r="BC864" s="73"/>
      <c r="BD864" s="73"/>
      <c r="BE864" s="73"/>
      <c r="BF864" s="73"/>
      <c r="BG864" s="73"/>
      <c r="BH864" s="73"/>
      <c r="BI864" s="73"/>
      <c r="BJ864" s="73"/>
      <c r="BK864" s="73"/>
      <c r="BL864" s="73"/>
      <c r="BM864" s="73"/>
      <c r="BN864" s="73"/>
      <c r="BO864" s="73"/>
      <c r="BP864" s="73"/>
      <c r="BQ864" s="73"/>
      <c r="BR864" s="73"/>
      <c r="BS864" s="73"/>
      <c r="BT864" s="74"/>
      <c r="BU864" s="73"/>
      <c r="BV864" s="73"/>
      <c r="BW864" s="73"/>
      <c r="BX864" s="73"/>
      <c r="BY864" s="73"/>
      <c r="BZ864" s="73"/>
      <c r="CA864" s="73"/>
      <c r="CB864" s="73"/>
      <c r="CC864" s="73"/>
      <c r="CD864" s="73"/>
      <c r="CE864" s="73"/>
    </row>
    <row r="865">
      <c r="A865" s="73"/>
      <c r="B865" s="73"/>
      <c r="C865" s="73"/>
      <c r="D865" s="74"/>
      <c r="E865" s="73"/>
      <c r="F865" s="73"/>
      <c r="G865" s="73"/>
      <c r="H865" s="73"/>
      <c r="I865" s="73"/>
      <c r="J865" s="73"/>
      <c r="K865" s="92"/>
      <c r="L865" s="73"/>
      <c r="M865" s="73"/>
      <c r="N865" s="73"/>
      <c r="O865" s="73"/>
      <c r="P865" s="73"/>
      <c r="Q865" s="75"/>
      <c r="R865" s="82"/>
      <c r="S865" s="73"/>
      <c r="T865" s="73"/>
      <c r="U865" s="73"/>
      <c r="V865" s="73"/>
      <c r="W865" s="73"/>
      <c r="X865" s="73"/>
      <c r="Y865" s="77"/>
      <c r="Z865" s="104"/>
      <c r="AA865" s="73"/>
      <c r="AB865" s="104"/>
      <c r="AC865" s="104"/>
      <c r="AD865" s="74"/>
      <c r="AE865" s="106"/>
      <c r="AF865" s="195"/>
      <c r="AG865" s="80"/>
      <c r="AH865" s="104"/>
      <c r="AI865" s="73"/>
      <c r="AJ865" s="114"/>
      <c r="AK865" s="106"/>
      <c r="AL865" s="74"/>
      <c r="AM865" s="73"/>
      <c r="AN865" s="73"/>
      <c r="AO865" s="102"/>
      <c r="AP865" s="73"/>
      <c r="AQ865" s="73"/>
      <c r="AR865" s="74"/>
      <c r="AS865" s="73"/>
      <c r="AT865" s="73"/>
      <c r="AU865" s="73"/>
      <c r="AV865" s="73"/>
      <c r="AW865" s="73"/>
      <c r="AX865" s="74"/>
      <c r="AY865" s="73"/>
      <c r="AZ865" s="73"/>
      <c r="BA865" s="74"/>
      <c r="BB865" s="73"/>
      <c r="BC865" s="73"/>
      <c r="BD865" s="73"/>
      <c r="BE865" s="73"/>
      <c r="BF865" s="73"/>
      <c r="BG865" s="73"/>
      <c r="BH865" s="73"/>
      <c r="BI865" s="73"/>
      <c r="BJ865" s="73"/>
      <c r="BK865" s="73"/>
      <c r="BL865" s="73"/>
      <c r="BM865" s="73"/>
      <c r="BN865" s="73"/>
      <c r="BO865" s="73"/>
      <c r="BP865" s="73"/>
      <c r="BQ865" s="73"/>
      <c r="BR865" s="73"/>
      <c r="BS865" s="73"/>
      <c r="BT865" s="74"/>
      <c r="BU865" s="73"/>
      <c r="BV865" s="73"/>
      <c r="BW865" s="73"/>
      <c r="BX865" s="73"/>
      <c r="BY865" s="73"/>
      <c r="BZ865" s="73"/>
      <c r="CA865" s="73"/>
      <c r="CB865" s="73"/>
      <c r="CC865" s="73"/>
      <c r="CD865" s="73"/>
      <c r="CE865" s="73"/>
    </row>
    <row r="866">
      <c r="A866" s="73"/>
      <c r="B866" s="73"/>
      <c r="C866" s="73"/>
      <c r="D866" s="74"/>
      <c r="E866" s="73"/>
      <c r="F866" s="73"/>
      <c r="G866" s="73"/>
      <c r="H866" s="73"/>
      <c r="I866" s="73"/>
      <c r="J866" s="73"/>
      <c r="K866" s="92"/>
      <c r="L866" s="73"/>
      <c r="M866" s="73"/>
      <c r="N866" s="73"/>
      <c r="O866" s="73"/>
      <c r="P866" s="73"/>
      <c r="Q866" s="75"/>
      <c r="R866" s="82"/>
      <c r="S866" s="73"/>
      <c r="T866" s="73"/>
      <c r="U866" s="73"/>
      <c r="V866" s="73"/>
      <c r="W866" s="73"/>
      <c r="X866" s="73"/>
      <c r="Y866" s="77"/>
      <c r="Z866" s="104"/>
      <c r="AA866" s="73"/>
      <c r="AB866" s="104"/>
      <c r="AC866" s="104"/>
      <c r="AD866" s="74"/>
      <c r="AE866" s="106"/>
      <c r="AF866" s="195"/>
      <c r="AG866" s="80"/>
      <c r="AH866" s="104"/>
      <c r="AI866" s="73"/>
      <c r="AJ866" s="114"/>
      <c r="AK866" s="106"/>
      <c r="AL866" s="74"/>
      <c r="AM866" s="73"/>
      <c r="AN866" s="73"/>
      <c r="AO866" s="102"/>
      <c r="AP866" s="73"/>
      <c r="AQ866" s="73"/>
      <c r="AR866" s="74"/>
      <c r="AS866" s="73"/>
      <c r="AT866" s="73"/>
      <c r="AU866" s="73"/>
      <c r="AV866" s="73"/>
      <c r="AW866" s="73"/>
      <c r="AX866" s="74"/>
      <c r="AY866" s="73"/>
      <c r="AZ866" s="73"/>
      <c r="BA866" s="74"/>
      <c r="BB866" s="73"/>
      <c r="BC866" s="73"/>
      <c r="BD866" s="73"/>
      <c r="BE866" s="73"/>
      <c r="BF866" s="73"/>
      <c r="BG866" s="73"/>
      <c r="BH866" s="73"/>
      <c r="BI866" s="73"/>
      <c r="BJ866" s="73"/>
      <c r="BK866" s="73"/>
      <c r="BL866" s="73"/>
      <c r="BM866" s="73"/>
      <c r="BN866" s="73"/>
      <c r="BO866" s="73"/>
      <c r="BP866" s="73"/>
      <c r="BQ866" s="73"/>
      <c r="BR866" s="73"/>
      <c r="BS866" s="73"/>
      <c r="BT866" s="74"/>
      <c r="BU866" s="73"/>
      <c r="BV866" s="73"/>
      <c r="BW866" s="73"/>
      <c r="BX866" s="73"/>
      <c r="BY866" s="73"/>
      <c r="BZ866" s="73"/>
      <c r="CA866" s="73"/>
      <c r="CB866" s="73"/>
      <c r="CC866" s="73"/>
      <c r="CD866" s="73"/>
      <c r="CE866" s="73"/>
    </row>
    <row r="867">
      <c r="A867" s="73"/>
      <c r="B867" s="73"/>
      <c r="C867" s="73"/>
      <c r="D867" s="74"/>
      <c r="E867" s="73"/>
      <c r="F867" s="73"/>
      <c r="G867" s="73"/>
      <c r="H867" s="73"/>
      <c r="I867" s="73"/>
      <c r="J867" s="73"/>
      <c r="K867" s="92"/>
      <c r="L867" s="73"/>
      <c r="M867" s="73"/>
      <c r="N867" s="73"/>
      <c r="O867" s="73"/>
      <c r="P867" s="73"/>
      <c r="Q867" s="75"/>
      <c r="R867" s="82"/>
      <c r="S867" s="73"/>
      <c r="T867" s="73"/>
      <c r="U867" s="73"/>
      <c r="V867" s="73"/>
      <c r="W867" s="73"/>
      <c r="X867" s="73"/>
      <c r="Y867" s="77"/>
      <c r="Z867" s="104"/>
      <c r="AA867" s="73"/>
      <c r="AB867" s="104"/>
      <c r="AC867" s="104"/>
      <c r="AD867" s="74"/>
      <c r="AE867" s="106"/>
      <c r="AF867" s="195"/>
      <c r="AG867" s="80"/>
      <c r="AH867" s="104"/>
      <c r="AI867" s="73"/>
      <c r="AJ867" s="114"/>
      <c r="AK867" s="106"/>
      <c r="AL867" s="74"/>
      <c r="AM867" s="73"/>
      <c r="AN867" s="73"/>
      <c r="AO867" s="102"/>
      <c r="AP867" s="73"/>
      <c r="AQ867" s="73"/>
      <c r="AR867" s="74"/>
      <c r="AS867" s="73"/>
      <c r="AT867" s="73"/>
      <c r="AU867" s="73"/>
      <c r="AV867" s="73"/>
      <c r="AW867" s="73"/>
      <c r="AX867" s="74"/>
      <c r="AY867" s="73"/>
      <c r="AZ867" s="73"/>
      <c r="BA867" s="74"/>
      <c r="BB867" s="73"/>
      <c r="BC867" s="73"/>
      <c r="BD867" s="73"/>
      <c r="BE867" s="73"/>
      <c r="BF867" s="73"/>
      <c r="BG867" s="73"/>
      <c r="BH867" s="73"/>
      <c r="BI867" s="73"/>
      <c r="BJ867" s="73"/>
      <c r="BK867" s="73"/>
      <c r="BL867" s="73"/>
      <c r="BM867" s="73"/>
      <c r="BN867" s="73"/>
      <c r="BO867" s="73"/>
      <c r="BP867" s="73"/>
      <c r="BQ867" s="73"/>
      <c r="BR867" s="73"/>
      <c r="BS867" s="73"/>
      <c r="BT867" s="74"/>
      <c r="BU867" s="73"/>
      <c r="BV867" s="73"/>
      <c r="BW867" s="73"/>
      <c r="BX867" s="73"/>
      <c r="BY867" s="73"/>
      <c r="BZ867" s="73"/>
      <c r="CA867" s="73"/>
      <c r="CB867" s="73"/>
      <c r="CC867" s="73"/>
      <c r="CD867" s="73"/>
      <c r="CE867" s="73"/>
    </row>
    <row r="868">
      <c r="A868" s="73"/>
      <c r="B868" s="73"/>
      <c r="C868" s="73"/>
      <c r="D868" s="74"/>
      <c r="E868" s="73"/>
      <c r="F868" s="73"/>
      <c r="G868" s="73"/>
      <c r="H868" s="73"/>
      <c r="I868" s="73"/>
      <c r="J868" s="73"/>
      <c r="K868" s="92"/>
      <c r="L868" s="73"/>
      <c r="M868" s="73"/>
      <c r="N868" s="73"/>
      <c r="O868" s="73"/>
      <c r="P868" s="73"/>
      <c r="Q868" s="75"/>
      <c r="R868" s="82"/>
      <c r="S868" s="73"/>
      <c r="T868" s="73"/>
      <c r="U868" s="73"/>
      <c r="V868" s="73"/>
      <c r="W868" s="73"/>
      <c r="X868" s="73"/>
      <c r="Y868" s="77"/>
      <c r="Z868" s="104"/>
      <c r="AA868" s="73"/>
      <c r="AB868" s="104"/>
      <c r="AC868" s="104"/>
      <c r="AD868" s="74"/>
      <c r="AE868" s="106"/>
      <c r="AF868" s="195"/>
      <c r="AG868" s="80"/>
      <c r="AH868" s="104"/>
      <c r="AI868" s="73"/>
      <c r="AJ868" s="114"/>
      <c r="AK868" s="106"/>
      <c r="AL868" s="74"/>
      <c r="AM868" s="73"/>
      <c r="AN868" s="73"/>
      <c r="AO868" s="102"/>
      <c r="AP868" s="73"/>
      <c r="AQ868" s="73"/>
      <c r="AR868" s="74"/>
      <c r="AS868" s="73"/>
      <c r="AT868" s="73"/>
      <c r="AU868" s="73"/>
      <c r="AV868" s="73"/>
      <c r="AW868" s="73"/>
      <c r="AX868" s="74"/>
      <c r="AY868" s="73"/>
      <c r="AZ868" s="73"/>
      <c r="BA868" s="74"/>
      <c r="BB868" s="73"/>
      <c r="BC868" s="73"/>
      <c r="BD868" s="73"/>
      <c r="BE868" s="73"/>
      <c r="BF868" s="73"/>
      <c r="BG868" s="73"/>
      <c r="BH868" s="73"/>
      <c r="BI868" s="73"/>
      <c r="BJ868" s="73"/>
      <c r="BK868" s="73"/>
      <c r="BL868" s="73"/>
      <c r="BM868" s="73"/>
      <c r="BN868" s="73"/>
      <c r="BO868" s="73"/>
      <c r="BP868" s="73"/>
      <c r="BQ868" s="73"/>
      <c r="BR868" s="73"/>
      <c r="BS868" s="73"/>
      <c r="BT868" s="74"/>
      <c r="BU868" s="73"/>
      <c r="BV868" s="73"/>
      <c r="BW868" s="73"/>
      <c r="BX868" s="73"/>
      <c r="BY868" s="73"/>
      <c r="BZ868" s="73"/>
      <c r="CA868" s="73"/>
      <c r="CB868" s="73"/>
      <c r="CC868" s="73"/>
      <c r="CD868" s="73"/>
      <c r="CE868" s="73"/>
    </row>
    <row r="869">
      <c r="A869" s="73"/>
      <c r="B869" s="73"/>
      <c r="C869" s="73"/>
      <c r="D869" s="74"/>
      <c r="E869" s="73"/>
      <c r="F869" s="73"/>
      <c r="G869" s="73"/>
      <c r="H869" s="73"/>
      <c r="I869" s="73"/>
      <c r="J869" s="73"/>
      <c r="K869" s="92"/>
      <c r="L869" s="73"/>
      <c r="M869" s="73"/>
      <c r="N869" s="73"/>
      <c r="O869" s="73"/>
      <c r="P869" s="73"/>
      <c r="Q869" s="75"/>
      <c r="R869" s="82"/>
      <c r="S869" s="73"/>
      <c r="T869" s="73"/>
      <c r="U869" s="73"/>
      <c r="V869" s="73"/>
      <c r="W869" s="73"/>
      <c r="X869" s="73"/>
      <c r="Y869" s="77"/>
      <c r="Z869" s="104"/>
      <c r="AA869" s="73"/>
      <c r="AB869" s="104"/>
      <c r="AC869" s="104"/>
      <c r="AD869" s="74"/>
      <c r="AE869" s="106"/>
      <c r="AF869" s="195"/>
      <c r="AG869" s="80"/>
      <c r="AH869" s="104"/>
      <c r="AI869" s="73"/>
      <c r="AJ869" s="114"/>
      <c r="AK869" s="106"/>
      <c r="AL869" s="74"/>
      <c r="AM869" s="73"/>
      <c r="AN869" s="73"/>
      <c r="AO869" s="102"/>
      <c r="AP869" s="73"/>
      <c r="AQ869" s="73"/>
      <c r="AR869" s="74"/>
      <c r="AS869" s="73"/>
      <c r="AT869" s="73"/>
      <c r="AU869" s="73"/>
      <c r="AV869" s="73"/>
      <c r="AW869" s="73"/>
      <c r="AX869" s="74"/>
      <c r="AY869" s="73"/>
      <c r="AZ869" s="73"/>
      <c r="BA869" s="74"/>
      <c r="BB869" s="73"/>
      <c r="BC869" s="73"/>
      <c r="BD869" s="73"/>
      <c r="BE869" s="73"/>
      <c r="BF869" s="73"/>
      <c r="BG869" s="73"/>
      <c r="BH869" s="73"/>
      <c r="BI869" s="73"/>
      <c r="BJ869" s="73"/>
      <c r="BK869" s="73"/>
      <c r="BL869" s="73"/>
      <c r="BM869" s="73"/>
      <c r="BN869" s="73"/>
      <c r="BO869" s="73"/>
      <c r="BP869" s="73"/>
      <c r="BQ869" s="73"/>
      <c r="BR869" s="73"/>
      <c r="BS869" s="73"/>
      <c r="BT869" s="74"/>
      <c r="BU869" s="73"/>
      <c r="BV869" s="73"/>
      <c r="BW869" s="73"/>
      <c r="BX869" s="73"/>
      <c r="BY869" s="73"/>
      <c r="BZ869" s="73"/>
      <c r="CA869" s="73"/>
      <c r="CB869" s="73"/>
      <c r="CC869" s="73"/>
      <c r="CD869" s="73"/>
      <c r="CE869" s="73"/>
    </row>
    <row r="870">
      <c r="A870" s="73"/>
      <c r="B870" s="73"/>
      <c r="C870" s="73"/>
      <c r="D870" s="74"/>
      <c r="E870" s="73"/>
      <c r="F870" s="73"/>
      <c r="G870" s="73"/>
      <c r="H870" s="73"/>
      <c r="I870" s="73"/>
      <c r="J870" s="73"/>
      <c r="K870" s="92"/>
      <c r="L870" s="73"/>
      <c r="M870" s="73"/>
      <c r="N870" s="73"/>
      <c r="O870" s="73"/>
      <c r="P870" s="73"/>
      <c r="Q870" s="75"/>
      <c r="R870" s="82"/>
      <c r="S870" s="73"/>
      <c r="T870" s="73"/>
      <c r="U870" s="73"/>
      <c r="V870" s="73"/>
      <c r="W870" s="73"/>
      <c r="X870" s="73"/>
      <c r="Y870" s="77"/>
      <c r="Z870" s="104"/>
      <c r="AA870" s="73"/>
      <c r="AB870" s="104"/>
      <c r="AC870" s="104"/>
      <c r="AD870" s="74"/>
      <c r="AE870" s="106"/>
      <c r="AF870" s="195"/>
      <c r="AG870" s="80"/>
      <c r="AH870" s="104"/>
      <c r="AI870" s="73"/>
      <c r="AJ870" s="114"/>
      <c r="AK870" s="106"/>
      <c r="AL870" s="74"/>
      <c r="AM870" s="73"/>
      <c r="AN870" s="73"/>
      <c r="AO870" s="102"/>
      <c r="AP870" s="73"/>
      <c r="AQ870" s="73"/>
      <c r="AR870" s="74"/>
      <c r="AS870" s="73"/>
      <c r="AT870" s="73"/>
      <c r="AU870" s="73"/>
      <c r="AV870" s="73"/>
      <c r="AW870" s="73"/>
      <c r="AX870" s="74"/>
      <c r="AY870" s="73"/>
      <c r="AZ870" s="73"/>
      <c r="BA870" s="74"/>
      <c r="BB870" s="73"/>
      <c r="BC870" s="73"/>
      <c r="BD870" s="73"/>
      <c r="BE870" s="73"/>
      <c r="BF870" s="73"/>
      <c r="BG870" s="73"/>
      <c r="BH870" s="73"/>
      <c r="BI870" s="73"/>
      <c r="BJ870" s="73"/>
      <c r="BK870" s="73"/>
      <c r="BL870" s="73"/>
      <c r="BM870" s="73"/>
      <c r="BN870" s="73"/>
      <c r="BO870" s="73"/>
      <c r="BP870" s="73"/>
      <c r="BQ870" s="73"/>
      <c r="BR870" s="73"/>
      <c r="BS870" s="73"/>
      <c r="BT870" s="74"/>
      <c r="BU870" s="73"/>
      <c r="BV870" s="73"/>
      <c r="BW870" s="73"/>
      <c r="BX870" s="73"/>
      <c r="BY870" s="73"/>
      <c r="BZ870" s="73"/>
      <c r="CA870" s="73"/>
      <c r="CB870" s="73"/>
      <c r="CC870" s="73"/>
      <c r="CD870" s="73"/>
      <c r="CE870" s="73"/>
    </row>
    <row r="871">
      <c r="A871" s="73"/>
      <c r="B871" s="73"/>
      <c r="C871" s="73"/>
      <c r="D871" s="74"/>
      <c r="E871" s="73"/>
      <c r="F871" s="73"/>
      <c r="G871" s="73"/>
      <c r="H871" s="73"/>
      <c r="I871" s="73"/>
      <c r="J871" s="73"/>
      <c r="K871" s="92"/>
      <c r="L871" s="73"/>
      <c r="M871" s="73"/>
      <c r="N871" s="73"/>
      <c r="O871" s="73"/>
      <c r="P871" s="73"/>
      <c r="Q871" s="75"/>
      <c r="R871" s="82"/>
      <c r="S871" s="73"/>
      <c r="T871" s="73"/>
      <c r="U871" s="73"/>
      <c r="V871" s="73"/>
      <c r="W871" s="73"/>
      <c r="X871" s="73"/>
      <c r="Y871" s="77"/>
      <c r="Z871" s="104"/>
      <c r="AA871" s="73"/>
      <c r="AB871" s="104"/>
      <c r="AC871" s="104"/>
      <c r="AD871" s="74"/>
      <c r="AE871" s="106"/>
      <c r="AF871" s="195"/>
      <c r="AG871" s="80"/>
      <c r="AH871" s="104"/>
      <c r="AI871" s="73"/>
      <c r="AJ871" s="114"/>
      <c r="AK871" s="106"/>
      <c r="AL871" s="74"/>
      <c r="AM871" s="73"/>
      <c r="AN871" s="73"/>
      <c r="AO871" s="102"/>
      <c r="AP871" s="73"/>
      <c r="AQ871" s="73"/>
      <c r="AR871" s="74"/>
      <c r="AS871" s="73"/>
      <c r="AT871" s="73"/>
      <c r="AU871" s="73"/>
      <c r="AV871" s="73"/>
      <c r="AW871" s="73"/>
      <c r="AX871" s="74"/>
      <c r="AY871" s="73"/>
      <c r="AZ871" s="73"/>
      <c r="BA871" s="74"/>
      <c r="BB871" s="73"/>
      <c r="BC871" s="73"/>
      <c r="BD871" s="73"/>
      <c r="BE871" s="73"/>
      <c r="BF871" s="73"/>
      <c r="BG871" s="73"/>
      <c r="BH871" s="73"/>
      <c r="BI871" s="73"/>
      <c r="BJ871" s="73"/>
      <c r="BK871" s="73"/>
      <c r="BL871" s="73"/>
      <c r="BM871" s="73"/>
      <c r="BN871" s="73"/>
      <c r="BO871" s="73"/>
      <c r="BP871" s="73"/>
      <c r="BQ871" s="73"/>
      <c r="BR871" s="73"/>
      <c r="BS871" s="73"/>
      <c r="BT871" s="74"/>
      <c r="BU871" s="73"/>
      <c r="BV871" s="73"/>
      <c r="BW871" s="73"/>
      <c r="BX871" s="73"/>
      <c r="BY871" s="73"/>
      <c r="BZ871" s="73"/>
      <c r="CA871" s="73"/>
      <c r="CB871" s="73"/>
      <c r="CC871" s="73"/>
      <c r="CD871" s="73"/>
      <c r="CE871" s="73"/>
    </row>
    <row r="872">
      <c r="A872" s="73"/>
      <c r="B872" s="73"/>
      <c r="C872" s="73"/>
      <c r="D872" s="74"/>
      <c r="E872" s="73"/>
      <c r="F872" s="73"/>
      <c r="G872" s="73"/>
      <c r="H872" s="73"/>
      <c r="I872" s="73"/>
      <c r="J872" s="73"/>
      <c r="K872" s="92"/>
      <c r="L872" s="73"/>
      <c r="M872" s="73"/>
      <c r="N872" s="73"/>
      <c r="O872" s="73"/>
      <c r="P872" s="73"/>
      <c r="Q872" s="75"/>
      <c r="R872" s="82"/>
      <c r="S872" s="73"/>
      <c r="T872" s="73"/>
      <c r="U872" s="73"/>
      <c r="V872" s="73"/>
      <c r="W872" s="73"/>
      <c r="X872" s="73"/>
      <c r="Y872" s="77"/>
      <c r="Z872" s="104"/>
      <c r="AA872" s="73"/>
      <c r="AB872" s="104"/>
      <c r="AC872" s="104"/>
      <c r="AD872" s="74"/>
      <c r="AE872" s="106"/>
      <c r="AF872" s="195"/>
      <c r="AG872" s="80"/>
      <c r="AH872" s="104"/>
      <c r="AI872" s="73"/>
      <c r="AJ872" s="114"/>
      <c r="AK872" s="106"/>
      <c r="AL872" s="74"/>
      <c r="AM872" s="73"/>
      <c r="AN872" s="73"/>
      <c r="AO872" s="102"/>
      <c r="AP872" s="73"/>
      <c r="AQ872" s="73"/>
      <c r="AR872" s="74"/>
      <c r="AS872" s="73"/>
      <c r="AT872" s="73"/>
      <c r="AU872" s="73"/>
      <c r="AV872" s="73"/>
      <c r="AW872" s="73"/>
      <c r="AX872" s="74"/>
      <c r="AY872" s="73"/>
      <c r="AZ872" s="73"/>
      <c r="BA872" s="74"/>
      <c r="BB872" s="73"/>
      <c r="BC872" s="73"/>
      <c r="BD872" s="73"/>
      <c r="BE872" s="73"/>
      <c r="BF872" s="73"/>
      <c r="BG872" s="73"/>
      <c r="BH872" s="73"/>
      <c r="BI872" s="73"/>
      <c r="BJ872" s="73"/>
      <c r="BK872" s="73"/>
      <c r="BL872" s="73"/>
      <c r="BM872" s="73"/>
      <c r="BN872" s="73"/>
      <c r="BO872" s="73"/>
      <c r="BP872" s="73"/>
      <c r="BQ872" s="73"/>
      <c r="BR872" s="73"/>
      <c r="BS872" s="73"/>
      <c r="BT872" s="74"/>
      <c r="BU872" s="73"/>
      <c r="BV872" s="73"/>
      <c r="BW872" s="73"/>
      <c r="BX872" s="73"/>
      <c r="BY872" s="73"/>
      <c r="BZ872" s="73"/>
      <c r="CA872" s="73"/>
      <c r="CB872" s="73"/>
      <c r="CC872" s="73"/>
      <c r="CD872" s="73"/>
      <c r="CE872" s="73"/>
    </row>
    <row r="873">
      <c r="A873" s="73"/>
      <c r="B873" s="73"/>
      <c r="C873" s="73"/>
      <c r="D873" s="74"/>
      <c r="E873" s="73"/>
      <c r="F873" s="73"/>
      <c r="G873" s="73"/>
      <c r="H873" s="73"/>
      <c r="I873" s="73"/>
      <c r="J873" s="73"/>
      <c r="K873" s="92"/>
      <c r="L873" s="73"/>
      <c r="M873" s="73"/>
      <c r="N873" s="73"/>
      <c r="O873" s="73"/>
      <c r="P873" s="73"/>
      <c r="Q873" s="75"/>
      <c r="R873" s="82"/>
      <c r="S873" s="73"/>
      <c r="T873" s="73"/>
      <c r="U873" s="73"/>
      <c r="V873" s="73"/>
      <c r="W873" s="73"/>
      <c r="X873" s="73"/>
      <c r="Y873" s="77"/>
      <c r="Z873" s="104"/>
      <c r="AA873" s="73"/>
      <c r="AB873" s="104"/>
      <c r="AC873" s="104"/>
      <c r="AD873" s="74"/>
      <c r="AE873" s="106"/>
      <c r="AF873" s="195"/>
      <c r="AG873" s="80"/>
      <c r="AH873" s="104"/>
      <c r="AI873" s="73"/>
      <c r="AJ873" s="114"/>
      <c r="AK873" s="106"/>
      <c r="AL873" s="74"/>
      <c r="AM873" s="73"/>
      <c r="AN873" s="73"/>
      <c r="AO873" s="102"/>
      <c r="AP873" s="73"/>
      <c r="AQ873" s="73"/>
      <c r="AR873" s="74"/>
      <c r="AS873" s="73"/>
      <c r="AT873" s="73"/>
      <c r="AU873" s="73"/>
      <c r="AV873" s="73"/>
      <c r="AW873" s="73"/>
      <c r="AX873" s="74"/>
      <c r="AY873" s="73"/>
      <c r="AZ873" s="73"/>
      <c r="BA873" s="74"/>
      <c r="BB873" s="73"/>
      <c r="BC873" s="73"/>
      <c r="BD873" s="73"/>
      <c r="BE873" s="73"/>
      <c r="BF873" s="73"/>
      <c r="BG873" s="73"/>
      <c r="BH873" s="73"/>
      <c r="BI873" s="73"/>
      <c r="BJ873" s="73"/>
      <c r="BK873" s="73"/>
      <c r="BL873" s="73"/>
      <c r="BM873" s="73"/>
      <c r="BN873" s="73"/>
      <c r="BO873" s="73"/>
      <c r="BP873" s="73"/>
      <c r="BQ873" s="73"/>
      <c r="BR873" s="73"/>
      <c r="BS873" s="73"/>
      <c r="BT873" s="74"/>
      <c r="BU873" s="73"/>
      <c r="BV873" s="73"/>
      <c r="BW873" s="73"/>
      <c r="BX873" s="73"/>
      <c r="BY873" s="73"/>
      <c r="BZ873" s="73"/>
      <c r="CA873" s="73"/>
      <c r="CB873" s="73"/>
      <c r="CC873" s="73"/>
      <c r="CD873" s="73"/>
      <c r="CE873" s="73"/>
    </row>
    <row r="874">
      <c r="A874" s="73"/>
      <c r="B874" s="73"/>
      <c r="C874" s="73"/>
      <c r="D874" s="74"/>
      <c r="E874" s="73"/>
      <c r="F874" s="73"/>
      <c r="G874" s="73"/>
      <c r="H874" s="73"/>
      <c r="I874" s="73"/>
      <c r="J874" s="73"/>
      <c r="K874" s="92"/>
      <c r="L874" s="73"/>
      <c r="M874" s="73"/>
      <c r="N874" s="73"/>
      <c r="O874" s="73"/>
      <c r="P874" s="73"/>
      <c r="Q874" s="75"/>
      <c r="R874" s="82"/>
      <c r="S874" s="73"/>
      <c r="T874" s="73"/>
      <c r="U874" s="73"/>
      <c r="V874" s="73"/>
      <c r="W874" s="73"/>
      <c r="X874" s="73"/>
      <c r="Y874" s="77"/>
      <c r="Z874" s="104"/>
      <c r="AA874" s="73"/>
      <c r="AB874" s="104"/>
      <c r="AC874" s="104"/>
      <c r="AD874" s="74"/>
      <c r="AE874" s="106"/>
      <c r="AF874" s="195"/>
      <c r="AG874" s="80"/>
      <c r="AH874" s="104"/>
      <c r="AI874" s="73"/>
      <c r="AJ874" s="114"/>
      <c r="AK874" s="106"/>
      <c r="AL874" s="74"/>
      <c r="AM874" s="73"/>
      <c r="AN874" s="73"/>
      <c r="AO874" s="102"/>
      <c r="AP874" s="73"/>
      <c r="AQ874" s="73"/>
      <c r="AR874" s="74"/>
      <c r="AS874" s="73"/>
      <c r="AT874" s="73"/>
      <c r="AU874" s="73"/>
      <c r="AV874" s="73"/>
      <c r="AW874" s="73"/>
      <c r="AX874" s="74"/>
      <c r="AY874" s="73"/>
      <c r="AZ874" s="73"/>
      <c r="BA874" s="74"/>
      <c r="BB874" s="73"/>
      <c r="BC874" s="73"/>
      <c r="BD874" s="73"/>
      <c r="BE874" s="73"/>
      <c r="BF874" s="73"/>
      <c r="BG874" s="73"/>
      <c r="BH874" s="73"/>
      <c r="BI874" s="73"/>
      <c r="BJ874" s="73"/>
      <c r="BK874" s="73"/>
      <c r="BL874" s="73"/>
      <c r="BM874" s="73"/>
      <c r="BN874" s="73"/>
      <c r="BO874" s="73"/>
      <c r="BP874" s="73"/>
      <c r="BQ874" s="73"/>
      <c r="BR874" s="73"/>
      <c r="BS874" s="73"/>
      <c r="BT874" s="74"/>
      <c r="BU874" s="73"/>
      <c r="BV874" s="73"/>
      <c r="BW874" s="73"/>
      <c r="BX874" s="73"/>
      <c r="BY874" s="73"/>
      <c r="BZ874" s="73"/>
      <c r="CA874" s="73"/>
      <c r="CB874" s="73"/>
      <c r="CC874" s="73"/>
      <c r="CD874" s="73"/>
      <c r="CE874" s="73"/>
    </row>
    <row r="875">
      <c r="A875" s="73"/>
      <c r="B875" s="73"/>
      <c r="C875" s="73"/>
      <c r="D875" s="74"/>
      <c r="E875" s="73"/>
      <c r="F875" s="73"/>
      <c r="G875" s="73"/>
      <c r="H875" s="73"/>
      <c r="I875" s="73"/>
      <c r="J875" s="73"/>
      <c r="K875" s="92"/>
      <c r="L875" s="73"/>
      <c r="M875" s="73"/>
      <c r="N875" s="73"/>
      <c r="O875" s="73"/>
      <c r="P875" s="73"/>
      <c r="Q875" s="75"/>
      <c r="R875" s="82"/>
      <c r="S875" s="73"/>
      <c r="T875" s="73"/>
      <c r="U875" s="73"/>
      <c r="V875" s="73"/>
      <c r="W875" s="73"/>
      <c r="X875" s="73"/>
      <c r="Y875" s="77"/>
      <c r="Z875" s="104"/>
      <c r="AA875" s="73"/>
      <c r="AB875" s="104"/>
      <c r="AC875" s="104"/>
      <c r="AD875" s="74"/>
      <c r="AE875" s="106"/>
      <c r="AF875" s="195"/>
      <c r="AG875" s="80"/>
      <c r="AH875" s="104"/>
      <c r="AI875" s="73"/>
      <c r="AJ875" s="114"/>
      <c r="AK875" s="106"/>
      <c r="AL875" s="74"/>
      <c r="AM875" s="73"/>
      <c r="AN875" s="73"/>
      <c r="AO875" s="102"/>
      <c r="AP875" s="73"/>
      <c r="AQ875" s="73"/>
      <c r="AR875" s="74"/>
      <c r="AS875" s="73"/>
      <c r="AT875" s="73"/>
      <c r="AU875" s="73"/>
      <c r="AV875" s="73"/>
      <c r="AW875" s="73"/>
      <c r="AX875" s="74"/>
      <c r="AY875" s="73"/>
      <c r="AZ875" s="73"/>
      <c r="BA875" s="74"/>
      <c r="BB875" s="73"/>
      <c r="BC875" s="73"/>
      <c r="BD875" s="73"/>
      <c r="BE875" s="73"/>
      <c r="BF875" s="73"/>
      <c r="BG875" s="73"/>
      <c r="BH875" s="73"/>
      <c r="BI875" s="73"/>
      <c r="BJ875" s="73"/>
      <c r="BK875" s="73"/>
      <c r="BL875" s="73"/>
      <c r="BM875" s="73"/>
      <c r="BN875" s="73"/>
      <c r="BO875" s="73"/>
      <c r="BP875" s="73"/>
      <c r="BQ875" s="73"/>
      <c r="BR875" s="73"/>
      <c r="BS875" s="73"/>
      <c r="BT875" s="74"/>
      <c r="BU875" s="73"/>
      <c r="BV875" s="73"/>
      <c r="BW875" s="73"/>
      <c r="BX875" s="73"/>
      <c r="BY875" s="73"/>
      <c r="BZ875" s="73"/>
      <c r="CA875" s="73"/>
      <c r="CB875" s="73"/>
      <c r="CC875" s="73"/>
      <c r="CD875" s="73"/>
      <c r="CE875" s="73"/>
    </row>
    <row r="876">
      <c r="A876" s="73"/>
      <c r="B876" s="73"/>
      <c r="C876" s="73"/>
      <c r="D876" s="74"/>
      <c r="E876" s="73"/>
      <c r="F876" s="73"/>
      <c r="G876" s="73"/>
      <c r="H876" s="73"/>
      <c r="I876" s="73"/>
      <c r="J876" s="73"/>
      <c r="K876" s="92"/>
      <c r="L876" s="73"/>
      <c r="M876" s="73"/>
      <c r="N876" s="73"/>
      <c r="O876" s="73"/>
      <c r="P876" s="73"/>
      <c r="Q876" s="75"/>
      <c r="R876" s="82"/>
      <c r="S876" s="73"/>
      <c r="T876" s="73"/>
      <c r="U876" s="73"/>
      <c r="V876" s="73"/>
      <c r="W876" s="73"/>
      <c r="X876" s="73"/>
      <c r="Y876" s="77"/>
      <c r="Z876" s="104"/>
      <c r="AA876" s="73"/>
      <c r="AB876" s="104"/>
      <c r="AC876" s="104"/>
      <c r="AD876" s="74"/>
      <c r="AE876" s="106"/>
      <c r="AF876" s="195"/>
      <c r="AG876" s="80"/>
      <c r="AH876" s="104"/>
      <c r="AI876" s="73"/>
      <c r="AJ876" s="114"/>
      <c r="AK876" s="106"/>
      <c r="AL876" s="74"/>
      <c r="AM876" s="73"/>
      <c r="AN876" s="73"/>
      <c r="AO876" s="102"/>
      <c r="AP876" s="73"/>
      <c r="AQ876" s="73"/>
      <c r="AR876" s="74"/>
      <c r="AS876" s="73"/>
      <c r="AT876" s="73"/>
      <c r="AU876" s="73"/>
      <c r="AV876" s="73"/>
      <c r="AW876" s="73"/>
      <c r="AX876" s="74"/>
      <c r="AY876" s="73"/>
      <c r="AZ876" s="73"/>
      <c r="BA876" s="74"/>
      <c r="BB876" s="73"/>
      <c r="BC876" s="73"/>
      <c r="BD876" s="73"/>
      <c r="BE876" s="73"/>
      <c r="BF876" s="73"/>
      <c r="BG876" s="73"/>
      <c r="BH876" s="73"/>
      <c r="BI876" s="73"/>
      <c r="BJ876" s="73"/>
      <c r="BK876" s="73"/>
      <c r="BL876" s="73"/>
      <c r="BM876" s="73"/>
      <c r="BN876" s="73"/>
      <c r="BO876" s="73"/>
      <c r="BP876" s="73"/>
      <c r="BQ876" s="73"/>
      <c r="BR876" s="73"/>
      <c r="BS876" s="73"/>
      <c r="BT876" s="74"/>
      <c r="BU876" s="73"/>
      <c r="BV876" s="73"/>
      <c r="BW876" s="73"/>
      <c r="BX876" s="73"/>
      <c r="BY876" s="73"/>
      <c r="BZ876" s="73"/>
      <c r="CA876" s="73"/>
      <c r="CB876" s="73"/>
      <c r="CC876" s="73"/>
      <c r="CD876" s="73"/>
      <c r="CE876" s="73"/>
    </row>
    <row r="877">
      <c r="A877" s="73"/>
      <c r="B877" s="73"/>
      <c r="C877" s="73"/>
      <c r="D877" s="74"/>
      <c r="E877" s="73"/>
      <c r="F877" s="73"/>
      <c r="G877" s="73"/>
      <c r="H877" s="73"/>
      <c r="I877" s="73"/>
      <c r="J877" s="73"/>
      <c r="K877" s="92"/>
      <c r="L877" s="73"/>
      <c r="M877" s="73"/>
      <c r="N877" s="73"/>
      <c r="O877" s="73"/>
      <c r="P877" s="73"/>
      <c r="Q877" s="75"/>
      <c r="R877" s="82"/>
      <c r="S877" s="73"/>
      <c r="T877" s="73"/>
      <c r="U877" s="73"/>
      <c r="V877" s="73"/>
      <c r="W877" s="73"/>
      <c r="X877" s="73"/>
      <c r="Y877" s="77"/>
      <c r="Z877" s="104"/>
      <c r="AA877" s="73"/>
      <c r="AB877" s="104"/>
      <c r="AC877" s="104"/>
      <c r="AD877" s="74"/>
      <c r="AE877" s="106"/>
      <c r="AF877" s="195"/>
      <c r="AG877" s="80"/>
      <c r="AH877" s="104"/>
      <c r="AI877" s="73"/>
      <c r="AJ877" s="114"/>
      <c r="AK877" s="106"/>
      <c r="AL877" s="74"/>
      <c r="AM877" s="73"/>
      <c r="AN877" s="73"/>
      <c r="AO877" s="102"/>
      <c r="AP877" s="73"/>
      <c r="AQ877" s="73"/>
      <c r="AR877" s="74"/>
      <c r="AS877" s="73"/>
      <c r="AT877" s="73"/>
      <c r="AU877" s="73"/>
      <c r="AV877" s="73"/>
      <c r="AW877" s="73"/>
      <c r="AX877" s="74"/>
      <c r="AY877" s="73"/>
      <c r="AZ877" s="73"/>
      <c r="BA877" s="74"/>
      <c r="BB877" s="73"/>
      <c r="BC877" s="73"/>
      <c r="BD877" s="73"/>
      <c r="BE877" s="73"/>
      <c r="BF877" s="73"/>
      <c r="BG877" s="73"/>
      <c r="BH877" s="73"/>
      <c r="BI877" s="73"/>
      <c r="BJ877" s="73"/>
      <c r="BK877" s="73"/>
      <c r="BL877" s="73"/>
      <c r="BM877" s="73"/>
      <c r="BN877" s="73"/>
      <c r="BO877" s="73"/>
      <c r="BP877" s="73"/>
      <c r="BQ877" s="73"/>
      <c r="BR877" s="73"/>
      <c r="BS877" s="73"/>
      <c r="BT877" s="74"/>
      <c r="BU877" s="73"/>
      <c r="BV877" s="73"/>
      <c r="BW877" s="73"/>
      <c r="BX877" s="73"/>
      <c r="BY877" s="73"/>
      <c r="BZ877" s="73"/>
      <c r="CA877" s="73"/>
      <c r="CB877" s="73"/>
      <c r="CC877" s="73"/>
      <c r="CD877" s="73"/>
      <c r="CE877" s="73"/>
    </row>
    <row r="878">
      <c r="A878" s="73"/>
      <c r="B878" s="73"/>
      <c r="C878" s="73"/>
      <c r="D878" s="74"/>
      <c r="E878" s="73"/>
      <c r="F878" s="73"/>
      <c r="G878" s="73"/>
      <c r="H878" s="73"/>
      <c r="I878" s="73"/>
      <c r="J878" s="73"/>
      <c r="K878" s="92"/>
      <c r="L878" s="73"/>
      <c r="M878" s="73"/>
      <c r="N878" s="73"/>
      <c r="O878" s="73"/>
      <c r="P878" s="73"/>
      <c r="Q878" s="75"/>
      <c r="R878" s="82"/>
      <c r="S878" s="73"/>
      <c r="T878" s="73"/>
      <c r="U878" s="73"/>
      <c r="V878" s="73"/>
      <c r="W878" s="73"/>
      <c r="X878" s="73"/>
      <c r="Y878" s="77"/>
      <c r="Z878" s="104"/>
      <c r="AA878" s="73"/>
      <c r="AB878" s="104"/>
      <c r="AC878" s="104"/>
      <c r="AD878" s="74"/>
      <c r="AE878" s="106"/>
      <c r="AF878" s="195"/>
      <c r="AG878" s="80"/>
      <c r="AH878" s="104"/>
      <c r="AI878" s="73"/>
      <c r="AJ878" s="114"/>
      <c r="AK878" s="106"/>
      <c r="AL878" s="74"/>
      <c r="AM878" s="73"/>
      <c r="AN878" s="73"/>
      <c r="AO878" s="102"/>
      <c r="AP878" s="73"/>
      <c r="AQ878" s="73"/>
      <c r="AR878" s="74"/>
      <c r="AS878" s="73"/>
      <c r="AT878" s="73"/>
      <c r="AU878" s="73"/>
      <c r="AV878" s="73"/>
      <c r="AW878" s="73"/>
      <c r="AX878" s="74"/>
      <c r="AY878" s="73"/>
      <c r="AZ878" s="73"/>
      <c r="BA878" s="74"/>
      <c r="BB878" s="73"/>
      <c r="BC878" s="73"/>
      <c r="BD878" s="73"/>
      <c r="BE878" s="73"/>
      <c r="BF878" s="73"/>
      <c r="BG878" s="73"/>
      <c r="BH878" s="73"/>
      <c r="BI878" s="73"/>
      <c r="BJ878" s="73"/>
      <c r="BK878" s="73"/>
      <c r="BL878" s="73"/>
      <c r="BM878" s="73"/>
      <c r="BN878" s="73"/>
      <c r="BO878" s="73"/>
      <c r="BP878" s="73"/>
      <c r="BQ878" s="73"/>
      <c r="BR878" s="73"/>
      <c r="BS878" s="73"/>
      <c r="BT878" s="74"/>
      <c r="BU878" s="73"/>
      <c r="BV878" s="73"/>
      <c r="BW878" s="73"/>
      <c r="BX878" s="73"/>
      <c r="BY878" s="73"/>
      <c r="BZ878" s="73"/>
      <c r="CA878" s="73"/>
      <c r="CB878" s="73"/>
      <c r="CC878" s="73"/>
      <c r="CD878" s="73"/>
      <c r="CE878" s="73"/>
    </row>
    <row r="879">
      <c r="A879" s="73"/>
      <c r="B879" s="73"/>
      <c r="C879" s="73"/>
      <c r="D879" s="74"/>
      <c r="E879" s="73"/>
      <c r="F879" s="73"/>
      <c r="G879" s="73"/>
      <c r="H879" s="73"/>
      <c r="I879" s="73"/>
      <c r="J879" s="73"/>
      <c r="K879" s="92"/>
      <c r="L879" s="73"/>
      <c r="M879" s="73"/>
      <c r="N879" s="73"/>
      <c r="O879" s="73"/>
      <c r="P879" s="73"/>
      <c r="Q879" s="75"/>
      <c r="R879" s="82"/>
      <c r="S879" s="73"/>
      <c r="T879" s="73"/>
      <c r="U879" s="73"/>
      <c r="V879" s="73"/>
      <c r="W879" s="73"/>
      <c r="X879" s="73"/>
      <c r="Y879" s="77"/>
      <c r="Z879" s="104"/>
      <c r="AA879" s="73"/>
      <c r="AB879" s="104"/>
      <c r="AC879" s="104"/>
      <c r="AD879" s="74"/>
      <c r="AE879" s="106"/>
      <c r="AF879" s="195"/>
      <c r="AG879" s="80"/>
      <c r="AH879" s="104"/>
      <c r="AI879" s="73"/>
      <c r="AJ879" s="114"/>
      <c r="AK879" s="106"/>
      <c r="AL879" s="74"/>
      <c r="AM879" s="73"/>
      <c r="AN879" s="73"/>
      <c r="AO879" s="102"/>
      <c r="AP879" s="73"/>
      <c r="AQ879" s="73"/>
      <c r="AR879" s="74"/>
      <c r="AS879" s="73"/>
      <c r="AT879" s="73"/>
      <c r="AU879" s="73"/>
      <c r="AV879" s="73"/>
      <c r="AW879" s="73"/>
      <c r="AX879" s="74"/>
      <c r="AY879" s="73"/>
      <c r="AZ879" s="73"/>
      <c r="BA879" s="74"/>
      <c r="BB879" s="73"/>
      <c r="BC879" s="73"/>
      <c r="BD879" s="73"/>
      <c r="BE879" s="73"/>
      <c r="BF879" s="73"/>
      <c r="BG879" s="73"/>
      <c r="BH879" s="73"/>
      <c r="BI879" s="73"/>
      <c r="BJ879" s="73"/>
      <c r="BK879" s="73"/>
      <c r="BL879" s="73"/>
      <c r="BM879" s="73"/>
      <c r="BN879" s="73"/>
      <c r="BO879" s="73"/>
      <c r="BP879" s="73"/>
      <c r="BQ879" s="73"/>
      <c r="BR879" s="73"/>
      <c r="BS879" s="73"/>
      <c r="BT879" s="74"/>
      <c r="BU879" s="73"/>
      <c r="BV879" s="73"/>
      <c r="BW879" s="73"/>
      <c r="BX879" s="73"/>
      <c r="BY879" s="73"/>
      <c r="BZ879" s="73"/>
      <c r="CA879" s="73"/>
      <c r="CB879" s="73"/>
      <c r="CC879" s="73"/>
      <c r="CD879" s="73"/>
      <c r="CE879" s="73"/>
    </row>
    <row r="880">
      <c r="A880" s="73"/>
      <c r="B880" s="73"/>
      <c r="C880" s="73"/>
      <c r="D880" s="74"/>
      <c r="E880" s="73"/>
      <c r="F880" s="73"/>
      <c r="G880" s="73"/>
      <c r="H880" s="73"/>
      <c r="I880" s="73"/>
      <c r="J880" s="73"/>
      <c r="K880" s="92"/>
      <c r="L880" s="73"/>
      <c r="M880" s="73"/>
      <c r="N880" s="73"/>
      <c r="O880" s="73"/>
      <c r="P880" s="73"/>
      <c r="Q880" s="75"/>
      <c r="R880" s="82"/>
      <c r="S880" s="73"/>
      <c r="T880" s="73"/>
      <c r="U880" s="73"/>
      <c r="V880" s="73"/>
      <c r="W880" s="73"/>
      <c r="X880" s="73"/>
      <c r="Y880" s="77"/>
      <c r="Z880" s="104"/>
      <c r="AA880" s="73"/>
      <c r="AB880" s="104"/>
      <c r="AC880" s="104"/>
      <c r="AD880" s="74"/>
      <c r="AE880" s="106"/>
      <c r="AF880" s="195"/>
      <c r="AG880" s="80"/>
      <c r="AH880" s="104"/>
      <c r="AI880" s="73"/>
      <c r="AJ880" s="114"/>
      <c r="AK880" s="106"/>
      <c r="AL880" s="74"/>
      <c r="AM880" s="73"/>
      <c r="AN880" s="73"/>
      <c r="AO880" s="102"/>
      <c r="AP880" s="73"/>
      <c r="AQ880" s="73"/>
      <c r="AR880" s="74"/>
      <c r="AS880" s="73"/>
      <c r="AT880" s="73"/>
      <c r="AU880" s="73"/>
      <c r="AV880" s="73"/>
      <c r="AW880" s="73"/>
      <c r="AX880" s="74"/>
      <c r="AY880" s="73"/>
      <c r="AZ880" s="73"/>
      <c r="BA880" s="74"/>
      <c r="BB880" s="73"/>
      <c r="BC880" s="73"/>
      <c r="BD880" s="73"/>
      <c r="BE880" s="73"/>
      <c r="BF880" s="73"/>
      <c r="BG880" s="73"/>
      <c r="BH880" s="73"/>
      <c r="BI880" s="73"/>
      <c r="BJ880" s="73"/>
      <c r="BK880" s="73"/>
      <c r="BL880" s="73"/>
      <c r="BM880" s="73"/>
      <c r="BN880" s="73"/>
      <c r="BO880" s="73"/>
      <c r="BP880" s="73"/>
      <c r="BQ880" s="73"/>
      <c r="BR880" s="73"/>
      <c r="BS880" s="73"/>
      <c r="BT880" s="74"/>
      <c r="BU880" s="73"/>
      <c r="BV880" s="73"/>
      <c r="BW880" s="73"/>
      <c r="BX880" s="73"/>
      <c r="BY880" s="73"/>
      <c r="BZ880" s="73"/>
      <c r="CA880" s="73"/>
      <c r="CB880" s="73"/>
      <c r="CC880" s="73"/>
      <c r="CD880" s="73"/>
      <c r="CE880" s="73"/>
    </row>
    <row r="881">
      <c r="A881" s="73"/>
      <c r="B881" s="73"/>
      <c r="C881" s="73"/>
      <c r="D881" s="74"/>
      <c r="E881" s="73"/>
      <c r="F881" s="73"/>
      <c r="G881" s="73"/>
      <c r="H881" s="73"/>
      <c r="I881" s="73"/>
      <c r="J881" s="73"/>
      <c r="K881" s="92"/>
      <c r="L881" s="73"/>
      <c r="M881" s="73"/>
      <c r="N881" s="73"/>
      <c r="O881" s="73"/>
      <c r="P881" s="73"/>
      <c r="Q881" s="75"/>
      <c r="R881" s="82"/>
      <c r="S881" s="73"/>
      <c r="T881" s="73"/>
      <c r="U881" s="73"/>
      <c r="V881" s="73"/>
      <c r="W881" s="73"/>
      <c r="X881" s="73"/>
      <c r="Y881" s="77"/>
      <c r="Z881" s="104"/>
      <c r="AA881" s="73"/>
      <c r="AB881" s="104"/>
      <c r="AC881" s="104"/>
      <c r="AD881" s="74"/>
      <c r="AE881" s="106"/>
      <c r="AF881" s="195"/>
      <c r="AG881" s="80"/>
      <c r="AH881" s="104"/>
      <c r="AI881" s="73"/>
      <c r="AJ881" s="114"/>
      <c r="AK881" s="106"/>
      <c r="AL881" s="74"/>
      <c r="AM881" s="73"/>
      <c r="AN881" s="73"/>
      <c r="AO881" s="102"/>
      <c r="AP881" s="73"/>
      <c r="AQ881" s="73"/>
      <c r="AR881" s="74"/>
      <c r="AS881" s="73"/>
      <c r="AT881" s="73"/>
      <c r="AU881" s="73"/>
      <c r="AV881" s="73"/>
      <c r="AW881" s="73"/>
      <c r="AX881" s="74"/>
      <c r="AY881" s="73"/>
      <c r="AZ881" s="73"/>
      <c r="BA881" s="74"/>
      <c r="BB881" s="73"/>
      <c r="BC881" s="73"/>
      <c r="BD881" s="73"/>
      <c r="BE881" s="73"/>
      <c r="BF881" s="73"/>
      <c r="BG881" s="73"/>
      <c r="BH881" s="73"/>
      <c r="BI881" s="73"/>
      <c r="BJ881" s="73"/>
      <c r="BK881" s="73"/>
      <c r="BL881" s="73"/>
      <c r="BM881" s="73"/>
      <c r="BN881" s="73"/>
      <c r="BO881" s="73"/>
      <c r="BP881" s="73"/>
      <c r="BQ881" s="73"/>
      <c r="BR881" s="73"/>
      <c r="BS881" s="73"/>
      <c r="BT881" s="74"/>
      <c r="BU881" s="73"/>
      <c r="BV881" s="73"/>
      <c r="BW881" s="73"/>
      <c r="BX881" s="73"/>
      <c r="BY881" s="73"/>
      <c r="BZ881" s="73"/>
      <c r="CA881" s="73"/>
      <c r="CB881" s="73"/>
      <c r="CC881" s="73"/>
      <c r="CD881" s="73"/>
      <c r="CE881" s="73"/>
    </row>
    <row r="882">
      <c r="A882" s="73"/>
      <c r="B882" s="73"/>
      <c r="C882" s="73"/>
      <c r="D882" s="74"/>
      <c r="E882" s="73"/>
      <c r="F882" s="73"/>
      <c r="G882" s="73"/>
      <c r="H882" s="73"/>
      <c r="I882" s="73"/>
      <c r="J882" s="73"/>
      <c r="K882" s="92"/>
      <c r="L882" s="73"/>
      <c r="M882" s="73"/>
      <c r="N882" s="73"/>
      <c r="O882" s="73"/>
      <c r="P882" s="73"/>
      <c r="Q882" s="75"/>
      <c r="R882" s="82"/>
      <c r="S882" s="73"/>
      <c r="T882" s="73"/>
      <c r="U882" s="73"/>
      <c r="V882" s="73"/>
      <c r="W882" s="73"/>
      <c r="X882" s="73"/>
      <c r="Y882" s="77"/>
      <c r="Z882" s="104"/>
      <c r="AA882" s="73"/>
      <c r="AB882" s="104"/>
      <c r="AC882" s="104"/>
      <c r="AD882" s="74"/>
      <c r="AE882" s="106"/>
      <c r="AF882" s="195"/>
      <c r="AG882" s="80"/>
      <c r="AH882" s="104"/>
      <c r="AI882" s="73"/>
      <c r="AJ882" s="114"/>
      <c r="AK882" s="106"/>
      <c r="AL882" s="74"/>
      <c r="AM882" s="73"/>
      <c r="AN882" s="73"/>
      <c r="AO882" s="102"/>
      <c r="AP882" s="73"/>
      <c r="AQ882" s="73"/>
      <c r="AR882" s="74"/>
      <c r="AS882" s="73"/>
      <c r="AT882" s="73"/>
      <c r="AU882" s="73"/>
      <c r="AV882" s="73"/>
      <c r="AW882" s="73"/>
      <c r="AX882" s="74"/>
      <c r="AY882" s="73"/>
      <c r="AZ882" s="73"/>
      <c r="BA882" s="74"/>
      <c r="BB882" s="73"/>
      <c r="BC882" s="73"/>
      <c r="BD882" s="73"/>
      <c r="BE882" s="73"/>
      <c r="BF882" s="73"/>
      <c r="BG882" s="73"/>
      <c r="BH882" s="73"/>
      <c r="BI882" s="73"/>
      <c r="BJ882" s="73"/>
      <c r="BK882" s="73"/>
      <c r="BL882" s="73"/>
      <c r="BM882" s="73"/>
      <c r="BN882" s="73"/>
      <c r="BO882" s="73"/>
      <c r="BP882" s="73"/>
      <c r="BQ882" s="73"/>
      <c r="BR882" s="73"/>
      <c r="BS882" s="73"/>
      <c r="BT882" s="74"/>
      <c r="BU882" s="73"/>
      <c r="BV882" s="73"/>
      <c r="BW882" s="73"/>
      <c r="BX882" s="73"/>
      <c r="BY882" s="73"/>
      <c r="BZ882" s="73"/>
      <c r="CA882" s="73"/>
      <c r="CB882" s="73"/>
      <c r="CC882" s="73"/>
      <c r="CD882" s="73"/>
      <c r="CE882" s="73"/>
    </row>
    <row r="883">
      <c r="A883" s="73"/>
      <c r="B883" s="73"/>
      <c r="C883" s="73"/>
      <c r="D883" s="74"/>
      <c r="E883" s="73"/>
      <c r="F883" s="73"/>
      <c r="G883" s="73"/>
      <c r="H883" s="73"/>
      <c r="I883" s="73"/>
      <c r="J883" s="73"/>
      <c r="K883" s="92"/>
      <c r="L883" s="73"/>
      <c r="M883" s="73"/>
      <c r="N883" s="73"/>
      <c r="O883" s="73"/>
      <c r="P883" s="73"/>
      <c r="Q883" s="75"/>
      <c r="R883" s="82"/>
      <c r="S883" s="73"/>
      <c r="T883" s="73"/>
      <c r="U883" s="73"/>
      <c r="V883" s="73"/>
      <c r="W883" s="73"/>
      <c r="X883" s="73"/>
      <c r="Y883" s="77"/>
      <c r="Z883" s="104"/>
      <c r="AA883" s="73"/>
      <c r="AB883" s="104"/>
      <c r="AC883" s="104"/>
      <c r="AD883" s="74"/>
      <c r="AE883" s="106"/>
      <c r="AF883" s="195"/>
      <c r="AG883" s="80"/>
      <c r="AH883" s="104"/>
      <c r="AI883" s="73"/>
      <c r="AJ883" s="114"/>
      <c r="AK883" s="106"/>
      <c r="AL883" s="74"/>
      <c r="AM883" s="73"/>
      <c r="AN883" s="73"/>
      <c r="AO883" s="102"/>
      <c r="AP883" s="73"/>
      <c r="AQ883" s="73"/>
      <c r="AR883" s="74"/>
      <c r="AS883" s="73"/>
      <c r="AT883" s="73"/>
      <c r="AU883" s="73"/>
      <c r="AV883" s="73"/>
      <c r="AW883" s="73"/>
      <c r="AX883" s="74"/>
      <c r="AY883" s="73"/>
      <c r="AZ883" s="73"/>
      <c r="BA883" s="74"/>
      <c r="BB883" s="73"/>
      <c r="BC883" s="73"/>
      <c r="BD883" s="73"/>
      <c r="BE883" s="73"/>
      <c r="BF883" s="73"/>
      <c r="BG883" s="73"/>
      <c r="BH883" s="73"/>
      <c r="BI883" s="73"/>
      <c r="BJ883" s="73"/>
      <c r="BK883" s="73"/>
      <c r="BL883" s="73"/>
      <c r="BM883" s="73"/>
      <c r="BN883" s="73"/>
      <c r="BO883" s="73"/>
      <c r="BP883" s="73"/>
      <c r="BQ883" s="73"/>
      <c r="BR883" s="73"/>
      <c r="BS883" s="73"/>
      <c r="BT883" s="74"/>
      <c r="BU883" s="73"/>
      <c r="BV883" s="73"/>
      <c r="BW883" s="73"/>
      <c r="BX883" s="73"/>
      <c r="BY883" s="73"/>
      <c r="BZ883" s="73"/>
      <c r="CA883" s="73"/>
      <c r="CB883" s="73"/>
      <c r="CC883" s="73"/>
      <c r="CD883" s="73"/>
      <c r="CE883" s="73"/>
    </row>
    <row r="884">
      <c r="A884" s="73"/>
      <c r="B884" s="73"/>
      <c r="C884" s="73"/>
      <c r="D884" s="74"/>
      <c r="E884" s="73"/>
      <c r="F884" s="73"/>
      <c r="G884" s="73"/>
      <c r="H884" s="73"/>
      <c r="I884" s="73"/>
      <c r="J884" s="73"/>
      <c r="K884" s="92"/>
      <c r="L884" s="73"/>
      <c r="M884" s="73"/>
      <c r="N884" s="73"/>
      <c r="O884" s="73"/>
      <c r="P884" s="73"/>
      <c r="Q884" s="75"/>
      <c r="R884" s="82"/>
      <c r="S884" s="73"/>
      <c r="T884" s="73"/>
      <c r="U884" s="73"/>
      <c r="V884" s="73"/>
      <c r="W884" s="73"/>
      <c r="X884" s="73"/>
      <c r="Y884" s="77"/>
      <c r="Z884" s="104"/>
      <c r="AA884" s="73"/>
      <c r="AB884" s="104"/>
      <c r="AC884" s="104"/>
      <c r="AD884" s="74"/>
      <c r="AE884" s="106"/>
      <c r="AF884" s="195"/>
      <c r="AG884" s="80"/>
      <c r="AH884" s="104"/>
      <c r="AI884" s="73"/>
      <c r="AJ884" s="114"/>
      <c r="AK884" s="106"/>
      <c r="AL884" s="74"/>
      <c r="AM884" s="73"/>
      <c r="AN884" s="73"/>
      <c r="AO884" s="102"/>
      <c r="AP884" s="73"/>
      <c r="AQ884" s="73"/>
      <c r="AR884" s="74"/>
      <c r="AS884" s="73"/>
      <c r="AT884" s="73"/>
      <c r="AU884" s="73"/>
      <c r="AV884" s="73"/>
      <c r="AW884" s="73"/>
      <c r="AX884" s="74"/>
      <c r="AY884" s="73"/>
      <c r="AZ884" s="73"/>
      <c r="BA884" s="74"/>
      <c r="BB884" s="73"/>
      <c r="BC884" s="73"/>
      <c r="BD884" s="73"/>
      <c r="BE884" s="73"/>
      <c r="BF884" s="73"/>
      <c r="BG884" s="73"/>
      <c r="BH884" s="73"/>
      <c r="BI884" s="73"/>
      <c r="BJ884" s="73"/>
      <c r="BK884" s="73"/>
      <c r="BL884" s="73"/>
      <c r="BM884" s="73"/>
      <c r="BN884" s="73"/>
      <c r="BO884" s="73"/>
      <c r="BP884" s="73"/>
      <c r="BQ884" s="73"/>
      <c r="BR884" s="73"/>
      <c r="BS884" s="73"/>
      <c r="BT884" s="74"/>
      <c r="BU884" s="73"/>
      <c r="BV884" s="73"/>
      <c r="BW884" s="73"/>
      <c r="BX884" s="73"/>
      <c r="BY884" s="73"/>
      <c r="BZ884" s="73"/>
      <c r="CA884" s="73"/>
      <c r="CB884" s="73"/>
      <c r="CC884" s="73"/>
      <c r="CD884" s="73"/>
      <c r="CE884" s="73"/>
    </row>
    <row r="885">
      <c r="A885" s="73"/>
      <c r="B885" s="73"/>
      <c r="C885" s="73"/>
      <c r="D885" s="74"/>
      <c r="E885" s="73"/>
      <c r="F885" s="73"/>
      <c r="G885" s="73"/>
      <c r="H885" s="73"/>
      <c r="I885" s="73"/>
      <c r="J885" s="73"/>
      <c r="K885" s="92"/>
      <c r="L885" s="73"/>
      <c r="M885" s="73"/>
      <c r="N885" s="73"/>
      <c r="O885" s="73"/>
      <c r="P885" s="73"/>
      <c r="Q885" s="75"/>
      <c r="R885" s="82"/>
      <c r="S885" s="73"/>
      <c r="T885" s="73"/>
      <c r="U885" s="73"/>
      <c r="V885" s="73"/>
      <c r="W885" s="73"/>
      <c r="X885" s="73"/>
      <c r="Y885" s="77"/>
      <c r="Z885" s="104"/>
      <c r="AA885" s="73"/>
      <c r="AB885" s="104"/>
      <c r="AC885" s="104"/>
      <c r="AD885" s="74"/>
      <c r="AE885" s="106"/>
      <c r="AF885" s="195"/>
      <c r="AG885" s="80"/>
      <c r="AH885" s="104"/>
      <c r="AI885" s="73"/>
      <c r="AJ885" s="114"/>
      <c r="AK885" s="106"/>
      <c r="AL885" s="74"/>
      <c r="AM885" s="73"/>
      <c r="AN885" s="73"/>
      <c r="AO885" s="102"/>
      <c r="AP885" s="73"/>
      <c r="AQ885" s="73"/>
      <c r="AR885" s="74"/>
      <c r="AS885" s="73"/>
      <c r="AT885" s="73"/>
      <c r="AU885" s="73"/>
      <c r="AV885" s="73"/>
      <c r="AW885" s="73"/>
      <c r="AX885" s="74"/>
      <c r="AY885" s="73"/>
      <c r="AZ885" s="73"/>
      <c r="BA885" s="74"/>
      <c r="BB885" s="73"/>
      <c r="BC885" s="73"/>
      <c r="BD885" s="73"/>
      <c r="BE885" s="73"/>
      <c r="BF885" s="73"/>
      <c r="BG885" s="73"/>
      <c r="BH885" s="73"/>
      <c r="BI885" s="73"/>
      <c r="BJ885" s="73"/>
      <c r="BK885" s="73"/>
      <c r="BL885" s="73"/>
      <c r="BM885" s="73"/>
      <c r="BN885" s="73"/>
      <c r="BO885" s="73"/>
      <c r="BP885" s="73"/>
      <c r="BQ885" s="73"/>
      <c r="BR885" s="73"/>
      <c r="BS885" s="73"/>
      <c r="BT885" s="74"/>
      <c r="BU885" s="73"/>
      <c r="BV885" s="73"/>
      <c r="BW885" s="73"/>
      <c r="BX885" s="73"/>
      <c r="BY885" s="73"/>
      <c r="BZ885" s="73"/>
      <c r="CA885" s="73"/>
      <c r="CB885" s="73"/>
      <c r="CC885" s="73"/>
      <c r="CD885" s="73"/>
      <c r="CE885" s="73"/>
    </row>
    <row r="886">
      <c r="A886" s="73"/>
      <c r="B886" s="73"/>
      <c r="C886" s="73"/>
      <c r="D886" s="74"/>
      <c r="E886" s="73"/>
      <c r="F886" s="73"/>
      <c r="G886" s="73"/>
      <c r="H886" s="73"/>
      <c r="I886" s="73"/>
      <c r="J886" s="73"/>
      <c r="K886" s="92"/>
      <c r="L886" s="73"/>
      <c r="M886" s="73"/>
      <c r="N886" s="73"/>
      <c r="O886" s="73"/>
      <c r="P886" s="73"/>
      <c r="Q886" s="75"/>
      <c r="R886" s="82"/>
      <c r="S886" s="73"/>
      <c r="T886" s="73"/>
      <c r="U886" s="73"/>
      <c r="V886" s="73"/>
      <c r="W886" s="73"/>
      <c r="X886" s="73"/>
      <c r="Y886" s="77"/>
      <c r="Z886" s="104"/>
      <c r="AA886" s="73"/>
      <c r="AB886" s="104"/>
      <c r="AC886" s="104"/>
      <c r="AD886" s="74"/>
      <c r="AE886" s="106"/>
      <c r="AF886" s="195"/>
      <c r="AG886" s="80"/>
      <c r="AH886" s="104"/>
      <c r="AI886" s="73"/>
      <c r="AJ886" s="114"/>
      <c r="AK886" s="106"/>
      <c r="AL886" s="74"/>
      <c r="AM886" s="73"/>
      <c r="AN886" s="73"/>
      <c r="AO886" s="102"/>
      <c r="AP886" s="73"/>
      <c r="AQ886" s="73"/>
      <c r="AR886" s="74"/>
      <c r="AS886" s="73"/>
      <c r="AT886" s="73"/>
      <c r="AU886" s="73"/>
      <c r="AV886" s="73"/>
      <c r="AW886" s="73"/>
      <c r="AX886" s="74"/>
      <c r="AY886" s="73"/>
      <c r="AZ886" s="73"/>
      <c r="BA886" s="74"/>
      <c r="BB886" s="73"/>
      <c r="BC886" s="73"/>
      <c r="BD886" s="73"/>
      <c r="BE886" s="73"/>
      <c r="BF886" s="73"/>
      <c r="BG886" s="73"/>
      <c r="BH886" s="73"/>
      <c r="BI886" s="73"/>
      <c r="BJ886" s="73"/>
      <c r="BK886" s="73"/>
      <c r="BL886" s="73"/>
      <c r="BM886" s="73"/>
      <c r="BN886" s="73"/>
      <c r="BO886" s="73"/>
      <c r="BP886" s="73"/>
      <c r="BQ886" s="73"/>
      <c r="BR886" s="73"/>
      <c r="BS886" s="73"/>
      <c r="BT886" s="74"/>
      <c r="BU886" s="73"/>
      <c r="BV886" s="73"/>
      <c r="BW886" s="73"/>
      <c r="BX886" s="73"/>
      <c r="BY886" s="73"/>
      <c r="BZ886" s="73"/>
      <c r="CA886" s="73"/>
      <c r="CB886" s="73"/>
      <c r="CC886" s="73"/>
      <c r="CD886" s="73"/>
      <c r="CE886" s="73"/>
    </row>
    <row r="887">
      <c r="A887" s="73"/>
      <c r="B887" s="73"/>
      <c r="C887" s="73"/>
      <c r="D887" s="74"/>
      <c r="E887" s="73"/>
      <c r="F887" s="73"/>
      <c r="G887" s="73"/>
      <c r="H887" s="73"/>
      <c r="I887" s="73"/>
      <c r="J887" s="73"/>
      <c r="K887" s="92"/>
      <c r="L887" s="73"/>
      <c r="M887" s="73"/>
      <c r="N887" s="73"/>
      <c r="O887" s="73"/>
      <c r="P887" s="73"/>
      <c r="Q887" s="75"/>
      <c r="R887" s="82"/>
      <c r="S887" s="73"/>
      <c r="T887" s="73"/>
      <c r="U887" s="73"/>
      <c r="V887" s="73"/>
      <c r="W887" s="73"/>
      <c r="X887" s="73"/>
      <c r="Y887" s="77"/>
      <c r="Z887" s="104"/>
      <c r="AA887" s="73"/>
      <c r="AB887" s="104"/>
      <c r="AC887" s="104"/>
      <c r="AD887" s="74"/>
      <c r="AE887" s="106"/>
      <c r="AF887" s="195"/>
      <c r="AG887" s="80"/>
      <c r="AH887" s="104"/>
      <c r="AI887" s="73"/>
      <c r="AJ887" s="114"/>
      <c r="AK887" s="106"/>
      <c r="AL887" s="74"/>
      <c r="AM887" s="73"/>
      <c r="AN887" s="73"/>
      <c r="AO887" s="102"/>
      <c r="AP887" s="73"/>
      <c r="AQ887" s="73"/>
      <c r="AR887" s="74"/>
      <c r="AS887" s="73"/>
      <c r="AT887" s="73"/>
      <c r="AU887" s="73"/>
      <c r="AV887" s="73"/>
      <c r="AW887" s="73"/>
      <c r="AX887" s="74"/>
      <c r="AY887" s="73"/>
      <c r="AZ887" s="73"/>
      <c r="BA887" s="74"/>
      <c r="BB887" s="73"/>
      <c r="BC887" s="73"/>
      <c r="BD887" s="73"/>
      <c r="BE887" s="73"/>
      <c r="BF887" s="73"/>
      <c r="BG887" s="73"/>
      <c r="BH887" s="73"/>
      <c r="BI887" s="73"/>
      <c r="BJ887" s="73"/>
      <c r="BK887" s="73"/>
      <c r="BL887" s="73"/>
      <c r="BM887" s="73"/>
      <c r="BN887" s="73"/>
      <c r="BO887" s="73"/>
      <c r="BP887" s="73"/>
      <c r="BQ887" s="73"/>
      <c r="BR887" s="73"/>
      <c r="BS887" s="73"/>
      <c r="BT887" s="74"/>
      <c r="BU887" s="73"/>
      <c r="BV887" s="73"/>
      <c r="BW887" s="73"/>
      <c r="BX887" s="73"/>
      <c r="BY887" s="73"/>
      <c r="BZ887" s="73"/>
      <c r="CA887" s="73"/>
      <c r="CB887" s="73"/>
      <c r="CC887" s="73"/>
      <c r="CD887" s="73"/>
      <c r="CE887" s="73"/>
    </row>
    <row r="888">
      <c r="A888" s="73"/>
      <c r="B888" s="73"/>
      <c r="C888" s="73"/>
      <c r="D888" s="74"/>
      <c r="E888" s="73"/>
      <c r="F888" s="73"/>
      <c r="G888" s="73"/>
      <c r="H888" s="73"/>
      <c r="I888" s="73"/>
      <c r="J888" s="73"/>
      <c r="K888" s="92"/>
      <c r="L888" s="73"/>
      <c r="M888" s="73"/>
      <c r="N888" s="73"/>
      <c r="O888" s="73"/>
      <c r="P888" s="73"/>
      <c r="Q888" s="75"/>
      <c r="R888" s="82"/>
      <c r="S888" s="73"/>
      <c r="T888" s="73"/>
      <c r="U888" s="73"/>
      <c r="V888" s="73"/>
      <c r="W888" s="73"/>
      <c r="X888" s="73"/>
      <c r="Y888" s="77"/>
      <c r="Z888" s="104"/>
      <c r="AA888" s="73"/>
      <c r="AB888" s="104"/>
      <c r="AC888" s="104"/>
      <c r="AD888" s="74"/>
      <c r="AE888" s="106"/>
      <c r="AF888" s="195"/>
      <c r="AG888" s="80"/>
      <c r="AH888" s="104"/>
      <c r="AI888" s="73"/>
      <c r="AJ888" s="114"/>
      <c r="AK888" s="106"/>
      <c r="AL888" s="74"/>
      <c r="AM888" s="73"/>
      <c r="AN888" s="73"/>
      <c r="AO888" s="102"/>
      <c r="AP888" s="73"/>
      <c r="AQ888" s="73"/>
      <c r="AR888" s="74"/>
      <c r="AS888" s="73"/>
      <c r="AT888" s="73"/>
      <c r="AU888" s="73"/>
      <c r="AV888" s="73"/>
      <c r="AW888" s="73"/>
      <c r="AX888" s="74"/>
      <c r="AY888" s="73"/>
      <c r="AZ888" s="73"/>
      <c r="BA888" s="74"/>
      <c r="BB888" s="73"/>
      <c r="BC888" s="73"/>
      <c r="BD888" s="73"/>
      <c r="BE888" s="73"/>
      <c r="BF888" s="73"/>
      <c r="BG888" s="73"/>
      <c r="BH888" s="73"/>
      <c r="BI888" s="73"/>
      <c r="BJ888" s="73"/>
      <c r="BK888" s="73"/>
      <c r="BL888" s="73"/>
      <c r="BM888" s="73"/>
      <c r="BN888" s="73"/>
      <c r="BO888" s="73"/>
      <c r="BP888" s="73"/>
      <c r="BQ888" s="73"/>
      <c r="BR888" s="73"/>
      <c r="BS888" s="73"/>
      <c r="BT888" s="74"/>
      <c r="BU888" s="73"/>
      <c r="BV888" s="73"/>
      <c r="BW888" s="73"/>
      <c r="BX888" s="73"/>
      <c r="BY888" s="73"/>
      <c r="BZ888" s="73"/>
      <c r="CA888" s="73"/>
      <c r="CB888" s="73"/>
      <c r="CC888" s="73"/>
      <c r="CD888" s="73"/>
      <c r="CE888" s="73"/>
    </row>
    <row r="889">
      <c r="A889" s="73"/>
      <c r="B889" s="73"/>
      <c r="C889" s="73"/>
      <c r="D889" s="74"/>
      <c r="E889" s="73"/>
      <c r="F889" s="73"/>
      <c r="G889" s="73"/>
      <c r="H889" s="73"/>
      <c r="I889" s="73"/>
      <c r="J889" s="73"/>
      <c r="K889" s="92"/>
      <c r="L889" s="73"/>
      <c r="M889" s="73"/>
      <c r="N889" s="73"/>
      <c r="O889" s="73"/>
      <c r="P889" s="73"/>
      <c r="Q889" s="75"/>
      <c r="R889" s="82"/>
      <c r="S889" s="73"/>
      <c r="T889" s="73"/>
      <c r="U889" s="73"/>
      <c r="V889" s="73"/>
      <c r="W889" s="73"/>
      <c r="X889" s="73"/>
      <c r="Y889" s="77"/>
      <c r="Z889" s="104"/>
      <c r="AA889" s="73"/>
      <c r="AB889" s="104"/>
      <c r="AC889" s="104"/>
      <c r="AD889" s="74"/>
      <c r="AE889" s="106"/>
      <c r="AF889" s="195"/>
      <c r="AG889" s="80"/>
      <c r="AH889" s="104"/>
      <c r="AI889" s="73"/>
      <c r="AJ889" s="114"/>
      <c r="AK889" s="106"/>
      <c r="AL889" s="74"/>
      <c r="AM889" s="73"/>
      <c r="AN889" s="73"/>
      <c r="AO889" s="102"/>
      <c r="AP889" s="73"/>
      <c r="AQ889" s="73"/>
      <c r="AR889" s="74"/>
      <c r="AS889" s="73"/>
      <c r="AT889" s="73"/>
      <c r="AU889" s="73"/>
      <c r="AV889" s="73"/>
      <c r="AW889" s="73"/>
      <c r="AX889" s="74"/>
      <c r="AY889" s="73"/>
      <c r="AZ889" s="73"/>
      <c r="BA889" s="74"/>
      <c r="BB889" s="73"/>
      <c r="BC889" s="73"/>
      <c r="BD889" s="73"/>
      <c r="BE889" s="73"/>
      <c r="BF889" s="73"/>
      <c r="BG889" s="73"/>
      <c r="BH889" s="73"/>
      <c r="BI889" s="73"/>
      <c r="BJ889" s="73"/>
      <c r="BK889" s="73"/>
      <c r="BL889" s="73"/>
      <c r="BM889" s="73"/>
      <c r="BN889" s="73"/>
      <c r="BO889" s="73"/>
      <c r="BP889" s="73"/>
      <c r="BQ889" s="73"/>
      <c r="BR889" s="73"/>
      <c r="BS889" s="73"/>
      <c r="BT889" s="74"/>
      <c r="BU889" s="73"/>
      <c r="BV889" s="73"/>
      <c r="BW889" s="73"/>
      <c r="BX889" s="73"/>
      <c r="BY889" s="73"/>
      <c r="BZ889" s="73"/>
      <c r="CA889" s="73"/>
      <c r="CB889" s="73"/>
      <c r="CC889" s="73"/>
      <c r="CD889" s="73"/>
      <c r="CE889" s="73"/>
    </row>
    <row r="890">
      <c r="A890" s="73"/>
      <c r="B890" s="73"/>
      <c r="C890" s="73"/>
      <c r="D890" s="74"/>
      <c r="E890" s="73"/>
      <c r="F890" s="73"/>
      <c r="G890" s="73"/>
      <c r="H890" s="73"/>
      <c r="I890" s="73"/>
      <c r="J890" s="73"/>
      <c r="K890" s="92"/>
      <c r="L890" s="73"/>
      <c r="M890" s="73"/>
      <c r="N890" s="73"/>
      <c r="O890" s="73"/>
      <c r="P890" s="73"/>
      <c r="Q890" s="75"/>
      <c r="R890" s="82"/>
      <c r="S890" s="73"/>
      <c r="T890" s="73"/>
      <c r="U890" s="73"/>
      <c r="V890" s="73"/>
      <c r="W890" s="73"/>
      <c r="X890" s="73"/>
      <c r="Y890" s="77"/>
      <c r="Z890" s="104"/>
      <c r="AA890" s="73"/>
      <c r="AB890" s="104"/>
      <c r="AC890" s="104"/>
      <c r="AD890" s="74"/>
      <c r="AE890" s="106"/>
      <c r="AF890" s="195"/>
      <c r="AG890" s="80"/>
      <c r="AH890" s="104"/>
      <c r="AI890" s="73"/>
      <c r="AJ890" s="114"/>
      <c r="AK890" s="106"/>
      <c r="AL890" s="74"/>
      <c r="AM890" s="73"/>
      <c r="AN890" s="73"/>
      <c r="AO890" s="102"/>
      <c r="AP890" s="73"/>
      <c r="AQ890" s="73"/>
      <c r="AR890" s="74"/>
      <c r="AS890" s="73"/>
      <c r="AT890" s="73"/>
      <c r="AU890" s="73"/>
      <c r="AV890" s="73"/>
      <c r="AW890" s="73"/>
      <c r="AX890" s="74"/>
      <c r="AY890" s="73"/>
      <c r="AZ890" s="73"/>
      <c r="BA890" s="74"/>
      <c r="BB890" s="73"/>
      <c r="BC890" s="73"/>
      <c r="BD890" s="73"/>
      <c r="BE890" s="73"/>
      <c r="BF890" s="73"/>
      <c r="BG890" s="73"/>
      <c r="BH890" s="73"/>
      <c r="BI890" s="73"/>
      <c r="BJ890" s="73"/>
      <c r="BK890" s="73"/>
      <c r="BL890" s="73"/>
      <c r="BM890" s="73"/>
      <c r="BN890" s="73"/>
      <c r="BO890" s="73"/>
      <c r="BP890" s="73"/>
      <c r="BQ890" s="73"/>
      <c r="BR890" s="73"/>
      <c r="BS890" s="73"/>
      <c r="BT890" s="74"/>
      <c r="BU890" s="73"/>
      <c r="BV890" s="73"/>
      <c r="BW890" s="73"/>
      <c r="BX890" s="73"/>
      <c r="BY890" s="73"/>
      <c r="BZ890" s="73"/>
      <c r="CA890" s="73"/>
      <c r="CB890" s="73"/>
      <c r="CC890" s="73"/>
      <c r="CD890" s="73"/>
      <c r="CE890" s="73"/>
    </row>
    <row r="891">
      <c r="A891" s="73"/>
      <c r="B891" s="73"/>
      <c r="C891" s="73"/>
      <c r="D891" s="74"/>
      <c r="E891" s="73"/>
      <c r="F891" s="73"/>
      <c r="G891" s="73"/>
      <c r="H891" s="73"/>
      <c r="I891" s="73"/>
      <c r="J891" s="73"/>
      <c r="K891" s="92"/>
      <c r="L891" s="73"/>
      <c r="M891" s="73"/>
      <c r="N891" s="73"/>
      <c r="O891" s="73"/>
      <c r="P891" s="73"/>
      <c r="Q891" s="75"/>
      <c r="R891" s="82"/>
      <c r="S891" s="73"/>
      <c r="T891" s="73"/>
      <c r="U891" s="73"/>
      <c r="V891" s="73"/>
      <c r="W891" s="73"/>
      <c r="X891" s="73"/>
      <c r="Y891" s="77"/>
      <c r="Z891" s="104"/>
      <c r="AA891" s="73"/>
      <c r="AB891" s="104"/>
      <c r="AC891" s="104"/>
      <c r="AD891" s="74"/>
      <c r="AE891" s="106"/>
      <c r="AF891" s="195"/>
      <c r="AG891" s="80"/>
      <c r="AH891" s="104"/>
      <c r="AI891" s="73"/>
      <c r="AJ891" s="114"/>
      <c r="AK891" s="106"/>
      <c r="AL891" s="74"/>
      <c r="AM891" s="73"/>
      <c r="AN891" s="73"/>
      <c r="AO891" s="102"/>
      <c r="AP891" s="73"/>
      <c r="AQ891" s="73"/>
      <c r="AR891" s="74"/>
      <c r="AS891" s="73"/>
      <c r="AT891" s="73"/>
      <c r="AU891" s="73"/>
      <c r="AV891" s="73"/>
      <c r="AW891" s="73"/>
      <c r="AX891" s="74"/>
      <c r="AY891" s="73"/>
      <c r="AZ891" s="73"/>
      <c r="BA891" s="74"/>
      <c r="BB891" s="73"/>
      <c r="BC891" s="73"/>
      <c r="BD891" s="73"/>
      <c r="BE891" s="73"/>
      <c r="BF891" s="73"/>
      <c r="BG891" s="73"/>
      <c r="BH891" s="73"/>
      <c r="BI891" s="73"/>
      <c r="BJ891" s="73"/>
      <c r="BK891" s="73"/>
      <c r="BL891" s="73"/>
      <c r="BM891" s="73"/>
      <c r="BN891" s="73"/>
      <c r="BO891" s="73"/>
      <c r="BP891" s="73"/>
      <c r="BQ891" s="73"/>
      <c r="BR891" s="73"/>
      <c r="BS891" s="73"/>
      <c r="BT891" s="74"/>
      <c r="BU891" s="73"/>
      <c r="BV891" s="73"/>
      <c r="BW891" s="73"/>
      <c r="BX891" s="73"/>
      <c r="BY891" s="73"/>
      <c r="BZ891" s="73"/>
      <c r="CA891" s="73"/>
      <c r="CB891" s="73"/>
      <c r="CC891" s="73"/>
      <c r="CD891" s="73"/>
      <c r="CE891" s="73"/>
    </row>
    <row r="892">
      <c r="A892" s="131"/>
      <c r="B892" s="73"/>
      <c r="C892" s="73"/>
      <c r="D892" s="74"/>
      <c r="E892" s="73"/>
      <c r="F892" s="73"/>
      <c r="G892" s="73"/>
      <c r="H892" s="73"/>
      <c r="I892" s="73"/>
      <c r="J892" s="73"/>
      <c r="K892" s="92"/>
      <c r="L892" s="73"/>
      <c r="M892" s="73"/>
      <c r="N892" s="73"/>
      <c r="O892" s="73"/>
      <c r="P892" s="73"/>
      <c r="Q892" s="75"/>
      <c r="R892" s="82"/>
      <c r="S892" s="73"/>
      <c r="T892" s="73"/>
      <c r="U892" s="73"/>
      <c r="V892" s="73"/>
      <c r="W892" s="73"/>
      <c r="X892" s="73"/>
      <c r="Y892" s="77"/>
      <c r="Z892" s="104"/>
      <c r="AA892" s="73"/>
      <c r="AB892" s="104"/>
      <c r="AC892" s="104"/>
      <c r="AD892" s="74"/>
      <c r="AE892" s="106"/>
      <c r="AF892" s="195"/>
      <c r="AG892" s="80"/>
      <c r="AH892" s="104"/>
      <c r="AI892" s="73"/>
      <c r="AJ892" s="114"/>
      <c r="AK892" s="106"/>
      <c r="AL892" s="74"/>
      <c r="AM892" s="73"/>
      <c r="AN892" s="73"/>
      <c r="AO892" s="102"/>
      <c r="AP892" s="73"/>
      <c r="AQ892" s="73"/>
      <c r="AR892" s="74"/>
      <c r="AS892" s="73"/>
      <c r="AT892" s="73"/>
      <c r="AU892" s="73"/>
      <c r="AV892" s="73"/>
      <c r="AW892" s="73"/>
      <c r="AX892" s="74"/>
      <c r="AY892" s="73"/>
      <c r="AZ892" s="73"/>
      <c r="BA892" s="74"/>
      <c r="BB892" s="73"/>
      <c r="BC892" s="73"/>
      <c r="BD892" s="73"/>
      <c r="BE892" s="73"/>
      <c r="BF892" s="73"/>
      <c r="BG892" s="73"/>
      <c r="BH892" s="73"/>
      <c r="BI892" s="73"/>
      <c r="BJ892" s="73"/>
      <c r="BK892" s="73"/>
      <c r="BL892" s="73"/>
      <c r="BM892" s="73"/>
      <c r="BN892" s="73"/>
      <c r="BO892" s="73"/>
      <c r="BP892" s="73"/>
      <c r="BQ892" s="73"/>
      <c r="BR892" s="73"/>
      <c r="BS892" s="73"/>
      <c r="BT892" s="74"/>
      <c r="BU892" s="73"/>
      <c r="BV892" s="73"/>
      <c r="BW892" s="73"/>
      <c r="BX892" s="73"/>
      <c r="BY892" s="73"/>
      <c r="BZ892" s="73"/>
      <c r="CA892" s="73"/>
      <c r="CB892" s="73"/>
      <c r="CC892" s="73"/>
      <c r="CD892" s="73"/>
      <c r="CE892" s="73"/>
    </row>
    <row r="893">
      <c r="A893" s="73"/>
      <c r="B893" s="73"/>
      <c r="C893" s="73"/>
      <c r="D893" s="74"/>
      <c r="E893" s="73"/>
      <c r="F893" s="73"/>
      <c r="G893" s="73"/>
      <c r="H893" s="73"/>
      <c r="I893" s="73"/>
      <c r="J893" s="73"/>
      <c r="K893" s="92"/>
      <c r="L893" s="73"/>
      <c r="M893" s="73"/>
      <c r="N893" s="73"/>
      <c r="O893" s="73"/>
      <c r="P893" s="73"/>
      <c r="Q893" s="75"/>
      <c r="R893" s="82"/>
      <c r="S893" s="73"/>
      <c r="T893" s="73"/>
      <c r="U893" s="73"/>
      <c r="V893" s="73"/>
      <c r="W893" s="73"/>
      <c r="X893" s="73"/>
      <c r="Y893" s="77"/>
      <c r="Z893" s="104"/>
      <c r="AA893" s="73"/>
      <c r="AB893" s="104"/>
      <c r="AC893" s="104"/>
      <c r="AD893" s="74"/>
      <c r="AE893" s="106"/>
      <c r="AF893" s="195"/>
      <c r="AG893" s="80"/>
      <c r="AH893" s="104"/>
      <c r="AI893" s="73"/>
      <c r="AJ893" s="114"/>
      <c r="AK893" s="106"/>
      <c r="AL893" s="74"/>
      <c r="AM893" s="73"/>
      <c r="AN893" s="73"/>
      <c r="AO893" s="102"/>
      <c r="AP893" s="73"/>
      <c r="AQ893" s="73"/>
      <c r="AR893" s="74"/>
      <c r="AS893" s="73"/>
      <c r="AT893" s="73"/>
      <c r="AU893" s="73"/>
      <c r="AV893" s="73"/>
      <c r="AW893" s="73"/>
      <c r="AX893" s="74"/>
      <c r="AY893" s="73"/>
      <c r="AZ893" s="73"/>
      <c r="BA893" s="74"/>
      <c r="BB893" s="73"/>
      <c r="BC893" s="73"/>
      <c r="BD893" s="73"/>
      <c r="BE893" s="73"/>
      <c r="BF893" s="73"/>
      <c r="BG893" s="73"/>
      <c r="BH893" s="73"/>
      <c r="BI893" s="73"/>
      <c r="BJ893" s="73"/>
      <c r="BK893" s="73"/>
      <c r="BL893" s="73"/>
      <c r="BM893" s="73"/>
      <c r="BN893" s="73"/>
      <c r="BO893" s="73"/>
      <c r="BP893" s="73"/>
      <c r="BQ893" s="73"/>
      <c r="BR893" s="73"/>
      <c r="BS893" s="73"/>
      <c r="BT893" s="74"/>
      <c r="BU893" s="73"/>
      <c r="BV893" s="73"/>
      <c r="BW893" s="73"/>
      <c r="BX893" s="73"/>
      <c r="BY893" s="73"/>
      <c r="BZ893" s="73"/>
      <c r="CA893" s="73"/>
      <c r="CB893" s="73"/>
      <c r="CC893" s="73"/>
      <c r="CD893" s="73"/>
      <c r="CE893" s="73"/>
    </row>
    <row r="894">
      <c r="A894" s="73"/>
      <c r="B894" s="73"/>
      <c r="C894" s="73"/>
      <c r="D894" s="74"/>
      <c r="E894" s="73"/>
      <c r="F894" s="73"/>
      <c r="G894" s="73"/>
      <c r="H894" s="73"/>
      <c r="I894" s="73"/>
      <c r="J894" s="73"/>
      <c r="K894" s="92"/>
      <c r="L894" s="73"/>
      <c r="M894" s="73"/>
      <c r="N894" s="73"/>
      <c r="O894" s="73"/>
      <c r="P894" s="73"/>
      <c r="Q894" s="75"/>
      <c r="R894" s="82"/>
      <c r="S894" s="73"/>
      <c r="T894" s="73"/>
      <c r="U894" s="73"/>
      <c r="V894" s="73"/>
      <c r="W894" s="73"/>
      <c r="X894" s="73"/>
      <c r="Y894" s="77"/>
      <c r="Z894" s="104"/>
      <c r="AA894" s="73"/>
      <c r="AB894" s="104"/>
      <c r="AC894" s="104"/>
      <c r="AD894" s="74"/>
      <c r="AE894" s="106"/>
      <c r="AF894" s="195"/>
      <c r="AG894" s="80"/>
      <c r="AH894" s="104"/>
      <c r="AI894" s="73"/>
      <c r="AJ894" s="114"/>
      <c r="AK894" s="106"/>
      <c r="AL894" s="74"/>
      <c r="AM894" s="73"/>
      <c r="AN894" s="73"/>
      <c r="AO894" s="102"/>
      <c r="AP894" s="73"/>
      <c r="AQ894" s="73"/>
      <c r="AR894" s="74"/>
      <c r="AS894" s="73"/>
      <c r="AT894" s="73"/>
      <c r="AU894" s="73"/>
      <c r="AV894" s="73"/>
      <c r="AW894" s="73"/>
      <c r="AX894" s="74"/>
      <c r="AY894" s="73"/>
      <c r="AZ894" s="73"/>
      <c r="BA894" s="74"/>
      <c r="BB894" s="73"/>
      <c r="BC894" s="73"/>
      <c r="BD894" s="73"/>
      <c r="BE894" s="73"/>
      <c r="BF894" s="73"/>
      <c r="BG894" s="73"/>
      <c r="BH894" s="73"/>
      <c r="BI894" s="73"/>
      <c r="BJ894" s="73"/>
      <c r="BK894" s="73"/>
      <c r="BL894" s="73"/>
      <c r="BM894" s="73"/>
      <c r="BN894" s="73"/>
      <c r="BO894" s="73"/>
      <c r="BP894" s="73"/>
      <c r="BQ894" s="73"/>
      <c r="BR894" s="73"/>
      <c r="BS894" s="73"/>
      <c r="BT894" s="74"/>
      <c r="BU894" s="73"/>
      <c r="BV894" s="73"/>
      <c r="BW894" s="73"/>
      <c r="BX894" s="73"/>
      <c r="BY894" s="73"/>
      <c r="BZ894" s="73"/>
      <c r="CA894" s="73"/>
      <c r="CB894" s="73"/>
      <c r="CC894" s="73"/>
      <c r="CD894" s="73"/>
      <c r="CE894" s="73"/>
    </row>
    <row r="895">
      <c r="A895" s="73"/>
      <c r="B895" s="73"/>
      <c r="C895" s="73"/>
      <c r="D895" s="74"/>
      <c r="E895" s="73"/>
      <c r="F895" s="73"/>
      <c r="G895" s="73"/>
      <c r="H895" s="73"/>
      <c r="I895" s="73"/>
      <c r="J895" s="73"/>
      <c r="K895" s="92"/>
      <c r="L895" s="73"/>
      <c r="M895" s="73"/>
      <c r="N895" s="73"/>
      <c r="O895" s="73"/>
      <c r="P895" s="73"/>
      <c r="Q895" s="75"/>
      <c r="R895" s="82"/>
      <c r="S895" s="73"/>
      <c r="T895" s="73"/>
      <c r="U895" s="73"/>
      <c r="V895" s="73"/>
      <c r="W895" s="73"/>
      <c r="X895" s="73"/>
      <c r="Y895" s="77"/>
      <c r="Z895" s="104"/>
      <c r="AA895" s="73"/>
      <c r="AB895" s="104"/>
      <c r="AC895" s="104"/>
      <c r="AD895" s="74"/>
      <c r="AE895" s="106"/>
      <c r="AF895" s="195"/>
      <c r="AG895" s="80"/>
      <c r="AH895" s="104"/>
      <c r="AI895" s="73"/>
      <c r="AJ895" s="114"/>
      <c r="AK895" s="106"/>
      <c r="AL895" s="74"/>
      <c r="AM895" s="73"/>
      <c r="AN895" s="73"/>
      <c r="AO895" s="102"/>
      <c r="AP895" s="73"/>
      <c r="AQ895" s="73"/>
      <c r="AR895" s="74"/>
      <c r="AS895" s="73"/>
      <c r="AT895" s="73"/>
      <c r="AU895" s="73"/>
      <c r="AV895" s="73"/>
      <c r="AW895" s="73"/>
      <c r="AX895" s="74"/>
      <c r="AY895" s="73"/>
      <c r="AZ895" s="73"/>
      <c r="BA895" s="74"/>
      <c r="BB895" s="73"/>
      <c r="BC895" s="73"/>
      <c r="BD895" s="73"/>
      <c r="BE895" s="73"/>
      <c r="BF895" s="73"/>
      <c r="BG895" s="73"/>
      <c r="BH895" s="73"/>
      <c r="BI895" s="73"/>
      <c r="BJ895" s="73"/>
      <c r="BK895" s="73"/>
      <c r="BL895" s="73"/>
      <c r="BM895" s="73"/>
      <c r="BN895" s="73"/>
      <c r="BO895" s="73"/>
      <c r="BP895" s="73"/>
      <c r="BQ895" s="73"/>
      <c r="BR895" s="73"/>
      <c r="BS895" s="73"/>
      <c r="BT895" s="74"/>
      <c r="BU895" s="73"/>
      <c r="BV895" s="73"/>
      <c r="BW895" s="73"/>
      <c r="BX895" s="73"/>
      <c r="BY895" s="73"/>
      <c r="BZ895" s="73"/>
      <c r="CA895" s="73"/>
      <c r="CB895" s="73"/>
      <c r="CC895" s="73"/>
      <c r="CD895" s="73"/>
      <c r="CE895" s="73"/>
    </row>
    <row r="896">
      <c r="A896" s="73"/>
      <c r="B896" s="73"/>
      <c r="C896" s="73"/>
      <c r="D896" s="74"/>
      <c r="E896" s="73"/>
      <c r="F896" s="73"/>
      <c r="G896" s="73"/>
      <c r="H896" s="73"/>
      <c r="I896" s="73"/>
      <c r="J896" s="73"/>
      <c r="K896" s="92"/>
      <c r="L896" s="73"/>
      <c r="M896" s="73"/>
      <c r="N896" s="73"/>
      <c r="O896" s="73"/>
      <c r="P896" s="73"/>
      <c r="Q896" s="75"/>
      <c r="R896" s="82"/>
      <c r="S896" s="73"/>
      <c r="T896" s="73"/>
      <c r="U896" s="73"/>
      <c r="V896" s="73"/>
      <c r="W896" s="73"/>
      <c r="X896" s="73"/>
      <c r="Y896" s="77"/>
      <c r="Z896" s="104"/>
      <c r="AA896" s="73"/>
      <c r="AB896" s="104"/>
      <c r="AC896" s="104"/>
      <c r="AD896" s="74"/>
      <c r="AE896" s="106"/>
      <c r="AF896" s="195"/>
      <c r="AG896" s="80"/>
      <c r="AH896" s="104"/>
      <c r="AI896" s="73"/>
      <c r="AJ896" s="114"/>
      <c r="AK896" s="106"/>
      <c r="AL896" s="74"/>
      <c r="AM896" s="73"/>
      <c r="AN896" s="73"/>
      <c r="AO896" s="102"/>
      <c r="AP896" s="73"/>
      <c r="AQ896" s="73"/>
      <c r="AR896" s="74"/>
      <c r="AS896" s="73"/>
      <c r="AT896" s="73"/>
      <c r="AU896" s="73"/>
      <c r="AV896" s="73"/>
      <c r="AW896" s="73"/>
      <c r="AX896" s="74"/>
      <c r="AY896" s="73"/>
      <c r="AZ896" s="73"/>
      <c r="BA896" s="74"/>
      <c r="BB896" s="73"/>
      <c r="BC896" s="73"/>
      <c r="BD896" s="73"/>
      <c r="BE896" s="73"/>
      <c r="BF896" s="73"/>
      <c r="BG896" s="73"/>
      <c r="BH896" s="73"/>
      <c r="BI896" s="73"/>
      <c r="BJ896" s="73"/>
      <c r="BK896" s="73"/>
      <c r="BL896" s="73"/>
      <c r="BM896" s="73"/>
      <c r="BN896" s="73"/>
      <c r="BO896" s="73"/>
      <c r="BP896" s="73"/>
      <c r="BQ896" s="73"/>
      <c r="BR896" s="73"/>
      <c r="BS896" s="73"/>
      <c r="BT896" s="74"/>
      <c r="BU896" s="73"/>
      <c r="BV896" s="73"/>
      <c r="BW896" s="73"/>
      <c r="BX896" s="73"/>
      <c r="BY896" s="73"/>
      <c r="BZ896" s="73"/>
      <c r="CA896" s="73"/>
      <c r="CB896" s="73"/>
      <c r="CC896" s="73"/>
      <c r="CD896" s="73"/>
      <c r="CE896" s="73"/>
    </row>
    <row r="897">
      <c r="A897" s="73"/>
      <c r="B897" s="73"/>
      <c r="C897" s="73"/>
      <c r="D897" s="74"/>
      <c r="E897" s="73"/>
      <c r="F897" s="73"/>
      <c r="G897" s="73"/>
      <c r="H897" s="73"/>
      <c r="I897" s="73"/>
      <c r="J897" s="73"/>
      <c r="K897" s="92"/>
      <c r="L897" s="73"/>
      <c r="M897" s="73"/>
      <c r="N897" s="73"/>
      <c r="O897" s="73"/>
      <c r="P897" s="73"/>
      <c r="Q897" s="75"/>
      <c r="R897" s="82"/>
      <c r="S897" s="73"/>
      <c r="T897" s="73"/>
      <c r="U897" s="73"/>
      <c r="V897" s="73"/>
      <c r="W897" s="73"/>
      <c r="X897" s="73"/>
      <c r="Y897" s="77"/>
      <c r="Z897" s="104"/>
      <c r="AA897" s="73"/>
      <c r="AB897" s="104"/>
      <c r="AC897" s="104"/>
      <c r="AD897" s="74"/>
      <c r="AE897" s="106"/>
      <c r="AF897" s="195"/>
      <c r="AG897" s="80"/>
      <c r="AH897" s="104"/>
      <c r="AI897" s="73"/>
      <c r="AJ897" s="114"/>
      <c r="AK897" s="106"/>
      <c r="AL897" s="74"/>
      <c r="AM897" s="73"/>
      <c r="AN897" s="73"/>
      <c r="AO897" s="102"/>
      <c r="AP897" s="73"/>
      <c r="AQ897" s="73"/>
      <c r="AR897" s="74"/>
      <c r="AS897" s="73"/>
      <c r="AT897" s="73"/>
      <c r="AU897" s="73"/>
      <c r="AV897" s="73"/>
      <c r="AW897" s="73"/>
      <c r="AX897" s="74"/>
      <c r="AY897" s="73"/>
      <c r="AZ897" s="73"/>
      <c r="BA897" s="74"/>
      <c r="BB897" s="73"/>
      <c r="BC897" s="73"/>
      <c r="BD897" s="73"/>
      <c r="BE897" s="73"/>
      <c r="BF897" s="73"/>
      <c r="BG897" s="73"/>
      <c r="BH897" s="73"/>
      <c r="BI897" s="73"/>
      <c r="BJ897" s="73"/>
      <c r="BK897" s="73"/>
      <c r="BL897" s="73"/>
      <c r="BM897" s="73"/>
      <c r="BN897" s="73"/>
      <c r="BO897" s="73"/>
      <c r="BP897" s="73"/>
      <c r="BQ897" s="73"/>
      <c r="BR897" s="73"/>
      <c r="BS897" s="73"/>
      <c r="BT897" s="74"/>
      <c r="BU897" s="73"/>
      <c r="BV897" s="73"/>
      <c r="BW897" s="73"/>
      <c r="BX897" s="73"/>
      <c r="BY897" s="73"/>
      <c r="BZ897" s="73"/>
      <c r="CA897" s="73"/>
      <c r="CB897" s="73"/>
      <c r="CC897" s="73"/>
      <c r="CD897" s="73"/>
      <c r="CE897" s="73"/>
    </row>
    <row r="898">
      <c r="A898" s="73"/>
      <c r="B898" s="73"/>
      <c r="C898" s="73"/>
      <c r="D898" s="74"/>
      <c r="E898" s="73"/>
      <c r="F898" s="73"/>
      <c r="G898" s="73"/>
      <c r="H898" s="73"/>
      <c r="I898" s="73"/>
      <c r="J898" s="73"/>
      <c r="K898" s="92"/>
      <c r="L898" s="73"/>
      <c r="M898" s="73"/>
      <c r="N898" s="73"/>
      <c r="O898" s="73"/>
      <c r="P898" s="73"/>
      <c r="Q898" s="75"/>
      <c r="R898" s="82"/>
      <c r="S898" s="73"/>
      <c r="T898" s="73"/>
      <c r="U898" s="73"/>
      <c r="V898" s="73"/>
      <c r="W898" s="73"/>
      <c r="X898" s="73"/>
      <c r="Y898" s="77"/>
      <c r="Z898" s="104"/>
      <c r="AA898" s="73"/>
      <c r="AB898" s="104"/>
      <c r="AC898" s="104"/>
      <c r="AD898" s="74"/>
      <c r="AE898" s="106"/>
      <c r="AF898" s="195"/>
      <c r="AG898" s="80"/>
      <c r="AH898" s="104"/>
      <c r="AI898" s="73"/>
      <c r="AJ898" s="114"/>
      <c r="AK898" s="106"/>
      <c r="AL898" s="74"/>
      <c r="AM898" s="73"/>
      <c r="AN898" s="73"/>
      <c r="AO898" s="102"/>
      <c r="AP898" s="73"/>
      <c r="AQ898" s="73"/>
      <c r="AR898" s="74"/>
      <c r="AS898" s="73"/>
      <c r="AT898" s="73"/>
      <c r="AU898" s="73"/>
      <c r="AV898" s="73"/>
      <c r="AW898" s="73"/>
      <c r="AX898" s="74"/>
      <c r="AY898" s="73"/>
      <c r="AZ898" s="73"/>
      <c r="BA898" s="74"/>
      <c r="BB898" s="73"/>
      <c r="BC898" s="73"/>
      <c r="BD898" s="73"/>
      <c r="BE898" s="73"/>
      <c r="BF898" s="73"/>
      <c r="BG898" s="73"/>
      <c r="BH898" s="73"/>
      <c r="BI898" s="73"/>
      <c r="BJ898" s="73"/>
      <c r="BK898" s="73"/>
      <c r="BL898" s="73"/>
      <c r="BM898" s="73"/>
      <c r="BN898" s="73"/>
      <c r="BO898" s="73"/>
      <c r="BP898" s="73"/>
      <c r="BQ898" s="73"/>
      <c r="BR898" s="73"/>
      <c r="BS898" s="73"/>
      <c r="BT898" s="74"/>
      <c r="BU898" s="73"/>
      <c r="BV898" s="73"/>
      <c r="BW898" s="73"/>
      <c r="BX898" s="73"/>
      <c r="BY898" s="73"/>
      <c r="BZ898" s="73"/>
      <c r="CA898" s="73"/>
      <c r="CB898" s="73"/>
      <c r="CC898" s="73"/>
      <c r="CD898" s="73"/>
      <c r="CE898" s="73"/>
    </row>
    <row r="899">
      <c r="A899" s="73"/>
      <c r="B899" s="73"/>
      <c r="C899" s="73"/>
      <c r="D899" s="74"/>
      <c r="E899" s="73"/>
      <c r="F899" s="73"/>
      <c r="G899" s="73"/>
      <c r="H899" s="73"/>
      <c r="I899" s="73"/>
      <c r="J899" s="73"/>
      <c r="K899" s="92"/>
      <c r="L899" s="73"/>
      <c r="M899" s="73"/>
      <c r="N899" s="73"/>
      <c r="O899" s="73"/>
      <c r="P899" s="73"/>
      <c r="Q899" s="75"/>
      <c r="R899" s="82"/>
      <c r="S899" s="73"/>
      <c r="T899" s="73"/>
      <c r="U899" s="73"/>
      <c r="V899" s="73"/>
      <c r="W899" s="73"/>
      <c r="X899" s="73"/>
      <c r="Y899" s="77"/>
      <c r="Z899" s="104"/>
      <c r="AA899" s="73"/>
      <c r="AB899" s="104"/>
      <c r="AC899" s="104"/>
      <c r="AD899" s="74"/>
      <c r="AE899" s="106"/>
      <c r="AF899" s="195"/>
      <c r="AG899" s="80"/>
      <c r="AH899" s="104"/>
      <c r="AI899" s="73"/>
      <c r="AJ899" s="114"/>
      <c r="AK899" s="106"/>
      <c r="AL899" s="74"/>
      <c r="AM899" s="73"/>
      <c r="AN899" s="73"/>
      <c r="AO899" s="102"/>
      <c r="AP899" s="73"/>
      <c r="AQ899" s="73"/>
      <c r="AR899" s="74"/>
      <c r="AS899" s="73"/>
      <c r="AT899" s="73"/>
      <c r="AU899" s="73"/>
      <c r="AV899" s="73"/>
      <c r="AW899" s="73"/>
      <c r="AX899" s="74"/>
      <c r="AY899" s="73"/>
      <c r="AZ899" s="73"/>
      <c r="BA899" s="74"/>
      <c r="BB899" s="73"/>
      <c r="BC899" s="73"/>
      <c r="BD899" s="73"/>
      <c r="BE899" s="73"/>
      <c r="BF899" s="73"/>
      <c r="BG899" s="73"/>
      <c r="BH899" s="73"/>
      <c r="BI899" s="73"/>
      <c r="BJ899" s="73"/>
      <c r="BK899" s="73"/>
      <c r="BL899" s="73"/>
      <c r="BM899" s="73"/>
      <c r="BN899" s="73"/>
      <c r="BO899" s="73"/>
      <c r="BP899" s="73"/>
      <c r="BQ899" s="73"/>
      <c r="BR899" s="73"/>
      <c r="BS899" s="73"/>
      <c r="BT899" s="74"/>
      <c r="BU899" s="73"/>
      <c r="BV899" s="73"/>
      <c r="BW899" s="73"/>
      <c r="BX899" s="73"/>
      <c r="BY899" s="73"/>
      <c r="BZ899" s="73"/>
      <c r="CA899" s="73"/>
      <c r="CB899" s="73"/>
      <c r="CC899" s="73"/>
      <c r="CD899" s="73"/>
      <c r="CE899" s="73"/>
    </row>
    <row r="900">
      <c r="A900" s="73"/>
      <c r="B900" s="73"/>
      <c r="C900" s="73"/>
      <c r="D900" s="74"/>
      <c r="E900" s="73"/>
      <c r="F900" s="73"/>
      <c r="G900" s="73"/>
      <c r="H900" s="73"/>
      <c r="I900" s="73"/>
      <c r="J900" s="73"/>
      <c r="K900" s="92"/>
      <c r="L900" s="73"/>
      <c r="M900" s="73"/>
      <c r="N900" s="73"/>
      <c r="O900" s="73"/>
      <c r="P900" s="73"/>
      <c r="Q900" s="75"/>
      <c r="R900" s="82"/>
      <c r="S900" s="73"/>
      <c r="T900" s="73"/>
      <c r="U900" s="73"/>
      <c r="V900" s="73"/>
      <c r="W900" s="73"/>
      <c r="X900" s="73"/>
      <c r="Y900" s="77"/>
      <c r="Z900" s="104"/>
      <c r="AA900" s="73"/>
      <c r="AB900" s="104"/>
      <c r="AC900" s="104"/>
      <c r="AD900" s="74"/>
      <c r="AE900" s="106"/>
      <c r="AF900" s="195"/>
      <c r="AG900" s="80"/>
      <c r="AH900" s="104"/>
      <c r="AI900" s="73"/>
      <c r="AJ900" s="114"/>
      <c r="AK900" s="106"/>
      <c r="AL900" s="74"/>
      <c r="AM900" s="73"/>
      <c r="AN900" s="73"/>
      <c r="AO900" s="102"/>
      <c r="AP900" s="73"/>
      <c r="AQ900" s="73"/>
      <c r="AR900" s="74"/>
      <c r="AS900" s="73"/>
      <c r="AT900" s="73"/>
      <c r="AU900" s="73"/>
      <c r="AV900" s="73"/>
      <c r="AW900" s="73"/>
      <c r="AX900" s="74"/>
      <c r="AY900" s="73"/>
      <c r="AZ900" s="73"/>
      <c r="BA900" s="74"/>
      <c r="BB900" s="73"/>
      <c r="BC900" s="73"/>
      <c r="BD900" s="73"/>
      <c r="BE900" s="73"/>
      <c r="BF900" s="73"/>
      <c r="BG900" s="73"/>
      <c r="BH900" s="73"/>
      <c r="BI900" s="73"/>
      <c r="BJ900" s="73"/>
      <c r="BK900" s="73"/>
      <c r="BL900" s="73"/>
      <c r="BM900" s="73"/>
      <c r="BN900" s="73"/>
      <c r="BO900" s="73"/>
      <c r="BP900" s="73"/>
      <c r="BQ900" s="73"/>
      <c r="BR900" s="73"/>
      <c r="BS900" s="73"/>
      <c r="BT900" s="74"/>
      <c r="BU900" s="73"/>
      <c r="BV900" s="73"/>
      <c r="BW900" s="73"/>
      <c r="BX900" s="73"/>
      <c r="BY900" s="73"/>
      <c r="BZ900" s="73"/>
      <c r="CA900" s="73"/>
      <c r="CB900" s="73"/>
      <c r="CC900" s="73"/>
      <c r="CD900" s="73"/>
      <c r="CE900" s="73"/>
    </row>
    <row r="901">
      <c r="A901" s="73"/>
      <c r="B901" s="73"/>
      <c r="C901" s="73"/>
      <c r="D901" s="74"/>
      <c r="E901" s="73"/>
      <c r="F901" s="73"/>
      <c r="G901" s="73"/>
      <c r="H901" s="73"/>
      <c r="I901" s="73"/>
      <c r="J901" s="73"/>
      <c r="K901" s="92"/>
      <c r="L901" s="73"/>
      <c r="M901" s="73"/>
      <c r="N901" s="73"/>
      <c r="O901" s="73"/>
      <c r="P901" s="73"/>
      <c r="Q901" s="75"/>
      <c r="R901" s="82"/>
      <c r="S901" s="73"/>
      <c r="T901" s="73"/>
      <c r="U901" s="73"/>
      <c r="V901" s="73"/>
      <c r="W901" s="73"/>
      <c r="X901" s="73"/>
      <c r="Y901" s="77"/>
      <c r="Z901" s="104"/>
      <c r="AA901" s="73"/>
      <c r="AB901" s="104"/>
      <c r="AC901" s="104"/>
      <c r="AD901" s="74"/>
      <c r="AE901" s="106"/>
      <c r="AF901" s="195"/>
      <c r="AG901" s="80"/>
      <c r="AH901" s="104"/>
      <c r="AI901" s="73"/>
      <c r="AJ901" s="114"/>
      <c r="AK901" s="106"/>
      <c r="AL901" s="74"/>
      <c r="AM901" s="73"/>
      <c r="AN901" s="73"/>
      <c r="AO901" s="102"/>
      <c r="AP901" s="73"/>
      <c r="AQ901" s="73"/>
      <c r="AR901" s="74"/>
      <c r="AS901" s="73"/>
      <c r="AT901" s="73"/>
      <c r="AU901" s="73"/>
      <c r="AV901" s="73"/>
      <c r="AW901" s="73"/>
      <c r="AX901" s="74"/>
      <c r="AY901" s="73"/>
      <c r="AZ901" s="73"/>
      <c r="BA901" s="74"/>
      <c r="BB901" s="73"/>
      <c r="BC901" s="73"/>
      <c r="BD901" s="73"/>
      <c r="BE901" s="73"/>
      <c r="BF901" s="73"/>
      <c r="BG901" s="73"/>
      <c r="BH901" s="73"/>
      <c r="BI901" s="73"/>
      <c r="BJ901" s="73"/>
      <c r="BK901" s="73"/>
      <c r="BL901" s="73"/>
      <c r="BM901" s="73"/>
      <c r="BN901" s="73"/>
      <c r="BO901" s="73"/>
      <c r="BP901" s="73"/>
      <c r="BQ901" s="73"/>
      <c r="BR901" s="73"/>
      <c r="BS901" s="73"/>
      <c r="BT901" s="74"/>
      <c r="BU901" s="73"/>
      <c r="BV901" s="73"/>
      <c r="BW901" s="73"/>
      <c r="BX901" s="73"/>
      <c r="BY901" s="73"/>
      <c r="BZ901" s="73"/>
      <c r="CA901" s="73"/>
      <c r="CB901" s="73"/>
      <c r="CC901" s="73"/>
      <c r="CD901" s="73"/>
      <c r="CE901" s="73"/>
    </row>
    <row r="902">
      <c r="A902" s="73"/>
      <c r="B902" s="73"/>
      <c r="C902" s="73"/>
      <c r="D902" s="74"/>
      <c r="E902" s="73"/>
      <c r="F902" s="73"/>
      <c r="G902" s="73"/>
      <c r="H902" s="73"/>
      <c r="I902" s="73"/>
      <c r="J902" s="73"/>
      <c r="K902" s="92"/>
      <c r="L902" s="73"/>
      <c r="M902" s="73"/>
      <c r="N902" s="73"/>
      <c r="O902" s="73"/>
      <c r="P902" s="73"/>
      <c r="Q902" s="75"/>
      <c r="R902" s="82"/>
      <c r="S902" s="73"/>
      <c r="T902" s="73"/>
      <c r="U902" s="73"/>
      <c r="V902" s="73"/>
      <c r="W902" s="73"/>
      <c r="X902" s="73"/>
      <c r="Y902" s="77"/>
      <c r="Z902" s="104"/>
      <c r="AA902" s="73"/>
      <c r="AB902" s="104"/>
      <c r="AC902" s="104"/>
      <c r="AD902" s="74"/>
      <c r="AE902" s="106"/>
      <c r="AF902" s="195"/>
      <c r="AG902" s="80"/>
      <c r="AH902" s="104"/>
      <c r="AI902" s="73"/>
      <c r="AJ902" s="114"/>
      <c r="AK902" s="106"/>
      <c r="AL902" s="74"/>
      <c r="AM902" s="73"/>
      <c r="AN902" s="73"/>
      <c r="AO902" s="102"/>
      <c r="AP902" s="73"/>
      <c r="AQ902" s="73"/>
      <c r="AR902" s="74"/>
      <c r="AS902" s="73"/>
      <c r="AT902" s="73"/>
      <c r="AU902" s="73"/>
      <c r="AV902" s="73"/>
      <c r="AW902" s="73"/>
      <c r="AX902" s="74"/>
      <c r="AY902" s="73"/>
      <c r="AZ902" s="73"/>
      <c r="BA902" s="74"/>
      <c r="BB902" s="73"/>
      <c r="BC902" s="73"/>
      <c r="BD902" s="73"/>
      <c r="BE902" s="73"/>
      <c r="BF902" s="73"/>
      <c r="BG902" s="73"/>
      <c r="BH902" s="73"/>
      <c r="BI902" s="73"/>
      <c r="BJ902" s="73"/>
      <c r="BK902" s="73"/>
      <c r="BL902" s="73"/>
      <c r="BM902" s="73"/>
      <c r="BN902" s="73"/>
      <c r="BO902" s="73"/>
      <c r="BP902" s="73"/>
      <c r="BQ902" s="73"/>
      <c r="BR902" s="73"/>
      <c r="BS902" s="73"/>
      <c r="BT902" s="74"/>
      <c r="BU902" s="73"/>
      <c r="BV902" s="73"/>
      <c r="BW902" s="73"/>
      <c r="BX902" s="73"/>
      <c r="BY902" s="73"/>
      <c r="BZ902" s="73"/>
      <c r="CA902" s="73"/>
      <c r="CB902" s="73"/>
      <c r="CC902" s="73"/>
      <c r="CD902" s="73"/>
      <c r="CE902" s="73"/>
    </row>
    <row r="903">
      <c r="A903" s="73"/>
      <c r="B903" s="73"/>
      <c r="C903" s="73"/>
      <c r="D903" s="74"/>
      <c r="E903" s="73"/>
      <c r="F903" s="73"/>
      <c r="G903" s="73"/>
      <c r="H903" s="73"/>
      <c r="I903" s="73"/>
      <c r="J903" s="73"/>
      <c r="K903" s="92"/>
      <c r="L903" s="73"/>
      <c r="M903" s="73"/>
      <c r="N903" s="73"/>
      <c r="O903" s="73"/>
      <c r="P903" s="73"/>
      <c r="Q903" s="75"/>
      <c r="R903" s="82"/>
      <c r="S903" s="73"/>
      <c r="T903" s="73"/>
      <c r="U903" s="73"/>
      <c r="V903" s="73"/>
      <c r="W903" s="73"/>
      <c r="X903" s="73"/>
      <c r="Y903" s="77"/>
      <c r="Z903" s="104"/>
      <c r="AA903" s="73"/>
      <c r="AB903" s="104"/>
      <c r="AC903" s="104"/>
      <c r="AD903" s="74"/>
      <c r="AE903" s="106"/>
      <c r="AF903" s="195"/>
      <c r="AG903" s="80"/>
      <c r="AH903" s="104"/>
      <c r="AI903" s="73"/>
      <c r="AJ903" s="114"/>
      <c r="AK903" s="106"/>
      <c r="AL903" s="74"/>
      <c r="AM903" s="73"/>
      <c r="AN903" s="73"/>
      <c r="AO903" s="102"/>
      <c r="AP903" s="73"/>
      <c r="AQ903" s="73"/>
      <c r="AR903" s="74"/>
      <c r="AS903" s="73"/>
      <c r="AT903" s="73"/>
      <c r="AU903" s="73"/>
      <c r="AV903" s="73"/>
      <c r="AW903" s="73"/>
      <c r="AX903" s="74"/>
      <c r="AY903" s="73"/>
      <c r="AZ903" s="73"/>
      <c r="BA903" s="74"/>
      <c r="BB903" s="73"/>
      <c r="BC903" s="73"/>
      <c r="BD903" s="73"/>
      <c r="BE903" s="73"/>
      <c r="BF903" s="73"/>
      <c r="BG903" s="73"/>
      <c r="BH903" s="73"/>
      <c r="BI903" s="73"/>
      <c r="BJ903" s="73"/>
      <c r="BK903" s="73"/>
      <c r="BL903" s="73"/>
      <c r="BM903" s="73"/>
      <c r="BN903" s="73"/>
      <c r="BO903" s="73"/>
      <c r="BP903" s="73"/>
      <c r="BQ903" s="73"/>
      <c r="BR903" s="73"/>
      <c r="BS903" s="73"/>
      <c r="BT903" s="74"/>
      <c r="BU903" s="73"/>
      <c r="BV903" s="73"/>
      <c r="BW903" s="73"/>
      <c r="BX903" s="73"/>
      <c r="BY903" s="73"/>
      <c r="BZ903" s="73"/>
      <c r="CA903" s="73"/>
      <c r="CB903" s="73"/>
      <c r="CC903" s="73"/>
      <c r="CD903" s="73"/>
      <c r="CE903" s="73"/>
    </row>
    <row r="904">
      <c r="A904" s="73"/>
      <c r="B904" s="73"/>
      <c r="C904" s="73"/>
      <c r="D904" s="74"/>
      <c r="E904" s="73"/>
      <c r="F904" s="73"/>
      <c r="G904" s="73"/>
      <c r="H904" s="73"/>
      <c r="I904" s="73"/>
      <c r="J904" s="73"/>
      <c r="K904" s="92"/>
      <c r="L904" s="73"/>
      <c r="M904" s="73"/>
      <c r="N904" s="73"/>
      <c r="O904" s="73"/>
      <c r="P904" s="73"/>
      <c r="Q904" s="75"/>
      <c r="R904" s="82"/>
      <c r="S904" s="73"/>
      <c r="T904" s="73"/>
      <c r="U904" s="73"/>
      <c r="V904" s="73"/>
      <c r="W904" s="73"/>
      <c r="X904" s="73"/>
      <c r="Y904" s="77"/>
      <c r="Z904" s="104"/>
      <c r="AA904" s="73"/>
      <c r="AB904" s="104"/>
      <c r="AC904" s="104"/>
      <c r="AD904" s="74"/>
      <c r="AE904" s="106"/>
      <c r="AF904" s="195"/>
      <c r="AG904" s="80"/>
      <c r="AH904" s="104"/>
      <c r="AI904" s="73"/>
      <c r="AJ904" s="114"/>
      <c r="AK904" s="106"/>
      <c r="AL904" s="74"/>
      <c r="AM904" s="73"/>
      <c r="AN904" s="73"/>
      <c r="AO904" s="102"/>
      <c r="AP904" s="73"/>
      <c r="AQ904" s="73"/>
      <c r="AR904" s="74"/>
      <c r="AS904" s="73"/>
      <c r="AT904" s="73"/>
      <c r="AU904" s="73"/>
      <c r="AV904" s="73"/>
      <c r="AW904" s="73"/>
      <c r="AX904" s="74"/>
      <c r="AY904" s="73"/>
      <c r="AZ904" s="73"/>
      <c r="BA904" s="74"/>
      <c r="BB904" s="73"/>
      <c r="BC904" s="73"/>
      <c r="BD904" s="73"/>
      <c r="BE904" s="73"/>
      <c r="BF904" s="73"/>
      <c r="BG904" s="73"/>
      <c r="BH904" s="73"/>
      <c r="BI904" s="73"/>
      <c r="BJ904" s="73"/>
      <c r="BK904" s="73"/>
      <c r="BL904" s="73"/>
      <c r="BM904" s="73"/>
      <c r="BN904" s="73"/>
      <c r="BO904" s="73"/>
      <c r="BP904" s="73"/>
      <c r="BQ904" s="73"/>
      <c r="BR904" s="73"/>
      <c r="BS904" s="73"/>
      <c r="BT904" s="74"/>
      <c r="BU904" s="73"/>
      <c r="BV904" s="73"/>
      <c r="BW904" s="73"/>
      <c r="BX904" s="73"/>
      <c r="BY904" s="73"/>
      <c r="BZ904" s="73"/>
      <c r="CA904" s="73"/>
      <c r="CB904" s="73"/>
      <c r="CC904" s="73"/>
      <c r="CD904" s="73"/>
      <c r="CE904" s="73"/>
    </row>
    <row r="905">
      <c r="A905" s="73"/>
      <c r="B905" s="73"/>
      <c r="C905" s="73"/>
      <c r="D905" s="74"/>
      <c r="E905" s="73"/>
      <c r="F905" s="73"/>
      <c r="G905" s="73"/>
      <c r="H905" s="73"/>
      <c r="I905" s="73"/>
      <c r="J905" s="73"/>
      <c r="K905" s="92"/>
      <c r="L905" s="73"/>
      <c r="M905" s="73"/>
      <c r="N905" s="73"/>
      <c r="O905" s="73"/>
      <c r="P905" s="73"/>
      <c r="Q905" s="75"/>
      <c r="R905" s="82"/>
      <c r="S905" s="73"/>
      <c r="T905" s="73"/>
      <c r="U905" s="73"/>
      <c r="V905" s="73"/>
      <c r="W905" s="73"/>
      <c r="X905" s="73"/>
      <c r="Y905" s="77"/>
      <c r="Z905" s="104"/>
      <c r="AA905" s="73"/>
      <c r="AB905" s="104"/>
      <c r="AC905" s="104"/>
      <c r="AD905" s="74"/>
      <c r="AE905" s="106"/>
      <c r="AF905" s="195"/>
      <c r="AG905" s="80"/>
      <c r="AH905" s="104"/>
      <c r="AI905" s="73"/>
      <c r="AJ905" s="114"/>
      <c r="AK905" s="106"/>
      <c r="AL905" s="74"/>
      <c r="AM905" s="73"/>
      <c r="AN905" s="73"/>
      <c r="AO905" s="102"/>
      <c r="AP905" s="73"/>
      <c r="AQ905" s="73"/>
      <c r="AR905" s="74"/>
      <c r="AS905" s="73"/>
      <c r="AT905" s="73"/>
      <c r="AU905" s="73"/>
      <c r="AV905" s="73"/>
      <c r="AW905" s="73"/>
      <c r="AX905" s="74"/>
      <c r="AY905" s="73"/>
      <c r="AZ905" s="73"/>
      <c r="BA905" s="74"/>
      <c r="BB905" s="73"/>
      <c r="BC905" s="73"/>
      <c r="BD905" s="73"/>
      <c r="BE905" s="73"/>
      <c r="BF905" s="73"/>
      <c r="BG905" s="73"/>
      <c r="BH905" s="73"/>
      <c r="BI905" s="73"/>
      <c r="BJ905" s="73"/>
      <c r="BK905" s="73"/>
      <c r="BL905" s="73"/>
      <c r="BM905" s="73"/>
      <c r="BN905" s="73"/>
      <c r="BO905" s="73"/>
      <c r="BP905" s="73"/>
      <c r="BQ905" s="73"/>
      <c r="BR905" s="73"/>
      <c r="BS905" s="73"/>
      <c r="BT905" s="74"/>
      <c r="BU905" s="73"/>
      <c r="BV905" s="73"/>
      <c r="BW905" s="73"/>
      <c r="BX905" s="73"/>
      <c r="BY905" s="73"/>
      <c r="BZ905" s="73"/>
      <c r="CA905" s="73"/>
      <c r="CB905" s="73"/>
      <c r="CC905" s="73"/>
      <c r="CD905" s="73"/>
      <c r="CE905" s="73"/>
    </row>
    <row r="906">
      <c r="A906" s="73"/>
      <c r="B906" s="73"/>
      <c r="C906" s="73"/>
      <c r="D906" s="74"/>
      <c r="E906" s="73"/>
      <c r="F906" s="73"/>
      <c r="G906" s="73"/>
      <c r="H906" s="73"/>
      <c r="I906" s="73"/>
      <c r="J906" s="73"/>
      <c r="K906" s="92"/>
      <c r="L906" s="73"/>
      <c r="M906" s="73"/>
      <c r="N906" s="73"/>
      <c r="O906" s="73"/>
      <c r="P906" s="73"/>
      <c r="Q906" s="75"/>
      <c r="R906" s="82"/>
      <c r="S906" s="73"/>
      <c r="T906" s="73"/>
      <c r="U906" s="73"/>
      <c r="V906" s="73"/>
      <c r="W906" s="73"/>
      <c r="X906" s="73"/>
      <c r="Y906" s="77"/>
      <c r="Z906" s="104"/>
      <c r="AA906" s="73"/>
      <c r="AB906" s="104"/>
      <c r="AC906" s="104"/>
      <c r="AD906" s="74"/>
      <c r="AE906" s="106"/>
      <c r="AF906" s="195"/>
      <c r="AG906" s="80"/>
      <c r="AH906" s="104"/>
      <c r="AI906" s="73"/>
      <c r="AJ906" s="114"/>
      <c r="AK906" s="106"/>
      <c r="AL906" s="74"/>
      <c r="AM906" s="73"/>
      <c r="AN906" s="73"/>
      <c r="AO906" s="102"/>
      <c r="AP906" s="73"/>
      <c r="AQ906" s="73"/>
      <c r="AR906" s="74"/>
      <c r="AS906" s="73"/>
      <c r="AT906" s="73"/>
      <c r="AU906" s="73"/>
      <c r="AV906" s="73"/>
      <c r="AW906" s="73"/>
      <c r="AX906" s="74"/>
      <c r="AY906" s="73"/>
      <c r="AZ906" s="73"/>
      <c r="BA906" s="74"/>
      <c r="BB906" s="73"/>
      <c r="BC906" s="73"/>
      <c r="BD906" s="73"/>
      <c r="BE906" s="73"/>
      <c r="BF906" s="73"/>
      <c r="BG906" s="73"/>
      <c r="BH906" s="73"/>
      <c r="BI906" s="73"/>
      <c r="BJ906" s="73"/>
      <c r="BK906" s="73"/>
      <c r="BL906" s="73"/>
      <c r="BM906" s="73"/>
      <c r="BN906" s="73"/>
      <c r="BO906" s="73"/>
      <c r="BP906" s="73"/>
      <c r="BQ906" s="73"/>
      <c r="BR906" s="73"/>
      <c r="BS906" s="73"/>
      <c r="BT906" s="74"/>
      <c r="BU906" s="73"/>
      <c r="BV906" s="73"/>
      <c r="BW906" s="73"/>
      <c r="BX906" s="73"/>
      <c r="BY906" s="73"/>
      <c r="BZ906" s="73"/>
      <c r="CA906" s="73"/>
      <c r="CB906" s="73"/>
      <c r="CC906" s="73"/>
      <c r="CD906" s="73"/>
      <c r="CE906" s="73"/>
    </row>
    <row r="907">
      <c r="A907" s="73"/>
      <c r="B907" s="73"/>
      <c r="C907" s="73"/>
      <c r="D907" s="74"/>
      <c r="E907" s="73"/>
      <c r="F907" s="73"/>
      <c r="G907" s="73"/>
      <c r="H907" s="73"/>
      <c r="I907" s="73"/>
      <c r="J907" s="73"/>
      <c r="K907" s="92"/>
      <c r="L907" s="73"/>
      <c r="M907" s="73"/>
      <c r="N907" s="73"/>
      <c r="O907" s="73"/>
      <c r="P907" s="73"/>
      <c r="Q907" s="75"/>
      <c r="R907" s="82"/>
      <c r="S907" s="73"/>
      <c r="T907" s="73"/>
      <c r="U907" s="73"/>
      <c r="V907" s="73"/>
      <c r="W907" s="73"/>
      <c r="X907" s="73"/>
      <c r="Y907" s="77"/>
      <c r="Z907" s="104"/>
      <c r="AA907" s="73"/>
      <c r="AB907" s="104"/>
      <c r="AC907" s="104"/>
      <c r="AD907" s="74"/>
      <c r="AE907" s="106"/>
      <c r="AF907" s="195"/>
      <c r="AG907" s="80"/>
      <c r="AH907" s="104"/>
      <c r="AI907" s="73"/>
      <c r="AJ907" s="114"/>
      <c r="AK907" s="106"/>
      <c r="AL907" s="74"/>
      <c r="AM907" s="73"/>
      <c r="AN907" s="73"/>
      <c r="AO907" s="102"/>
      <c r="AP907" s="73"/>
      <c r="AQ907" s="73"/>
      <c r="AR907" s="74"/>
      <c r="AS907" s="73"/>
      <c r="AT907" s="73"/>
      <c r="AU907" s="73"/>
      <c r="AV907" s="73"/>
      <c r="AW907" s="73"/>
      <c r="AX907" s="74"/>
      <c r="AY907" s="73"/>
      <c r="AZ907" s="73"/>
      <c r="BA907" s="74"/>
      <c r="BB907" s="73"/>
      <c r="BC907" s="73"/>
      <c r="BD907" s="73"/>
      <c r="BE907" s="73"/>
      <c r="BF907" s="73"/>
      <c r="BG907" s="73"/>
      <c r="BH907" s="73"/>
      <c r="BI907" s="73"/>
      <c r="BJ907" s="73"/>
      <c r="BK907" s="73"/>
      <c r="BL907" s="73"/>
      <c r="BM907" s="73"/>
      <c r="BN907" s="73"/>
      <c r="BO907" s="73"/>
      <c r="BP907" s="73"/>
      <c r="BQ907" s="73"/>
      <c r="BR907" s="73"/>
      <c r="BS907" s="73"/>
      <c r="BT907" s="74"/>
      <c r="BU907" s="73"/>
      <c r="BV907" s="73"/>
      <c r="BW907" s="73"/>
      <c r="BX907" s="73"/>
      <c r="BY907" s="73"/>
      <c r="BZ907" s="73"/>
      <c r="CA907" s="73"/>
      <c r="CB907" s="73"/>
      <c r="CC907" s="73"/>
      <c r="CD907" s="73"/>
      <c r="CE907" s="73"/>
    </row>
    <row r="908">
      <c r="A908" s="73"/>
      <c r="B908" s="73"/>
      <c r="C908" s="73"/>
      <c r="D908" s="74"/>
      <c r="E908" s="73"/>
      <c r="F908" s="73"/>
      <c r="G908" s="73"/>
      <c r="H908" s="73"/>
      <c r="I908" s="73"/>
      <c r="J908" s="73"/>
      <c r="K908" s="92"/>
      <c r="L908" s="73"/>
      <c r="M908" s="73"/>
      <c r="N908" s="73"/>
      <c r="O908" s="73"/>
      <c r="P908" s="73"/>
      <c r="Q908" s="75"/>
      <c r="R908" s="82"/>
      <c r="S908" s="73"/>
      <c r="T908" s="73"/>
      <c r="U908" s="73"/>
      <c r="V908" s="73"/>
      <c r="W908" s="73"/>
      <c r="X908" s="73"/>
      <c r="Y908" s="77"/>
      <c r="Z908" s="104"/>
      <c r="AA908" s="73"/>
      <c r="AB908" s="104"/>
      <c r="AC908" s="104"/>
      <c r="AD908" s="74"/>
      <c r="AE908" s="106"/>
      <c r="AF908" s="195"/>
      <c r="AG908" s="80"/>
      <c r="AH908" s="104"/>
      <c r="AI908" s="73"/>
      <c r="AJ908" s="114"/>
      <c r="AK908" s="106"/>
      <c r="AL908" s="74"/>
      <c r="AM908" s="73"/>
      <c r="AN908" s="73"/>
      <c r="AO908" s="102"/>
      <c r="AP908" s="73"/>
      <c r="AQ908" s="73"/>
      <c r="AR908" s="74"/>
      <c r="AS908" s="73"/>
      <c r="AT908" s="73"/>
      <c r="AU908" s="73"/>
      <c r="AV908" s="73"/>
      <c r="AW908" s="73"/>
      <c r="AX908" s="74"/>
      <c r="AY908" s="73"/>
      <c r="AZ908" s="73"/>
      <c r="BA908" s="74"/>
      <c r="BB908" s="73"/>
      <c r="BC908" s="73"/>
      <c r="BD908" s="73"/>
      <c r="BE908" s="73"/>
      <c r="BF908" s="73"/>
      <c r="BG908" s="73"/>
      <c r="BH908" s="73"/>
      <c r="BI908" s="73"/>
      <c r="BJ908" s="73"/>
      <c r="BK908" s="73"/>
      <c r="BL908" s="73"/>
      <c r="BM908" s="73"/>
      <c r="BN908" s="73"/>
      <c r="BO908" s="73"/>
      <c r="BP908" s="73"/>
      <c r="BQ908" s="73"/>
      <c r="BR908" s="73"/>
      <c r="BS908" s="73"/>
      <c r="BT908" s="74"/>
      <c r="BU908" s="73"/>
      <c r="BV908" s="73"/>
      <c r="BW908" s="73"/>
      <c r="BX908" s="73"/>
      <c r="BY908" s="73"/>
      <c r="BZ908" s="73"/>
      <c r="CA908" s="73"/>
      <c r="CB908" s="73"/>
      <c r="CC908" s="73"/>
      <c r="CD908" s="73"/>
      <c r="CE908" s="73"/>
    </row>
    <row r="909">
      <c r="A909" s="73"/>
      <c r="B909" s="73"/>
      <c r="C909" s="73"/>
      <c r="D909" s="74"/>
      <c r="E909" s="73"/>
      <c r="F909" s="73"/>
      <c r="G909" s="73"/>
      <c r="H909" s="73"/>
      <c r="I909" s="73"/>
      <c r="J909" s="73"/>
      <c r="K909" s="92"/>
      <c r="L909" s="73"/>
      <c r="M909" s="73"/>
      <c r="N909" s="73"/>
      <c r="O909" s="73"/>
      <c r="P909" s="73"/>
      <c r="Q909" s="75"/>
      <c r="R909" s="82"/>
      <c r="S909" s="73"/>
      <c r="T909" s="73"/>
      <c r="U909" s="73"/>
      <c r="V909" s="73"/>
      <c r="W909" s="73"/>
      <c r="X909" s="73"/>
      <c r="Y909" s="77"/>
      <c r="Z909" s="104"/>
      <c r="AA909" s="73"/>
      <c r="AB909" s="104"/>
      <c r="AC909" s="104"/>
      <c r="AD909" s="74"/>
      <c r="AE909" s="106"/>
      <c r="AF909" s="195"/>
      <c r="AG909" s="80"/>
      <c r="AH909" s="104"/>
      <c r="AI909" s="73"/>
      <c r="AJ909" s="114"/>
      <c r="AK909" s="106"/>
      <c r="AL909" s="74"/>
      <c r="AM909" s="73"/>
      <c r="AN909" s="73"/>
      <c r="AO909" s="102"/>
      <c r="AP909" s="73"/>
      <c r="AQ909" s="73"/>
      <c r="AR909" s="74"/>
      <c r="AS909" s="73"/>
      <c r="AT909" s="73"/>
      <c r="AU909" s="73"/>
      <c r="AV909" s="73"/>
      <c r="AW909" s="73"/>
      <c r="AX909" s="74"/>
      <c r="AY909" s="73"/>
      <c r="AZ909" s="73"/>
      <c r="BA909" s="74"/>
      <c r="BB909" s="73"/>
      <c r="BC909" s="73"/>
      <c r="BD909" s="73"/>
      <c r="BE909" s="73"/>
      <c r="BF909" s="73"/>
      <c r="BG909" s="73"/>
      <c r="BH909" s="73"/>
      <c r="BI909" s="73"/>
      <c r="BJ909" s="73"/>
      <c r="BK909" s="73"/>
      <c r="BL909" s="73"/>
      <c r="BM909" s="73"/>
      <c r="BN909" s="73"/>
      <c r="BO909" s="73"/>
      <c r="BP909" s="73"/>
      <c r="BQ909" s="73"/>
      <c r="BR909" s="73"/>
      <c r="BS909" s="73"/>
      <c r="BT909" s="74"/>
      <c r="BU909" s="73"/>
      <c r="BV909" s="73"/>
      <c r="BW909" s="73"/>
      <c r="BX909" s="73"/>
      <c r="BY909" s="73"/>
      <c r="BZ909" s="73"/>
      <c r="CA909" s="73"/>
      <c r="CB909" s="73"/>
      <c r="CC909" s="73"/>
      <c r="CD909" s="73"/>
      <c r="CE909" s="73"/>
    </row>
    <row r="910">
      <c r="A910" s="73"/>
      <c r="B910" s="73"/>
      <c r="C910" s="73"/>
      <c r="D910" s="74"/>
      <c r="E910" s="73"/>
      <c r="F910" s="73"/>
      <c r="G910" s="73"/>
      <c r="H910" s="73"/>
      <c r="I910" s="73"/>
      <c r="J910" s="73"/>
      <c r="K910" s="92"/>
      <c r="L910" s="73"/>
      <c r="M910" s="73"/>
      <c r="N910" s="73"/>
      <c r="O910" s="73"/>
      <c r="P910" s="73"/>
      <c r="Q910" s="75"/>
      <c r="R910" s="82"/>
      <c r="S910" s="73"/>
      <c r="T910" s="73"/>
      <c r="U910" s="73"/>
      <c r="V910" s="73"/>
      <c r="W910" s="73"/>
      <c r="X910" s="73"/>
      <c r="Y910" s="77"/>
      <c r="Z910" s="104"/>
      <c r="AA910" s="73"/>
      <c r="AB910" s="104"/>
      <c r="AC910" s="104"/>
      <c r="AD910" s="74"/>
      <c r="AE910" s="106"/>
      <c r="AF910" s="195"/>
      <c r="AG910" s="80"/>
      <c r="AH910" s="104"/>
      <c r="AI910" s="73"/>
      <c r="AJ910" s="114"/>
      <c r="AK910" s="106"/>
      <c r="AL910" s="74"/>
      <c r="AM910" s="73"/>
      <c r="AN910" s="73"/>
      <c r="AO910" s="102"/>
      <c r="AP910" s="73"/>
      <c r="AQ910" s="73"/>
      <c r="AR910" s="74"/>
      <c r="AS910" s="73"/>
      <c r="AT910" s="73"/>
      <c r="AU910" s="73"/>
      <c r="AV910" s="73"/>
      <c r="AW910" s="73"/>
      <c r="AX910" s="74"/>
      <c r="AY910" s="73"/>
      <c r="AZ910" s="73"/>
      <c r="BA910" s="74"/>
      <c r="BB910" s="73"/>
      <c r="BC910" s="73"/>
      <c r="BD910" s="73"/>
      <c r="BE910" s="73"/>
      <c r="BF910" s="73"/>
      <c r="BG910" s="73"/>
      <c r="BH910" s="73"/>
      <c r="BI910" s="73"/>
      <c r="BJ910" s="73"/>
      <c r="BK910" s="73"/>
      <c r="BL910" s="73"/>
      <c r="BM910" s="73"/>
      <c r="BN910" s="73"/>
      <c r="BO910" s="73"/>
      <c r="BP910" s="73"/>
      <c r="BQ910" s="73"/>
      <c r="BR910" s="73"/>
      <c r="BS910" s="73"/>
      <c r="BT910" s="74"/>
      <c r="BU910" s="73"/>
      <c r="BV910" s="73"/>
      <c r="BW910" s="73"/>
      <c r="BX910" s="73"/>
      <c r="BY910" s="73"/>
      <c r="BZ910" s="73"/>
      <c r="CA910" s="73"/>
      <c r="CB910" s="73"/>
      <c r="CC910" s="73"/>
      <c r="CD910" s="73"/>
      <c r="CE910" s="73"/>
    </row>
    <row r="911">
      <c r="A911" s="73"/>
      <c r="B911" s="73"/>
      <c r="C911" s="73"/>
      <c r="D911" s="74"/>
      <c r="E911" s="73"/>
      <c r="F911" s="73"/>
      <c r="G911" s="73"/>
      <c r="H911" s="73"/>
      <c r="I911" s="73"/>
      <c r="J911" s="73"/>
      <c r="K911" s="92"/>
      <c r="L911" s="73"/>
      <c r="M911" s="73"/>
      <c r="N911" s="73"/>
      <c r="O911" s="73"/>
      <c r="P911" s="73"/>
      <c r="Q911" s="75"/>
      <c r="R911" s="82"/>
      <c r="S911" s="73"/>
      <c r="T911" s="73"/>
      <c r="U911" s="73"/>
      <c r="V911" s="73"/>
      <c r="W911" s="73"/>
      <c r="X911" s="73"/>
      <c r="Y911" s="77"/>
      <c r="Z911" s="104"/>
      <c r="AA911" s="73"/>
      <c r="AB911" s="104"/>
      <c r="AC911" s="104"/>
      <c r="AD911" s="74"/>
      <c r="AE911" s="106"/>
      <c r="AF911" s="195"/>
      <c r="AG911" s="80"/>
      <c r="AH911" s="104"/>
      <c r="AI911" s="73"/>
      <c r="AJ911" s="114"/>
      <c r="AK911" s="106"/>
      <c r="AL911" s="74"/>
      <c r="AM911" s="73"/>
      <c r="AN911" s="73"/>
      <c r="AO911" s="102"/>
      <c r="AP911" s="73"/>
      <c r="AQ911" s="73"/>
      <c r="AR911" s="74"/>
      <c r="AS911" s="73"/>
      <c r="AT911" s="73"/>
      <c r="AU911" s="73"/>
      <c r="AV911" s="73"/>
      <c r="AW911" s="73"/>
      <c r="AX911" s="74"/>
      <c r="AY911" s="73"/>
      <c r="AZ911" s="73"/>
      <c r="BA911" s="74"/>
      <c r="BB911" s="73"/>
      <c r="BC911" s="73"/>
      <c r="BD911" s="73"/>
      <c r="BE911" s="73"/>
      <c r="BF911" s="73"/>
      <c r="BG911" s="73"/>
      <c r="BH911" s="73"/>
      <c r="BI911" s="73"/>
      <c r="BJ911" s="73"/>
      <c r="BK911" s="73"/>
      <c r="BL911" s="73"/>
      <c r="BM911" s="73"/>
      <c r="BN911" s="73"/>
      <c r="BO911" s="73"/>
      <c r="BP911" s="73"/>
      <c r="BQ911" s="73"/>
      <c r="BR911" s="73"/>
      <c r="BS911" s="73"/>
      <c r="BT911" s="74"/>
      <c r="BU911" s="73"/>
      <c r="BV911" s="73"/>
      <c r="BW911" s="73"/>
      <c r="BX911" s="73"/>
      <c r="BY911" s="73"/>
      <c r="BZ911" s="73"/>
      <c r="CA911" s="73"/>
      <c r="CB911" s="73"/>
      <c r="CC911" s="73"/>
      <c r="CD911" s="73"/>
      <c r="CE911" s="73"/>
    </row>
    <row r="912">
      <c r="A912" s="73"/>
      <c r="B912" s="73"/>
      <c r="C912" s="73"/>
      <c r="D912" s="74"/>
      <c r="E912" s="73"/>
      <c r="F912" s="73"/>
      <c r="G912" s="73"/>
      <c r="H912" s="73"/>
      <c r="I912" s="73"/>
      <c r="J912" s="73"/>
      <c r="K912" s="92"/>
      <c r="L912" s="73"/>
      <c r="M912" s="73"/>
      <c r="N912" s="73"/>
      <c r="O912" s="73"/>
      <c r="P912" s="73"/>
      <c r="Q912" s="75"/>
      <c r="R912" s="82"/>
      <c r="S912" s="73"/>
      <c r="T912" s="73"/>
      <c r="U912" s="73"/>
      <c r="V912" s="73"/>
      <c r="W912" s="73"/>
      <c r="X912" s="73"/>
      <c r="Y912" s="77"/>
      <c r="Z912" s="104"/>
      <c r="AA912" s="73"/>
      <c r="AB912" s="104"/>
      <c r="AC912" s="104"/>
      <c r="AD912" s="74"/>
      <c r="AE912" s="106"/>
      <c r="AF912" s="195"/>
      <c r="AG912" s="80"/>
      <c r="AH912" s="104"/>
      <c r="AI912" s="73"/>
      <c r="AJ912" s="114"/>
      <c r="AK912" s="106"/>
      <c r="AL912" s="74"/>
      <c r="AM912" s="73"/>
      <c r="AN912" s="73"/>
      <c r="AO912" s="102"/>
      <c r="AP912" s="73"/>
      <c r="AQ912" s="73"/>
      <c r="AR912" s="74"/>
      <c r="AS912" s="73"/>
      <c r="AT912" s="73"/>
      <c r="AU912" s="73"/>
      <c r="AV912" s="73"/>
      <c r="AW912" s="73"/>
      <c r="AX912" s="74"/>
      <c r="AY912" s="73"/>
      <c r="AZ912" s="73"/>
      <c r="BA912" s="74"/>
      <c r="BB912" s="73"/>
      <c r="BC912" s="73"/>
      <c r="BD912" s="73"/>
      <c r="BE912" s="73"/>
      <c r="BF912" s="73"/>
      <c r="BG912" s="73"/>
      <c r="BH912" s="73"/>
      <c r="BI912" s="73"/>
      <c r="BJ912" s="73"/>
      <c r="BK912" s="73"/>
      <c r="BL912" s="73"/>
      <c r="BM912" s="73"/>
      <c r="BN912" s="73"/>
      <c r="BO912" s="73"/>
      <c r="BP912" s="73"/>
      <c r="BQ912" s="73"/>
      <c r="BR912" s="73"/>
      <c r="BS912" s="73"/>
      <c r="BT912" s="74"/>
      <c r="BU912" s="73"/>
      <c r="BV912" s="73"/>
      <c r="BW912" s="73"/>
      <c r="BX912" s="73"/>
      <c r="BY912" s="73"/>
      <c r="BZ912" s="73"/>
      <c r="CA912" s="73"/>
      <c r="CB912" s="73"/>
      <c r="CC912" s="73"/>
      <c r="CD912" s="73"/>
      <c r="CE912" s="73"/>
    </row>
    <row r="913">
      <c r="A913" s="73"/>
      <c r="B913" s="73"/>
      <c r="C913" s="73"/>
      <c r="D913" s="74"/>
      <c r="E913" s="73"/>
      <c r="F913" s="73"/>
      <c r="G913" s="73"/>
      <c r="H913" s="73"/>
      <c r="I913" s="73"/>
      <c r="J913" s="73"/>
      <c r="K913" s="92"/>
      <c r="L913" s="73"/>
      <c r="M913" s="73"/>
      <c r="N913" s="73"/>
      <c r="O913" s="73"/>
      <c r="P913" s="73"/>
      <c r="Q913" s="75"/>
      <c r="R913" s="82"/>
      <c r="S913" s="73"/>
      <c r="T913" s="73"/>
      <c r="U913" s="73"/>
      <c r="V913" s="73"/>
      <c r="W913" s="73"/>
      <c r="X913" s="73"/>
      <c r="Y913" s="77"/>
      <c r="Z913" s="104"/>
      <c r="AA913" s="73"/>
      <c r="AB913" s="104"/>
      <c r="AC913" s="104"/>
      <c r="AD913" s="74"/>
      <c r="AE913" s="106"/>
      <c r="AF913" s="195"/>
      <c r="AG913" s="80"/>
      <c r="AH913" s="104"/>
      <c r="AI913" s="73"/>
      <c r="AJ913" s="114"/>
      <c r="AK913" s="106"/>
      <c r="AL913" s="74"/>
      <c r="AM913" s="73"/>
      <c r="AN913" s="73"/>
      <c r="AO913" s="102"/>
      <c r="AP913" s="73"/>
      <c r="AQ913" s="73"/>
      <c r="AR913" s="74"/>
      <c r="AS913" s="73"/>
      <c r="AT913" s="73"/>
      <c r="AU913" s="73"/>
      <c r="AV913" s="73"/>
      <c r="AW913" s="73"/>
      <c r="AX913" s="74"/>
      <c r="AY913" s="73"/>
      <c r="AZ913" s="73"/>
      <c r="BA913" s="74"/>
      <c r="BB913" s="73"/>
      <c r="BC913" s="73"/>
      <c r="BD913" s="73"/>
      <c r="BE913" s="73"/>
      <c r="BF913" s="73"/>
      <c r="BG913" s="73"/>
      <c r="BH913" s="73"/>
      <c r="BI913" s="73"/>
      <c r="BJ913" s="73"/>
      <c r="BK913" s="73"/>
      <c r="BL913" s="73"/>
      <c r="BM913" s="73"/>
      <c r="BN913" s="73"/>
      <c r="BO913" s="73"/>
      <c r="BP913" s="73"/>
      <c r="BQ913" s="73"/>
      <c r="BR913" s="73"/>
      <c r="BS913" s="73"/>
      <c r="BT913" s="74"/>
      <c r="BU913" s="73"/>
      <c r="BV913" s="73"/>
      <c r="BW913" s="73"/>
      <c r="BX913" s="73"/>
      <c r="BY913" s="73"/>
      <c r="BZ913" s="73"/>
      <c r="CA913" s="73"/>
      <c r="CB913" s="73"/>
      <c r="CC913" s="73"/>
      <c r="CD913" s="73"/>
      <c r="CE913" s="73"/>
    </row>
    <row r="914">
      <c r="A914" s="73"/>
      <c r="B914" s="73"/>
      <c r="C914" s="73"/>
      <c r="D914" s="74"/>
      <c r="E914" s="73"/>
      <c r="F914" s="73"/>
      <c r="G914" s="73"/>
      <c r="H914" s="73"/>
      <c r="I914" s="73"/>
      <c r="J914" s="73"/>
      <c r="K914" s="92"/>
      <c r="L914" s="73"/>
      <c r="M914" s="73"/>
      <c r="N914" s="73"/>
      <c r="O914" s="73"/>
      <c r="P914" s="73"/>
      <c r="Q914" s="75"/>
      <c r="R914" s="82"/>
      <c r="S914" s="73"/>
      <c r="T914" s="73"/>
      <c r="U914" s="73"/>
      <c r="V914" s="73"/>
      <c r="W914" s="73"/>
      <c r="X914" s="73"/>
      <c r="Y914" s="77"/>
      <c r="Z914" s="104"/>
      <c r="AA914" s="73"/>
      <c r="AB914" s="104"/>
      <c r="AC914" s="104"/>
      <c r="AD914" s="74"/>
      <c r="AE914" s="106"/>
      <c r="AF914" s="195"/>
      <c r="AG914" s="80"/>
      <c r="AH914" s="104"/>
      <c r="AI914" s="73"/>
      <c r="AJ914" s="114"/>
      <c r="AK914" s="106"/>
      <c r="AL914" s="74"/>
      <c r="AM914" s="73"/>
      <c r="AN914" s="73"/>
      <c r="AO914" s="102"/>
      <c r="AP914" s="73"/>
      <c r="AQ914" s="73"/>
      <c r="AR914" s="74"/>
      <c r="AS914" s="73"/>
      <c r="AT914" s="73"/>
      <c r="AU914" s="73"/>
      <c r="AV914" s="73"/>
      <c r="AW914" s="73"/>
      <c r="AX914" s="74"/>
      <c r="AY914" s="73"/>
      <c r="AZ914" s="73"/>
      <c r="BA914" s="74"/>
      <c r="BB914" s="73"/>
      <c r="BC914" s="73"/>
      <c r="BD914" s="73"/>
      <c r="BE914" s="73"/>
      <c r="BF914" s="73"/>
      <c r="BG914" s="73"/>
      <c r="BH914" s="73"/>
      <c r="BI914" s="73"/>
      <c r="BJ914" s="73"/>
      <c r="BK914" s="73"/>
      <c r="BL914" s="73"/>
      <c r="BM914" s="73"/>
      <c r="BN914" s="73"/>
      <c r="BO914" s="73"/>
      <c r="BP914" s="73"/>
      <c r="BQ914" s="73"/>
      <c r="BR914" s="73"/>
      <c r="BS914" s="73"/>
      <c r="BT914" s="74"/>
      <c r="BU914" s="73"/>
      <c r="BV914" s="73"/>
      <c r="BW914" s="73"/>
      <c r="BX914" s="73"/>
      <c r="BY914" s="73"/>
      <c r="BZ914" s="73"/>
      <c r="CA914" s="73"/>
      <c r="CB914" s="73"/>
      <c r="CC914" s="73"/>
      <c r="CD914" s="73"/>
      <c r="CE914" s="73"/>
    </row>
    <row r="915">
      <c r="A915" s="73"/>
      <c r="B915" s="73"/>
      <c r="C915" s="73"/>
      <c r="D915" s="74"/>
      <c r="E915" s="73"/>
      <c r="F915" s="73"/>
      <c r="G915" s="73"/>
      <c r="H915" s="73"/>
      <c r="I915" s="73"/>
      <c r="J915" s="73"/>
      <c r="K915" s="92"/>
      <c r="L915" s="73"/>
      <c r="M915" s="73"/>
      <c r="N915" s="73"/>
      <c r="O915" s="73"/>
      <c r="P915" s="73"/>
      <c r="Q915" s="75"/>
      <c r="R915" s="82"/>
      <c r="S915" s="73"/>
      <c r="T915" s="73"/>
      <c r="U915" s="73"/>
      <c r="V915" s="73"/>
      <c r="W915" s="73"/>
      <c r="X915" s="73"/>
      <c r="Y915" s="77"/>
      <c r="Z915" s="104"/>
      <c r="AA915" s="73"/>
      <c r="AB915" s="104"/>
      <c r="AC915" s="104"/>
      <c r="AD915" s="74"/>
      <c r="AE915" s="106"/>
      <c r="AF915" s="195"/>
      <c r="AG915" s="80"/>
      <c r="AH915" s="104"/>
      <c r="AI915" s="73"/>
      <c r="AJ915" s="114"/>
      <c r="AK915" s="106"/>
      <c r="AL915" s="74"/>
      <c r="AM915" s="73"/>
      <c r="AN915" s="73"/>
      <c r="AO915" s="102"/>
      <c r="AP915" s="73"/>
      <c r="AQ915" s="73"/>
      <c r="AR915" s="74"/>
      <c r="AS915" s="73"/>
      <c r="AT915" s="73"/>
      <c r="AU915" s="73"/>
      <c r="AV915" s="73"/>
      <c r="AW915" s="73"/>
      <c r="AX915" s="74"/>
      <c r="AY915" s="73"/>
      <c r="AZ915" s="73"/>
      <c r="BA915" s="74"/>
      <c r="BB915" s="73"/>
      <c r="BC915" s="73"/>
      <c r="BD915" s="73"/>
      <c r="BE915" s="73"/>
      <c r="BF915" s="73"/>
      <c r="BG915" s="73"/>
      <c r="BH915" s="73"/>
      <c r="BI915" s="73"/>
      <c r="BJ915" s="73"/>
      <c r="BK915" s="73"/>
      <c r="BL915" s="73"/>
      <c r="BM915" s="73"/>
      <c r="BN915" s="73"/>
      <c r="BO915" s="73"/>
      <c r="BP915" s="73"/>
      <c r="BQ915" s="73"/>
      <c r="BR915" s="73"/>
      <c r="BS915" s="73"/>
      <c r="BT915" s="74"/>
      <c r="BU915" s="73"/>
      <c r="BV915" s="73"/>
      <c r="BW915" s="73"/>
      <c r="BX915" s="73"/>
      <c r="BY915" s="73"/>
      <c r="BZ915" s="73"/>
      <c r="CA915" s="73"/>
      <c r="CB915" s="73"/>
      <c r="CC915" s="73"/>
      <c r="CD915" s="73"/>
      <c r="CE915" s="73"/>
    </row>
    <row r="916">
      <c r="A916" s="73"/>
      <c r="B916" s="73"/>
      <c r="C916" s="73"/>
      <c r="D916" s="74"/>
      <c r="E916" s="73"/>
      <c r="F916" s="73"/>
      <c r="G916" s="73"/>
      <c r="H916" s="73"/>
      <c r="I916" s="73"/>
      <c r="J916" s="73"/>
      <c r="K916" s="92"/>
      <c r="L916" s="73"/>
      <c r="M916" s="73"/>
      <c r="N916" s="73"/>
      <c r="O916" s="73"/>
      <c r="P916" s="73"/>
      <c r="Q916" s="75"/>
      <c r="R916" s="82"/>
      <c r="S916" s="73"/>
      <c r="T916" s="73"/>
      <c r="U916" s="73"/>
      <c r="V916" s="73"/>
      <c r="W916" s="73"/>
      <c r="X916" s="73"/>
      <c r="Y916" s="77"/>
      <c r="Z916" s="104"/>
      <c r="AA916" s="73"/>
      <c r="AB916" s="104"/>
      <c r="AC916" s="104"/>
      <c r="AD916" s="74"/>
      <c r="AE916" s="106"/>
      <c r="AF916" s="195"/>
      <c r="AG916" s="80"/>
      <c r="AH916" s="104"/>
      <c r="AI916" s="73"/>
      <c r="AJ916" s="114"/>
      <c r="AK916" s="106"/>
      <c r="AL916" s="74"/>
      <c r="AM916" s="73"/>
      <c r="AN916" s="73"/>
      <c r="AO916" s="102"/>
      <c r="AP916" s="73"/>
      <c r="AQ916" s="73"/>
      <c r="AR916" s="74"/>
      <c r="AS916" s="73"/>
      <c r="AT916" s="73"/>
      <c r="AU916" s="73"/>
      <c r="AV916" s="73"/>
      <c r="AW916" s="73"/>
      <c r="AX916" s="74"/>
      <c r="AY916" s="73"/>
      <c r="AZ916" s="73"/>
      <c r="BA916" s="74"/>
      <c r="BB916" s="73"/>
      <c r="BC916" s="73"/>
      <c r="BD916" s="73"/>
      <c r="BE916" s="73"/>
      <c r="BF916" s="73"/>
      <c r="BG916" s="73"/>
      <c r="BH916" s="73"/>
      <c r="BI916" s="73"/>
      <c r="BJ916" s="73"/>
      <c r="BK916" s="73"/>
      <c r="BL916" s="73"/>
      <c r="BM916" s="73"/>
      <c r="BN916" s="73"/>
      <c r="BO916" s="73"/>
      <c r="BP916" s="73"/>
      <c r="BQ916" s="73"/>
      <c r="BR916" s="73"/>
      <c r="BS916" s="73"/>
      <c r="BT916" s="74"/>
      <c r="BU916" s="73"/>
      <c r="BV916" s="73"/>
      <c r="BW916" s="73"/>
      <c r="BX916" s="73"/>
      <c r="BY916" s="73"/>
      <c r="BZ916" s="73"/>
      <c r="CA916" s="73"/>
      <c r="CB916" s="73"/>
      <c r="CC916" s="73"/>
      <c r="CD916" s="73"/>
      <c r="CE916" s="73"/>
    </row>
    <row r="917">
      <c r="A917" s="73"/>
      <c r="B917" s="73"/>
      <c r="C917" s="73"/>
      <c r="D917" s="74"/>
      <c r="E917" s="73"/>
      <c r="F917" s="73"/>
      <c r="G917" s="73"/>
      <c r="H917" s="73"/>
      <c r="I917" s="73"/>
      <c r="J917" s="73"/>
      <c r="K917" s="92"/>
      <c r="L917" s="73"/>
      <c r="M917" s="73"/>
      <c r="N917" s="73"/>
      <c r="O917" s="73"/>
      <c r="P917" s="73"/>
      <c r="Q917" s="75"/>
      <c r="R917" s="82"/>
      <c r="S917" s="73"/>
      <c r="T917" s="73"/>
      <c r="U917" s="73"/>
      <c r="V917" s="73"/>
      <c r="W917" s="73"/>
      <c r="X917" s="73"/>
      <c r="Y917" s="77"/>
      <c r="Z917" s="104"/>
      <c r="AA917" s="73"/>
      <c r="AB917" s="104"/>
      <c r="AC917" s="104"/>
      <c r="AD917" s="74"/>
      <c r="AE917" s="106"/>
      <c r="AF917" s="195"/>
      <c r="AG917" s="80"/>
      <c r="AH917" s="104"/>
      <c r="AI917" s="73"/>
      <c r="AJ917" s="114"/>
      <c r="AK917" s="106"/>
      <c r="AL917" s="74"/>
      <c r="AM917" s="73"/>
      <c r="AN917" s="73"/>
      <c r="AO917" s="102"/>
      <c r="AP917" s="73"/>
      <c r="AQ917" s="73"/>
      <c r="AR917" s="74"/>
      <c r="AS917" s="73"/>
      <c r="AT917" s="73"/>
      <c r="AU917" s="73"/>
      <c r="AV917" s="73"/>
      <c r="AW917" s="73"/>
      <c r="AX917" s="74"/>
      <c r="AY917" s="73"/>
      <c r="AZ917" s="73"/>
      <c r="BA917" s="74"/>
      <c r="BB917" s="73"/>
      <c r="BC917" s="73"/>
      <c r="BD917" s="73"/>
      <c r="BE917" s="73"/>
      <c r="BF917" s="73"/>
      <c r="BG917" s="73"/>
      <c r="BH917" s="73"/>
      <c r="BI917" s="73"/>
      <c r="BJ917" s="73"/>
      <c r="BK917" s="73"/>
      <c r="BL917" s="73"/>
      <c r="BM917" s="73"/>
      <c r="BN917" s="73"/>
      <c r="BO917" s="73"/>
      <c r="BP917" s="73"/>
      <c r="BQ917" s="73"/>
      <c r="BR917" s="73"/>
      <c r="BS917" s="73"/>
      <c r="BT917" s="74"/>
      <c r="BU917" s="73"/>
      <c r="BV917" s="73"/>
      <c r="BW917" s="73"/>
      <c r="BX917" s="73"/>
      <c r="BY917" s="73"/>
      <c r="BZ917" s="73"/>
      <c r="CA917" s="73"/>
      <c r="CB917" s="73"/>
      <c r="CC917" s="73"/>
      <c r="CD917" s="73"/>
      <c r="CE917" s="73"/>
    </row>
    <row r="918">
      <c r="A918" s="73"/>
      <c r="B918" s="73"/>
      <c r="C918" s="73"/>
      <c r="D918" s="74"/>
      <c r="E918" s="73"/>
      <c r="F918" s="73"/>
      <c r="G918" s="73"/>
      <c r="H918" s="73"/>
      <c r="I918" s="73"/>
      <c r="J918" s="73"/>
      <c r="K918" s="92"/>
      <c r="L918" s="73"/>
      <c r="M918" s="73"/>
      <c r="N918" s="73"/>
      <c r="O918" s="73"/>
      <c r="P918" s="73"/>
      <c r="Q918" s="75"/>
      <c r="R918" s="82"/>
      <c r="S918" s="73"/>
      <c r="T918" s="73"/>
      <c r="U918" s="73"/>
      <c r="V918" s="73"/>
      <c r="W918" s="73"/>
      <c r="X918" s="73"/>
      <c r="Y918" s="77"/>
      <c r="Z918" s="104"/>
      <c r="AA918" s="73"/>
      <c r="AB918" s="104"/>
      <c r="AC918" s="104"/>
      <c r="AD918" s="74"/>
      <c r="AE918" s="106"/>
      <c r="AF918" s="195"/>
      <c r="AG918" s="80"/>
      <c r="AH918" s="104"/>
      <c r="AI918" s="73"/>
      <c r="AJ918" s="114"/>
      <c r="AK918" s="106"/>
      <c r="AL918" s="74"/>
      <c r="AM918" s="73"/>
      <c r="AN918" s="73"/>
      <c r="AO918" s="102"/>
      <c r="AP918" s="73"/>
      <c r="AQ918" s="73"/>
      <c r="AR918" s="74"/>
      <c r="AS918" s="73"/>
      <c r="AT918" s="73"/>
      <c r="AU918" s="73"/>
      <c r="AV918" s="73"/>
      <c r="AW918" s="73"/>
      <c r="AX918" s="74"/>
      <c r="AY918" s="73"/>
      <c r="AZ918" s="73"/>
      <c r="BA918" s="74"/>
      <c r="BB918" s="73"/>
      <c r="BC918" s="73"/>
      <c r="BD918" s="73"/>
      <c r="BE918" s="73"/>
      <c r="BF918" s="73"/>
      <c r="BG918" s="73"/>
      <c r="BH918" s="73"/>
      <c r="BI918" s="73"/>
      <c r="BJ918" s="73"/>
      <c r="BK918" s="73"/>
      <c r="BL918" s="73"/>
      <c r="BM918" s="73"/>
      <c r="BN918" s="73"/>
      <c r="BO918" s="73"/>
      <c r="BP918" s="73"/>
      <c r="BQ918" s="73"/>
      <c r="BR918" s="73"/>
      <c r="BS918" s="73"/>
      <c r="BT918" s="74"/>
      <c r="BU918" s="73"/>
      <c r="BV918" s="73"/>
      <c r="BW918" s="73"/>
      <c r="BX918" s="73"/>
      <c r="BY918" s="73"/>
      <c r="BZ918" s="73"/>
      <c r="CA918" s="73"/>
      <c r="CB918" s="73"/>
      <c r="CC918" s="73"/>
      <c r="CD918" s="73"/>
      <c r="CE918" s="73"/>
    </row>
    <row r="919">
      <c r="A919" s="73"/>
      <c r="B919" s="73"/>
      <c r="C919" s="73"/>
      <c r="D919" s="74"/>
      <c r="E919" s="73"/>
      <c r="F919" s="73"/>
      <c r="G919" s="73"/>
      <c r="H919" s="73"/>
      <c r="I919" s="73"/>
      <c r="J919" s="73"/>
      <c r="K919" s="92"/>
      <c r="L919" s="73"/>
      <c r="M919" s="73"/>
      <c r="N919" s="73"/>
      <c r="O919" s="73"/>
      <c r="P919" s="73"/>
      <c r="Q919" s="75"/>
      <c r="R919" s="82"/>
      <c r="S919" s="73"/>
      <c r="T919" s="73"/>
      <c r="U919" s="73"/>
      <c r="V919" s="73"/>
      <c r="W919" s="73"/>
      <c r="X919" s="73"/>
      <c r="Y919" s="77"/>
      <c r="Z919" s="104"/>
      <c r="AA919" s="73"/>
      <c r="AB919" s="104"/>
      <c r="AC919" s="104"/>
      <c r="AD919" s="74"/>
      <c r="AE919" s="106"/>
      <c r="AF919" s="195"/>
      <c r="AG919" s="80"/>
      <c r="AH919" s="104"/>
      <c r="AI919" s="73"/>
      <c r="AJ919" s="114"/>
      <c r="AK919" s="106"/>
      <c r="AL919" s="74"/>
      <c r="AM919" s="73"/>
      <c r="AN919" s="73"/>
      <c r="AO919" s="102"/>
      <c r="AP919" s="73"/>
      <c r="AQ919" s="73"/>
      <c r="AR919" s="74"/>
      <c r="AS919" s="73"/>
      <c r="AT919" s="73"/>
      <c r="AU919" s="73"/>
      <c r="AV919" s="73"/>
      <c r="AW919" s="73"/>
      <c r="AX919" s="74"/>
      <c r="AY919" s="73"/>
      <c r="AZ919" s="73"/>
      <c r="BA919" s="74"/>
      <c r="BB919" s="73"/>
      <c r="BC919" s="73"/>
      <c r="BD919" s="73"/>
      <c r="BE919" s="73"/>
      <c r="BF919" s="73"/>
      <c r="BG919" s="73"/>
      <c r="BH919" s="73"/>
      <c r="BI919" s="73"/>
      <c r="BJ919" s="73"/>
      <c r="BK919" s="73"/>
      <c r="BL919" s="73"/>
      <c r="BM919" s="73"/>
      <c r="BN919" s="73"/>
      <c r="BO919" s="73"/>
      <c r="BP919" s="73"/>
      <c r="BQ919" s="73"/>
      <c r="BR919" s="73"/>
      <c r="BS919" s="73"/>
      <c r="BT919" s="74"/>
      <c r="BU919" s="73"/>
      <c r="BV919" s="73"/>
      <c r="BW919" s="73"/>
      <c r="BX919" s="73"/>
      <c r="BY919" s="73"/>
      <c r="BZ919" s="73"/>
      <c r="CA919" s="73"/>
      <c r="CB919" s="73"/>
      <c r="CC919" s="73"/>
      <c r="CD919" s="73"/>
      <c r="CE919" s="73"/>
    </row>
    <row r="920">
      <c r="A920" s="73"/>
      <c r="B920" s="73"/>
      <c r="C920" s="73"/>
      <c r="D920" s="74"/>
      <c r="E920" s="73"/>
      <c r="F920" s="73"/>
      <c r="G920" s="73"/>
      <c r="H920" s="73"/>
      <c r="I920" s="73"/>
      <c r="J920" s="73"/>
      <c r="K920" s="92"/>
      <c r="L920" s="73"/>
      <c r="M920" s="73"/>
      <c r="N920" s="73"/>
      <c r="O920" s="73"/>
      <c r="P920" s="73"/>
      <c r="Q920" s="75"/>
      <c r="R920" s="82"/>
      <c r="S920" s="73"/>
      <c r="T920" s="73"/>
      <c r="U920" s="73"/>
      <c r="V920" s="73"/>
      <c r="W920" s="73"/>
      <c r="X920" s="73"/>
      <c r="Y920" s="77"/>
      <c r="Z920" s="104"/>
      <c r="AA920" s="73"/>
      <c r="AB920" s="104"/>
      <c r="AC920" s="104"/>
      <c r="AD920" s="74"/>
      <c r="AE920" s="106"/>
      <c r="AF920" s="195"/>
      <c r="AG920" s="80"/>
      <c r="AH920" s="104"/>
      <c r="AI920" s="73"/>
      <c r="AJ920" s="114"/>
      <c r="AK920" s="106"/>
      <c r="AL920" s="74"/>
      <c r="AM920" s="73"/>
      <c r="AN920" s="73"/>
      <c r="AO920" s="102"/>
      <c r="AP920" s="73"/>
      <c r="AQ920" s="73"/>
      <c r="AR920" s="74"/>
      <c r="AS920" s="73"/>
      <c r="AT920" s="73"/>
      <c r="AU920" s="73"/>
      <c r="AV920" s="73"/>
      <c r="AW920" s="73"/>
      <c r="AX920" s="74"/>
      <c r="AY920" s="73"/>
      <c r="AZ920" s="73"/>
      <c r="BA920" s="74"/>
      <c r="BB920" s="73"/>
      <c r="BC920" s="73"/>
      <c r="BD920" s="73"/>
      <c r="BE920" s="73"/>
      <c r="BF920" s="73"/>
      <c r="BG920" s="73"/>
      <c r="BH920" s="73"/>
      <c r="BI920" s="73"/>
      <c r="BJ920" s="73"/>
      <c r="BK920" s="73"/>
      <c r="BL920" s="73"/>
      <c r="BM920" s="73"/>
      <c r="BN920" s="73"/>
      <c r="BO920" s="73"/>
      <c r="BP920" s="73"/>
      <c r="BQ920" s="73"/>
      <c r="BR920" s="73"/>
      <c r="BS920" s="73"/>
      <c r="BT920" s="74"/>
      <c r="BU920" s="73"/>
      <c r="BV920" s="73"/>
      <c r="BW920" s="73"/>
      <c r="BX920" s="73"/>
      <c r="BY920" s="73"/>
      <c r="BZ920" s="73"/>
      <c r="CA920" s="73"/>
      <c r="CB920" s="73"/>
      <c r="CC920" s="73"/>
      <c r="CD920" s="73"/>
      <c r="CE920" s="73"/>
    </row>
    <row r="921">
      <c r="A921" s="73"/>
      <c r="B921" s="73"/>
      <c r="C921" s="73"/>
      <c r="D921" s="74"/>
      <c r="E921" s="73"/>
      <c r="F921" s="73"/>
      <c r="G921" s="73"/>
      <c r="H921" s="73"/>
      <c r="I921" s="73"/>
      <c r="J921" s="73"/>
      <c r="K921" s="92"/>
      <c r="L921" s="73"/>
      <c r="M921" s="73"/>
      <c r="N921" s="73"/>
      <c r="O921" s="73"/>
      <c r="P921" s="73"/>
      <c r="Q921" s="75"/>
      <c r="R921" s="82"/>
      <c r="S921" s="73"/>
      <c r="T921" s="73"/>
      <c r="U921" s="73"/>
      <c r="V921" s="73"/>
      <c r="W921" s="73"/>
      <c r="X921" s="73"/>
      <c r="Y921" s="77"/>
      <c r="Z921" s="104"/>
      <c r="AA921" s="73"/>
      <c r="AB921" s="104"/>
      <c r="AC921" s="104"/>
      <c r="AD921" s="74"/>
      <c r="AE921" s="106"/>
      <c r="AF921" s="195"/>
      <c r="AG921" s="80"/>
      <c r="AH921" s="104"/>
      <c r="AI921" s="73"/>
      <c r="AJ921" s="114"/>
      <c r="AK921" s="106"/>
      <c r="AL921" s="74"/>
      <c r="AM921" s="73"/>
      <c r="AN921" s="73"/>
      <c r="AO921" s="102"/>
      <c r="AP921" s="73"/>
      <c r="AQ921" s="73"/>
      <c r="AR921" s="74"/>
      <c r="AS921" s="73"/>
      <c r="AT921" s="73"/>
      <c r="AU921" s="73"/>
      <c r="AV921" s="73"/>
      <c r="AW921" s="73"/>
      <c r="AX921" s="74"/>
      <c r="AY921" s="73"/>
      <c r="AZ921" s="73"/>
      <c r="BA921" s="74"/>
      <c r="BB921" s="73"/>
      <c r="BC921" s="73"/>
      <c r="BD921" s="73"/>
      <c r="BE921" s="73"/>
      <c r="BF921" s="73"/>
      <c r="BG921" s="73"/>
      <c r="BH921" s="73"/>
      <c r="BI921" s="73"/>
      <c r="BJ921" s="73"/>
      <c r="BK921" s="73"/>
      <c r="BL921" s="73"/>
      <c r="BM921" s="73"/>
      <c r="BN921" s="73"/>
      <c r="BO921" s="73"/>
      <c r="BP921" s="73"/>
      <c r="BQ921" s="73"/>
      <c r="BR921" s="73"/>
      <c r="BS921" s="73"/>
      <c r="BT921" s="74"/>
      <c r="BU921" s="73"/>
      <c r="BV921" s="73"/>
      <c r="BW921" s="73"/>
      <c r="BX921" s="73"/>
      <c r="BY921" s="73"/>
      <c r="BZ921" s="73"/>
      <c r="CA921" s="73"/>
      <c r="CB921" s="73"/>
      <c r="CC921" s="73"/>
      <c r="CD921" s="73"/>
      <c r="CE921" s="73"/>
    </row>
    <row r="922">
      <c r="A922" s="73"/>
      <c r="B922" s="73"/>
      <c r="C922" s="73"/>
      <c r="D922" s="74"/>
      <c r="E922" s="73"/>
      <c r="F922" s="73"/>
      <c r="G922" s="73"/>
      <c r="H922" s="73"/>
      <c r="I922" s="73"/>
      <c r="J922" s="73"/>
      <c r="K922" s="92"/>
      <c r="L922" s="73"/>
      <c r="M922" s="73"/>
      <c r="N922" s="73"/>
      <c r="O922" s="73"/>
      <c r="P922" s="73"/>
      <c r="Q922" s="75"/>
      <c r="R922" s="82"/>
      <c r="S922" s="73"/>
      <c r="T922" s="73"/>
      <c r="U922" s="73"/>
      <c r="V922" s="73"/>
      <c r="W922" s="73"/>
      <c r="X922" s="73"/>
      <c r="Y922" s="77"/>
      <c r="Z922" s="104"/>
      <c r="AA922" s="73"/>
      <c r="AB922" s="104"/>
      <c r="AC922" s="104"/>
      <c r="AD922" s="74"/>
      <c r="AE922" s="106"/>
      <c r="AF922" s="195"/>
      <c r="AG922" s="80"/>
      <c r="AH922" s="104"/>
      <c r="AI922" s="73"/>
      <c r="AJ922" s="114"/>
      <c r="AK922" s="106"/>
      <c r="AL922" s="74"/>
      <c r="AM922" s="73"/>
      <c r="AN922" s="73"/>
      <c r="AO922" s="102"/>
      <c r="AP922" s="73"/>
      <c r="AQ922" s="73"/>
      <c r="AR922" s="74"/>
      <c r="AS922" s="73"/>
      <c r="AT922" s="73"/>
      <c r="AU922" s="73"/>
      <c r="AV922" s="73"/>
      <c r="AW922" s="73"/>
      <c r="AX922" s="74"/>
      <c r="AY922" s="73"/>
      <c r="AZ922" s="73"/>
      <c r="BA922" s="74"/>
      <c r="BB922" s="73"/>
      <c r="BC922" s="73"/>
      <c r="BD922" s="73"/>
      <c r="BE922" s="73"/>
      <c r="BF922" s="73"/>
      <c r="BG922" s="73"/>
      <c r="BH922" s="73"/>
      <c r="BI922" s="73"/>
      <c r="BJ922" s="73"/>
      <c r="BK922" s="73"/>
      <c r="BL922" s="73"/>
      <c r="BM922" s="73"/>
      <c r="BN922" s="73"/>
      <c r="BO922" s="73"/>
      <c r="BP922" s="73"/>
      <c r="BQ922" s="73"/>
      <c r="BR922" s="73"/>
      <c r="BS922" s="73"/>
      <c r="BT922" s="74"/>
      <c r="BU922" s="73"/>
      <c r="BV922" s="73"/>
      <c r="BW922" s="73"/>
      <c r="BX922" s="73"/>
      <c r="BY922" s="73"/>
      <c r="BZ922" s="73"/>
      <c r="CA922" s="73"/>
      <c r="CB922" s="73"/>
      <c r="CC922" s="73"/>
      <c r="CD922" s="73"/>
      <c r="CE922" s="73"/>
    </row>
    <row r="923">
      <c r="A923" s="73"/>
      <c r="B923" s="73"/>
      <c r="C923" s="73"/>
      <c r="D923" s="74"/>
      <c r="E923" s="73"/>
      <c r="F923" s="73"/>
      <c r="G923" s="73"/>
      <c r="H923" s="73"/>
      <c r="I923" s="73"/>
      <c r="J923" s="73"/>
      <c r="K923" s="92"/>
      <c r="L923" s="73"/>
      <c r="M923" s="73"/>
      <c r="N923" s="73"/>
      <c r="O923" s="73"/>
      <c r="P923" s="73"/>
      <c r="Q923" s="75"/>
      <c r="R923" s="82"/>
      <c r="S923" s="73"/>
      <c r="T923" s="73"/>
      <c r="U923" s="73"/>
      <c r="V923" s="73"/>
      <c r="W923" s="73"/>
      <c r="X923" s="73"/>
      <c r="Y923" s="77"/>
      <c r="Z923" s="104"/>
      <c r="AA923" s="73"/>
      <c r="AB923" s="104"/>
      <c r="AC923" s="104"/>
      <c r="AD923" s="74"/>
      <c r="AE923" s="106"/>
      <c r="AF923" s="195"/>
      <c r="AG923" s="80"/>
      <c r="AH923" s="104"/>
      <c r="AI923" s="73"/>
      <c r="AJ923" s="114"/>
      <c r="AK923" s="106"/>
      <c r="AL923" s="74"/>
      <c r="AM923" s="73"/>
      <c r="AN923" s="73"/>
      <c r="AO923" s="102"/>
      <c r="AP923" s="73"/>
      <c r="AQ923" s="73"/>
      <c r="AR923" s="74"/>
      <c r="AS923" s="73"/>
      <c r="AT923" s="73"/>
      <c r="AU923" s="73"/>
      <c r="AV923" s="73"/>
      <c r="AW923" s="73"/>
      <c r="AX923" s="74"/>
      <c r="AY923" s="73"/>
      <c r="AZ923" s="73"/>
      <c r="BA923" s="74"/>
      <c r="BB923" s="73"/>
      <c r="BC923" s="73"/>
      <c r="BD923" s="73"/>
      <c r="BE923" s="73"/>
      <c r="BF923" s="73"/>
      <c r="BG923" s="73"/>
      <c r="BH923" s="73"/>
      <c r="BI923" s="73"/>
      <c r="BJ923" s="73"/>
      <c r="BK923" s="73"/>
      <c r="BL923" s="73"/>
      <c r="BM923" s="73"/>
      <c r="BN923" s="73"/>
      <c r="BO923" s="73"/>
      <c r="BP923" s="73"/>
      <c r="BQ923" s="73"/>
      <c r="BR923" s="73"/>
      <c r="BS923" s="73"/>
      <c r="BT923" s="74"/>
      <c r="BU923" s="73"/>
      <c r="BV923" s="73"/>
      <c r="BW923" s="73"/>
      <c r="BX923" s="73"/>
      <c r="BY923" s="73"/>
      <c r="BZ923" s="73"/>
      <c r="CA923" s="73"/>
      <c r="CB923" s="73"/>
      <c r="CC923" s="73"/>
      <c r="CD923" s="73"/>
      <c r="CE923" s="73"/>
    </row>
    <row r="924">
      <c r="A924" s="73"/>
      <c r="B924" s="73"/>
      <c r="C924" s="73"/>
      <c r="D924" s="74"/>
      <c r="E924" s="73"/>
      <c r="F924" s="73"/>
      <c r="G924" s="73"/>
      <c r="H924" s="73"/>
      <c r="I924" s="73"/>
      <c r="J924" s="73"/>
      <c r="K924" s="92"/>
      <c r="L924" s="73"/>
      <c r="M924" s="73"/>
      <c r="N924" s="73"/>
      <c r="O924" s="73"/>
      <c r="P924" s="73"/>
      <c r="Q924" s="75"/>
      <c r="R924" s="82"/>
      <c r="S924" s="73"/>
      <c r="T924" s="73"/>
      <c r="U924" s="73"/>
      <c r="V924" s="73"/>
      <c r="W924" s="73"/>
      <c r="X924" s="73"/>
      <c r="Y924" s="77"/>
      <c r="Z924" s="104"/>
      <c r="AA924" s="73"/>
      <c r="AB924" s="104"/>
      <c r="AC924" s="104"/>
      <c r="AD924" s="74"/>
      <c r="AE924" s="106"/>
      <c r="AF924" s="195"/>
      <c r="AG924" s="80"/>
      <c r="AH924" s="104"/>
      <c r="AI924" s="73"/>
      <c r="AJ924" s="114"/>
      <c r="AK924" s="106"/>
      <c r="AL924" s="74"/>
      <c r="AM924" s="73"/>
      <c r="AN924" s="73"/>
      <c r="AO924" s="102"/>
      <c r="AP924" s="73"/>
      <c r="AQ924" s="73"/>
      <c r="AR924" s="74"/>
      <c r="AS924" s="73"/>
      <c r="AT924" s="73"/>
      <c r="AU924" s="73"/>
      <c r="AV924" s="73"/>
      <c r="AW924" s="73"/>
      <c r="AX924" s="74"/>
      <c r="AY924" s="73"/>
      <c r="AZ924" s="73"/>
      <c r="BA924" s="74"/>
      <c r="BB924" s="73"/>
      <c r="BC924" s="73"/>
      <c r="BD924" s="73"/>
      <c r="BE924" s="73"/>
      <c r="BF924" s="73"/>
      <c r="BG924" s="73"/>
      <c r="BH924" s="73"/>
      <c r="BI924" s="73"/>
      <c r="BJ924" s="73"/>
      <c r="BK924" s="73"/>
      <c r="BL924" s="73"/>
      <c r="BM924" s="73"/>
      <c r="BN924" s="73"/>
      <c r="BO924" s="73"/>
      <c r="BP924" s="73"/>
      <c r="BQ924" s="73"/>
      <c r="BR924" s="73"/>
      <c r="BS924" s="73"/>
      <c r="BT924" s="74"/>
      <c r="BU924" s="73"/>
      <c r="BV924" s="73"/>
      <c r="BW924" s="73"/>
      <c r="BX924" s="73"/>
      <c r="BY924" s="73"/>
      <c r="BZ924" s="73"/>
      <c r="CA924" s="73"/>
      <c r="CB924" s="73"/>
      <c r="CC924" s="73"/>
      <c r="CD924" s="73"/>
      <c r="CE924" s="73"/>
    </row>
    <row r="925">
      <c r="A925" s="73"/>
      <c r="B925" s="73"/>
      <c r="C925" s="73"/>
      <c r="D925" s="74"/>
      <c r="E925" s="73"/>
      <c r="F925" s="73"/>
      <c r="G925" s="73"/>
      <c r="H925" s="73"/>
      <c r="I925" s="73"/>
      <c r="J925" s="73"/>
      <c r="K925" s="92"/>
      <c r="L925" s="73"/>
      <c r="M925" s="73"/>
      <c r="N925" s="73"/>
      <c r="O925" s="73"/>
      <c r="P925" s="73"/>
      <c r="Q925" s="75"/>
      <c r="R925" s="82"/>
      <c r="S925" s="73"/>
      <c r="T925" s="73"/>
      <c r="U925" s="73"/>
      <c r="V925" s="73"/>
      <c r="W925" s="73"/>
      <c r="X925" s="73"/>
      <c r="Y925" s="77"/>
      <c r="Z925" s="104"/>
      <c r="AA925" s="73"/>
      <c r="AB925" s="104"/>
      <c r="AC925" s="104"/>
      <c r="AD925" s="74"/>
      <c r="AE925" s="106"/>
      <c r="AF925" s="195"/>
      <c r="AG925" s="80"/>
      <c r="AH925" s="104"/>
      <c r="AI925" s="73"/>
      <c r="AJ925" s="114"/>
      <c r="AK925" s="106"/>
      <c r="AL925" s="74"/>
      <c r="AM925" s="73"/>
      <c r="AN925" s="73"/>
      <c r="AO925" s="102"/>
      <c r="AP925" s="73"/>
      <c r="AQ925" s="73"/>
      <c r="AR925" s="74"/>
      <c r="AS925" s="73"/>
      <c r="AT925" s="73"/>
      <c r="AU925" s="73"/>
      <c r="AV925" s="73"/>
      <c r="AW925" s="73"/>
      <c r="AX925" s="74"/>
      <c r="AY925" s="73"/>
      <c r="AZ925" s="73"/>
      <c r="BA925" s="74"/>
      <c r="BB925" s="73"/>
      <c r="BC925" s="73"/>
      <c r="BD925" s="73"/>
      <c r="BE925" s="73"/>
      <c r="BF925" s="73"/>
      <c r="BG925" s="73"/>
      <c r="BH925" s="73"/>
      <c r="BI925" s="73"/>
      <c r="BJ925" s="73"/>
      <c r="BK925" s="73"/>
      <c r="BL925" s="73"/>
      <c r="BM925" s="73"/>
      <c r="BN925" s="73"/>
      <c r="BO925" s="73"/>
      <c r="BP925" s="73"/>
      <c r="BQ925" s="73"/>
      <c r="BR925" s="73"/>
      <c r="BS925" s="73"/>
      <c r="BT925" s="74"/>
      <c r="BU925" s="73"/>
      <c r="BV925" s="73"/>
      <c r="BW925" s="73"/>
      <c r="BX925" s="73"/>
      <c r="BY925" s="73"/>
      <c r="BZ925" s="73"/>
      <c r="CA925" s="73"/>
      <c r="CB925" s="73"/>
      <c r="CC925" s="73"/>
      <c r="CD925" s="73"/>
      <c r="CE925" s="73"/>
    </row>
    <row r="926">
      <c r="A926" s="73"/>
      <c r="B926" s="73"/>
      <c r="C926" s="73"/>
      <c r="D926" s="74"/>
      <c r="E926" s="73"/>
      <c r="F926" s="73"/>
      <c r="G926" s="73"/>
      <c r="H926" s="73"/>
      <c r="I926" s="73"/>
      <c r="J926" s="73"/>
      <c r="K926" s="92"/>
      <c r="L926" s="73"/>
      <c r="M926" s="73"/>
      <c r="N926" s="73"/>
      <c r="O926" s="73"/>
      <c r="P926" s="73"/>
      <c r="Q926" s="75"/>
      <c r="R926" s="82"/>
      <c r="S926" s="73"/>
      <c r="T926" s="73"/>
      <c r="U926" s="73"/>
      <c r="V926" s="73"/>
      <c r="W926" s="73"/>
      <c r="X926" s="73"/>
      <c r="Y926" s="77"/>
      <c r="Z926" s="104"/>
      <c r="AA926" s="73"/>
      <c r="AB926" s="104"/>
      <c r="AC926" s="104"/>
      <c r="AD926" s="74"/>
      <c r="AE926" s="106"/>
      <c r="AF926" s="195"/>
      <c r="AG926" s="80"/>
      <c r="AH926" s="104"/>
      <c r="AI926" s="73"/>
      <c r="AJ926" s="114"/>
      <c r="AK926" s="106"/>
      <c r="AL926" s="74"/>
      <c r="AM926" s="73"/>
      <c r="AN926" s="73"/>
      <c r="AO926" s="102"/>
      <c r="AP926" s="73"/>
      <c r="AQ926" s="73"/>
      <c r="AR926" s="74"/>
      <c r="AS926" s="73"/>
      <c r="AT926" s="73"/>
      <c r="AU926" s="73"/>
      <c r="AV926" s="73"/>
      <c r="AW926" s="73"/>
      <c r="AX926" s="74"/>
      <c r="AY926" s="73"/>
      <c r="AZ926" s="73"/>
      <c r="BA926" s="74"/>
      <c r="BB926" s="73"/>
      <c r="BC926" s="73"/>
      <c r="BD926" s="73"/>
      <c r="BE926" s="73"/>
      <c r="BF926" s="73"/>
      <c r="BG926" s="73"/>
      <c r="BH926" s="73"/>
      <c r="BI926" s="73"/>
      <c r="BJ926" s="73"/>
      <c r="BK926" s="73"/>
      <c r="BL926" s="73"/>
      <c r="BM926" s="73"/>
      <c r="BN926" s="73"/>
      <c r="BO926" s="73"/>
      <c r="BP926" s="73"/>
      <c r="BQ926" s="73"/>
      <c r="BR926" s="73"/>
      <c r="BS926" s="73"/>
      <c r="BT926" s="74"/>
      <c r="BU926" s="73"/>
      <c r="BV926" s="73"/>
      <c r="BW926" s="73"/>
      <c r="BX926" s="73"/>
      <c r="BY926" s="73"/>
      <c r="BZ926" s="73"/>
      <c r="CA926" s="73"/>
      <c r="CB926" s="73"/>
      <c r="CC926" s="73"/>
      <c r="CD926" s="73"/>
      <c r="CE926" s="73"/>
    </row>
    <row r="927">
      <c r="A927" s="73"/>
      <c r="B927" s="73"/>
      <c r="C927" s="73"/>
      <c r="D927" s="74"/>
      <c r="E927" s="73"/>
      <c r="F927" s="73"/>
      <c r="G927" s="73"/>
      <c r="H927" s="73"/>
      <c r="I927" s="73"/>
      <c r="J927" s="73"/>
      <c r="K927" s="92"/>
      <c r="L927" s="73"/>
      <c r="M927" s="73"/>
      <c r="N927" s="73"/>
      <c r="O927" s="73"/>
      <c r="P927" s="73"/>
      <c r="Q927" s="75"/>
      <c r="R927" s="82"/>
      <c r="S927" s="73"/>
      <c r="T927" s="73"/>
      <c r="U927" s="73"/>
      <c r="V927" s="73"/>
      <c r="W927" s="73"/>
      <c r="X927" s="73"/>
      <c r="Y927" s="77"/>
      <c r="Z927" s="104"/>
      <c r="AA927" s="73"/>
      <c r="AB927" s="104"/>
      <c r="AC927" s="104"/>
      <c r="AD927" s="74"/>
      <c r="AE927" s="106"/>
      <c r="AF927" s="195"/>
      <c r="AG927" s="80"/>
      <c r="AH927" s="104"/>
      <c r="AI927" s="73"/>
      <c r="AJ927" s="114"/>
      <c r="AK927" s="106"/>
      <c r="AL927" s="74"/>
      <c r="AM927" s="73"/>
      <c r="AN927" s="73"/>
      <c r="AO927" s="102"/>
      <c r="AP927" s="73"/>
      <c r="AQ927" s="73"/>
      <c r="AR927" s="74"/>
      <c r="AS927" s="73"/>
      <c r="AT927" s="73"/>
      <c r="AU927" s="73"/>
      <c r="AV927" s="73"/>
      <c r="AW927" s="73"/>
      <c r="AX927" s="74"/>
      <c r="AY927" s="73"/>
      <c r="AZ927" s="73"/>
      <c r="BA927" s="74"/>
      <c r="BB927" s="73"/>
      <c r="BC927" s="73"/>
      <c r="BD927" s="73"/>
      <c r="BE927" s="73"/>
      <c r="BF927" s="73"/>
      <c r="BG927" s="73"/>
      <c r="BH927" s="73"/>
      <c r="BI927" s="73"/>
      <c r="BJ927" s="73"/>
      <c r="BK927" s="73"/>
      <c r="BL927" s="73"/>
      <c r="BM927" s="73"/>
      <c r="BN927" s="73"/>
      <c r="BO927" s="73"/>
      <c r="BP927" s="73"/>
      <c r="BQ927" s="73"/>
      <c r="BR927" s="73"/>
      <c r="BS927" s="73"/>
      <c r="BT927" s="74"/>
      <c r="BU927" s="73"/>
      <c r="BV927" s="73"/>
      <c r="BW927" s="73"/>
      <c r="BX927" s="73"/>
      <c r="BY927" s="73"/>
      <c r="BZ927" s="73"/>
      <c r="CA927" s="73"/>
      <c r="CB927" s="73"/>
      <c r="CC927" s="73"/>
      <c r="CD927" s="73"/>
      <c r="CE927" s="73"/>
    </row>
    <row r="928">
      <c r="A928" s="73"/>
      <c r="B928" s="73"/>
      <c r="C928" s="73"/>
      <c r="D928" s="74"/>
      <c r="E928" s="73"/>
      <c r="F928" s="73"/>
      <c r="G928" s="73"/>
      <c r="H928" s="73"/>
      <c r="I928" s="73"/>
      <c r="J928" s="73"/>
      <c r="K928" s="92"/>
      <c r="L928" s="73"/>
      <c r="M928" s="73"/>
      <c r="N928" s="73"/>
      <c r="O928" s="73"/>
      <c r="P928" s="73"/>
      <c r="Q928" s="75"/>
      <c r="R928" s="82"/>
      <c r="S928" s="73"/>
      <c r="T928" s="73"/>
      <c r="U928" s="73"/>
      <c r="V928" s="73"/>
      <c r="W928" s="73"/>
      <c r="X928" s="73"/>
      <c r="Y928" s="77"/>
      <c r="Z928" s="104"/>
      <c r="AA928" s="73"/>
      <c r="AB928" s="104"/>
      <c r="AC928" s="104"/>
      <c r="AD928" s="74"/>
      <c r="AE928" s="106"/>
      <c r="AF928" s="195"/>
      <c r="AG928" s="80"/>
      <c r="AH928" s="104"/>
      <c r="AI928" s="73"/>
      <c r="AJ928" s="114"/>
      <c r="AK928" s="106"/>
      <c r="AL928" s="74"/>
      <c r="AM928" s="73"/>
      <c r="AN928" s="73"/>
      <c r="AO928" s="102"/>
      <c r="AP928" s="73"/>
      <c r="AQ928" s="73"/>
      <c r="AR928" s="74"/>
      <c r="AS928" s="73"/>
      <c r="AT928" s="73"/>
      <c r="AU928" s="73"/>
      <c r="AV928" s="73"/>
      <c r="AW928" s="73"/>
      <c r="AX928" s="74"/>
      <c r="AY928" s="73"/>
      <c r="AZ928" s="73"/>
      <c r="BA928" s="74"/>
      <c r="BB928" s="73"/>
      <c r="BC928" s="73"/>
      <c r="BD928" s="73"/>
      <c r="BE928" s="73"/>
      <c r="BF928" s="73"/>
      <c r="BG928" s="73"/>
      <c r="BH928" s="73"/>
      <c r="BI928" s="73"/>
      <c r="BJ928" s="73"/>
      <c r="BK928" s="73"/>
      <c r="BL928" s="73"/>
      <c r="BM928" s="73"/>
      <c r="BN928" s="73"/>
      <c r="BO928" s="73"/>
      <c r="BP928" s="73"/>
      <c r="BQ928" s="73"/>
      <c r="BR928" s="73"/>
      <c r="BS928" s="73"/>
      <c r="BT928" s="74"/>
      <c r="BU928" s="73"/>
      <c r="BV928" s="73"/>
      <c r="BW928" s="73"/>
      <c r="BX928" s="73"/>
      <c r="BY928" s="73"/>
      <c r="BZ928" s="73"/>
      <c r="CA928" s="73"/>
      <c r="CB928" s="73"/>
      <c r="CC928" s="73"/>
      <c r="CD928" s="73"/>
      <c r="CE928" s="73"/>
    </row>
    <row r="929">
      <c r="A929" s="73"/>
      <c r="B929" s="73"/>
      <c r="C929" s="73"/>
      <c r="D929" s="74"/>
      <c r="E929" s="73"/>
      <c r="F929" s="73"/>
      <c r="G929" s="73"/>
      <c r="H929" s="73"/>
      <c r="I929" s="73"/>
      <c r="J929" s="73"/>
      <c r="K929" s="92"/>
      <c r="L929" s="73"/>
      <c r="M929" s="73"/>
      <c r="N929" s="73"/>
      <c r="O929" s="73"/>
      <c r="P929" s="73"/>
      <c r="Q929" s="75"/>
      <c r="R929" s="82"/>
      <c r="S929" s="73"/>
      <c r="T929" s="73"/>
      <c r="U929" s="73"/>
      <c r="V929" s="73"/>
      <c r="W929" s="73"/>
      <c r="X929" s="73"/>
      <c r="Y929" s="77"/>
      <c r="Z929" s="104"/>
      <c r="AA929" s="73"/>
      <c r="AB929" s="104"/>
      <c r="AC929" s="104"/>
      <c r="AD929" s="74"/>
      <c r="AE929" s="106"/>
      <c r="AF929" s="195"/>
      <c r="AG929" s="80"/>
      <c r="AH929" s="104"/>
      <c r="AI929" s="73"/>
      <c r="AJ929" s="114"/>
      <c r="AK929" s="106"/>
      <c r="AL929" s="74"/>
      <c r="AM929" s="73"/>
      <c r="AN929" s="73"/>
      <c r="AO929" s="102"/>
      <c r="AP929" s="73"/>
      <c r="AQ929" s="73"/>
      <c r="AR929" s="74"/>
      <c r="AS929" s="73"/>
      <c r="AT929" s="73"/>
      <c r="AU929" s="73"/>
      <c r="AV929" s="73"/>
      <c r="AW929" s="73"/>
      <c r="AX929" s="74"/>
      <c r="AY929" s="73"/>
      <c r="AZ929" s="73"/>
      <c r="BA929" s="74"/>
      <c r="BB929" s="73"/>
      <c r="BC929" s="73"/>
      <c r="BD929" s="73"/>
      <c r="BE929" s="73"/>
      <c r="BF929" s="73"/>
      <c r="BG929" s="73"/>
      <c r="BH929" s="73"/>
      <c r="BI929" s="73"/>
      <c r="BJ929" s="73"/>
      <c r="BK929" s="73"/>
      <c r="BL929" s="73"/>
      <c r="BM929" s="73"/>
      <c r="BN929" s="73"/>
      <c r="BO929" s="73"/>
      <c r="BP929" s="73"/>
      <c r="BQ929" s="73"/>
      <c r="BR929" s="73"/>
      <c r="BS929" s="73"/>
      <c r="BT929" s="74"/>
      <c r="BU929" s="73"/>
      <c r="BV929" s="73"/>
      <c r="BW929" s="73"/>
      <c r="BX929" s="73"/>
      <c r="BY929" s="73"/>
      <c r="BZ929" s="73"/>
      <c r="CA929" s="73"/>
      <c r="CB929" s="73"/>
      <c r="CC929" s="73"/>
      <c r="CD929" s="73"/>
      <c r="CE929" s="73"/>
    </row>
    <row r="930">
      <c r="A930" s="73"/>
      <c r="B930" s="73"/>
      <c r="C930" s="73"/>
      <c r="D930" s="74"/>
      <c r="E930" s="73"/>
      <c r="F930" s="73"/>
      <c r="G930" s="73"/>
      <c r="H930" s="73"/>
      <c r="I930" s="73"/>
      <c r="J930" s="73"/>
      <c r="K930" s="92"/>
      <c r="L930" s="73"/>
      <c r="M930" s="73"/>
      <c r="N930" s="73"/>
      <c r="O930" s="73"/>
      <c r="P930" s="73"/>
      <c r="Q930" s="75"/>
      <c r="R930" s="82"/>
      <c r="S930" s="73"/>
      <c r="T930" s="73"/>
      <c r="U930" s="73"/>
      <c r="V930" s="73"/>
      <c r="W930" s="73"/>
      <c r="X930" s="73"/>
      <c r="Y930" s="77"/>
      <c r="Z930" s="104"/>
      <c r="AA930" s="73"/>
      <c r="AB930" s="104"/>
      <c r="AC930" s="104"/>
      <c r="AD930" s="74"/>
      <c r="AE930" s="106"/>
      <c r="AF930" s="195"/>
      <c r="AG930" s="80"/>
      <c r="AH930" s="104"/>
      <c r="AI930" s="73"/>
      <c r="AJ930" s="114"/>
      <c r="AK930" s="106"/>
      <c r="AL930" s="74"/>
      <c r="AM930" s="73"/>
      <c r="AN930" s="73"/>
      <c r="AO930" s="102"/>
      <c r="AP930" s="73"/>
      <c r="AQ930" s="73"/>
      <c r="AR930" s="74"/>
      <c r="AS930" s="73"/>
      <c r="AT930" s="73"/>
      <c r="AU930" s="73"/>
      <c r="AV930" s="73"/>
      <c r="AW930" s="73"/>
      <c r="AX930" s="74"/>
      <c r="AY930" s="73"/>
      <c r="AZ930" s="73"/>
      <c r="BA930" s="74"/>
      <c r="BB930" s="73"/>
      <c r="BC930" s="73"/>
      <c r="BD930" s="73"/>
      <c r="BE930" s="73"/>
      <c r="BF930" s="73"/>
      <c r="BG930" s="73"/>
      <c r="BH930" s="73"/>
      <c r="BI930" s="73"/>
      <c r="BJ930" s="73"/>
      <c r="BK930" s="73"/>
      <c r="BL930" s="73"/>
      <c r="BM930" s="73"/>
      <c r="BN930" s="73"/>
      <c r="BO930" s="73"/>
      <c r="BP930" s="73"/>
      <c r="BQ930" s="73"/>
      <c r="BR930" s="73"/>
      <c r="BS930" s="73"/>
      <c r="BT930" s="74"/>
      <c r="BU930" s="73"/>
      <c r="BV930" s="73"/>
      <c r="BW930" s="73"/>
      <c r="BX930" s="73"/>
      <c r="BY930" s="73"/>
      <c r="BZ930" s="73"/>
      <c r="CA930" s="73"/>
      <c r="CB930" s="73"/>
      <c r="CC930" s="73"/>
      <c r="CD930" s="73"/>
      <c r="CE930" s="73"/>
    </row>
    <row r="931">
      <c r="A931" s="73"/>
      <c r="B931" s="73"/>
      <c r="C931" s="73"/>
      <c r="D931" s="74"/>
      <c r="E931" s="73"/>
      <c r="F931" s="73"/>
      <c r="G931" s="73"/>
      <c r="H931" s="73"/>
      <c r="I931" s="73"/>
      <c r="J931" s="73"/>
      <c r="K931" s="92"/>
      <c r="L931" s="73"/>
      <c r="M931" s="73"/>
      <c r="N931" s="73"/>
      <c r="O931" s="73"/>
      <c r="P931" s="73"/>
      <c r="Q931" s="75"/>
      <c r="R931" s="82"/>
      <c r="S931" s="73"/>
      <c r="T931" s="73"/>
      <c r="U931" s="73"/>
      <c r="V931" s="73"/>
      <c r="W931" s="73"/>
      <c r="X931" s="73"/>
      <c r="Y931" s="77"/>
      <c r="Z931" s="104"/>
      <c r="AA931" s="73"/>
      <c r="AB931" s="104"/>
      <c r="AC931" s="104"/>
      <c r="AD931" s="74"/>
      <c r="AE931" s="106"/>
      <c r="AF931" s="195"/>
      <c r="AG931" s="80"/>
      <c r="AH931" s="104"/>
      <c r="AI931" s="73"/>
      <c r="AJ931" s="114"/>
      <c r="AK931" s="106"/>
      <c r="AL931" s="74"/>
      <c r="AM931" s="73"/>
      <c r="AN931" s="73"/>
      <c r="AO931" s="102"/>
      <c r="AP931" s="73"/>
      <c r="AQ931" s="73"/>
      <c r="AR931" s="74"/>
      <c r="AS931" s="73"/>
      <c r="AT931" s="73"/>
      <c r="AU931" s="73"/>
      <c r="AV931" s="73"/>
      <c r="AW931" s="73"/>
      <c r="AX931" s="74"/>
      <c r="AY931" s="73"/>
      <c r="AZ931" s="73"/>
      <c r="BA931" s="74"/>
      <c r="BB931" s="73"/>
      <c r="BC931" s="73"/>
      <c r="BD931" s="73"/>
      <c r="BE931" s="73"/>
      <c r="BF931" s="73"/>
      <c r="BG931" s="73"/>
      <c r="BH931" s="73"/>
      <c r="BI931" s="73"/>
      <c r="BJ931" s="73"/>
      <c r="BK931" s="73"/>
      <c r="BL931" s="73"/>
      <c r="BM931" s="73"/>
      <c r="BN931" s="73"/>
      <c r="BO931" s="73"/>
      <c r="BP931" s="73"/>
      <c r="BQ931" s="73"/>
      <c r="BR931" s="73"/>
      <c r="BS931" s="73"/>
      <c r="BT931" s="74"/>
      <c r="BU931" s="73"/>
      <c r="BV931" s="73"/>
      <c r="BW931" s="73"/>
      <c r="BX931" s="73"/>
      <c r="BY931" s="73"/>
      <c r="BZ931" s="73"/>
      <c r="CA931" s="73"/>
      <c r="CB931" s="73"/>
      <c r="CC931" s="73"/>
      <c r="CD931" s="73"/>
      <c r="CE931" s="73"/>
    </row>
    <row r="932">
      <c r="A932" s="73"/>
      <c r="B932" s="73"/>
      <c r="C932" s="73"/>
      <c r="D932" s="74"/>
      <c r="E932" s="73"/>
      <c r="F932" s="73"/>
      <c r="G932" s="73"/>
      <c r="H932" s="73"/>
      <c r="I932" s="73"/>
      <c r="J932" s="73"/>
      <c r="K932" s="92"/>
      <c r="L932" s="73"/>
      <c r="M932" s="73"/>
      <c r="N932" s="73"/>
      <c r="O932" s="73"/>
      <c r="P932" s="73"/>
      <c r="Q932" s="75"/>
      <c r="R932" s="82"/>
      <c r="S932" s="73"/>
      <c r="T932" s="73"/>
      <c r="U932" s="73"/>
      <c r="V932" s="73"/>
      <c r="W932" s="73"/>
      <c r="X932" s="73"/>
      <c r="Y932" s="77"/>
      <c r="Z932" s="104"/>
      <c r="AA932" s="73"/>
      <c r="AB932" s="104"/>
      <c r="AC932" s="104"/>
      <c r="AD932" s="74"/>
      <c r="AE932" s="106"/>
      <c r="AF932" s="195"/>
      <c r="AG932" s="80"/>
      <c r="AH932" s="104"/>
      <c r="AI932" s="73"/>
      <c r="AJ932" s="114"/>
      <c r="AK932" s="106"/>
      <c r="AL932" s="74"/>
      <c r="AM932" s="73"/>
      <c r="AN932" s="73"/>
      <c r="AO932" s="102"/>
      <c r="AP932" s="73"/>
      <c r="AQ932" s="73"/>
      <c r="AR932" s="74"/>
      <c r="AS932" s="73"/>
      <c r="AT932" s="73"/>
      <c r="AU932" s="73"/>
      <c r="AV932" s="73"/>
      <c r="AW932" s="73"/>
      <c r="AX932" s="74"/>
      <c r="AY932" s="73"/>
      <c r="AZ932" s="73"/>
      <c r="BA932" s="74"/>
      <c r="BB932" s="73"/>
      <c r="BC932" s="73"/>
      <c r="BD932" s="73"/>
      <c r="BE932" s="73"/>
      <c r="BF932" s="73"/>
      <c r="BG932" s="73"/>
      <c r="BH932" s="73"/>
      <c r="BI932" s="73"/>
      <c r="BJ932" s="73"/>
      <c r="BK932" s="73"/>
      <c r="BL932" s="73"/>
      <c r="BM932" s="73"/>
      <c r="BN932" s="73"/>
      <c r="BO932" s="73"/>
      <c r="BP932" s="73"/>
      <c r="BQ932" s="73"/>
      <c r="BR932" s="73"/>
      <c r="BS932" s="73"/>
      <c r="BT932" s="74"/>
      <c r="BU932" s="73"/>
      <c r="BV932" s="73"/>
      <c r="BW932" s="73"/>
      <c r="BX932" s="73"/>
      <c r="BY932" s="73"/>
      <c r="BZ932" s="73"/>
      <c r="CA932" s="73"/>
      <c r="CB932" s="73"/>
      <c r="CC932" s="73"/>
      <c r="CD932" s="73"/>
      <c r="CE932" s="73"/>
    </row>
    <row r="933">
      <c r="A933" s="73"/>
      <c r="B933" s="73"/>
      <c r="C933" s="73"/>
      <c r="D933" s="74"/>
      <c r="E933" s="73"/>
      <c r="F933" s="73"/>
      <c r="G933" s="73"/>
      <c r="H933" s="73"/>
      <c r="I933" s="73"/>
      <c r="J933" s="73"/>
      <c r="K933" s="92"/>
      <c r="L933" s="73"/>
      <c r="M933" s="73"/>
      <c r="N933" s="73"/>
      <c r="O933" s="73"/>
      <c r="P933" s="73"/>
      <c r="Q933" s="75"/>
      <c r="R933" s="82"/>
      <c r="S933" s="73"/>
      <c r="T933" s="73"/>
      <c r="U933" s="73"/>
      <c r="V933" s="73"/>
      <c r="W933" s="73"/>
      <c r="X933" s="73"/>
      <c r="Y933" s="77"/>
      <c r="Z933" s="104"/>
      <c r="AA933" s="73"/>
      <c r="AB933" s="104"/>
      <c r="AC933" s="104"/>
      <c r="AD933" s="74"/>
      <c r="AE933" s="106"/>
      <c r="AF933" s="195"/>
      <c r="AG933" s="80"/>
      <c r="AH933" s="104"/>
      <c r="AI933" s="73"/>
      <c r="AJ933" s="114"/>
      <c r="AK933" s="106"/>
      <c r="AL933" s="74"/>
      <c r="AM933" s="73"/>
      <c r="AN933" s="73"/>
      <c r="AO933" s="102"/>
      <c r="AP933" s="73"/>
      <c r="AQ933" s="73"/>
      <c r="AR933" s="74"/>
      <c r="AS933" s="73"/>
      <c r="AT933" s="73"/>
      <c r="AU933" s="73"/>
      <c r="AV933" s="73"/>
      <c r="AW933" s="73"/>
      <c r="AX933" s="74"/>
      <c r="AY933" s="73"/>
      <c r="AZ933" s="73"/>
      <c r="BA933" s="74"/>
      <c r="BB933" s="73"/>
      <c r="BC933" s="73"/>
      <c r="BD933" s="73"/>
      <c r="BE933" s="73"/>
      <c r="BF933" s="73"/>
      <c r="BG933" s="73"/>
      <c r="BH933" s="73"/>
      <c r="BI933" s="73"/>
      <c r="BJ933" s="73"/>
      <c r="BK933" s="73"/>
      <c r="BL933" s="73"/>
      <c r="BM933" s="73"/>
      <c r="BN933" s="73"/>
      <c r="BO933" s="73"/>
      <c r="BP933" s="73"/>
      <c r="BQ933" s="73"/>
      <c r="BR933" s="73"/>
      <c r="BS933" s="73"/>
      <c r="BT933" s="74"/>
      <c r="BU933" s="73"/>
      <c r="BV933" s="73"/>
      <c r="BW933" s="73"/>
      <c r="BX933" s="73"/>
      <c r="BY933" s="73"/>
      <c r="BZ933" s="73"/>
      <c r="CA933" s="73"/>
      <c r="CB933" s="73"/>
      <c r="CC933" s="73"/>
      <c r="CD933" s="73"/>
      <c r="CE933" s="73"/>
    </row>
    <row r="934">
      <c r="A934" s="73"/>
      <c r="B934" s="73"/>
      <c r="C934" s="73"/>
      <c r="D934" s="74"/>
      <c r="E934" s="73"/>
      <c r="F934" s="73"/>
      <c r="G934" s="73"/>
      <c r="H934" s="73"/>
      <c r="I934" s="73"/>
      <c r="J934" s="73"/>
      <c r="K934" s="92"/>
      <c r="L934" s="73"/>
      <c r="M934" s="73"/>
      <c r="N934" s="73"/>
      <c r="O934" s="73"/>
      <c r="P934" s="73"/>
      <c r="Q934" s="75"/>
      <c r="R934" s="82"/>
      <c r="S934" s="73"/>
      <c r="T934" s="73"/>
      <c r="U934" s="73"/>
      <c r="V934" s="73"/>
      <c r="W934" s="73"/>
      <c r="X934" s="73"/>
      <c r="Y934" s="77"/>
      <c r="Z934" s="104"/>
      <c r="AA934" s="73"/>
      <c r="AB934" s="104"/>
      <c r="AC934" s="104"/>
      <c r="AD934" s="74"/>
      <c r="AE934" s="106"/>
      <c r="AF934" s="195"/>
      <c r="AG934" s="80"/>
      <c r="AH934" s="104"/>
      <c r="AI934" s="73"/>
      <c r="AJ934" s="114"/>
      <c r="AK934" s="106"/>
      <c r="AL934" s="74"/>
      <c r="AM934" s="73"/>
      <c r="AN934" s="73"/>
      <c r="AO934" s="102"/>
      <c r="AP934" s="73"/>
      <c r="AQ934" s="73"/>
      <c r="AR934" s="74"/>
      <c r="AS934" s="73"/>
      <c r="AT934" s="73"/>
      <c r="AU934" s="73"/>
      <c r="AV934" s="73"/>
      <c r="AW934" s="73"/>
      <c r="AX934" s="74"/>
      <c r="AY934" s="73"/>
      <c r="AZ934" s="73"/>
      <c r="BA934" s="74"/>
      <c r="BB934" s="73"/>
      <c r="BC934" s="73"/>
      <c r="BD934" s="73"/>
      <c r="BE934" s="73"/>
      <c r="BF934" s="73"/>
      <c r="BG934" s="73"/>
      <c r="BH934" s="73"/>
      <c r="BI934" s="73"/>
      <c r="BJ934" s="73"/>
      <c r="BK934" s="73"/>
      <c r="BL934" s="73"/>
      <c r="BM934" s="73"/>
      <c r="BN934" s="73"/>
      <c r="BO934" s="73"/>
      <c r="BP934" s="73"/>
      <c r="BQ934" s="73"/>
      <c r="BR934" s="73"/>
      <c r="BS934" s="73"/>
      <c r="BT934" s="74"/>
      <c r="BU934" s="73"/>
      <c r="BV934" s="73"/>
      <c r="BW934" s="73"/>
      <c r="BX934" s="73"/>
      <c r="BY934" s="73"/>
      <c r="BZ934" s="73"/>
      <c r="CA934" s="73"/>
      <c r="CB934" s="73"/>
      <c r="CC934" s="73"/>
      <c r="CD934" s="73"/>
      <c r="CE934" s="73"/>
    </row>
    <row r="935">
      <c r="A935" s="73"/>
      <c r="B935" s="73"/>
      <c r="C935" s="73"/>
      <c r="D935" s="74"/>
      <c r="E935" s="73"/>
      <c r="F935" s="73"/>
      <c r="G935" s="73"/>
      <c r="H935" s="73"/>
      <c r="I935" s="73"/>
      <c r="J935" s="73"/>
      <c r="K935" s="92"/>
      <c r="L935" s="73"/>
      <c r="M935" s="73"/>
      <c r="N935" s="73"/>
      <c r="O935" s="73"/>
      <c r="P935" s="73"/>
      <c r="Q935" s="75"/>
      <c r="R935" s="82"/>
      <c r="S935" s="73"/>
      <c r="T935" s="73"/>
      <c r="U935" s="73"/>
      <c r="V935" s="73"/>
      <c r="W935" s="73"/>
      <c r="X935" s="73"/>
      <c r="Y935" s="77"/>
      <c r="Z935" s="104"/>
      <c r="AA935" s="73"/>
      <c r="AB935" s="104"/>
      <c r="AC935" s="104"/>
      <c r="AD935" s="74"/>
      <c r="AE935" s="106"/>
      <c r="AF935" s="195"/>
      <c r="AG935" s="80"/>
      <c r="AH935" s="104"/>
      <c r="AI935" s="73"/>
      <c r="AJ935" s="114"/>
      <c r="AK935" s="106"/>
      <c r="AL935" s="74"/>
      <c r="AM935" s="73"/>
      <c r="AN935" s="73"/>
      <c r="AO935" s="102"/>
      <c r="AP935" s="73"/>
      <c r="AQ935" s="73"/>
      <c r="AR935" s="74"/>
      <c r="AS935" s="73"/>
      <c r="AT935" s="73"/>
      <c r="AU935" s="73"/>
      <c r="AV935" s="73"/>
      <c r="AW935" s="73"/>
      <c r="AX935" s="74"/>
      <c r="AY935" s="73"/>
      <c r="AZ935" s="73"/>
      <c r="BA935" s="74"/>
      <c r="BB935" s="73"/>
      <c r="BC935" s="73"/>
      <c r="BD935" s="73"/>
      <c r="BE935" s="73"/>
      <c r="BF935" s="73"/>
      <c r="BG935" s="73"/>
      <c r="BH935" s="73"/>
      <c r="BI935" s="73"/>
      <c r="BJ935" s="73"/>
      <c r="BK935" s="73"/>
      <c r="BL935" s="73"/>
      <c r="BM935" s="73"/>
      <c r="BN935" s="73"/>
      <c r="BO935" s="73"/>
      <c r="BP935" s="73"/>
      <c r="BQ935" s="73"/>
      <c r="BR935" s="73"/>
      <c r="BS935" s="73"/>
      <c r="BT935" s="74"/>
      <c r="BU935" s="73"/>
      <c r="BV935" s="73"/>
      <c r="BW935" s="73"/>
      <c r="BX935" s="73"/>
      <c r="BY935" s="73"/>
      <c r="BZ935" s="73"/>
      <c r="CA935" s="73"/>
      <c r="CB935" s="73"/>
      <c r="CC935" s="73"/>
      <c r="CD935" s="73"/>
      <c r="CE935" s="73"/>
    </row>
    <row r="936">
      <c r="A936" s="73"/>
      <c r="B936" s="73"/>
      <c r="C936" s="73"/>
      <c r="D936" s="74"/>
      <c r="E936" s="73"/>
      <c r="F936" s="73"/>
      <c r="G936" s="73"/>
      <c r="H936" s="73"/>
      <c r="I936" s="73"/>
      <c r="J936" s="73"/>
      <c r="K936" s="92"/>
      <c r="L936" s="73"/>
      <c r="M936" s="73"/>
      <c r="N936" s="73"/>
      <c r="O936" s="73"/>
      <c r="P936" s="73"/>
      <c r="Q936" s="75"/>
      <c r="R936" s="82"/>
      <c r="S936" s="73"/>
      <c r="T936" s="73"/>
      <c r="U936" s="73"/>
      <c r="V936" s="73"/>
      <c r="W936" s="73"/>
      <c r="X936" s="73"/>
      <c r="Y936" s="77"/>
      <c r="Z936" s="104"/>
      <c r="AA936" s="73"/>
      <c r="AB936" s="104"/>
      <c r="AC936" s="104"/>
      <c r="AD936" s="74"/>
      <c r="AE936" s="106"/>
      <c r="AF936" s="195"/>
      <c r="AG936" s="80"/>
      <c r="AH936" s="104"/>
      <c r="AI936" s="73"/>
      <c r="AJ936" s="114"/>
      <c r="AK936" s="106"/>
      <c r="AL936" s="74"/>
      <c r="AM936" s="73"/>
      <c r="AN936" s="73"/>
      <c r="AO936" s="102"/>
      <c r="AP936" s="73"/>
      <c r="AQ936" s="73"/>
      <c r="AR936" s="74"/>
      <c r="AS936" s="73"/>
      <c r="AT936" s="73"/>
      <c r="AU936" s="73"/>
      <c r="AV936" s="73"/>
      <c r="AW936" s="73"/>
      <c r="AX936" s="74"/>
      <c r="AY936" s="73"/>
      <c r="AZ936" s="73"/>
      <c r="BA936" s="74"/>
      <c r="BB936" s="73"/>
      <c r="BC936" s="73"/>
      <c r="BD936" s="73"/>
      <c r="BE936" s="73"/>
      <c r="BF936" s="73"/>
      <c r="BG936" s="73"/>
      <c r="BH936" s="73"/>
      <c r="BI936" s="73"/>
      <c r="BJ936" s="73"/>
      <c r="BK936" s="73"/>
      <c r="BL936" s="73"/>
      <c r="BM936" s="73"/>
      <c r="BN936" s="73"/>
      <c r="BO936" s="73"/>
      <c r="BP936" s="73"/>
      <c r="BQ936" s="73"/>
      <c r="BR936" s="73"/>
      <c r="BS936" s="73"/>
      <c r="BT936" s="74"/>
      <c r="BU936" s="73"/>
      <c r="BV936" s="73"/>
      <c r="BW936" s="73"/>
      <c r="BX936" s="73"/>
      <c r="BY936" s="73"/>
      <c r="BZ936" s="73"/>
      <c r="CA936" s="73"/>
      <c r="CB936" s="73"/>
      <c r="CC936" s="73"/>
      <c r="CD936" s="73"/>
      <c r="CE936" s="73"/>
    </row>
    <row r="937">
      <c r="A937" s="73"/>
      <c r="B937" s="73"/>
      <c r="C937" s="73"/>
      <c r="D937" s="74"/>
      <c r="E937" s="73"/>
      <c r="F937" s="73"/>
      <c r="G937" s="73"/>
      <c r="H937" s="73"/>
      <c r="I937" s="73"/>
      <c r="J937" s="73"/>
      <c r="K937" s="92"/>
      <c r="L937" s="73"/>
      <c r="M937" s="73"/>
      <c r="N937" s="73"/>
      <c r="O937" s="73"/>
      <c r="P937" s="73"/>
      <c r="Q937" s="75"/>
      <c r="R937" s="82"/>
      <c r="S937" s="73"/>
      <c r="T937" s="73"/>
      <c r="U937" s="73"/>
      <c r="V937" s="73"/>
      <c r="W937" s="73"/>
      <c r="X937" s="73"/>
      <c r="Y937" s="77"/>
      <c r="Z937" s="104"/>
      <c r="AA937" s="73"/>
      <c r="AB937" s="104"/>
      <c r="AC937" s="104"/>
      <c r="AD937" s="74"/>
      <c r="AE937" s="106"/>
      <c r="AF937" s="195"/>
      <c r="AG937" s="80"/>
      <c r="AH937" s="104"/>
      <c r="AI937" s="73"/>
      <c r="AJ937" s="114"/>
      <c r="AK937" s="106"/>
      <c r="AL937" s="74"/>
      <c r="AM937" s="73"/>
      <c r="AN937" s="73"/>
      <c r="AO937" s="102"/>
      <c r="AP937" s="73"/>
      <c r="AQ937" s="73"/>
      <c r="AR937" s="74"/>
      <c r="AS937" s="73"/>
      <c r="AT937" s="73"/>
      <c r="AU937" s="73"/>
      <c r="AV937" s="73"/>
      <c r="AW937" s="73"/>
      <c r="AX937" s="74"/>
      <c r="AY937" s="73"/>
      <c r="AZ937" s="73"/>
      <c r="BA937" s="74"/>
      <c r="BB937" s="73"/>
      <c r="BC937" s="73"/>
      <c r="BD937" s="73"/>
      <c r="BE937" s="73"/>
      <c r="BF937" s="73"/>
      <c r="BG937" s="73"/>
      <c r="BH937" s="73"/>
      <c r="BI937" s="73"/>
      <c r="BJ937" s="73"/>
      <c r="BK937" s="73"/>
      <c r="BL937" s="73"/>
      <c r="BM937" s="73"/>
      <c r="BN937" s="73"/>
      <c r="BO937" s="73"/>
      <c r="BP937" s="73"/>
      <c r="BQ937" s="73"/>
      <c r="BR937" s="73"/>
      <c r="BS937" s="73"/>
      <c r="BT937" s="74"/>
      <c r="BU937" s="73"/>
      <c r="BV937" s="73"/>
      <c r="BW937" s="73"/>
      <c r="BX937" s="73"/>
      <c r="BY937" s="73"/>
      <c r="BZ937" s="73"/>
      <c r="CA937" s="73"/>
      <c r="CB937" s="73"/>
      <c r="CC937" s="73"/>
      <c r="CD937" s="73"/>
      <c r="CE937" s="73"/>
    </row>
    <row r="938">
      <c r="A938" s="73"/>
      <c r="B938" s="73"/>
      <c r="C938" s="73"/>
      <c r="D938" s="74"/>
      <c r="E938" s="73"/>
      <c r="F938" s="73"/>
      <c r="G938" s="73"/>
      <c r="H938" s="73"/>
      <c r="I938" s="73"/>
      <c r="J938" s="73"/>
      <c r="K938" s="92"/>
      <c r="L938" s="73"/>
      <c r="M938" s="73"/>
      <c r="N938" s="73"/>
      <c r="O938" s="73"/>
      <c r="P938" s="73"/>
      <c r="Q938" s="75"/>
      <c r="R938" s="82"/>
      <c r="S938" s="73"/>
      <c r="T938" s="73"/>
      <c r="U938" s="73"/>
      <c r="V938" s="73"/>
      <c r="W938" s="73"/>
      <c r="X938" s="73"/>
      <c r="Y938" s="77"/>
      <c r="Z938" s="104"/>
      <c r="AA938" s="73"/>
      <c r="AB938" s="104"/>
      <c r="AC938" s="104"/>
      <c r="AD938" s="74"/>
      <c r="AE938" s="106"/>
      <c r="AF938" s="195"/>
      <c r="AG938" s="80"/>
      <c r="AH938" s="104"/>
      <c r="AI938" s="73"/>
      <c r="AJ938" s="114"/>
      <c r="AK938" s="106"/>
      <c r="AL938" s="74"/>
      <c r="AM938" s="73"/>
      <c r="AN938" s="73"/>
      <c r="AO938" s="102"/>
      <c r="AP938" s="73"/>
      <c r="AQ938" s="73"/>
      <c r="AR938" s="74"/>
      <c r="AS938" s="73"/>
      <c r="AT938" s="73"/>
      <c r="AU938" s="73"/>
      <c r="AV938" s="73"/>
      <c r="AW938" s="73"/>
      <c r="AX938" s="74"/>
      <c r="AY938" s="73"/>
      <c r="AZ938" s="73"/>
      <c r="BA938" s="74"/>
      <c r="BB938" s="73"/>
      <c r="BC938" s="73"/>
      <c r="BD938" s="73"/>
      <c r="BE938" s="73"/>
      <c r="BF938" s="73"/>
      <c r="BG938" s="73"/>
      <c r="BH938" s="73"/>
      <c r="BI938" s="73"/>
      <c r="BJ938" s="73"/>
      <c r="BK938" s="73"/>
      <c r="BL938" s="73"/>
      <c r="BM938" s="73"/>
      <c r="BN938" s="73"/>
      <c r="BO938" s="73"/>
      <c r="BP938" s="73"/>
      <c r="BQ938" s="73"/>
      <c r="BR938" s="73"/>
      <c r="BS938" s="73"/>
      <c r="BT938" s="74"/>
      <c r="BU938" s="73"/>
      <c r="BV938" s="73"/>
      <c r="BW938" s="73"/>
      <c r="BX938" s="73"/>
      <c r="BY938" s="73"/>
      <c r="BZ938" s="73"/>
      <c r="CA938" s="73"/>
      <c r="CB938" s="73"/>
      <c r="CC938" s="73"/>
      <c r="CD938" s="73"/>
      <c r="CE938" s="73"/>
    </row>
    <row r="939">
      <c r="A939" s="73"/>
      <c r="B939" s="73"/>
      <c r="C939" s="73"/>
      <c r="D939" s="74"/>
      <c r="E939" s="73"/>
      <c r="F939" s="73"/>
      <c r="G939" s="73"/>
      <c r="H939" s="73"/>
      <c r="I939" s="73"/>
      <c r="J939" s="73"/>
      <c r="K939" s="92"/>
      <c r="L939" s="73"/>
      <c r="M939" s="73"/>
      <c r="N939" s="73"/>
      <c r="O939" s="73"/>
      <c r="P939" s="73"/>
      <c r="Q939" s="75"/>
      <c r="R939" s="82"/>
      <c r="S939" s="73"/>
      <c r="T939" s="73"/>
      <c r="U939" s="73"/>
      <c r="V939" s="73"/>
      <c r="W939" s="73"/>
      <c r="X939" s="73"/>
      <c r="Y939" s="77"/>
      <c r="Z939" s="104"/>
      <c r="AA939" s="73"/>
      <c r="AB939" s="104"/>
      <c r="AC939" s="104"/>
      <c r="AD939" s="74"/>
      <c r="AE939" s="106"/>
      <c r="AF939" s="195"/>
      <c r="AG939" s="80"/>
      <c r="AH939" s="104"/>
      <c r="AI939" s="73"/>
      <c r="AJ939" s="114"/>
      <c r="AK939" s="106"/>
      <c r="AL939" s="74"/>
      <c r="AM939" s="73"/>
      <c r="AN939" s="73"/>
      <c r="AO939" s="102"/>
      <c r="AP939" s="73"/>
      <c r="AQ939" s="73"/>
      <c r="AR939" s="74"/>
      <c r="AS939" s="73"/>
      <c r="AT939" s="73"/>
      <c r="AU939" s="73"/>
      <c r="AV939" s="73"/>
      <c r="AW939" s="73"/>
      <c r="AX939" s="74"/>
      <c r="AY939" s="73"/>
      <c r="AZ939" s="73"/>
      <c r="BA939" s="74"/>
      <c r="BB939" s="73"/>
      <c r="BC939" s="73"/>
      <c r="BD939" s="73"/>
      <c r="BE939" s="73"/>
      <c r="BF939" s="73"/>
      <c r="BG939" s="73"/>
      <c r="BH939" s="73"/>
      <c r="BI939" s="73"/>
      <c r="BJ939" s="73"/>
      <c r="BK939" s="73"/>
      <c r="BL939" s="73"/>
      <c r="BM939" s="73"/>
      <c r="BN939" s="73"/>
      <c r="BO939" s="73"/>
      <c r="BP939" s="73"/>
      <c r="BQ939" s="73"/>
      <c r="BR939" s="73"/>
      <c r="BS939" s="73"/>
      <c r="BT939" s="74"/>
      <c r="BU939" s="73"/>
      <c r="BV939" s="73"/>
      <c r="BW939" s="73"/>
      <c r="BX939" s="73"/>
      <c r="BY939" s="73"/>
      <c r="BZ939" s="73"/>
      <c r="CA939" s="73"/>
      <c r="CB939" s="73"/>
      <c r="CC939" s="73"/>
      <c r="CD939" s="73"/>
      <c r="CE939" s="73"/>
    </row>
    <row r="940">
      <c r="A940" s="73"/>
      <c r="B940" s="73"/>
      <c r="C940" s="73"/>
      <c r="D940" s="74"/>
      <c r="E940" s="73"/>
      <c r="F940" s="73"/>
      <c r="G940" s="73"/>
      <c r="H940" s="73"/>
      <c r="I940" s="73"/>
      <c r="J940" s="73"/>
      <c r="K940" s="92"/>
      <c r="L940" s="73"/>
      <c r="M940" s="73"/>
      <c r="N940" s="73"/>
      <c r="O940" s="73"/>
      <c r="P940" s="73"/>
      <c r="Q940" s="75"/>
      <c r="R940" s="82"/>
      <c r="S940" s="73"/>
      <c r="T940" s="73"/>
      <c r="U940" s="73"/>
      <c r="V940" s="73"/>
      <c r="W940" s="73"/>
      <c r="X940" s="73"/>
      <c r="Y940" s="77"/>
      <c r="Z940" s="104"/>
      <c r="AA940" s="73"/>
      <c r="AB940" s="104"/>
      <c r="AC940" s="104"/>
      <c r="AD940" s="74"/>
      <c r="AE940" s="106"/>
      <c r="AF940" s="195"/>
      <c r="AG940" s="80"/>
      <c r="AH940" s="104"/>
      <c r="AI940" s="73"/>
      <c r="AJ940" s="114"/>
      <c r="AK940" s="106"/>
      <c r="AL940" s="74"/>
      <c r="AM940" s="73"/>
      <c r="AN940" s="73"/>
      <c r="AO940" s="102"/>
      <c r="AP940" s="73"/>
      <c r="AQ940" s="73"/>
      <c r="AR940" s="74"/>
      <c r="AS940" s="73"/>
      <c r="AT940" s="73"/>
      <c r="AU940" s="73"/>
      <c r="AV940" s="73"/>
      <c r="AW940" s="73"/>
      <c r="AX940" s="74"/>
      <c r="AY940" s="73"/>
      <c r="AZ940" s="73"/>
      <c r="BA940" s="74"/>
      <c r="BB940" s="73"/>
      <c r="BC940" s="73"/>
      <c r="BD940" s="73"/>
      <c r="BE940" s="73"/>
      <c r="BF940" s="73"/>
      <c r="BG940" s="73"/>
      <c r="BH940" s="73"/>
      <c r="BI940" s="73"/>
      <c r="BJ940" s="73"/>
      <c r="BK940" s="73"/>
      <c r="BL940" s="73"/>
      <c r="BM940" s="73"/>
      <c r="BN940" s="73"/>
      <c r="BO940" s="73"/>
      <c r="BP940" s="73"/>
      <c r="BQ940" s="73"/>
      <c r="BR940" s="73"/>
      <c r="BS940" s="73"/>
      <c r="BT940" s="74"/>
      <c r="BU940" s="73"/>
      <c r="BV940" s="73"/>
      <c r="BW940" s="73"/>
      <c r="BX940" s="73"/>
      <c r="BY940" s="73"/>
      <c r="BZ940" s="73"/>
      <c r="CA940" s="73"/>
      <c r="CB940" s="73"/>
      <c r="CC940" s="73"/>
      <c r="CD940" s="73"/>
      <c r="CE940" s="73"/>
    </row>
    <row r="941">
      <c r="A941" s="73"/>
      <c r="B941" s="73"/>
      <c r="C941" s="73"/>
      <c r="D941" s="74"/>
      <c r="E941" s="73"/>
      <c r="F941" s="73"/>
      <c r="G941" s="73"/>
      <c r="H941" s="73"/>
      <c r="I941" s="73"/>
      <c r="J941" s="73"/>
      <c r="K941" s="92"/>
      <c r="L941" s="73"/>
      <c r="M941" s="73"/>
      <c r="N941" s="73"/>
      <c r="O941" s="73"/>
      <c r="P941" s="73"/>
      <c r="Q941" s="75"/>
      <c r="R941" s="82"/>
      <c r="S941" s="73"/>
      <c r="T941" s="73"/>
      <c r="U941" s="73"/>
      <c r="V941" s="73"/>
      <c r="W941" s="73"/>
      <c r="X941" s="73"/>
      <c r="Y941" s="77"/>
      <c r="Z941" s="104"/>
      <c r="AA941" s="73"/>
      <c r="AB941" s="104"/>
      <c r="AC941" s="104"/>
      <c r="AD941" s="74"/>
      <c r="AE941" s="106"/>
      <c r="AF941" s="195"/>
      <c r="AG941" s="80"/>
      <c r="AH941" s="104"/>
      <c r="AI941" s="73"/>
      <c r="AJ941" s="114"/>
      <c r="AK941" s="106"/>
      <c r="AL941" s="74"/>
      <c r="AM941" s="73"/>
      <c r="AN941" s="73"/>
      <c r="AO941" s="102"/>
      <c r="AP941" s="73"/>
      <c r="AQ941" s="73"/>
      <c r="AR941" s="74"/>
      <c r="AS941" s="73"/>
      <c r="AT941" s="73"/>
      <c r="AU941" s="73"/>
      <c r="AV941" s="73"/>
      <c r="AW941" s="73"/>
      <c r="AX941" s="74"/>
      <c r="AY941" s="73"/>
      <c r="AZ941" s="73"/>
      <c r="BA941" s="74"/>
      <c r="BB941" s="73"/>
      <c r="BC941" s="73"/>
      <c r="BD941" s="73"/>
      <c r="BE941" s="73"/>
      <c r="BF941" s="73"/>
      <c r="BG941" s="73"/>
      <c r="BH941" s="73"/>
      <c r="BI941" s="73"/>
      <c r="BJ941" s="73"/>
      <c r="BK941" s="73"/>
      <c r="BL941" s="73"/>
      <c r="BM941" s="73"/>
      <c r="BN941" s="73"/>
      <c r="BO941" s="73"/>
      <c r="BP941" s="73"/>
      <c r="BQ941" s="73"/>
      <c r="BR941" s="73"/>
      <c r="BS941" s="73"/>
      <c r="BT941" s="74"/>
      <c r="BU941" s="73"/>
      <c r="BV941" s="73"/>
      <c r="BW941" s="73"/>
      <c r="BX941" s="73"/>
      <c r="BY941" s="73"/>
      <c r="BZ941" s="73"/>
      <c r="CA941" s="73"/>
      <c r="CB941" s="73"/>
      <c r="CC941" s="73"/>
      <c r="CD941" s="73"/>
      <c r="CE941" s="73"/>
    </row>
    <row r="942">
      <c r="A942" s="73"/>
      <c r="B942" s="73"/>
      <c r="C942" s="73"/>
      <c r="D942" s="74"/>
      <c r="E942" s="73"/>
      <c r="F942" s="73"/>
      <c r="G942" s="73"/>
      <c r="H942" s="73"/>
      <c r="I942" s="73"/>
      <c r="J942" s="73"/>
      <c r="K942" s="92"/>
      <c r="L942" s="73"/>
      <c r="M942" s="73"/>
      <c r="N942" s="73"/>
      <c r="O942" s="73"/>
      <c r="P942" s="73"/>
      <c r="Q942" s="75"/>
      <c r="R942" s="82"/>
      <c r="S942" s="73"/>
      <c r="T942" s="73"/>
      <c r="U942" s="73"/>
      <c r="V942" s="73"/>
      <c r="W942" s="73"/>
      <c r="X942" s="73"/>
      <c r="Y942" s="77"/>
      <c r="Z942" s="104"/>
      <c r="AA942" s="73"/>
      <c r="AB942" s="104"/>
      <c r="AC942" s="104"/>
      <c r="AD942" s="74"/>
      <c r="AE942" s="106"/>
      <c r="AF942" s="195"/>
      <c r="AG942" s="80"/>
      <c r="AH942" s="104"/>
      <c r="AI942" s="73"/>
      <c r="AJ942" s="114"/>
      <c r="AK942" s="106"/>
      <c r="AL942" s="74"/>
      <c r="AM942" s="73"/>
      <c r="AN942" s="73"/>
      <c r="AO942" s="102"/>
      <c r="AP942" s="73"/>
      <c r="AQ942" s="73"/>
      <c r="AR942" s="74"/>
      <c r="AS942" s="73"/>
      <c r="AT942" s="73"/>
      <c r="AU942" s="73"/>
      <c r="AV942" s="73"/>
      <c r="AW942" s="73"/>
      <c r="AX942" s="74"/>
      <c r="AY942" s="73"/>
      <c r="AZ942" s="73"/>
      <c r="BA942" s="74"/>
      <c r="BB942" s="73"/>
      <c r="BC942" s="73"/>
      <c r="BD942" s="73"/>
      <c r="BE942" s="73"/>
      <c r="BF942" s="73"/>
      <c r="BG942" s="73"/>
      <c r="BH942" s="73"/>
      <c r="BI942" s="73"/>
      <c r="BJ942" s="73"/>
      <c r="BK942" s="73"/>
      <c r="BL942" s="73"/>
      <c r="BM942" s="73"/>
      <c r="BN942" s="73"/>
      <c r="BO942" s="73"/>
      <c r="BP942" s="73"/>
      <c r="BQ942" s="73"/>
      <c r="BR942" s="73"/>
      <c r="BS942" s="73"/>
      <c r="BT942" s="74"/>
      <c r="BU942" s="73"/>
      <c r="BV942" s="73"/>
      <c r="BW942" s="73"/>
      <c r="BX942" s="73"/>
      <c r="BY942" s="73"/>
      <c r="BZ942" s="73"/>
      <c r="CA942" s="73"/>
      <c r="CB942" s="73"/>
      <c r="CC942" s="73"/>
      <c r="CD942" s="73"/>
      <c r="CE942" s="73"/>
    </row>
    <row r="943">
      <c r="A943" s="73"/>
      <c r="B943" s="73"/>
      <c r="C943" s="73"/>
      <c r="D943" s="74"/>
      <c r="E943" s="73"/>
      <c r="F943" s="73"/>
      <c r="G943" s="73"/>
      <c r="H943" s="73"/>
      <c r="I943" s="73"/>
      <c r="J943" s="73"/>
      <c r="K943" s="92"/>
      <c r="L943" s="73"/>
      <c r="M943" s="73"/>
      <c r="N943" s="73"/>
      <c r="O943" s="73"/>
      <c r="P943" s="73"/>
      <c r="Q943" s="75"/>
      <c r="R943" s="82"/>
      <c r="S943" s="73"/>
      <c r="T943" s="73"/>
      <c r="U943" s="73"/>
      <c r="V943" s="73"/>
      <c r="W943" s="73"/>
      <c r="X943" s="73"/>
      <c r="Y943" s="77"/>
      <c r="Z943" s="104"/>
      <c r="AA943" s="73"/>
      <c r="AB943" s="104"/>
      <c r="AC943" s="104"/>
      <c r="AD943" s="74"/>
      <c r="AE943" s="106"/>
      <c r="AF943" s="195"/>
      <c r="AG943" s="80"/>
      <c r="AH943" s="104"/>
      <c r="AI943" s="73"/>
      <c r="AJ943" s="114"/>
      <c r="AK943" s="106"/>
      <c r="AL943" s="74"/>
      <c r="AM943" s="73"/>
      <c r="AN943" s="73"/>
      <c r="AO943" s="102"/>
      <c r="AP943" s="73"/>
      <c r="AQ943" s="73"/>
      <c r="AR943" s="74"/>
      <c r="AS943" s="73"/>
      <c r="AT943" s="73"/>
      <c r="AU943" s="73"/>
      <c r="AV943" s="73"/>
      <c r="AW943" s="73"/>
      <c r="AX943" s="74"/>
      <c r="AY943" s="73"/>
      <c r="AZ943" s="73"/>
      <c r="BA943" s="74"/>
      <c r="BB943" s="73"/>
      <c r="BC943" s="73"/>
      <c r="BD943" s="73"/>
      <c r="BE943" s="73"/>
      <c r="BF943" s="73"/>
      <c r="BG943" s="73"/>
      <c r="BH943" s="73"/>
      <c r="BI943" s="73"/>
      <c r="BJ943" s="73"/>
      <c r="BK943" s="73"/>
      <c r="BL943" s="73"/>
      <c r="BM943" s="73"/>
      <c r="BN943" s="73"/>
      <c r="BO943" s="73"/>
      <c r="BP943" s="73"/>
      <c r="BQ943" s="73"/>
      <c r="BR943" s="73"/>
      <c r="BS943" s="73"/>
      <c r="BT943" s="74"/>
      <c r="BU943" s="73"/>
      <c r="BV943" s="73"/>
      <c r="BW943" s="73"/>
      <c r="BX943" s="73"/>
      <c r="BY943" s="73"/>
      <c r="BZ943" s="73"/>
      <c r="CA943" s="73"/>
      <c r="CB943" s="73"/>
      <c r="CC943" s="73"/>
      <c r="CD943" s="73"/>
      <c r="CE943" s="73"/>
    </row>
    <row r="944">
      <c r="A944" s="73"/>
      <c r="B944" s="73"/>
      <c r="C944" s="73"/>
      <c r="D944" s="74"/>
      <c r="E944" s="73"/>
      <c r="F944" s="73"/>
      <c r="G944" s="73"/>
      <c r="H944" s="73"/>
      <c r="I944" s="73"/>
      <c r="J944" s="73"/>
      <c r="K944" s="92"/>
      <c r="L944" s="73"/>
      <c r="M944" s="73"/>
      <c r="N944" s="73"/>
      <c r="O944" s="73"/>
      <c r="P944" s="73"/>
      <c r="Q944" s="75"/>
      <c r="R944" s="82"/>
      <c r="S944" s="73"/>
      <c r="T944" s="73"/>
      <c r="U944" s="73"/>
      <c r="V944" s="73"/>
      <c r="W944" s="73"/>
      <c r="X944" s="73"/>
      <c r="Y944" s="77"/>
      <c r="Z944" s="104"/>
      <c r="AA944" s="73"/>
      <c r="AB944" s="104"/>
      <c r="AC944" s="104"/>
      <c r="AD944" s="74"/>
      <c r="AE944" s="106"/>
      <c r="AF944" s="195"/>
      <c r="AG944" s="80"/>
      <c r="AH944" s="104"/>
      <c r="AI944" s="73"/>
      <c r="AJ944" s="114"/>
      <c r="AK944" s="106"/>
      <c r="AL944" s="74"/>
      <c r="AM944" s="73"/>
      <c r="AN944" s="73"/>
      <c r="AO944" s="102"/>
      <c r="AP944" s="73"/>
      <c r="AQ944" s="73"/>
      <c r="AR944" s="74"/>
      <c r="AS944" s="73"/>
      <c r="AT944" s="73"/>
      <c r="AU944" s="73"/>
      <c r="AV944" s="73"/>
      <c r="AW944" s="73"/>
      <c r="AX944" s="74"/>
      <c r="AY944" s="73"/>
      <c r="AZ944" s="73"/>
      <c r="BA944" s="74"/>
      <c r="BB944" s="73"/>
      <c r="BC944" s="73"/>
      <c r="BD944" s="73"/>
      <c r="BE944" s="73"/>
      <c r="BF944" s="73"/>
      <c r="BG944" s="73"/>
      <c r="BH944" s="73"/>
      <c r="BI944" s="73"/>
      <c r="BJ944" s="73"/>
      <c r="BK944" s="73"/>
      <c r="BL944" s="73"/>
      <c r="BM944" s="73"/>
      <c r="BN944" s="73"/>
      <c r="BO944" s="73"/>
      <c r="BP944" s="73"/>
      <c r="BQ944" s="73"/>
      <c r="BR944" s="73"/>
      <c r="BS944" s="73"/>
      <c r="BT944" s="74"/>
      <c r="BU944" s="73"/>
      <c r="BV944" s="73"/>
      <c r="BW944" s="73"/>
      <c r="BX944" s="73"/>
      <c r="BY944" s="73"/>
      <c r="BZ944" s="73"/>
      <c r="CA944" s="73"/>
      <c r="CB944" s="73"/>
      <c r="CC944" s="73"/>
      <c r="CD944" s="73"/>
      <c r="CE944" s="73"/>
    </row>
    <row r="945">
      <c r="A945" s="131"/>
      <c r="B945" s="73"/>
      <c r="C945" s="73"/>
      <c r="D945" s="74"/>
      <c r="E945" s="73"/>
      <c r="F945" s="73"/>
      <c r="G945" s="73"/>
      <c r="H945" s="73"/>
      <c r="I945" s="73"/>
      <c r="J945" s="73"/>
      <c r="K945" s="92"/>
      <c r="L945" s="73"/>
      <c r="M945" s="73"/>
      <c r="N945" s="73"/>
      <c r="O945" s="73"/>
      <c r="P945" s="73"/>
      <c r="Q945" s="75"/>
      <c r="R945" s="82"/>
      <c r="S945" s="73"/>
      <c r="T945" s="73"/>
      <c r="U945" s="73"/>
      <c r="V945" s="73"/>
      <c r="W945" s="73"/>
      <c r="X945" s="73"/>
      <c r="Y945" s="77"/>
      <c r="Z945" s="104"/>
      <c r="AA945" s="73"/>
      <c r="AB945" s="104"/>
      <c r="AC945" s="104"/>
      <c r="AD945" s="74"/>
      <c r="AE945" s="106"/>
      <c r="AF945" s="195"/>
      <c r="AG945" s="80"/>
      <c r="AH945" s="104"/>
      <c r="AI945" s="73"/>
      <c r="AJ945" s="114"/>
      <c r="AK945" s="106"/>
      <c r="AL945" s="74"/>
      <c r="AM945" s="73"/>
      <c r="AN945" s="73"/>
      <c r="AO945" s="102"/>
      <c r="AP945" s="73"/>
      <c r="AQ945" s="73"/>
      <c r="AR945" s="74"/>
      <c r="AS945" s="73"/>
      <c r="AT945" s="73"/>
      <c r="AU945" s="73"/>
      <c r="AV945" s="73"/>
      <c r="AW945" s="73"/>
      <c r="AX945" s="74"/>
      <c r="AY945" s="73"/>
      <c r="AZ945" s="73"/>
      <c r="BA945" s="74"/>
      <c r="BB945" s="73"/>
      <c r="BC945" s="73"/>
      <c r="BD945" s="73"/>
      <c r="BE945" s="73"/>
      <c r="BF945" s="73"/>
      <c r="BG945" s="73"/>
      <c r="BH945" s="73"/>
      <c r="BI945" s="73"/>
      <c r="BJ945" s="73"/>
      <c r="BK945" s="73"/>
      <c r="BL945" s="73"/>
      <c r="BM945" s="73"/>
      <c r="BN945" s="73"/>
      <c r="BO945" s="73"/>
      <c r="BP945" s="73"/>
      <c r="BQ945" s="73"/>
      <c r="BR945" s="73"/>
      <c r="BS945" s="73"/>
      <c r="BT945" s="74"/>
      <c r="BU945" s="73"/>
      <c r="BV945" s="73"/>
      <c r="BW945" s="73"/>
      <c r="BX945" s="73"/>
      <c r="BY945" s="73"/>
      <c r="BZ945" s="73"/>
      <c r="CA945" s="73"/>
      <c r="CB945" s="73"/>
      <c r="CC945" s="73"/>
      <c r="CD945" s="73"/>
      <c r="CE945" s="73"/>
    </row>
    <row r="946">
      <c r="A946" s="131"/>
      <c r="B946" s="73"/>
      <c r="C946" s="73"/>
      <c r="D946" s="74"/>
      <c r="E946" s="73"/>
      <c r="F946" s="73"/>
      <c r="G946" s="73"/>
      <c r="H946" s="73"/>
      <c r="I946" s="73"/>
      <c r="J946" s="73"/>
      <c r="K946" s="92"/>
      <c r="L946" s="73"/>
      <c r="M946" s="73"/>
      <c r="N946" s="73"/>
      <c r="O946" s="73"/>
      <c r="P946" s="73"/>
      <c r="Q946" s="75"/>
      <c r="R946" s="82"/>
      <c r="S946" s="73"/>
      <c r="T946" s="73"/>
      <c r="U946" s="73"/>
      <c r="V946" s="73"/>
      <c r="W946" s="73"/>
      <c r="X946" s="73"/>
      <c r="Y946" s="77"/>
      <c r="Z946" s="104"/>
      <c r="AA946" s="73"/>
      <c r="AB946" s="104"/>
      <c r="AC946" s="104"/>
      <c r="AD946" s="74"/>
      <c r="AE946" s="106"/>
      <c r="AF946" s="195"/>
      <c r="AG946" s="80"/>
      <c r="AH946" s="104"/>
      <c r="AI946" s="73"/>
      <c r="AJ946" s="114"/>
      <c r="AK946" s="106"/>
      <c r="AL946" s="74"/>
      <c r="AM946" s="73"/>
      <c r="AN946" s="73"/>
      <c r="AO946" s="102"/>
      <c r="AP946" s="73"/>
      <c r="AQ946" s="73"/>
      <c r="AR946" s="74"/>
      <c r="AS946" s="73"/>
      <c r="AT946" s="73"/>
      <c r="AU946" s="73"/>
      <c r="AV946" s="73"/>
      <c r="AW946" s="73"/>
      <c r="AX946" s="74"/>
      <c r="AY946" s="73"/>
      <c r="AZ946" s="73"/>
      <c r="BA946" s="74"/>
      <c r="BB946" s="73"/>
      <c r="BC946" s="73"/>
      <c r="BD946" s="73"/>
      <c r="BE946" s="73"/>
      <c r="BF946" s="73"/>
      <c r="BG946" s="73"/>
      <c r="BH946" s="73"/>
      <c r="BI946" s="73"/>
      <c r="BJ946" s="73"/>
      <c r="BK946" s="73"/>
      <c r="BL946" s="73"/>
      <c r="BM946" s="73"/>
      <c r="BN946" s="73"/>
      <c r="BO946" s="73"/>
      <c r="BP946" s="73"/>
      <c r="BQ946" s="73"/>
      <c r="BR946" s="73"/>
      <c r="BS946" s="73"/>
      <c r="BT946" s="74"/>
      <c r="BU946" s="73"/>
      <c r="BV946" s="73"/>
      <c r="BW946" s="73"/>
      <c r="BX946" s="73"/>
      <c r="BY946" s="73"/>
      <c r="BZ946" s="73"/>
      <c r="CA946" s="73"/>
      <c r="CB946" s="73"/>
      <c r="CC946" s="73"/>
      <c r="CD946" s="73"/>
      <c r="CE946" s="73"/>
    </row>
    <row r="947">
      <c r="A947" s="131"/>
      <c r="B947" s="73"/>
      <c r="C947" s="73"/>
      <c r="D947" s="74"/>
      <c r="E947" s="73"/>
      <c r="F947" s="73"/>
      <c r="G947" s="73"/>
      <c r="H947" s="73"/>
      <c r="I947" s="73"/>
      <c r="J947" s="73"/>
      <c r="K947" s="92"/>
      <c r="L947" s="73"/>
      <c r="M947" s="73"/>
      <c r="N947" s="73"/>
      <c r="O947" s="73"/>
      <c r="P947" s="73"/>
      <c r="Q947" s="75"/>
      <c r="R947" s="82"/>
      <c r="S947" s="73"/>
      <c r="T947" s="73"/>
      <c r="U947" s="73"/>
      <c r="V947" s="73"/>
      <c r="W947" s="73"/>
      <c r="X947" s="73"/>
      <c r="Y947" s="77"/>
      <c r="Z947" s="104"/>
      <c r="AA947" s="73"/>
      <c r="AB947" s="104"/>
      <c r="AC947" s="104"/>
      <c r="AD947" s="74"/>
      <c r="AE947" s="106"/>
      <c r="AF947" s="195"/>
      <c r="AG947" s="80"/>
      <c r="AH947" s="104"/>
      <c r="AI947" s="73"/>
      <c r="AJ947" s="114"/>
      <c r="AK947" s="106"/>
      <c r="AL947" s="74"/>
      <c r="AM947" s="73"/>
      <c r="AN947" s="73"/>
      <c r="AO947" s="102"/>
      <c r="AP947" s="73"/>
      <c r="AQ947" s="73"/>
      <c r="AR947" s="74"/>
      <c r="AS947" s="73"/>
      <c r="AT947" s="73"/>
      <c r="AU947" s="73"/>
      <c r="AV947" s="73"/>
      <c r="AW947" s="73"/>
      <c r="AX947" s="74"/>
      <c r="AY947" s="73"/>
      <c r="AZ947" s="73"/>
      <c r="BA947" s="74"/>
      <c r="BB947" s="73"/>
      <c r="BC947" s="73"/>
      <c r="BD947" s="73"/>
      <c r="BE947" s="73"/>
      <c r="BF947" s="73"/>
      <c r="BG947" s="73"/>
      <c r="BH947" s="73"/>
      <c r="BI947" s="73"/>
      <c r="BJ947" s="73"/>
      <c r="BK947" s="73"/>
      <c r="BL947" s="73"/>
      <c r="BM947" s="73"/>
      <c r="BN947" s="73"/>
      <c r="BO947" s="73"/>
      <c r="BP947" s="73"/>
      <c r="BQ947" s="73"/>
      <c r="BR947" s="73"/>
      <c r="BS947" s="73"/>
      <c r="BT947" s="74"/>
      <c r="BU947" s="73"/>
      <c r="BV947" s="73"/>
      <c r="BW947" s="73"/>
      <c r="BX947" s="73"/>
      <c r="BY947" s="73"/>
      <c r="BZ947" s="73"/>
      <c r="CA947" s="73"/>
      <c r="CB947" s="73"/>
      <c r="CC947" s="73"/>
      <c r="CD947" s="73"/>
      <c r="CE947" s="73"/>
    </row>
    <row r="948">
      <c r="A948" s="131"/>
      <c r="B948" s="73"/>
      <c r="C948" s="73"/>
      <c r="D948" s="74"/>
      <c r="E948" s="73"/>
      <c r="F948" s="73"/>
      <c r="G948" s="73"/>
      <c r="H948" s="73"/>
      <c r="I948" s="73"/>
      <c r="J948" s="73"/>
      <c r="K948" s="92"/>
      <c r="L948" s="73"/>
      <c r="M948" s="73"/>
      <c r="N948" s="73"/>
      <c r="O948" s="73"/>
      <c r="P948" s="73"/>
      <c r="Q948" s="75"/>
      <c r="R948" s="82"/>
      <c r="S948" s="73"/>
      <c r="T948" s="73"/>
      <c r="U948" s="73"/>
      <c r="V948" s="73"/>
      <c r="W948" s="73"/>
      <c r="X948" s="73"/>
      <c r="Y948" s="77"/>
      <c r="Z948" s="104"/>
      <c r="AA948" s="73"/>
      <c r="AB948" s="104"/>
      <c r="AC948" s="104"/>
      <c r="AD948" s="74"/>
      <c r="AE948" s="106"/>
      <c r="AF948" s="195"/>
      <c r="AG948" s="80"/>
      <c r="AH948" s="104"/>
      <c r="AI948" s="73"/>
      <c r="AJ948" s="114"/>
      <c r="AK948" s="106"/>
      <c r="AL948" s="74"/>
      <c r="AM948" s="73"/>
      <c r="AN948" s="73"/>
      <c r="AO948" s="102"/>
      <c r="AP948" s="73"/>
      <c r="AQ948" s="73"/>
      <c r="AR948" s="74"/>
      <c r="AS948" s="73"/>
      <c r="AT948" s="73"/>
      <c r="AU948" s="73"/>
      <c r="AV948" s="73"/>
      <c r="AW948" s="73"/>
      <c r="AX948" s="74"/>
      <c r="AY948" s="73"/>
      <c r="AZ948" s="73"/>
      <c r="BA948" s="74"/>
      <c r="BB948" s="73"/>
      <c r="BC948" s="73"/>
      <c r="BD948" s="73"/>
      <c r="BE948" s="73"/>
      <c r="BF948" s="73"/>
      <c r="BG948" s="73"/>
      <c r="BH948" s="73"/>
      <c r="BI948" s="73"/>
      <c r="BJ948" s="73"/>
      <c r="BK948" s="73"/>
      <c r="BL948" s="73"/>
      <c r="BM948" s="73"/>
      <c r="BN948" s="73"/>
      <c r="BO948" s="73"/>
      <c r="BP948" s="73"/>
      <c r="BQ948" s="73"/>
      <c r="BR948" s="73"/>
      <c r="BS948" s="73"/>
      <c r="BT948" s="74"/>
      <c r="BU948" s="73"/>
      <c r="BV948" s="73"/>
      <c r="BW948" s="73"/>
      <c r="BX948" s="73"/>
      <c r="BY948" s="73"/>
      <c r="BZ948" s="73"/>
      <c r="CA948" s="73"/>
      <c r="CB948" s="73"/>
      <c r="CC948" s="73"/>
      <c r="CD948" s="73"/>
      <c r="CE948" s="73"/>
    </row>
    <row r="949">
      <c r="A949" s="131"/>
      <c r="B949" s="73"/>
      <c r="C949" s="73"/>
      <c r="D949" s="74"/>
      <c r="E949" s="73"/>
      <c r="F949" s="73"/>
      <c r="G949" s="73"/>
      <c r="H949" s="73"/>
      <c r="I949" s="73"/>
      <c r="J949" s="73"/>
      <c r="K949" s="92"/>
      <c r="L949" s="73"/>
      <c r="M949" s="73"/>
      <c r="N949" s="73"/>
      <c r="O949" s="73"/>
      <c r="P949" s="73"/>
      <c r="Q949" s="75"/>
      <c r="R949" s="82"/>
      <c r="S949" s="73"/>
      <c r="T949" s="73"/>
      <c r="U949" s="73"/>
      <c r="V949" s="73"/>
      <c r="W949" s="73"/>
      <c r="X949" s="73"/>
      <c r="Y949" s="77"/>
      <c r="Z949" s="104"/>
      <c r="AA949" s="73"/>
      <c r="AB949" s="104"/>
      <c r="AC949" s="104"/>
      <c r="AD949" s="74"/>
      <c r="AE949" s="106"/>
      <c r="AF949" s="195"/>
      <c r="AG949" s="80"/>
      <c r="AH949" s="104"/>
      <c r="AI949" s="73"/>
      <c r="AJ949" s="114"/>
      <c r="AK949" s="106"/>
      <c r="AL949" s="74"/>
      <c r="AM949" s="73"/>
      <c r="AN949" s="73"/>
      <c r="AO949" s="102"/>
      <c r="AP949" s="73"/>
      <c r="AQ949" s="73"/>
      <c r="AR949" s="74"/>
      <c r="AS949" s="73"/>
      <c r="AT949" s="73"/>
      <c r="AU949" s="73"/>
      <c r="AV949" s="73"/>
      <c r="AW949" s="73"/>
      <c r="AX949" s="74"/>
      <c r="AY949" s="73"/>
      <c r="AZ949" s="73"/>
      <c r="BA949" s="74"/>
      <c r="BB949" s="73"/>
      <c r="BC949" s="73"/>
      <c r="BD949" s="73"/>
      <c r="BE949" s="73"/>
      <c r="BF949" s="73"/>
      <c r="BG949" s="73"/>
      <c r="BH949" s="73"/>
      <c r="BI949" s="73"/>
      <c r="BJ949" s="73"/>
      <c r="BK949" s="73"/>
      <c r="BL949" s="73"/>
      <c r="BM949" s="73"/>
      <c r="BN949" s="73"/>
      <c r="BO949" s="73"/>
      <c r="BP949" s="73"/>
      <c r="BQ949" s="73"/>
      <c r="BR949" s="73"/>
      <c r="BS949" s="73"/>
      <c r="BT949" s="74"/>
      <c r="BU949" s="73"/>
      <c r="BV949" s="73"/>
      <c r="BW949" s="73"/>
      <c r="BX949" s="73"/>
      <c r="BY949" s="73"/>
      <c r="BZ949" s="73"/>
      <c r="CA949" s="73"/>
      <c r="CB949" s="73"/>
      <c r="CC949" s="73"/>
      <c r="CD949" s="73"/>
      <c r="CE949" s="73"/>
    </row>
    <row r="950">
      <c r="A950" s="131"/>
      <c r="B950" s="73"/>
      <c r="C950" s="73"/>
      <c r="D950" s="74"/>
      <c r="E950" s="73"/>
      <c r="F950" s="73"/>
      <c r="G950" s="73"/>
      <c r="H950" s="73"/>
      <c r="I950" s="73"/>
      <c r="J950" s="73"/>
      <c r="K950" s="92"/>
      <c r="L950" s="73"/>
      <c r="M950" s="73"/>
      <c r="N950" s="73"/>
      <c r="O950" s="73"/>
      <c r="P950" s="73"/>
      <c r="Q950" s="75"/>
      <c r="R950" s="82"/>
      <c r="S950" s="73"/>
      <c r="T950" s="73"/>
      <c r="U950" s="73"/>
      <c r="V950" s="73"/>
      <c r="W950" s="73"/>
      <c r="X950" s="73"/>
      <c r="Y950" s="77"/>
      <c r="Z950" s="104"/>
      <c r="AA950" s="73"/>
      <c r="AB950" s="104"/>
      <c r="AC950" s="104"/>
      <c r="AD950" s="74"/>
      <c r="AE950" s="106"/>
      <c r="AF950" s="195"/>
      <c r="AG950" s="80"/>
      <c r="AH950" s="104"/>
      <c r="AI950" s="73"/>
      <c r="AJ950" s="114"/>
      <c r="AK950" s="106"/>
      <c r="AL950" s="74"/>
      <c r="AM950" s="73"/>
      <c r="AN950" s="73"/>
      <c r="AO950" s="102"/>
      <c r="AP950" s="73"/>
      <c r="AQ950" s="73"/>
      <c r="AR950" s="74"/>
      <c r="AS950" s="73"/>
      <c r="AT950" s="73"/>
      <c r="AU950" s="73"/>
      <c r="AV950" s="73"/>
      <c r="AW950" s="73"/>
      <c r="AX950" s="74"/>
      <c r="AY950" s="73"/>
      <c r="AZ950" s="73"/>
      <c r="BA950" s="74"/>
      <c r="BB950" s="73"/>
      <c r="BC950" s="73"/>
      <c r="BD950" s="73"/>
      <c r="BE950" s="73"/>
      <c r="BF950" s="73"/>
      <c r="BG950" s="73"/>
      <c r="BH950" s="73"/>
      <c r="BI950" s="73"/>
      <c r="BJ950" s="73"/>
      <c r="BK950" s="73"/>
      <c r="BL950" s="73"/>
      <c r="BM950" s="73"/>
      <c r="BN950" s="73"/>
      <c r="BO950" s="73"/>
      <c r="BP950" s="73"/>
      <c r="BQ950" s="73"/>
      <c r="BR950" s="73"/>
      <c r="BS950" s="73"/>
      <c r="BT950" s="74"/>
      <c r="BU950" s="73"/>
      <c r="BV950" s="73"/>
      <c r="BW950" s="73"/>
      <c r="BX950" s="73"/>
      <c r="BY950" s="73"/>
      <c r="BZ950" s="73"/>
      <c r="CA950" s="73"/>
      <c r="CB950" s="73"/>
      <c r="CC950" s="73"/>
      <c r="CD950" s="73"/>
      <c r="CE950" s="73"/>
    </row>
    <row r="951">
      <c r="A951" s="131"/>
      <c r="B951" s="73"/>
      <c r="C951" s="73"/>
      <c r="D951" s="74"/>
      <c r="E951" s="73"/>
      <c r="F951" s="73"/>
      <c r="G951" s="73"/>
      <c r="H951" s="73"/>
      <c r="I951" s="73"/>
      <c r="J951" s="73"/>
      <c r="K951" s="92"/>
      <c r="L951" s="73"/>
      <c r="M951" s="73"/>
      <c r="N951" s="73"/>
      <c r="O951" s="73"/>
      <c r="P951" s="73"/>
      <c r="Q951" s="75"/>
      <c r="R951" s="82"/>
      <c r="S951" s="73"/>
      <c r="T951" s="73"/>
      <c r="U951" s="73"/>
      <c r="V951" s="73"/>
      <c r="W951" s="73"/>
      <c r="X951" s="73"/>
      <c r="Y951" s="77"/>
      <c r="Z951" s="104"/>
      <c r="AA951" s="73"/>
      <c r="AB951" s="104"/>
      <c r="AC951" s="104"/>
      <c r="AD951" s="74"/>
      <c r="AE951" s="106"/>
      <c r="AF951" s="195"/>
      <c r="AG951" s="80"/>
      <c r="AH951" s="104"/>
      <c r="AI951" s="73"/>
      <c r="AJ951" s="114"/>
      <c r="AK951" s="106"/>
      <c r="AL951" s="74"/>
      <c r="AM951" s="73"/>
      <c r="AN951" s="73"/>
      <c r="AO951" s="102"/>
      <c r="AP951" s="73"/>
      <c r="AQ951" s="73"/>
      <c r="AR951" s="74"/>
      <c r="AS951" s="73"/>
      <c r="AT951" s="73"/>
      <c r="AU951" s="73"/>
      <c r="AV951" s="73"/>
      <c r="AW951" s="73"/>
      <c r="AX951" s="74"/>
      <c r="AY951" s="73"/>
      <c r="AZ951" s="73"/>
      <c r="BA951" s="74"/>
      <c r="BB951" s="73"/>
      <c r="BC951" s="73"/>
      <c r="BD951" s="73"/>
      <c r="BE951" s="73"/>
      <c r="BF951" s="73"/>
      <c r="BG951" s="73"/>
      <c r="BH951" s="73"/>
      <c r="BI951" s="73"/>
      <c r="BJ951" s="73"/>
      <c r="BK951" s="73"/>
      <c r="BL951" s="73"/>
      <c r="BM951" s="73"/>
      <c r="BN951" s="73"/>
      <c r="BO951" s="73"/>
      <c r="BP951" s="73"/>
      <c r="BQ951" s="73"/>
      <c r="BR951" s="73"/>
      <c r="BS951" s="73"/>
      <c r="BT951" s="74"/>
      <c r="BU951" s="73"/>
      <c r="BV951" s="73"/>
      <c r="BW951" s="73"/>
      <c r="BX951" s="73"/>
      <c r="BY951" s="73"/>
      <c r="BZ951" s="73"/>
      <c r="CA951" s="73"/>
      <c r="CB951" s="73"/>
      <c r="CC951" s="73"/>
      <c r="CD951" s="73"/>
      <c r="CE951" s="73"/>
    </row>
    <row r="952">
      <c r="A952" s="131"/>
      <c r="B952" s="73"/>
      <c r="C952" s="73"/>
      <c r="D952" s="74"/>
      <c r="E952" s="73"/>
      <c r="F952" s="73"/>
      <c r="G952" s="73"/>
      <c r="H952" s="73"/>
      <c r="I952" s="73"/>
      <c r="J952" s="73"/>
      <c r="K952" s="92"/>
      <c r="L952" s="73"/>
      <c r="M952" s="73"/>
      <c r="N952" s="73"/>
      <c r="O952" s="73"/>
      <c r="P952" s="73"/>
      <c r="Q952" s="75"/>
      <c r="R952" s="82"/>
      <c r="S952" s="73"/>
      <c r="T952" s="73"/>
      <c r="U952" s="73"/>
      <c r="V952" s="73"/>
      <c r="W952" s="73"/>
      <c r="X952" s="73"/>
      <c r="Y952" s="77"/>
      <c r="Z952" s="104"/>
      <c r="AA952" s="73"/>
      <c r="AB952" s="104"/>
      <c r="AC952" s="104"/>
      <c r="AD952" s="74"/>
      <c r="AE952" s="106"/>
      <c r="AF952" s="195"/>
      <c r="AG952" s="80"/>
      <c r="AH952" s="104"/>
      <c r="AI952" s="73"/>
      <c r="AJ952" s="114"/>
      <c r="AK952" s="106"/>
      <c r="AL952" s="74"/>
      <c r="AM952" s="73"/>
      <c r="AN952" s="73"/>
      <c r="AO952" s="102"/>
      <c r="AP952" s="73"/>
      <c r="AQ952" s="73"/>
      <c r="AR952" s="74"/>
      <c r="AS952" s="73"/>
      <c r="AT952" s="73"/>
      <c r="AU952" s="73"/>
      <c r="AV952" s="73"/>
      <c r="AW952" s="73"/>
      <c r="AX952" s="74"/>
      <c r="AY952" s="73"/>
      <c r="AZ952" s="73"/>
      <c r="BA952" s="74"/>
      <c r="BB952" s="73"/>
      <c r="BC952" s="73"/>
      <c r="BD952" s="73"/>
      <c r="BE952" s="73"/>
      <c r="BF952" s="73"/>
      <c r="BG952" s="73"/>
      <c r="BH952" s="73"/>
      <c r="BI952" s="73"/>
      <c r="BJ952" s="73"/>
      <c r="BK952" s="73"/>
      <c r="BL952" s="73"/>
      <c r="BM952" s="73"/>
      <c r="BN952" s="73"/>
      <c r="BO952" s="73"/>
      <c r="BP952" s="73"/>
      <c r="BQ952" s="73"/>
      <c r="BR952" s="73"/>
      <c r="BS952" s="73"/>
      <c r="BT952" s="74"/>
      <c r="BU952" s="73"/>
      <c r="BV952" s="73"/>
      <c r="BW952" s="73"/>
      <c r="BX952" s="73"/>
      <c r="BY952" s="73"/>
      <c r="BZ952" s="73"/>
      <c r="CA952" s="73"/>
      <c r="CB952" s="73"/>
      <c r="CC952" s="73"/>
      <c r="CD952" s="73"/>
      <c r="CE952" s="73"/>
    </row>
    <row r="953">
      <c r="A953" s="131"/>
      <c r="B953" s="73"/>
      <c r="C953" s="73"/>
      <c r="D953" s="74"/>
      <c r="E953" s="73"/>
      <c r="F953" s="73"/>
      <c r="G953" s="73"/>
      <c r="H953" s="73"/>
      <c r="I953" s="73"/>
      <c r="J953" s="73"/>
      <c r="K953" s="92"/>
      <c r="L953" s="73"/>
      <c r="M953" s="73"/>
      <c r="N953" s="73"/>
      <c r="O953" s="73"/>
      <c r="P953" s="73"/>
      <c r="Q953" s="75"/>
      <c r="R953" s="82"/>
      <c r="S953" s="73"/>
      <c r="T953" s="73"/>
      <c r="U953" s="73"/>
      <c r="V953" s="73"/>
      <c r="W953" s="73"/>
      <c r="X953" s="73"/>
      <c r="Y953" s="77"/>
      <c r="Z953" s="104"/>
      <c r="AA953" s="73"/>
      <c r="AB953" s="104"/>
      <c r="AC953" s="104"/>
      <c r="AD953" s="74"/>
      <c r="AE953" s="106"/>
      <c r="AF953" s="195"/>
      <c r="AG953" s="80"/>
      <c r="AH953" s="104"/>
      <c r="AI953" s="73"/>
      <c r="AJ953" s="114"/>
      <c r="AK953" s="106"/>
      <c r="AL953" s="74"/>
      <c r="AM953" s="73"/>
      <c r="AN953" s="73"/>
      <c r="AO953" s="102"/>
      <c r="AP953" s="73"/>
      <c r="AQ953" s="73"/>
      <c r="AR953" s="74"/>
      <c r="AS953" s="73"/>
      <c r="AT953" s="73"/>
      <c r="AU953" s="73"/>
      <c r="AV953" s="73"/>
      <c r="AW953" s="73"/>
      <c r="AX953" s="74"/>
      <c r="AY953" s="73"/>
      <c r="AZ953" s="73"/>
      <c r="BA953" s="74"/>
      <c r="BB953" s="73"/>
      <c r="BC953" s="73"/>
      <c r="BD953" s="73"/>
      <c r="BE953" s="73"/>
      <c r="BF953" s="73"/>
      <c r="BG953" s="73"/>
      <c r="BH953" s="73"/>
      <c r="BI953" s="73"/>
      <c r="BJ953" s="73"/>
      <c r="BK953" s="73"/>
      <c r="BL953" s="73"/>
      <c r="BM953" s="73"/>
      <c r="BN953" s="73"/>
      <c r="BO953" s="73"/>
      <c r="BP953" s="73"/>
      <c r="BQ953" s="73"/>
      <c r="BR953" s="73"/>
      <c r="BS953" s="73"/>
      <c r="BT953" s="74"/>
      <c r="BU953" s="73"/>
      <c r="BV953" s="73"/>
      <c r="BW953" s="73"/>
      <c r="BX953" s="73"/>
      <c r="BY953" s="73"/>
      <c r="BZ953" s="73"/>
      <c r="CA953" s="73"/>
      <c r="CB953" s="73"/>
      <c r="CC953" s="73"/>
      <c r="CD953" s="73"/>
      <c r="CE953" s="73"/>
    </row>
    <row r="954">
      <c r="A954" s="131"/>
      <c r="B954" s="73"/>
      <c r="C954" s="73"/>
      <c r="D954" s="74"/>
      <c r="E954" s="73"/>
      <c r="F954" s="73"/>
      <c r="G954" s="73"/>
      <c r="H954" s="73"/>
      <c r="I954" s="73"/>
      <c r="J954" s="73"/>
      <c r="K954" s="92"/>
      <c r="L954" s="73"/>
      <c r="M954" s="73"/>
      <c r="N954" s="73"/>
      <c r="O954" s="73"/>
      <c r="P954" s="73"/>
      <c r="Q954" s="75"/>
      <c r="R954" s="82"/>
      <c r="S954" s="73"/>
      <c r="T954" s="73"/>
      <c r="U954" s="73"/>
      <c r="V954" s="73"/>
      <c r="W954" s="73"/>
      <c r="X954" s="73"/>
      <c r="Y954" s="77"/>
      <c r="Z954" s="104"/>
      <c r="AA954" s="73"/>
      <c r="AB954" s="104"/>
      <c r="AC954" s="104"/>
      <c r="AD954" s="74"/>
      <c r="AE954" s="106"/>
      <c r="AF954" s="195"/>
      <c r="AG954" s="80"/>
      <c r="AH954" s="104"/>
      <c r="AI954" s="73"/>
      <c r="AJ954" s="114"/>
      <c r="AK954" s="106"/>
      <c r="AL954" s="74"/>
      <c r="AM954" s="73"/>
      <c r="AN954" s="73"/>
      <c r="AO954" s="102"/>
      <c r="AP954" s="73"/>
      <c r="AQ954" s="73"/>
      <c r="AR954" s="74"/>
      <c r="AS954" s="73"/>
      <c r="AT954" s="73"/>
      <c r="AU954" s="73"/>
      <c r="AV954" s="73"/>
      <c r="AW954" s="73"/>
      <c r="AX954" s="74"/>
      <c r="AY954" s="73"/>
      <c r="AZ954" s="73"/>
      <c r="BA954" s="74"/>
      <c r="BB954" s="73"/>
      <c r="BC954" s="73"/>
      <c r="BD954" s="73"/>
      <c r="BE954" s="73"/>
      <c r="BF954" s="73"/>
      <c r="BG954" s="73"/>
      <c r="BH954" s="73"/>
      <c r="BI954" s="73"/>
      <c r="BJ954" s="73"/>
      <c r="BK954" s="73"/>
      <c r="BL954" s="73"/>
      <c r="BM954" s="73"/>
      <c r="BN954" s="73"/>
      <c r="BO954" s="73"/>
      <c r="BP954" s="73"/>
      <c r="BQ954" s="73"/>
      <c r="BR954" s="73"/>
      <c r="BS954" s="73"/>
      <c r="BT954" s="74"/>
      <c r="BU954" s="73"/>
      <c r="BV954" s="73"/>
      <c r="BW954" s="73"/>
      <c r="BX954" s="73"/>
      <c r="BY954" s="73"/>
      <c r="BZ954" s="73"/>
      <c r="CA954" s="73"/>
      <c r="CB954" s="73"/>
      <c r="CC954" s="73"/>
      <c r="CD954" s="73"/>
      <c r="CE954" s="73"/>
    </row>
    <row r="955">
      <c r="A955" s="131"/>
      <c r="B955" s="73"/>
      <c r="C955" s="73"/>
      <c r="D955" s="74"/>
      <c r="E955" s="73"/>
      <c r="F955" s="73"/>
      <c r="G955" s="73"/>
      <c r="H955" s="73"/>
      <c r="I955" s="73"/>
      <c r="J955" s="73"/>
      <c r="K955" s="92"/>
      <c r="L955" s="73"/>
      <c r="M955" s="73"/>
      <c r="N955" s="73"/>
      <c r="O955" s="73"/>
      <c r="P955" s="73"/>
      <c r="Q955" s="75"/>
      <c r="R955" s="82"/>
      <c r="S955" s="73"/>
      <c r="T955" s="73"/>
      <c r="U955" s="73"/>
      <c r="V955" s="73"/>
      <c r="W955" s="73"/>
      <c r="X955" s="73"/>
      <c r="Y955" s="77"/>
      <c r="Z955" s="104"/>
      <c r="AA955" s="73"/>
      <c r="AB955" s="104"/>
      <c r="AC955" s="104"/>
      <c r="AD955" s="74"/>
      <c r="AE955" s="106"/>
      <c r="AF955" s="195"/>
      <c r="AG955" s="80"/>
      <c r="AH955" s="104"/>
      <c r="AI955" s="73"/>
      <c r="AJ955" s="114"/>
      <c r="AK955" s="106"/>
      <c r="AL955" s="74"/>
      <c r="AM955" s="73"/>
      <c r="AN955" s="73"/>
      <c r="AO955" s="102"/>
      <c r="AP955" s="73"/>
      <c r="AQ955" s="73"/>
      <c r="AR955" s="74"/>
      <c r="AS955" s="73"/>
      <c r="AT955" s="73"/>
      <c r="AU955" s="73"/>
      <c r="AV955" s="73"/>
      <c r="AW955" s="73"/>
      <c r="AX955" s="74"/>
      <c r="AY955" s="73"/>
      <c r="AZ955" s="73"/>
      <c r="BA955" s="74"/>
      <c r="BB955" s="73"/>
      <c r="BC955" s="73"/>
      <c r="BD955" s="73"/>
      <c r="BE955" s="73"/>
      <c r="BF955" s="73"/>
      <c r="BG955" s="73"/>
      <c r="BH955" s="73"/>
      <c r="BI955" s="73"/>
      <c r="BJ955" s="73"/>
      <c r="BK955" s="73"/>
      <c r="BL955" s="73"/>
      <c r="BM955" s="73"/>
      <c r="BN955" s="73"/>
      <c r="BO955" s="73"/>
      <c r="BP955" s="73"/>
      <c r="BQ955" s="73"/>
      <c r="BR955" s="73"/>
      <c r="BS955" s="73"/>
      <c r="BT955" s="74"/>
      <c r="BU955" s="73"/>
      <c r="BV955" s="73"/>
      <c r="BW955" s="73"/>
      <c r="BX955" s="73"/>
      <c r="BY955" s="73"/>
      <c r="BZ955" s="73"/>
      <c r="CA955" s="73"/>
      <c r="CB955" s="73"/>
      <c r="CC955" s="73"/>
      <c r="CD955" s="73"/>
      <c r="CE955" s="73"/>
    </row>
    <row r="956">
      <c r="A956" s="131"/>
      <c r="B956" s="73"/>
      <c r="C956" s="73"/>
      <c r="D956" s="74"/>
      <c r="E956" s="73"/>
      <c r="F956" s="73"/>
      <c r="G956" s="73"/>
      <c r="H956" s="73"/>
      <c r="I956" s="73"/>
      <c r="J956" s="73"/>
      <c r="K956" s="92"/>
      <c r="L956" s="73"/>
      <c r="M956" s="73"/>
      <c r="N956" s="73"/>
      <c r="O956" s="73"/>
      <c r="P956" s="73"/>
      <c r="Q956" s="75"/>
      <c r="R956" s="82"/>
      <c r="S956" s="73"/>
      <c r="T956" s="73"/>
      <c r="U956" s="73"/>
      <c r="V956" s="73"/>
      <c r="W956" s="73"/>
      <c r="X956" s="73"/>
      <c r="Y956" s="77"/>
      <c r="Z956" s="104"/>
      <c r="AA956" s="73"/>
      <c r="AB956" s="104"/>
      <c r="AC956" s="104"/>
      <c r="AD956" s="74"/>
      <c r="AE956" s="106"/>
      <c r="AF956" s="195"/>
      <c r="AG956" s="80"/>
      <c r="AH956" s="104"/>
      <c r="AI956" s="73"/>
      <c r="AJ956" s="114"/>
      <c r="AK956" s="106"/>
      <c r="AL956" s="74"/>
      <c r="AM956" s="73"/>
      <c r="AN956" s="73"/>
      <c r="AO956" s="102"/>
      <c r="AP956" s="73"/>
      <c r="AQ956" s="73"/>
      <c r="AR956" s="74"/>
      <c r="AS956" s="73"/>
      <c r="AT956" s="73"/>
      <c r="AU956" s="73"/>
      <c r="AV956" s="73"/>
      <c r="AW956" s="73"/>
      <c r="AX956" s="74"/>
      <c r="AY956" s="73"/>
      <c r="AZ956" s="73"/>
      <c r="BA956" s="74"/>
      <c r="BB956" s="73"/>
      <c r="BC956" s="73"/>
      <c r="BD956" s="73"/>
      <c r="BE956" s="73"/>
      <c r="BF956" s="73"/>
      <c r="BG956" s="73"/>
      <c r="BH956" s="73"/>
      <c r="BI956" s="73"/>
      <c r="BJ956" s="73"/>
      <c r="BK956" s="73"/>
      <c r="BL956" s="73"/>
      <c r="BM956" s="73"/>
      <c r="BN956" s="73"/>
      <c r="BO956" s="73"/>
      <c r="BP956" s="73"/>
      <c r="BQ956" s="73"/>
      <c r="BR956" s="73"/>
      <c r="BS956" s="73"/>
      <c r="BT956" s="74"/>
      <c r="BU956" s="73"/>
      <c r="BV956" s="73"/>
      <c r="BW956" s="73"/>
      <c r="BX956" s="73"/>
      <c r="BY956" s="73"/>
      <c r="BZ956" s="73"/>
      <c r="CA956" s="73"/>
      <c r="CB956" s="73"/>
      <c r="CC956" s="73"/>
      <c r="CD956" s="73"/>
      <c r="CE956" s="73"/>
    </row>
    <row r="957">
      <c r="A957" s="131"/>
      <c r="B957" s="73"/>
      <c r="C957" s="73"/>
      <c r="D957" s="74"/>
      <c r="E957" s="73"/>
      <c r="F957" s="73"/>
      <c r="G957" s="73"/>
      <c r="H957" s="73"/>
      <c r="I957" s="73"/>
      <c r="J957" s="73"/>
      <c r="K957" s="92"/>
      <c r="L957" s="73"/>
      <c r="M957" s="73"/>
      <c r="N957" s="73"/>
      <c r="O957" s="73"/>
      <c r="P957" s="73"/>
      <c r="Q957" s="75"/>
      <c r="R957" s="82"/>
      <c r="S957" s="73"/>
      <c r="T957" s="73"/>
      <c r="U957" s="73"/>
      <c r="V957" s="73"/>
      <c r="W957" s="73"/>
      <c r="X957" s="73"/>
      <c r="Y957" s="77"/>
      <c r="Z957" s="104"/>
      <c r="AA957" s="73"/>
      <c r="AB957" s="104"/>
      <c r="AC957" s="104"/>
      <c r="AD957" s="74"/>
      <c r="AE957" s="106"/>
      <c r="AF957" s="195"/>
      <c r="AG957" s="80"/>
      <c r="AH957" s="104"/>
      <c r="AI957" s="73"/>
      <c r="AJ957" s="114"/>
      <c r="AK957" s="106"/>
      <c r="AL957" s="74"/>
      <c r="AM957" s="73"/>
      <c r="AN957" s="73"/>
      <c r="AO957" s="102"/>
      <c r="AP957" s="73"/>
      <c r="AQ957" s="73"/>
      <c r="AR957" s="74"/>
      <c r="AS957" s="73"/>
      <c r="AT957" s="73"/>
      <c r="AU957" s="73"/>
      <c r="AV957" s="73"/>
      <c r="AW957" s="73"/>
      <c r="AX957" s="74"/>
      <c r="AY957" s="73"/>
      <c r="AZ957" s="73"/>
      <c r="BA957" s="74"/>
      <c r="BB957" s="73"/>
      <c r="BC957" s="73"/>
      <c r="BD957" s="73"/>
      <c r="BE957" s="73"/>
      <c r="BF957" s="73"/>
      <c r="BG957" s="73"/>
      <c r="BH957" s="73"/>
      <c r="BI957" s="73"/>
      <c r="BJ957" s="73"/>
      <c r="BK957" s="73"/>
      <c r="BL957" s="73"/>
      <c r="BM957" s="73"/>
      <c r="BN957" s="73"/>
      <c r="BO957" s="73"/>
      <c r="BP957" s="73"/>
      <c r="BQ957" s="73"/>
      <c r="BR957" s="73"/>
      <c r="BS957" s="73"/>
      <c r="BT957" s="74"/>
      <c r="BU957" s="73"/>
      <c r="BV957" s="73"/>
      <c r="BW957" s="73"/>
      <c r="BX957" s="73"/>
      <c r="BY957" s="73"/>
      <c r="BZ957" s="73"/>
      <c r="CA957" s="73"/>
      <c r="CB957" s="73"/>
      <c r="CC957" s="73"/>
      <c r="CD957" s="73"/>
      <c r="CE957" s="73"/>
    </row>
    <row r="958">
      <c r="A958" s="131"/>
      <c r="B958" s="73"/>
      <c r="C958" s="73"/>
      <c r="D958" s="74"/>
      <c r="E958" s="73"/>
      <c r="F958" s="73"/>
      <c r="G958" s="73"/>
      <c r="H958" s="73"/>
      <c r="I958" s="73"/>
      <c r="J958" s="73"/>
      <c r="K958" s="92"/>
      <c r="L958" s="73"/>
      <c r="M958" s="73"/>
      <c r="N958" s="73"/>
      <c r="O958" s="73"/>
      <c r="P958" s="73"/>
      <c r="Q958" s="75"/>
      <c r="R958" s="82"/>
      <c r="S958" s="73"/>
      <c r="T958" s="73"/>
      <c r="U958" s="73"/>
      <c r="V958" s="73"/>
      <c r="W958" s="73"/>
      <c r="X958" s="73"/>
      <c r="Y958" s="77"/>
      <c r="Z958" s="104"/>
      <c r="AA958" s="73"/>
      <c r="AB958" s="104"/>
      <c r="AC958" s="104"/>
      <c r="AD958" s="74"/>
      <c r="AE958" s="106"/>
      <c r="AF958" s="195"/>
      <c r="AG958" s="80"/>
      <c r="AH958" s="104"/>
      <c r="AI958" s="73"/>
      <c r="AJ958" s="114"/>
      <c r="AK958" s="106"/>
      <c r="AL958" s="74"/>
      <c r="AM958" s="73"/>
      <c r="AN958" s="73"/>
      <c r="AO958" s="102"/>
      <c r="AP958" s="73"/>
      <c r="AQ958" s="73"/>
      <c r="AR958" s="74"/>
      <c r="AS958" s="73"/>
      <c r="AT958" s="73"/>
      <c r="AU958" s="73"/>
      <c r="AV958" s="73"/>
      <c r="AW958" s="73"/>
      <c r="AX958" s="74"/>
      <c r="AY958" s="73"/>
      <c r="AZ958" s="73"/>
      <c r="BA958" s="74"/>
      <c r="BB958" s="73"/>
      <c r="BC958" s="73"/>
      <c r="BD958" s="73"/>
      <c r="BE958" s="73"/>
      <c r="BF958" s="73"/>
      <c r="BG958" s="73"/>
      <c r="BH958" s="73"/>
      <c r="BI958" s="73"/>
      <c r="BJ958" s="73"/>
      <c r="BK958" s="73"/>
      <c r="BL958" s="73"/>
      <c r="BM958" s="73"/>
      <c r="BN958" s="73"/>
      <c r="BO958" s="73"/>
      <c r="BP958" s="73"/>
      <c r="BQ958" s="73"/>
      <c r="BR958" s="73"/>
      <c r="BS958" s="73"/>
      <c r="BT958" s="74"/>
      <c r="BU958" s="73"/>
      <c r="BV958" s="73"/>
      <c r="BW958" s="73"/>
      <c r="BX958" s="73"/>
      <c r="BY958" s="73"/>
      <c r="BZ958" s="73"/>
      <c r="CA958" s="73"/>
      <c r="CB958" s="73"/>
      <c r="CC958" s="73"/>
      <c r="CD958" s="73"/>
      <c r="CE958" s="73"/>
    </row>
    <row r="959">
      <c r="A959" s="131"/>
      <c r="B959" s="73"/>
      <c r="C959" s="73"/>
      <c r="D959" s="74"/>
      <c r="E959" s="73"/>
      <c r="F959" s="73"/>
      <c r="G959" s="73"/>
      <c r="H959" s="73"/>
      <c r="I959" s="73"/>
      <c r="J959" s="73"/>
      <c r="K959" s="92"/>
      <c r="L959" s="73"/>
      <c r="M959" s="73"/>
      <c r="N959" s="73"/>
      <c r="O959" s="73"/>
      <c r="P959" s="73"/>
      <c r="Q959" s="75"/>
      <c r="R959" s="82"/>
      <c r="S959" s="73"/>
      <c r="T959" s="73"/>
      <c r="U959" s="73"/>
      <c r="V959" s="73"/>
      <c r="W959" s="73"/>
      <c r="X959" s="73"/>
      <c r="Y959" s="77"/>
      <c r="Z959" s="104"/>
      <c r="AA959" s="73"/>
      <c r="AB959" s="104"/>
      <c r="AC959" s="104"/>
      <c r="AD959" s="74"/>
      <c r="AE959" s="106"/>
      <c r="AF959" s="195"/>
      <c r="AG959" s="80"/>
      <c r="AH959" s="104"/>
      <c r="AI959" s="73"/>
      <c r="AJ959" s="114"/>
      <c r="AK959" s="106"/>
      <c r="AL959" s="74"/>
      <c r="AM959" s="73"/>
      <c r="AN959" s="73"/>
      <c r="AO959" s="102"/>
      <c r="AP959" s="73"/>
      <c r="AQ959" s="73"/>
      <c r="AR959" s="74"/>
      <c r="AS959" s="73"/>
      <c r="AT959" s="73"/>
      <c r="AU959" s="73"/>
      <c r="AV959" s="73"/>
      <c r="AW959" s="73"/>
      <c r="AX959" s="74"/>
      <c r="AY959" s="73"/>
      <c r="AZ959" s="73"/>
      <c r="BA959" s="74"/>
      <c r="BB959" s="73"/>
      <c r="BC959" s="73"/>
      <c r="BD959" s="73"/>
      <c r="BE959" s="73"/>
      <c r="BF959" s="73"/>
      <c r="BG959" s="73"/>
      <c r="BH959" s="73"/>
      <c r="BI959" s="73"/>
      <c r="BJ959" s="73"/>
      <c r="BK959" s="73"/>
      <c r="BL959" s="73"/>
      <c r="BM959" s="73"/>
      <c r="BN959" s="73"/>
      <c r="BO959" s="73"/>
      <c r="BP959" s="73"/>
      <c r="BQ959" s="73"/>
      <c r="BR959" s="73"/>
      <c r="BS959" s="73"/>
      <c r="BT959" s="74"/>
      <c r="BU959" s="73"/>
      <c r="BV959" s="73"/>
      <c r="BW959" s="73"/>
      <c r="BX959" s="73"/>
      <c r="BY959" s="73"/>
      <c r="BZ959" s="73"/>
      <c r="CA959" s="73"/>
      <c r="CB959" s="73"/>
      <c r="CC959" s="73"/>
      <c r="CD959" s="73"/>
      <c r="CE959" s="73"/>
    </row>
    <row r="960">
      <c r="A960" s="131"/>
      <c r="B960" s="73"/>
      <c r="C960" s="73"/>
      <c r="D960" s="74"/>
      <c r="E960" s="73"/>
      <c r="F960" s="73"/>
      <c r="G960" s="73"/>
      <c r="H960" s="73"/>
      <c r="I960" s="73"/>
      <c r="J960" s="73"/>
      <c r="K960" s="92"/>
      <c r="L960" s="73"/>
      <c r="M960" s="73"/>
      <c r="N960" s="73"/>
      <c r="O960" s="73"/>
      <c r="P960" s="73"/>
      <c r="Q960" s="75"/>
      <c r="R960" s="82"/>
      <c r="S960" s="73"/>
      <c r="T960" s="73"/>
      <c r="U960" s="73"/>
      <c r="V960" s="73"/>
      <c r="W960" s="73"/>
      <c r="X960" s="73"/>
      <c r="Y960" s="77"/>
      <c r="Z960" s="104"/>
      <c r="AA960" s="73"/>
      <c r="AB960" s="104"/>
      <c r="AC960" s="104"/>
      <c r="AD960" s="74"/>
      <c r="AE960" s="106"/>
      <c r="AF960" s="195"/>
      <c r="AG960" s="80"/>
      <c r="AH960" s="104"/>
      <c r="AI960" s="73"/>
      <c r="AJ960" s="114"/>
      <c r="AK960" s="106"/>
      <c r="AL960" s="74"/>
      <c r="AM960" s="73"/>
      <c r="AN960" s="73"/>
      <c r="AO960" s="102"/>
      <c r="AP960" s="73"/>
      <c r="AQ960" s="73"/>
      <c r="AR960" s="74"/>
      <c r="AS960" s="73"/>
      <c r="AT960" s="73"/>
      <c r="AU960" s="73"/>
      <c r="AV960" s="73"/>
      <c r="AW960" s="73"/>
      <c r="AX960" s="74"/>
      <c r="AY960" s="73"/>
      <c r="AZ960" s="73"/>
      <c r="BA960" s="74"/>
      <c r="BB960" s="73"/>
      <c r="BC960" s="73"/>
      <c r="BD960" s="73"/>
      <c r="BE960" s="73"/>
      <c r="BF960" s="73"/>
      <c r="BG960" s="73"/>
      <c r="BH960" s="73"/>
      <c r="BI960" s="73"/>
      <c r="BJ960" s="73"/>
      <c r="BK960" s="73"/>
      <c r="BL960" s="73"/>
      <c r="BM960" s="73"/>
      <c r="BN960" s="73"/>
      <c r="BO960" s="73"/>
      <c r="BP960" s="73"/>
      <c r="BQ960" s="73"/>
      <c r="BR960" s="73"/>
      <c r="BS960" s="73"/>
      <c r="BT960" s="74"/>
      <c r="BU960" s="73"/>
      <c r="BV960" s="73"/>
      <c r="BW960" s="73"/>
      <c r="BX960" s="73"/>
      <c r="BY960" s="73"/>
      <c r="BZ960" s="73"/>
      <c r="CA960" s="73"/>
      <c r="CB960" s="73"/>
      <c r="CC960" s="73"/>
      <c r="CD960" s="73"/>
      <c r="CE960" s="73"/>
    </row>
    <row r="961">
      <c r="A961" s="131"/>
      <c r="B961" s="73"/>
      <c r="C961" s="73"/>
      <c r="D961" s="74"/>
      <c r="E961" s="73"/>
      <c r="F961" s="73"/>
      <c r="G961" s="73"/>
      <c r="H961" s="73"/>
      <c r="I961" s="73"/>
      <c r="J961" s="73"/>
      <c r="K961" s="92"/>
      <c r="L961" s="73"/>
      <c r="M961" s="73"/>
      <c r="N961" s="73"/>
      <c r="O961" s="73"/>
      <c r="P961" s="73"/>
      <c r="Q961" s="75"/>
      <c r="R961" s="82"/>
      <c r="S961" s="73"/>
      <c r="T961" s="73"/>
      <c r="U961" s="73"/>
      <c r="V961" s="73"/>
      <c r="W961" s="73"/>
      <c r="X961" s="73"/>
      <c r="Y961" s="77"/>
      <c r="Z961" s="104"/>
      <c r="AA961" s="73"/>
      <c r="AB961" s="104"/>
      <c r="AC961" s="104"/>
      <c r="AD961" s="74"/>
      <c r="AE961" s="106"/>
      <c r="AF961" s="195"/>
      <c r="AG961" s="80"/>
      <c r="AH961" s="104"/>
      <c r="AI961" s="73"/>
      <c r="AJ961" s="114"/>
      <c r="AK961" s="106"/>
      <c r="AL961" s="74"/>
      <c r="AM961" s="73"/>
      <c r="AN961" s="73"/>
      <c r="AO961" s="102"/>
      <c r="AP961" s="73"/>
      <c r="AQ961" s="73"/>
      <c r="AR961" s="74"/>
      <c r="AS961" s="73"/>
      <c r="AT961" s="73"/>
      <c r="AU961" s="73"/>
      <c r="AV961" s="73"/>
      <c r="AW961" s="73"/>
      <c r="AX961" s="74"/>
      <c r="AY961" s="73"/>
      <c r="AZ961" s="73"/>
      <c r="BA961" s="74"/>
      <c r="BB961" s="73"/>
      <c r="BC961" s="73"/>
      <c r="BD961" s="73"/>
      <c r="BE961" s="73"/>
      <c r="BF961" s="73"/>
      <c r="BG961" s="73"/>
      <c r="BH961" s="73"/>
      <c r="BI961" s="73"/>
      <c r="BJ961" s="73"/>
      <c r="BK961" s="73"/>
      <c r="BL961" s="73"/>
      <c r="BM961" s="73"/>
      <c r="BN961" s="73"/>
      <c r="BO961" s="73"/>
      <c r="BP961" s="73"/>
      <c r="BQ961" s="73"/>
      <c r="BR961" s="73"/>
      <c r="BS961" s="73"/>
      <c r="BT961" s="74"/>
      <c r="BU961" s="73"/>
      <c r="BV961" s="73"/>
      <c r="BW961" s="73"/>
      <c r="BX961" s="73"/>
      <c r="BY961" s="73"/>
      <c r="BZ961" s="73"/>
      <c r="CA961" s="73"/>
      <c r="CB961" s="73"/>
      <c r="CC961" s="73"/>
      <c r="CD961" s="73"/>
      <c r="CE961" s="73"/>
    </row>
    <row r="962">
      <c r="A962" s="131"/>
      <c r="B962" s="73"/>
      <c r="C962" s="73"/>
      <c r="D962" s="74"/>
      <c r="E962" s="73"/>
      <c r="F962" s="73"/>
      <c r="G962" s="73"/>
      <c r="H962" s="73"/>
      <c r="I962" s="73"/>
      <c r="J962" s="73"/>
      <c r="K962" s="92"/>
      <c r="L962" s="73"/>
      <c r="M962" s="73"/>
      <c r="N962" s="73"/>
      <c r="O962" s="73"/>
      <c r="P962" s="73"/>
      <c r="Q962" s="75"/>
      <c r="R962" s="82"/>
      <c r="S962" s="73"/>
      <c r="T962" s="73"/>
      <c r="U962" s="73"/>
      <c r="V962" s="73"/>
      <c r="W962" s="73"/>
      <c r="X962" s="73"/>
      <c r="Y962" s="77"/>
      <c r="Z962" s="104"/>
      <c r="AA962" s="73"/>
      <c r="AB962" s="104"/>
      <c r="AC962" s="104"/>
      <c r="AD962" s="74"/>
      <c r="AE962" s="106"/>
      <c r="AF962" s="195"/>
      <c r="AG962" s="80"/>
      <c r="AH962" s="104"/>
      <c r="AI962" s="73"/>
      <c r="AJ962" s="114"/>
      <c r="AK962" s="106"/>
      <c r="AL962" s="74"/>
      <c r="AM962" s="73"/>
      <c r="AN962" s="73"/>
      <c r="AO962" s="102"/>
      <c r="AP962" s="73"/>
      <c r="AQ962" s="73"/>
      <c r="AR962" s="74"/>
      <c r="AS962" s="73"/>
      <c r="AT962" s="73"/>
      <c r="AU962" s="73"/>
      <c r="AV962" s="73"/>
      <c r="AW962" s="73"/>
      <c r="AX962" s="74"/>
      <c r="AY962" s="73"/>
      <c r="AZ962" s="73"/>
      <c r="BA962" s="74"/>
      <c r="BB962" s="73"/>
      <c r="BC962" s="73"/>
      <c r="BD962" s="73"/>
      <c r="BE962" s="73"/>
      <c r="BF962" s="73"/>
      <c r="BG962" s="73"/>
      <c r="BH962" s="73"/>
      <c r="BI962" s="73"/>
      <c r="BJ962" s="73"/>
      <c r="BK962" s="73"/>
      <c r="BL962" s="73"/>
      <c r="BM962" s="73"/>
      <c r="BN962" s="73"/>
      <c r="BO962" s="73"/>
      <c r="BP962" s="73"/>
      <c r="BQ962" s="73"/>
      <c r="BR962" s="73"/>
      <c r="BS962" s="73"/>
      <c r="BT962" s="74"/>
      <c r="BU962" s="73"/>
      <c r="BV962" s="73"/>
      <c r="BW962" s="73"/>
      <c r="BX962" s="73"/>
      <c r="BY962" s="73"/>
      <c r="BZ962" s="73"/>
      <c r="CA962" s="73"/>
      <c r="CB962" s="73"/>
      <c r="CC962" s="73"/>
      <c r="CD962" s="73"/>
      <c r="CE962" s="73"/>
    </row>
    <row r="963">
      <c r="A963" s="131"/>
      <c r="B963" s="73"/>
      <c r="C963" s="73"/>
      <c r="D963" s="74"/>
      <c r="E963" s="73"/>
      <c r="F963" s="73"/>
      <c r="G963" s="73"/>
      <c r="H963" s="73"/>
      <c r="I963" s="73"/>
      <c r="J963" s="73"/>
      <c r="K963" s="92"/>
      <c r="L963" s="73"/>
      <c r="M963" s="73"/>
      <c r="N963" s="73"/>
      <c r="O963" s="73"/>
      <c r="P963" s="73"/>
      <c r="Q963" s="75"/>
      <c r="R963" s="82"/>
      <c r="S963" s="73"/>
      <c r="T963" s="73"/>
      <c r="U963" s="73"/>
      <c r="V963" s="73"/>
      <c r="W963" s="73"/>
      <c r="X963" s="73"/>
      <c r="Y963" s="77"/>
      <c r="Z963" s="104"/>
      <c r="AA963" s="73"/>
      <c r="AB963" s="104"/>
      <c r="AC963" s="104"/>
      <c r="AD963" s="74"/>
      <c r="AE963" s="106"/>
      <c r="AF963" s="195"/>
      <c r="AG963" s="80"/>
      <c r="AH963" s="104"/>
      <c r="AI963" s="73"/>
      <c r="AJ963" s="114"/>
      <c r="AK963" s="106"/>
      <c r="AL963" s="74"/>
      <c r="AM963" s="73"/>
      <c r="AN963" s="73"/>
      <c r="AO963" s="102"/>
      <c r="AP963" s="73"/>
      <c r="AQ963" s="73"/>
      <c r="AR963" s="74"/>
      <c r="AS963" s="73"/>
      <c r="AT963" s="73"/>
      <c r="AU963" s="73"/>
      <c r="AV963" s="73"/>
      <c r="AW963" s="73"/>
      <c r="AX963" s="74"/>
      <c r="AY963" s="73"/>
      <c r="AZ963" s="73"/>
      <c r="BA963" s="74"/>
      <c r="BB963" s="73"/>
      <c r="BC963" s="73"/>
      <c r="BD963" s="73"/>
      <c r="BE963" s="73"/>
      <c r="BF963" s="73"/>
      <c r="BG963" s="73"/>
      <c r="BH963" s="73"/>
      <c r="BI963" s="73"/>
      <c r="BJ963" s="73"/>
      <c r="BK963" s="73"/>
      <c r="BL963" s="73"/>
      <c r="BM963" s="73"/>
      <c r="BN963" s="73"/>
      <c r="BO963" s="73"/>
      <c r="BP963" s="73"/>
      <c r="BQ963" s="73"/>
      <c r="BR963" s="73"/>
      <c r="BS963" s="73"/>
      <c r="BT963" s="74"/>
      <c r="BU963" s="73"/>
      <c r="BV963" s="73"/>
      <c r="BW963" s="73"/>
      <c r="BX963" s="73"/>
      <c r="BY963" s="73"/>
      <c r="BZ963" s="73"/>
      <c r="CA963" s="73"/>
      <c r="CB963" s="73"/>
      <c r="CC963" s="73"/>
      <c r="CD963" s="73"/>
      <c r="CE963" s="73"/>
    </row>
    <row r="964">
      <c r="A964" s="131"/>
      <c r="B964" s="73"/>
      <c r="C964" s="73"/>
      <c r="D964" s="74"/>
      <c r="E964" s="73"/>
      <c r="F964" s="73"/>
      <c r="G964" s="73"/>
      <c r="H964" s="73"/>
      <c r="I964" s="73"/>
      <c r="J964" s="73"/>
      <c r="K964" s="92"/>
      <c r="L964" s="73"/>
      <c r="M964" s="73"/>
      <c r="N964" s="73"/>
      <c r="O964" s="73"/>
      <c r="P964" s="73"/>
      <c r="Q964" s="75"/>
      <c r="R964" s="82"/>
      <c r="S964" s="73"/>
      <c r="T964" s="73"/>
      <c r="U964" s="73"/>
      <c r="V964" s="73"/>
      <c r="W964" s="73"/>
      <c r="X964" s="73"/>
      <c r="Y964" s="77"/>
      <c r="Z964" s="104"/>
      <c r="AA964" s="73"/>
      <c r="AB964" s="104"/>
      <c r="AC964" s="104"/>
      <c r="AD964" s="74"/>
      <c r="AE964" s="106"/>
      <c r="AF964" s="195"/>
      <c r="AG964" s="80"/>
      <c r="AH964" s="104"/>
      <c r="AI964" s="73"/>
      <c r="AJ964" s="114"/>
      <c r="AK964" s="106"/>
      <c r="AL964" s="74"/>
      <c r="AM964" s="73"/>
      <c r="AN964" s="73"/>
      <c r="AO964" s="102"/>
      <c r="AP964" s="73"/>
      <c r="AQ964" s="73"/>
      <c r="AR964" s="74"/>
      <c r="AS964" s="73"/>
      <c r="AT964" s="73"/>
      <c r="AU964" s="73"/>
      <c r="AV964" s="73"/>
      <c r="AW964" s="73"/>
      <c r="AX964" s="74"/>
      <c r="AY964" s="73"/>
      <c r="AZ964" s="73"/>
      <c r="BA964" s="74"/>
      <c r="BB964" s="73"/>
      <c r="BC964" s="73"/>
      <c r="BD964" s="73"/>
      <c r="BE964" s="73"/>
      <c r="BF964" s="73"/>
      <c r="BG964" s="73"/>
      <c r="BH964" s="73"/>
      <c r="BI964" s="73"/>
      <c r="BJ964" s="73"/>
      <c r="BK964" s="73"/>
      <c r="BL964" s="73"/>
      <c r="BM964" s="73"/>
      <c r="BN964" s="73"/>
      <c r="BO964" s="73"/>
      <c r="BP964" s="73"/>
      <c r="BQ964" s="73"/>
      <c r="BR964" s="73"/>
      <c r="BS964" s="73"/>
      <c r="BT964" s="74"/>
      <c r="BU964" s="73"/>
      <c r="BV964" s="73"/>
      <c r="BW964" s="73"/>
      <c r="BX964" s="73"/>
      <c r="BY964" s="73"/>
      <c r="BZ964" s="73"/>
      <c r="CA964" s="73"/>
      <c r="CB964" s="73"/>
      <c r="CC964" s="73"/>
      <c r="CD964" s="73"/>
      <c r="CE964" s="73"/>
    </row>
    <row r="965">
      <c r="A965" s="131"/>
      <c r="B965" s="73"/>
      <c r="C965" s="73"/>
      <c r="D965" s="74"/>
      <c r="E965" s="73"/>
      <c r="F965" s="73"/>
      <c r="G965" s="73"/>
      <c r="H965" s="73"/>
      <c r="I965" s="73"/>
      <c r="J965" s="73"/>
      <c r="K965" s="92"/>
      <c r="L965" s="73"/>
      <c r="M965" s="73"/>
      <c r="N965" s="73"/>
      <c r="O965" s="73"/>
      <c r="P965" s="73"/>
      <c r="Q965" s="75"/>
      <c r="R965" s="82"/>
      <c r="S965" s="73"/>
      <c r="T965" s="73"/>
      <c r="U965" s="73"/>
      <c r="V965" s="73"/>
      <c r="W965" s="73"/>
      <c r="X965" s="73"/>
      <c r="Y965" s="77"/>
      <c r="Z965" s="104"/>
      <c r="AA965" s="73"/>
      <c r="AB965" s="104"/>
      <c r="AC965" s="104"/>
      <c r="AD965" s="74"/>
      <c r="AE965" s="106"/>
      <c r="AF965" s="195"/>
      <c r="AG965" s="80"/>
      <c r="AH965" s="104"/>
      <c r="AI965" s="73"/>
      <c r="AJ965" s="114"/>
      <c r="AK965" s="106"/>
      <c r="AL965" s="74"/>
      <c r="AM965" s="73"/>
      <c r="AN965" s="73"/>
      <c r="AO965" s="102"/>
      <c r="AP965" s="73"/>
      <c r="AQ965" s="73"/>
      <c r="AR965" s="74"/>
      <c r="AS965" s="73"/>
      <c r="AT965" s="73"/>
      <c r="AU965" s="73"/>
      <c r="AV965" s="73"/>
      <c r="AW965" s="73"/>
      <c r="AX965" s="74"/>
      <c r="AY965" s="73"/>
      <c r="AZ965" s="73"/>
      <c r="BA965" s="74"/>
      <c r="BB965" s="73"/>
      <c r="BC965" s="73"/>
      <c r="BD965" s="73"/>
      <c r="BE965" s="73"/>
      <c r="BF965" s="73"/>
      <c r="BG965" s="73"/>
      <c r="BH965" s="73"/>
      <c r="BI965" s="73"/>
      <c r="BJ965" s="73"/>
      <c r="BK965" s="73"/>
      <c r="BL965" s="73"/>
      <c r="BM965" s="73"/>
      <c r="BN965" s="73"/>
      <c r="BO965" s="73"/>
      <c r="BP965" s="73"/>
      <c r="BQ965" s="73"/>
      <c r="BR965" s="73"/>
      <c r="BS965" s="73"/>
      <c r="BT965" s="74"/>
      <c r="BU965" s="73"/>
      <c r="BV965" s="73"/>
      <c r="BW965" s="73"/>
      <c r="BX965" s="73"/>
      <c r="BY965" s="73"/>
      <c r="BZ965" s="73"/>
      <c r="CA965" s="73"/>
      <c r="CB965" s="73"/>
      <c r="CC965" s="73"/>
      <c r="CD965" s="73"/>
      <c r="CE965" s="73"/>
    </row>
    <row r="966">
      <c r="A966" s="131"/>
      <c r="B966" s="73"/>
      <c r="C966" s="73"/>
      <c r="D966" s="74"/>
      <c r="E966" s="73"/>
      <c r="F966" s="73"/>
      <c r="G966" s="73"/>
      <c r="H966" s="73"/>
      <c r="I966" s="73"/>
      <c r="J966" s="73"/>
      <c r="K966" s="92"/>
      <c r="L966" s="73"/>
      <c r="M966" s="73"/>
      <c r="N966" s="73"/>
      <c r="O966" s="73"/>
      <c r="P966" s="73"/>
      <c r="Q966" s="75"/>
      <c r="R966" s="82"/>
      <c r="S966" s="73"/>
      <c r="T966" s="73"/>
      <c r="U966" s="73"/>
      <c r="V966" s="73"/>
      <c r="W966" s="73"/>
      <c r="X966" s="73"/>
      <c r="Y966" s="77"/>
      <c r="Z966" s="104"/>
      <c r="AA966" s="73"/>
      <c r="AB966" s="104"/>
      <c r="AC966" s="104"/>
      <c r="AD966" s="74"/>
      <c r="AE966" s="106"/>
      <c r="AF966" s="195"/>
      <c r="AG966" s="80"/>
      <c r="AH966" s="104"/>
      <c r="AI966" s="73"/>
      <c r="AJ966" s="114"/>
      <c r="AK966" s="106"/>
      <c r="AL966" s="74"/>
      <c r="AM966" s="73"/>
      <c r="AN966" s="73"/>
      <c r="AO966" s="102"/>
      <c r="AP966" s="73"/>
      <c r="AQ966" s="73"/>
      <c r="AR966" s="74"/>
      <c r="AS966" s="73"/>
      <c r="AT966" s="73"/>
      <c r="AU966" s="73"/>
      <c r="AV966" s="73"/>
      <c r="AW966" s="73"/>
      <c r="AX966" s="74"/>
      <c r="AY966" s="73"/>
      <c r="AZ966" s="73"/>
      <c r="BA966" s="74"/>
      <c r="BB966" s="73"/>
      <c r="BC966" s="73"/>
      <c r="BD966" s="73"/>
      <c r="BE966" s="73"/>
      <c r="BF966" s="73"/>
      <c r="BG966" s="73"/>
      <c r="BH966" s="73"/>
      <c r="BI966" s="73"/>
      <c r="BJ966" s="73"/>
      <c r="BK966" s="73"/>
      <c r="BL966" s="73"/>
      <c r="BM966" s="73"/>
      <c r="BN966" s="73"/>
      <c r="BO966" s="73"/>
      <c r="BP966" s="73"/>
      <c r="BQ966" s="73"/>
      <c r="BR966" s="73"/>
      <c r="BS966" s="73"/>
      <c r="BT966" s="74"/>
      <c r="BU966" s="73"/>
      <c r="BV966" s="73"/>
      <c r="BW966" s="73"/>
      <c r="BX966" s="73"/>
      <c r="BY966" s="73"/>
      <c r="BZ966" s="73"/>
      <c r="CA966" s="73"/>
      <c r="CB966" s="73"/>
      <c r="CC966" s="73"/>
      <c r="CD966" s="73"/>
      <c r="CE966" s="73"/>
    </row>
    <row r="967">
      <c r="A967" s="131"/>
      <c r="B967" s="73"/>
      <c r="C967" s="73"/>
      <c r="D967" s="74"/>
      <c r="E967" s="73"/>
      <c r="F967" s="73"/>
      <c r="G967" s="73"/>
      <c r="H967" s="73"/>
      <c r="I967" s="73"/>
      <c r="J967" s="73"/>
      <c r="K967" s="92"/>
      <c r="L967" s="73"/>
      <c r="M967" s="73"/>
      <c r="N967" s="73"/>
      <c r="O967" s="73"/>
      <c r="P967" s="73"/>
      <c r="Q967" s="75"/>
      <c r="R967" s="82"/>
      <c r="S967" s="73"/>
      <c r="T967" s="73"/>
      <c r="U967" s="73"/>
      <c r="V967" s="73"/>
      <c r="W967" s="73"/>
      <c r="X967" s="73"/>
      <c r="Y967" s="77"/>
      <c r="Z967" s="104"/>
      <c r="AA967" s="73"/>
      <c r="AB967" s="104"/>
      <c r="AC967" s="104"/>
      <c r="AD967" s="74"/>
      <c r="AE967" s="106"/>
      <c r="AF967" s="195"/>
      <c r="AG967" s="80"/>
      <c r="AH967" s="104"/>
      <c r="AI967" s="73"/>
      <c r="AJ967" s="114"/>
      <c r="AK967" s="106"/>
      <c r="AL967" s="74"/>
      <c r="AM967" s="73"/>
      <c r="AN967" s="73"/>
      <c r="AO967" s="102"/>
      <c r="AP967" s="73"/>
      <c r="AQ967" s="73"/>
      <c r="AR967" s="74"/>
      <c r="AS967" s="73"/>
      <c r="AT967" s="73"/>
      <c r="AU967" s="73"/>
      <c r="AV967" s="73"/>
      <c r="AW967" s="73"/>
      <c r="AX967" s="74"/>
      <c r="AY967" s="73"/>
      <c r="AZ967" s="73"/>
      <c r="BA967" s="74"/>
      <c r="BB967" s="73"/>
      <c r="BC967" s="73"/>
      <c r="BD967" s="73"/>
      <c r="BE967" s="73"/>
      <c r="BF967" s="73"/>
      <c r="BG967" s="73"/>
      <c r="BH967" s="73"/>
      <c r="BI967" s="73"/>
      <c r="BJ967" s="73"/>
      <c r="BK967" s="73"/>
      <c r="BL967" s="73"/>
      <c r="BM967" s="73"/>
      <c r="BN967" s="73"/>
      <c r="BO967" s="73"/>
      <c r="BP967" s="73"/>
      <c r="BQ967" s="73"/>
      <c r="BR967" s="73"/>
      <c r="BS967" s="73"/>
      <c r="BT967" s="74"/>
      <c r="BU967" s="73"/>
      <c r="BV967" s="73"/>
      <c r="BW967" s="73"/>
      <c r="BX967" s="73"/>
      <c r="BY967" s="73"/>
      <c r="BZ967" s="73"/>
      <c r="CA967" s="73"/>
      <c r="CB967" s="73"/>
      <c r="CC967" s="73"/>
      <c r="CD967" s="73"/>
      <c r="CE967" s="73"/>
    </row>
    <row r="968">
      <c r="A968" s="131"/>
      <c r="B968" s="73"/>
      <c r="C968" s="73"/>
      <c r="D968" s="74"/>
      <c r="E968" s="73"/>
      <c r="F968" s="73"/>
      <c r="G968" s="73"/>
      <c r="H968" s="73"/>
      <c r="I968" s="73"/>
      <c r="J968" s="73"/>
      <c r="K968" s="92"/>
      <c r="L968" s="73"/>
      <c r="M968" s="73"/>
      <c r="N968" s="73"/>
      <c r="O968" s="73"/>
      <c r="P968" s="73"/>
      <c r="Q968" s="75"/>
      <c r="R968" s="82"/>
      <c r="S968" s="73"/>
      <c r="T968" s="73"/>
      <c r="U968" s="73"/>
      <c r="V968" s="73"/>
      <c r="W968" s="73"/>
      <c r="X968" s="73"/>
      <c r="Y968" s="77"/>
      <c r="Z968" s="104"/>
      <c r="AA968" s="73"/>
      <c r="AB968" s="104"/>
      <c r="AC968" s="104"/>
      <c r="AD968" s="74"/>
      <c r="AE968" s="106"/>
      <c r="AF968" s="195"/>
      <c r="AG968" s="80"/>
      <c r="AH968" s="104"/>
      <c r="AI968" s="73"/>
      <c r="AJ968" s="114"/>
      <c r="AK968" s="106"/>
      <c r="AL968" s="74"/>
      <c r="AM968" s="73"/>
      <c r="AN968" s="73"/>
      <c r="AO968" s="102"/>
      <c r="AP968" s="73"/>
      <c r="AQ968" s="73"/>
      <c r="AR968" s="74"/>
      <c r="AS968" s="73"/>
      <c r="AT968" s="73"/>
      <c r="AU968" s="73"/>
      <c r="AV968" s="73"/>
      <c r="AW968" s="73"/>
      <c r="AX968" s="74"/>
      <c r="AY968" s="73"/>
      <c r="AZ968" s="73"/>
      <c r="BA968" s="74"/>
      <c r="BB968" s="73"/>
      <c r="BC968" s="73"/>
      <c r="BD968" s="73"/>
      <c r="BE968" s="73"/>
      <c r="BF968" s="73"/>
      <c r="BG968" s="73"/>
      <c r="BH968" s="73"/>
      <c r="BI968" s="73"/>
      <c r="BJ968" s="73"/>
      <c r="BK968" s="73"/>
      <c r="BL968" s="73"/>
      <c r="BM968" s="73"/>
      <c r="BN968" s="73"/>
      <c r="BO968" s="73"/>
      <c r="BP968" s="73"/>
      <c r="BQ968" s="73"/>
      <c r="BR968" s="73"/>
      <c r="BS968" s="73"/>
      <c r="BT968" s="74"/>
      <c r="BU968" s="73"/>
      <c r="BV968" s="73"/>
      <c r="BW968" s="73"/>
      <c r="BX968" s="73"/>
      <c r="BY968" s="73"/>
      <c r="BZ968" s="73"/>
      <c r="CA968" s="73"/>
      <c r="CB968" s="73"/>
      <c r="CC968" s="73"/>
      <c r="CD968" s="73"/>
      <c r="CE968" s="73"/>
    </row>
    <row r="969">
      <c r="A969" s="131"/>
      <c r="B969" s="73"/>
      <c r="C969" s="73"/>
      <c r="D969" s="74"/>
      <c r="E969" s="73"/>
      <c r="F969" s="73"/>
      <c r="G969" s="73"/>
      <c r="H969" s="73"/>
      <c r="I969" s="73"/>
      <c r="J969" s="73"/>
      <c r="K969" s="92"/>
      <c r="L969" s="73"/>
      <c r="M969" s="73"/>
      <c r="N969" s="73"/>
      <c r="O969" s="73"/>
      <c r="P969" s="73"/>
      <c r="Q969" s="75"/>
      <c r="R969" s="82"/>
      <c r="S969" s="73"/>
      <c r="T969" s="73"/>
      <c r="U969" s="73"/>
      <c r="V969" s="73"/>
      <c r="W969" s="73"/>
      <c r="X969" s="73"/>
      <c r="Y969" s="77"/>
      <c r="Z969" s="104"/>
      <c r="AA969" s="73"/>
      <c r="AB969" s="104"/>
      <c r="AC969" s="104"/>
      <c r="AD969" s="74"/>
      <c r="AE969" s="106"/>
      <c r="AF969" s="195"/>
      <c r="AG969" s="80"/>
      <c r="AH969" s="104"/>
      <c r="AI969" s="73"/>
      <c r="AJ969" s="114"/>
      <c r="AK969" s="106"/>
      <c r="AL969" s="74"/>
      <c r="AM969" s="73"/>
      <c r="AN969" s="73"/>
      <c r="AO969" s="102"/>
      <c r="AP969" s="73"/>
      <c r="AQ969" s="73"/>
      <c r="AR969" s="74"/>
      <c r="AS969" s="73"/>
      <c r="AT969" s="73"/>
      <c r="AU969" s="73"/>
      <c r="AV969" s="73"/>
      <c r="AW969" s="73"/>
      <c r="AX969" s="74"/>
      <c r="AY969" s="73"/>
      <c r="AZ969" s="73"/>
      <c r="BA969" s="74"/>
      <c r="BB969" s="73"/>
      <c r="BC969" s="73"/>
      <c r="BD969" s="73"/>
      <c r="BE969" s="73"/>
      <c r="BF969" s="73"/>
      <c r="BG969" s="73"/>
      <c r="BH969" s="73"/>
      <c r="BI969" s="73"/>
      <c r="BJ969" s="73"/>
      <c r="BK969" s="73"/>
      <c r="BL969" s="73"/>
      <c r="BM969" s="73"/>
      <c r="BN969" s="73"/>
      <c r="BO969" s="73"/>
      <c r="BP969" s="73"/>
      <c r="BQ969" s="73"/>
      <c r="BR969" s="73"/>
      <c r="BS969" s="73"/>
      <c r="BT969" s="74"/>
      <c r="BU969" s="73"/>
      <c r="BV969" s="73"/>
      <c r="BW969" s="73"/>
      <c r="BX969" s="73"/>
      <c r="BY969" s="73"/>
      <c r="BZ969" s="73"/>
      <c r="CA969" s="73"/>
      <c r="CB969" s="73"/>
      <c r="CC969" s="73"/>
      <c r="CD969" s="73"/>
      <c r="CE969" s="73"/>
    </row>
    <row r="970">
      <c r="A970" s="131"/>
      <c r="B970" s="73"/>
      <c r="C970" s="73"/>
      <c r="D970" s="74"/>
      <c r="E970" s="73"/>
      <c r="F970" s="73"/>
      <c r="G970" s="73"/>
      <c r="H970" s="73"/>
      <c r="I970" s="73"/>
      <c r="J970" s="73"/>
      <c r="K970" s="92"/>
      <c r="L970" s="73"/>
      <c r="M970" s="73"/>
      <c r="N970" s="73"/>
      <c r="O970" s="73"/>
      <c r="P970" s="73"/>
      <c r="Q970" s="75"/>
      <c r="R970" s="82"/>
      <c r="S970" s="73"/>
      <c r="T970" s="73"/>
      <c r="U970" s="73"/>
      <c r="V970" s="73"/>
      <c r="W970" s="73"/>
      <c r="X970" s="73"/>
      <c r="Y970" s="77"/>
      <c r="Z970" s="104"/>
      <c r="AA970" s="73"/>
      <c r="AB970" s="104"/>
      <c r="AC970" s="104"/>
      <c r="AD970" s="74"/>
      <c r="AE970" s="106"/>
      <c r="AF970" s="195"/>
      <c r="AG970" s="80"/>
      <c r="AH970" s="104"/>
      <c r="AI970" s="73"/>
      <c r="AJ970" s="114"/>
      <c r="AK970" s="106"/>
      <c r="AL970" s="74"/>
      <c r="AM970" s="73"/>
      <c r="AN970" s="73"/>
      <c r="AO970" s="102"/>
      <c r="AP970" s="73"/>
      <c r="AQ970" s="73"/>
      <c r="AR970" s="74"/>
      <c r="AS970" s="73"/>
      <c r="AT970" s="73"/>
      <c r="AU970" s="73"/>
      <c r="AV970" s="73"/>
      <c r="AW970" s="73"/>
      <c r="AX970" s="74"/>
      <c r="AY970" s="73"/>
      <c r="AZ970" s="73"/>
      <c r="BA970" s="74"/>
      <c r="BB970" s="73"/>
      <c r="BC970" s="73"/>
      <c r="BD970" s="73"/>
      <c r="BE970" s="73"/>
      <c r="BF970" s="73"/>
      <c r="BG970" s="73"/>
      <c r="BH970" s="73"/>
      <c r="BI970" s="73"/>
      <c r="BJ970" s="73"/>
      <c r="BK970" s="73"/>
      <c r="BL970" s="73"/>
      <c r="BM970" s="73"/>
      <c r="BN970" s="73"/>
      <c r="BO970" s="73"/>
      <c r="BP970" s="73"/>
      <c r="BQ970" s="73"/>
      <c r="BR970" s="73"/>
      <c r="BS970" s="73"/>
      <c r="BT970" s="74"/>
      <c r="BU970" s="73"/>
      <c r="BV970" s="73"/>
      <c r="BW970" s="73"/>
      <c r="BX970" s="73"/>
      <c r="BY970" s="73"/>
      <c r="BZ970" s="73"/>
      <c r="CA970" s="73"/>
      <c r="CB970" s="73"/>
      <c r="CC970" s="73"/>
      <c r="CD970" s="73"/>
      <c r="CE970" s="73"/>
    </row>
    <row r="971">
      <c r="A971" s="131"/>
      <c r="B971" s="73"/>
      <c r="C971" s="73"/>
      <c r="D971" s="74"/>
      <c r="E971" s="73"/>
      <c r="F971" s="73"/>
      <c r="G971" s="73"/>
      <c r="H971" s="73"/>
      <c r="I971" s="73"/>
      <c r="J971" s="73"/>
      <c r="K971" s="92"/>
      <c r="L971" s="73"/>
      <c r="M971" s="73"/>
      <c r="N971" s="73"/>
      <c r="O971" s="73"/>
      <c r="P971" s="73"/>
      <c r="Q971" s="75"/>
      <c r="R971" s="82"/>
      <c r="S971" s="73"/>
      <c r="T971" s="73"/>
      <c r="U971" s="73"/>
      <c r="V971" s="73"/>
      <c r="W971" s="73"/>
      <c r="X971" s="73"/>
      <c r="Y971" s="77"/>
      <c r="Z971" s="104"/>
      <c r="AA971" s="73"/>
      <c r="AB971" s="104"/>
      <c r="AC971" s="104"/>
      <c r="AD971" s="74"/>
      <c r="AE971" s="106"/>
      <c r="AF971" s="195"/>
      <c r="AG971" s="80"/>
      <c r="AH971" s="104"/>
      <c r="AI971" s="73"/>
      <c r="AJ971" s="114"/>
      <c r="AK971" s="106"/>
      <c r="AL971" s="74"/>
      <c r="AM971" s="73"/>
      <c r="AN971" s="73"/>
      <c r="AO971" s="102"/>
      <c r="AP971" s="73"/>
      <c r="AQ971" s="73"/>
      <c r="AR971" s="74"/>
      <c r="AS971" s="73"/>
      <c r="AT971" s="73"/>
      <c r="AU971" s="73"/>
      <c r="AV971" s="73"/>
      <c r="AW971" s="73"/>
      <c r="AX971" s="74"/>
      <c r="AY971" s="73"/>
      <c r="AZ971" s="73"/>
      <c r="BA971" s="74"/>
      <c r="BB971" s="73"/>
      <c r="BC971" s="73"/>
      <c r="BD971" s="73"/>
      <c r="BE971" s="73"/>
      <c r="BF971" s="73"/>
      <c r="BG971" s="73"/>
      <c r="BH971" s="73"/>
      <c r="BI971" s="73"/>
      <c r="BJ971" s="73"/>
      <c r="BK971" s="73"/>
      <c r="BL971" s="73"/>
      <c r="BM971" s="73"/>
      <c r="BN971" s="73"/>
      <c r="BO971" s="73"/>
      <c r="BP971" s="73"/>
      <c r="BQ971" s="73"/>
      <c r="BR971" s="73"/>
      <c r="BS971" s="73"/>
      <c r="BT971" s="74"/>
      <c r="BU971" s="73"/>
      <c r="BV971" s="73"/>
      <c r="BW971" s="73"/>
      <c r="BX971" s="73"/>
      <c r="BY971" s="73"/>
      <c r="BZ971" s="73"/>
      <c r="CA971" s="73"/>
      <c r="CB971" s="73"/>
      <c r="CC971" s="73"/>
      <c r="CD971" s="73"/>
      <c r="CE971" s="73"/>
    </row>
    <row r="972">
      <c r="A972" s="131"/>
      <c r="B972" s="73"/>
      <c r="C972" s="73"/>
      <c r="D972" s="74"/>
      <c r="E972" s="73"/>
      <c r="F972" s="73"/>
      <c r="G972" s="73"/>
      <c r="H972" s="73"/>
      <c r="I972" s="73"/>
      <c r="J972" s="73"/>
      <c r="K972" s="92"/>
      <c r="L972" s="73"/>
      <c r="M972" s="73"/>
      <c r="N972" s="73"/>
      <c r="O972" s="73"/>
      <c r="P972" s="73"/>
      <c r="Q972" s="75"/>
      <c r="R972" s="82"/>
      <c r="S972" s="73"/>
      <c r="T972" s="73"/>
      <c r="U972" s="73"/>
      <c r="V972" s="73"/>
      <c r="W972" s="73"/>
      <c r="X972" s="73"/>
      <c r="Y972" s="77"/>
      <c r="Z972" s="104"/>
      <c r="AA972" s="73"/>
      <c r="AB972" s="104"/>
      <c r="AC972" s="104"/>
      <c r="AD972" s="74"/>
      <c r="AE972" s="106"/>
      <c r="AF972" s="195"/>
      <c r="AG972" s="80"/>
      <c r="AH972" s="104"/>
      <c r="AI972" s="73"/>
      <c r="AJ972" s="114"/>
      <c r="AK972" s="106"/>
      <c r="AL972" s="74"/>
      <c r="AM972" s="73"/>
      <c r="AN972" s="73"/>
      <c r="AO972" s="102"/>
      <c r="AP972" s="73"/>
      <c r="AQ972" s="73"/>
      <c r="AR972" s="74"/>
      <c r="AS972" s="73"/>
      <c r="AT972" s="73"/>
      <c r="AU972" s="73"/>
      <c r="AV972" s="73"/>
      <c r="AW972" s="73"/>
      <c r="AX972" s="74"/>
      <c r="AY972" s="73"/>
      <c r="AZ972" s="73"/>
      <c r="BA972" s="74"/>
      <c r="BB972" s="73"/>
      <c r="BC972" s="73"/>
      <c r="BD972" s="73"/>
      <c r="BE972" s="73"/>
      <c r="BF972" s="73"/>
      <c r="BG972" s="73"/>
      <c r="BH972" s="73"/>
      <c r="BI972" s="73"/>
      <c r="BJ972" s="73"/>
      <c r="BK972" s="73"/>
      <c r="BL972" s="73"/>
      <c r="BM972" s="73"/>
      <c r="BN972" s="73"/>
      <c r="BO972" s="73"/>
      <c r="BP972" s="73"/>
      <c r="BQ972" s="73"/>
      <c r="BR972" s="73"/>
      <c r="BS972" s="73"/>
      <c r="BT972" s="74"/>
      <c r="BU972" s="73"/>
      <c r="BV972" s="73"/>
      <c r="BW972" s="73"/>
      <c r="BX972" s="73"/>
      <c r="BY972" s="73"/>
      <c r="BZ972" s="73"/>
      <c r="CA972" s="73"/>
      <c r="CB972" s="73"/>
      <c r="CC972" s="73"/>
      <c r="CD972" s="73"/>
      <c r="CE972" s="73"/>
    </row>
    <row r="973">
      <c r="A973" s="131"/>
      <c r="B973" s="73"/>
      <c r="C973" s="73"/>
      <c r="D973" s="74"/>
      <c r="E973" s="73"/>
      <c r="F973" s="73"/>
      <c r="G973" s="73"/>
      <c r="H973" s="73"/>
      <c r="I973" s="73"/>
      <c r="J973" s="73"/>
      <c r="K973" s="92"/>
      <c r="L973" s="73"/>
      <c r="M973" s="73"/>
      <c r="N973" s="73"/>
      <c r="O973" s="73"/>
      <c r="P973" s="73"/>
      <c r="Q973" s="75"/>
      <c r="R973" s="82"/>
      <c r="S973" s="73"/>
      <c r="T973" s="73"/>
      <c r="U973" s="73"/>
      <c r="V973" s="73"/>
      <c r="W973" s="73"/>
      <c r="X973" s="73"/>
      <c r="Y973" s="77"/>
      <c r="Z973" s="104"/>
      <c r="AA973" s="73"/>
      <c r="AB973" s="104"/>
      <c r="AC973" s="104"/>
      <c r="AD973" s="74"/>
      <c r="AE973" s="106"/>
      <c r="AF973" s="195"/>
      <c r="AG973" s="80"/>
      <c r="AH973" s="104"/>
      <c r="AI973" s="73"/>
      <c r="AJ973" s="114"/>
      <c r="AK973" s="106"/>
      <c r="AL973" s="74"/>
      <c r="AM973" s="73"/>
      <c r="AN973" s="73"/>
      <c r="AO973" s="102"/>
      <c r="AP973" s="73"/>
      <c r="AQ973" s="73"/>
      <c r="AR973" s="74"/>
      <c r="AS973" s="73"/>
      <c r="AT973" s="73"/>
      <c r="AU973" s="73"/>
      <c r="AV973" s="73"/>
      <c r="AW973" s="73"/>
      <c r="AX973" s="74"/>
      <c r="AY973" s="73"/>
      <c r="AZ973" s="73"/>
      <c r="BA973" s="74"/>
      <c r="BB973" s="73"/>
      <c r="BC973" s="73"/>
      <c r="BD973" s="73"/>
      <c r="BE973" s="73"/>
      <c r="BF973" s="73"/>
      <c r="BG973" s="73"/>
      <c r="BH973" s="73"/>
      <c r="BI973" s="73"/>
      <c r="BJ973" s="73"/>
      <c r="BK973" s="73"/>
      <c r="BL973" s="73"/>
      <c r="BM973" s="73"/>
      <c r="BN973" s="73"/>
      <c r="BO973" s="73"/>
      <c r="BP973" s="73"/>
      <c r="BQ973" s="73"/>
      <c r="BR973" s="73"/>
      <c r="BS973" s="73"/>
      <c r="BT973" s="74"/>
      <c r="BU973" s="73"/>
      <c r="BV973" s="73"/>
      <c r="BW973" s="73"/>
      <c r="BX973" s="73"/>
      <c r="BY973" s="73"/>
      <c r="BZ973" s="73"/>
      <c r="CA973" s="73"/>
      <c r="CB973" s="73"/>
      <c r="CC973" s="73"/>
      <c r="CD973" s="73"/>
      <c r="CE973" s="73"/>
    </row>
    <row r="974">
      <c r="A974" s="131"/>
      <c r="B974" s="73"/>
      <c r="C974" s="73"/>
      <c r="D974" s="74"/>
      <c r="E974" s="73"/>
      <c r="F974" s="73"/>
      <c r="G974" s="73"/>
      <c r="H974" s="73"/>
      <c r="I974" s="73"/>
      <c r="J974" s="73"/>
      <c r="K974" s="92"/>
      <c r="L974" s="73"/>
      <c r="M974" s="73"/>
      <c r="N974" s="73"/>
      <c r="O974" s="73"/>
      <c r="P974" s="73"/>
      <c r="Q974" s="75"/>
      <c r="R974" s="82"/>
      <c r="S974" s="73"/>
      <c r="T974" s="73"/>
      <c r="U974" s="73"/>
      <c r="V974" s="73"/>
      <c r="W974" s="73"/>
      <c r="X974" s="73"/>
      <c r="Y974" s="77"/>
      <c r="Z974" s="104"/>
      <c r="AA974" s="73"/>
      <c r="AB974" s="104"/>
      <c r="AC974" s="104"/>
      <c r="AD974" s="74"/>
      <c r="AE974" s="106"/>
      <c r="AF974" s="195"/>
      <c r="AG974" s="80"/>
      <c r="AH974" s="104"/>
      <c r="AI974" s="73"/>
      <c r="AJ974" s="114"/>
      <c r="AK974" s="106"/>
      <c r="AL974" s="74"/>
      <c r="AM974" s="73"/>
      <c r="AN974" s="73"/>
      <c r="AO974" s="102"/>
      <c r="AP974" s="73"/>
      <c r="AQ974" s="73"/>
      <c r="AR974" s="74"/>
      <c r="AS974" s="73"/>
      <c r="AT974" s="73"/>
      <c r="AU974" s="73"/>
      <c r="AV974" s="73"/>
      <c r="AW974" s="73"/>
      <c r="AX974" s="74"/>
      <c r="AY974" s="73"/>
      <c r="AZ974" s="73"/>
      <c r="BA974" s="74"/>
      <c r="BB974" s="73"/>
      <c r="BC974" s="73"/>
      <c r="BD974" s="73"/>
      <c r="BE974" s="73"/>
      <c r="BF974" s="73"/>
      <c r="BG974" s="73"/>
      <c r="BH974" s="73"/>
      <c r="BI974" s="73"/>
      <c r="BJ974" s="73"/>
      <c r="BK974" s="73"/>
      <c r="BL974" s="73"/>
      <c r="BM974" s="73"/>
      <c r="BN974" s="73"/>
      <c r="BO974" s="73"/>
      <c r="BP974" s="73"/>
      <c r="BQ974" s="73"/>
      <c r="BR974" s="73"/>
      <c r="BS974" s="73"/>
      <c r="BT974" s="74"/>
      <c r="BU974" s="73"/>
      <c r="BV974" s="73"/>
      <c r="BW974" s="73"/>
      <c r="BX974" s="73"/>
      <c r="BY974" s="73"/>
      <c r="BZ974" s="73"/>
      <c r="CA974" s="73"/>
      <c r="CB974" s="73"/>
      <c r="CC974" s="73"/>
      <c r="CD974" s="73"/>
      <c r="CE974" s="73"/>
    </row>
    <row r="975">
      <c r="A975" s="73"/>
      <c r="B975" s="73"/>
      <c r="C975" s="73"/>
      <c r="D975" s="74"/>
      <c r="E975" s="73"/>
      <c r="F975" s="73"/>
      <c r="G975" s="73"/>
      <c r="H975" s="73"/>
      <c r="I975" s="73"/>
      <c r="J975" s="73"/>
      <c r="K975" s="92"/>
      <c r="L975" s="73"/>
      <c r="M975" s="73"/>
      <c r="N975" s="73"/>
      <c r="O975" s="73"/>
      <c r="P975" s="73"/>
      <c r="Q975" s="75"/>
      <c r="R975" s="82"/>
      <c r="S975" s="73"/>
      <c r="T975" s="73"/>
      <c r="U975" s="73"/>
      <c r="V975" s="73"/>
      <c r="W975" s="73"/>
      <c r="X975" s="73"/>
      <c r="Y975" s="77"/>
      <c r="Z975" s="104"/>
      <c r="AA975" s="73"/>
      <c r="AB975" s="104"/>
      <c r="AC975" s="104"/>
      <c r="AD975" s="74"/>
      <c r="AE975" s="106"/>
      <c r="AF975" s="195"/>
      <c r="AG975" s="80"/>
      <c r="AH975" s="104"/>
      <c r="AI975" s="73"/>
      <c r="AJ975" s="114"/>
      <c r="AK975" s="106"/>
      <c r="AL975" s="74"/>
      <c r="AM975" s="73"/>
      <c r="AN975" s="73"/>
      <c r="AO975" s="102"/>
      <c r="AP975" s="73"/>
      <c r="AQ975" s="73"/>
      <c r="AR975" s="74"/>
      <c r="AS975" s="73"/>
      <c r="AT975" s="73"/>
      <c r="AU975" s="73"/>
      <c r="AV975" s="73"/>
      <c r="AW975" s="73"/>
      <c r="AX975" s="74"/>
      <c r="AY975" s="73"/>
      <c r="AZ975" s="73"/>
      <c r="BA975" s="74"/>
      <c r="BB975" s="73"/>
      <c r="BC975" s="73"/>
      <c r="BD975" s="73"/>
      <c r="BE975" s="73"/>
      <c r="BF975" s="73"/>
      <c r="BG975" s="73"/>
      <c r="BH975" s="73"/>
      <c r="BI975" s="73"/>
      <c r="BJ975" s="73"/>
      <c r="BK975" s="73"/>
      <c r="BL975" s="73"/>
      <c r="BM975" s="73"/>
      <c r="BN975" s="73"/>
      <c r="BO975" s="73"/>
      <c r="BP975" s="73"/>
      <c r="BQ975" s="73"/>
      <c r="BR975" s="73"/>
      <c r="BS975" s="73"/>
      <c r="BT975" s="74"/>
      <c r="BU975" s="73"/>
      <c r="BV975" s="73"/>
      <c r="BW975" s="73"/>
      <c r="BX975" s="73"/>
      <c r="BY975" s="73"/>
      <c r="BZ975" s="73"/>
      <c r="CA975" s="73"/>
      <c r="CB975" s="73"/>
      <c r="CC975" s="73"/>
      <c r="CD975" s="73"/>
      <c r="CE975" s="73"/>
    </row>
    <row r="976">
      <c r="A976" s="73"/>
      <c r="B976" s="73"/>
      <c r="C976" s="73"/>
      <c r="D976" s="74"/>
      <c r="E976" s="73"/>
      <c r="F976" s="73"/>
      <c r="G976" s="73"/>
      <c r="H976" s="73"/>
      <c r="I976" s="73"/>
      <c r="J976" s="73"/>
      <c r="K976" s="92"/>
      <c r="L976" s="73"/>
      <c r="M976" s="73"/>
      <c r="N976" s="73"/>
      <c r="O976" s="73"/>
      <c r="P976" s="73"/>
      <c r="Q976" s="75"/>
      <c r="R976" s="82"/>
      <c r="S976" s="73"/>
      <c r="T976" s="73"/>
      <c r="U976" s="73"/>
      <c r="V976" s="73"/>
      <c r="W976" s="73"/>
      <c r="X976" s="73"/>
      <c r="Y976" s="77"/>
      <c r="Z976" s="104"/>
      <c r="AA976" s="73"/>
      <c r="AB976" s="104"/>
      <c r="AC976" s="104"/>
      <c r="AD976" s="74"/>
      <c r="AE976" s="106"/>
      <c r="AF976" s="195"/>
      <c r="AG976" s="80"/>
      <c r="AH976" s="104"/>
      <c r="AI976" s="73"/>
      <c r="AJ976" s="114"/>
      <c r="AK976" s="106"/>
      <c r="AL976" s="74"/>
      <c r="AM976" s="73"/>
      <c r="AN976" s="73"/>
      <c r="AO976" s="102"/>
      <c r="AP976" s="73"/>
      <c r="AQ976" s="73"/>
      <c r="AR976" s="74"/>
      <c r="AS976" s="73"/>
      <c r="AT976" s="73"/>
      <c r="AU976" s="73"/>
      <c r="AV976" s="73"/>
      <c r="AW976" s="73"/>
      <c r="AX976" s="74"/>
      <c r="AY976" s="73"/>
      <c r="AZ976" s="73"/>
      <c r="BA976" s="74"/>
      <c r="BB976" s="73"/>
      <c r="BC976" s="73"/>
      <c r="BD976" s="73"/>
      <c r="BE976" s="73"/>
      <c r="BF976" s="73"/>
      <c r="BG976" s="73"/>
      <c r="BH976" s="73"/>
      <c r="BI976" s="73"/>
      <c r="BJ976" s="73"/>
      <c r="BK976" s="73"/>
      <c r="BL976" s="73"/>
      <c r="BM976" s="73"/>
      <c r="BN976" s="73"/>
      <c r="BO976" s="73"/>
      <c r="BP976" s="73"/>
      <c r="BQ976" s="73"/>
      <c r="BR976" s="73"/>
      <c r="BS976" s="73"/>
      <c r="BT976" s="74"/>
      <c r="BU976" s="73"/>
      <c r="BV976" s="73"/>
      <c r="BW976" s="73"/>
      <c r="BX976" s="73"/>
      <c r="BY976" s="73"/>
      <c r="BZ976" s="73"/>
      <c r="CA976" s="73"/>
      <c r="CB976" s="73"/>
      <c r="CC976" s="73"/>
      <c r="CD976" s="73"/>
      <c r="CE976" s="73"/>
    </row>
    <row r="977">
      <c r="A977" s="73"/>
      <c r="B977" s="73"/>
      <c r="C977" s="73"/>
      <c r="D977" s="74"/>
      <c r="E977" s="73"/>
      <c r="F977" s="73"/>
      <c r="G977" s="73"/>
      <c r="H977" s="73"/>
      <c r="I977" s="73"/>
      <c r="J977" s="73"/>
      <c r="K977" s="92"/>
      <c r="L977" s="73"/>
      <c r="M977" s="73"/>
      <c r="N977" s="73"/>
      <c r="O977" s="73"/>
      <c r="P977" s="73"/>
      <c r="Q977" s="75"/>
      <c r="R977" s="82"/>
      <c r="S977" s="73"/>
      <c r="T977" s="73"/>
      <c r="U977" s="73"/>
      <c r="V977" s="73"/>
      <c r="W977" s="73"/>
      <c r="X977" s="73"/>
      <c r="Y977" s="77"/>
      <c r="Z977" s="104"/>
      <c r="AA977" s="73"/>
      <c r="AB977" s="104"/>
      <c r="AC977" s="104"/>
      <c r="AD977" s="74"/>
      <c r="AE977" s="106"/>
      <c r="AF977" s="195"/>
      <c r="AG977" s="80"/>
      <c r="AH977" s="104"/>
      <c r="AI977" s="73"/>
      <c r="AJ977" s="114"/>
      <c r="AK977" s="106"/>
      <c r="AL977" s="74"/>
      <c r="AM977" s="73"/>
      <c r="AN977" s="73"/>
      <c r="AO977" s="102"/>
      <c r="AP977" s="73"/>
      <c r="AQ977" s="73"/>
      <c r="AR977" s="74"/>
      <c r="AS977" s="73"/>
      <c r="AT977" s="73"/>
      <c r="AU977" s="73"/>
      <c r="AV977" s="73"/>
      <c r="AW977" s="73"/>
      <c r="AX977" s="74"/>
      <c r="AY977" s="73"/>
      <c r="AZ977" s="73"/>
      <c r="BA977" s="74"/>
      <c r="BB977" s="73"/>
      <c r="BC977" s="73"/>
      <c r="BD977" s="73"/>
      <c r="BE977" s="73"/>
      <c r="BF977" s="73"/>
      <c r="BG977" s="73"/>
      <c r="BH977" s="73"/>
      <c r="BI977" s="73"/>
      <c r="BJ977" s="73"/>
      <c r="BK977" s="73"/>
      <c r="BL977" s="73"/>
      <c r="BM977" s="73"/>
      <c r="BN977" s="73"/>
      <c r="BO977" s="73"/>
      <c r="BP977" s="73"/>
      <c r="BQ977" s="73"/>
      <c r="BR977" s="73"/>
      <c r="BS977" s="73"/>
      <c r="BT977" s="74"/>
      <c r="BU977" s="73"/>
      <c r="BV977" s="73"/>
      <c r="BW977" s="73"/>
      <c r="BX977" s="73"/>
      <c r="BY977" s="73"/>
      <c r="BZ977" s="73"/>
      <c r="CA977" s="73"/>
      <c r="CB977" s="73"/>
      <c r="CC977" s="73"/>
      <c r="CD977" s="73"/>
      <c r="CE977" s="73"/>
    </row>
    <row r="978">
      <c r="A978" s="73"/>
      <c r="B978" s="73"/>
      <c r="C978" s="73"/>
      <c r="D978" s="74"/>
      <c r="E978" s="73"/>
      <c r="F978" s="73"/>
      <c r="G978" s="73"/>
      <c r="H978" s="73"/>
      <c r="I978" s="73"/>
      <c r="J978" s="73"/>
      <c r="K978" s="92"/>
      <c r="L978" s="73"/>
      <c r="M978" s="73"/>
      <c r="N978" s="73"/>
      <c r="O978" s="73"/>
      <c r="P978" s="73"/>
      <c r="Q978" s="75"/>
      <c r="R978" s="82"/>
      <c r="S978" s="73"/>
      <c r="T978" s="73"/>
      <c r="U978" s="73"/>
      <c r="V978" s="73"/>
      <c r="W978" s="73"/>
      <c r="X978" s="73"/>
      <c r="Y978" s="77"/>
      <c r="Z978" s="104"/>
      <c r="AA978" s="73"/>
      <c r="AB978" s="104"/>
      <c r="AC978" s="104"/>
      <c r="AD978" s="74"/>
      <c r="AE978" s="106"/>
      <c r="AF978" s="195"/>
      <c r="AG978" s="80"/>
      <c r="AH978" s="104"/>
      <c r="AI978" s="73"/>
      <c r="AJ978" s="114"/>
      <c r="AK978" s="106"/>
      <c r="AL978" s="74"/>
      <c r="AM978" s="73"/>
      <c r="AN978" s="73"/>
      <c r="AO978" s="102"/>
      <c r="AP978" s="73"/>
      <c r="AQ978" s="73"/>
      <c r="AR978" s="74"/>
      <c r="AS978" s="73"/>
      <c r="AT978" s="73"/>
      <c r="AU978" s="73"/>
      <c r="AV978" s="73"/>
      <c r="AW978" s="73"/>
      <c r="AX978" s="74"/>
      <c r="AY978" s="73"/>
      <c r="AZ978" s="73"/>
      <c r="BA978" s="74"/>
      <c r="BB978" s="73"/>
      <c r="BC978" s="73"/>
      <c r="BD978" s="73"/>
      <c r="BE978" s="73"/>
      <c r="BF978" s="73"/>
      <c r="BG978" s="73"/>
      <c r="BH978" s="73"/>
      <c r="BI978" s="73"/>
      <c r="BJ978" s="73"/>
      <c r="BK978" s="73"/>
      <c r="BL978" s="73"/>
      <c r="BM978" s="73"/>
      <c r="BN978" s="73"/>
      <c r="BO978" s="73"/>
      <c r="BP978" s="73"/>
      <c r="BQ978" s="73"/>
      <c r="BR978" s="73"/>
      <c r="BS978" s="73"/>
      <c r="BT978" s="74"/>
      <c r="BU978" s="73"/>
      <c r="BV978" s="73"/>
      <c r="BW978" s="73"/>
      <c r="BX978" s="73"/>
      <c r="BY978" s="73"/>
      <c r="BZ978" s="73"/>
      <c r="CA978" s="73"/>
      <c r="CB978" s="73"/>
      <c r="CC978" s="73"/>
      <c r="CD978" s="73"/>
      <c r="CE978" s="73"/>
    </row>
    <row r="979">
      <c r="A979" s="73"/>
      <c r="B979" s="73"/>
      <c r="C979" s="73"/>
      <c r="D979" s="74"/>
      <c r="E979" s="73"/>
      <c r="F979" s="73"/>
      <c r="G979" s="73"/>
      <c r="H979" s="73"/>
      <c r="I979" s="73"/>
      <c r="J979" s="73"/>
      <c r="K979" s="92"/>
      <c r="L979" s="73"/>
      <c r="M979" s="73"/>
      <c r="N979" s="73"/>
      <c r="O979" s="73"/>
      <c r="P979" s="73"/>
      <c r="Q979" s="75"/>
      <c r="R979" s="82"/>
      <c r="S979" s="73"/>
      <c r="T979" s="73"/>
      <c r="U979" s="73"/>
      <c r="V979" s="73"/>
      <c r="W979" s="73"/>
      <c r="X979" s="73"/>
      <c r="Y979" s="77"/>
      <c r="Z979" s="104"/>
      <c r="AA979" s="73"/>
      <c r="AB979" s="104"/>
      <c r="AC979" s="104"/>
      <c r="AD979" s="74"/>
      <c r="AE979" s="106"/>
      <c r="AF979" s="195"/>
      <c r="AG979" s="80"/>
      <c r="AH979" s="104"/>
      <c r="AI979" s="73"/>
      <c r="AJ979" s="114"/>
      <c r="AK979" s="106"/>
      <c r="AL979" s="74"/>
      <c r="AM979" s="73"/>
      <c r="AN979" s="73"/>
      <c r="AO979" s="102"/>
      <c r="AP979" s="73"/>
      <c r="AQ979" s="73"/>
      <c r="AR979" s="74"/>
      <c r="AS979" s="73"/>
      <c r="AT979" s="73"/>
      <c r="AU979" s="73"/>
      <c r="AV979" s="73"/>
      <c r="AW979" s="73"/>
      <c r="AX979" s="74"/>
      <c r="AY979" s="73"/>
      <c r="AZ979" s="73"/>
      <c r="BA979" s="74"/>
      <c r="BB979" s="73"/>
      <c r="BC979" s="73"/>
      <c r="BD979" s="73"/>
      <c r="BE979" s="73"/>
      <c r="BF979" s="73"/>
      <c r="BG979" s="73"/>
      <c r="BH979" s="73"/>
      <c r="BI979" s="73"/>
      <c r="BJ979" s="73"/>
      <c r="BK979" s="73"/>
      <c r="BL979" s="73"/>
      <c r="BM979" s="73"/>
      <c r="BN979" s="73"/>
      <c r="BO979" s="73"/>
      <c r="BP979" s="73"/>
      <c r="BQ979" s="73"/>
      <c r="BR979" s="73"/>
      <c r="BS979" s="73"/>
      <c r="BT979" s="74"/>
      <c r="BU979" s="73"/>
      <c r="BV979" s="73"/>
      <c r="BW979" s="73"/>
      <c r="BX979" s="73"/>
      <c r="BY979" s="73"/>
      <c r="BZ979" s="73"/>
      <c r="CA979" s="73"/>
      <c r="CB979" s="73"/>
      <c r="CC979" s="73"/>
      <c r="CD979" s="73"/>
      <c r="CE979" s="73"/>
    </row>
    <row r="980">
      <c r="A980" s="73"/>
      <c r="B980" s="73"/>
      <c r="C980" s="73"/>
      <c r="D980" s="74"/>
      <c r="E980" s="73"/>
      <c r="F980" s="73"/>
      <c r="G980" s="73"/>
      <c r="H980" s="73"/>
      <c r="I980" s="73"/>
      <c r="J980" s="73"/>
      <c r="K980" s="92"/>
      <c r="L980" s="73"/>
      <c r="M980" s="73"/>
      <c r="N980" s="73"/>
      <c r="O980" s="73"/>
      <c r="P980" s="73"/>
      <c r="Q980" s="75"/>
      <c r="R980" s="82"/>
      <c r="S980" s="73"/>
      <c r="T980" s="73"/>
      <c r="U980" s="73"/>
      <c r="V980" s="73"/>
      <c r="W980" s="73"/>
      <c r="X980" s="73"/>
      <c r="Y980" s="77"/>
      <c r="Z980" s="104"/>
      <c r="AA980" s="73"/>
      <c r="AB980" s="104"/>
      <c r="AC980" s="104"/>
      <c r="AD980" s="74"/>
      <c r="AE980" s="106"/>
      <c r="AF980" s="195"/>
      <c r="AG980" s="80"/>
      <c r="AH980" s="104"/>
      <c r="AI980" s="73"/>
      <c r="AJ980" s="114"/>
      <c r="AK980" s="106"/>
      <c r="AL980" s="74"/>
      <c r="AM980" s="73"/>
      <c r="AN980" s="73"/>
      <c r="AO980" s="102"/>
      <c r="AP980" s="73"/>
      <c r="AQ980" s="73"/>
      <c r="AR980" s="74"/>
      <c r="AS980" s="73"/>
      <c r="AT980" s="73"/>
      <c r="AU980" s="73"/>
      <c r="AV980" s="73"/>
      <c r="AW980" s="73"/>
      <c r="AX980" s="74"/>
      <c r="AY980" s="73"/>
      <c r="AZ980" s="73"/>
      <c r="BA980" s="74"/>
      <c r="BB980" s="73"/>
      <c r="BC980" s="73"/>
      <c r="BD980" s="73"/>
      <c r="BE980" s="73"/>
      <c r="BF980" s="73"/>
      <c r="BG980" s="73"/>
      <c r="BH980" s="73"/>
      <c r="BI980" s="73"/>
      <c r="BJ980" s="73"/>
      <c r="BK980" s="73"/>
      <c r="BL980" s="73"/>
      <c r="BM980" s="73"/>
      <c r="BN980" s="73"/>
      <c r="BO980" s="73"/>
      <c r="BP980" s="73"/>
      <c r="BQ980" s="73"/>
      <c r="BR980" s="73"/>
      <c r="BS980" s="73"/>
      <c r="BT980" s="74"/>
      <c r="BU980" s="73"/>
      <c r="BV980" s="73"/>
      <c r="BW980" s="73"/>
      <c r="BX980" s="73"/>
      <c r="BY980" s="73"/>
      <c r="BZ980" s="73"/>
      <c r="CA980" s="73"/>
      <c r="CB980" s="73"/>
      <c r="CC980" s="73"/>
      <c r="CD980" s="73"/>
      <c r="CE980" s="73"/>
    </row>
    <row r="981">
      <c r="A981" s="73"/>
      <c r="B981" s="73"/>
      <c r="C981" s="73"/>
      <c r="D981" s="74"/>
      <c r="E981" s="73"/>
      <c r="F981" s="73"/>
      <c r="G981" s="73"/>
      <c r="H981" s="73"/>
      <c r="I981" s="73"/>
      <c r="J981" s="73"/>
      <c r="K981" s="92"/>
      <c r="L981" s="73"/>
      <c r="M981" s="73"/>
      <c r="N981" s="73"/>
      <c r="O981" s="73"/>
      <c r="P981" s="73"/>
      <c r="Q981" s="75"/>
      <c r="R981" s="82"/>
      <c r="S981" s="73"/>
      <c r="T981" s="73"/>
      <c r="U981" s="73"/>
      <c r="V981" s="73"/>
      <c r="W981" s="73"/>
      <c r="X981" s="73"/>
      <c r="Y981" s="77"/>
      <c r="Z981" s="104"/>
      <c r="AA981" s="73"/>
      <c r="AB981" s="104"/>
      <c r="AC981" s="104"/>
      <c r="AD981" s="74"/>
      <c r="AE981" s="106"/>
      <c r="AF981" s="195"/>
      <c r="AG981" s="80"/>
      <c r="AH981" s="104"/>
      <c r="AI981" s="73"/>
      <c r="AJ981" s="114"/>
      <c r="AK981" s="106"/>
      <c r="AL981" s="74"/>
      <c r="AM981" s="73"/>
      <c r="AN981" s="73"/>
      <c r="AO981" s="102"/>
      <c r="AP981" s="73"/>
      <c r="AQ981" s="73"/>
      <c r="AR981" s="74"/>
      <c r="AS981" s="73"/>
      <c r="AT981" s="73"/>
      <c r="AU981" s="73"/>
      <c r="AV981" s="73"/>
      <c r="AW981" s="73"/>
      <c r="AX981" s="74"/>
      <c r="AY981" s="73"/>
      <c r="AZ981" s="73"/>
      <c r="BA981" s="74"/>
      <c r="BB981" s="73"/>
      <c r="BC981" s="73"/>
      <c r="BD981" s="73"/>
      <c r="BE981" s="73"/>
      <c r="BF981" s="73"/>
      <c r="BG981" s="73"/>
      <c r="BH981" s="73"/>
      <c r="BI981" s="73"/>
      <c r="BJ981" s="73"/>
      <c r="BK981" s="73"/>
      <c r="BL981" s="73"/>
      <c r="BM981" s="73"/>
      <c r="BN981" s="73"/>
      <c r="BO981" s="73"/>
      <c r="BP981" s="73"/>
      <c r="BQ981" s="73"/>
      <c r="BR981" s="73"/>
      <c r="BS981" s="73"/>
      <c r="BT981" s="74"/>
      <c r="BU981" s="73"/>
      <c r="BV981" s="73"/>
      <c r="BW981" s="73"/>
      <c r="BX981" s="73"/>
      <c r="BY981" s="73"/>
      <c r="BZ981" s="73"/>
      <c r="CA981" s="73"/>
      <c r="CB981" s="73"/>
      <c r="CC981" s="73"/>
      <c r="CD981" s="73"/>
      <c r="CE981" s="73"/>
    </row>
    <row r="982">
      <c r="A982" s="73"/>
      <c r="B982" s="73"/>
      <c r="C982" s="73"/>
      <c r="D982" s="74"/>
      <c r="E982" s="73"/>
      <c r="F982" s="73"/>
      <c r="G982" s="73"/>
      <c r="H982" s="73"/>
      <c r="I982" s="73"/>
      <c r="J982" s="73"/>
      <c r="K982" s="92"/>
      <c r="L982" s="73"/>
      <c r="M982" s="73"/>
      <c r="N982" s="73"/>
      <c r="O982" s="73"/>
      <c r="P982" s="73"/>
      <c r="Q982" s="75"/>
      <c r="R982" s="82"/>
      <c r="S982" s="73"/>
      <c r="T982" s="73"/>
      <c r="U982" s="73"/>
      <c r="V982" s="73"/>
      <c r="W982" s="73"/>
      <c r="X982" s="73"/>
      <c r="Y982" s="77"/>
      <c r="Z982" s="104"/>
      <c r="AA982" s="73"/>
      <c r="AB982" s="104"/>
      <c r="AC982" s="104"/>
      <c r="AD982" s="74"/>
      <c r="AE982" s="106"/>
      <c r="AF982" s="195"/>
      <c r="AG982" s="80"/>
      <c r="AH982" s="104"/>
      <c r="AI982" s="73"/>
      <c r="AJ982" s="114"/>
      <c r="AK982" s="106"/>
      <c r="AL982" s="74"/>
      <c r="AM982" s="73"/>
      <c r="AN982" s="73"/>
      <c r="AO982" s="102"/>
      <c r="AP982" s="73"/>
      <c r="AQ982" s="73"/>
      <c r="AR982" s="74"/>
      <c r="AS982" s="73"/>
      <c r="AT982" s="73"/>
      <c r="AU982" s="73"/>
      <c r="AV982" s="73"/>
      <c r="AW982" s="73"/>
      <c r="AX982" s="74"/>
      <c r="AY982" s="73"/>
      <c r="AZ982" s="73"/>
      <c r="BA982" s="74"/>
      <c r="BB982" s="73"/>
      <c r="BC982" s="73"/>
      <c r="BD982" s="73"/>
      <c r="BE982" s="73"/>
      <c r="BF982" s="73"/>
      <c r="BG982" s="73"/>
      <c r="BH982" s="73"/>
      <c r="BI982" s="73"/>
      <c r="BJ982" s="73"/>
      <c r="BK982" s="73"/>
      <c r="BL982" s="73"/>
      <c r="BM982" s="73"/>
      <c r="BN982" s="73"/>
      <c r="BO982" s="73"/>
      <c r="BP982" s="73"/>
      <c r="BQ982" s="73"/>
      <c r="BR982" s="73"/>
      <c r="BS982" s="73"/>
      <c r="BT982" s="74"/>
      <c r="BU982" s="73"/>
      <c r="BV982" s="73"/>
      <c r="BW982" s="73"/>
      <c r="BX982" s="73"/>
      <c r="BY982" s="73"/>
      <c r="BZ982" s="73"/>
      <c r="CA982" s="73"/>
      <c r="CB982" s="73"/>
      <c r="CC982" s="73"/>
      <c r="CD982" s="73"/>
      <c r="CE982" s="73"/>
    </row>
    <row r="983">
      <c r="A983" s="73"/>
      <c r="B983" s="73"/>
      <c r="C983" s="73"/>
      <c r="D983" s="74"/>
      <c r="E983" s="73"/>
      <c r="F983" s="73"/>
      <c r="G983" s="73"/>
      <c r="H983" s="73"/>
      <c r="I983" s="73"/>
      <c r="J983" s="73"/>
      <c r="K983" s="92"/>
      <c r="L983" s="73"/>
      <c r="M983" s="73"/>
      <c r="N983" s="73"/>
      <c r="O983" s="73"/>
      <c r="P983" s="73"/>
      <c r="Q983" s="75"/>
      <c r="R983" s="82"/>
      <c r="S983" s="73"/>
      <c r="T983" s="73"/>
      <c r="U983" s="73"/>
      <c r="V983" s="73"/>
      <c r="W983" s="73"/>
      <c r="X983" s="73"/>
      <c r="Y983" s="77"/>
      <c r="Z983" s="104"/>
      <c r="AA983" s="73"/>
      <c r="AB983" s="104"/>
      <c r="AC983" s="104"/>
      <c r="AD983" s="74"/>
      <c r="AE983" s="106"/>
      <c r="AF983" s="195"/>
      <c r="AG983" s="80"/>
      <c r="AH983" s="104"/>
      <c r="AI983" s="73"/>
      <c r="AJ983" s="114"/>
      <c r="AK983" s="106"/>
      <c r="AL983" s="74"/>
      <c r="AM983" s="73"/>
      <c r="AN983" s="73"/>
      <c r="AO983" s="102"/>
      <c r="AP983" s="73"/>
      <c r="AQ983" s="73"/>
      <c r="AR983" s="74"/>
      <c r="AS983" s="73"/>
      <c r="AT983" s="73"/>
      <c r="AU983" s="73"/>
      <c r="AV983" s="73"/>
      <c r="AW983" s="73"/>
      <c r="AX983" s="74"/>
      <c r="AY983" s="73"/>
      <c r="AZ983" s="73"/>
      <c r="BA983" s="74"/>
      <c r="BB983" s="73"/>
      <c r="BC983" s="73"/>
      <c r="BD983" s="73"/>
      <c r="BE983" s="73"/>
      <c r="BF983" s="73"/>
      <c r="BG983" s="73"/>
      <c r="BH983" s="73"/>
      <c r="BI983" s="73"/>
      <c r="BJ983" s="73"/>
      <c r="BK983" s="73"/>
      <c r="BL983" s="73"/>
      <c r="BM983" s="73"/>
      <c r="BN983" s="73"/>
      <c r="BO983" s="73"/>
      <c r="BP983" s="73"/>
      <c r="BQ983" s="73"/>
      <c r="BR983" s="73"/>
      <c r="BS983" s="73"/>
      <c r="BT983" s="74"/>
      <c r="BU983" s="73"/>
      <c r="BV983" s="73"/>
      <c r="BW983" s="73"/>
      <c r="BX983" s="73"/>
      <c r="BY983" s="73"/>
      <c r="BZ983" s="73"/>
      <c r="CA983" s="73"/>
      <c r="CB983" s="73"/>
      <c r="CC983" s="73"/>
      <c r="CD983" s="73"/>
      <c r="CE983" s="73"/>
    </row>
    <row r="984">
      <c r="A984" s="73"/>
      <c r="B984" s="73"/>
      <c r="C984" s="73"/>
      <c r="D984" s="74"/>
      <c r="E984" s="73"/>
      <c r="F984" s="73"/>
      <c r="G984" s="73"/>
      <c r="H984" s="73"/>
      <c r="I984" s="73"/>
      <c r="J984" s="73"/>
      <c r="K984" s="92"/>
      <c r="L984" s="73"/>
      <c r="M984" s="73"/>
      <c r="N984" s="73"/>
      <c r="O984" s="73"/>
      <c r="P984" s="73"/>
      <c r="Q984" s="75"/>
      <c r="R984" s="82"/>
      <c r="S984" s="73"/>
      <c r="T984" s="73"/>
      <c r="U984" s="73"/>
      <c r="V984" s="73"/>
      <c r="W984" s="73"/>
      <c r="X984" s="73"/>
      <c r="Y984" s="77"/>
      <c r="Z984" s="104"/>
      <c r="AA984" s="73"/>
      <c r="AB984" s="104"/>
      <c r="AC984" s="104"/>
      <c r="AD984" s="74"/>
      <c r="AE984" s="106"/>
      <c r="AF984" s="195"/>
      <c r="AG984" s="80"/>
      <c r="AH984" s="104"/>
      <c r="AI984" s="73"/>
      <c r="AJ984" s="114"/>
      <c r="AK984" s="106"/>
      <c r="AL984" s="74"/>
      <c r="AM984" s="73"/>
      <c r="AN984" s="73"/>
      <c r="AO984" s="102"/>
      <c r="AP984" s="73"/>
      <c r="AQ984" s="73"/>
      <c r="AR984" s="74"/>
      <c r="AS984" s="73"/>
      <c r="AT984" s="73"/>
      <c r="AU984" s="73"/>
      <c r="AV984" s="73"/>
      <c r="AW984" s="73"/>
      <c r="AX984" s="74"/>
      <c r="AY984" s="73"/>
      <c r="AZ984" s="73"/>
      <c r="BA984" s="74"/>
      <c r="BB984" s="73"/>
      <c r="BC984" s="73"/>
      <c r="BD984" s="73"/>
      <c r="BE984" s="73"/>
      <c r="BF984" s="73"/>
      <c r="BG984" s="73"/>
      <c r="BH984" s="73"/>
      <c r="BI984" s="73"/>
      <c r="BJ984" s="73"/>
      <c r="BK984" s="73"/>
      <c r="BL984" s="73"/>
      <c r="BM984" s="73"/>
      <c r="BN984" s="73"/>
      <c r="BO984" s="73"/>
      <c r="BP984" s="73"/>
      <c r="BQ984" s="73"/>
      <c r="BR984" s="73"/>
      <c r="BS984" s="73"/>
      <c r="BT984" s="74"/>
      <c r="BU984" s="73"/>
      <c r="BV984" s="73"/>
      <c r="BW984" s="73"/>
      <c r="BX984" s="73"/>
      <c r="BY984" s="73"/>
      <c r="BZ984" s="73"/>
      <c r="CA984" s="73"/>
      <c r="CB984" s="73"/>
      <c r="CC984" s="73"/>
      <c r="CD984" s="73"/>
      <c r="CE984" s="73"/>
    </row>
    <row r="985">
      <c r="A985" s="73"/>
      <c r="B985" s="73"/>
      <c r="C985" s="73"/>
      <c r="D985" s="74"/>
      <c r="E985" s="73"/>
      <c r="F985" s="73"/>
      <c r="G985" s="73"/>
      <c r="H985" s="73"/>
      <c r="I985" s="73"/>
      <c r="J985" s="73"/>
      <c r="K985" s="92"/>
      <c r="L985" s="73"/>
      <c r="M985" s="73"/>
      <c r="N985" s="73"/>
      <c r="O985" s="73"/>
      <c r="P985" s="73"/>
      <c r="Q985" s="75"/>
      <c r="R985" s="82"/>
      <c r="S985" s="73"/>
      <c r="T985" s="73"/>
      <c r="U985" s="73"/>
      <c r="V985" s="73"/>
      <c r="W985" s="73"/>
      <c r="X985" s="73"/>
      <c r="Y985" s="77"/>
      <c r="Z985" s="104"/>
      <c r="AA985" s="73"/>
      <c r="AB985" s="104"/>
      <c r="AC985" s="104"/>
      <c r="AD985" s="74"/>
      <c r="AE985" s="106"/>
      <c r="AF985" s="195"/>
      <c r="AG985" s="80"/>
      <c r="AH985" s="104"/>
      <c r="AI985" s="73"/>
      <c r="AJ985" s="114"/>
      <c r="AK985" s="106"/>
      <c r="AL985" s="74"/>
      <c r="AM985" s="73"/>
      <c r="AN985" s="73"/>
      <c r="AO985" s="102"/>
      <c r="AP985" s="73"/>
      <c r="AQ985" s="73"/>
      <c r="AR985" s="74"/>
      <c r="AS985" s="73"/>
      <c r="AT985" s="73"/>
      <c r="AU985" s="73"/>
      <c r="AV985" s="73"/>
      <c r="AW985" s="73"/>
      <c r="AX985" s="74"/>
      <c r="AY985" s="73"/>
      <c r="AZ985" s="73"/>
      <c r="BA985" s="74"/>
      <c r="BB985" s="73"/>
      <c r="BC985" s="73"/>
      <c r="BD985" s="73"/>
      <c r="BE985" s="73"/>
      <c r="BF985" s="73"/>
      <c r="BG985" s="73"/>
      <c r="BH985" s="73"/>
      <c r="BI985" s="73"/>
      <c r="BJ985" s="73"/>
      <c r="BK985" s="73"/>
      <c r="BL985" s="73"/>
      <c r="BM985" s="73"/>
      <c r="BN985" s="73"/>
      <c r="BO985" s="73"/>
      <c r="BP985" s="73"/>
      <c r="BQ985" s="73"/>
      <c r="BR985" s="73"/>
      <c r="BS985" s="73"/>
      <c r="BT985" s="74"/>
      <c r="BU985" s="73"/>
      <c r="BV985" s="73"/>
      <c r="BW985" s="73"/>
      <c r="BX985" s="73"/>
      <c r="BY985" s="73"/>
      <c r="BZ985" s="73"/>
      <c r="CA985" s="73"/>
      <c r="CB985" s="73"/>
      <c r="CC985" s="73"/>
      <c r="CD985" s="73"/>
      <c r="CE985" s="73"/>
    </row>
    <row r="986">
      <c r="A986" s="73"/>
      <c r="B986" s="73"/>
      <c r="C986" s="73"/>
      <c r="D986" s="74"/>
      <c r="E986" s="73"/>
      <c r="F986" s="73"/>
      <c r="G986" s="73"/>
      <c r="H986" s="73"/>
      <c r="I986" s="73"/>
      <c r="J986" s="73"/>
      <c r="K986" s="92"/>
      <c r="L986" s="73"/>
      <c r="M986" s="73"/>
      <c r="N986" s="73"/>
      <c r="O986" s="73"/>
      <c r="P986" s="73"/>
      <c r="Q986" s="75"/>
      <c r="R986" s="82"/>
      <c r="S986" s="73"/>
      <c r="T986" s="73"/>
      <c r="U986" s="73"/>
      <c r="V986" s="73"/>
      <c r="W986" s="73"/>
      <c r="X986" s="73"/>
      <c r="Y986" s="77"/>
      <c r="Z986" s="104"/>
      <c r="AA986" s="73"/>
      <c r="AB986" s="104"/>
      <c r="AC986" s="104"/>
      <c r="AD986" s="74"/>
      <c r="AE986" s="106"/>
      <c r="AF986" s="195"/>
      <c r="AG986" s="80"/>
      <c r="AH986" s="104"/>
      <c r="AI986" s="73"/>
      <c r="AJ986" s="114"/>
      <c r="AK986" s="106"/>
      <c r="AL986" s="74"/>
      <c r="AM986" s="73"/>
      <c r="AN986" s="73"/>
      <c r="AO986" s="102"/>
      <c r="AP986" s="73"/>
      <c r="AQ986" s="73"/>
      <c r="AR986" s="74"/>
      <c r="AS986" s="73"/>
      <c r="AT986" s="73"/>
      <c r="AU986" s="73"/>
      <c r="AV986" s="73"/>
      <c r="AW986" s="73"/>
      <c r="AX986" s="74"/>
      <c r="AY986" s="73"/>
      <c r="AZ986" s="73"/>
      <c r="BA986" s="74"/>
      <c r="BB986" s="73"/>
      <c r="BC986" s="73"/>
      <c r="BD986" s="73"/>
      <c r="BE986" s="73"/>
      <c r="BF986" s="73"/>
      <c r="BG986" s="73"/>
      <c r="BH986" s="73"/>
      <c r="BI986" s="73"/>
      <c r="BJ986" s="73"/>
      <c r="BK986" s="73"/>
      <c r="BL986" s="73"/>
      <c r="BM986" s="73"/>
      <c r="BN986" s="73"/>
      <c r="BO986" s="73"/>
      <c r="BP986" s="73"/>
      <c r="BQ986" s="73"/>
      <c r="BR986" s="73"/>
      <c r="BS986" s="73"/>
      <c r="BT986" s="74"/>
      <c r="BU986" s="73"/>
      <c r="BV986" s="73"/>
      <c r="BW986" s="73"/>
      <c r="BX986" s="73"/>
      <c r="BY986" s="73"/>
      <c r="BZ986" s="73"/>
      <c r="CA986" s="73"/>
      <c r="CB986" s="73"/>
      <c r="CC986" s="73"/>
      <c r="CD986" s="73"/>
      <c r="CE986" s="73"/>
    </row>
    <row r="987">
      <c r="A987" s="73"/>
      <c r="B987" s="73"/>
      <c r="C987" s="73"/>
      <c r="D987" s="74"/>
      <c r="E987" s="73"/>
      <c r="F987" s="73"/>
      <c r="G987" s="73"/>
      <c r="H987" s="73"/>
      <c r="I987" s="73"/>
      <c r="J987" s="73"/>
      <c r="K987" s="92"/>
      <c r="L987" s="73"/>
      <c r="M987" s="73"/>
      <c r="N987" s="73"/>
      <c r="O987" s="73"/>
      <c r="P987" s="73"/>
      <c r="Q987" s="75"/>
      <c r="R987" s="82"/>
      <c r="S987" s="73"/>
      <c r="T987" s="73"/>
      <c r="U987" s="73"/>
      <c r="V987" s="73"/>
      <c r="W987" s="73"/>
      <c r="X987" s="73"/>
      <c r="Y987" s="77"/>
      <c r="Z987" s="104"/>
      <c r="AA987" s="73"/>
      <c r="AB987" s="104"/>
      <c r="AC987" s="104"/>
      <c r="AD987" s="74"/>
      <c r="AE987" s="106"/>
      <c r="AF987" s="195"/>
      <c r="AG987" s="80"/>
      <c r="AH987" s="104"/>
      <c r="AI987" s="73"/>
      <c r="AJ987" s="114"/>
      <c r="AK987" s="106"/>
      <c r="AL987" s="74"/>
      <c r="AM987" s="73"/>
      <c r="AN987" s="73"/>
      <c r="AO987" s="102"/>
      <c r="AP987" s="73"/>
      <c r="AQ987" s="73"/>
      <c r="AR987" s="74"/>
      <c r="AS987" s="73"/>
      <c r="AT987" s="73"/>
      <c r="AU987" s="73"/>
      <c r="AV987" s="73"/>
      <c r="AW987" s="73"/>
      <c r="AX987" s="74"/>
      <c r="AY987" s="73"/>
      <c r="AZ987" s="73"/>
      <c r="BA987" s="74"/>
      <c r="BB987" s="73"/>
      <c r="BC987" s="73"/>
      <c r="BD987" s="73"/>
      <c r="BE987" s="73"/>
      <c r="BF987" s="73"/>
      <c r="BG987" s="73"/>
      <c r="BH987" s="73"/>
      <c r="BI987" s="73"/>
      <c r="BJ987" s="73"/>
      <c r="BK987" s="73"/>
      <c r="BL987" s="73"/>
      <c r="BM987" s="73"/>
      <c r="BN987" s="73"/>
      <c r="BO987" s="73"/>
      <c r="BP987" s="73"/>
      <c r="BQ987" s="73"/>
      <c r="BR987" s="73"/>
      <c r="BS987" s="73"/>
      <c r="BT987" s="74"/>
      <c r="BU987" s="73"/>
      <c r="BV987" s="73"/>
      <c r="BW987" s="73"/>
      <c r="BX987" s="73"/>
      <c r="BY987" s="73"/>
      <c r="BZ987" s="73"/>
      <c r="CA987" s="73"/>
      <c r="CB987" s="73"/>
      <c r="CC987" s="73"/>
      <c r="CD987" s="73"/>
      <c r="CE987" s="73"/>
    </row>
    <row r="988">
      <c r="A988" s="73"/>
      <c r="B988" s="73"/>
      <c r="C988" s="73"/>
      <c r="D988" s="74"/>
      <c r="E988" s="73"/>
      <c r="F988" s="73"/>
      <c r="G988" s="73"/>
      <c r="H988" s="73"/>
      <c r="I988" s="73"/>
      <c r="J988" s="73"/>
      <c r="K988" s="92"/>
      <c r="L988" s="73"/>
      <c r="M988" s="73"/>
      <c r="N988" s="73"/>
      <c r="O988" s="73"/>
      <c r="P988" s="73"/>
      <c r="Q988" s="75"/>
      <c r="R988" s="82"/>
      <c r="S988" s="73"/>
      <c r="T988" s="73"/>
      <c r="U988" s="73"/>
      <c r="V988" s="73"/>
      <c r="W988" s="73"/>
      <c r="X988" s="73"/>
      <c r="Y988" s="77"/>
      <c r="Z988" s="104"/>
      <c r="AA988" s="73"/>
      <c r="AB988" s="104"/>
      <c r="AC988" s="104"/>
      <c r="AD988" s="74"/>
      <c r="AE988" s="106"/>
      <c r="AF988" s="195"/>
      <c r="AG988" s="80"/>
      <c r="AH988" s="104"/>
      <c r="AI988" s="73"/>
      <c r="AJ988" s="114"/>
      <c r="AK988" s="106"/>
      <c r="AL988" s="74"/>
      <c r="AM988" s="73"/>
      <c r="AN988" s="73"/>
      <c r="AO988" s="102"/>
      <c r="AP988" s="73"/>
      <c r="AQ988" s="73"/>
      <c r="AR988" s="74"/>
      <c r="AS988" s="73"/>
      <c r="AT988" s="73"/>
      <c r="AU988" s="73"/>
      <c r="AV988" s="73"/>
      <c r="AW988" s="73"/>
      <c r="AX988" s="74"/>
      <c r="AY988" s="73"/>
      <c r="AZ988" s="73"/>
      <c r="BA988" s="74"/>
      <c r="BB988" s="73"/>
      <c r="BC988" s="73"/>
      <c r="BD988" s="73"/>
      <c r="BE988" s="73"/>
      <c r="BF988" s="73"/>
      <c r="BG988" s="73"/>
      <c r="BH988" s="73"/>
      <c r="BI988" s="73"/>
      <c r="BJ988" s="73"/>
      <c r="BK988" s="73"/>
      <c r="BL988" s="73"/>
      <c r="BM988" s="73"/>
      <c r="BN988" s="73"/>
      <c r="BO988" s="73"/>
      <c r="BP988" s="73"/>
      <c r="BQ988" s="73"/>
      <c r="BR988" s="73"/>
      <c r="BS988" s="73"/>
      <c r="BT988" s="74"/>
      <c r="BU988" s="73"/>
      <c r="BV988" s="73"/>
      <c r="BW988" s="73"/>
      <c r="BX988" s="73"/>
      <c r="BY988" s="73"/>
      <c r="BZ988" s="73"/>
      <c r="CA988" s="73"/>
      <c r="CB988" s="73"/>
      <c r="CC988" s="73"/>
      <c r="CD988" s="73"/>
      <c r="CE988" s="73"/>
    </row>
    <row r="989">
      <c r="A989" s="73"/>
      <c r="B989" s="73"/>
      <c r="C989" s="73"/>
      <c r="D989" s="74"/>
      <c r="E989" s="73"/>
      <c r="F989" s="73"/>
      <c r="G989" s="73"/>
      <c r="H989" s="73"/>
      <c r="I989" s="73"/>
      <c r="J989" s="73"/>
      <c r="K989" s="92"/>
      <c r="L989" s="73"/>
      <c r="M989" s="73"/>
      <c r="N989" s="73"/>
      <c r="O989" s="73"/>
      <c r="P989" s="73"/>
      <c r="Q989" s="75"/>
      <c r="R989" s="82"/>
      <c r="S989" s="73"/>
      <c r="T989" s="73"/>
      <c r="U989" s="73"/>
      <c r="V989" s="73"/>
      <c r="W989" s="73"/>
      <c r="X989" s="73"/>
      <c r="Y989" s="77"/>
      <c r="Z989" s="104"/>
      <c r="AA989" s="73"/>
      <c r="AB989" s="104"/>
      <c r="AC989" s="104"/>
      <c r="AD989" s="74"/>
      <c r="AE989" s="106"/>
      <c r="AF989" s="195"/>
      <c r="AG989" s="80"/>
      <c r="AH989" s="104"/>
      <c r="AI989" s="73"/>
      <c r="AJ989" s="114"/>
      <c r="AK989" s="106"/>
      <c r="AL989" s="74"/>
      <c r="AM989" s="73"/>
      <c r="AN989" s="73"/>
      <c r="AO989" s="102"/>
      <c r="AP989" s="73"/>
      <c r="AQ989" s="73"/>
      <c r="AR989" s="74"/>
      <c r="AS989" s="73"/>
      <c r="AT989" s="73"/>
      <c r="AU989" s="73"/>
      <c r="AV989" s="73"/>
      <c r="AW989" s="73"/>
      <c r="AX989" s="74"/>
      <c r="AY989" s="73"/>
      <c r="AZ989" s="73"/>
      <c r="BA989" s="74"/>
      <c r="BB989" s="73"/>
      <c r="BC989" s="73"/>
      <c r="BD989" s="73"/>
      <c r="BE989" s="73"/>
      <c r="BF989" s="73"/>
      <c r="BG989" s="73"/>
      <c r="BH989" s="73"/>
      <c r="BI989" s="73"/>
      <c r="BJ989" s="73"/>
      <c r="BK989" s="73"/>
      <c r="BL989" s="73"/>
      <c r="BM989" s="73"/>
      <c r="BN989" s="73"/>
      <c r="BO989" s="73"/>
      <c r="BP989" s="73"/>
      <c r="BQ989" s="73"/>
      <c r="BR989" s="73"/>
      <c r="BS989" s="73"/>
      <c r="BT989" s="74"/>
      <c r="BU989" s="73"/>
      <c r="BV989" s="73"/>
      <c r="BW989" s="73"/>
      <c r="BX989" s="73"/>
      <c r="BY989" s="73"/>
      <c r="BZ989" s="73"/>
      <c r="CA989" s="73"/>
      <c r="CB989" s="73"/>
      <c r="CC989" s="73"/>
      <c r="CD989" s="73"/>
      <c r="CE989" s="73"/>
    </row>
    <row r="990">
      <c r="A990" s="73"/>
      <c r="B990" s="73"/>
      <c r="C990" s="73"/>
      <c r="D990" s="74"/>
      <c r="E990" s="73"/>
      <c r="F990" s="73"/>
      <c r="G990" s="73"/>
      <c r="H990" s="73"/>
      <c r="I990" s="73"/>
      <c r="J990" s="73"/>
      <c r="K990" s="92"/>
      <c r="L990" s="73"/>
      <c r="M990" s="73"/>
      <c r="N990" s="73"/>
      <c r="O990" s="73"/>
      <c r="P990" s="73"/>
      <c r="Q990" s="75"/>
      <c r="R990" s="82"/>
      <c r="S990" s="73"/>
      <c r="T990" s="73"/>
      <c r="U990" s="73"/>
      <c r="V990" s="73"/>
      <c r="W990" s="73"/>
      <c r="X990" s="73"/>
      <c r="Y990" s="77"/>
      <c r="Z990" s="104"/>
      <c r="AA990" s="73"/>
      <c r="AB990" s="104"/>
      <c r="AC990" s="104"/>
      <c r="AD990" s="74"/>
      <c r="AE990" s="106"/>
      <c r="AF990" s="195"/>
      <c r="AG990" s="80"/>
      <c r="AH990" s="104"/>
      <c r="AI990" s="73"/>
      <c r="AJ990" s="114"/>
      <c r="AK990" s="106"/>
      <c r="AL990" s="74"/>
      <c r="AM990" s="73"/>
      <c r="AN990" s="73"/>
      <c r="AO990" s="102"/>
      <c r="AP990" s="73"/>
      <c r="AQ990" s="73"/>
      <c r="AR990" s="74"/>
      <c r="AS990" s="73"/>
      <c r="AT990" s="73"/>
      <c r="AU990" s="73"/>
      <c r="AV990" s="73"/>
      <c r="AW990" s="73"/>
      <c r="AX990" s="74"/>
      <c r="AY990" s="73"/>
      <c r="AZ990" s="73"/>
      <c r="BA990" s="74"/>
      <c r="BB990" s="73"/>
      <c r="BC990" s="73"/>
      <c r="BD990" s="73"/>
      <c r="BE990" s="73"/>
      <c r="BF990" s="73"/>
      <c r="BG990" s="73"/>
      <c r="BH990" s="73"/>
      <c r="BI990" s="73"/>
      <c r="BJ990" s="73"/>
      <c r="BK990" s="73"/>
      <c r="BL990" s="73"/>
      <c r="BM990" s="73"/>
      <c r="BN990" s="73"/>
      <c r="BO990" s="73"/>
      <c r="BP990" s="73"/>
      <c r="BQ990" s="73"/>
      <c r="BR990" s="73"/>
      <c r="BS990" s="73"/>
      <c r="BT990" s="74"/>
      <c r="BU990" s="73"/>
      <c r="BV990" s="73"/>
      <c r="BW990" s="73"/>
      <c r="BX990" s="73"/>
      <c r="BY990" s="73"/>
      <c r="BZ990" s="73"/>
      <c r="CA990" s="73"/>
      <c r="CB990" s="73"/>
      <c r="CC990" s="73"/>
      <c r="CD990" s="73"/>
      <c r="CE990" s="73"/>
    </row>
    <row r="991">
      <c r="A991" s="73"/>
      <c r="B991" s="73"/>
      <c r="C991" s="73"/>
      <c r="D991" s="74"/>
      <c r="E991" s="73"/>
      <c r="F991" s="73"/>
      <c r="G991" s="73"/>
      <c r="H991" s="73"/>
      <c r="I991" s="73"/>
      <c r="J991" s="73"/>
      <c r="K991" s="92"/>
      <c r="L991" s="73"/>
      <c r="M991" s="73"/>
      <c r="N991" s="73"/>
      <c r="O991" s="73"/>
      <c r="P991" s="73"/>
      <c r="Q991" s="75"/>
      <c r="R991" s="82"/>
      <c r="S991" s="73"/>
      <c r="T991" s="73"/>
      <c r="U991" s="73"/>
      <c r="V991" s="73"/>
      <c r="W991" s="73"/>
      <c r="X991" s="73"/>
      <c r="Y991" s="77"/>
      <c r="Z991" s="104"/>
      <c r="AA991" s="73"/>
      <c r="AB991" s="104"/>
      <c r="AC991" s="104"/>
      <c r="AD991" s="74"/>
      <c r="AE991" s="106"/>
      <c r="AF991" s="195"/>
      <c r="AG991" s="80"/>
      <c r="AH991" s="104"/>
      <c r="AI991" s="73"/>
      <c r="AJ991" s="114"/>
      <c r="AK991" s="106"/>
      <c r="AL991" s="74"/>
      <c r="AM991" s="73"/>
      <c r="AN991" s="73"/>
      <c r="AO991" s="102"/>
      <c r="AP991" s="73"/>
      <c r="AQ991" s="73"/>
      <c r="AR991" s="74"/>
      <c r="AS991" s="73"/>
      <c r="AT991" s="73"/>
      <c r="AU991" s="73"/>
      <c r="AV991" s="73"/>
      <c r="AW991" s="73"/>
      <c r="AX991" s="74"/>
      <c r="AY991" s="73"/>
      <c r="AZ991" s="73"/>
      <c r="BA991" s="74"/>
      <c r="BB991" s="73"/>
      <c r="BC991" s="73"/>
      <c r="BD991" s="73"/>
      <c r="BE991" s="73"/>
      <c r="BF991" s="73"/>
      <c r="BG991" s="73"/>
      <c r="BH991" s="73"/>
      <c r="BI991" s="73"/>
      <c r="BJ991" s="73"/>
      <c r="BK991" s="73"/>
      <c r="BL991" s="73"/>
      <c r="BM991" s="73"/>
      <c r="BN991" s="73"/>
      <c r="BO991" s="73"/>
      <c r="BP991" s="73"/>
      <c r="BQ991" s="73"/>
      <c r="BR991" s="73"/>
      <c r="BS991" s="73"/>
      <c r="BT991" s="74"/>
      <c r="BU991" s="73"/>
      <c r="BV991" s="73"/>
      <c r="BW991" s="73"/>
      <c r="BX991" s="73"/>
      <c r="BY991" s="73"/>
      <c r="BZ991" s="73"/>
      <c r="CA991" s="73"/>
      <c r="CB991" s="73"/>
      <c r="CC991" s="73"/>
      <c r="CD991" s="73"/>
      <c r="CE991" s="73"/>
    </row>
    <row r="992">
      <c r="A992" s="73"/>
      <c r="B992" s="73"/>
      <c r="C992" s="73"/>
      <c r="D992" s="74"/>
      <c r="E992" s="73"/>
      <c r="F992" s="73"/>
      <c r="G992" s="73"/>
      <c r="H992" s="73"/>
      <c r="I992" s="73"/>
      <c r="J992" s="73"/>
      <c r="K992" s="92"/>
      <c r="L992" s="73"/>
      <c r="M992" s="73"/>
      <c r="N992" s="73"/>
      <c r="O992" s="73"/>
      <c r="P992" s="73"/>
      <c r="Q992" s="75"/>
      <c r="R992" s="82"/>
      <c r="S992" s="73"/>
      <c r="T992" s="73"/>
      <c r="U992" s="73"/>
      <c r="V992" s="73"/>
      <c r="W992" s="73"/>
      <c r="X992" s="73"/>
      <c r="Y992" s="77"/>
      <c r="Z992" s="104"/>
      <c r="AA992" s="73"/>
      <c r="AB992" s="104"/>
      <c r="AC992" s="104"/>
      <c r="AD992" s="74"/>
      <c r="AE992" s="106"/>
      <c r="AF992" s="195"/>
      <c r="AG992" s="80"/>
      <c r="AH992" s="104"/>
      <c r="AI992" s="73"/>
      <c r="AJ992" s="114"/>
      <c r="AK992" s="106"/>
      <c r="AL992" s="74"/>
      <c r="AM992" s="73"/>
      <c r="AN992" s="73"/>
      <c r="AO992" s="102"/>
      <c r="AP992" s="73"/>
      <c r="AQ992" s="73"/>
      <c r="AR992" s="74"/>
      <c r="AS992" s="73"/>
      <c r="AT992" s="73"/>
      <c r="AU992" s="73"/>
      <c r="AV992" s="73"/>
      <c r="AW992" s="73"/>
      <c r="AX992" s="74"/>
      <c r="AY992" s="73"/>
      <c r="AZ992" s="73"/>
      <c r="BA992" s="74"/>
      <c r="BB992" s="73"/>
      <c r="BC992" s="73"/>
      <c r="BD992" s="73"/>
      <c r="BE992" s="73"/>
      <c r="BF992" s="73"/>
      <c r="BG992" s="73"/>
      <c r="BH992" s="73"/>
      <c r="BI992" s="73"/>
      <c r="BJ992" s="73"/>
      <c r="BK992" s="73"/>
      <c r="BL992" s="73"/>
      <c r="BM992" s="73"/>
      <c r="BN992" s="73"/>
      <c r="BO992" s="73"/>
      <c r="BP992" s="73"/>
      <c r="BQ992" s="73"/>
      <c r="BR992" s="73"/>
      <c r="BS992" s="73"/>
      <c r="BT992" s="74"/>
      <c r="BU992" s="73"/>
      <c r="BV992" s="73"/>
      <c r="BW992" s="73"/>
      <c r="BX992" s="73"/>
      <c r="BY992" s="73"/>
      <c r="BZ992" s="73"/>
      <c r="CA992" s="73"/>
      <c r="CB992" s="73"/>
      <c r="CC992" s="73"/>
      <c r="CD992" s="73"/>
      <c r="CE992" s="73"/>
    </row>
    <row r="993">
      <c r="A993" s="73"/>
      <c r="B993" s="73"/>
      <c r="C993" s="73"/>
      <c r="D993" s="74"/>
      <c r="E993" s="73"/>
      <c r="F993" s="73"/>
      <c r="G993" s="73"/>
      <c r="H993" s="73"/>
      <c r="I993" s="73"/>
      <c r="J993" s="73"/>
      <c r="K993" s="92"/>
      <c r="L993" s="73"/>
      <c r="M993" s="73"/>
      <c r="N993" s="73"/>
      <c r="O993" s="73"/>
      <c r="P993" s="73"/>
      <c r="Q993" s="75"/>
      <c r="R993" s="82"/>
      <c r="S993" s="73"/>
      <c r="T993" s="73"/>
      <c r="U993" s="73"/>
      <c r="V993" s="73"/>
      <c r="W993" s="73"/>
      <c r="X993" s="73"/>
      <c r="Y993" s="77"/>
      <c r="Z993" s="104"/>
      <c r="AA993" s="73"/>
      <c r="AB993" s="104"/>
      <c r="AC993" s="104"/>
      <c r="AD993" s="74"/>
      <c r="AE993" s="106"/>
      <c r="AF993" s="195"/>
      <c r="AG993" s="80"/>
      <c r="AH993" s="104"/>
      <c r="AI993" s="73"/>
      <c r="AJ993" s="114"/>
      <c r="AK993" s="106"/>
      <c r="AL993" s="74"/>
      <c r="AM993" s="73"/>
      <c r="AN993" s="73"/>
      <c r="AO993" s="102"/>
      <c r="AP993" s="73"/>
      <c r="AQ993" s="73"/>
      <c r="AR993" s="74"/>
      <c r="AS993" s="73"/>
      <c r="AT993" s="73"/>
      <c r="AU993" s="73"/>
      <c r="AV993" s="73"/>
      <c r="AW993" s="73"/>
      <c r="AX993" s="74"/>
      <c r="AY993" s="73"/>
      <c r="AZ993" s="73"/>
      <c r="BA993" s="74"/>
      <c r="BB993" s="73"/>
      <c r="BC993" s="73"/>
      <c r="BD993" s="73"/>
      <c r="BE993" s="73"/>
      <c r="BF993" s="73"/>
      <c r="BG993" s="73"/>
      <c r="BH993" s="73"/>
      <c r="BI993" s="73"/>
      <c r="BJ993" s="73"/>
      <c r="BK993" s="73"/>
      <c r="BL993" s="73"/>
      <c r="BM993" s="73"/>
      <c r="BN993" s="73"/>
      <c r="BO993" s="73"/>
      <c r="BP993" s="73"/>
      <c r="BQ993" s="73"/>
      <c r="BR993" s="73"/>
      <c r="BS993" s="73"/>
      <c r="BT993" s="74"/>
      <c r="BU993" s="73"/>
      <c r="BV993" s="73"/>
      <c r="BW993" s="73"/>
      <c r="BX993" s="73"/>
      <c r="BY993" s="73"/>
      <c r="BZ993" s="73"/>
      <c r="CA993" s="73"/>
      <c r="CB993" s="73"/>
      <c r="CC993" s="73"/>
      <c r="CD993" s="73"/>
      <c r="CE993" s="73"/>
    </row>
    <row r="994">
      <c r="A994" s="73"/>
      <c r="B994" s="73"/>
      <c r="C994" s="73"/>
      <c r="D994" s="74"/>
      <c r="E994" s="73"/>
      <c r="F994" s="73"/>
      <c r="G994" s="73"/>
      <c r="H994" s="73"/>
      <c r="I994" s="73"/>
      <c r="J994" s="73"/>
      <c r="K994" s="92"/>
      <c r="L994" s="73"/>
      <c r="M994" s="73"/>
      <c r="N994" s="73"/>
      <c r="O994" s="73"/>
      <c r="P994" s="73"/>
      <c r="Q994" s="75"/>
      <c r="R994" s="82"/>
      <c r="S994" s="73"/>
      <c r="T994" s="73"/>
      <c r="U994" s="73"/>
      <c r="V994" s="73"/>
      <c r="W994" s="73"/>
      <c r="X994" s="73"/>
      <c r="Y994" s="77"/>
      <c r="Z994" s="104"/>
      <c r="AA994" s="73"/>
      <c r="AB994" s="104"/>
      <c r="AC994" s="104"/>
      <c r="AD994" s="74"/>
      <c r="AE994" s="106"/>
      <c r="AF994" s="195"/>
      <c r="AG994" s="80"/>
      <c r="AH994" s="104"/>
      <c r="AI994" s="73"/>
      <c r="AJ994" s="114"/>
      <c r="AK994" s="106"/>
      <c r="AL994" s="74"/>
      <c r="AM994" s="73"/>
      <c r="AN994" s="73"/>
      <c r="AO994" s="102"/>
      <c r="AP994" s="73"/>
      <c r="AQ994" s="73"/>
      <c r="AR994" s="74"/>
      <c r="AS994" s="73"/>
      <c r="AT994" s="73"/>
      <c r="AU994" s="73"/>
      <c r="AV994" s="73"/>
      <c r="AW994" s="73"/>
      <c r="AX994" s="74"/>
      <c r="AY994" s="73"/>
      <c r="AZ994" s="73"/>
      <c r="BA994" s="74"/>
      <c r="BB994" s="73"/>
      <c r="BC994" s="73"/>
      <c r="BD994" s="73"/>
      <c r="BE994" s="73"/>
      <c r="BF994" s="73"/>
      <c r="BG994" s="73"/>
      <c r="BH994" s="73"/>
      <c r="BI994" s="73"/>
      <c r="BJ994" s="73"/>
      <c r="BK994" s="73"/>
      <c r="BL994" s="73"/>
      <c r="BM994" s="73"/>
      <c r="BN994" s="73"/>
      <c r="BO994" s="73"/>
      <c r="BP994" s="73"/>
      <c r="BQ994" s="73"/>
      <c r="BR994" s="73"/>
      <c r="BS994" s="73"/>
      <c r="BT994" s="74"/>
      <c r="BU994" s="73"/>
      <c r="BV994" s="73"/>
      <c r="BW994" s="73"/>
      <c r="BX994" s="73"/>
      <c r="BY994" s="73"/>
      <c r="BZ994" s="73"/>
      <c r="CA994" s="73"/>
      <c r="CB994" s="73"/>
      <c r="CC994" s="73"/>
      <c r="CD994" s="73"/>
      <c r="CE994" s="73"/>
    </row>
    <row r="995">
      <c r="A995" s="73"/>
      <c r="B995" s="73"/>
      <c r="C995" s="73"/>
      <c r="D995" s="74"/>
      <c r="E995" s="73"/>
      <c r="F995" s="73"/>
      <c r="G995" s="73"/>
      <c r="H995" s="73"/>
      <c r="I995" s="73"/>
      <c r="J995" s="73"/>
      <c r="K995" s="92"/>
      <c r="L995" s="73"/>
      <c r="M995" s="73"/>
      <c r="N995" s="73"/>
      <c r="O995" s="73"/>
      <c r="P995" s="73"/>
      <c r="Q995" s="75"/>
      <c r="R995" s="82"/>
      <c r="S995" s="73"/>
      <c r="T995" s="73"/>
      <c r="U995" s="73"/>
      <c r="V995" s="73"/>
      <c r="W995" s="73"/>
      <c r="X995" s="73"/>
      <c r="Y995" s="77"/>
      <c r="Z995" s="104"/>
      <c r="AA995" s="73"/>
      <c r="AB995" s="104"/>
      <c r="AC995" s="104"/>
      <c r="AD995" s="74"/>
      <c r="AE995" s="106"/>
      <c r="AF995" s="195"/>
      <c r="AG995" s="80"/>
      <c r="AH995" s="104"/>
      <c r="AI995" s="73"/>
      <c r="AJ995" s="114"/>
      <c r="AK995" s="106"/>
      <c r="AL995" s="74"/>
      <c r="AM995" s="73"/>
      <c r="AN995" s="73"/>
      <c r="AO995" s="102"/>
      <c r="AP995" s="73"/>
      <c r="AQ995" s="73"/>
      <c r="AR995" s="74"/>
      <c r="AS995" s="73"/>
      <c r="AT995" s="73"/>
      <c r="AU995" s="73"/>
      <c r="AV995" s="73"/>
      <c r="AW995" s="73"/>
      <c r="AX995" s="74"/>
      <c r="AY995" s="73"/>
      <c r="AZ995" s="73"/>
      <c r="BA995" s="74"/>
      <c r="BB995" s="73"/>
      <c r="BC995" s="73"/>
      <c r="BD995" s="73"/>
      <c r="BE995" s="73"/>
      <c r="BF995" s="73"/>
      <c r="BG995" s="73"/>
      <c r="BH995" s="73"/>
      <c r="BI995" s="73"/>
      <c r="BJ995" s="73"/>
      <c r="BK995" s="73"/>
      <c r="BL995" s="73"/>
      <c r="BM995" s="73"/>
      <c r="BN995" s="73"/>
      <c r="BO995" s="73"/>
      <c r="BP995" s="73"/>
      <c r="BQ995" s="73"/>
      <c r="BR995" s="73"/>
      <c r="BS995" s="73"/>
      <c r="BT995" s="74"/>
      <c r="BU995" s="73"/>
      <c r="BV995" s="73"/>
      <c r="BW995" s="73"/>
      <c r="BX995" s="73"/>
      <c r="BY995" s="73"/>
      <c r="BZ995" s="73"/>
      <c r="CA995" s="73"/>
      <c r="CB995" s="73"/>
      <c r="CC995" s="73"/>
      <c r="CD995" s="73"/>
      <c r="CE995" s="73"/>
    </row>
    <row r="996">
      <c r="A996" s="73"/>
      <c r="B996" s="73"/>
      <c r="C996" s="73"/>
      <c r="D996" s="74"/>
      <c r="E996" s="73"/>
      <c r="F996" s="73"/>
      <c r="G996" s="73"/>
      <c r="H996" s="73"/>
      <c r="I996" s="73"/>
      <c r="J996" s="73"/>
      <c r="K996" s="92"/>
      <c r="L996" s="73"/>
      <c r="M996" s="73"/>
      <c r="N996" s="73"/>
      <c r="O996" s="73"/>
      <c r="P996" s="73"/>
      <c r="Q996" s="75"/>
      <c r="R996" s="82"/>
      <c r="S996" s="73"/>
      <c r="T996" s="73"/>
      <c r="U996" s="73"/>
      <c r="V996" s="73"/>
      <c r="W996" s="73"/>
      <c r="X996" s="73"/>
      <c r="Y996" s="77"/>
      <c r="Z996" s="104"/>
      <c r="AA996" s="73"/>
      <c r="AB996" s="104"/>
      <c r="AC996" s="104"/>
      <c r="AD996" s="74"/>
      <c r="AE996" s="106"/>
      <c r="AF996" s="195"/>
      <c r="AG996" s="80"/>
      <c r="AH996" s="104"/>
      <c r="AI996" s="73"/>
      <c r="AJ996" s="114"/>
      <c r="AK996" s="106"/>
      <c r="AL996" s="74"/>
      <c r="AM996" s="73"/>
      <c r="AN996" s="73"/>
      <c r="AO996" s="102"/>
      <c r="AP996" s="73"/>
      <c r="AQ996" s="73"/>
      <c r="AR996" s="74"/>
      <c r="AS996" s="73"/>
      <c r="AT996" s="73"/>
      <c r="AU996" s="73"/>
      <c r="AV996" s="73"/>
      <c r="AW996" s="73"/>
      <c r="AX996" s="74"/>
      <c r="AY996" s="73"/>
      <c r="AZ996" s="73"/>
      <c r="BA996" s="74"/>
      <c r="BB996" s="73"/>
      <c r="BC996" s="73"/>
      <c r="BD996" s="73"/>
      <c r="BE996" s="73"/>
      <c r="BF996" s="73"/>
      <c r="BG996" s="73"/>
      <c r="BH996" s="73"/>
      <c r="BI996" s="73"/>
      <c r="BJ996" s="73"/>
      <c r="BK996" s="73"/>
      <c r="BL996" s="73"/>
      <c r="BM996" s="73"/>
      <c r="BN996" s="73"/>
      <c r="BO996" s="73"/>
      <c r="BP996" s="73"/>
      <c r="BQ996" s="73"/>
      <c r="BR996" s="73"/>
      <c r="BS996" s="73"/>
      <c r="BT996" s="74"/>
      <c r="BU996" s="73"/>
      <c r="BV996" s="73"/>
      <c r="BW996" s="73"/>
      <c r="BX996" s="73"/>
      <c r="BY996" s="73"/>
      <c r="BZ996" s="73"/>
      <c r="CA996" s="73"/>
      <c r="CB996" s="73"/>
      <c r="CC996" s="73"/>
      <c r="CD996" s="73"/>
      <c r="CE996" s="73"/>
    </row>
    <row r="997">
      <c r="A997" s="73"/>
      <c r="B997" s="73"/>
      <c r="C997" s="73"/>
      <c r="D997" s="74"/>
      <c r="E997" s="73"/>
      <c r="F997" s="73"/>
      <c r="G997" s="73"/>
      <c r="H997" s="73"/>
      <c r="I997" s="73"/>
      <c r="J997" s="73"/>
      <c r="K997" s="92"/>
      <c r="L997" s="73"/>
      <c r="M997" s="73"/>
      <c r="N997" s="73"/>
      <c r="O997" s="73"/>
      <c r="P997" s="73"/>
      <c r="Q997" s="75"/>
      <c r="R997" s="82"/>
      <c r="S997" s="73"/>
      <c r="T997" s="73"/>
      <c r="U997" s="73"/>
      <c r="V997" s="73"/>
      <c r="W997" s="73"/>
      <c r="X997" s="73"/>
      <c r="Y997" s="77"/>
      <c r="Z997" s="104"/>
      <c r="AA997" s="73"/>
      <c r="AB997" s="104"/>
      <c r="AC997" s="104"/>
      <c r="AD997" s="74"/>
      <c r="AE997" s="106"/>
      <c r="AF997" s="195"/>
      <c r="AG997" s="80"/>
      <c r="AH997" s="104"/>
      <c r="AI997" s="73"/>
      <c r="AJ997" s="114"/>
      <c r="AK997" s="106"/>
      <c r="AL997" s="74"/>
      <c r="AM997" s="73"/>
      <c r="AN997" s="73"/>
      <c r="AO997" s="102"/>
      <c r="AP997" s="73"/>
      <c r="AQ997" s="73"/>
      <c r="AR997" s="74"/>
      <c r="AS997" s="73"/>
      <c r="AT997" s="73"/>
      <c r="AU997" s="73"/>
      <c r="AV997" s="73"/>
      <c r="AW997" s="73"/>
      <c r="AX997" s="74"/>
      <c r="AY997" s="73"/>
      <c r="AZ997" s="73"/>
      <c r="BA997" s="74"/>
      <c r="BB997" s="73"/>
      <c r="BC997" s="73"/>
      <c r="BD997" s="73"/>
      <c r="BE997" s="73"/>
      <c r="BF997" s="73"/>
      <c r="BG997" s="73"/>
      <c r="BH997" s="73"/>
      <c r="BI997" s="73"/>
      <c r="BJ997" s="73"/>
      <c r="BK997" s="73"/>
      <c r="BL997" s="73"/>
      <c r="BM997" s="73"/>
      <c r="BN997" s="73"/>
      <c r="BO997" s="73"/>
      <c r="BP997" s="73"/>
      <c r="BQ997" s="73"/>
      <c r="BR997" s="73"/>
      <c r="BS997" s="73"/>
      <c r="BT997" s="74"/>
      <c r="BU997" s="73"/>
      <c r="BV997" s="73"/>
      <c r="BW997" s="73"/>
      <c r="BX997" s="73"/>
      <c r="BY997" s="73"/>
      <c r="BZ997" s="73"/>
      <c r="CA997" s="73"/>
      <c r="CB997" s="73"/>
      <c r="CC997" s="73"/>
      <c r="CD997" s="73"/>
      <c r="CE997" s="73"/>
    </row>
    <row r="998">
      <c r="A998" s="73"/>
      <c r="B998" s="73"/>
      <c r="C998" s="73"/>
      <c r="D998" s="74"/>
      <c r="E998" s="73"/>
      <c r="F998" s="73"/>
      <c r="G998" s="73"/>
      <c r="H998" s="73"/>
      <c r="I998" s="73"/>
      <c r="J998" s="73"/>
      <c r="K998" s="92"/>
      <c r="L998" s="73"/>
      <c r="M998" s="73"/>
      <c r="N998" s="73"/>
      <c r="O998" s="73"/>
      <c r="P998" s="73"/>
      <c r="Q998" s="75"/>
      <c r="R998" s="82"/>
      <c r="S998" s="73"/>
      <c r="T998" s="73"/>
      <c r="U998" s="73"/>
      <c r="V998" s="73"/>
      <c r="W998" s="73"/>
      <c r="X998" s="73"/>
      <c r="Y998" s="77"/>
      <c r="Z998" s="104"/>
      <c r="AA998" s="73"/>
      <c r="AB998" s="104"/>
      <c r="AC998" s="104"/>
      <c r="AD998" s="74"/>
      <c r="AE998" s="106"/>
      <c r="AF998" s="195"/>
      <c r="AG998" s="80"/>
      <c r="AH998" s="104"/>
      <c r="AI998" s="73"/>
      <c r="AJ998" s="114"/>
      <c r="AK998" s="106"/>
      <c r="AL998" s="74"/>
      <c r="AM998" s="73"/>
      <c r="AN998" s="73"/>
      <c r="AO998" s="102"/>
      <c r="AP998" s="73"/>
      <c r="AQ998" s="73"/>
      <c r="AR998" s="74"/>
      <c r="AS998" s="73"/>
      <c r="AT998" s="73"/>
      <c r="AU998" s="73"/>
      <c r="AV998" s="73"/>
      <c r="AW998" s="73"/>
      <c r="AX998" s="74"/>
      <c r="AY998" s="73"/>
      <c r="AZ998" s="73"/>
      <c r="BA998" s="74"/>
      <c r="BB998" s="73"/>
      <c r="BC998" s="73"/>
      <c r="BD998" s="73"/>
      <c r="BE998" s="73"/>
      <c r="BF998" s="73"/>
      <c r="BG998" s="73"/>
      <c r="BH998" s="73"/>
      <c r="BI998" s="73"/>
      <c r="BJ998" s="73"/>
      <c r="BK998" s="73"/>
      <c r="BL998" s="73"/>
      <c r="BM998" s="73"/>
      <c r="BN998" s="73"/>
      <c r="BO998" s="73"/>
      <c r="BP998" s="73"/>
      <c r="BQ998" s="73"/>
      <c r="BR998" s="73"/>
      <c r="BS998" s="73"/>
      <c r="BT998" s="74"/>
      <c r="BU998" s="73"/>
      <c r="BV998" s="73"/>
      <c r="BW998" s="73"/>
      <c r="BX998" s="73"/>
      <c r="BY998" s="73"/>
      <c r="BZ998" s="73"/>
      <c r="CA998" s="73"/>
      <c r="CB998" s="73"/>
      <c r="CC998" s="73"/>
      <c r="CD998" s="73"/>
      <c r="CE998" s="73"/>
    </row>
    <row r="999">
      <c r="A999" s="73"/>
      <c r="B999" s="73"/>
      <c r="C999" s="73"/>
      <c r="D999" s="74"/>
      <c r="E999" s="73"/>
      <c r="F999" s="73"/>
      <c r="G999" s="73"/>
      <c r="H999" s="73"/>
      <c r="I999" s="73"/>
      <c r="J999" s="73"/>
      <c r="K999" s="92"/>
      <c r="L999" s="73"/>
      <c r="M999" s="73"/>
      <c r="N999" s="73"/>
      <c r="O999" s="73"/>
      <c r="P999" s="73"/>
      <c r="Q999" s="75"/>
      <c r="R999" s="82"/>
      <c r="S999" s="73"/>
      <c r="T999" s="73"/>
      <c r="U999" s="73"/>
      <c r="V999" s="73"/>
      <c r="W999" s="73"/>
      <c r="X999" s="73"/>
      <c r="Y999" s="77"/>
      <c r="Z999" s="104"/>
      <c r="AA999" s="73"/>
      <c r="AB999" s="104"/>
      <c r="AC999" s="104"/>
      <c r="AD999" s="74"/>
      <c r="AE999" s="106"/>
      <c r="AF999" s="195"/>
      <c r="AG999" s="80"/>
      <c r="AH999" s="104"/>
      <c r="AI999" s="73"/>
      <c r="AJ999" s="114"/>
      <c r="AK999" s="106"/>
      <c r="AL999" s="74"/>
      <c r="AM999" s="73"/>
      <c r="AN999" s="73"/>
      <c r="AO999" s="102"/>
      <c r="AP999" s="73"/>
      <c r="AQ999" s="73"/>
      <c r="AR999" s="74"/>
      <c r="AS999" s="73"/>
      <c r="AT999" s="73"/>
      <c r="AU999" s="73"/>
      <c r="AV999" s="73"/>
      <c r="AW999" s="73"/>
      <c r="AX999" s="74"/>
      <c r="AY999" s="73"/>
      <c r="AZ999" s="73"/>
      <c r="BA999" s="74"/>
      <c r="BB999" s="73"/>
      <c r="BC999" s="73"/>
      <c r="BD999" s="73"/>
      <c r="BE999" s="73"/>
      <c r="BF999" s="73"/>
      <c r="BG999" s="73"/>
      <c r="BH999" s="73"/>
      <c r="BI999" s="73"/>
      <c r="BJ999" s="73"/>
      <c r="BK999" s="73"/>
      <c r="BL999" s="73"/>
      <c r="BM999" s="73"/>
      <c r="BN999" s="73"/>
      <c r="BO999" s="73"/>
      <c r="BP999" s="73"/>
      <c r="BQ999" s="73"/>
      <c r="BR999" s="73"/>
      <c r="BS999" s="73"/>
      <c r="BT999" s="74"/>
      <c r="BU999" s="73"/>
      <c r="BV999" s="73"/>
      <c r="BW999" s="73"/>
      <c r="BX999" s="73"/>
      <c r="BY999" s="73"/>
      <c r="BZ999" s="73"/>
      <c r="CA999" s="73"/>
      <c r="CB999" s="73"/>
      <c r="CC999" s="73"/>
      <c r="CD999" s="73"/>
      <c r="CE999" s="73"/>
    </row>
    <row r="1000">
      <c r="A1000" s="73"/>
      <c r="B1000" s="73"/>
      <c r="C1000" s="73"/>
      <c r="D1000" s="74"/>
      <c r="E1000" s="73"/>
      <c r="F1000" s="73"/>
      <c r="G1000" s="73"/>
      <c r="H1000" s="73"/>
      <c r="I1000" s="73"/>
      <c r="J1000" s="73"/>
      <c r="K1000" s="92"/>
      <c r="L1000" s="73"/>
      <c r="M1000" s="73"/>
      <c r="N1000" s="73"/>
      <c r="O1000" s="73"/>
      <c r="P1000" s="73"/>
      <c r="Q1000" s="75"/>
      <c r="R1000" s="82"/>
      <c r="S1000" s="73"/>
      <c r="T1000" s="73"/>
      <c r="U1000" s="73"/>
      <c r="V1000" s="73"/>
      <c r="W1000" s="73"/>
      <c r="X1000" s="73"/>
      <c r="Y1000" s="77"/>
      <c r="Z1000" s="104"/>
      <c r="AA1000" s="73"/>
      <c r="AB1000" s="104"/>
      <c r="AC1000" s="104"/>
      <c r="AD1000" s="74"/>
      <c r="AE1000" s="106"/>
      <c r="AF1000" s="195"/>
      <c r="AG1000" s="80"/>
      <c r="AH1000" s="104"/>
      <c r="AI1000" s="73"/>
      <c r="AJ1000" s="114"/>
      <c r="AK1000" s="106"/>
      <c r="AL1000" s="74"/>
      <c r="AM1000" s="73"/>
      <c r="AN1000" s="73"/>
      <c r="AO1000" s="102"/>
      <c r="AP1000" s="73"/>
      <c r="AQ1000" s="73"/>
      <c r="AR1000" s="74"/>
      <c r="AS1000" s="73"/>
      <c r="AT1000" s="73"/>
      <c r="AU1000" s="73"/>
      <c r="AV1000" s="73"/>
      <c r="AW1000" s="73"/>
      <c r="AX1000" s="74"/>
      <c r="AY1000" s="73"/>
      <c r="AZ1000" s="73"/>
      <c r="BA1000" s="74"/>
      <c r="BB1000" s="73"/>
      <c r="BC1000" s="73"/>
      <c r="BD1000" s="73"/>
      <c r="BE1000" s="73"/>
      <c r="BF1000" s="73"/>
      <c r="BG1000" s="73"/>
      <c r="BH1000" s="73"/>
      <c r="BI1000" s="73"/>
      <c r="BJ1000" s="73"/>
      <c r="BK1000" s="73"/>
      <c r="BL1000" s="73"/>
      <c r="BM1000" s="73"/>
      <c r="BN1000" s="73"/>
      <c r="BO1000" s="73"/>
      <c r="BP1000" s="73"/>
      <c r="BQ1000" s="73"/>
      <c r="BR1000" s="73"/>
      <c r="BS1000" s="73"/>
      <c r="BT1000" s="74"/>
      <c r="BU1000" s="73"/>
      <c r="BV1000" s="73"/>
      <c r="BW1000" s="73"/>
      <c r="BX1000" s="73"/>
      <c r="BY1000" s="73"/>
      <c r="BZ1000" s="73"/>
      <c r="CA1000" s="73"/>
      <c r="CB1000" s="73"/>
      <c r="CC1000" s="73"/>
      <c r="CD1000" s="73"/>
      <c r="CE1000" s="73"/>
    </row>
    <row r="1001">
      <c r="A1001" s="73"/>
      <c r="B1001" s="73"/>
      <c r="C1001" s="73"/>
      <c r="D1001" s="74"/>
      <c r="E1001" s="73"/>
      <c r="F1001" s="73"/>
      <c r="G1001" s="73"/>
      <c r="H1001" s="73"/>
      <c r="I1001" s="73"/>
      <c r="J1001" s="73"/>
      <c r="K1001" s="92"/>
      <c r="L1001" s="73"/>
      <c r="M1001" s="73"/>
      <c r="N1001" s="73"/>
      <c r="O1001" s="73"/>
      <c r="P1001" s="73"/>
      <c r="Q1001" s="75"/>
      <c r="R1001" s="82"/>
      <c r="S1001" s="73"/>
      <c r="T1001" s="73"/>
      <c r="U1001" s="73"/>
      <c r="V1001" s="73"/>
      <c r="W1001" s="73"/>
      <c r="X1001" s="73"/>
      <c r="Y1001" s="77"/>
      <c r="Z1001" s="104"/>
      <c r="AA1001" s="73"/>
      <c r="AB1001" s="104"/>
      <c r="AC1001" s="104"/>
      <c r="AD1001" s="74"/>
      <c r="AE1001" s="106"/>
      <c r="AF1001" s="195"/>
      <c r="AG1001" s="80"/>
      <c r="AH1001" s="104"/>
      <c r="AI1001" s="73"/>
      <c r="AJ1001" s="114"/>
      <c r="AK1001" s="106"/>
      <c r="AL1001" s="74"/>
      <c r="AM1001" s="73"/>
      <c r="AN1001" s="73"/>
      <c r="AO1001" s="102"/>
      <c r="AP1001" s="73"/>
      <c r="AQ1001" s="73"/>
      <c r="AR1001" s="74"/>
      <c r="AS1001" s="73"/>
      <c r="AT1001" s="73"/>
      <c r="AU1001" s="73"/>
      <c r="AV1001" s="73"/>
      <c r="AW1001" s="73"/>
      <c r="AX1001" s="74"/>
      <c r="AY1001" s="73"/>
      <c r="AZ1001" s="73"/>
      <c r="BA1001" s="74"/>
      <c r="BB1001" s="73"/>
      <c r="BC1001" s="73"/>
      <c r="BD1001" s="73"/>
      <c r="BE1001" s="73"/>
      <c r="BF1001" s="73"/>
      <c r="BG1001" s="73"/>
      <c r="BH1001" s="73"/>
      <c r="BI1001" s="73"/>
      <c r="BJ1001" s="73"/>
      <c r="BK1001" s="73"/>
      <c r="BL1001" s="73"/>
      <c r="BM1001" s="73"/>
      <c r="BN1001" s="73"/>
      <c r="BO1001" s="73"/>
      <c r="BP1001" s="73"/>
      <c r="BQ1001" s="73"/>
      <c r="BR1001" s="73"/>
      <c r="BS1001" s="73"/>
      <c r="BT1001" s="74"/>
      <c r="BU1001" s="73"/>
      <c r="BV1001" s="73"/>
      <c r="BW1001" s="73"/>
      <c r="BX1001" s="73"/>
      <c r="BY1001" s="73"/>
      <c r="BZ1001" s="73"/>
      <c r="CA1001" s="73"/>
      <c r="CB1001" s="73"/>
      <c r="CC1001" s="73"/>
      <c r="CD1001" s="73"/>
      <c r="CE1001" s="73"/>
    </row>
    <row r="1002">
      <c r="A1002" s="73"/>
      <c r="B1002" s="73"/>
      <c r="C1002" s="73"/>
      <c r="D1002" s="73"/>
      <c r="E1002" s="73"/>
      <c r="F1002" s="73"/>
      <c r="G1002" s="73"/>
      <c r="H1002" s="73"/>
      <c r="I1002" s="73"/>
      <c r="J1002" s="73"/>
      <c r="K1002" s="92"/>
      <c r="L1002" s="73"/>
      <c r="M1002" s="73"/>
      <c r="N1002" s="73"/>
      <c r="O1002" s="73"/>
      <c r="P1002" s="73"/>
      <c r="Q1002" s="75"/>
      <c r="R1002" s="82"/>
      <c r="S1002" s="73"/>
      <c r="T1002" s="73"/>
      <c r="U1002" s="73"/>
      <c r="V1002" s="73"/>
      <c r="W1002" s="73"/>
      <c r="X1002" s="73"/>
      <c r="Y1002" s="77"/>
      <c r="Z1002" s="104"/>
      <c r="AA1002" s="73"/>
      <c r="AB1002" s="104"/>
      <c r="AC1002" s="104"/>
      <c r="AD1002" s="73"/>
      <c r="AE1002" s="106"/>
      <c r="AF1002" s="195"/>
      <c r="AG1002" s="80"/>
      <c r="AH1002" s="104"/>
      <c r="AI1002" s="73"/>
      <c r="AJ1002" s="114"/>
      <c r="AK1002" s="106"/>
      <c r="AL1002" s="73"/>
      <c r="AM1002" s="73"/>
      <c r="AN1002" s="73"/>
      <c r="AO1002" s="114"/>
      <c r="AP1002" s="73"/>
      <c r="AQ1002" s="73"/>
      <c r="AR1002" s="73"/>
      <c r="AS1002" s="73"/>
      <c r="AT1002" s="73"/>
      <c r="AU1002" s="73"/>
      <c r="AV1002" s="73"/>
      <c r="AW1002" s="73"/>
      <c r="AX1002" s="73"/>
      <c r="AY1002" s="73"/>
      <c r="AZ1002" s="73"/>
      <c r="BA1002" s="73"/>
      <c r="BB1002" s="73"/>
      <c r="BC1002" s="73"/>
      <c r="BD1002" s="73"/>
      <c r="BE1002" s="73"/>
      <c r="BF1002" s="73"/>
      <c r="BG1002" s="73"/>
      <c r="BH1002" s="73"/>
      <c r="BI1002" s="73"/>
      <c r="BJ1002" s="73"/>
      <c r="BK1002" s="73"/>
      <c r="BL1002" s="73"/>
      <c r="BM1002" s="73"/>
      <c r="BN1002" s="73"/>
      <c r="BO1002" s="73"/>
      <c r="BP1002" s="73"/>
      <c r="BQ1002" s="73"/>
      <c r="BR1002" s="73"/>
      <c r="BS1002" s="73"/>
      <c r="BT1002" s="73"/>
      <c r="BU1002" s="73"/>
      <c r="BV1002" s="73"/>
      <c r="BW1002" s="73"/>
      <c r="BX1002" s="73"/>
      <c r="BY1002" s="73"/>
      <c r="BZ1002" s="73"/>
      <c r="CA1002" s="73"/>
      <c r="CB1002" s="73"/>
      <c r="CC1002" s="73"/>
      <c r="CD1002" s="73"/>
      <c r="CE1002" s="73"/>
    </row>
  </sheetData>
  <hyperlinks>
    <hyperlink r:id="rId1" ref="B1"/>
    <hyperlink r:id="rId2" ref="F1"/>
    <hyperlink r:id="rId3" ref="AA1"/>
    <hyperlink r:id="rId4" ref="AF1"/>
    <hyperlink r:id="rId5" ref="AN1"/>
    <hyperlink r:id="rId6" ref="AT1"/>
    <hyperlink r:id="rId7" ref="AZ1"/>
    <hyperlink r:id="rId8" ref="BC1"/>
    <hyperlink r:id="rId9" ref="BV1"/>
    <hyperlink r:id="rId10" ref="CA1"/>
  </hyperlinks>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3.75"/>
    <col customWidth="1" min="2" max="2" width="3.63"/>
    <col customWidth="1" min="3" max="3" width="27.38"/>
    <col customWidth="1" min="4" max="4" width="6.25"/>
    <col collapsed="1" customWidth="1" min="5" max="5" width="6.25"/>
    <col customWidth="1" hidden="1" min="6" max="13" width="6.25" outlineLevel="1"/>
    <col customWidth="1" min="14" max="14" width="4.75"/>
    <col customWidth="1" min="15" max="15" width="3.75"/>
    <col customWidth="1" min="16" max="16" width="23.38"/>
    <col customWidth="1" min="17" max="17" width="5.5"/>
    <col collapsed="1" customWidth="1" min="18" max="18" width="4.38"/>
    <col customWidth="1" hidden="1" min="19" max="22" width="4.38" outlineLevel="1"/>
    <col customWidth="1" min="23" max="23" width="4.38"/>
    <col customWidth="1" min="24" max="24" width="3.75"/>
    <col customWidth="1" min="25" max="25" width="21.38"/>
    <col customWidth="1" min="26" max="26" width="4.88"/>
    <col customWidth="1" min="27" max="27" width="4.38"/>
    <col customWidth="1" min="28" max="28" width="3.75"/>
    <col customWidth="1" min="29" max="29" width="18.75"/>
    <col customWidth="1" min="30" max="30" width="3.75"/>
    <col customWidth="1" min="31" max="31" width="4.25" outlineLevel="1"/>
    <col customWidth="1" min="32" max="32" width="8.63" outlineLevel="1"/>
    <col customWidth="1" min="33" max="33" width="19.38" outlineLevel="1"/>
    <col customWidth="1" min="34" max="34" width="20.25" outlineLevel="1"/>
    <col customWidth="1" hidden="1" min="35" max="35" width="9.63" outlineLevel="1"/>
    <col customWidth="1" min="36" max="36" width="7.63" outlineLevel="1"/>
    <col customWidth="1" hidden="1" min="37" max="37" width="6.38"/>
  </cols>
  <sheetData>
    <row r="1">
      <c r="A1" s="10"/>
      <c r="B1" s="197" t="s">
        <v>85</v>
      </c>
      <c r="C1" s="198" t="s">
        <v>86</v>
      </c>
      <c r="D1" s="199" t="s">
        <v>87</v>
      </c>
      <c r="E1" s="200"/>
      <c r="F1" s="201" t="s">
        <v>88</v>
      </c>
      <c r="G1" s="200"/>
      <c r="H1" s="201" t="s">
        <v>89</v>
      </c>
      <c r="I1" s="200"/>
      <c r="J1" s="201" t="s">
        <v>90</v>
      </c>
      <c r="K1" s="200"/>
      <c r="L1" s="201" t="s">
        <v>91</v>
      </c>
      <c r="M1" s="200"/>
      <c r="N1" s="202" t="s">
        <v>92</v>
      </c>
      <c r="O1" s="10"/>
      <c r="P1" s="203" t="s">
        <v>93</v>
      </c>
      <c r="Q1" s="204"/>
      <c r="R1" s="197" t="s">
        <v>87</v>
      </c>
      <c r="S1" s="197" t="s">
        <v>88</v>
      </c>
      <c r="T1" s="197" t="s">
        <v>89</v>
      </c>
      <c r="U1" s="197" t="s">
        <v>90</v>
      </c>
      <c r="V1" s="197" t="s">
        <v>91</v>
      </c>
      <c r="W1" s="205" t="s">
        <v>92</v>
      </c>
      <c r="X1" s="10"/>
      <c r="Y1" s="206" t="str">
        <f>IF('_IDS'!C1="✅", HYPERLINK('_IDS'!B1, "Go to my Laboratory Sheet"), "Labs")</f>
        <v>Go to my Laboratory Sheet</v>
      </c>
      <c r="Z1" s="207" t="s">
        <v>94</v>
      </c>
      <c r="AA1" s="208" t="s">
        <v>92</v>
      </c>
      <c r="AB1" s="10"/>
      <c r="AC1" s="209" t="s">
        <v>95</v>
      </c>
      <c r="AD1" s="10"/>
      <c r="AE1" s="210" t="str">
        <f>IF('_IDS'!AT1="✅", HYPERLINK('_IDS'!AS1, "Go to my Modules Sheet"), "Module")</f>
        <v>Module</v>
      </c>
      <c r="AF1" s="211"/>
      <c r="AG1" s="204"/>
      <c r="AH1" s="212" t="s">
        <v>96</v>
      </c>
      <c r="AI1" s="201"/>
      <c r="AJ1" s="212" t="s">
        <v>97</v>
      </c>
      <c r="AK1" s="205"/>
    </row>
    <row r="2">
      <c r="A2" s="213"/>
      <c r="B2" s="214"/>
      <c r="C2" s="215"/>
      <c r="D2" s="216" t="s">
        <v>98</v>
      </c>
      <c r="E2" s="217" t="s">
        <v>99</v>
      </c>
      <c r="F2" s="218" t="s">
        <v>98</v>
      </c>
      <c r="G2" s="217" t="s">
        <v>99</v>
      </c>
      <c r="H2" s="218" t="s">
        <v>98</v>
      </c>
      <c r="I2" s="217" t="s">
        <v>99</v>
      </c>
      <c r="J2" s="218" t="s">
        <v>98</v>
      </c>
      <c r="K2" s="217" t="s">
        <v>99</v>
      </c>
      <c r="L2" s="218" t="s">
        <v>98</v>
      </c>
      <c r="M2" s="217" t="s">
        <v>99</v>
      </c>
      <c r="N2" s="219"/>
      <c r="O2" s="213"/>
      <c r="P2" s="220"/>
      <c r="Q2" s="219"/>
      <c r="R2" s="214"/>
      <c r="S2" s="214"/>
      <c r="T2" s="214"/>
      <c r="U2" s="214"/>
      <c r="V2" s="214"/>
      <c r="X2" s="221"/>
      <c r="Y2" s="222"/>
      <c r="Z2" s="222"/>
      <c r="AA2" s="219"/>
      <c r="AB2" s="10"/>
      <c r="AC2" s="222"/>
      <c r="AD2" s="223"/>
      <c r="AE2" s="220"/>
      <c r="AF2" s="215"/>
      <c r="AG2" s="219"/>
      <c r="AH2" s="224"/>
      <c r="AI2" s="212" t="s">
        <v>100</v>
      </c>
      <c r="AJ2" s="224"/>
      <c r="AK2" s="225"/>
    </row>
    <row r="3">
      <c r="A3" s="226" t="s">
        <v>101</v>
      </c>
      <c r="B3" s="227"/>
      <c r="C3" s="228" t="s">
        <v>102</v>
      </c>
      <c r="D3" s="229">
        <v>5750.0</v>
      </c>
      <c r="E3" s="230">
        <v>6000.0</v>
      </c>
      <c r="F3" s="231">
        <f t="shared" ref="F3:G3" si="1">D3</f>
        <v>5750</v>
      </c>
      <c r="G3" s="232">
        <f t="shared" si="1"/>
        <v>6000</v>
      </c>
      <c r="H3" s="231"/>
      <c r="I3" s="232"/>
      <c r="J3" s="231"/>
      <c r="K3" s="232"/>
      <c r="L3" s="231"/>
      <c r="M3" s="232"/>
      <c r="N3" s="233">
        <v>6000.0</v>
      </c>
      <c r="O3" s="226" t="s">
        <v>103</v>
      </c>
      <c r="P3" s="234" t="str">
        <f>IF(OR(AA3=1, R3&lt;&gt;0), "Damage +", "Unlock Damage + (Lab)")</f>
        <v>Damage +</v>
      </c>
      <c r="Q3" s="235">
        <f t="shared" ref="Q3:Q11" si="3">Sum((R3*0.01)+1)</f>
        <v>1.56</v>
      </c>
      <c r="R3" s="236">
        <v>56.0</v>
      </c>
      <c r="S3" s="237">
        <f t="shared" ref="S3:S20" si="4">R3</f>
        <v>56</v>
      </c>
      <c r="T3" s="237"/>
      <c r="U3" s="237"/>
      <c r="V3" s="237"/>
      <c r="W3" s="238">
        <v>400.0</v>
      </c>
      <c r="X3" s="239" t="s">
        <v>104</v>
      </c>
      <c r="Y3" s="240" t="s">
        <v>105</v>
      </c>
      <c r="Z3" s="241">
        <f t="shared" ref="Z3:Z8" si="5">IDS_LAB_LEVEL(Y3)</f>
        <v>1</v>
      </c>
      <c r="AA3" s="242">
        <v>1.0</v>
      </c>
      <c r="AB3" s="243" t="s">
        <v>106</v>
      </c>
      <c r="AC3" s="244" t="s">
        <v>87</v>
      </c>
      <c r="AD3" s="239" t="s">
        <v>107</v>
      </c>
      <c r="AE3" s="245" t="s">
        <v>108</v>
      </c>
      <c r="AF3" s="246" t="s">
        <v>109</v>
      </c>
      <c r="AG3" s="247" t="s">
        <v>87</v>
      </c>
      <c r="AH3" s="248" t="str">
        <f>IDS_MOD_CANNON_SUBSTATS(AG6)</f>
        <v>Bounce Shot Chance</v>
      </c>
      <c r="AI3" s="249" t="s">
        <v>110</v>
      </c>
      <c r="AJ3" s="250" t="s">
        <v>111</v>
      </c>
      <c r="AK3" s="251">
        <v>0.09</v>
      </c>
    </row>
    <row r="4">
      <c r="A4" s="214"/>
      <c r="B4" s="214"/>
      <c r="C4" s="252" t="s">
        <v>112</v>
      </c>
      <c r="D4" s="253">
        <v>99.0</v>
      </c>
      <c r="E4" s="254">
        <v>99.0</v>
      </c>
      <c r="F4" s="255">
        <f t="shared" ref="F4:G4" si="2">D4</f>
        <v>99</v>
      </c>
      <c r="G4" s="256">
        <f t="shared" si="2"/>
        <v>99</v>
      </c>
      <c r="H4" s="255"/>
      <c r="I4" s="256"/>
      <c r="J4" s="255"/>
      <c r="K4" s="256"/>
      <c r="L4" s="255"/>
      <c r="M4" s="256"/>
      <c r="N4" s="257">
        <v>99.0</v>
      </c>
      <c r="O4" s="214"/>
      <c r="P4" s="234" t="str">
        <f>LET(
  Where, 50000000000 - WSPATTACK_TOTAL_COINS_INVESTED(),
IF(Where &gt; 0, "Unlock Rend+ ("&amp; FORMAT_NUMBER(Where) &amp;"¢)", "Rend Armor Mult +"))</f>
        <v>Rend Armor Mult +</v>
      </c>
      <c r="Q4" s="235">
        <f t="shared" si="3"/>
        <v>1.21</v>
      </c>
      <c r="R4" s="258">
        <v>21.0</v>
      </c>
      <c r="S4" s="259">
        <f t="shared" si="4"/>
        <v>21</v>
      </c>
      <c r="T4" s="259"/>
      <c r="U4" s="259"/>
      <c r="V4" s="259"/>
      <c r="W4" s="260">
        <v>400.0</v>
      </c>
      <c r="Y4" s="261" t="s">
        <v>113</v>
      </c>
      <c r="Z4" s="262">
        <f t="shared" si="5"/>
        <v>41</v>
      </c>
      <c r="AA4" s="263">
        <v>99.0</v>
      </c>
      <c r="AB4" s="224"/>
      <c r="AC4" s="264" t="str">
        <f>IDS_CARD_PRESET(AC3)</f>
        <v>Enemy Balance</v>
      </c>
      <c r="AE4" s="214"/>
      <c r="AF4" s="220"/>
      <c r="AG4" s="219"/>
      <c r="AH4" s="265" t="s">
        <v>112</v>
      </c>
      <c r="AI4" s="266" t="s">
        <v>110</v>
      </c>
      <c r="AJ4" s="267" t="s">
        <v>114</v>
      </c>
      <c r="AK4" s="251">
        <v>3.0</v>
      </c>
    </row>
    <row r="5">
      <c r="A5" s="214"/>
      <c r="B5" s="214"/>
      <c r="C5" s="252" t="s">
        <v>115</v>
      </c>
      <c r="D5" s="253">
        <v>79.0</v>
      </c>
      <c r="E5" s="254">
        <v>79.0</v>
      </c>
      <c r="F5" s="255">
        <f t="shared" ref="F5:G5" si="6">D5</f>
        <v>79</v>
      </c>
      <c r="G5" s="256">
        <f t="shared" si="6"/>
        <v>79</v>
      </c>
      <c r="H5" s="255"/>
      <c r="I5" s="256"/>
      <c r="J5" s="255"/>
      <c r="K5" s="256"/>
      <c r="L5" s="255"/>
      <c r="M5" s="256"/>
      <c r="N5" s="257">
        <v>79.0</v>
      </c>
      <c r="O5" s="214"/>
      <c r="P5" s="234" t="str">
        <f>LET(
  Where, 500000000000 - WSPATTACK_TOTAL_COINS_INVESTED(),
IF(Where &gt; 0, "Unlock CF + ("&amp; FORMAT_NUMBER(Where) &amp;")", "Critical Factor +"))</f>
        <v>Critical Factor +</v>
      </c>
      <c r="Q5" s="235">
        <f t="shared" si="3"/>
        <v>1.6</v>
      </c>
      <c r="R5" s="258">
        <v>60.0</v>
      </c>
      <c r="S5" s="259">
        <f t="shared" si="4"/>
        <v>60</v>
      </c>
      <c r="T5" s="259"/>
      <c r="U5" s="259"/>
      <c r="V5" s="259"/>
      <c r="W5" s="260">
        <v>400.0</v>
      </c>
      <c r="Y5" s="268" t="s">
        <v>116</v>
      </c>
      <c r="Z5" s="269">
        <f t="shared" si="5"/>
        <v>20</v>
      </c>
      <c r="AA5" s="270">
        <v>20.0</v>
      </c>
      <c r="AB5" s="224"/>
      <c r="AC5" s="271" t="s">
        <v>117</v>
      </c>
      <c r="AE5" s="214"/>
      <c r="AF5" s="272" t="s">
        <v>118</v>
      </c>
      <c r="AH5" s="273" t="s">
        <v>119</v>
      </c>
      <c r="AI5" s="266" t="s">
        <v>120</v>
      </c>
      <c r="AJ5" s="267" t="s">
        <v>121</v>
      </c>
      <c r="AK5" s="251">
        <v>4.0</v>
      </c>
    </row>
    <row r="6">
      <c r="A6" s="214"/>
      <c r="B6" s="274"/>
      <c r="C6" s="252" t="s">
        <v>122</v>
      </c>
      <c r="D6" s="253">
        <v>150.0</v>
      </c>
      <c r="E6" s="254">
        <v>150.0</v>
      </c>
      <c r="F6" s="255">
        <f t="shared" ref="F6:G6" si="7">D6</f>
        <v>150</v>
      </c>
      <c r="G6" s="256">
        <f t="shared" si="7"/>
        <v>150</v>
      </c>
      <c r="H6" s="255"/>
      <c r="I6" s="256"/>
      <c r="J6" s="255"/>
      <c r="K6" s="256"/>
      <c r="L6" s="255"/>
      <c r="M6" s="256"/>
      <c r="N6" s="257">
        <v>150.0</v>
      </c>
      <c r="O6" s="214"/>
      <c r="P6" s="234" t="str">
        <f>LET(
  Where, 5000000000000 - WSPATTACK_TOTAL_COINS_INVESTED(),
IF(Where &gt; 0, "Unlock DPM + ("&amp; FORMAT_NUMBER(Where) &amp;")", "Damage / Meter +"))</f>
        <v>Damage / Meter +</v>
      </c>
      <c r="Q6" s="235">
        <f t="shared" si="3"/>
        <v>1.17</v>
      </c>
      <c r="R6" s="258">
        <v>17.0</v>
      </c>
      <c r="S6" s="259">
        <f t="shared" si="4"/>
        <v>17</v>
      </c>
      <c r="T6" s="259"/>
      <c r="U6" s="259"/>
      <c r="V6" s="259"/>
      <c r="W6" s="260">
        <v>400.0</v>
      </c>
      <c r="Y6" s="275" t="s">
        <v>123</v>
      </c>
      <c r="Z6" s="276">
        <f t="shared" si="5"/>
        <v>20</v>
      </c>
      <c r="AA6" s="277">
        <v>20.0</v>
      </c>
      <c r="AB6" s="224"/>
      <c r="AC6" s="278" t="s">
        <v>124</v>
      </c>
      <c r="AE6" s="214"/>
      <c r="AF6" s="279" t="s">
        <v>125</v>
      </c>
      <c r="AG6" s="280" t="str">
        <f>IDS_MOD_CANNON_NAME(AG3)</f>
        <v>Amplifying Strike</v>
      </c>
      <c r="AH6" s="265" t="s">
        <v>122</v>
      </c>
      <c r="AI6" s="266" t="s">
        <v>120</v>
      </c>
      <c r="AJ6" s="267" t="s">
        <v>126</v>
      </c>
      <c r="AK6" s="251">
        <v>15.0</v>
      </c>
    </row>
    <row r="7">
      <c r="A7" s="214"/>
      <c r="B7" s="281" t="b">
        <v>1</v>
      </c>
      <c r="C7" s="282" t="str">
        <f>IF(B7, "Range", "Unlock Range (50 ¢)")</f>
        <v>Range</v>
      </c>
      <c r="D7" s="283">
        <v>79.0</v>
      </c>
      <c r="E7" s="284">
        <v>79.0</v>
      </c>
      <c r="F7" s="285">
        <f t="shared" ref="F7:G7" si="8">D7</f>
        <v>79</v>
      </c>
      <c r="G7" s="286">
        <f t="shared" si="8"/>
        <v>79</v>
      </c>
      <c r="H7" s="285"/>
      <c r="I7" s="286"/>
      <c r="J7" s="285"/>
      <c r="K7" s="286"/>
      <c r="L7" s="285"/>
      <c r="M7" s="286"/>
      <c r="N7" s="287">
        <v>79.0</v>
      </c>
      <c r="O7" s="214"/>
      <c r="P7" s="234" t="str">
        <f>LET(
  Where, 50000000000000 - WSPATTACK_TOTAL_COINS_INVESTED(),
IF(Where &gt; 0, "Unlock SCM + ("&amp; FORMAT_NUMBER(Where) &amp;")", "Super Crit Multi +"))</f>
        <v>Super Crit Multi +</v>
      </c>
      <c r="Q7" s="235">
        <f t="shared" si="3"/>
        <v>1.57</v>
      </c>
      <c r="R7" s="258">
        <v>57.0</v>
      </c>
      <c r="S7" s="259">
        <f t="shared" si="4"/>
        <v>57</v>
      </c>
      <c r="T7" s="259"/>
      <c r="U7" s="259"/>
      <c r="V7" s="259"/>
      <c r="W7" s="260">
        <v>400.0</v>
      </c>
      <c r="Y7" s="288" t="s">
        <v>127</v>
      </c>
      <c r="Z7" s="289">
        <f t="shared" si="5"/>
        <v>25</v>
      </c>
      <c r="AA7" s="290">
        <v>25.0</v>
      </c>
      <c r="AB7" s="224"/>
      <c r="AC7" s="291" t="s">
        <v>128</v>
      </c>
      <c r="AE7" s="214"/>
      <c r="AF7" s="292" t="s">
        <v>100</v>
      </c>
      <c r="AG7" s="293" t="str">
        <f>IDS_MOD_CANNON_RARITY(AG6)</f>
        <v>Ancestral</v>
      </c>
      <c r="AH7" s="265" t="s">
        <v>129</v>
      </c>
      <c r="AI7" s="266" t="s">
        <v>110</v>
      </c>
      <c r="AJ7" s="267" t="s">
        <v>130</v>
      </c>
      <c r="AK7" s="251">
        <v>5.0</v>
      </c>
    </row>
    <row r="8">
      <c r="A8" s="214"/>
      <c r="B8" s="274"/>
      <c r="C8" s="294" t="str">
        <f>IF(B7, "Damage / Meter", "Unlock Range (50 ¢)")</f>
        <v>Damage / Meter</v>
      </c>
      <c r="D8" s="295">
        <v>180.0</v>
      </c>
      <c r="E8" s="296">
        <v>200.0</v>
      </c>
      <c r="F8" s="297">
        <f t="shared" ref="F8:G8" si="9">D8</f>
        <v>180</v>
      </c>
      <c r="G8" s="298">
        <f t="shared" si="9"/>
        <v>200</v>
      </c>
      <c r="H8" s="297"/>
      <c r="I8" s="298"/>
      <c r="J8" s="297"/>
      <c r="K8" s="298"/>
      <c r="L8" s="297"/>
      <c r="M8" s="298"/>
      <c r="N8" s="299">
        <v>200.0</v>
      </c>
      <c r="O8" s="214"/>
      <c r="P8" s="300" t="str">
        <f>LET(
  Where, 500000000000000 - WSPATTACK_TOTAL_COINS_INVESTED(),
IF(Where &gt; 0, "Unlock ASPD + ("&amp; FORMAT_NUMBER(Where) &amp;")", "Attack Speed +"))</f>
        <v>Attack Speed +</v>
      </c>
      <c r="Q8" s="301">
        <f t="shared" si="3"/>
        <v>1.13</v>
      </c>
      <c r="R8" s="302">
        <v>13.0</v>
      </c>
      <c r="S8" s="303">
        <f t="shared" si="4"/>
        <v>13</v>
      </c>
      <c r="T8" s="303"/>
      <c r="U8" s="303"/>
      <c r="V8" s="303"/>
      <c r="W8" s="304">
        <v>75.0</v>
      </c>
      <c r="Y8" s="305" t="s">
        <v>131</v>
      </c>
      <c r="Z8" s="306">
        <f t="shared" si="5"/>
        <v>0</v>
      </c>
      <c r="AA8" s="307">
        <v>9.0</v>
      </c>
      <c r="AB8" s="224"/>
      <c r="AC8" s="264" t="s">
        <v>132</v>
      </c>
      <c r="AE8" s="214"/>
      <c r="AF8" s="292" t="s">
        <v>94</v>
      </c>
      <c r="AG8" s="293">
        <f>IDS_MOD_CANNON_LEVEL(AG6)</f>
        <v>164</v>
      </c>
      <c r="AH8" s="265"/>
      <c r="AI8" s="266"/>
      <c r="AJ8" s="267"/>
      <c r="AK8" s="308" t="s">
        <v>133</v>
      </c>
    </row>
    <row r="9">
      <c r="A9" s="214"/>
      <c r="B9" s="281" t="b">
        <v>1</v>
      </c>
      <c r="C9" s="282" t="str">
        <f>IF(B9, "Multishot Chance", "Unlock Multishot (400 ¢)")</f>
        <v>Multishot Chance</v>
      </c>
      <c r="D9" s="283">
        <v>99.0</v>
      </c>
      <c r="E9" s="284">
        <v>99.0</v>
      </c>
      <c r="F9" s="285">
        <f t="shared" ref="F9:G9" si="10">D9</f>
        <v>99</v>
      </c>
      <c r="G9" s="286">
        <f t="shared" si="10"/>
        <v>99</v>
      </c>
      <c r="H9" s="285"/>
      <c r="I9" s="286"/>
      <c r="J9" s="285"/>
      <c r="K9" s="286"/>
      <c r="L9" s="285"/>
      <c r="M9" s="286"/>
      <c r="N9" s="287">
        <v>99.0</v>
      </c>
      <c r="O9" s="214"/>
      <c r="P9" s="309" t="str">
        <f>IF(OR(AA3=1, R9&lt;&gt;0), "Health +", "Unlock Health + (Lab)")</f>
        <v>Health +</v>
      </c>
      <c r="Q9" s="310">
        <f t="shared" si="3"/>
        <v>1.62</v>
      </c>
      <c r="R9" s="311">
        <v>62.0</v>
      </c>
      <c r="S9" s="312">
        <f t="shared" si="4"/>
        <v>62</v>
      </c>
      <c r="T9" s="312"/>
      <c r="U9" s="312"/>
      <c r="V9" s="312"/>
      <c r="W9" s="313">
        <v>400.0</v>
      </c>
      <c r="Y9" s="314"/>
      <c r="Z9" s="314"/>
      <c r="AA9" s="315"/>
      <c r="AB9" s="224"/>
      <c r="AC9" s="316" t="s">
        <v>112</v>
      </c>
      <c r="AE9" s="214"/>
      <c r="AF9" s="317" t="s">
        <v>134</v>
      </c>
      <c r="AG9" s="318">
        <f>OFFSET('_IDS'!$BD$29, MATCH(AG6, '_IDS'!$BB$27:$BB66, 0)-1, 0, 1, 1)</f>
        <v>9.04</v>
      </c>
      <c r="AH9" s="265"/>
      <c r="AI9" s="266"/>
      <c r="AJ9" s="267"/>
      <c r="AK9" s="251" t="s">
        <v>133</v>
      </c>
    </row>
    <row r="10">
      <c r="A10" s="214"/>
      <c r="B10" s="274"/>
      <c r="C10" s="294" t="str">
        <f>IF(B9, "Multishot Targets", "Unlock Multishot (400 ¢)")</f>
        <v>Multishot Targets</v>
      </c>
      <c r="D10" s="295">
        <v>7.0</v>
      </c>
      <c r="E10" s="296">
        <v>7.0</v>
      </c>
      <c r="F10" s="297">
        <f t="shared" ref="F10:G10" si="11">D10</f>
        <v>7</v>
      </c>
      <c r="G10" s="298">
        <f t="shared" si="11"/>
        <v>7</v>
      </c>
      <c r="H10" s="297"/>
      <c r="I10" s="298"/>
      <c r="J10" s="297"/>
      <c r="K10" s="298"/>
      <c r="L10" s="297"/>
      <c r="M10" s="298"/>
      <c r="N10" s="299">
        <v>7.0</v>
      </c>
      <c r="O10" s="214"/>
      <c r="P10" s="309" t="str">
        <f>LET(
  Where, 50000000000 - WSPDEFENSE_TOTAL_COINS_INVESTED(),
IF(Where &gt; 0, "Unlock Regen + ("&amp; FORMAT_NUMBER(Where) &amp;")", "Health Regen +"))</f>
        <v>Health Regen +</v>
      </c>
      <c r="Q10" s="319">
        <f t="shared" si="3"/>
        <v>1.6</v>
      </c>
      <c r="R10" s="320">
        <v>60.0</v>
      </c>
      <c r="S10" s="321">
        <f t="shared" si="4"/>
        <v>60</v>
      </c>
      <c r="T10" s="321"/>
      <c r="U10" s="321"/>
      <c r="V10" s="321"/>
      <c r="W10" s="322">
        <v>400.0</v>
      </c>
      <c r="Y10" s="323" t="str">
        <f>IF('_IDS'!AC1="✅", HYPERLINK('_IDS'!AB1, "Go to my Relic Sheet"), "Relic")</f>
        <v>Relic</v>
      </c>
      <c r="Z10" s="324" t="s">
        <v>135</v>
      </c>
      <c r="AA10" s="325"/>
      <c r="AB10" s="224"/>
      <c r="AC10" s="316" t="s">
        <v>136</v>
      </c>
      <c r="AE10" s="214"/>
      <c r="AF10" s="326"/>
      <c r="AG10" s="326"/>
      <c r="AH10" s="327"/>
      <c r="AI10" s="328"/>
      <c r="AJ10" s="329"/>
      <c r="AK10" s="251" t="s">
        <v>133</v>
      </c>
    </row>
    <row r="11">
      <c r="A11" s="214"/>
      <c r="B11" s="281" t="b">
        <v>1</v>
      </c>
      <c r="C11" s="282" t="str">
        <f>IF(B11, "Rapid Fire Chance", "Unlock Rapid Fire (1500 ¢)")</f>
        <v>Rapid Fire Chance</v>
      </c>
      <c r="D11" s="283">
        <v>85.0</v>
      </c>
      <c r="E11" s="284">
        <v>85.0</v>
      </c>
      <c r="F11" s="285">
        <f t="shared" ref="F11:G11" si="12">D11</f>
        <v>85</v>
      </c>
      <c r="G11" s="286">
        <f t="shared" si="12"/>
        <v>85</v>
      </c>
      <c r="H11" s="285"/>
      <c r="I11" s="286"/>
      <c r="J11" s="285"/>
      <c r="K11" s="286"/>
      <c r="L11" s="285"/>
      <c r="M11" s="286"/>
      <c r="N11" s="287">
        <v>85.0</v>
      </c>
      <c r="O11" s="214"/>
      <c r="P11" s="309" t="str">
        <f>LET(
  Where, 500000000000 - WSPDEFENSE_TOTAL_COINS_INVESTED(),
IF(Where &gt; 0, "Unlock DABS + ("&amp; FORMAT_NUMBER(Where) &amp;")", "Defense Absolute +"))</f>
        <v>Defense Absolute +</v>
      </c>
      <c r="Q11" s="319">
        <f t="shared" si="3"/>
        <v>1</v>
      </c>
      <c r="R11" s="320">
        <v>0.0</v>
      </c>
      <c r="S11" s="321">
        <f t="shared" si="4"/>
        <v>0</v>
      </c>
      <c r="T11" s="321"/>
      <c r="U11" s="321"/>
      <c r="V11" s="321"/>
      <c r="W11" s="322">
        <v>400.0</v>
      </c>
      <c r="Y11" s="330" t="s">
        <v>137</v>
      </c>
      <c r="Z11" s="331">
        <f t="shared" ref="Z11:Z15" si="14">IDS_RELIC_STAT(Y11)</f>
        <v>0.06</v>
      </c>
      <c r="AA11" s="204"/>
      <c r="AB11" s="224"/>
      <c r="AC11" s="332" t="s">
        <v>138</v>
      </c>
      <c r="AE11" s="214"/>
      <c r="AF11" s="333" t="s">
        <v>139</v>
      </c>
      <c r="AH11" s="334" t="str">
        <f>IDS_MOD_CANNON_SUBSTATS(AG12)</f>
        <v/>
      </c>
      <c r="AI11" s="249"/>
      <c r="AJ11" s="335"/>
      <c r="AK11" s="251"/>
    </row>
    <row r="12">
      <c r="A12" s="214"/>
      <c r="B12" s="274"/>
      <c r="C12" s="294" t="str">
        <f>IF(B11, "Rapid Fire Duration", "Unlock Rapid Fire (1500 ¢)")</f>
        <v>Rapid Fire Duration</v>
      </c>
      <c r="D12" s="295">
        <v>99.0</v>
      </c>
      <c r="E12" s="296">
        <v>99.0</v>
      </c>
      <c r="F12" s="297">
        <f t="shared" ref="F12:G12" si="13">D12</f>
        <v>99</v>
      </c>
      <c r="G12" s="298">
        <f t="shared" si="13"/>
        <v>99</v>
      </c>
      <c r="H12" s="297"/>
      <c r="I12" s="298"/>
      <c r="J12" s="297"/>
      <c r="K12" s="298"/>
      <c r="L12" s="297"/>
      <c r="M12" s="298"/>
      <c r="N12" s="299">
        <v>99.0</v>
      </c>
      <c r="O12" s="214"/>
      <c r="P12" s="309" t="str">
        <f>LET(
  Where, 5000000000000 - WSPDEFENSE_TOTAL_COINS_INVESTED(),
IF(Where &gt; 0, "Unlock LM Damage + ("&amp; FORMAT_NUMBER(Where) &amp;")", "Land Mine Damage +"))</f>
        <v>Land Mine Damage +</v>
      </c>
      <c r="Q12" s="319">
        <f>Sum((R12*0.06)+1)</f>
        <v>2.08</v>
      </c>
      <c r="R12" s="336">
        <v>18.0</v>
      </c>
      <c r="S12" s="337">
        <f t="shared" si="4"/>
        <v>18</v>
      </c>
      <c r="T12" s="337"/>
      <c r="U12" s="337"/>
      <c r="V12" s="337"/>
      <c r="W12" s="322">
        <v>400.0</v>
      </c>
      <c r="Y12" s="338" t="s">
        <v>140</v>
      </c>
      <c r="Z12" s="339">
        <f t="shared" si="14"/>
        <v>0.03</v>
      </c>
      <c r="AA12" s="224"/>
      <c r="AB12" s="224"/>
      <c r="AC12" s="340" t="s">
        <v>141</v>
      </c>
      <c r="AE12" s="214"/>
      <c r="AF12" s="341" t="s">
        <v>125</v>
      </c>
      <c r="AG12" s="342" t="str">
        <f>IDS_MOD_CANNON_ASSIST_NAME(AG3)</f>
        <v/>
      </c>
      <c r="AH12" s="343"/>
      <c r="AI12" s="266"/>
      <c r="AJ12" s="344"/>
      <c r="AK12" s="251"/>
    </row>
    <row r="13">
      <c r="A13" s="214"/>
      <c r="B13" s="281" t="b">
        <v>1</v>
      </c>
      <c r="C13" s="282" t="str">
        <f>IF(B13, "Bounce Shot Chance", "Unlock Bounce Shot (10K ¢)")</f>
        <v>Bounce Shot Chance</v>
      </c>
      <c r="D13" s="253">
        <v>85.0</v>
      </c>
      <c r="E13" s="254">
        <v>85.0</v>
      </c>
      <c r="F13" s="255">
        <f t="shared" ref="F13:G13" si="15">D13</f>
        <v>85</v>
      </c>
      <c r="G13" s="256">
        <f t="shared" si="15"/>
        <v>85</v>
      </c>
      <c r="H13" s="255"/>
      <c r="I13" s="256"/>
      <c r="J13" s="255"/>
      <c r="K13" s="256"/>
      <c r="L13" s="255"/>
      <c r="M13" s="256"/>
      <c r="N13" s="257">
        <v>85.0</v>
      </c>
      <c r="O13" s="214"/>
      <c r="P13" s="309" t="str">
        <f>LET(
  Where, 50000000000000 - WSPDEFENSE_TOTAL_COINS_INVESTED(),
IF(Where &gt; 0, "Unlock Wall Health + ("&amp; FORMAT_NUMBER(Where) &amp;")", "Wall Health +"))</f>
        <v>Wall Health +</v>
      </c>
      <c r="Q13" s="319">
        <f t="shared" ref="Q13:Q20" si="17">Sum((R13*0.01)+1)</f>
        <v>1.59</v>
      </c>
      <c r="R13" s="320">
        <v>59.0</v>
      </c>
      <c r="S13" s="321">
        <f t="shared" si="4"/>
        <v>59</v>
      </c>
      <c r="T13" s="321"/>
      <c r="U13" s="321"/>
      <c r="V13" s="321"/>
      <c r="W13" s="322">
        <v>400.0</v>
      </c>
      <c r="Y13" s="338" t="s">
        <v>142</v>
      </c>
      <c r="Z13" s="339">
        <f t="shared" si="14"/>
        <v>0.04</v>
      </c>
      <c r="AA13" s="224"/>
      <c r="AB13" s="224"/>
      <c r="AC13" s="345" t="s">
        <v>143</v>
      </c>
      <c r="AE13" s="214"/>
      <c r="AF13" s="346" t="s">
        <v>100</v>
      </c>
      <c r="AG13" s="347" t="str">
        <f>IDS_MOD_CANNON_RARITY(AG12)</f>
        <v/>
      </c>
      <c r="AH13" s="343"/>
      <c r="AI13" s="266"/>
      <c r="AJ13" s="344"/>
      <c r="AK13" s="251"/>
    </row>
    <row r="14">
      <c r="A14" s="214"/>
      <c r="B14" s="214"/>
      <c r="C14" s="252" t="str">
        <f>IF(B13, "Bounce Shot Targets", "Unlock Bounce Shot (10K ¢)")</f>
        <v>Bounce Shot Targets</v>
      </c>
      <c r="D14" s="253">
        <v>5.0</v>
      </c>
      <c r="E14" s="254">
        <v>7.0</v>
      </c>
      <c r="F14" s="255">
        <f t="shared" ref="F14:G14" si="16">D14</f>
        <v>5</v>
      </c>
      <c r="G14" s="256">
        <f t="shared" si="16"/>
        <v>7</v>
      </c>
      <c r="H14" s="255"/>
      <c r="I14" s="256"/>
      <c r="J14" s="255"/>
      <c r="K14" s="256"/>
      <c r="L14" s="255"/>
      <c r="M14" s="256"/>
      <c r="N14" s="257">
        <v>7.0</v>
      </c>
      <c r="O14" s="214"/>
      <c r="P14" s="348" t="str">
        <f>LET(
  Where, 500000000000000 - WSPDEFENSE_TOTAL_COINS_INVESTED(),
IF(Where &gt; 0, "Unlock Orb Size + ("&amp; FORMAT_NUMBER(Where) &amp;")", "Orb Size +"))</f>
        <v>Orb Size +</v>
      </c>
      <c r="Q14" s="349">
        <f t="shared" si="17"/>
        <v>1.2</v>
      </c>
      <c r="R14" s="350">
        <v>20.0</v>
      </c>
      <c r="S14" s="351">
        <f t="shared" si="4"/>
        <v>20</v>
      </c>
      <c r="T14" s="351"/>
      <c r="U14" s="351"/>
      <c r="V14" s="351"/>
      <c r="W14" s="352">
        <v>200.0</v>
      </c>
      <c r="Y14" s="338" t="s">
        <v>116</v>
      </c>
      <c r="Z14" s="339">
        <f t="shared" si="14"/>
        <v>0.02</v>
      </c>
      <c r="AA14" s="224"/>
      <c r="AB14" s="224"/>
      <c r="AC14" s="353" t="s">
        <v>144</v>
      </c>
      <c r="AE14" s="214"/>
      <c r="AF14" s="346" t="s">
        <v>94</v>
      </c>
      <c r="AG14" s="347">
        <f>IDS_MOD_CANNON_ASSIST_LEVEL()</f>
        <v>0</v>
      </c>
      <c r="AH14" s="343"/>
      <c r="AI14" s="266"/>
      <c r="AJ14" s="344"/>
      <c r="AK14" s="251"/>
    </row>
    <row r="15">
      <c r="A15" s="214"/>
      <c r="B15" s="274"/>
      <c r="C15" s="252" t="str">
        <f>IF(B13, "Bounce Shot Range", "Unlock Bounce Shot (10K ¢)")</f>
        <v>Bounce Shot Range</v>
      </c>
      <c r="D15" s="253">
        <v>60.0</v>
      </c>
      <c r="E15" s="254">
        <v>60.0</v>
      </c>
      <c r="F15" s="255">
        <f t="shared" ref="F15:G15" si="18">D15</f>
        <v>60</v>
      </c>
      <c r="G15" s="354">
        <f t="shared" si="18"/>
        <v>60</v>
      </c>
      <c r="H15" s="255"/>
      <c r="I15" s="354"/>
      <c r="J15" s="255"/>
      <c r="K15" s="354"/>
      <c r="L15" s="255"/>
      <c r="M15" s="354"/>
      <c r="N15" s="257">
        <v>60.0</v>
      </c>
      <c r="O15" s="214"/>
      <c r="P15" s="355" t="str">
        <f>IF(OR(AA3=1,R15&lt;&gt;0), "Cash Bonus +", "Unlock Cash Bonus + (Lab)")</f>
        <v>Cash Bonus +</v>
      </c>
      <c r="Q15" s="356">
        <f t="shared" si="17"/>
        <v>1.44</v>
      </c>
      <c r="R15" s="357">
        <v>44.0</v>
      </c>
      <c r="S15" s="358">
        <f t="shared" si="4"/>
        <v>44</v>
      </c>
      <c r="T15" s="358"/>
      <c r="U15" s="358"/>
      <c r="V15" s="358"/>
      <c r="W15" s="359">
        <v>400.0</v>
      </c>
      <c r="Y15" s="360" t="s">
        <v>123</v>
      </c>
      <c r="Z15" s="361">
        <f t="shared" si="14"/>
        <v>0.02</v>
      </c>
      <c r="AA15" s="219"/>
      <c r="AB15" s="224"/>
      <c r="AC15" s="316" t="s">
        <v>145</v>
      </c>
      <c r="AE15" s="214"/>
      <c r="AF15" s="362" t="s">
        <v>146</v>
      </c>
      <c r="AG15" s="363" t="str">
        <f>'_IDS'!$BC$3</f>
        <v>Epic</v>
      </c>
      <c r="AH15" s="343"/>
      <c r="AI15" s="266"/>
      <c r="AJ15" s="344"/>
      <c r="AK15" s="251"/>
    </row>
    <row r="16">
      <c r="A16" s="214"/>
      <c r="B16" s="281" t="b">
        <v>1</v>
      </c>
      <c r="C16" s="282" t="str">
        <f>IF(B16, "Super Critical Chance", "Unlock Super Critical Hits (100M ¢)")</f>
        <v>Super Critical Chance</v>
      </c>
      <c r="D16" s="283">
        <v>100.0</v>
      </c>
      <c r="E16" s="284">
        <v>100.0</v>
      </c>
      <c r="F16" s="285">
        <f t="shared" ref="F16:G16" si="19">D16</f>
        <v>100</v>
      </c>
      <c r="G16" s="286">
        <f t="shared" si="19"/>
        <v>100</v>
      </c>
      <c r="H16" s="285"/>
      <c r="I16" s="286"/>
      <c r="J16" s="285"/>
      <c r="K16" s="286"/>
      <c r="L16" s="285"/>
      <c r="M16" s="286"/>
      <c r="N16" s="287">
        <v>100.0</v>
      </c>
      <c r="O16" s="214"/>
      <c r="P16" s="364" t="str">
        <f>LET(
  Where, 50000000000 - WSPUTILITY_TOTAL_COINS_INVESTED(),
IF(Where &gt; 0, "Unlock Coin Bonus + ("&amp; FORMAT_NUMBER(Where) &amp;")", "Coin Bonus +"))</f>
        <v>Coin Bonus +</v>
      </c>
      <c r="Q16" s="365">
        <f t="shared" si="17"/>
        <v>1.33</v>
      </c>
      <c r="R16" s="366">
        <v>33.0</v>
      </c>
      <c r="S16" s="367">
        <f t="shared" si="4"/>
        <v>33</v>
      </c>
      <c r="T16" s="367"/>
      <c r="U16" s="367"/>
      <c r="V16" s="367"/>
      <c r="W16" s="368">
        <v>200.0</v>
      </c>
      <c r="Y16" s="314"/>
      <c r="Z16" s="369"/>
      <c r="AA16" s="10"/>
      <c r="AB16" s="224"/>
      <c r="AC16" s="370" t="s">
        <v>147</v>
      </c>
      <c r="AE16" s="214"/>
      <c r="AF16" s="362" t="s">
        <v>148</v>
      </c>
      <c r="AG16" s="371">
        <f>'_IDS'!$BC$4</f>
        <v>0.01</v>
      </c>
      <c r="AH16" s="343"/>
      <c r="AI16" s="266"/>
      <c r="AJ16" s="344"/>
      <c r="AK16" s="251"/>
    </row>
    <row r="17">
      <c r="A17" s="214"/>
      <c r="B17" s="274"/>
      <c r="C17" s="294" t="str">
        <f>IF(B16, "Super Critical Mult", "Unlock Super Critical Hits (100M ¢)")</f>
        <v>Super Critical Mult</v>
      </c>
      <c r="D17" s="295">
        <v>100.0</v>
      </c>
      <c r="E17" s="296">
        <v>120.0</v>
      </c>
      <c r="F17" s="297">
        <f t="shared" ref="F17:G17" si="20">D17</f>
        <v>100</v>
      </c>
      <c r="G17" s="298">
        <f t="shared" si="20"/>
        <v>120</v>
      </c>
      <c r="H17" s="297"/>
      <c r="I17" s="298"/>
      <c r="J17" s="297"/>
      <c r="K17" s="298"/>
      <c r="L17" s="297"/>
      <c r="M17" s="298"/>
      <c r="N17" s="299">
        <v>120.0</v>
      </c>
      <c r="O17" s="214"/>
      <c r="P17" s="364" t="str">
        <f>LET(
  Where, 500000000000 - WSPUTILITY_TOTAL_COINS_INVESTED(),
IF(Where &gt; 0, "Unlock Cells + ("&amp; FORMAT_NUMBER(Where) &amp;")", "Cells / Kill Bonus +"))</f>
        <v>Cells / Kill Bonus +</v>
      </c>
      <c r="Q17" s="365">
        <f t="shared" si="17"/>
        <v>1.25</v>
      </c>
      <c r="R17" s="372">
        <v>25.0</v>
      </c>
      <c r="S17" s="373">
        <f t="shared" si="4"/>
        <v>25</v>
      </c>
      <c r="T17" s="373"/>
      <c r="U17" s="373"/>
      <c r="V17" s="373"/>
      <c r="W17" s="368">
        <v>200.0</v>
      </c>
      <c r="Y17" s="323" t="str">
        <f>IF('_IDS'!$AF$1="✅", HYPERLINK('_IDS'!AE1, "Go to my Vault Sheet"), "Vault")</f>
        <v>Vault</v>
      </c>
      <c r="Z17" s="324" t="s">
        <v>135</v>
      </c>
      <c r="AA17" s="325"/>
      <c r="AB17" s="224"/>
      <c r="AC17" s="316" t="s">
        <v>149</v>
      </c>
      <c r="AE17" s="214"/>
      <c r="AF17" s="374" t="s">
        <v>150</v>
      </c>
      <c r="AG17" s="375">
        <f>'_IDS'!$BC$5</f>
        <v>0.01</v>
      </c>
      <c r="AH17" s="343"/>
      <c r="AI17" s="266"/>
      <c r="AJ17" s="344"/>
      <c r="AK17" s="251"/>
    </row>
    <row r="18">
      <c r="A18" s="214"/>
      <c r="B18" s="281" t="b">
        <v>1</v>
      </c>
      <c r="C18" s="282" t="str">
        <f>IF(B18, "Rend Armor Chance", "Unlock Rend Armor (500B ¢)")</f>
        <v>Rend Armor Chance</v>
      </c>
      <c r="D18" s="253">
        <v>80.0</v>
      </c>
      <c r="E18" s="254">
        <v>299.0</v>
      </c>
      <c r="F18" s="255">
        <f t="shared" ref="F18:G18" si="21">D18</f>
        <v>80</v>
      </c>
      <c r="G18" s="256">
        <f t="shared" si="21"/>
        <v>299</v>
      </c>
      <c r="H18" s="255"/>
      <c r="I18" s="256"/>
      <c r="J18" s="255"/>
      <c r="K18" s="256"/>
      <c r="L18" s="255"/>
      <c r="M18" s="256"/>
      <c r="N18" s="257">
        <v>299.0</v>
      </c>
      <c r="O18" s="214"/>
      <c r="P18" s="364" t="str">
        <f>LET(
  Where, 5000000000000 - WSPUTILITY_TOTAL_COINS_INVESTED(),
IF(Where &gt; 0, "Unlock Free Ups + ("&amp; FORMAT_NUMBER(Where) &amp;")", "Free Upgrades +"))</f>
        <v>Free Upgrades +</v>
      </c>
      <c r="Q18" s="365">
        <f t="shared" si="17"/>
        <v>1.12</v>
      </c>
      <c r="R18" s="366">
        <v>12.0</v>
      </c>
      <c r="S18" s="367">
        <f t="shared" si="4"/>
        <v>12</v>
      </c>
      <c r="T18" s="367"/>
      <c r="U18" s="367"/>
      <c r="V18" s="367"/>
      <c r="W18" s="368">
        <v>100.0</v>
      </c>
      <c r="Y18" s="376" t="s">
        <v>151</v>
      </c>
      <c r="Z18" s="377">
        <f t="shared" ref="Z18:Z23" si="23">IDS_VAULT_STAT(Y18)</f>
        <v>0</v>
      </c>
      <c r="AA18" s="224"/>
      <c r="AB18" s="224"/>
      <c r="AC18" s="370" t="s">
        <v>152</v>
      </c>
      <c r="AE18" s="222"/>
      <c r="AF18" s="10"/>
      <c r="AG18" s="10"/>
      <c r="AH18" s="378"/>
      <c r="AI18" s="328"/>
      <c r="AJ18" s="379"/>
      <c r="AK18" s="251"/>
    </row>
    <row r="19">
      <c r="A19" s="214"/>
      <c r="B19" s="222"/>
      <c r="C19" s="380" t="str">
        <f>IF(B18, "Rend Armor Mult", "Unlock Rend Armor (500B ¢)")</f>
        <v>Rend Armor Mult</v>
      </c>
      <c r="D19" s="381">
        <v>70.0</v>
      </c>
      <c r="E19" s="382">
        <v>299.0</v>
      </c>
      <c r="F19" s="383">
        <f t="shared" ref="F19:G19" si="22">D19</f>
        <v>70</v>
      </c>
      <c r="G19" s="384">
        <f t="shared" si="22"/>
        <v>299</v>
      </c>
      <c r="H19" s="383"/>
      <c r="I19" s="384"/>
      <c r="J19" s="383"/>
      <c r="K19" s="384"/>
      <c r="L19" s="383"/>
      <c r="M19" s="384"/>
      <c r="N19" s="385">
        <v>299.0</v>
      </c>
      <c r="O19" s="214"/>
      <c r="P19" s="364" t="str">
        <f>LET(
  Where, 50000000000000 - WSPUTILITY_TOTAL_COINS_INVESTED(),
IF(Where &gt; 0, "Unlock Packages + ("&amp; FORMAT_NUMBER(Where) &amp;")", "Recovery Package +"))</f>
        <v>Recovery Package +</v>
      </c>
      <c r="Q19" s="365">
        <f t="shared" si="17"/>
        <v>1.42</v>
      </c>
      <c r="R19" s="366">
        <v>42.0</v>
      </c>
      <c r="S19" s="367">
        <f t="shared" si="4"/>
        <v>42</v>
      </c>
      <c r="T19" s="367"/>
      <c r="U19" s="367"/>
      <c r="V19" s="367"/>
      <c r="W19" s="368">
        <v>300.0</v>
      </c>
      <c r="Y19" s="330" t="s">
        <v>137</v>
      </c>
      <c r="Z19" s="331">
        <f t="shared" si="23"/>
        <v>0</v>
      </c>
      <c r="AA19" s="204"/>
      <c r="AB19" s="224"/>
      <c r="AC19" s="291" t="s">
        <v>153</v>
      </c>
      <c r="AE19" s="386" t="s">
        <v>154</v>
      </c>
      <c r="AF19" s="387" t="s">
        <v>109</v>
      </c>
      <c r="AG19" s="388" t="s">
        <v>87</v>
      </c>
      <c r="AH19" s="248" t="str">
        <f>IDS_MOD_ARMOR_SUBSTATS(AG22)</f>
        <v>Health Regen</v>
      </c>
      <c r="AI19" s="249" t="s">
        <v>120</v>
      </c>
      <c r="AJ19" s="250" t="s">
        <v>155</v>
      </c>
      <c r="AK19" s="251">
        <v>4.0</v>
      </c>
    </row>
    <row r="20">
      <c r="A20" s="214"/>
      <c r="B20" s="389" t="s">
        <v>156</v>
      </c>
      <c r="C20" s="390" t="s">
        <v>124</v>
      </c>
      <c r="D20" s="391">
        <v>5700.0</v>
      </c>
      <c r="E20" s="392">
        <v>6000.0</v>
      </c>
      <c r="F20" s="393">
        <f t="shared" ref="F20:G20" si="24">D20</f>
        <v>5700</v>
      </c>
      <c r="G20" s="394">
        <f t="shared" si="24"/>
        <v>6000</v>
      </c>
      <c r="H20" s="393"/>
      <c r="I20" s="394"/>
      <c r="J20" s="393"/>
      <c r="K20" s="394"/>
      <c r="L20" s="393"/>
      <c r="M20" s="394"/>
      <c r="N20" s="395">
        <v>6000.0</v>
      </c>
      <c r="O20" s="214"/>
      <c r="P20" s="396" t="str">
        <f>LET(
  Where, 500000000000000 - WSPUTILITY_TOTAL_COINS_INVESTED(),
IF(Where &gt; 0, "Unlock ELS + ("&amp; FORMAT_NUMBER(Where) &amp;")", "Enemy Level Skips +"))</f>
        <v>Enemy Level Skips +</v>
      </c>
      <c r="Q20" s="397">
        <f t="shared" si="17"/>
        <v>1.15</v>
      </c>
      <c r="R20" s="398">
        <v>15.0</v>
      </c>
      <c r="S20" s="399">
        <f t="shared" si="4"/>
        <v>15</v>
      </c>
      <c r="T20" s="399"/>
      <c r="U20" s="399"/>
      <c r="V20" s="399"/>
      <c r="W20" s="400">
        <v>60.0</v>
      </c>
      <c r="Y20" s="338" t="s">
        <v>140</v>
      </c>
      <c r="Z20" s="339">
        <f t="shared" si="23"/>
        <v>0</v>
      </c>
      <c r="AA20" s="224"/>
      <c r="AB20" s="224"/>
      <c r="AC20" s="264" t="s">
        <v>157</v>
      </c>
      <c r="AE20" s="214"/>
      <c r="AF20" s="220"/>
      <c r="AG20" s="219"/>
      <c r="AH20" s="265" t="s">
        <v>158</v>
      </c>
      <c r="AI20" s="266" t="s">
        <v>110</v>
      </c>
      <c r="AJ20" s="267" t="s">
        <v>159</v>
      </c>
      <c r="AK20" s="251">
        <v>0.9</v>
      </c>
    </row>
    <row r="21">
      <c r="A21" s="214"/>
      <c r="B21" s="274"/>
      <c r="C21" s="390" t="s">
        <v>138</v>
      </c>
      <c r="D21" s="391">
        <v>6000.0</v>
      </c>
      <c r="E21" s="392">
        <v>6000.0</v>
      </c>
      <c r="F21" s="393">
        <f t="shared" ref="F21:G21" si="25">D21</f>
        <v>6000</v>
      </c>
      <c r="G21" s="394">
        <f t="shared" si="25"/>
        <v>6000</v>
      </c>
      <c r="H21" s="393"/>
      <c r="I21" s="394"/>
      <c r="J21" s="393"/>
      <c r="K21" s="394"/>
      <c r="L21" s="393"/>
      <c r="M21" s="394"/>
      <c r="N21" s="395">
        <v>6000.0</v>
      </c>
      <c r="O21" s="401"/>
      <c r="P21" s="10"/>
      <c r="Q21" s="10"/>
      <c r="R21" s="402"/>
      <c r="S21" s="402"/>
      <c r="T21" s="402"/>
      <c r="U21" s="402"/>
      <c r="V21" s="402"/>
      <c r="W21" s="10"/>
      <c r="Y21" s="338" t="s">
        <v>142</v>
      </c>
      <c r="Z21" s="339">
        <f t="shared" si="23"/>
        <v>0</v>
      </c>
      <c r="AA21" s="224"/>
      <c r="AB21" s="224"/>
      <c r="AC21" s="316"/>
      <c r="AE21" s="214"/>
      <c r="AF21" s="272" t="s">
        <v>118</v>
      </c>
      <c r="AH21" s="273" t="s">
        <v>160</v>
      </c>
      <c r="AI21" s="266" t="s">
        <v>120</v>
      </c>
      <c r="AJ21" s="267" t="s">
        <v>161</v>
      </c>
      <c r="AK21" s="251">
        <v>0.08</v>
      </c>
    </row>
    <row r="22">
      <c r="A22" s="214"/>
      <c r="B22" s="403" t="b">
        <v>1</v>
      </c>
      <c r="C22" s="404" t="str">
        <f>IF(B22, "Defense %", "Unlock Defense (75 ¢)")</f>
        <v>Defense %</v>
      </c>
      <c r="D22" s="405">
        <v>99.0</v>
      </c>
      <c r="E22" s="406">
        <v>99.0</v>
      </c>
      <c r="F22" s="407">
        <f t="shared" ref="F22:G22" si="26">D22</f>
        <v>99</v>
      </c>
      <c r="G22" s="408">
        <f t="shared" si="26"/>
        <v>99</v>
      </c>
      <c r="H22" s="407"/>
      <c r="I22" s="408"/>
      <c r="J22" s="407"/>
      <c r="K22" s="408"/>
      <c r="L22" s="407"/>
      <c r="M22" s="408"/>
      <c r="N22" s="409">
        <v>99.0</v>
      </c>
      <c r="O22" s="401"/>
      <c r="P22" s="10"/>
      <c r="Q22" s="10"/>
      <c r="R22" s="402"/>
      <c r="S22" s="402"/>
      <c r="T22" s="402"/>
      <c r="U22" s="402"/>
      <c r="V22" s="402"/>
      <c r="W22" s="10"/>
      <c r="Y22" s="338" t="s">
        <v>162</v>
      </c>
      <c r="Z22" s="410">
        <f t="shared" si="23"/>
        <v>0</v>
      </c>
      <c r="AA22" s="224"/>
      <c r="AB22" s="224"/>
      <c r="AC22" s="411"/>
      <c r="AE22" s="214"/>
      <c r="AF22" s="412" t="s">
        <v>125</v>
      </c>
      <c r="AG22" s="413" t="str">
        <f>IDS_MOD_ARMOR_NAME(AG19)</f>
        <v>Sharp Fortitude</v>
      </c>
      <c r="AH22" s="265" t="s">
        <v>163</v>
      </c>
      <c r="AI22" s="266" t="s">
        <v>120</v>
      </c>
      <c r="AJ22" s="267" t="s">
        <v>164</v>
      </c>
      <c r="AK22" s="251">
        <v>1.2</v>
      </c>
    </row>
    <row r="23">
      <c r="A23" s="214"/>
      <c r="B23" s="274"/>
      <c r="C23" s="414" t="str">
        <f>IF(B22, "Defense Absolute", "Unlock Defense (75 ¢)")</f>
        <v>Defense Absolute</v>
      </c>
      <c r="D23" s="415">
        <v>5000.0</v>
      </c>
      <c r="E23" s="416">
        <v>5000.0</v>
      </c>
      <c r="F23" s="417">
        <f t="shared" ref="F23:G23" si="27">D23</f>
        <v>5000</v>
      </c>
      <c r="G23" s="418">
        <f t="shared" si="27"/>
        <v>5000</v>
      </c>
      <c r="H23" s="417"/>
      <c r="I23" s="418"/>
      <c r="J23" s="417"/>
      <c r="K23" s="418"/>
      <c r="L23" s="417"/>
      <c r="M23" s="418"/>
      <c r="N23" s="419">
        <v>5000.0</v>
      </c>
      <c r="O23" s="401"/>
      <c r="P23" s="10"/>
      <c r="Q23" s="10"/>
      <c r="R23" s="402"/>
      <c r="S23" s="402"/>
      <c r="T23" s="402"/>
      <c r="U23" s="402"/>
      <c r="V23" s="402"/>
      <c r="W23" s="10"/>
      <c r="Y23" s="360" t="s">
        <v>165</v>
      </c>
      <c r="Z23" s="420">
        <f t="shared" si="23"/>
        <v>0</v>
      </c>
      <c r="AA23" s="219"/>
      <c r="AB23" s="224"/>
      <c r="AC23" s="421"/>
      <c r="AE23" s="214"/>
      <c r="AF23" s="422" t="s">
        <v>100</v>
      </c>
      <c r="AG23" s="423" t="str">
        <f>IDS_MOD_ARMOR_RARITY(AG22)</f>
        <v>Ancestral</v>
      </c>
      <c r="AH23" s="265" t="s">
        <v>166</v>
      </c>
      <c r="AI23" s="266" t="s">
        <v>120</v>
      </c>
      <c r="AJ23" s="267" t="s">
        <v>167</v>
      </c>
      <c r="AK23" s="251">
        <v>0.1</v>
      </c>
    </row>
    <row r="24">
      <c r="A24" s="214"/>
      <c r="B24" s="424" t="b">
        <v>1</v>
      </c>
      <c r="C24" s="404" t="str">
        <f>IF(B24, "Thorn Damage", "Unlock Thorn (500 ¢)")</f>
        <v>Thorn Damage</v>
      </c>
      <c r="D24" s="415">
        <v>99.0</v>
      </c>
      <c r="E24" s="416">
        <v>99.0</v>
      </c>
      <c r="F24" s="417">
        <f t="shared" ref="F24:G24" si="28">D24</f>
        <v>99</v>
      </c>
      <c r="G24" s="418">
        <f t="shared" si="28"/>
        <v>99</v>
      </c>
      <c r="H24" s="417"/>
      <c r="I24" s="418"/>
      <c r="J24" s="417"/>
      <c r="K24" s="418"/>
      <c r="L24" s="417"/>
      <c r="M24" s="418"/>
      <c r="N24" s="395">
        <v>99.0</v>
      </c>
      <c r="O24" s="401"/>
      <c r="P24" s="10"/>
      <c r="Q24" s="10"/>
      <c r="R24" s="402"/>
      <c r="S24" s="402"/>
      <c r="T24" s="402"/>
      <c r="U24" s="402"/>
      <c r="V24" s="402"/>
      <c r="W24" s="10"/>
      <c r="Y24" s="315"/>
      <c r="Z24" s="425"/>
      <c r="AA24" s="10"/>
      <c r="AB24" s="224"/>
      <c r="AC24" s="426"/>
      <c r="AE24" s="214"/>
      <c r="AF24" s="422" t="s">
        <v>94</v>
      </c>
      <c r="AG24" s="423">
        <f>IDS_MOD_ARMOR_LEVEL(AG22)</f>
        <v>163</v>
      </c>
      <c r="AH24" s="265" t="s">
        <v>168</v>
      </c>
      <c r="AI24" s="266" t="s">
        <v>169</v>
      </c>
      <c r="AJ24" s="267" t="s">
        <v>170</v>
      </c>
      <c r="AK24" s="251">
        <v>1.0</v>
      </c>
    </row>
    <row r="25">
      <c r="A25" s="214"/>
      <c r="B25" s="424" t="b">
        <v>1</v>
      </c>
      <c r="C25" s="404" t="str">
        <f>IF(B25, "Lifesteal", "Unlock Lifesteal (2K ¢)")</f>
        <v>Lifesteal</v>
      </c>
      <c r="D25" s="415">
        <v>80.0</v>
      </c>
      <c r="E25" s="416">
        <v>80.0</v>
      </c>
      <c r="F25" s="417">
        <f t="shared" ref="F25:G25" si="29">D25</f>
        <v>80</v>
      </c>
      <c r="G25" s="418">
        <f t="shared" si="29"/>
        <v>80</v>
      </c>
      <c r="H25" s="417"/>
      <c r="I25" s="418"/>
      <c r="J25" s="417"/>
      <c r="K25" s="418"/>
      <c r="L25" s="417"/>
      <c r="M25" s="418"/>
      <c r="N25" s="409">
        <v>80.0</v>
      </c>
      <c r="O25" s="401"/>
      <c r="P25" s="10"/>
      <c r="Q25" s="10"/>
      <c r="R25" s="402"/>
      <c r="S25" s="402"/>
      <c r="T25" s="402"/>
      <c r="U25" s="402"/>
      <c r="V25" s="402"/>
      <c r="W25" s="10"/>
      <c r="Y25" s="427" t="str">
        <f>IF('_IDS'!U1="✅", HYPERLINK('_IDS'!T1, "Go to my Cards Sheet"), "Card")</f>
        <v>Card</v>
      </c>
      <c r="Z25" s="428" t="s">
        <v>171</v>
      </c>
      <c r="AA25" s="428" t="s">
        <v>172</v>
      </c>
      <c r="AB25" s="224"/>
      <c r="AC25" s="316"/>
      <c r="AE25" s="214"/>
      <c r="AF25" s="429" t="s">
        <v>134</v>
      </c>
      <c r="AG25" s="430">
        <f>OFFSET('_IDS'!$BI$29, MATCH(AG22, '_IDS'!$BG$27:$BG66, 0)-1, 0, 1, 1)</f>
        <v>8.84</v>
      </c>
      <c r="AH25" s="265"/>
      <c r="AI25" s="266"/>
      <c r="AJ25" s="267"/>
      <c r="AK25" s="251" t="s">
        <v>133</v>
      </c>
    </row>
    <row r="26">
      <c r="A26" s="214"/>
      <c r="B26" s="403" t="b">
        <v>1</v>
      </c>
      <c r="C26" s="404" t="str">
        <f>IF(B26, "Knockback Chance", "Unlock Knockback (5K ¢)")</f>
        <v>Knockback Chance</v>
      </c>
      <c r="D26" s="405">
        <v>80.0</v>
      </c>
      <c r="E26" s="406">
        <v>80.0</v>
      </c>
      <c r="F26" s="407">
        <f t="shared" ref="F26:G26" si="30">D26</f>
        <v>80</v>
      </c>
      <c r="G26" s="408">
        <f t="shared" si="30"/>
        <v>80</v>
      </c>
      <c r="H26" s="407"/>
      <c r="I26" s="408"/>
      <c r="J26" s="407"/>
      <c r="K26" s="408"/>
      <c r="L26" s="407"/>
      <c r="M26" s="408"/>
      <c r="N26" s="409">
        <v>80.0</v>
      </c>
      <c r="O26" s="401"/>
      <c r="P26" s="10"/>
      <c r="Q26" s="10"/>
      <c r="R26" s="402"/>
      <c r="S26" s="402"/>
      <c r="T26" s="402"/>
      <c r="U26" s="402"/>
      <c r="V26" s="402"/>
      <c r="W26" s="10"/>
      <c r="Y26" s="431" t="s">
        <v>157</v>
      </c>
      <c r="Z26" s="432">
        <f t="shared" ref="Z26:Z27" si="32">IDS_CARD_LEVEL(Y26)</f>
        <v>7</v>
      </c>
      <c r="AA26" s="433" t="b">
        <f t="shared" ref="AA26:AA27" si="33">IDS_CARD_MASTERY(Y26)</f>
        <v>0</v>
      </c>
      <c r="AB26" s="224"/>
      <c r="AC26" s="278"/>
      <c r="AE26" s="214"/>
      <c r="AF26" s="434"/>
      <c r="AG26" s="434"/>
      <c r="AH26" s="327"/>
      <c r="AI26" s="328"/>
      <c r="AJ26" s="329"/>
      <c r="AK26" s="251" t="s">
        <v>133</v>
      </c>
    </row>
    <row r="27">
      <c r="A27" s="214"/>
      <c r="B27" s="274"/>
      <c r="C27" s="414" t="str">
        <f>IF(B26, "Knockback Force", "Unlock Knockback (5K ¢)")</f>
        <v>Knockback Force</v>
      </c>
      <c r="D27" s="415">
        <v>40.0</v>
      </c>
      <c r="E27" s="416">
        <v>40.0</v>
      </c>
      <c r="F27" s="417">
        <f t="shared" ref="F27:G27" si="31">D27</f>
        <v>40</v>
      </c>
      <c r="G27" s="435">
        <f t="shared" si="31"/>
        <v>40</v>
      </c>
      <c r="H27" s="417"/>
      <c r="I27" s="435"/>
      <c r="J27" s="417"/>
      <c r="K27" s="435"/>
      <c r="L27" s="417"/>
      <c r="M27" s="435"/>
      <c r="N27" s="419">
        <v>40.0</v>
      </c>
      <c r="O27" s="401"/>
      <c r="P27" s="10"/>
      <c r="Q27" s="10"/>
      <c r="R27" s="402"/>
      <c r="S27" s="402"/>
      <c r="T27" s="402"/>
      <c r="U27" s="402"/>
      <c r="V27" s="402"/>
      <c r="W27" s="10"/>
      <c r="Y27" s="436" t="s">
        <v>149</v>
      </c>
      <c r="Z27" s="437">
        <f t="shared" si="32"/>
        <v>7</v>
      </c>
      <c r="AA27" s="438" t="b">
        <f t="shared" si="33"/>
        <v>1</v>
      </c>
      <c r="AB27" s="224"/>
      <c r="AC27" s="439"/>
      <c r="AE27" s="214"/>
      <c r="AF27" s="333" t="s">
        <v>139</v>
      </c>
      <c r="AH27" s="334" t="str">
        <f>IDS_MOD_ARMOR_SUBSTATS(AG28)</f>
        <v>Defense %</v>
      </c>
      <c r="AI27" s="249" t="s">
        <v>120</v>
      </c>
      <c r="AJ27" s="335" t="s">
        <v>161</v>
      </c>
      <c r="AK27" s="251">
        <v>0.08</v>
      </c>
    </row>
    <row r="28">
      <c r="A28" s="214"/>
      <c r="B28" s="403" t="b">
        <v>1</v>
      </c>
      <c r="C28" s="404" t="str">
        <f>IF(B28, "Orb Speed", "Unlock Orbs (15K ¢)")</f>
        <v>Orb Speed</v>
      </c>
      <c r="D28" s="405">
        <v>38.0</v>
      </c>
      <c r="E28" s="406">
        <v>38.0</v>
      </c>
      <c r="F28" s="407">
        <f t="shared" ref="F28:G28" si="34">D28</f>
        <v>38</v>
      </c>
      <c r="G28" s="440">
        <f t="shared" si="34"/>
        <v>38</v>
      </c>
      <c r="H28" s="407"/>
      <c r="I28" s="440"/>
      <c r="J28" s="407"/>
      <c r="K28" s="440"/>
      <c r="L28" s="407"/>
      <c r="M28" s="440"/>
      <c r="N28" s="409">
        <v>38.0</v>
      </c>
      <c r="O28" s="401"/>
      <c r="P28" s="10"/>
      <c r="Q28" s="10"/>
      <c r="R28" s="402"/>
      <c r="S28" s="402"/>
      <c r="T28" s="402"/>
      <c r="U28" s="402"/>
      <c r="V28" s="402"/>
      <c r="W28" s="10"/>
      <c r="X28" s="239"/>
      <c r="Y28" s="315"/>
      <c r="Z28" s="425"/>
      <c r="AA28" s="10"/>
      <c r="AB28" s="224"/>
      <c r="AC28" s="316"/>
      <c r="AE28" s="214"/>
      <c r="AF28" s="441" t="s">
        <v>125</v>
      </c>
      <c r="AG28" s="442" t="str">
        <f>IDS_MOD_ARMOR_ASSIST_NAME(AG19)</f>
        <v>Orbital Augment</v>
      </c>
      <c r="AH28" s="343" t="s">
        <v>138</v>
      </c>
      <c r="AI28" s="266" t="s">
        <v>120</v>
      </c>
      <c r="AJ28" s="344" t="s">
        <v>155</v>
      </c>
      <c r="AK28" s="251">
        <v>4.0</v>
      </c>
    </row>
    <row r="29">
      <c r="A29" s="214"/>
      <c r="B29" s="274"/>
      <c r="C29" s="414" t="str">
        <f>IF(B28, "Orbs", "Unlock Orbs (15K ¢)")</f>
        <v>Orbs</v>
      </c>
      <c r="D29" s="391">
        <v>4.0</v>
      </c>
      <c r="E29" s="392">
        <v>4.0</v>
      </c>
      <c r="F29" s="393">
        <f t="shared" ref="F29:G29" si="35">D29</f>
        <v>4</v>
      </c>
      <c r="G29" s="443">
        <f t="shared" si="35"/>
        <v>4</v>
      </c>
      <c r="H29" s="393"/>
      <c r="I29" s="443"/>
      <c r="J29" s="393"/>
      <c r="K29" s="443"/>
      <c r="L29" s="393"/>
      <c r="M29" s="443"/>
      <c r="N29" s="419">
        <v>4.0</v>
      </c>
      <c r="O29" s="401"/>
      <c r="P29" s="10"/>
      <c r="Q29" s="10"/>
      <c r="R29" s="402"/>
      <c r="S29" s="402"/>
      <c r="T29" s="402"/>
      <c r="U29" s="402"/>
      <c r="V29" s="402"/>
      <c r="W29" s="10"/>
      <c r="X29" s="239"/>
      <c r="Y29" s="315"/>
      <c r="Z29" s="425"/>
      <c r="AA29" s="10"/>
      <c r="AB29" s="224"/>
      <c r="AC29" s="316"/>
      <c r="AE29" s="214"/>
      <c r="AF29" s="444" t="s">
        <v>100</v>
      </c>
      <c r="AG29" s="445" t="str">
        <f>IDS_MOD_ARMOR_RARITY(AG28)</f>
        <v>Ancestral 1*</v>
      </c>
      <c r="AH29" s="343" t="s">
        <v>163</v>
      </c>
      <c r="AI29" s="266" t="s">
        <v>120</v>
      </c>
      <c r="AJ29" s="344" t="s">
        <v>164</v>
      </c>
      <c r="AK29" s="251">
        <v>1.2</v>
      </c>
    </row>
    <row r="30">
      <c r="A30" s="214"/>
      <c r="B30" s="403" t="b">
        <v>1</v>
      </c>
      <c r="C30" s="404" t="str">
        <f>IF(B30, "Shockwave Size", "Unlock Shockwave (100K ¢)")</f>
        <v>Shockwave Size</v>
      </c>
      <c r="D30" s="405">
        <v>35.0</v>
      </c>
      <c r="E30" s="406">
        <v>35.0</v>
      </c>
      <c r="F30" s="407">
        <f t="shared" ref="F30:G30" si="36">D30</f>
        <v>35</v>
      </c>
      <c r="G30" s="440">
        <f t="shared" si="36"/>
        <v>35</v>
      </c>
      <c r="H30" s="407"/>
      <c r="I30" s="440"/>
      <c r="J30" s="407"/>
      <c r="K30" s="440"/>
      <c r="L30" s="407"/>
      <c r="M30" s="440"/>
      <c r="N30" s="409">
        <v>35.0</v>
      </c>
      <c r="O30" s="401"/>
      <c r="P30" s="10"/>
      <c r="Q30" s="10"/>
      <c r="R30" s="402"/>
      <c r="S30" s="402"/>
      <c r="T30" s="402"/>
      <c r="U30" s="402"/>
      <c r="V30" s="402"/>
      <c r="W30" s="10"/>
      <c r="X30" s="239"/>
      <c r="Y30" s="315"/>
      <c r="Z30" s="425"/>
      <c r="AA30" s="10"/>
      <c r="AB30" s="446"/>
      <c r="AC30" s="447"/>
      <c r="AE30" s="214"/>
      <c r="AF30" s="444" t="s">
        <v>94</v>
      </c>
      <c r="AG30" s="445">
        <f>IDS_MOD_ARMOR_ASSIST_LEVEL()</f>
        <v>41</v>
      </c>
      <c r="AH30" s="343" t="s">
        <v>166</v>
      </c>
      <c r="AI30" s="266" t="s">
        <v>120</v>
      </c>
      <c r="AJ30" s="344" t="s">
        <v>167</v>
      </c>
      <c r="AK30" s="251">
        <v>0.1</v>
      </c>
    </row>
    <row r="31">
      <c r="A31" s="214"/>
      <c r="B31" s="274"/>
      <c r="C31" s="414" t="str">
        <f>IF(B30, "Shockwave Frequency", "Unlock Shockwave (100K ¢)")</f>
        <v>Shockwave Frequency</v>
      </c>
      <c r="D31" s="391">
        <v>40.0</v>
      </c>
      <c r="E31" s="392">
        <v>40.0</v>
      </c>
      <c r="F31" s="393">
        <f t="shared" ref="F31:G31" si="37">D31</f>
        <v>40</v>
      </c>
      <c r="G31" s="394">
        <f t="shared" si="37"/>
        <v>40</v>
      </c>
      <c r="H31" s="393"/>
      <c r="I31" s="394"/>
      <c r="J31" s="393"/>
      <c r="K31" s="394"/>
      <c r="L31" s="393"/>
      <c r="M31" s="394"/>
      <c r="N31" s="419">
        <v>40.0</v>
      </c>
      <c r="O31" s="401"/>
      <c r="P31" s="10"/>
      <c r="Q31" s="10"/>
      <c r="R31" s="402"/>
      <c r="S31" s="402"/>
      <c r="T31" s="402"/>
      <c r="U31" s="402"/>
      <c r="V31" s="402"/>
      <c r="W31" s="10"/>
      <c r="X31" s="239"/>
      <c r="Y31" s="315"/>
      <c r="Z31" s="425"/>
      <c r="AA31" s="10"/>
      <c r="AB31" s="448"/>
      <c r="AC31" s="239"/>
      <c r="AE31" s="214"/>
      <c r="AF31" s="449" t="s">
        <v>146</v>
      </c>
      <c r="AG31" s="450" t="str">
        <f>'_IDS'!$BH$3</f>
        <v>Epic</v>
      </c>
      <c r="AH31" s="343"/>
      <c r="AI31" s="266"/>
      <c r="AJ31" s="344"/>
      <c r="AK31" s="251" t="s">
        <v>133</v>
      </c>
    </row>
    <row r="32">
      <c r="A32" s="214"/>
      <c r="B32" s="403" t="b">
        <v>1</v>
      </c>
      <c r="C32" s="404" t="str">
        <f>IF(B32, "Land Mine Chance", "Unlock Land Mines (400K ¢)")</f>
        <v>Land Mine Chance</v>
      </c>
      <c r="D32" s="405">
        <v>50.0</v>
      </c>
      <c r="E32" s="406">
        <v>50.0</v>
      </c>
      <c r="F32" s="407">
        <f t="shared" ref="F32:G32" si="38">D32</f>
        <v>50</v>
      </c>
      <c r="G32" s="408">
        <f t="shared" si="38"/>
        <v>50</v>
      </c>
      <c r="H32" s="407"/>
      <c r="I32" s="408"/>
      <c r="J32" s="407"/>
      <c r="K32" s="408"/>
      <c r="L32" s="407"/>
      <c r="M32" s="408"/>
      <c r="N32" s="395">
        <v>50.0</v>
      </c>
      <c r="O32" s="401"/>
      <c r="P32" s="10"/>
      <c r="Q32" s="10"/>
      <c r="R32" s="402"/>
      <c r="S32" s="402"/>
      <c r="T32" s="402"/>
      <c r="U32" s="402"/>
      <c r="V32" s="402"/>
      <c r="W32" s="10"/>
      <c r="X32" s="239"/>
      <c r="Y32" s="315"/>
      <c r="Z32" s="425"/>
      <c r="AA32" s="10"/>
      <c r="AB32" s="448"/>
      <c r="AC32" s="239"/>
      <c r="AE32" s="214"/>
      <c r="AF32" s="449" t="s">
        <v>148</v>
      </c>
      <c r="AG32" s="451">
        <f>'_IDS'!$BH$4</f>
        <v>0.01</v>
      </c>
      <c r="AH32" s="343"/>
      <c r="AI32" s="266"/>
      <c r="AJ32" s="344"/>
      <c r="AK32" s="251" t="s">
        <v>133</v>
      </c>
    </row>
    <row r="33">
      <c r="A33" s="214"/>
      <c r="B33" s="214"/>
      <c r="C33" s="390" t="str">
        <f>IF(B32, "Land Mine Damage", "Unlock Land Mines (400K ¢)")</f>
        <v>Land Mine Damage</v>
      </c>
      <c r="D33" s="452">
        <v>160.0</v>
      </c>
      <c r="E33" s="453">
        <v>200.0</v>
      </c>
      <c r="F33" s="454">
        <f t="shared" ref="F33:G33" si="39">D33</f>
        <v>160</v>
      </c>
      <c r="G33" s="455">
        <f t="shared" si="39"/>
        <v>200</v>
      </c>
      <c r="H33" s="454"/>
      <c r="I33" s="455"/>
      <c r="J33" s="454"/>
      <c r="K33" s="455"/>
      <c r="L33" s="454"/>
      <c r="M33" s="455"/>
      <c r="N33" s="395">
        <v>200.0</v>
      </c>
      <c r="O33" s="401"/>
      <c r="P33" s="10"/>
      <c r="Q33" s="10"/>
      <c r="R33" s="402"/>
      <c r="S33" s="402"/>
      <c r="T33" s="402"/>
      <c r="U33" s="402"/>
      <c r="V33" s="402"/>
      <c r="W33" s="10"/>
      <c r="X33" s="239"/>
      <c r="Y33" s="315"/>
      <c r="Z33" s="425"/>
      <c r="AA33" s="10"/>
      <c r="AB33" s="448"/>
      <c r="AC33" s="239"/>
      <c r="AE33" s="214"/>
      <c r="AF33" s="456" t="s">
        <v>150</v>
      </c>
      <c r="AG33" s="457">
        <f>'_IDS'!$BH$5</f>
        <v>0.1</v>
      </c>
      <c r="AH33" s="343"/>
      <c r="AI33" s="266"/>
      <c r="AJ33" s="344"/>
      <c r="AK33" s="251" t="s">
        <v>133</v>
      </c>
    </row>
    <row r="34">
      <c r="A34" s="214"/>
      <c r="B34" s="274"/>
      <c r="C34" s="390" t="str">
        <f>IF(B32, "Land Mine Radius", "Unlock Land Mines (400K ¢)")</f>
        <v>Land Mine Radius</v>
      </c>
      <c r="D34" s="415">
        <v>50.0</v>
      </c>
      <c r="E34" s="416">
        <v>50.0</v>
      </c>
      <c r="F34" s="417">
        <f t="shared" ref="F34:G34" si="40">D34</f>
        <v>50</v>
      </c>
      <c r="G34" s="418">
        <f t="shared" si="40"/>
        <v>50</v>
      </c>
      <c r="H34" s="417"/>
      <c r="I34" s="418"/>
      <c r="J34" s="417"/>
      <c r="K34" s="418"/>
      <c r="L34" s="417"/>
      <c r="M34" s="418"/>
      <c r="N34" s="395">
        <v>50.0</v>
      </c>
      <c r="O34" s="401"/>
      <c r="P34" s="10"/>
      <c r="Q34" s="10"/>
      <c r="R34" s="402"/>
      <c r="S34" s="402"/>
      <c r="T34" s="402"/>
      <c r="U34" s="402"/>
      <c r="V34" s="402"/>
      <c r="W34" s="10"/>
      <c r="X34" s="239"/>
      <c r="Y34" s="315"/>
      <c r="Z34" s="425"/>
      <c r="AA34" s="10"/>
      <c r="AB34" s="448"/>
      <c r="AC34" s="239"/>
      <c r="AE34" s="222"/>
      <c r="AF34" s="10"/>
      <c r="AG34" s="10"/>
      <c r="AH34" s="378"/>
      <c r="AI34" s="328"/>
      <c r="AJ34" s="379"/>
      <c r="AK34" s="251" t="s">
        <v>133</v>
      </c>
    </row>
    <row r="35">
      <c r="A35" s="214"/>
      <c r="B35" s="424" t="b">
        <v>1</v>
      </c>
      <c r="C35" s="404" t="str">
        <f>IF(B35, "Death Defy", "Unlock Death Defy (1.5M ¢)")</f>
        <v>Death Defy</v>
      </c>
      <c r="D35" s="415">
        <v>75.0</v>
      </c>
      <c r="E35" s="416">
        <v>75.0</v>
      </c>
      <c r="F35" s="417">
        <f t="shared" ref="F35:G35" si="41">D35</f>
        <v>75</v>
      </c>
      <c r="G35" s="418">
        <f t="shared" si="41"/>
        <v>75</v>
      </c>
      <c r="H35" s="417"/>
      <c r="I35" s="418"/>
      <c r="J35" s="417"/>
      <c r="K35" s="418"/>
      <c r="L35" s="417"/>
      <c r="M35" s="418"/>
      <c r="N35" s="409">
        <v>75.0</v>
      </c>
      <c r="O35" s="401"/>
      <c r="P35" s="10"/>
      <c r="Q35" s="10"/>
      <c r="R35" s="402"/>
      <c r="S35" s="402"/>
      <c r="T35" s="402"/>
      <c r="U35" s="402"/>
      <c r="V35" s="402"/>
      <c r="W35" s="10"/>
      <c r="X35" s="239"/>
      <c r="Y35" s="315"/>
      <c r="Z35" s="425"/>
      <c r="AA35" s="10"/>
      <c r="AB35" s="448"/>
      <c r="AC35" s="239"/>
      <c r="AE35" s="458" t="s">
        <v>173</v>
      </c>
      <c r="AF35" s="459" t="s">
        <v>109</v>
      </c>
      <c r="AG35" s="460" t="s">
        <v>87</v>
      </c>
      <c r="AH35" s="248" t="str">
        <f>IDS_MOD_GENERATOR_SUBSTATS(AG38)</f>
        <v>Free Utility Upgrade</v>
      </c>
      <c r="AI35" s="249" t="s">
        <v>110</v>
      </c>
      <c r="AJ35" s="250" t="s">
        <v>167</v>
      </c>
      <c r="AK35" s="461">
        <v>0.1</v>
      </c>
    </row>
    <row r="36">
      <c r="A36" s="214"/>
      <c r="B36" s="403" t="b">
        <v>1</v>
      </c>
      <c r="C36" s="404" t="str">
        <f>IF(B36, "Wall Health", "Unlock Wall (500M ¢)")</f>
        <v>Wall Health</v>
      </c>
      <c r="D36" s="405">
        <v>1340.0</v>
      </c>
      <c r="E36" s="406">
        <v>1800.0</v>
      </c>
      <c r="F36" s="407">
        <f t="shared" ref="F36:G36" si="42">D36</f>
        <v>1340</v>
      </c>
      <c r="G36" s="408">
        <f t="shared" si="42"/>
        <v>1800</v>
      </c>
      <c r="H36" s="407"/>
      <c r="I36" s="408"/>
      <c r="J36" s="407"/>
      <c r="K36" s="408"/>
      <c r="L36" s="407"/>
      <c r="M36" s="408"/>
      <c r="N36" s="409">
        <v>1800.0</v>
      </c>
      <c r="O36" s="401"/>
      <c r="P36" s="10"/>
      <c r="Q36" s="10"/>
      <c r="R36" s="402"/>
      <c r="S36" s="402"/>
      <c r="T36" s="402"/>
      <c r="U36" s="402"/>
      <c r="V36" s="402"/>
      <c r="W36" s="10"/>
      <c r="X36" s="239"/>
      <c r="Y36" s="315"/>
      <c r="Z36" s="425"/>
      <c r="AA36" s="10"/>
      <c r="AB36" s="448"/>
      <c r="AC36" s="239"/>
      <c r="AE36" s="214"/>
      <c r="AF36" s="220"/>
      <c r="AG36" s="219"/>
      <c r="AH36" s="265" t="s">
        <v>174</v>
      </c>
      <c r="AI36" s="266" t="s">
        <v>110</v>
      </c>
      <c r="AJ36" s="267" t="s">
        <v>175</v>
      </c>
      <c r="AK36" s="461">
        <v>0.5</v>
      </c>
    </row>
    <row r="37">
      <c r="A37" s="214"/>
      <c r="B37" s="222"/>
      <c r="C37" s="462" t="str">
        <f>IF(B36, "Wall Rebuild", "Unlock Wall (500M ¢)")</f>
        <v>Wall Rebuild</v>
      </c>
      <c r="D37" s="463">
        <v>250.0</v>
      </c>
      <c r="E37" s="464">
        <v>300.0</v>
      </c>
      <c r="F37" s="465">
        <f t="shared" ref="F37:G37" si="43">D37</f>
        <v>250</v>
      </c>
      <c r="G37" s="466">
        <f t="shared" si="43"/>
        <v>300</v>
      </c>
      <c r="H37" s="465"/>
      <c r="I37" s="466"/>
      <c r="J37" s="465"/>
      <c r="K37" s="466"/>
      <c r="L37" s="465"/>
      <c r="M37" s="466"/>
      <c r="N37" s="467">
        <v>300.0</v>
      </c>
      <c r="O37" s="401"/>
      <c r="P37" s="10"/>
      <c r="Q37" s="10"/>
      <c r="R37" s="402"/>
      <c r="S37" s="402"/>
      <c r="T37" s="402"/>
      <c r="U37" s="402"/>
      <c r="V37" s="402"/>
      <c r="W37" s="10"/>
      <c r="X37" s="239"/>
      <c r="Y37" s="315"/>
      <c r="Z37" s="425"/>
      <c r="AA37" s="10"/>
      <c r="AB37" s="448"/>
      <c r="AC37" s="239"/>
      <c r="AE37" s="214"/>
      <c r="AF37" s="272" t="s">
        <v>118</v>
      </c>
      <c r="AH37" s="273" t="s">
        <v>123</v>
      </c>
      <c r="AI37" s="266" t="s">
        <v>110</v>
      </c>
      <c r="AJ37" s="267" t="s">
        <v>176</v>
      </c>
      <c r="AK37" s="461">
        <v>0.06</v>
      </c>
    </row>
    <row r="38">
      <c r="A38" s="214"/>
      <c r="B38" s="468" t="b">
        <v>1</v>
      </c>
      <c r="C38" s="469" t="str">
        <f>IF(B38, "Cash Bonus", "Unlock Cash Bonuses (40 ¢)")</f>
        <v>Cash Bonus</v>
      </c>
      <c r="D38" s="470">
        <v>149.0</v>
      </c>
      <c r="E38" s="471">
        <v>149.0</v>
      </c>
      <c r="F38" s="472">
        <f t="shared" ref="F38:G38" si="44">D38</f>
        <v>149</v>
      </c>
      <c r="G38" s="473">
        <f t="shared" si="44"/>
        <v>149</v>
      </c>
      <c r="H38" s="472"/>
      <c r="I38" s="473"/>
      <c r="J38" s="472"/>
      <c r="K38" s="473"/>
      <c r="L38" s="472"/>
      <c r="M38" s="473"/>
      <c r="N38" s="474">
        <v>149.0</v>
      </c>
      <c r="O38" s="401"/>
      <c r="P38" s="10"/>
      <c r="Q38" s="10"/>
      <c r="R38" s="402"/>
      <c r="S38" s="402"/>
      <c r="T38" s="402"/>
      <c r="U38" s="402"/>
      <c r="V38" s="402"/>
      <c r="W38" s="10"/>
      <c r="X38" s="239"/>
      <c r="Y38" s="315"/>
      <c r="Z38" s="425"/>
      <c r="AA38" s="10"/>
      <c r="AB38" s="448"/>
      <c r="AC38" s="239"/>
      <c r="AE38" s="214"/>
      <c r="AF38" s="475" t="s">
        <v>125</v>
      </c>
      <c r="AG38" s="476" t="str">
        <f>IDS_MOD_GENERATOR_NAME(AG35)</f>
        <v>Singularity Harness</v>
      </c>
      <c r="AH38" s="265" t="s">
        <v>116</v>
      </c>
      <c r="AI38" s="266" t="s">
        <v>120</v>
      </c>
      <c r="AJ38" s="267" t="s">
        <v>161</v>
      </c>
      <c r="AK38" s="461">
        <v>0.08</v>
      </c>
    </row>
    <row r="39">
      <c r="A39" s="214"/>
      <c r="B39" s="274"/>
      <c r="C39" s="469" t="str">
        <f>IF(B38, "Cash / Wave", "Unlock Cash Bonuses (40 ¢)")</f>
        <v>Cash / Wave</v>
      </c>
      <c r="D39" s="477">
        <v>149.0</v>
      </c>
      <c r="E39" s="478">
        <v>149.0</v>
      </c>
      <c r="F39" s="479">
        <f t="shared" ref="F39:G39" si="45">D39</f>
        <v>149</v>
      </c>
      <c r="G39" s="480">
        <f t="shared" si="45"/>
        <v>149</v>
      </c>
      <c r="H39" s="479"/>
      <c r="I39" s="480"/>
      <c r="J39" s="479"/>
      <c r="K39" s="480"/>
      <c r="L39" s="479"/>
      <c r="M39" s="480"/>
      <c r="N39" s="474">
        <v>149.0</v>
      </c>
      <c r="O39" s="401"/>
      <c r="P39" s="10"/>
      <c r="Q39" s="10"/>
      <c r="R39" s="402"/>
      <c r="S39" s="402"/>
      <c r="T39" s="402"/>
      <c r="U39" s="402"/>
      <c r="V39" s="402"/>
      <c r="W39" s="10"/>
      <c r="X39" s="239"/>
      <c r="Y39" s="315"/>
      <c r="Z39" s="425"/>
      <c r="AA39" s="10"/>
      <c r="AB39" s="448"/>
      <c r="AC39" s="239"/>
      <c r="AE39" s="214"/>
      <c r="AF39" s="481" t="s">
        <v>100</v>
      </c>
      <c r="AG39" s="482" t="str">
        <f>IDS_MOD_GENERATOR_RARITY(AG38)</f>
        <v>Ancestral</v>
      </c>
      <c r="AH39" s="265" t="s">
        <v>177</v>
      </c>
      <c r="AI39" s="266" t="s">
        <v>110</v>
      </c>
      <c r="AJ39" s="267" t="s">
        <v>178</v>
      </c>
      <c r="AK39" s="461">
        <v>0.11</v>
      </c>
    </row>
    <row r="40">
      <c r="A40" s="483"/>
      <c r="B40" s="484" t="b">
        <v>1</v>
      </c>
      <c r="C40" s="485" t="str">
        <f>IF(B40, "Coin / Kill Bonus", "Unlock Coin Bonuses (100 ¢)")</f>
        <v>Coin / Kill Bonus</v>
      </c>
      <c r="D40" s="470">
        <v>149.0</v>
      </c>
      <c r="E40" s="471">
        <v>149.0</v>
      </c>
      <c r="F40" s="472">
        <f t="shared" ref="F40:G40" si="46">D40</f>
        <v>149</v>
      </c>
      <c r="G40" s="473">
        <f t="shared" si="46"/>
        <v>149</v>
      </c>
      <c r="H40" s="472"/>
      <c r="I40" s="473"/>
      <c r="J40" s="472"/>
      <c r="K40" s="473"/>
      <c r="L40" s="472"/>
      <c r="M40" s="473"/>
      <c r="N40" s="486">
        <v>149.0</v>
      </c>
      <c r="O40" s="487"/>
      <c r="P40" s="10"/>
      <c r="Q40" s="10"/>
      <c r="R40" s="402"/>
      <c r="S40" s="402"/>
      <c r="T40" s="402"/>
      <c r="U40" s="402"/>
      <c r="V40" s="402"/>
      <c r="W40" s="10"/>
      <c r="X40" s="488"/>
      <c r="Y40" s="315"/>
      <c r="Z40" s="425"/>
      <c r="AA40" s="10"/>
      <c r="AB40" s="448"/>
      <c r="AC40" s="239"/>
      <c r="AE40" s="214"/>
      <c r="AF40" s="481" t="s">
        <v>94</v>
      </c>
      <c r="AG40" s="482">
        <f>IDS_MOD_GENERATOR_LEVEL(AG38)</f>
        <v>161</v>
      </c>
      <c r="AH40" s="265"/>
      <c r="AI40" s="266"/>
      <c r="AJ40" s="267"/>
      <c r="AK40" s="461" t="s">
        <v>133</v>
      </c>
    </row>
    <row r="41">
      <c r="A41" s="489"/>
      <c r="B41" s="274"/>
      <c r="C41" s="469" t="str">
        <f>IF(B40, "Coin / Wave", "Unlock Coin Bonuses (100 ¢)")</f>
        <v>Coin / Wave</v>
      </c>
      <c r="D41" s="477">
        <v>149.0</v>
      </c>
      <c r="E41" s="478">
        <v>149.0</v>
      </c>
      <c r="F41" s="479">
        <f t="shared" ref="F41:G41" si="47">D41</f>
        <v>149</v>
      </c>
      <c r="G41" s="480">
        <f t="shared" si="47"/>
        <v>149</v>
      </c>
      <c r="H41" s="479"/>
      <c r="I41" s="480"/>
      <c r="J41" s="479"/>
      <c r="K41" s="480"/>
      <c r="L41" s="479"/>
      <c r="M41" s="480"/>
      <c r="N41" s="474">
        <v>149.0</v>
      </c>
      <c r="O41" s="490"/>
      <c r="P41" s="10"/>
      <c r="Q41" s="10"/>
      <c r="R41" s="402"/>
      <c r="S41" s="402"/>
      <c r="T41" s="402"/>
      <c r="U41" s="402"/>
      <c r="V41" s="402"/>
      <c r="W41" s="10"/>
      <c r="X41" s="448"/>
      <c r="Y41" s="315"/>
      <c r="Z41" s="425"/>
      <c r="AA41" s="10"/>
      <c r="AB41" s="448"/>
      <c r="AC41" s="491"/>
      <c r="AE41" s="214"/>
      <c r="AF41" s="492" t="s">
        <v>134</v>
      </c>
      <c r="AG41" s="493">
        <f>OFFSET('_IDS'!$BN$29, MATCH(AG38, '_IDS'!$BL$27:$BL66, 0)-1, 0, 1, 1)</f>
        <v>1.68</v>
      </c>
      <c r="AH41" s="265"/>
      <c r="AI41" s="266"/>
      <c r="AJ41" s="267"/>
      <c r="AK41" s="461" t="s">
        <v>133</v>
      </c>
    </row>
    <row r="42">
      <c r="A42" s="489"/>
      <c r="B42" s="484" t="b">
        <v>1</v>
      </c>
      <c r="C42" s="485" t="str">
        <f>IF(B42, "Free Attack Upgrade", "Unlock Upgrade Chances (800 ¢)")</f>
        <v>Free Attack Upgrade</v>
      </c>
      <c r="D42" s="470">
        <v>99.0</v>
      </c>
      <c r="E42" s="471">
        <v>99.0</v>
      </c>
      <c r="F42" s="472">
        <f t="shared" ref="F42:G42" si="48">D42</f>
        <v>99</v>
      </c>
      <c r="G42" s="494">
        <f t="shared" si="48"/>
        <v>99</v>
      </c>
      <c r="H42" s="472"/>
      <c r="I42" s="494"/>
      <c r="J42" s="472"/>
      <c r="K42" s="494"/>
      <c r="L42" s="472"/>
      <c r="M42" s="494"/>
      <c r="N42" s="486">
        <v>99.0</v>
      </c>
      <c r="O42" s="490"/>
      <c r="P42" s="10"/>
      <c r="Q42" s="10"/>
      <c r="R42" s="402"/>
      <c r="S42" s="402"/>
      <c r="T42" s="402"/>
      <c r="U42" s="402"/>
      <c r="V42" s="402"/>
      <c r="W42" s="10"/>
      <c r="X42" s="448"/>
      <c r="Y42" s="315"/>
      <c r="Z42" s="425"/>
      <c r="AA42" s="10"/>
      <c r="AB42" s="448"/>
      <c r="AC42" s="491"/>
      <c r="AE42" s="214"/>
      <c r="AF42" s="326"/>
      <c r="AG42" s="326"/>
      <c r="AH42" s="327"/>
      <c r="AI42" s="328"/>
      <c r="AJ42" s="329"/>
      <c r="AK42" s="461" t="s">
        <v>133</v>
      </c>
    </row>
    <row r="43">
      <c r="A43" s="495"/>
      <c r="B43" s="214"/>
      <c r="C43" s="469" t="str">
        <f>IF(B42, "Free Defense Upgrade", "Unlock Upgrade Chances (800 ¢)")</f>
        <v>Free Defense Upgrade</v>
      </c>
      <c r="D43" s="477">
        <v>99.0</v>
      </c>
      <c r="E43" s="478">
        <v>99.0</v>
      </c>
      <c r="F43" s="479">
        <f t="shared" ref="F43:G43" si="49">D43</f>
        <v>99</v>
      </c>
      <c r="G43" s="496">
        <f t="shared" si="49"/>
        <v>99</v>
      </c>
      <c r="H43" s="479"/>
      <c r="I43" s="496"/>
      <c r="J43" s="479"/>
      <c r="K43" s="496"/>
      <c r="L43" s="479"/>
      <c r="M43" s="496"/>
      <c r="N43" s="474">
        <v>99.0</v>
      </c>
      <c r="O43" s="490"/>
      <c r="P43" s="10"/>
      <c r="Q43" s="10"/>
      <c r="R43" s="402"/>
      <c r="S43" s="402"/>
      <c r="T43" s="402"/>
      <c r="U43" s="402"/>
      <c r="V43" s="402"/>
      <c r="W43" s="10"/>
      <c r="X43" s="448"/>
      <c r="Y43" s="315"/>
      <c r="Z43" s="425"/>
      <c r="AA43" s="10"/>
      <c r="AB43" s="448"/>
      <c r="AC43" s="491"/>
      <c r="AE43" s="214"/>
      <c r="AF43" s="333" t="s">
        <v>139</v>
      </c>
      <c r="AH43" s="334" t="str">
        <f>IDS_MOD_GENERATOR_SUBSTATS(AG44)</f>
        <v>Free Utility Upgrade</v>
      </c>
      <c r="AI43" s="249" t="s">
        <v>120</v>
      </c>
      <c r="AJ43" s="335" t="s">
        <v>179</v>
      </c>
      <c r="AK43" s="461">
        <v>0.12</v>
      </c>
    </row>
    <row r="44">
      <c r="A44" s="495"/>
      <c r="B44" s="274"/>
      <c r="C44" s="469" t="str">
        <f>IF(B42, "Free Utility Upgrade", "Unlock Upgrade Chances (800 ¢)")</f>
        <v>Free Utility Upgrade</v>
      </c>
      <c r="D44" s="477">
        <v>99.0</v>
      </c>
      <c r="E44" s="478">
        <v>99.0</v>
      </c>
      <c r="F44" s="479">
        <f t="shared" ref="F44:G44" si="50">D44</f>
        <v>99</v>
      </c>
      <c r="G44" s="496">
        <f t="shared" si="50"/>
        <v>99</v>
      </c>
      <c r="H44" s="479"/>
      <c r="I44" s="496"/>
      <c r="J44" s="479"/>
      <c r="K44" s="496"/>
      <c r="L44" s="479"/>
      <c r="M44" s="496"/>
      <c r="N44" s="474">
        <v>99.0</v>
      </c>
      <c r="O44" s="490"/>
      <c r="P44" s="10"/>
      <c r="Q44" s="10"/>
      <c r="R44" s="402"/>
      <c r="S44" s="402"/>
      <c r="T44" s="402"/>
      <c r="U44" s="402"/>
      <c r="V44" s="402"/>
      <c r="W44" s="10"/>
      <c r="X44" s="448"/>
      <c r="Y44" s="315"/>
      <c r="Z44" s="425"/>
      <c r="AA44" s="10"/>
      <c r="AB44" s="448"/>
      <c r="AC44" s="491"/>
      <c r="AE44" s="214"/>
      <c r="AF44" s="497" t="s">
        <v>125</v>
      </c>
      <c r="AG44" s="498" t="str">
        <f>IDS_MOD_GENERATOR_ASSIST_NAME(AG35)</f>
        <v>Pulsar Harvester</v>
      </c>
      <c r="AH44" s="343" t="s">
        <v>116</v>
      </c>
      <c r="AI44" s="266" t="s">
        <v>120</v>
      </c>
      <c r="AJ44" s="344" t="s">
        <v>161</v>
      </c>
      <c r="AK44" s="461">
        <v>0.08</v>
      </c>
    </row>
    <row r="45">
      <c r="A45" s="495"/>
      <c r="B45" s="499" t="b">
        <v>1</v>
      </c>
      <c r="C45" s="485" t="str">
        <f>IF(B45, "Interest / Wave", "Unlock Interest / Wave (5K ¢)")</f>
        <v>Interest / Wave</v>
      </c>
      <c r="D45" s="470">
        <v>99.0</v>
      </c>
      <c r="E45" s="471">
        <v>99.0</v>
      </c>
      <c r="F45" s="472">
        <f t="shared" ref="F45:G45" si="51">D45</f>
        <v>99</v>
      </c>
      <c r="G45" s="494">
        <f t="shared" si="51"/>
        <v>99</v>
      </c>
      <c r="H45" s="472"/>
      <c r="I45" s="494"/>
      <c r="J45" s="472"/>
      <c r="K45" s="494"/>
      <c r="L45" s="472"/>
      <c r="M45" s="494"/>
      <c r="N45" s="486">
        <v>99.0</v>
      </c>
      <c r="O45" s="490"/>
      <c r="P45" s="10"/>
      <c r="Q45" s="10"/>
      <c r="R45" s="402"/>
      <c r="S45" s="402"/>
      <c r="T45" s="402"/>
      <c r="U45" s="402"/>
      <c r="V45" s="402"/>
      <c r="W45" s="10"/>
      <c r="X45" s="448"/>
      <c r="Y45" s="315"/>
      <c r="Z45" s="425"/>
      <c r="AA45" s="10"/>
      <c r="AB45" s="448"/>
      <c r="AC45" s="491"/>
      <c r="AE45" s="214"/>
      <c r="AF45" s="500" t="s">
        <v>100</v>
      </c>
      <c r="AG45" s="501" t="str">
        <f>IDS_MOD_GENERATOR_RARITY(AG44)</f>
        <v>Ancestral 1*</v>
      </c>
      <c r="AH45" s="343" t="s">
        <v>174</v>
      </c>
      <c r="AI45" s="266" t="s">
        <v>120</v>
      </c>
      <c r="AJ45" s="344" t="s">
        <v>180</v>
      </c>
      <c r="AK45" s="461">
        <v>0.6</v>
      </c>
    </row>
    <row r="46">
      <c r="A46" s="495"/>
      <c r="B46" s="484" t="b">
        <v>1</v>
      </c>
      <c r="C46" s="485" t="str">
        <f>IF(B46, "Recovery Amount", "Unlock Recovery Packages (1.5M ¢)")</f>
        <v>Recovery Amount</v>
      </c>
      <c r="D46" s="470">
        <v>300.0</v>
      </c>
      <c r="E46" s="471">
        <v>300.0</v>
      </c>
      <c r="F46" s="472">
        <f t="shared" ref="F46:G46" si="52">D46</f>
        <v>300</v>
      </c>
      <c r="G46" s="494">
        <f t="shared" si="52"/>
        <v>300</v>
      </c>
      <c r="H46" s="472"/>
      <c r="I46" s="494"/>
      <c r="J46" s="472"/>
      <c r="K46" s="494"/>
      <c r="L46" s="472"/>
      <c r="M46" s="494"/>
      <c r="N46" s="486">
        <v>300.0</v>
      </c>
      <c r="O46" s="490"/>
      <c r="P46" s="10"/>
      <c r="Q46" s="10"/>
      <c r="R46" s="402"/>
      <c r="S46" s="402"/>
      <c r="T46" s="402"/>
      <c r="U46" s="402"/>
      <c r="V46" s="402"/>
      <c r="W46" s="10"/>
      <c r="X46" s="448"/>
      <c r="Y46" s="315"/>
      <c r="Z46" s="425"/>
      <c r="AA46" s="10"/>
      <c r="AB46" s="448"/>
      <c r="AC46" s="491"/>
      <c r="AE46" s="214"/>
      <c r="AF46" s="500" t="s">
        <v>94</v>
      </c>
      <c r="AG46" s="501">
        <f>IDS_MOD_GENERATOR_ASSIST_LEVEL()</f>
        <v>97</v>
      </c>
      <c r="AH46" s="343" t="s">
        <v>123</v>
      </c>
      <c r="AI46" s="266" t="s">
        <v>120</v>
      </c>
      <c r="AJ46" s="344" t="s">
        <v>161</v>
      </c>
      <c r="AK46" s="502">
        <v>0.08</v>
      </c>
    </row>
    <row r="47">
      <c r="A47" s="495"/>
      <c r="B47" s="214"/>
      <c r="C47" s="469" t="str">
        <f>IF(B46, "Max Amount", "Unlock Recovery Packages (1.5M ¢)")</f>
        <v>Max Amount</v>
      </c>
      <c r="D47" s="503">
        <v>300.0</v>
      </c>
      <c r="E47" s="504">
        <v>500.0</v>
      </c>
      <c r="F47" s="505">
        <f t="shared" ref="F47:G47" si="53">D47</f>
        <v>300</v>
      </c>
      <c r="G47" s="506">
        <f t="shared" si="53"/>
        <v>500</v>
      </c>
      <c r="H47" s="505"/>
      <c r="I47" s="506"/>
      <c r="J47" s="505"/>
      <c r="K47" s="506"/>
      <c r="L47" s="505"/>
      <c r="M47" s="506"/>
      <c r="N47" s="474">
        <v>500.0</v>
      </c>
      <c r="O47" s="490"/>
      <c r="P47" s="10"/>
      <c r="Q47" s="10"/>
      <c r="R47" s="402"/>
      <c r="S47" s="402"/>
      <c r="T47" s="402"/>
      <c r="U47" s="402"/>
      <c r="V47" s="402"/>
      <c r="W47" s="10"/>
      <c r="X47" s="448"/>
      <c r="Y47" s="315"/>
      <c r="Z47" s="425"/>
      <c r="AA47" s="10"/>
      <c r="AB47" s="448"/>
      <c r="AC47" s="491"/>
      <c r="AE47" s="214"/>
      <c r="AF47" s="507" t="s">
        <v>146</v>
      </c>
      <c r="AG47" s="508" t="str">
        <f>'_IDS'!$BM$3</f>
        <v>Epic</v>
      </c>
      <c r="AH47" s="343" t="s">
        <v>177</v>
      </c>
      <c r="AI47" s="266" t="s">
        <v>169</v>
      </c>
      <c r="AJ47" s="344" t="s">
        <v>181</v>
      </c>
      <c r="AK47" s="502">
        <v>0.05</v>
      </c>
    </row>
    <row r="48">
      <c r="A48" s="495"/>
      <c r="B48" s="274"/>
      <c r="C48" s="469" t="str">
        <f>IF(B46, "Package Chance", "Unlock Recovery Packages (1.5M ¢)")</f>
        <v>Package Chance</v>
      </c>
      <c r="D48" s="477">
        <v>60.0</v>
      </c>
      <c r="E48" s="478">
        <v>60.0</v>
      </c>
      <c r="F48" s="479">
        <f t="shared" ref="F48:G48" si="54">D48</f>
        <v>60</v>
      </c>
      <c r="G48" s="496">
        <f t="shared" si="54"/>
        <v>60</v>
      </c>
      <c r="H48" s="479"/>
      <c r="I48" s="496"/>
      <c r="J48" s="479"/>
      <c r="K48" s="496"/>
      <c r="L48" s="479"/>
      <c r="M48" s="496"/>
      <c r="N48" s="474">
        <v>60.0</v>
      </c>
      <c r="O48" s="490"/>
      <c r="P48" s="10"/>
      <c r="Q48" s="10"/>
      <c r="R48" s="402"/>
      <c r="S48" s="402"/>
      <c r="T48" s="402"/>
      <c r="U48" s="402"/>
      <c r="V48" s="402"/>
      <c r="W48" s="10"/>
      <c r="X48" s="448"/>
      <c r="Y48" s="315"/>
      <c r="Z48" s="425"/>
      <c r="AA48" s="10"/>
      <c r="AB48" s="448"/>
      <c r="AC48" s="491"/>
      <c r="AE48" s="214"/>
      <c r="AF48" s="507" t="s">
        <v>148</v>
      </c>
      <c r="AG48" s="509">
        <f>'_IDS'!$BM$4</f>
        <v>0.1</v>
      </c>
      <c r="AH48" s="343"/>
      <c r="AI48" s="266"/>
      <c r="AJ48" s="344"/>
      <c r="AK48" s="502" t="s">
        <v>133</v>
      </c>
    </row>
    <row r="49">
      <c r="A49" s="495"/>
      <c r="B49" s="484" t="b">
        <v>1</v>
      </c>
      <c r="C49" s="485" t="str">
        <f>IF(B49, "Enemy Attack Level Skip", "Unlock Enemy Level Skips (1B ¢)")</f>
        <v>Enemy Attack Level Skip</v>
      </c>
      <c r="D49" s="470">
        <v>330.0</v>
      </c>
      <c r="E49" s="471">
        <v>699.0</v>
      </c>
      <c r="F49" s="472">
        <f t="shared" ref="F49:G49" si="55">D49</f>
        <v>330</v>
      </c>
      <c r="G49" s="494">
        <f t="shared" si="55"/>
        <v>699</v>
      </c>
      <c r="H49" s="472"/>
      <c r="I49" s="494"/>
      <c r="J49" s="472"/>
      <c r="K49" s="494"/>
      <c r="L49" s="472"/>
      <c r="M49" s="494"/>
      <c r="N49" s="486">
        <v>699.0</v>
      </c>
      <c r="O49" s="490"/>
      <c r="P49" s="10"/>
      <c r="Q49" s="10"/>
      <c r="R49" s="402"/>
      <c r="S49" s="402"/>
      <c r="T49" s="402"/>
      <c r="U49" s="402"/>
      <c r="V49" s="402"/>
      <c r="W49" s="10"/>
      <c r="X49" s="448"/>
      <c r="Y49" s="315"/>
      <c r="Z49" s="425"/>
      <c r="AA49" s="10"/>
      <c r="AB49" s="448"/>
      <c r="AC49" s="491"/>
      <c r="AE49" s="214"/>
      <c r="AF49" s="510" t="s">
        <v>150</v>
      </c>
      <c r="AG49" s="511">
        <f>'_IDS'!$BM$5</f>
        <v>0.1</v>
      </c>
      <c r="AH49" s="343"/>
      <c r="AI49" s="266"/>
      <c r="AJ49" s="344"/>
      <c r="AK49" s="502" t="s">
        <v>133</v>
      </c>
    </row>
    <row r="50">
      <c r="A50" s="512"/>
      <c r="B50" s="222"/>
      <c r="C50" s="513" t="str">
        <f>IF(B49, "Enemy Health Level Skip", "Unlock Enemy Level Skips (1B ¢)")</f>
        <v>Enemy Health Level Skip</v>
      </c>
      <c r="D50" s="514">
        <v>320.0</v>
      </c>
      <c r="E50" s="515">
        <v>699.0</v>
      </c>
      <c r="F50" s="516">
        <f t="shared" ref="F50:G50" si="56">D50</f>
        <v>320</v>
      </c>
      <c r="G50" s="517">
        <f t="shared" si="56"/>
        <v>699</v>
      </c>
      <c r="H50" s="516"/>
      <c r="I50" s="517"/>
      <c r="J50" s="516"/>
      <c r="K50" s="517"/>
      <c r="L50" s="516"/>
      <c r="M50" s="517"/>
      <c r="N50" s="518">
        <v>699.0</v>
      </c>
      <c r="O50" s="519"/>
      <c r="P50" s="10"/>
      <c r="Q50" s="10"/>
      <c r="R50" s="402"/>
      <c r="S50" s="402"/>
      <c r="T50" s="402"/>
      <c r="U50" s="402"/>
      <c r="V50" s="402"/>
      <c r="W50" s="10"/>
      <c r="X50" s="520"/>
      <c r="Y50" s="315"/>
      <c r="Z50" s="425"/>
      <c r="AA50" s="10"/>
      <c r="AB50" s="520"/>
      <c r="AC50" s="491"/>
      <c r="AE50" s="222"/>
      <c r="AF50" s="10"/>
      <c r="AG50" s="10"/>
      <c r="AH50" s="378"/>
      <c r="AI50" s="328"/>
      <c r="AJ50" s="379"/>
      <c r="AK50" s="502" t="s">
        <v>133</v>
      </c>
    </row>
    <row r="51">
      <c r="A51" s="491"/>
      <c r="B51" s="521"/>
      <c r="C51" s="522"/>
      <c r="D51" s="523"/>
      <c r="E51" s="523"/>
      <c r="F51" s="523"/>
      <c r="G51" s="523"/>
      <c r="H51" s="523"/>
      <c r="I51" s="523"/>
      <c r="J51" s="523"/>
      <c r="K51" s="523"/>
      <c r="L51" s="523"/>
      <c r="M51" s="523"/>
      <c r="N51" s="524"/>
      <c r="O51" s="491"/>
      <c r="P51" s="10"/>
      <c r="Q51" s="10"/>
      <c r="R51" s="402"/>
      <c r="S51" s="402"/>
      <c r="T51" s="402"/>
      <c r="U51" s="402"/>
      <c r="V51" s="402"/>
      <c r="W51" s="10"/>
      <c r="X51" s="491"/>
      <c r="Y51" s="315"/>
      <c r="Z51" s="425"/>
      <c r="AA51" s="10"/>
      <c r="AB51" s="491"/>
      <c r="AC51" s="491"/>
      <c r="AE51" s="525" t="s">
        <v>182</v>
      </c>
      <c r="AF51" s="526" t="s">
        <v>109</v>
      </c>
      <c r="AG51" s="527" t="s">
        <v>87</v>
      </c>
      <c r="AH51" s="248" t="str">
        <f>IDS_MOD_CORE_SUBSTATS(AG54)</f>
        <v>Black Hole - Duration</v>
      </c>
      <c r="AI51" s="249" t="s">
        <v>120</v>
      </c>
      <c r="AJ51" s="250" t="s">
        <v>183</v>
      </c>
      <c r="AK51" s="502">
        <v>4.0</v>
      </c>
    </row>
    <row r="52">
      <c r="A52" s="491"/>
      <c r="B52" s="10"/>
      <c r="C52" s="10"/>
      <c r="D52" s="10"/>
      <c r="E52" s="10"/>
      <c r="F52" s="10"/>
      <c r="G52" s="10"/>
      <c r="H52" s="10"/>
      <c r="I52" s="10"/>
      <c r="J52" s="10"/>
      <c r="K52" s="10"/>
      <c r="L52" s="10"/>
      <c r="M52" s="10"/>
      <c r="N52" s="10"/>
      <c r="O52" s="491"/>
      <c r="P52" s="10"/>
      <c r="Q52" s="10"/>
      <c r="R52" s="402"/>
      <c r="S52" s="402"/>
      <c r="T52" s="402"/>
      <c r="U52" s="402"/>
      <c r="V52" s="402"/>
      <c r="W52" s="10"/>
      <c r="X52" s="491"/>
      <c r="Y52" s="315"/>
      <c r="Z52" s="425"/>
      <c r="AA52" s="10"/>
      <c r="AB52" s="491"/>
      <c r="AC52" s="491"/>
      <c r="AE52" s="214"/>
      <c r="AF52" s="220"/>
      <c r="AG52" s="219"/>
      <c r="AH52" s="265" t="s">
        <v>184</v>
      </c>
      <c r="AI52" s="266" t="s">
        <v>120</v>
      </c>
      <c r="AJ52" s="267" t="s">
        <v>185</v>
      </c>
      <c r="AK52" s="502">
        <v>-4.0</v>
      </c>
    </row>
    <row r="53">
      <c r="A53" s="491"/>
      <c r="B53" s="10"/>
      <c r="C53" s="10"/>
      <c r="D53" s="10"/>
      <c r="E53" s="10"/>
      <c r="F53" s="10"/>
      <c r="G53" s="10"/>
      <c r="H53" s="10"/>
      <c r="I53" s="10"/>
      <c r="J53" s="10"/>
      <c r="K53" s="10"/>
      <c r="L53" s="10"/>
      <c r="M53" s="10"/>
      <c r="N53" s="10"/>
      <c r="O53" s="491"/>
      <c r="P53" s="10"/>
      <c r="Q53" s="10"/>
      <c r="R53" s="402"/>
      <c r="S53" s="402"/>
      <c r="T53" s="402"/>
      <c r="U53" s="402"/>
      <c r="V53" s="402"/>
      <c r="W53" s="10"/>
      <c r="X53" s="491"/>
      <c r="Y53" s="315"/>
      <c r="Z53" s="425"/>
      <c r="AA53" s="10"/>
      <c r="AB53" s="491"/>
      <c r="AC53" s="491"/>
      <c r="AE53" s="214"/>
      <c r="AF53" s="272" t="s">
        <v>118</v>
      </c>
      <c r="AH53" s="273" t="s">
        <v>186</v>
      </c>
      <c r="AI53" s="266" t="s">
        <v>110</v>
      </c>
      <c r="AJ53" s="267" t="s">
        <v>187</v>
      </c>
      <c r="AK53" s="502">
        <v>2.0</v>
      </c>
    </row>
    <row r="54">
      <c r="A54" s="491"/>
      <c r="B54" s="10"/>
      <c r="C54" s="10"/>
      <c r="D54" s="10"/>
      <c r="E54" s="10"/>
      <c r="F54" s="10"/>
      <c r="G54" s="10"/>
      <c r="H54" s="10"/>
      <c r="I54" s="10"/>
      <c r="J54" s="10"/>
      <c r="K54" s="10"/>
      <c r="L54" s="10"/>
      <c r="M54" s="10"/>
      <c r="N54" s="10"/>
      <c r="O54" s="491"/>
      <c r="P54" s="10"/>
      <c r="Q54" s="10"/>
      <c r="R54" s="402"/>
      <c r="S54" s="402"/>
      <c r="T54" s="402"/>
      <c r="U54" s="402"/>
      <c r="V54" s="402"/>
      <c r="W54" s="10"/>
      <c r="X54" s="491"/>
      <c r="Y54" s="315"/>
      <c r="Z54" s="425"/>
      <c r="AA54" s="10"/>
      <c r="AB54" s="491"/>
      <c r="AC54" s="491"/>
      <c r="AE54" s="214"/>
      <c r="AF54" s="528" t="s">
        <v>125</v>
      </c>
      <c r="AG54" s="529" t="str">
        <f>IDS_MOD_CORE_NAME(AG51)</f>
        <v>Primordial Collapse</v>
      </c>
      <c r="AH54" s="265" t="s">
        <v>188</v>
      </c>
      <c r="AI54" s="266" t="s">
        <v>120</v>
      </c>
      <c r="AJ54" s="267" t="s">
        <v>189</v>
      </c>
      <c r="AK54" s="502">
        <v>15.0</v>
      </c>
    </row>
    <row r="55">
      <c r="A55" s="491"/>
      <c r="B55" s="10"/>
      <c r="C55" s="10"/>
      <c r="D55" s="10"/>
      <c r="E55" s="10"/>
      <c r="F55" s="10"/>
      <c r="G55" s="10"/>
      <c r="H55" s="10"/>
      <c r="I55" s="10"/>
      <c r="J55" s="10"/>
      <c r="K55" s="10"/>
      <c r="L55" s="10"/>
      <c r="M55" s="10"/>
      <c r="N55" s="10"/>
      <c r="O55" s="491"/>
      <c r="P55" s="10"/>
      <c r="Q55" s="10"/>
      <c r="R55" s="402"/>
      <c r="S55" s="402"/>
      <c r="T55" s="402"/>
      <c r="U55" s="402"/>
      <c r="V55" s="402"/>
      <c r="W55" s="10"/>
      <c r="X55" s="491"/>
      <c r="Y55" s="315"/>
      <c r="Z55" s="425"/>
      <c r="AA55" s="10"/>
      <c r="AB55" s="491"/>
      <c r="AC55" s="491"/>
      <c r="AE55" s="214"/>
      <c r="AF55" s="530" t="s">
        <v>100</v>
      </c>
      <c r="AG55" s="531" t="str">
        <f>IDS_MOD_CORE_RARITY(AG54)</f>
        <v>Ancestral 2*</v>
      </c>
      <c r="AH55" s="265"/>
      <c r="AI55" s="266"/>
      <c r="AJ55" s="267"/>
      <c r="AK55" s="502" t="s">
        <v>133</v>
      </c>
    </row>
    <row r="56">
      <c r="A56" s="491"/>
      <c r="B56" s="10"/>
      <c r="C56" s="10"/>
      <c r="D56" s="10"/>
      <c r="E56" s="10"/>
      <c r="F56" s="10"/>
      <c r="G56" s="10"/>
      <c r="H56" s="10"/>
      <c r="I56" s="10"/>
      <c r="J56" s="10"/>
      <c r="K56" s="10"/>
      <c r="L56" s="10"/>
      <c r="M56" s="10"/>
      <c r="N56" s="10"/>
      <c r="O56" s="491"/>
      <c r="P56" s="10"/>
      <c r="Q56" s="10"/>
      <c r="R56" s="402"/>
      <c r="S56" s="402"/>
      <c r="T56" s="402"/>
      <c r="U56" s="402"/>
      <c r="V56" s="402"/>
      <c r="W56" s="10"/>
      <c r="X56" s="491"/>
      <c r="Y56" s="315"/>
      <c r="Z56" s="425"/>
      <c r="AA56" s="10"/>
      <c r="AB56" s="491"/>
      <c r="AC56" s="491"/>
      <c r="AE56" s="214"/>
      <c r="AF56" s="530" t="s">
        <v>94</v>
      </c>
      <c r="AG56" s="531">
        <f>IDS_MOD_CORE_LEVEL(AG54)</f>
        <v>159</v>
      </c>
      <c r="AH56" s="265"/>
      <c r="AI56" s="266"/>
      <c r="AJ56" s="267"/>
      <c r="AK56" s="502" t="s">
        <v>133</v>
      </c>
    </row>
    <row r="57">
      <c r="A57" s="491"/>
      <c r="B57" s="10"/>
      <c r="C57" s="10"/>
      <c r="D57" s="10"/>
      <c r="E57" s="10"/>
      <c r="F57" s="10"/>
      <c r="G57" s="10"/>
      <c r="H57" s="10"/>
      <c r="I57" s="10"/>
      <c r="J57" s="10"/>
      <c r="K57" s="10"/>
      <c r="L57" s="10"/>
      <c r="M57" s="10"/>
      <c r="N57" s="10"/>
      <c r="O57" s="491"/>
      <c r="P57" s="10"/>
      <c r="Q57" s="10"/>
      <c r="R57" s="402"/>
      <c r="S57" s="402"/>
      <c r="T57" s="402"/>
      <c r="U57" s="402"/>
      <c r="V57" s="402"/>
      <c r="W57" s="10"/>
      <c r="X57" s="491"/>
      <c r="Y57" s="315"/>
      <c r="Z57" s="425"/>
      <c r="AA57" s="10"/>
      <c r="AB57" s="491"/>
      <c r="AC57" s="491"/>
      <c r="AE57" s="214"/>
      <c r="AF57" s="532" t="s">
        <v>134</v>
      </c>
      <c r="AG57" s="533">
        <f>OFFSET('_IDS'!$BS$29, MATCH(AG54, '_IDS'!$BQ$27:$BQ66, 0)-1, 0, 1, 1)</f>
        <v>11.692</v>
      </c>
      <c r="AH57" s="265"/>
      <c r="AI57" s="266"/>
      <c r="AJ57" s="267"/>
      <c r="AK57" s="502" t="s">
        <v>133</v>
      </c>
    </row>
    <row r="58">
      <c r="A58" s="491"/>
      <c r="B58" s="10"/>
      <c r="C58" s="10"/>
      <c r="D58" s="10"/>
      <c r="E58" s="10"/>
      <c r="F58" s="10"/>
      <c r="G58" s="10"/>
      <c r="H58" s="10"/>
      <c r="I58" s="10"/>
      <c r="J58" s="10"/>
      <c r="K58" s="10"/>
      <c r="L58" s="10"/>
      <c r="M58" s="10"/>
      <c r="N58" s="10"/>
      <c r="O58" s="491"/>
      <c r="P58" s="10"/>
      <c r="Q58" s="10"/>
      <c r="R58" s="402"/>
      <c r="S58" s="402"/>
      <c r="T58" s="402"/>
      <c r="U58" s="402"/>
      <c r="V58" s="402"/>
      <c r="W58" s="10"/>
      <c r="X58" s="491"/>
      <c r="Y58" s="315"/>
      <c r="Z58" s="425"/>
      <c r="AA58" s="10"/>
      <c r="AB58" s="491"/>
      <c r="AC58" s="491"/>
      <c r="AE58" s="214"/>
      <c r="AF58" s="326"/>
      <c r="AG58" s="326"/>
      <c r="AH58" s="327"/>
      <c r="AI58" s="328"/>
      <c r="AJ58" s="329"/>
      <c r="AK58" s="502" t="s">
        <v>133</v>
      </c>
    </row>
    <row r="59">
      <c r="A59" s="491"/>
      <c r="B59" s="10"/>
      <c r="C59" s="10"/>
      <c r="D59" s="10"/>
      <c r="E59" s="10"/>
      <c r="F59" s="10"/>
      <c r="G59" s="10"/>
      <c r="H59" s="10"/>
      <c r="I59" s="10"/>
      <c r="J59" s="10"/>
      <c r="K59" s="10"/>
      <c r="L59" s="10"/>
      <c r="M59" s="10"/>
      <c r="N59" s="10"/>
      <c r="O59" s="491"/>
      <c r="P59" s="10"/>
      <c r="Q59" s="10"/>
      <c r="R59" s="402"/>
      <c r="S59" s="402"/>
      <c r="T59" s="402"/>
      <c r="U59" s="402"/>
      <c r="V59" s="402"/>
      <c r="W59" s="10"/>
      <c r="X59" s="491"/>
      <c r="Y59" s="315"/>
      <c r="Z59" s="425"/>
      <c r="AA59" s="10"/>
      <c r="AB59" s="491"/>
      <c r="AC59" s="491"/>
      <c r="AE59" s="214"/>
      <c r="AF59" s="333" t="s">
        <v>139</v>
      </c>
      <c r="AH59" s="334" t="str">
        <f>IDS_MOD_CORE_SUBSTATS(AG60)</f>
        <v>Chain Lightning - Chance</v>
      </c>
      <c r="AI59" s="249" t="s">
        <v>110</v>
      </c>
      <c r="AJ59" s="335" t="s">
        <v>179</v>
      </c>
      <c r="AK59" s="502">
        <v>0.12</v>
      </c>
    </row>
    <row r="60">
      <c r="A60" s="491"/>
      <c r="B60" s="10"/>
      <c r="C60" s="10"/>
      <c r="D60" s="10"/>
      <c r="E60" s="10"/>
      <c r="F60" s="10"/>
      <c r="G60" s="10"/>
      <c r="H60" s="10"/>
      <c r="I60" s="10"/>
      <c r="J60" s="10"/>
      <c r="K60" s="10"/>
      <c r="L60" s="10"/>
      <c r="M60" s="10"/>
      <c r="N60" s="10"/>
      <c r="O60" s="491"/>
      <c r="P60" s="10"/>
      <c r="Q60" s="10"/>
      <c r="R60" s="402"/>
      <c r="S60" s="402"/>
      <c r="T60" s="402"/>
      <c r="U60" s="402"/>
      <c r="V60" s="402"/>
      <c r="W60" s="10"/>
      <c r="X60" s="491"/>
      <c r="Y60" s="315"/>
      <c r="Z60" s="425"/>
      <c r="AA60" s="10"/>
      <c r="AB60" s="491"/>
      <c r="AC60" s="491"/>
      <c r="AE60" s="214"/>
      <c r="AF60" s="534" t="s">
        <v>125</v>
      </c>
      <c r="AG60" s="535" t="str">
        <f>IDS_MOD_CORE_ASSIST_NAME(AG51)</f>
        <v>Dimension Core</v>
      </c>
      <c r="AH60" s="343" t="s">
        <v>188</v>
      </c>
      <c r="AI60" s="266" t="s">
        <v>110</v>
      </c>
      <c r="AJ60" s="344" t="s">
        <v>190</v>
      </c>
      <c r="AK60" s="536">
        <v>11.0</v>
      </c>
    </row>
    <row r="61">
      <c r="A61" s="491"/>
      <c r="B61" s="10"/>
      <c r="C61" s="10"/>
      <c r="D61" s="10"/>
      <c r="E61" s="10"/>
      <c r="F61" s="10"/>
      <c r="G61" s="10"/>
      <c r="H61" s="10"/>
      <c r="I61" s="10"/>
      <c r="J61" s="10"/>
      <c r="K61" s="10"/>
      <c r="L61" s="10"/>
      <c r="M61" s="10"/>
      <c r="N61" s="10"/>
      <c r="O61" s="491"/>
      <c r="P61" s="10"/>
      <c r="Q61" s="10"/>
      <c r="R61" s="402"/>
      <c r="S61" s="402"/>
      <c r="T61" s="402"/>
      <c r="U61" s="402"/>
      <c r="V61" s="402"/>
      <c r="W61" s="10"/>
      <c r="X61" s="491"/>
      <c r="Y61" s="315"/>
      <c r="Z61" s="425"/>
      <c r="AA61" s="10"/>
      <c r="AB61" s="491"/>
      <c r="AC61" s="491"/>
      <c r="AE61" s="214"/>
      <c r="AF61" s="537" t="s">
        <v>100</v>
      </c>
      <c r="AG61" s="538" t="str">
        <f>IDS_MOD_CORE_RARITY(AG60)</f>
        <v>Ancestral</v>
      </c>
      <c r="AH61" s="343" t="s">
        <v>191</v>
      </c>
      <c r="AI61" s="266" t="s">
        <v>110</v>
      </c>
      <c r="AJ61" s="344" t="s">
        <v>126</v>
      </c>
      <c r="AK61" s="536">
        <v>15.0</v>
      </c>
    </row>
    <row r="62">
      <c r="A62" s="491"/>
      <c r="B62" s="10"/>
      <c r="C62" s="10"/>
      <c r="D62" s="10"/>
      <c r="E62" s="10"/>
      <c r="F62" s="10"/>
      <c r="G62" s="10"/>
      <c r="H62" s="10"/>
      <c r="I62" s="10"/>
      <c r="J62" s="10"/>
      <c r="K62" s="10"/>
      <c r="L62" s="10"/>
      <c r="M62" s="10"/>
      <c r="N62" s="10"/>
      <c r="O62" s="491"/>
      <c r="P62" s="10"/>
      <c r="Q62" s="10"/>
      <c r="R62" s="402"/>
      <c r="S62" s="402"/>
      <c r="T62" s="402"/>
      <c r="U62" s="402"/>
      <c r="V62" s="402"/>
      <c r="W62" s="10"/>
      <c r="X62" s="491"/>
      <c r="Y62" s="315"/>
      <c r="Z62" s="425"/>
      <c r="AA62" s="10"/>
      <c r="AB62" s="491"/>
      <c r="AC62" s="491"/>
      <c r="AE62" s="214"/>
      <c r="AF62" s="537" t="s">
        <v>94</v>
      </c>
      <c r="AG62" s="538">
        <f>IDS_MOD_CORE_ASSIST_LEVEL()</f>
        <v>101</v>
      </c>
      <c r="AH62" s="343" t="s">
        <v>192</v>
      </c>
      <c r="AI62" s="266" t="s">
        <v>110</v>
      </c>
      <c r="AJ62" s="344" t="s">
        <v>114</v>
      </c>
      <c r="AK62" s="536">
        <v>3.0</v>
      </c>
    </row>
    <row r="63">
      <c r="A63" s="491"/>
      <c r="B63" s="10"/>
      <c r="C63" s="10"/>
      <c r="D63" s="10"/>
      <c r="E63" s="10"/>
      <c r="F63" s="10"/>
      <c r="G63" s="10"/>
      <c r="H63" s="10"/>
      <c r="I63" s="10"/>
      <c r="J63" s="10"/>
      <c r="K63" s="10"/>
      <c r="L63" s="10"/>
      <c r="M63" s="10"/>
      <c r="N63" s="10"/>
      <c r="O63" s="491"/>
      <c r="P63" s="10"/>
      <c r="Q63" s="10"/>
      <c r="R63" s="402"/>
      <c r="S63" s="402"/>
      <c r="T63" s="402"/>
      <c r="U63" s="402"/>
      <c r="V63" s="402"/>
      <c r="W63" s="10"/>
      <c r="X63" s="491"/>
      <c r="Y63" s="315"/>
      <c r="Z63" s="425"/>
      <c r="AA63" s="10"/>
      <c r="AB63" s="491"/>
      <c r="AC63" s="491"/>
      <c r="AE63" s="214"/>
      <c r="AF63" s="539" t="s">
        <v>146</v>
      </c>
      <c r="AG63" s="540" t="str">
        <f>'_IDS'!$BR$3</f>
        <v>Epic</v>
      </c>
      <c r="AH63" s="343" t="s">
        <v>193</v>
      </c>
      <c r="AI63" s="266" t="s">
        <v>194</v>
      </c>
      <c r="AJ63" s="344" t="s">
        <v>195</v>
      </c>
      <c r="AK63" s="536">
        <v>50.0</v>
      </c>
    </row>
    <row r="64">
      <c r="A64" s="491"/>
      <c r="B64" s="10"/>
      <c r="C64" s="10"/>
      <c r="D64" s="10"/>
      <c r="E64" s="10"/>
      <c r="F64" s="10"/>
      <c r="G64" s="10"/>
      <c r="H64" s="10"/>
      <c r="I64" s="10"/>
      <c r="J64" s="10"/>
      <c r="K64" s="10"/>
      <c r="L64" s="10"/>
      <c r="M64" s="10"/>
      <c r="N64" s="10"/>
      <c r="O64" s="491"/>
      <c r="P64" s="10"/>
      <c r="Q64" s="10"/>
      <c r="R64" s="402"/>
      <c r="S64" s="402"/>
      <c r="T64" s="402"/>
      <c r="U64" s="402"/>
      <c r="V64" s="402"/>
      <c r="W64" s="10"/>
      <c r="X64" s="491"/>
      <c r="Y64" s="315"/>
      <c r="Z64" s="425"/>
      <c r="AA64" s="10"/>
      <c r="AB64" s="491"/>
      <c r="AC64" s="491"/>
      <c r="AE64" s="214"/>
      <c r="AF64" s="539" t="s">
        <v>148</v>
      </c>
      <c r="AG64" s="541">
        <f>'_IDS'!$BR$4</f>
        <v>0.1</v>
      </c>
      <c r="AH64" s="343" t="s">
        <v>196</v>
      </c>
      <c r="AI64" s="266"/>
      <c r="AJ64" s="344"/>
      <c r="AK64" s="536"/>
    </row>
    <row r="65">
      <c r="A65" s="491"/>
      <c r="B65" s="10"/>
      <c r="C65" s="10"/>
      <c r="D65" s="10"/>
      <c r="E65" s="10"/>
      <c r="F65" s="10"/>
      <c r="G65" s="10"/>
      <c r="H65" s="10"/>
      <c r="I65" s="10"/>
      <c r="J65" s="10"/>
      <c r="K65" s="10"/>
      <c r="L65" s="10"/>
      <c r="M65" s="10"/>
      <c r="N65" s="10"/>
      <c r="O65" s="491"/>
      <c r="P65" s="10"/>
      <c r="Q65" s="10"/>
      <c r="R65" s="402"/>
      <c r="S65" s="402"/>
      <c r="T65" s="402"/>
      <c r="U65" s="402"/>
      <c r="V65" s="402"/>
      <c r="W65" s="10"/>
      <c r="X65" s="491"/>
      <c r="Y65" s="315"/>
      <c r="Z65" s="425"/>
      <c r="AA65" s="10"/>
      <c r="AB65" s="491"/>
      <c r="AC65" s="491"/>
      <c r="AE65" s="214"/>
      <c r="AF65" s="542" t="s">
        <v>150</v>
      </c>
      <c r="AG65" s="543">
        <f>'_IDS'!$BR$5</f>
        <v>0.1</v>
      </c>
      <c r="AH65" s="343" t="s">
        <v>197</v>
      </c>
      <c r="AI65" s="266"/>
      <c r="AJ65" s="344"/>
      <c r="AK65" s="536"/>
    </row>
    <row r="66">
      <c r="A66" s="491"/>
      <c r="B66" s="10"/>
      <c r="C66" s="10"/>
      <c r="D66" s="10"/>
      <c r="E66" s="10"/>
      <c r="F66" s="10"/>
      <c r="G66" s="10"/>
      <c r="H66" s="10"/>
      <c r="I66" s="10"/>
      <c r="J66" s="10"/>
      <c r="K66" s="10"/>
      <c r="L66" s="10"/>
      <c r="M66" s="10"/>
      <c r="N66" s="10"/>
      <c r="O66" s="491"/>
      <c r="P66" s="10"/>
      <c r="Q66" s="10"/>
      <c r="R66" s="402"/>
      <c r="S66" s="402"/>
      <c r="T66" s="402"/>
      <c r="U66" s="402"/>
      <c r="V66" s="402"/>
      <c r="W66" s="10"/>
      <c r="X66" s="491"/>
      <c r="Y66" s="315"/>
      <c r="Z66" s="425"/>
      <c r="AA66" s="10"/>
      <c r="AB66" s="491"/>
      <c r="AC66" s="491"/>
      <c r="AE66" s="222"/>
      <c r="AF66" s="544"/>
      <c r="AG66" s="545"/>
      <c r="AH66" s="343"/>
      <c r="AI66" s="266"/>
      <c r="AJ66" s="344"/>
      <c r="AK66" s="536" t="s">
        <v>133</v>
      </c>
    </row>
  </sheetData>
  <mergeCells count="79">
    <mergeCell ref="Z13:AA13"/>
    <mergeCell ref="Z14:AA14"/>
    <mergeCell ref="Z15:AA15"/>
    <mergeCell ref="Z17:AA17"/>
    <mergeCell ref="Z18:AA18"/>
    <mergeCell ref="Z19:AA19"/>
    <mergeCell ref="Z12:AA12"/>
    <mergeCell ref="Z20:AA20"/>
    <mergeCell ref="Z21:AA21"/>
    <mergeCell ref="Z22:AA22"/>
    <mergeCell ref="AF27:AG27"/>
    <mergeCell ref="X3:X27"/>
    <mergeCell ref="AB3:AB30"/>
    <mergeCell ref="AD3:AD66"/>
    <mergeCell ref="AE3:AE18"/>
    <mergeCell ref="Z10:AA10"/>
    <mergeCell ref="Z11:AA11"/>
    <mergeCell ref="Z23:AA23"/>
    <mergeCell ref="AE51:AE66"/>
    <mergeCell ref="AG51:AG52"/>
    <mergeCell ref="AF53:AG53"/>
    <mergeCell ref="AF59:AG59"/>
    <mergeCell ref="AE19:AE34"/>
    <mergeCell ref="AE35:AE50"/>
    <mergeCell ref="AF35:AF36"/>
    <mergeCell ref="AG35:AG36"/>
    <mergeCell ref="AF37:AG37"/>
    <mergeCell ref="AF43:AG43"/>
    <mergeCell ref="AF51:AF52"/>
    <mergeCell ref="C1:C2"/>
    <mergeCell ref="B7:B8"/>
    <mergeCell ref="B22:B23"/>
    <mergeCell ref="B26:B27"/>
    <mergeCell ref="B28:B29"/>
    <mergeCell ref="B30:B31"/>
    <mergeCell ref="B32:B34"/>
    <mergeCell ref="B36:B37"/>
    <mergeCell ref="B40:B41"/>
    <mergeCell ref="B42:B44"/>
    <mergeCell ref="B46:B48"/>
    <mergeCell ref="B49:B50"/>
    <mergeCell ref="D1:E1"/>
    <mergeCell ref="F1:G1"/>
    <mergeCell ref="H1:I1"/>
    <mergeCell ref="J1:K1"/>
    <mergeCell ref="L1:M1"/>
    <mergeCell ref="A3:A40"/>
    <mergeCell ref="O3:O20"/>
    <mergeCell ref="B38:B39"/>
    <mergeCell ref="B1:B2"/>
    <mergeCell ref="B3:B6"/>
    <mergeCell ref="N1:N2"/>
    <mergeCell ref="P1:Q2"/>
    <mergeCell ref="R1:R2"/>
    <mergeCell ref="S1:S2"/>
    <mergeCell ref="T1:T2"/>
    <mergeCell ref="U1:U2"/>
    <mergeCell ref="V1:V2"/>
    <mergeCell ref="AE1:AG2"/>
    <mergeCell ref="AF3:AF4"/>
    <mergeCell ref="AG3:AG4"/>
    <mergeCell ref="AF5:AG5"/>
    <mergeCell ref="AF11:AG11"/>
    <mergeCell ref="AF19:AF20"/>
    <mergeCell ref="AG19:AG20"/>
    <mergeCell ref="AF21:AG21"/>
    <mergeCell ref="W1:W2"/>
    <mergeCell ref="Y1:Y2"/>
    <mergeCell ref="Z1:Z2"/>
    <mergeCell ref="AA1:AA2"/>
    <mergeCell ref="AC1:AC2"/>
    <mergeCell ref="AH1:AH2"/>
    <mergeCell ref="AJ1:AJ2"/>
    <mergeCell ref="B9:B10"/>
    <mergeCell ref="B11:B12"/>
    <mergeCell ref="B13:B15"/>
    <mergeCell ref="B16:B17"/>
    <mergeCell ref="B18:B19"/>
    <mergeCell ref="B20:B21"/>
  </mergeCells>
  <conditionalFormatting sqref="AI3:AJ66">
    <cfRule type="expression" dxfId="0" priority="1">
      <formula>ISNUMBER(SEARCH("Ancestral",$AI3))</formula>
    </cfRule>
  </conditionalFormatting>
  <conditionalFormatting sqref="AI3:AJ66">
    <cfRule type="expression" dxfId="1" priority="2">
      <formula>ISNUMBER(SEARCH("Mythic",$AI3))</formula>
    </cfRule>
  </conditionalFormatting>
  <conditionalFormatting sqref="AI3:AJ66">
    <cfRule type="expression" dxfId="2" priority="3">
      <formula>ISNUMBER(SEARCH("Legendary",$AI3))</formula>
    </cfRule>
  </conditionalFormatting>
  <conditionalFormatting sqref="AI3:AJ66">
    <cfRule type="expression" dxfId="3" priority="4">
      <formula>ISNUMBER(SEARCH("Epic",$AI3))</formula>
    </cfRule>
  </conditionalFormatting>
  <conditionalFormatting sqref="AI3:AJ66">
    <cfRule type="expression" dxfId="4" priority="5">
      <formula>ISNUMBER(SEARCH("Rare",$AI3))</formula>
    </cfRule>
  </conditionalFormatting>
  <conditionalFormatting sqref="AI3:AJ66">
    <cfRule type="expression" dxfId="5" priority="6">
      <formula>ISNUMBER(SEARCH("Common",$AI3))</formula>
    </cfRule>
  </conditionalFormatting>
  <conditionalFormatting sqref="AH3:AJ66">
    <cfRule type="containsBlanks" dxfId="6" priority="7">
      <formula>LEN(TRIM(AH3))=0</formula>
    </cfRule>
  </conditionalFormatting>
  <conditionalFormatting sqref="Z3:Z8 Z10:Z27">
    <cfRule type="expression" dxfId="7" priority="8">
      <formula>NOT(ISFORMULA(Z3))</formula>
    </cfRule>
  </conditionalFormatting>
  <conditionalFormatting sqref="Y3:Y4">
    <cfRule type="expression" dxfId="8" priority="9">
      <formula>EQ(Z3, AA3)</formula>
    </cfRule>
  </conditionalFormatting>
  <conditionalFormatting sqref="C3:N50">
    <cfRule type="expression" dxfId="9" priority="10">
      <formula>ISNUMBER(SEARCH("Unlock",$C3))</formula>
    </cfRule>
  </conditionalFormatting>
  <conditionalFormatting sqref="P3:W20">
    <cfRule type="expression" dxfId="9" priority="11">
      <formula>ISNUMBER(SEARCH("Unlock",$P3))</formula>
    </cfRule>
  </conditionalFormatting>
  <conditionalFormatting sqref="C20:C37 N20:N37">
    <cfRule type="expression" dxfId="10" priority="12">
      <formula>EQ($D20, $N20)</formula>
    </cfRule>
  </conditionalFormatting>
  <conditionalFormatting sqref="C3:C19 N3:N19">
    <cfRule type="expression" dxfId="1" priority="13">
      <formula>EQ($D3, $N3)</formula>
    </cfRule>
  </conditionalFormatting>
  <conditionalFormatting sqref="C38:C50 N8:N50">
    <cfRule type="expression" dxfId="11" priority="14">
      <formula>EQ($D38, $N38)</formula>
    </cfRule>
  </conditionalFormatting>
  <conditionalFormatting sqref="Y4:Y6">
    <cfRule type="expression" dxfId="11" priority="15">
      <formula>EQ(Z4, AA4)</formula>
    </cfRule>
  </conditionalFormatting>
  <conditionalFormatting sqref="Y7">
    <cfRule type="expression" dxfId="12" priority="16">
      <formula>EQ(Z7, AA7)</formula>
    </cfRule>
  </conditionalFormatting>
  <conditionalFormatting sqref="AC4:AC30">
    <cfRule type="notContainsBlanks" dxfId="13" priority="17">
      <formula>LEN(TRIM(AC4))&gt;0</formula>
    </cfRule>
  </conditionalFormatting>
  <conditionalFormatting sqref="R3:V20">
    <cfRule type="expression" dxfId="14" priority="18">
      <formula>AND(SUBSTITUTE($P3," +",)=INDIRECT("'Desired Ratios'!Q2"),R$1=INDIRECT("'Desired Ratios'!O3"))</formula>
    </cfRule>
  </conditionalFormatting>
  <conditionalFormatting sqref="C3:C19 N3:N19">
    <cfRule type="expression" dxfId="15" priority="19">
      <formula>EQ($E3, $N3)</formula>
    </cfRule>
  </conditionalFormatting>
  <conditionalFormatting sqref="C20:C37 N20:N37">
    <cfRule type="expression" dxfId="0" priority="20">
      <formula>EQ($E20, $N20)</formula>
    </cfRule>
  </conditionalFormatting>
  <conditionalFormatting sqref="C38:C50 N8:N50">
    <cfRule type="expression" dxfId="2" priority="21">
      <formula>EQ($E38, $N38)</formula>
    </cfRule>
  </conditionalFormatting>
  <conditionalFormatting sqref="P3:Q8 W3:W8">
    <cfRule type="expression" dxfId="1" priority="22">
      <formula>EQ($R3, $W3)</formula>
    </cfRule>
  </conditionalFormatting>
  <conditionalFormatting sqref="P9:Q14 W9:W14">
    <cfRule type="expression" dxfId="10" priority="23">
      <formula>EQ($R9, $W9)</formula>
    </cfRule>
  </conditionalFormatting>
  <conditionalFormatting sqref="P15:Q20 W15:W20">
    <cfRule type="expression" dxfId="11" priority="24">
      <formula>EQ($R15, $W15)</formula>
    </cfRule>
  </conditionalFormatting>
  <dataValidations>
    <dataValidation type="decimal" allowBlank="1" showDropDown="1" showInputMessage="1" prompt="Between 0 and Max Level" sqref="Z3:Z6">
      <formula1>0.0</formula1>
      <formula2>AA3</formula2>
    </dataValidation>
    <dataValidation type="decimal" operator="lessThanOrEqual" allowBlank="1" showDropDown="1" showInputMessage="1" prompt="Enter a number less than or equal to =$W3" sqref="R3:V20">
      <formula1>$W3</formula1>
    </dataValidation>
    <dataValidation type="decimal" operator="lessThanOrEqual" allowBlank="1" showDropDown="1" showInputMessage="1" prompt="Level can't be higher than max" sqref="D3:M50">
      <formula1>$N3</formula1>
    </dataValidation>
    <dataValidation type="list" allowBlank="1" showErrorMessage="1" sqref="AC3">
      <formula1>'_IDS'!$AH$2:$AL$2</formula1>
    </dataValidation>
    <dataValidation type="decimal" allowBlank="1" showDropDown="1" showInputMessage="1" prompt="Between 0 and Max Level" sqref="Z7">
      <formula1>0.0</formula1>
      <formula2>AA7</formula2>
    </dataValidation>
    <dataValidation type="decimal" allowBlank="1" showDropDown="1" showInputMessage="1" prompt="Saisissez un nombre compris entre 0 et =O7" sqref="Z8">
      <formula1>0.0</formula1>
      <formula2>AA8</formula2>
    </dataValidation>
    <dataValidation type="list" allowBlank="1" showErrorMessage="1" sqref="AG3 AG19 AG35 AG51">
      <formula1>"Farming,Tourney,Testing"</formula1>
    </dataValidation>
    <dataValidation type="decimal" allowBlank="1" showDropDown="1" sqref="Z28:Z66">
      <formula1>0.0</formula1>
      <formula2>AA28</formula2>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outlineLevelCol="1"/>
  <cols>
    <col customWidth="1" min="1" max="1" width="4.25"/>
    <col customWidth="1" min="2" max="2" width="22.63"/>
    <col customWidth="1" min="3" max="4" width="7.63"/>
    <col customWidth="1" min="5" max="12" width="7.63" outlineLevel="1"/>
    <col customWidth="1" min="14" max="14" width="14.0"/>
    <col customWidth="1" min="15" max="15" width="10.13"/>
    <col customWidth="1" min="17" max="17" width="20.13"/>
    <col customWidth="1" min="18" max="18" width="8.63"/>
    <col customWidth="1" hidden="1" min="19" max="20" width="7.63"/>
    <col customWidth="1" min="21" max="22" width="7.63"/>
    <col collapsed="1" customWidth="1" min="24" max="24" width="4.25"/>
    <col customWidth="1" hidden="1" min="25" max="25" width="19.63" outlineLevel="1"/>
    <col customWidth="1" hidden="1" min="26" max="26" width="12.63" outlineLevel="1"/>
    <col customWidth="1" hidden="1" min="27" max="27" width="14.25" outlineLevel="1"/>
    <col customWidth="1" hidden="1" min="28" max="28" width="13.25" outlineLevel="1"/>
    <col customWidth="1" hidden="1" min="29" max="29" width="8.75" outlineLevel="1"/>
    <col customWidth="1" hidden="1" min="30" max="30" width="13.38" outlineLevel="1"/>
    <col customWidth="1" hidden="1" min="31" max="31" width="12.13" outlineLevel="1"/>
    <col customWidth="1" hidden="1" min="32" max="32" width="13.5" outlineLevel="1"/>
    <col customWidth="1" hidden="1" min="33" max="33" width="14.13" outlineLevel="1"/>
    <col customWidth="1" hidden="1" min="34" max="34" width="14.25" outlineLevel="1"/>
    <col customWidth="1" hidden="1" min="35" max="35" width="19.5" outlineLevel="1"/>
    <col customWidth="1" hidden="1" min="36" max="36" width="13.38" outlineLevel="1"/>
    <col customWidth="1" hidden="1" min="37" max="37" width="14.0" outlineLevel="1"/>
    <col customWidth="1" hidden="1" min="38" max="38" width="15.88" outlineLevel="1"/>
    <col customWidth="1" hidden="1" min="39" max="39" width="17.63" outlineLevel="1"/>
    <col customWidth="1" hidden="1" min="40" max="40" width="13.38" outlineLevel="1"/>
    <col customWidth="1" hidden="1" min="41" max="41" width="21.88" outlineLevel="1"/>
    <col customWidth="1" hidden="1" min="42" max="42" width="12.88" outlineLevel="1"/>
    <col customWidth="1" hidden="1" min="43" max="43" width="14.0" outlineLevel="1"/>
    <col customWidth="1" hidden="1" min="44" max="44" width="15.13" outlineLevel="1"/>
    <col customWidth="1" hidden="1" min="45" max="45" width="13.88" outlineLevel="1"/>
    <col customWidth="1" hidden="1" min="46" max="46" width="16.13" outlineLevel="1"/>
    <col customWidth="1" hidden="1" min="47" max="47" width="15.63" outlineLevel="1"/>
    <col customWidth="1" hidden="1" min="48" max="48" width="7.63" outlineLevel="1"/>
    <col customWidth="1" hidden="1" min="49" max="49" width="8.75" outlineLevel="1"/>
    <col customWidth="1" hidden="1" min="50" max="50" width="11.5" outlineLevel="1"/>
    <col customWidth="1" hidden="1" min="51" max="51" width="13.5" outlineLevel="1"/>
    <col customWidth="1" hidden="1" min="52" max="52" width="14.13" outlineLevel="1"/>
    <col customWidth="1" hidden="1" min="53" max="53" width="14.25" outlineLevel="1"/>
    <col customWidth="1" hidden="1" min="54" max="54" width="19.5" outlineLevel="1"/>
    <col customWidth="1" hidden="1" min="55" max="55" width="7.5" outlineLevel="1"/>
    <col customWidth="1" hidden="1" min="56" max="56" width="12.63" outlineLevel="1"/>
    <col customWidth="1" hidden="1" min="57" max="57" width="15.88" outlineLevel="1"/>
    <col customWidth="1" hidden="1" min="58" max="58" width="17.63" outlineLevel="1"/>
    <col customWidth="1" hidden="1" min="59" max="59" width="11.0" outlineLevel="1"/>
    <col customWidth="1" hidden="1" min="60" max="60" width="21.88" outlineLevel="1"/>
    <col customWidth="1" hidden="1" min="61" max="61" width="11.5" outlineLevel="1"/>
    <col customWidth="1" hidden="1" min="62" max="62" width="11.13" outlineLevel="1"/>
    <col customWidth="1" hidden="1" min="63" max="63" width="15.13" outlineLevel="1"/>
    <col customWidth="1" hidden="1" min="64" max="64" width="13.88" outlineLevel="1"/>
    <col customWidth="1" hidden="1" min="65" max="65" width="16.13" outlineLevel="1"/>
    <col customWidth="1" hidden="1" min="66" max="66" width="15.63" outlineLevel="1"/>
    <col customWidth="1" hidden="1" min="67" max="67" width="7.75" outlineLevel="1"/>
    <col customWidth="1" hidden="1" min="68" max="68" width="12.88" outlineLevel="1"/>
    <col customWidth="1" hidden="1" min="69" max="69" width="11.5" outlineLevel="1"/>
    <col customWidth="1" hidden="1" min="70" max="70" width="13.5" outlineLevel="1"/>
    <col customWidth="1" hidden="1" min="71" max="71" width="14.13" outlineLevel="1"/>
    <col customWidth="1" hidden="1" min="72" max="72" width="14.25" outlineLevel="1"/>
    <col customWidth="1" hidden="1" min="73" max="73" width="19.5" outlineLevel="1"/>
    <col customWidth="1" hidden="1" min="74" max="74" width="13.38" outlineLevel="1"/>
    <col customWidth="1" hidden="1" min="75" max="75" width="13.88" outlineLevel="1"/>
    <col customWidth="1" hidden="1" min="76" max="76" width="15.88" outlineLevel="1"/>
    <col customWidth="1" hidden="1" min="77" max="77" width="17.63" outlineLevel="1"/>
    <col customWidth="1" hidden="1" min="78" max="78" width="13.38" outlineLevel="1"/>
    <col customWidth="1" hidden="1" min="79" max="79" width="21.88" outlineLevel="1"/>
    <col customWidth="1" hidden="1" min="80" max="80" width="12.88" outlineLevel="1"/>
    <col customWidth="1" hidden="1" min="81" max="81" width="13.88" outlineLevel="1"/>
    <col customWidth="1" hidden="1" min="82" max="82" width="15.13" outlineLevel="1"/>
    <col customWidth="1" hidden="1" min="83" max="83" width="13.88" outlineLevel="1"/>
    <col customWidth="1" hidden="1" min="84" max="84" width="16.13" outlineLevel="1"/>
    <col customWidth="1" hidden="1" min="85" max="85" width="15.63" outlineLevel="1"/>
    <col customWidth="1" hidden="1" min="86" max="86" width="8.63" outlineLevel="1"/>
    <col customWidth="1" hidden="1" min="87" max="87" width="8.75" outlineLevel="1"/>
    <col customWidth="1" hidden="1" min="88" max="88" width="11.5" outlineLevel="1"/>
    <col customWidth="1" hidden="1" min="89" max="89" width="13.5" outlineLevel="1"/>
    <col customWidth="1" hidden="1" min="90" max="90" width="14.13" outlineLevel="1"/>
    <col customWidth="1" hidden="1" min="91" max="91" width="14.25" outlineLevel="1"/>
    <col customWidth="1" hidden="1" min="92" max="92" width="19.5" outlineLevel="1"/>
    <col customWidth="1" hidden="1" min="93" max="93" width="7.5" outlineLevel="1"/>
    <col customWidth="1" hidden="1" min="94" max="94" width="12.63" outlineLevel="1"/>
    <col customWidth="1" hidden="1" min="95" max="95" width="15.88" outlineLevel="1"/>
    <col customWidth="1" hidden="1" min="96" max="96" width="17.63" outlineLevel="1"/>
    <col customWidth="1" hidden="1" min="97" max="97" width="11.0" outlineLevel="1"/>
    <col customWidth="1" hidden="1" min="98" max="98" width="21.88" outlineLevel="1"/>
    <col customWidth="1" hidden="1" min="99" max="99" width="11.5" outlineLevel="1"/>
    <col customWidth="1" hidden="1" min="100" max="100" width="11.13" outlineLevel="1"/>
    <col customWidth="1" hidden="1" min="101" max="101" width="15.13" outlineLevel="1"/>
    <col customWidth="1" hidden="1" min="102" max="102" width="13.88" outlineLevel="1"/>
    <col customWidth="1" hidden="1" min="103" max="103" width="16.13" outlineLevel="1"/>
    <col customWidth="1" hidden="1" min="104" max="104" width="15.63" outlineLevel="1"/>
    <col customWidth="1" hidden="1" min="105" max="105" width="9.0" outlineLevel="1"/>
    <col customWidth="1" hidden="1" min="106" max="106" width="8.75" outlineLevel="1"/>
    <col customWidth="1" hidden="1" min="107" max="107" width="11.5" outlineLevel="1"/>
    <col customWidth="1" hidden="1" min="108" max="108" width="13.5" outlineLevel="1"/>
    <col customWidth="1" hidden="1" min="109" max="109" width="14.13" outlineLevel="1"/>
    <col customWidth="1" hidden="1" min="110" max="110" width="14.25" outlineLevel="1"/>
    <col customWidth="1" hidden="1" min="111" max="111" width="19.5" outlineLevel="1"/>
    <col customWidth="1" hidden="1" min="112" max="112" width="7.5" outlineLevel="1"/>
    <col customWidth="1" hidden="1" min="113" max="113" width="12.63" outlineLevel="1"/>
    <col customWidth="1" hidden="1" min="114" max="114" width="15.88" outlineLevel="1"/>
    <col customWidth="1" hidden="1" min="115" max="115" width="17.63" outlineLevel="1"/>
    <col customWidth="1" hidden="1" min="116" max="116" width="11.0" outlineLevel="1"/>
    <col customWidth="1" hidden="1" min="117" max="117" width="21.88" outlineLevel="1"/>
    <col customWidth="1" hidden="1" min="118" max="118" width="11.5" outlineLevel="1"/>
    <col customWidth="1" hidden="1" min="119" max="119" width="11.13" outlineLevel="1"/>
    <col customWidth="1" hidden="1" min="120" max="120" width="15.13" outlineLevel="1"/>
    <col customWidth="1" hidden="1" min="121" max="121" width="13.88" outlineLevel="1"/>
    <col customWidth="1" hidden="1" min="122" max="122" width="16.13" outlineLevel="1"/>
    <col customWidth="1" hidden="1" min="123" max="123" width="15.63" outlineLevel="1"/>
    <col customWidth="1" hidden="1" min="124" max="124" width="10.0" outlineLevel="1"/>
  </cols>
  <sheetData>
    <row r="1">
      <c r="A1" s="546" t="s">
        <v>198</v>
      </c>
      <c r="B1" s="547" t="s">
        <v>93</v>
      </c>
      <c r="C1" s="548" t="str">
        <f>'Master Sheet'!R1</f>
        <v>Farming</v>
      </c>
      <c r="D1" s="549" t="s">
        <v>199</v>
      </c>
      <c r="E1" s="548" t="str">
        <f>'Master Sheet'!S1</f>
        <v>Tourney</v>
      </c>
      <c r="F1" s="549" t="s">
        <v>199</v>
      </c>
      <c r="G1" s="548" t="str">
        <f>'Master Sheet'!T1</f>
        <v>Preset 3</v>
      </c>
      <c r="H1" s="549" t="s">
        <v>199</v>
      </c>
      <c r="I1" s="548" t="str">
        <f>'Master Sheet'!U1</f>
        <v>Preset 4</v>
      </c>
      <c r="J1" s="549" t="s">
        <v>199</v>
      </c>
      <c r="K1" s="548" t="str">
        <f>'Master Sheet'!V1</f>
        <v>Preset 5</v>
      </c>
      <c r="L1" s="549" t="s">
        <v>199</v>
      </c>
      <c r="M1" s="461"/>
      <c r="N1" s="10"/>
      <c r="O1" s="10"/>
      <c r="P1" s="10"/>
      <c r="Q1" s="550" t="s">
        <v>93</v>
      </c>
      <c r="R1" s="551" t="s">
        <v>94</v>
      </c>
      <c r="S1" s="551" t="s">
        <v>200</v>
      </c>
      <c r="T1" s="551" t="s">
        <v>201</v>
      </c>
      <c r="U1" s="552" t="s">
        <v>202</v>
      </c>
      <c r="V1" s="553"/>
      <c r="W1" s="461"/>
      <c r="X1" s="461"/>
      <c r="Y1" s="554" t="str">
        <f t="array" ref="Y1:Y19">B1:B19</f>
        <v>Workshop Enhancement</v>
      </c>
      <c r="Z1" s="555" t="s">
        <v>94</v>
      </c>
      <c r="AA1" s="556" t="s">
        <v>203</v>
      </c>
      <c r="AB1" s="557" t="s">
        <v>199</v>
      </c>
      <c r="AC1" s="461"/>
      <c r="AD1" s="558" t="str">
        <f t="array" ref="AD1:AU1">TRANSPOSE($B$2:$B$19)</f>
        <v>Damage</v>
      </c>
      <c r="AE1" s="228" t="s">
        <v>204</v>
      </c>
      <c r="AF1" s="228" t="s">
        <v>122</v>
      </c>
      <c r="AG1" s="228" t="s">
        <v>205</v>
      </c>
      <c r="AH1" s="228" t="s">
        <v>206</v>
      </c>
      <c r="AI1" s="228" t="s">
        <v>112</v>
      </c>
      <c r="AJ1" s="559" t="s">
        <v>124</v>
      </c>
      <c r="AK1" s="559" t="s">
        <v>138</v>
      </c>
      <c r="AL1" s="559" t="s">
        <v>207</v>
      </c>
      <c r="AM1" s="559" t="s">
        <v>208</v>
      </c>
      <c r="AN1" s="559" t="s">
        <v>163</v>
      </c>
      <c r="AO1" s="559" t="s">
        <v>209</v>
      </c>
      <c r="AP1" s="560" t="s">
        <v>210</v>
      </c>
      <c r="AQ1" s="560" t="s">
        <v>211</v>
      </c>
      <c r="AR1" s="560" t="s">
        <v>212</v>
      </c>
      <c r="AS1" s="560" t="s">
        <v>157</v>
      </c>
      <c r="AT1" s="560" t="s">
        <v>213</v>
      </c>
      <c r="AU1" s="561" t="s">
        <v>214</v>
      </c>
      <c r="AV1" s="461"/>
      <c r="AW1" s="558" t="str">
        <f t="array" ref="AW1:BN1">TRANSPOSE($B$2:$B$19)</f>
        <v>Damage</v>
      </c>
      <c r="AX1" s="228" t="s">
        <v>204</v>
      </c>
      <c r="AY1" s="228" t="s">
        <v>122</v>
      </c>
      <c r="AZ1" s="228" t="s">
        <v>205</v>
      </c>
      <c r="BA1" s="228" t="s">
        <v>206</v>
      </c>
      <c r="BB1" s="228" t="s">
        <v>112</v>
      </c>
      <c r="BC1" s="559" t="s">
        <v>124</v>
      </c>
      <c r="BD1" s="559" t="s">
        <v>138</v>
      </c>
      <c r="BE1" s="559" t="s">
        <v>207</v>
      </c>
      <c r="BF1" s="559" t="s">
        <v>208</v>
      </c>
      <c r="BG1" s="559" t="s">
        <v>163</v>
      </c>
      <c r="BH1" s="559" t="s">
        <v>209</v>
      </c>
      <c r="BI1" s="560" t="s">
        <v>210</v>
      </c>
      <c r="BJ1" s="560" t="s">
        <v>211</v>
      </c>
      <c r="BK1" s="560" t="s">
        <v>212</v>
      </c>
      <c r="BL1" s="560" t="s">
        <v>157</v>
      </c>
      <c r="BM1" s="560" t="s">
        <v>213</v>
      </c>
      <c r="BN1" s="561" t="s">
        <v>214</v>
      </c>
      <c r="BO1" s="461"/>
      <c r="BP1" s="558" t="str">
        <f t="array" ref="BP1:CG1">TRANSPOSE($B$2:$B$19)</f>
        <v>Damage</v>
      </c>
      <c r="BQ1" s="228" t="s">
        <v>204</v>
      </c>
      <c r="BR1" s="228" t="s">
        <v>122</v>
      </c>
      <c r="BS1" s="228" t="s">
        <v>205</v>
      </c>
      <c r="BT1" s="228" t="s">
        <v>206</v>
      </c>
      <c r="BU1" s="228" t="s">
        <v>112</v>
      </c>
      <c r="BV1" s="559" t="s">
        <v>124</v>
      </c>
      <c r="BW1" s="559" t="s">
        <v>138</v>
      </c>
      <c r="BX1" s="559" t="s">
        <v>207</v>
      </c>
      <c r="BY1" s="559" t="s">
        <v>208</v>
      </c>
      <c r="BZ1" s="559" t="s">
        <v>163</v>
      </c>
      <c r="CA1" s="559" t="s">
        <v>209</v>
      </c>
      <c r="CB1" s="560" t="s">
        <v>210</v>
      </c>
      <c r="CC1" s="560" t="s">
        <v>211</v>
      </c>
      <c r="CD1" s="560" t="s">
        <v>212</v>
      </c>
      <c r="CE1" s="560" t="s">
        <v>157</v>
      </c>
      <c r="CF1" s="560" t="s">
        <v>213</v>
      </c>
      <c r="CG1" s="561" t="s">
        <v>214</v>
      </c>
      <c r="CH1" s="461"/>
      <c r="CI1" s="558" t="str">
        <f t="array" ref="CI1:CZ1">TRANSPOSE($B$2:$B$19)</f>
        <v>Damage</v>
      </c>
      <c r="CJ1" s="228" t="s">
        <v>204</v>
      </c>
      <c r="CK1" s="228" t="s">
        <v>122</v>
      </c>
      <c r="CL1" s="228" t="s">
        <v>205</v>
      </c>
      <c r="CM1" s="228" t="s">
        <v>206</v>
      </c>
      <c r="CN1" s="228" t="s">
        <v>112</v>
      </c>
      <c r="CO1" s="559" t="s">
        <v>124</v>
      </c>
      <c r="CP1" s="559" t="s">
        <v>138</v>
      </c>
      <c r="CQ1" s="559" t="s">
        <v>207</v>
      </c>
      <c r="CR1" s="559" t="s">
        <v>208</v>
      </c>
      <c r="CS1" s="559" t="s">
        <v>163</v>
      </c>
      <c r="CT1" s="559" t="s">
        <v>209</v>
      </c>
      <c r="CU1" s="560" t="s">
        <v>210</v>
      </c>
      <c r="CV1" s="560" t="s">
        <v>211</v>
      </c>
      <c r="CW1" s="560" t="s">
        <v>212</v>
      </c>
      <c r="CX1" s="560" t="s">
        <v>157</v>
      </c>
      <c r="CY1" s="560" t="s">
        <v>213</v>
      </c>
      <c r="CZ1" s="561" t="s">
        <v>214</v>
      </c>
      <c r="DA1" s="461"/>
      <c r="DB1" s="558" t="str">
        <f t="array" ref="DB1:DS1">TRANSPOSE($B$2:$B$19)</f>
        <v>Damage</v>
      </c>
      <c r="DC1" s="228" t="s">
        <v>204</v>
      </c>
      <c r="DD1" s="228" t="s">
        <v>122</v>
      </c>
      <c r="DE1" s="228" t="s">
        <v>205</v>
      </c>
      <c r="DF1" s="228" t="s">
        <v>206</v>
      </c>
      <c r="DG1" s="228" t="s">
        <v>112</v>
      </c>
      <c r="DH1" s="559" t="s">
        <v>124</v>
      </c>
      <c r="DI1" s="559" t="s">
        <v>138</v>
      </c>
      <c r="DJ1" s="559" t="s">
        <v>207</v>
      </c>
      <c r="DK1" s="559" t="s">
        <v>208</v>
      </c>
      <c r="DL1" s="559" t="s">
        <v>163</v>
      </c>
      <c r="DM1" s="559" t="s">
        <v>209</v>
      </c>
      <c r="DN1" s="560" t="s">
        <v>210</v>
      </c>
      <c r="DO1" s="560" t="s">
        <v>211</v>
      </c>
      <c r="DP1" s="560" t="s">
        <v>212</v>
      </c>
      <c r="DQ1" s="560" t="s">
        <v>157</v>
      </c>
      <c r="DR1" s="560" t="s">
        <v>213</v>
      </c>
      <c r="DS1" s="561" t="s">
        <v>214</v>
      </c>
      <c r="DT1" s="562"/>
    </row>
    <row r="2">
      <c r="A2" s="563"/>
      <c r="B2" s="564" t="str">
        <f t="array" ref="B2:B19">TRANSPOSE(DVT_Workshop!I1:Z1)</f>
        <v>Damage</v>
      </c>
      <c r="C2" s="565" t="s">
        <v>215</v>
      </c>
      <c r="D2" s="566"/>
      <c r="E2" s="567" t="s">
        <v>216</v>
      </c>
      <c r="F2" s="566"/>
      <c r="G2" s="568"/>
      <c r="H2" s="569"/>
      <c r="I2" s="568"/>
      <c r="J2" s="569"/>
      <c r="K2" s="568"/>
      <c r="L2" s="569"/>
      <c r="M2" s="461"/>
      <c r="N2" s="10"/>
      <c r="O2" s="10"/>
      <c r="P2" s="10"/>
      <c r="Q2" s="570" t="str">
        <f>IFERROR(__xludf.DUMMYFUNCTION("IFERROR(IF(SUM(DB2:DS2),ARRAYFORMULA(FILTER(DB$1:DS$1, DB2:DS2=1)),))"),"Coin Bonus")</f>
        <v>Coin Bonus</v>
      </c>
      <c r="R2" s="571">
        <f>IFERROR(__xludf.DUMMYFUNCTION("IFERROR(IF(SUM(DB2:DS2),ARRAYFORMULA(FILTER(AW2:BN2, DB2:DS2=1))+1,))"),34.0)</f>
        <v>34</v>
      </c>
      <c r="S2" s="572">
        <f>IFERROR(__xludf.DUMMYFUNCTION("IF(SUM(DB2:DS2),ARRAYFORMULA(FILTER(AD2:AU2, DB2:DS2=1)),)"),5.147E14)</f>
        <v>514700000000000</v>
      </c>
      <c r="T2" s="572">
        <f>S2</f>
        <v>514700000000000</v>
      </c>
      <c r="U2" s="573" t="str">
        <f t="shared" ref="U2:V2" si="1">IFERROR(FORMAT_NUMBER(S2),"")</f>
        <v>514.7 T</v>
      </c>
      <c r="V2" s="574" t="str">
        <f t="shared" si="1"/>
        <v>514.7 T</v>
      </c>
      <c r="W2" s="461"/>
      <c r="X2" s="575" t="s">
        <v>217</v>
      </c>
      <c r="Y2" s="576" t="s">
        <v>102</v>
      </c>
      <c r="Z2" s="577">
        <f>SWITCH($O$3,
'Master Sheet'!R$1,'Master Sheet'!R3,
'Master Sheet'!S$1,'Master Sheet'!S3,
'Master Sheet'!T$1,'Master Sheet'!T3,
'Master Sheet'!U$1,'Master Sheet'!U3,
'Master Sheet'!V$1,'Master Sheet'!V3)</f>
        <v>56</v>
      </c>
      <c r="AA2" s="578">
        <f t="shared" ref="AA2:AA19" si="4">IF(Y2=AA$21,, LET(
ratio,SWITCH($O$3,
$C$1,$C2,
$E$1,$E2,
$G$1,$G2,
$I$1,$I2,
$K$1,$K2),
IFERROR(LEFT(ratio,1)/RIGHT(ratio,LEN(ratio)-2),0)))</f>
        <v>0.125</v>
      </c>
      <c r="AB2" s="579" t="str">
        <f t="shared" ref="AB2:AB19" si="5">SWITCH($O$3,
$C$1,$D2,
$E$1,$F2,
$G$1,$H2,
$I$1,$J2,
$K$1,$L2)</f>
        <v/>
      </c>
      <c r="AC2" s="461"/>
      <c r="AD2" s="580">
        <f t="shared" ref="AD2:AU2" si="2">IFERROR(WSPCOST_SINGLE_ADJUSTED(AD$1,1+AW2),)</f>
        <v>37110000000000</v>
      </c>
      <c r="AE2" s="252">
        <f t="shared" si="2"/>
        <v>82420000000</v>
      </c>
      <c r="AF2" s="252">
        <f t="shared" si="2"/>
        <v>69650000000000</v>
      </c>
      <c r="AG2" s="252">
        <f t="shared" si="2"/>
        <v>21210000000</v>
      </c>
      <c r="AH2" s="252">
        <f t="shared" si="2"/>
        <v>43890000000000</v>
      </c>
      <c r="AI2" s="252">
        <f t="shared" si="2"/>
        <v>47710000000000</v>
      </c>
      <c r="AJ2" s="390">
        <f t="shared" si="2"/>
        <v>92140000000000</v>
      </c>
      <c r="AK2" s="390">
        <f t="shared" si="2"/>
        <v>69650000000000</v>
      </c>
      <c r="AL2" s="390">
        <f t="shared" si="2"/>
        <v>5000000000</v>
      </c>
      <c r="AM2" s="390">
        <f t="shared" si="2"/>
        <v>33950000000</v>
      </c>
      <c r="AN2" s="390">
        <f t="shared" si="2"/>
        <v>60080000000000</v>
      </c>
      <c r="AO2" s="390">
        <f t="shared" si="2"/>
        <v>22020000000000</v>
      </c>
      <c r="AP2" s="469">
        <f t="shared" si="2"/>
        <v>5240000000000</v>
      </c>
      <c r="AQ2" s="469">
        <f t="shared" si="2"/>
        <v>514700000000000</v>
      </c>
      <c r="AR2" s="469">
        <f t="shared" si="2"/>
        <v>82190000000000</v>
      </c>
      <c r="AS2" s="469">
        <f t="shared" si="2"/>
        <v>26590000000000</v>
      </c>
      <c r="AT2" s="469">
        <f t="shared" si="2"/>
        <v>3990000000000</v>
      </c>
      <c r="AU2" s="581">
        <f t="shared" si="2"/>
        <v>1.14E+15</v>
      </c>
      <c r="AV2" s="461"/>
      <c r="AW2" s="580">
        <f t="array" ref="AW2:BN2">TRANSPOSE($Z$2:$Z$19)</f>
        <v>56</v>
      </c>
      <c r="AX2" s="252">
        <v>21.0</v>
      </c>
      <c r="AY2" s="252">
        <v>60.0</v>
      </c>
      <c r="AZ2" s="252">
        <v>17.0</v>
      </c>
      <c r="BA2" s="252">
        <v>57.0</v>
      </c>
      <c r="BB2" s="252">
        <v>13.0</v>
      </c>
      <c r="BC2" s="390">
        <v>62.0</v>
      </c>
      <c r="BD2" s="390">
        <v>60.0</v>
      </c>
      <c r="BE2" s="390">
        <v>0.0</v>
      </c>
      <c r="BF2" s="390">
        <v>18.0</v>
      </c>
      <c r="BG2" s="390">
        <v>59.0</v>
      </c>
      <c r="BH2" s="390">
        <v>20.0</v>
      </c>
      <c r="BI2" s="469">
        <v>44.0</v>
      </c>
      <c r="BJ2" s="469">
        <v>33.0</v>
      </c>
      <c r="BK2" s="469">
        <v>25.0</v>
      </c>
      <c r="BL2" s="469">
        <v>12.0</v>
      </c>
      <c r="BM2" s="469">
        <v>42.0</v>
      </c>
      <c r="BN2" s="581">
        <v>15.0</v>
      </c>
      <c r="BO2" s="461"/>
      <c r="BP2" s="580">
        <f t="shared" ref="BP2:BP101" si="8">LET(
  DesiredFraction,$AA$2,
CostValue,AD2,
TargetCost,XLOOKUP($AA$21,$AD$1:$AU$1,$AD2:$AU2,,0),
Fraction,IFERROR(CostValue/TargetCost,),
IF(BP$1=$AA$21,
IF(SUM($BQ2:$CG2)=0, CostValue,),
IF(Fraction&lt;DesiredFraction, CostValue,)))</f>
        <v>37110000000000</v>
      </c>
      <c r="BQ2" s="252" t="str">
        <f t="shared" ref="BQ2:BQ101" si="9">LET(
  DesiredFraction,$AA$3,
CostValue,AE2,
TargetCost,XLOOKUP($AA$21,$AD$1:$AU$1,$AD2:$AU2,,0),
Fraction,IFERROR(CostValue/TargetCost,),
IF(BQ$1=$AA$21,
IF($BP2+SUM($BR2:$CG2)=0, CostValue,),
IF(Fraction&lt;DesiredFraction, CostValue,)))</f>
        <v/>
      </c>
      <c r="BR2" s="252">
        <f t="shared" ref="BR2:BR101" si="10">LET(
  DesiredFraction,$AA$4,
CostValue,AF2,
TargetCost,XLOOKUP($AA$21,$AD$1:$AU$1,$AD2:$AU2,,0),
Fraction,IFERROR(CostValue/TargetCost,),
IF(BR$1=$AA$21,
IF(SUM($BP2:$BQ2)+SUM($BS2:$CG2)=0, CostValue,),
IF(Fraction&lt;DesiredFraction, CostValue,)))</f>
        <v>69650000000000</v>
      </c>
      <c r="BS2" s="252" t="str">
        <f t="shared" ref="BS2:BS101" si="11">LET(
  DesiredFraction,$AA$5,
CostValue,AG2,
TargetCost,XLOOKUP($AA$21,$AD$1:$AU$1,$AD2:$AU2,,0),
Fraction,IFERROR(CostValue/TargetCost,),
IF(BS$1=$AA$21,
IF(SUM($BP2:$BR2)+SUM($BT2:$CG2)=0, CostValue,),
IF(Fraction&lt;DesiredFraction, CostValue,)))</f>
        <v/>
      </c>
      <c r="BT2" s="252" t="str">
        <f t="shared" ref="BT2:BT101" si="12">LET(
  DesiredFraction,$AA$6,
CostValue,AH2,
TargetCost,XLOOKUP($AA$21,$AD$1:$AU$1,$AD2:$AU2,,0),
Fraction,IFERROR(CostValue/TargetCost,),
IF(BT$1=$AA$21,
IF(SUM($BP2:$BS2)+SUM($BU2:$CG2)=0, CostValue,),
IF(Fraction&lt;DesiredFraction, CostValue,)))</f>
        <v/>
      </c>
      <c r="BU2" s="252">
        <f t="shared" ref="BU2:BU101" si="13">LET(
  DesiredFraction,$AA$7,
CostValue,AI2,
TargetCost,XLOOKUP($AA$21,$AD$1:$AU$1,$AD2:$AU2,,0),
Fraction,IFERROR(CostValue/TargetCost,),
IF(BU$1=$AA$21,
IF(SUM($BP2:$BT2)+SUM($BV2:$CG2)=0, CostValue,),
IF(Fraction&lt;DesiredFraction, CostValue,)))</f>
        <v>47710000000000</v>
      </c>
      <c r="BV2" s="390">
        <f t="shared" ref="BV2:BV101" si="14">LET(
  DesiredFraction,$AA$8,
CostValue,AJ2,
TargetCost,XLOOKUP($AA$21,$AD$1:$AU$1,$AD2:$AU2,,0),
Fraction,IFERROR(CostValue/TargetCost,),
IF(BV$1=$AA$21,
IF(SUM($BP2:$BU2)+SUM($BW2:$CG2)=0, CostValue,),
IF(Fraction&lt;DesiredFraction, CostValue,)))</f>
        <v>92140000000000</v>
      </c>
      <c r="BW2" s="390">
        <f t="shared" ref="BW2:BW101" si="15">LET(
  DesiredFraction,$AA$9,
CostValue,AK2,
TargetCost,XLOOKUP($AA$21,$AD$1:$AU$1,$AD2:$AU2,,0),
Fraction,IFERROR(CostValue/TargetCost,),
IF(BW$1=$AA$21,
IF(SUM($BP2:$BV2)+SUM($BX2:$CG2)=0, CostValue,),
IF(Fraction&lt;DesiredFraction, CostValue,)))</f>
        <v>69650000000000</v>
      </c>
      <c r="BX2" s="390" t="str">
        <f t="shared" ref="BX2:BX101" si="16">LET(
  DesiredFraction,$AA$10,
CostValue,AL2,
TargetCost,XLOOKUP($AA$21,$AD$1:$AU$1,$AD2:$AU2,,0),
Fraction,IFERROR(CostValue/TargetCost,),
IF(BX$1=$AA$21,
IF(SUM($BP2:$BW2)+SUM($BY2:$CG2)=0, CostValue,),
IF(Fraction&lt;DesiredFraction, CostValue,)))</f>
        <v/>
      </c>
      <c r="BY2" s="390" t="str">
        <f t="shared" ref="BY2:BY101" si="17">LET(
  DesiredFraction,$AA$11,
CostValue,AM2,
TargetCost,XLOOKUP($AA$21,$AD$1:$AU$1,$AD2:$AU2,,0),
Fraction,IFERROR(CostValue/TargetCost,),
IF(BY$1=$AA$21,
IF(SUM($BP2:$BX2)+SUM($BZ2:$CG2)=0, CostValue,),
IF(Fraction&lt;DesiredFraction, CostValue,)))</f>
        <v/>
      </c>
      <c r="BZ2" s="390">
        <f t="shared" ref="BZ2:BZ101" si="18">LET(
  DesiredFraction,$AA$12,
CostValue,AN2,
TargetCost,XLOOKUP($AA$21,$AD$1:$AU$1,$AD2:$AU2,,0),
Fraction,IFERROR(CostValue/TargetCost,),
IF(BZ$1=$AA$21,
IF(SUM($BP2:$BY2)+SUM($CA2:$CG2)=0, CostValue,),
IF(Fraction&lt;DesiredFraction, CostValue,)))</f>
        <v>60080000000000</v>
      </c>
      <c r="CA2" s="390">
        <f t="shared" ref="CA2:CA101" si="19">LET(
  DesiredFraction,$AA$13,
CostValue,AO2,
TargetCost,XLOOKUP($AA$21,$AD$1:$AU$1,$AD2:$AU2,,0),
Fraction,IFERROR(CostValue/TargetCost,),
IF(CA$1=$AA$21,
IF(SUM($BP2:$BZ2)+SUM($CB2:$CG2)=0, CostValue,),
IF(Fraction&lt;DesiredFraction, CostValue,)))</f>
        <v>22020000000000</v>
      </c>
      <c r="CB2" s="469">
        <f t="shared" ref="CB2:CB101" si="20">LET(
  DesiredFraction,$AA$14,
CostValue,AP2,
TargetCost,XLOOKUP($AA$21,$AD$1:$AU$1,$AD2:$AU2,,0),
Fraction,IFERROR(CostValue/TargetCost,),
IF(CB$1=$AA$21,
IF(SUM($BP2:$CA2)+SUM($CC2:$CG2)=0, CostValue,),
IF(Fraction&lt;DesiredFraction, CostValue,)))</f>
        <v>5240000000000</v>
      </c>
      <c r="CC2" s="469">
        <f t="shared" ref="CC2:CC101" si="21">LET(
  DesiredFraction,$AA$15,
CostValue,AQ2,
TargetCost,XLOOKUP($AA$21,$AD$1:$AU$1,$AD2:$AU2,,0),
Fraction,IFERROR(CostValue/TargetCost,),
IF(CC$1=$AA$21,
IF(SUM($BP2:$CB2)+SUM($CD2:$CG2)=0, CostValue,),
IF(Fraction&lt;DesiredFraction, CostValue,)))</f>
        <v>514700000000000</v>
      </c>
      <c r="CD2" s="469">
        <f t="shared" ref="CD2:CD101" si="22">LET(
  DesiredFraction,$AA$16,
CostValue,AR2,
TargetCost,XLOOKUP($AA$21,$AD$1:$AU$1,$AD2:$AU2,,0),
Fraction,IFERROR(CostValue/TargetCost,),
IF(CD$1=$AA$21,
IF(SUM($BP2:$CC2)+SUM($CE2:$CG2)=0, CostValue,),
IF(Fraction&lt;DesiredFraction, CostValue,)))</f>
        <v>82190000000000</v>
      </c>
      <c r="CE2" s="469">
        <f t="shared" ref="CE2:CE101" si="23">LET(
  DesiredFraction,$AA$17,
CostValue,AS2,
TargetCost,XLOOKUP($AA$21,$AD$1:$AU$1,$AD2:$AU2,,0),
Fraction,IFERROR(CostValue/TargetCost,),
IF(CE$1=$AA$21,
IF(SUM($BP2:$CD2)+SUM($CF2:$CG2)=0, CostValue,),
IF(Fraction&lt;DesiredFraction, CostValue,)))</f>
        <v>26590000000000</v>
      </c>
      <c r="CF2" s="469" t="str">
        <f t="shared" ref="CF2:CF101" si="24">LET(
  DesiredFraction,$AA$18,
CostValue,AT2,
TargetCost,XLOOKUP($AA$21,$AD$1:$AU$1,$AD2:$AU2,,0),
Fraction,IFERROR(CostValue/TargetCost,),
IF(CF$1=$AA$21,
IF(SUM($BP2:$CE2)+$CG2=0, CostValue,),
IF(Fraction&lt;DesiredFraction, CostValue,)))</f>
        <v/>
      </c>
      <c r="CG2" s="581" t="str">
        <f t="shared" ref="CG2:CG101" si="25">LET(
  DesiredFraction,$AA$19,
CostValue,AU2,
TargetCost,XLOOKUP($AA$21,$AD$1:$AU$1,$AD2:$AU2,,0),
Fraction,IFERROR(CostValue/TargetCost,),
IF(CG$1=$AA$21,
IF(SUM($BP2:$CF2)=0, CostValue,),
IF(Fraction&lt;DesiredFraction, CostValue,)))</f>
        <v/>
      </c>
      <c r="CH2" s="461"/>
      <c r="CI2" s="580" t="str">
        <f t="array" ref="CI2">LET(
array,SORT({$Y$2:$AB$19,TRANSPOSE($BP2:$CG2)},4,TRUE),
col,CHOOSECOLS(array,5),
row,MATCH(FALSE, ISBLANK(col), 0),
IF(BP2=SWITCH($AA$22,
"minimum cost", MIN($BP2:$CG2),
"maximum cost", MAX($BP2:$CG2), 
"custom order", IF(CI$1=INDEX(array, row,1),INDEX(array, row,5),"x"))
,1,))</f>
        <v/>
      </c>
      <c r="CJ2" s="252" t="str">
        <f t="array" ref="CJ2">LET(
array,SORT({$Y$2:$AB$19,TRANSPOSE($BP2:$CG2)},4,TRUE),
col,CHOOSECOLS(array,5),
row,MATCH(FALSE, ISBLANK(col), 0),
IF(BQ2=SWITCH($AA$22,
"minimum cost", MIN($BP2:$CG2),
"maximum cost", MAX($BP2:$CG2), 
"custom order", IF(CJ$1=INDEX(array, row,1),INDEX(array, row,5),"x"))
,1,))</f>
        <v/>
      </c>
      <c r="CK2" s="252" t="str">
        <f t="array" ref="CK2">LET(
array,SORT({$Y$2:$AB$19,TRANSPOSE($BP2:$CG2)},4,TRUE),
col,CHOOSECOLS(array,5),
row,MATCH(FALSE, ISBLANK(col), 0),
IF(BR2=SWITCH($AA$22,
"minimum cost", MIN($BP2:$CG2),
"maximum cost", MAX($BP2:$CG2), 
"custom order", IF(CK$1=INDEX(array, row,1),INDEX(array, row,5),"x"))
,1,))</f>
        <v/>
      </c>
      <c r="CL2" s="252" t="str">
        <f t="array" ref="CL2">LET(
array,SORT({$Y$2:$AB$19,TRANSPOSE($BP2:$CG2)},4,TRUE),
col,CHOOSECOLS(array,5),
row,MATCH(FALSE, ISBLANK(col), 0),
IF(BS2=SWITCH($AA$22,
"minimum cost", MIN($BP2:$CG2),
"maximum cost", MAX($BP2:$CG2), 
"custom order", IF(CL$1=INDEX(array, row,1),INDEX(array, row,5),"x"))
,1,))</f>
        <v/>
      </c>
      <c r="CM2" s="252" t="str">
        <f t="array" ref="CM2">LET(
array,SORT({$Y$2:$AB$19,TRANSPOSE($BP2:$CG2)},4,TRUE),
col,CHOOSECOLS(array,5),
row,MATCH(FALSE, ISBLANK(col), 0),
IF(BT2=SWITCH($AA$22,
"minimum cost", MIN($BP2:$CG2),
"maximum cost", MAX($BP2:$CG2), 
"custom order", IF(CM$1=INDEX(array, row,1),INDEX(array, row,5),"x"))
,1,))</f>
        <v/>
      </c>
      <c r="CN2" s="252" t="str">
        <f t="array" ref="CN2">LET(
array,SORT({$Y$2:$AB$19,TRANSPOSE($BP2:$CG2)},4,TRUE),
col,CHOOSECOLS(array,5),
row,MATCH(FALSE, ISBLANK(col), 0),
IF(BU2=SWITCH($AA$22,
"minimum cost", MIN($BP2:$CG2),
"maximum cost", MAX($BP2:$CG2), 
"custom order", IF(CN$1=INDEX(array, row,1),INDEX(array, row,5),"x"))
,1,))</f>
        <v/>
      </c>
      <c r="CO2" s="390" t="str">
        <f t="array" ref="CO2">LET(
array,SORT({$Y$2:$AB$19,TRANSPOSE($BP2:$CG2)},4,TRUE),
col,CHOOSECOLS(array,5),
row,MATCH(FALSE, ISBLANK(col), 0),
IF(BV2=SWITCH($AA$22,
"minimum cost", MIN($BP2:$CG2),
"maximum cost", MAX($BP2:$CG2), 
"custom order", IF(CO$1=INDEX(array, row,1),INDEX(array, row,5),"x"))
,1,))</f>
        <v/>
      </c>
      <c r="CP2" s="390" t="str">
        <f t="array" ref="CP2">LET(
array,SORT({$Y$2:$AB$19,TRANSPOSE($BP2:$CG2)},4,TRUE),
col,CHOOSECOLS(array,5),
row,MATCH(FALSE, ISBLANK(col), 0),
IF(BW2=SWITCH($AA$22,
"minimum cost", MIN($BP2:$CG2),
"maximum cost", MAX($BP2:$CG2), 
"custom order", IF(CP$1=INDEX(array, row,1),INDEX(array, row,5),"x"))
,1,))</f>
        <v/>
      </c>
      <c r="CQ2" s="390" t="str">
        <f t="array" ref="CQ2">LET(
array,SORT({$Y$2:$AB$19,TRANSPOSE($BP2:$CG2)},4,TRUE),
col,CHOOSECOLS(array,5),
row,MATCH(FALSE, ISBLANK(col), 0),
IF(BX2=SWITCH($AA$22,
"minimum cost", MIN($BP2:$CG2),
"maximum cost", MAX($BP2:$CG2), 
"custom order", IF(CQ$1=INDEX(array, row,1),INDEX(array, row,5),"x"))
,1,))</f>
        <v/>
      </c>
      <c r="CR2" s="390" t="str">
        <f t="array" ref="CR2">LET(
array,SORT({$Y$2:$AB$19,TRANSPOSE($BP2:$CG2)},4,TRUE),
col,CHOOSECOLS(array,5),
row,MATCH(FALSE, ISBLANK(col), 0),
IF(BY2=SWITCH($AA$22,
"minimum cost", MIN($BP2:$CG2),
"maximum cost", MAX($BP2:$CG2), 
"custom order", IF(CR$1=INDEX(array, row,1),INDEX(array, row,5),"x"))
,1,))</f>
        <v/>
      </c>
      <c r="CS2" s="390" t="str">
        <f t="array" ref="CS2">LET(
array,SORT({$Y$2:$AB$19,TRANSPOSE($BP2:$CG2)},4,TRUE),
col,CHOOSECOLS(array,5),
row,MATCH(FALSE, ISBLANK(col), 0),
IF(BZ2=SWITCH($AA$22,
"minimum cost", MIN($BP2:$CG2),
"maximum cost", MAX($BP2:$CG2), 
"custom order", IF(CS$1=INDEX(array, row,1),INDEX(array, row,5),"x"))
,1,))</f>
        <v/>
      </c>
      <c r="CT2" s="390" t="str">
        <f t="array" ref="CT2">LET(
array,SORT({$Y$2:$AB$19,TRANSPOSE($BP2:$CG2)},4,TRUE),
col,CHOOSECOLS(array,5),
row,MATCH(FALSE, ISBLANK(col), 0),
IF(CA2=SWITCH($AA$22,
"minimum cost", MIN($BP2:$CG2),
"maximum cost", MAX($BP2:$CG2), 
"custom order", IF(CT$1=INDEX(array, row,1),INDEX(array, row,5),"x"))
,1,))</f>
        <v/>
      </c>
      <c r="CU2" s="469" t="str">
        <f t="array" ref="CU2">LET(
array,SORT({$Y$2:$AB$19,TRANSPOSE($BP2:$CG2)},4,TRUE),
col,CHOOSECOLS(array,5),
row,MATCH(FALSE, ISBLANK(col), 0),
IF(CB2=SWITCH($AA$22,
"minimum cost", MIN($BP2:$CG2),
"maximum cost", MAX($BP2:$CG2), 
"custom order", IF(CU$1=INDEX(array, row,1),INDEX(array, row,5),"x"))
,1,))</f>
        <v/>
      </c>
      <c r="CV2" s="469">
        <f t="array" ref="CV2">LET(
array,SORT({$Y$2:$AB$19,TRANSPOSE($BP2:$CG2)},4,TRUE),
col,CHOOSECOLS(array,5),
row,MATCH(FALSE, ISBLANK(col), 0),
IF(CC2=SWITCH($AA$22,
"minimum cost", MIN($BP2:$CG2),
"maximum cost", MAX($BP2:$CG2), 
"custom order", IF(CV$1=INDEX(array, row,1),INDEX(array, row,5),"x"))
,1,))</f>
        <v>1</v>
      </c>
      <c r="CW2" s="469" t="str">
        <f t="array" ref="CW2">LET(
array,SORT({$Y$2:$AB$19,TRANSPOSE($BP2:$CG2)},4,TRUE),
col,CHOOSECOLS(array,5),
row,MATCH(FALSE, ISBLANK(col), 0),
IF(CD2=SWITCH($AA$22,
"minimum cost", MIN($BP2:$CG2),
"maximum cost", MAX($BP2:$CG2), 
"custom order", IF(CW$1=INDEX(array, row,1),INDEX(array, row,5),"x"))
,1,))</f>
        <v/>
      </c>
      <c r="CX2" s="469" t="str">
        <f t="array" ref="CX2">LET(
array,SORT({$Y$2:$AB$19,TRANSPOSE($BP2:$CG2)},4,TRUE),
col,CHOOSECOLS(array,5),
row,MATCH(FALSE, ISBLANK(col), 0),
IF(CE2=SWITCH($AA$22,
"minimum cost", MIN($BP2:$CG2),
"maximum cost", MAX($BP2:$CG2), 
"custom order", IF(CX$1=INDEX(array, row,1),INDEX(array, row,5),"x"))
,1,))</f>
        <v/>
      </c>
      <c r="CY2" s="469" t="str">
        <f t="array" ref="CY2">LET(
array,SORT({$Y$2:$AB$19,TRANSPOSE($BP2:$CG2)},4,TRUE),
col,CHOOSECOLS(array,5),
row,MATCH(FALSE, ISBLANK(col), 0),
IF(CF2=SWITCH($AA$22,
"minimum cost", MIN($BP2:$CG2),
"maximum cost", MAX($BP2:$CG2), 
"custom order", IF(CY$1=INDEX(array, row,1),INDEX(array, row,5),"x"))
,1,))</f>
        <v/>
      </c>
      <c r="CZ2" s="581" t="str">
        <f t="array" ref="CZ2">LET(
array,SORT({$Y$2:$AB$19,TRANSPOSE($BP2:$CG2)},4,TRUE),
col,CHOOSECOLS(array,5),
row,MATCH(FALSE, ISBLANK(col), 0),
IF(CG2=SWITCH($AA$22,
"minimum cost", MIN($BP2:$CG2),
"maximum cost", MAX($BP2:$CG2), 
"custom order", IF(CZ$1=INDEX(array, row,1),INDEX(array, row,5),"x"))
,1,))</f>
        <v/>
      </c>
      <c r="DA2" s="461"/>
      <c r="DB2" s="580" t="str">
        <f t="array" ref="DB2:DS2">IF(MATCH(1, CI2:CZ2, 0)=COLUMN(CI2:CZ2)-COLUMN(CI2)+1, CI2:CZ2, "")</f>
        <v/>
      </c>
      <c r="DC2" s="252" t="s">
        <v>133</v>
      </c>
      <c r="DD2" s="252" t="s">
        <v>133</v>
      </c>
      <c r="DE2" s="252" t="s">
        <v>133</v>
      </c>
      <c r="DF2" s="252" t="s">
        <v>133</v>
      </c>
      <c r="DG2" s="252" t="s">
        <v>133</v>
      </c>
      <c r="DH2" s="390" t="s">
        <v>133</v>
      </c>
      <c r="DI2" s="390" t="s">
        <v>133</v>
      </c>
      <c r="DJ2" s="390" t="s">
        <v>133</v>
      </c>
      <c r="DK2" s="390" t="s">
        <v>133</v>
      </c>
      <c r="DL2" s="390" t="s">
        <v>133</v>
      </c>
      <c r="DM2" s="390" t="s">
        <v>133</v>
      </c>
      <c r="DN2" s="469" t="s">
        <v>133</v>
      </c>
      <c r="DO2" s="469">
        <v>1.0</v>
      </c>
      <c r="DP2" s="469" t="s">
        <v>133</v>
      </c>
      <c r="DQ2" s="469" t="s">
        <v>133</v>
      </c>
      <c r="DR2" s="469" t="s">
        <v>133</v>
      </c>
      <c r="DS2" s="581" t="s">
        <v>133</v>
      </c>
      <c r="DT2" s="563"/>
    </row>
    <row r="3">
      <c r="A3" s="563"/>
      <c r="B3" s="582" t="s">
        <v>204</v>
      </c>
      <c r="C3" s="583"/>
      <c r="D3" s="584"/>
      <c r="E3" s="585"/>
      <c r="F3" s="584"/>
      <c r="G3" s="586"/>
      <c r="H3" s="587"/>
      <c r="I3" s="586"/>
      <c r="J3" s="587"/>
      <c r="K3" s="586"/>
      <c r="L3" s="587"/>
      <c r="M3" s="461"/>
      <c r="N3" s="588" t="s">
        <v>218</v>
      </c>
      <c r="O3" s="589" t="s">
        <v>87</v>
      </c>
      <c r="P3" s="10"/>
      <c r="Q3" s="570" t="str">
        <f>IFERROR(__xludf.DUMMYFUNCTION("IFERROR(IF(SUM(DB3:DS3),ARRAYFORMULA(FILTER(DB$1:DS$1, DB3:DS3=1)),))"),"Coin Bonus")</f>
        <v>Coin Bonus</v>
      </c>
      <c r="R3" s="571">
        <f>IFERROR(__xludf.DUMMYFUNCTION("IFERROR(IF(SUM(DB3:DS3),ARRAYFORMULA(FILTER(AW3:BN3, DB3:DS3=1))+1,))"),35.0)</f>
        <v>35</v>
      </c>
      <c r="S3" s="572">
        <f>IFERROR(__xludf.DUMMYFUNCTION("IF(SUM(DB3:DS3),ARRAYFORMULA(FILTER(AD3:AU3, DB3:DS3=1)),)"),6.6446E14)</f>
        <v>664460000000000</v>
      </c>
      <c r="T3" s="572">
        <f t="shared" ref="T3:T101" si="26">T2+S3</f>
        <v>1.17916E+15</v>
      </c>
      <c r="U3" s="573" t="str">
        <f t="shared" ref="U3:V3" si="3">IFERROR(FORMAT_NUMBER(S3),"")</f>
        <v>664.46 T</v>
      </c>
      <c r="V3" s="574" t="str">
        <f t="shared" si="3"/>
        <v>1.18 q</v>
      </c>
      <c r="W3" s="461"/>
      <c r="Y3" s="590" t="s">
        <v>204</v>
      </c>
      <c r="Z3" s="591">
        <f>SWITCH($O$3,
'Master Sheet'!R$1,'Master Sheet'!R4,
'Master Sheet'!S$1,'Master Sheet'!S4,
'Master Sheet'!T$1,'Master Sheet'!T4,
'Master Sheet'!U$1,'Master Sheet'!U4,
'Master Sheet'!V$1,'Master Sheet'!V4)</f>
        <v>21</v>
      </c>
      <c r="AA3" s="592">
        <f t="shared" si="4"/>
        <v>0</v>
      </c>
      <c r="AB3" s="593" t="str">
        <f t="shared" si="5"/>
        <v/>
      </c>
      <c r="AC3" s="461"/>
      <c r="AD3" s="580">
        <f t="shared" ref="AD3:AU3" si="6">IFERROR(WSPCOST_SINGLE_ADJUSTED(AD$1,1+AW3),)</f>
        <v>37110000000000</v>
      </c>
      <c r="AE3" s="252">
        <f t="shared" si="6"/>
        <v>82420000000</v>
      </c>
      <c r="AF3" s="252">
        <f t="shared" si="6"/>
        <v>69650000000000</v>
      </c>
      <c r="AG3" s="252">
        <f t="shared" si="6"/>
        <v>21210000000</v>
      </c>
      <c r="AH3" s="252">
        <f t="shared" si="6"/>
        <v>43890000000000</v>
      </c>
      <c r="AI3" s="252">
        <f t="shared" si="6"/>
        <v>47710000000000</v>
      </c>
      <c r="AJ3" s="390">
        <f t="shared" si="6"/>
        <v>92140000000000</v>
      </c>
      <c r="AK3" s="390">
        <f t="shared" si="6"/>
        <v>69650000000000</v>
      </c>
      <c r="AL3" s="390">
        <f t="shared" si="6"/>
        <v>5000000000</v>
      </c>
      <c r="AM3" s="390">
        <f t="shared" si="6"/>
        <v>33950000000</v>
      </c>
      <c r="AN3" s="390">
        <f t="shared" si="6"/>
        <v>60080000000000</v>
      </c>
      <c r="AO3" s="390">
        <f t="shared" si="6"/>
        <v>22020000000000</v>
      </c>
      <c r="AP3" s="469">
        <f t="shared" si="6"/>
        <v>5240000000000</v>
      </c>
      <c r="AQ3" s="469">
        <f t="shared" si="6"/>
        <v>664460000000000</v>
      </c>
      <c r="AR3" s="469">
        <f t="shared" si="6"/>
        <v>82190000000000</v>
      </c>
      <c r="AS3" s="469">
        <f t="shared" si="6"/>
        <v>26590000000000</v>
      </c>
      <c r="AT3" s="469">
        <f t="shared" si="6"/>
        <v>3990000000000</v>
      </c>
      <c r="AU3" s="581">
        <f t="shared" si="6"/>
        <v>1.14E+15</v>
      </c>
      <c r="AV3" s="461"/>
      <c r="AW3" s="580">
        <f t="shared" ref="AW3:BN3" si="7">AW2+DB2</f>
        <v>56</v>
      </c>
      <c r="AX3" s="252">
        <f t="shared" si="7"/>
        <v>21</v>
      </c>
      <c r="AY3" s="252">
        <f t="shared" si="7"/>
        <v>60</v>
      </c>
      <c r="AZ3" s="252">
        <f t="shared" si="7"/>
        <v>17</v>
      </c>
      <c r="BA3" s="252">
        <f t="shared" si="7"/>
        <v>57</v>
      </c>
      <c r="BB3" s="252">
        <f t="shared" si="7"/>
        <v>13</v>
      </c>
      <c r="BC3" s="390">
        <f t="shared" si="7"/>
        <v>62</v>
      </c>
      <c r="BD3" s="390">
        <f t="shared" si="7"/>
        <v>60</v>
      </c>
      <c r="BE3" s="390">
        <f t="shared" si="7"/>
        <v>0</v>
      </c>
      <c r="BF3" s="390">
        <f t="shared" si="7"/>
        <v>18</v>
      </c>
      <c r="BG3" s="390">
        <f t="shared" si="7"/>
        <v>59</v>
      </c>
      <c r="BH3" s="390">
        <f t="shared" si="7"/>
        <v>20</v>
      </c>
      <c r="BI3" s="469">
        <f t="shared" si="7"/>
        <v>44</v>
      </c>
      <c r="BJ3" s="469">
        <f t="shared" si="7"/>
        <v>34</v>
      </c>
      <c r="BK3" s="469">
        <f t="shared" si="7"/>
        <v>25</v>
      </c>
      <c r="BL3" s="469">
        <f t="shared" si="7"/>
        <v>12</v>
      </c>
      <c r="BM3" s="469">
        <f t="shared" si="7"/>
        <v>42</v>
      </c>
      <c r="BN3" s="581">
        <f t="shared" si="7"/>
        <v>15</v>
      </c>
      <c r="BO3" s="461"/>
      <c r="BP3" s="580">
        <f t="shared" si="8"/>
        <v>37110000000000</v>
      </c>
      <c r="BQ3" s="252" t="str">
        <f t="shared" si="9"/>
        <v/>
      </c>
      <c r="BR3" s="252">
        <f t="shared" si="10"/>
        <v>69650000000000</v>
      </c>
      <c r="BS3" s="252" t="str">
        <f t="shared" si="11"/>
        <v/>
      </c>
      <c r="BT3" s="252" t="str">
        <f t="shared" si="12"/>
        <v/>
      </c>
      <c r="BU3" s="252">
        <f t="shared" si="13"/>
        <v>47710000000000</v>
      </c>
      <c r="BV3" s="390">
        <f t="shared" si="14"/>
        <v>92140000000000</v>
      </c>
      <c r="BW3" s="390">
        <f t="shared" si="15"/>
        <v>69650000000000</v>
      </c>
      <c r="BX3" s="390" t="str">
        <f t="shared" si="16"/>
        <v/>
      </c>
      <c r="BY3" s="390" t="str">
        <f t="shared" si="17"/>
        <v/>
      </c>
      <c r="BZ3" s="390">
        <f t="shared" si="18"/>
        <v>60080000000000</v>
      </c>
      <c r="CA3" s="390">
        <f t="shared" si="19"/>
        <v>22020000000000</v>
      </c>
      <c r="CB3" s="469">
        <f t="shared" si="20"/>
        <v>5240000000000</v>
      </c>
      <c r="CC3" s="469">
        <f t="shared" si="21"/>
        <v>664460000000000</v>
      </c>
      <c r="CD3" s="469">
        <f t="shared" si="22"/>
        <v>82190000000000</v>
      </c>
      <c r="CE3" s="469">
        <f t="shared" si="23"/>
        <v>26590000000000</v>
      </c>
      <c r="CF3" s="469" t="str">
        <f t="shared" si="24"/>
        <v/>
      </c>
      <c r="CG3" s="581" t="str">
        <f t="shared" si="25"/>
        <v/>
      </c>
      <c r="CH3" s="461"/>
      <c r="CI3" s="580" t="str">
        <f t="array" ref="CI3">LET(
array,SORT({$Y$2:$AB$19,TRANSPOSE($BP3:$CG3)},4,TRUE),
col,CHOOSECOLS(array,5),
row,MATCH(FALSE, ISBLANK(col), 0),
IF(BP3=SWITCH($AA$22,
"minimum cost", MIN($BP3:$CG3),
"maximum cost", MAX($BP3:$CG3), 
"custom order", IF(CI$1=INDEX(array, row,1),INDEX(array, row,5),"x"))
,1,))</f>
        <v/>
      </c>
      <c r="CJ3" s="252" t="str">
        <f t="array" ref="CJ3">LET(
array,SORT({$Y$2:$AB$19,TRANSPOSE($BP3:$CG3)},4,TRUE),
col,CHOOSECOLS(array,5),
row,MATCH(FALSE, ISBLANK(col), 0),
IF(BQ3=SWITCH($AA$22,
"minimum cost", MIN($BP3:$CG3),
"maximum cost", MAX($BP3:$CG3), 
"custom order", IF(CJ$1=INDEX(array, row,1),INDEX(array, row,5),"x"))
,1,))</f>
        <v/>
      </c>
      <c r="CK3" s="252" t="str">
        <f t="array" ref="CK3">LET(
array,SORT({$Y$2:$AB$19,TRANSPOSE($BP3:$CG3)},4,TRUE),
col,CHOOSECOLS(array,5),
row,MATCH(FALSE, ISBLANK(col), 0),
IF(BR3=SWITCH($AA$22,
"minimum cost", MIN($BP3:$CG3),
"maximum cost", MAX($BP3:$CG3), 
"custom order", IF(CK$1=INDEX(array, row,1),INDEX(array, row,5),"x"))
,1,))</f>
        <v/>
      </c>
      <c r="CL3" s="252" t="str">
        <f t="array" ref="CL3">LET(
array,SORT({$Y$2:$AB$19,TRANSPOSE($BP3:$CG3)},4,TRUE),
col,CHOOSECOLS(array,5),
row,MATCH(FALSE, ISBLANK(col), 0),
IF(BS3=SWITCH($AA$22,
"minimum cost", MIN($BP3:$CG3),
"maximum cost", MAX($BP3:$CG3), 
"custom order", IF(CL$1=INDEX(array, row,1),INDEX(array, row,5),"x"))
,1,))</f>
        <v/>
      </c>
      <c r="CM3" s="252" t="str">
        <f t="array" ref="CM3">LET(
array,SORT({$Y$2:$AB$19,TRANSPOSE($BP3:$CG3)},4,TRUE),
col,CHOOSECOLS(array,5),
row,MATCH(FALSE, ISBLANK(col), 0),
IF(BT3=SWITCH($AA$22,
"minimum cost", MIN($BP3:$CG3),
"maximum cost", MAX($BP3:$CG3), 
"custom order", IF(CM$1=INDEX(array, row,1),INDEX(array, row,5),"x"))
,1,))</f>
        <v/>
      </c>
      <c r="CN3" s="252" t="str">
        <f t="array" ref="CN3">LET(
array,SORT({$Y$2:$AB$19,TRANSPOSE($BP3:$CG3)},4,TRUE),
col,CHOOSECOLS(array,5),
row,MATCH(FALSE, ISBLANK(col), 0),
IF(BU3=SWITCH($AA$22,
"minimum cost", MIN($BP3:$CG3),
"maximum cost", MAX($BP3:$CG3), 
"custom order", IF(CN$1=INDEX(array, row,1),INDEX(array, row,5),"x"))
,1,))</f>
        <v/>
      </c>
      <c r="CO3" s="390" t="str">
        <f t="array" ref="CO3">LET(
array,SORT({$Y$2:$AB$19,TRANSPOSE($BP3:$CG3)},4,TRUE),
col,CHOOSECOLS(array,5),
row,MATCH(FALSE, ISBLANK(col), 0),
IF(BV3=SWITCH($AA$22,
"minimum cost", MIN($BP3:$CG3),
"maximum cost", MAX($BP3:$CG3), 
"custom order", IF(CO$1=INDEX(array, row,1),INDEX(array, row,5),"x"))
,1,))</f>
        <v/>
      </c>
      <c r="CP3" s="390" t="str">
        <f t="array" ref="CP3">LET(
array,SORT({$Y$2:$AB$19,TRANSPOSE($BP3:$CG3)},4,TRUE),
col,CHOOSECOLS(array,5),
row,MATCH(FALSE, ISBLANK(col), 0),
IF(BW3=SWITCH($AA$22,
"minimum cost", MIN($BP3:$CG3),
"maximum cost", MAX($BP3:$CG3), 
"custom order", IF(CP$1=INDEX(array, row,1),INDEX(array, row,5),"x"))
,1,))</f>
        <v/>
      </c>
      <c r="CQ3" s="390" t="str">
        <f t="array" ref="CQ3">LET(
array,SORT({$Y$2:$AB$19,TRANSPOSE($BP3:$CG3)},4,TRUE),
col,CHOOSECOLS(array,5),
row,MATCH(FALSE, ISBLANK(col), 0),
IF(BX3=SWITCH($AA$22,
"minimum cost", MIN($BP3:$CG3),
"maximum cost", MAX($BP3:$CG3), 
"custom order", IF(CQ$1=INDEX(array, row,1),INDEX(array, row,5),"x"))
,1,))</f>
        <v/>
      </c>
      <c r="CR3" s="390" t="str">
        <f t="array" ref="CR3">LET(
array,SORT({$Y$2:$AB$19,TRANSPOSE($BP3:$CG3)},4,TRUE),
col,CHOOSECOLS(array,5),
row,MATCH(FALSE, ISBLANK(col), 0),
IF(BY3=SWITCH($AA$22,
"minimum cost", MIN($BP3:$CG3),
"maximum cost", MAX($BP3:$CG3), 
"custom order", IF(CR$1=INDEX(array, row,1),INDEX(array, row,5),"x"))
,1,))</f>
        <v/>
      </c>
      <c r="CS3" s="390" t="str">
        <f t="array" ref="CS3">LET(
array,SORT({$Y$2:$AB$19,TRANSPOSE($BP3:$CG3)},4,TRUE),
col,CHOOSECOLS(array,5),
row,MATCH(FALSE, ISBLANK(col), 0),
IF(BZ3=SWITCH($AA$22,
"minimum cost", MIN($BP3:$CG3),
"maximum cost", MAX($BP3:$CG3), 
"custom order", IF(CS$1=INDEX(array, row,1),INDEX(array, row,5),"x"))
,1,))</f>
        <v/>
      </c>
      <c r="CT3" s="390" t="str">
        <f t="array" ref="CT3">LET(
array,SORT({$Y$2:$AB$19,TRANSPOSE($BP3:$CG3)},4,TRUE),
col,CHOOSECOLS(array,5),
row,MATCH(FALSE, ISBLANK(col), 0),
IF(CA3=SWITCH($AA$22,
"minimum cost", MIN($BP3:$CG3),
"maximum cost", MAX($BP3:$CG3), 
"custom order", IF(CT$1=INDEX(array, row,1),INDEX(array, row,5),"x"))
,1,))</f>
        <v/>
      </c>
      <c r="CU3" s="469" t="str">
        <f t="array" ref="CU3">LET(
array,SORT({$Y$2:$AB$19,TRANSPOSE($BP3:$CG3)},4,TRUE),
col,CHOOSECOLS(array,5),
row,MATCH(FALSE, ISBLANK(col), 0),
IF(CB3=SWITCH($AA$22,
"minimum cost", MIN($BP3:$CG3),
"maximum cost", MAX($BP3:$CG3), 
"custom order", IF(CU$1=INDEX(array, row,1),INDEX(array, row,5),"x"))
,1,))</f>
        <v/>
      </c>
      <c r="CV3" s="469">
        <f t="array" ref="CV3">LET(
array,SORT({$Y$2:$AB$19,TRANSPOSE($BP3:$CG3)},4,TRUE),
col,CHOOSECOLS(array,5),
row,MATCH(FALSE, ISBLANK(col), 0),
IF(CC3=SWITCH($AA$22,
"minimum cost", MIN($BP3:$CG3),
"maximum cost", MAX($BP3:$CG3), 
"custom order", IF(CV$1=INDEX(array, row,1),INDEX(array, row,5),"x"))
,1,))</f>
        <v>1</v>
      </c>
      <c r="CW3" s="469" t="str">
        <f t="array" ref="CW3">LET(
array,SORT({$Y$2:$AB$19,TRANSPOSE($BP3:$CG3)},4,TRUE),
col,CHOOSECOLS(array,5),
row,MATCH(FALSE, ISBLANK(col), 0),
IF(CD3=SWITCH($AA$22,
"minimum cost", MIN($BP3:$CG3),
"maximum cost", MAX($BP3:$CG3), 
"custom order", IF(CW$1=INDEX(array, row,1),INDEX(array, row,5),"x"))
,1,))</f>
        <v/>
      </c>
      <c r="CX3" s="469" t="str">
        <f t="array" ref="CX3">LET(
array,SORT({$Y$2:$AB$19,TRANSPOSE($BP3:$CG3)},4,TRUE),
col,CHOOSECOLS(array,5),
row,MATCH(FALSE, ISBLANK(col), 0),
IF(CE3=SWITCH($AA$22,
"minimum cost", MIN($BP3:$CG3),
"maximum cost", MAX($BP3:$CG3), 
"custom order", IF(CX$1=INDEX(array, row,1),INDEX(array, row,5),"x"))
,1,))</f>
        <v/>
      </c>
      <c r="CY3" s="469" t="str">
        <f t="array" ref="CY3">LET(
array,SORT({$Y$2:$AB$19,TRANSPOSE($BP3:$CG3)},4,TRUE),
col,CHOOSECOLS(array,5),
row,MATCH(FALSE, ISBLANK(col), 0),
IF(CF3=SWITCH($AA$22,
"minimum cost", MIN($BP3:$CG3),
"maximum cost", MAX($BP3:$CG3), 
"custom order", IF(CY$1=INDEX(array, row,1),INDEX(array, row,5),"x"))
,1,))</f>
        <v/>
      </c>
      <c r="CZ3" s="581" t="str">
        <f t="array" ref="CZ3">LET(
array,SORT({$Y$2:$AB$19,TRANSPOSE($BP3:$CG3)},4,TRUE),
col,CHOOSECOLS(array,5),
row,MATCH(FALSE, ISBLANK(col), 0),
IF(CG3=SWITCH($AA$22,
"minimum cost", MIN($BP3:$CG3),
"maximum cost", MAX($BP3:$CG3), 
"custom order", IF(CZ$1=INDEX(array, row,1),INDEX(array, row,5),"x"))
,1,))</f>
        <v/>
      </c>
      <c r="DA3" s="461"/>
      <c r="DB3" s="580" t="str">
        <f t="array" ref="DB3:DS3">IF(MATCH(1, CI3:CZ3, 0)=COLUMN(CI3:CZ3)-COLUMN(CI3)+1, CI3:CZ3, "")</f>
        <v/>
      </c>
      <c r="DC3" s="252" t="s">
        <v>133</v>
      </c>
      <c r="DD3" s="252" t="s">
        <v>133</v>
      </c>
      <c r="DE3" s="252" t="s">
        <v>133</v>
      </c>
      <c r="DF3" s="252" t="s">
        <v>133</v>
      </c>
      <c r="DG3" s="252" t="s">
        <v>133</v>
      </c>
      <c r="DH3" s="390" t="s">
        <v>133</v>
      </c>
      <c r="DI3" s="390" t="s">
        <v>133</v>
      </c>
      <c r="DJ3" s="390" t="s">
        <v>133</v>
      </c>
      <c r="DK3" s="390" t="s">
        <v>133</v>
      </c>
      <c r="DL3" s="390" t="s">
        <v>133</v>
      </c>
      <c r="DM3" s="390" t="s">
        <v>133</v>
      </c>
      <c r="DN3" s="469" t="s">
        <v>133</v>
      </c>
      <c r="DO3" s="469">
        <v>1.0</v>
      </c>
      <c r="DP3" s="469" t="s">
        <v>133</v>
      </c>
      <c r="DQ3" s="469" t="s">
        <v>133</v>
      </c>
      <c r="DR3" s="469" t="s">
        <v>133</v>
      </c>
      <c r="DS3" s="581" t="s">
        <v>133</v>
      </c>
      <c r="DT3" s="563"/>
    </row>
    <row r="4">
      <c r="A4" s="563"/>
      <c r="B4" s="594" t="s">
        <v>122</v>
      </c>
      <c r="C4" s="595" t="s">
        <v>215</v>
      </c>
      <c r="D4" s="587"/>
      <c r="E4" s="596" t="s">
        <v>219</v>
      </c>
      <c r="F4" s="587"/>
      <c r="G4" s="596"/>
      <c r="H4" s="597"/>
      <c r="I4" s="596"/>
      <c r="J4" s="597"/>
      <c r="K4" s="596"/>
      <c r="L4" s="597"/>
      <c r="M4" s="461"/>
      <c r="N4" s="10"/>
      <c r="O4" s="10"/>
      <c r="P4" s="10"/>
      <c r="Q4" s="570" t="str">
        <f>IFERROR(__xludf.DUMMYFUNCTION("IF(SUM(DB4:DS4),ARRAYFORMULA(FILTER(DB$1:DS$1, DB4:DS4=1)),)"),"Coin Bonus")</f>
        <v>Coin Bonus</v>
      </c>
      <c r="R4" s="571">
        <f>IFERROR(__xludf.DUMMYFUNCTION("IF(SUM(DB4:DS4),ARRAYFORMULA(FILTER(AW4:BN4, DB4:DS4=1))+1,)"),36.0)</f>
        <v>36</v>
      </c>
      <c r="S4" s="572">
        <f>IFERROR(__xludf.DUMMYFUNCTION("IF(SUM(DB4:DS4),ARRAYFORMULA(FILTER(AD4:AU4, DB4:DS4=1)),)"),8.4282E14)</f>
        <v>842820000000000</v>
      </c>
      <c r="T4" s="572">
        <f t="shared" si="26"/>
        <v>2.02198E+15</v>
      </c>
      <c r="U4" s="573" t="str">
        <f t="shared" ref="U4:V4" si="27">FORMAT_NUMBER(S4)</f>
        <v>842.82 T</v>
      </c>
      <c r="V4" s="574" t="str">
        <f t="shared" si="27"/>
        <v>2.02 q</v>
      </c>
      <c r="W4" s="461"/>
      <c r="Y4" s="590" t="s">
        <v>122</v>
      </c>
      <c r="Z4" s="591">
        <f>SWITCH($O$3,
'Master Sheet'!R$1,'Master Sheet'!R5,
'Master Sheet'!S$1,'Master Sheet'!S5,
'Master Sheet'!T$1,'Master Sheet'!T5,
'Master Sheet'!U$1,'Master Sheet'!U5,
'Master Sheet'!V$1,'Master Sheet'!V5)</f>
        <v>60</v>
      </c>
      <c r="AA4" s="592">
        <f t="shared" si="4"/>
        <v>0.125</v>
      </c>
      <c r="AB4" s="593" t="str">
        <f t="shared" si="5"/>
        <v/>
      </c>
      <c r="AC4" s="461"/>
      <c r="AD4" s="580">
        <f t="shared" ref="AD4:AU4" si="28">IFERROR(WSPCOST_SINGLE_ADJUSTED(AD$1,1+AW4),)</f>
        <v>37110000000000</v>
      </c>
      <c r="AE4" s="252">
        <f t="shared" si="28"/>
        <v>82420000000</v>
      </c>
      <c r="AF4" s="252">
        <f t="shared" si="28"/>
        <v>69650000000000</v>
      </c>
      <c r="AG4" s="252">
        <f t="shared" si="28"/>
        <v>21210000000</v>
      </c>
      <c r="AH4" s="252">
        <f t="shared" si="28"/>
        <v>43890000000000</v>
      </c>
      <c r="AI4" s="252">
        <f t="shared" si="28"/>
        <v>47710000000000</v>
      </c>
      <c r="AJ4" s="390">
        <f t="shared" si="28"/>
        <v>92140000000000</v>
      </c>
      <c r="AK4" s="390">
        <f t="shared" si="28"/>
        <v>69650000000000</v>
      </c>
      <c r="AL4" s="390">
        <f t="shared" si="28"/>
        <v>5000000000</v>
      </c>
      <c r="AM4" s="390">
        <f t="shared" si="28"/>
        <v>33950000000</v>
      </c>
      <c r="AN4" s="390">
        <f t="shared" si="28"/>
        <v>60080000000000</v>
      </c>
      <c r="AO4" s="390">
        <f t="shared" si="28"/>
        <v>22020000000000</v>
      </c>
      <c r="AP4" s="469">
        <f t="shared" si="28"/>
        <v>5240000000000</v>
      </c>
      <c r="AQ4" s="469">
        <f t="shared" si="28"/>
        <v>842820000000000</v>
      </c>
      <c r="AR4" s="469">
        <f t="shared" si="28"/>
        <v>82190000000000</v>
      </c>
      <c r="AS4" s="469">
        <f t="shared" si="28"/>
        <v>26590000000000</v>
      </c>
      <c r="AT4" s="469">
        <f t="shared" si="28"/>
        <v>3990000000000</v>
      </c>
      <c r="AU4" s="581">
        <f t="shared" si="28"/>
        <v>1.14E+15</v>
      </c>
      <c r="AV4" s="461"/>
      <c r="AW4" s="580">
        <f t="shared" ref="AW4:BN4" si="29">AW3+DB3</f>
        <v>56</v>
      </c>
      <c r="AX4" s="252">
        <f t="shared" si="29"/>
        <v>21</v>
      </c>
      <c r="AY4" s="252">
        <f t="shared" si="29"/>
        <v>60</v>
      </c>
      <c r="AZ4" s="252">
        <f t="shared" si="29"/>
        <v>17</v>
      </c>
      <c r="BA4" s="252">
        <f t="shared" si="29"/>
        <v>57</v>
      </c>
      <c r="BB4" s="252">
        <f t="shared" si="29"/>
        <v>13</v>
      </c>
      <c r="BC4" s="390">
        <f t="shared" si="29"/>
        <v>62</v>
      </c>
      <c r="BD4" s="390">
        <f t="shared" si="29"/>
        <v>60</v>
      </c>
      <c r="BE4" s="390">
        <f t="shared" si="29"/>
        <v>0</v>
      </c>
      <c r="BF4" s="390">
        <f t="shared" si="29"/>
        <v>18</v>
      </c>
      <c r="BG4" s="390">
        <f t="shared" si="29"/>
        <v>59</v>
      </c>
      <c r="BH4" s="390">
        <f t="shared" si="29"/>
        <v>20</v>
      </c>
      <c r="BI4" s="469">
        <f t="shared" si="29"/>
        <v>44</v>
      </c>
      <c r="BJ4" s="469">
        <f t="shared" si="29"/>
        <v>35</v>
      </c>
      <c r="BK4" s="469">
        <f t="shared" si="29"/>
        <v>25</v>
      </c>
      <c r="BL4" s="469">
        <f t="shared" si="29"/>
        <v>12</v>
      </c>
      <c r="BM4" s="469">
        <f t="shared" si="29"/>
        <v>42</v>
      </c>
      <c r="BN4" s="581">
        <f t="shared" si="29"/>
        <v>15</v>
      </c>
      <c r="BO4" s="461"/>
      <c r="BP4" s="580">
        <f t="shared" si="8"/>
        <v>37110000000000</v>
      </c>
      <c r="BQ4" s="252" t="str">
        <f t="shared" si="9"/>
        <v/>
      </c>
      <c r="BR4" s="252">
        <f t="shared" si="10"/>
        <v>69650000000000</v>
      </c>
      <c r="BS4" s="252" t="str">
        <f t="shared" si="11"/>
        <v/>
      </c>
      <c r="BT4" s="252" t="str">
        <f t="shared" si="12"/>
        <v/>
      </c>
      <c r="BU4" s="252">
        <f t="shared" si="13"/>
        <v>47710000000000</v>
      </c>
      <c r="BV4" s="390">
        <f t="shared" si="14"/>
        <v>92140000000000</v>
      </c>
      <c r="BW4" s="390">
        <f t="shared" si="15"/>
        <v>69650000000000</v>
      </c>
      <c r="BX4" s="390" t="str">
        <f t="shared" si="16"/>
        <v/>
      </c>
      <c r="BY4" s="390" t="str">
        <f t="shared" si="17"/>
        <v/>
      </c>
      <c r="BZ4" s="390">
        <f t="shared" si="18"/>
        <v>60080000000000</v>
      </c>
      <c r="CA4" s="390">
        <f t="shared" si="19"/>
        <v>22020000000000</v>
      </c>
      <c r="CB4" s="469">
        <f t="shared" si="20"/>
        <v>5240000000000</v>
      </c>
      <c r="CC4" s="469">
        <f t="shared" si="21"/>
        <v>842820000000000</v>
      </c>
      <c r="CD4" s="469">
        <f t="shared" si="22"/>
        <v>82190000000000</v>
      </c>
      <c r="CE4" s="469">
        <f t="shared" si="23"/>
        <v>26590000000000</v>
      </c>
      <c r="CF4" s="469" t="str">
        <f t="shared" si="24"/>
        <v/>
      </c>
      <c r="CG4" s="581" t="str">
        <f t="shared" si="25"/>
        <v/>
      </c>
      <c r="CH4" s="461"/>
      <c r="CI4" s="580" t="str">
        <f t="array" ref="CI4">LET(
array,SORT({$Y$2:$AB$19,TRANSPOSE($BP4:$CG4)},4,TRUE),
col,CHOOSECOLS(array,5),
row,MATCH(FALSE, ISBLANK(col), 0),
IF(BP4=SWITCH($AA$22,
"minimum cost", MIN($BP4:$CG4),
"maximum cost", MAX($BP4:$CG4), 
"custom order", IF(CI$1=INDEX(array, row,1),INDEX(array, row,5),"x"))
,1,))</f>
        <v/>
      </c>
      <c r="CJ4" s="252" t="str">
        <f t="array" ref="CJ4">LET(
array,SORT({$Y$2:$AB$19,TRANSPOSE($BP4:$CG4)},4,TRUE),
col,CHOOSECOLS(array,5),
row,MATCH(FALSE, ISBLANK(col), 0),
IF(BQ4=SWITCH($AA$22,
"minimum cost", MIN($BP4:$CG4),
"maximum cost", MAX($BP4:$CG4), 
"custom order", IF(CJ$1=INDEX(array, row,1),INDEX(array, row,5),"x"))
,1,))</f>
        <v/>
      </c>
      <c r="CK4" s="252" t="str">
        <f t="array" ref="CK4">LET(
array,SORT({$Y$2:$AB$19,TRANSPOSE($BP4:$CG4)},4,TRUE),
col,CHOOSECOLS(array,5),
row,MATCH(FALSE, ISBLANK(col), 0),
IF(BR4=SWITCH($AA$22,
"minimum cost", MIN($BP4:$CG4),
"maximum cost", MAX($BP4:$CG4), 
"custom order", IF(CK$1=INDEX(array, row,1),INDEX(array, row,5),"x"))
,1,))</f>
        <v/>
      </c>
      <c r="CL4" s="252" t="str">
        <f t="array" ref="CL4">LET(
array,SORT({$Y$2:$AB$19,TRANSPOSE($BP4:$CG4)},4,TRUE),
col,CHOOSECOLS(array,5),
row,MATCH(FALSE, ISBLANK(col), 0),
IF(BS4=SWITCH($AA$22,
"minimum cost", MIN($BP4:$CG4),
"maximum cost", MAX($BP4:$CG4), 
"custom order", IF(CL$1=INDEX(array, row,1),INDEX(array, row,5),"x"))
,1,))</f>
        <v/>
      </c>
      <c r="CM4" s="252" t="str">
        <f t="array" ref="CM4">LET(
array,SORT({$Y$2:$AB$19,TRANSPOSE($BP4:$CG4)},4,TRUE),
col,CHOOSECOLS(array,5),
row,MATCH(FALSE, ISBLANK(col), 0),
IF(BT4=SWITCH($AA$22,
"minimum cost", MIN($BP4:$CG4),
"maximum cost", MAX($BP4:$CG4), 
"custom order", IF(CM$1=INDEX(array, row,1),INDEX(array, row,5),"x"))
,1,))</f>
        <v/>
      </c>
      <c r="CN4" s="252" t="str">
        <f t="array" ref="CN4">LET(
array,SORT({$Y$2:$AB$19,TRANSPOSE($BP4:$CG4)},4,TRUE),
col,CHOOSECOLS(array,5),
row,MATCH(FALSE, ISBLANK(col), 0),
IF(BU4=SWITCH($AA$22,
"minimum cost", MIN($BP4:$CG4),
"maximum cost", MAX($BP4:$CG4), 
"custom order", IF(CN$1=INDEX(array, row,1),INDEX(array, row,5),"x"))
,1,))</f>
        <v/>
      </c>
      <c r="CO4" s="390" t="str">
        <f t="array" ref="CO4">LET(
array,SORT({$Y$2:$AB$19,TRANSPOSE($BP4:$CG4)},4,TRUE),
col,CHOOSECOLS(array,5),
row,MATCH(FALSE, ISBLANK(col), 0),
IF(BV4=SWITCH($AA$22,
"minimum cost", MIN($BP4:$CG4),
"maximum cost", MAX($BP4:$CG4), 
"custom order", IF(CO$1=INDEX(array, row,1),INDEX(array, row,5),"x"))
,1,))</f>
        <v/>
      </c>
      <c r="CP4" s="390" t="str">
        <f t="array" ref="CP4">LET(
array,SORT({$Y$2:$AB$19,TRANSPOSE($BP4:$CG4)},4,TRUE),
col,CHOOSECOLS(array,5),
row,MATCH(FALSE, ISBLANK(col), 0),
IF(BW4=SWITCH($AA$22,
"minimum cost", MIN($BP4:$CG4),
"maximum cost", MAX($BP4:$CG4), 
"custom order", IF(CP$1=INDEX(array, row,1),INDEX(array, row,5),"x"))
,1,))</f>
        <v/>
      </c>
      <c r="CQ4" s="390" t="str">
        <f t="array" ref="CQ4">LET(
array,SORT({$Y$2:$AB$19,TRANSPOSE($BP4:$CG4)},4,TRUE),
col,CHOOSECOLS(array,5),
row,MATCH(FALSE, ISBLANK(col), 0),
IF(BX4=SWITCH($AA$22,
"minimum cost", MIN($BP4:$CG4),
"maximum cost", MAX($BP4:$CG4), 
"custom order", IF(CQ$1=INDEX(array, row,1),INDEX(array, row,5),"x"))
,1,))</f>
        <v/>
      </c>
      <c r="CR4" s="390" t="str">
        <f t="array" ref="CR4">LET(
array,SORT({$Y$2:$AB$19,TRANSPOSE($BP4:$CG4)},4,TRUE),
col,CHOOSECOLS(array,5),
row,MATCH(FALSE, ISBLANK(col), 0),
IF(BY4=SWITCH($AA$22,
"minimum cost", MIN($BP4:$CG4),
"maximum cost", MAX($BP4:$CG4), 
"custom order", IF(CR$1=INDEX(array, row,1),INDEX(array, row,5),"x"))
,1,))</f>
        <v/>
      </c>
      <c r="CS4" s="390" t="str">
        <f t="array" ref="CS4">LET(
array,SORT({$Y$2:$AB$19,TRANSPOSE($BP4:$CG4)},4,TRUE),
col,CHOOSECOLS(array,5),
row,MATCH(FALSE, ISBLANK(col), 0),
IF(BZ4=SWITCH($AA$22,
"minimum cost", MIN($BP4:$CG4),
"maximum cost", MAX($BP4:$CG4), 
"custom order", IF(CS$1=INDEX(array, row,1),INDEX(array, row,5),"x"))
,1,))</f>
        <v/>
      </c>
      <c r="CT4" s="390" t="str">
        <f t="array" ref="CT4">LET(
array,SORT({$Y$2:$AB$19,TRANSPOSE($BP4:$CG4)},4,TRUE),
col,CHOOSECOLS(array,5),
row,MATCH(FALSE, ISBLANK(col), 0),
IF(CA4=SWITCH($AA$22,
"minimum cost", MIN($BP4:$CG4),
"maximum cost", MAX($BP4:$CG4), 
"custom order", IF(CT$1=INDEX(array, row,1),INDEX(array, row,5),"x"))
,1,))</f>
        <v/>
      </c>
      <c r="CU4" s="469" t="str">
        <f t="array" ref="CU4">LET(
array,SORT({$Y$2:$AB$19,TRANSPOSE($BP4:$CG4)},4,TRUE),
col,CHOOSECOLS(array,5),
row,MATCH(FALSE, ISBLANK(col), 0),
IF(CB4=SWITCH($AA$22,
"minimum cost", MIN($BP4:$CG4),
"maximum cost", MAX($BP4:$CG4), 
"custom order", IF(CU$1=INDEX(array, row,1),INDEX(array, row,5),"x"))
,1,))</f>
        <v/>
      </c>
      <c r="CV4" s="469">
        <f t="array" ref="CV4">LET(
array,SORT({$Y$2:$AB$19,TRANSPOSE($BP4:$CG4)},4,TRUE),
col,CHOOSECOLS(array,5),
row,MATCH(FALSE, ISBLANK(col), 0),
IF(CC4=SWITCH($AA$22,
"minimum cost", MIN($BP4:$CG4),
"maximum cost", MAX($BP4:$CG4), 
"custom order", IF(CV$1=INDEX(array, row,1),INDEX(array, row,5),"x"))
,1,))</f>
        <v>1</v>
      </c>
      <c r="CW4" s="469" t="str">
        <f t="array" ref="CW4">LET(
array,SORT({$Y$2:$AB$19,TRANSPOSE($BP4:$CG4)},4,TRUE),
col,CHOOSECOLS(array,5),
row,MATCH(FALSE, ISBLANK(col), 0),
IF(CD4=SWITCH($AA$22,
"minimum cost", MIN($BP4:$CG4),
"maximum cost", MAX($BP4:$CG4), 
"custom order", IF(CW$1=INDEX(array, row,1),INDEX(array, row,5),"x"))
,1,))</f>
        <v/>
      </c>
      <c r="CX4" s="469" t="str">
        <f t="array" ref="CX4">LET(
array,SORT({$Y$2:$AB$19,TRANSPOSE($BP4:$CG4)},4,TRUE),
col,CHOOSECOLS(array,5),
row,MATCH(FALSE, ISBLANK(col), 0),
IF(CE4=SWITCH($AA$22,
"minimum cost", MIN($BP4:$CG4),
"maximum cost", MAX($BP4:$CG4), 
"custom order", IF(CX$1=INDEX(array, row,1),INDEX(array, row,5),"x"))
,1,))</f>
        <v/>
      </c>
      <c r="CY4" s="469" t="str">
        <f t="array" ref="CY4">LET(
array,SORT({$Y$2:$AB$19,TRANSPOSE($BP4:$CG4)},4,TRUE),
col,CHOOSECOLS(array,5),
row,MATCH(FALSE, ISBLANK(col), 0),
IF(CF4=SWITCH($AA$22,
"minimum cost", MIN($BP4:$CG4),
"maximum cost", MAX($BP4:$CG4), 
"custom order", IF(CY$1=INDEX(array, row,1),INDEX(array, row,5),"x"))
,1,))</f>
        <v/>
      </c>
      <c r="CZ4" s="581" t="str">
        <f t="array" ref="CZ4">LET(
array,SORT({$Y$2:$AB$19,TRANSPOSE($BP4:$CG4)},4,TRUE),
col,CHOOSECOLS(array,5),
row,MATCH(FALSE, ISBLANK(col), 0),
IF(CG4=SWITCH($AA$22,
"minimum cost", MIN($BP4:$CG4),
"maximum cost", MAX($BP4:$CG4), 
"custom order", IF(CZ$1=INDEX(array, row,1),INDEX(array, row,5),"x"))
,1,))</f>
        <v/>
      </c>
      <c r="DA4" s="461"/>
      <c r="DB4" s="580" t="str">
        <f t="array" ref="DB4:DS4">IF(MATCH(1, CI4:CZ4, 0)=COLUMN(CI4:CZ4)-COLUMN(CI4)+1, CI4:CZ4, "")</f>
        <v/>
      </c>
      <c r="DC4" s="252" t="s">
        <v>133</v>
      </c>
      <c r="DD4" s="252" t="s">
        <v>133</v>
      </c>
      <c r="DE4" s="252" t="s">
        <v>133</v>
      </c>
      <c r="DF4" s="252" t="s">
        <v>133</v>
      </c>
      <c r="DG4" s="252" t="s">
        <v>133</v>
      </c>
      <c r="DH4" s="390" t="s">
        <v>133</v>
      </c>
      <c r="DI4" s="390" t="s">
        <v>133</v>
      </c>
      <c r="DJ4" s="390" t="s">
        <v>133</v>
      </c>
      <c r="DK4" s="390" t="s">
        <v>133</v>
      </c>
      <c r="DL4" s="390" t="s">
        <v>133</v>
      </c>
      <c r="DM4" s="390" t="s">
        <v>133</v>
      </c>
      <c r="DN4" s="469" t="s">
        <v>133</v>
      </c>
      <c r="DO4" s="469">
        <v>1.0</v>
      </c>
      <c r="DP4" s="469" t="s">
        <v>133</v>
      </c>
      <c r="DQ4" s="469" t="s">
        <v>133</v>
      </c>
      <c r="DR4" s="469" t="s">
        <v>133</v>
      </c>
      <c r="DS4" s="581" t="s">
        <v>133</v>
      </c>
      <c r="DT4" s="563"/>
    </row>
    <row r="5">
      <c r="A5" s="563"/>
      <c r="B5" s="582" t="s">
        <v>205</v>
      </c>
      <c r="C5" s="583"/>
      <c r="D5" s="584"/>
      <c r="E5" s="585"/>
      <c r="F5" s="584"/>
      <c r="G5" s="586"/>
      <c r="H5" s="587"/>
      <c r="I5" s="586"/>
      <c r="J5" s="587"/>
      <c r="K5" s="586"/>
      <c r="L5" s="587"/>
      <c r="M5" s="461"/>
      <c r="N5" s="10"/>
      <c r="O5" s="10"/>
      <c r="P5" s="10"/>
      <c r="Q5" s="570" t="str">
        <f>IFERROR(__xludf.DUMMYFUNCTION("IF(SUM(DB5:DS5),ARRAYFORMULA(FILTER(DB$1:DS$1, DB5:DS5=1)),)"),"Coin Bonus")</f>
        <v>Coin Bonus</v>
      </c>
      <c r="R5" s="571">
        <f>IFERROR(__xludf.DUMMYFUNCTION("IF(SUM(DB5:DS5),ARRAYFORMULA(FILTER(AW5:BN5, DB5:DS5=1))+1,)"),37.0)</f>
        <v>37</v>
      </c>
      <c r="S5" s="572">
        <f>IFERROR(__xludf.DUMMYFUNCTION("IF(SUM(DB5:DS5),ARRAYFORMULA(FILTER(AD5:AU5, DB5:DS5=1)),)"),1.05E15)</f>
        <v>1.05E+15</v>
      </c>
      <c r="T5" s="572">
        <f t="shared" si="26"/>
        <v>3.07198E+15</v>
      </c>
      <c r="U5" s="573" t="str">
        <f t="shared" ref="U5:V5" si="30">FORMAT_NUMBER(S5)</f>
        <v>1.05 q</v>
      </c>
      <c r="V5" s="574" t="str">
        <f t="shared" si="30"/>
        <v>3.07 q</v>
      </c>
      <c r="W5" s="461"/>
      <c r="Y5" s="590" t="s">
        <v>205</v>
      </c>
      <c r="Z5" s="591">
        <f>SWITCH($O$3,
'Master Sheet'!R$1,'Master Sheet'!R6,
'Master Sheet'!S$1,'Master Sheet'!S6,
'Master Sheet'!T$1,'Master Sheet'!T6,
'Master Sheet'!U$1,'Master Sheet'!U6,
'Master Sheet'!V$1,'Master Sheet'!V6)</f>
        <v>17</v>
      </c>
      <c r="AA5" s="592">
        <f t="shared" si="4"/>
        <v>0</v>
      </c>
      <c r="AB5" s="593" t="str">
        <f t="shared" si="5"/>
        <v/>
      </c>
      <c r="AC5" s="461"/>
      <c r="AD5" s="580">
        <f t="shared" ref="AD5:AU5" si="31">IFERROR(WSPCOST_SINGLE_ADJUSTED(AD$1,1+AW5),)</f>
        <v>37110000000000</v>
      </c>
      <c r="AE5" s="252">
        <f t="shared" si="31"/>
        <v>82420000000</v>
      </c>
      <c r="AF5" s="252">
        <f t="shared" si="31"/>
        <v>69650000000000</v>
      </c>
      <c r="AG5" s="252">
        <f t="shared" si="31"/>
        <v>21210000000</v>
      </c>
      <c r="AH5" s="252">
        <f t="shared" si="31"/>
        <v>43890000000000</v>
      </c>
      <c r="AI5" s="252">
        <f t="shared" si="31"/>
        <v>47710000000000</v>
      </c>
      <c r="AJ5" s="390">
        <f t="shared" si="31"/>
        <v>92140000000000</v>
      </c>
      <c r="AK5" s="390">
        <f t="shared" si="31"/>
        <v>69650000000000</v>
      </c>
      <c r="AL5" s="390">
        <f t="shared" si="31"/>
        <v>5000000000</v>
      </c>
      <c r="AM5" s="390">
        <f t="shared" si="31"/>
        <v>33950000000</v>
      </c>
      <c r="AN5" s="390">
        <f t="shared" si="31"/>
        <v>60080000000000</v>
      </c>
      <c r="AO5" s="390">
        <f t="shared" si="31"/>
        <v>22020000000000</v>
      </c>
      <c r="AP5" s="469">
        <f t="shared" si="31"/>
        <v>5240000000000</v>
      </c>
      <c r="AQ5" s="469">
        <f t="shared" si="31"/>
        <v>1.05E+15</v>
      </c>
      <c r="AR5" s="469">
        <f t="shared" si="31"/>
        <v>82190000000000</v>
      </c>
      <c r="AS5" s="469">
        <f t="shared" si="31"/>
        <v>26590000000000</v>
      </c>
      <c r="AT5" s="469">
        <f t="shared" si="31"/>
        <v>3990000000000</v>
      </c>
      <c r="AU5" s="581">
        <f t="shared" si="31"/>
        <v>1.14E+15</v>
      </c>
      <c r="AV5" s="461"/>
      <c r="AW5" s="580">
        <f t="shared" ref="AW5:BN5" si="32">AW4+DB4</f>
        <v>56</v>
      </c>
      <c r="AX5" s="252">
        <f t="shared" si="32"/>
        <v>21</v>
      </c>
      <c r="AY5" s="252">
        <f t="shared" si="32"/>
        <v>60</v>
      </c>
      <c r="AZ5" s="252">
        <f t="shared" si="32"/>
        <v>17</v>
      </c>
      <c r="BA5" s="252">
        <f t="shared" si="32"/>
        <v>57</v>
      </c>
      <c r="BB5" s="252">
        <f t="shared" si="32"/>
        <v>13</v>
      </c>
      <c r="BC5" s="390">
        <f t="shared" si="32"/>
        <v>62</v>
      </c>
      <c r="BD5" s="390">
        <f t="shared" si="32"/>
        <v>60</v>
      </c>
      <c r="BE5" s="390">
        <f t="shared" si="32"/>
        <v>0</v>
      </c>
      <c r="BF5" s="390">
        <f t="shared" si="32"/>
        <v>18</v>
      </c>
      <c r="BG5" s="390">
        <f t="shared" si="32"/>
        <v>59</v>
      </c>
      <c r="BH5" s="390">
        <f t="shared" si="32"/>
        <v>20</v>
      </c>
      <c r="BI5" s="469">
        <f t="shared" si="32"/>
        <v>44</v>
      </c>
      <c r="BJ5" s="469">
        <f t="shared" si="32"/>
        <v>36</v>
      </c>
      <c r="BK5" s="469">
        <f t="shared" si="32"/>
        <v>25</v>
      </c>
      <c r="BL5" s="469">
        <f t="shared" si="32"/>
        <v>12</v>
      </c>
      <c r="BM5" s="469">
        <f t="shared" si="32"/>
        <v>42</v>
      </c>
      <c r="BN5" s="581">
        <f t="shared" si="32"/>
        <v>15</v>
      </c>
      <c r="BO5" s="461"/>
      <c r="BP5" s="580">
        <f t="shared" si="8"/>
        <v>37110000000000</v>
      </c>
      <c r="BQ5" s="252" t="str">
        <f t="shared" si="9"/>
        <v/>
      </c>
      <c r="BR5" s="252">
        <f t="shared" si="10"/>
        <v>69650000000000</v>
      </c>
      <c r="BS5" s="252" t="str">
        <f t="shared" si="11"/>
        <v/>
      </c>
      <c r="BT5" s="252" t="str">
        <f t="shared" si="12"/>
        <v/>
      </c>
      <c r="BU5" s="252">
        <f t="shared" si="13"/>
        <v>47710000000000</v>
      </c>
      <c r="BV5" s="390">
        <f t="shared" si="14"/>
        <v>92140000000000</v>
      </c>
      <c r="BW5" s="390">
        <f t="shared" si="15"/>
        <v>69650000000000</v>
      </c>
      <c r="BX5" s="390" t="str">
        <f t="shared" si="16"/>
        <v/>
      </c>
      <c r="BY5" s="390" t="str">
        <f t="shared" si="17"/>
        <v/>
      </c>
      <c r="BZ5" s="390">
        <f t="shared" si="18"/>
        <v>60080000000000</v>
      </c>
      <c r="CA5" s="390">
        <f t="shared" si="19"/>
        <v>22020000000000</v>
      </c>
      <c r="CB5" s="469">
        <f t="shared" si="20"/>
        <v>5240000000000</v>
      </c>
      <c r="CC5" s="469">
        <f t="shared" si="21"/>
        <v>1.05E+15</v>
      </c>
      <c r="CD5" s="469">
        <f t="shared" si="22"/>
        <v>82190000000000</v>
      </c>
      <c r="CE5" s="469">
        <f t="shared" si="23"/>
        <v>26590000000000</v>
      </c>
      <c r="CF5" s="469" t="str">
        <f t="shared" si="24"/>
        <v/>
      </c>
      <c r="CG5" s="581" t="str">
        <f t="shared" si="25"/>
        <v/>
      </c>
      <c r="CH5" s="461"/>
      <c r="CI5" s="580" t="str">
        <f t="array" ref="CI5">LET(
array,SORT({$Y$2:$AB$19,TRANSPOSE($BP5:$CG5)},4,TRUE),
col,CHOOSECOLS(array,5),
row,MATCH(FALSE, ISBLANK(col), 0),
IF(BP5=SWITCH($AA$22,
"minimum cost", MIN($BP5:$CG5),
"maximum cost", MAX($BP5:$CG5), 
"custom order", IF(CI$1=INDEX(array, row,1),INDEX(array, row,5),"x"))
,1,))</f>
        <v/>
      </c>
      <c r="CJ5" s="252" t="str">
        <f t="array" ref="CJ5">LET(
array,SORT({$Y$2:$AB$19,TRANSPOSE($BP5:$CG5)},4,TRUE),
col,CHOOSECOLS(array,5),
row,MATCH(FALSE, ISBLANK(col), 0),
IF(BQ5=SWITCH($AA$22,
"minimum cost", MIN($BP5:$CG5),
"maximum cost", MAX($BP5:$CG5), 
"custom order", IF(CJ$1=INDEX(array, row,1),INDEX(array, row,5),"x"))
,1,))</f>
        <v/>
      </c>
      <c r="CK5" s="252" t="str">
        <f t="array" ref="CK5">LET(
array,SORT({$Y$2:$AB$19,TRANSPOSE($BP5:$CG5)},4,TRUE),
col,CHOOSECOLS(array,5),
row,MATCH(FALSE, ISBLANK(col), 0),
IF(BR5=SWITCH($AA$22,
"minimum cost", MIN($BP5:$CG5),
"maximum cost", MAX($BP5:$CG5), 
"custom order", IF(CK$1=INDEX(array, row,1),INDEX(array, row,5),"x"))
,1,))</f>
        <v/>
      </c>
      <c r="CL5" s="252" t="str">
        <f t="array" ref="CL5">LET(
array,SORT({$Y$2:$AB$19,TRANSPOSE($BP5:$CG5)},4,TRUE),
col,CHOOSECOLS(array,5),
row,MATCH(FALSE, ISBLANK(col), 0),
IF(BS5=SWITCH($AA$22,
"minimum cost", MIN($BP5:$CG5),
"maximum cost", MAX($BP5:$CG5), 
"custom order", IF(CL$1=INDEX(array, row,1),INDEX(array, row,5),"x"))
,1,))</f>
        <v/>
      </c>
      <c r="CM5" s="252" t="str">
        <f t="array" ref="CM5">LET(
array,SORT({$Y$2:$AB$19,TRANSPOSE($BP5:$CG5)},4,TRUE),
col,CHOOSECOLS(array,5),
row,MATCH(FALSE, ISBLANK(col), 0),
IF(BT5=SWITCH($AA$22,
"minimum cost", MIN($BP5:$CG5),
"maximum cost", MAX($BP5:$CG5), 
"custom order", IF(CM$1=INDEX(array, row,1),INDEX(array, row,5),"x"))
,1,))</f>
        <v/>
      </c>
      <c r="CN5" s="252" t="str">
        <f t="array" ref="CN5">LET(
array,SORT({$Y$2:$AB$19,TRANSPOSE($BP5:$CG5)},4,TRUE),
col,CHOOSECOLS(array,5),
row,MATCH(FALSE, ISBLANK(col), 0),
IF(BU5=SWITCH($AA$22,
"minimum cost", MIN($BP5:$CG5),
"maximum cost", MAX($BP5:$CG5), 
"custom order", IF(CN$1=INDEX(array, row,1),INDEX(array, row,5),"x"))
,1,))</f>
        <v/>
      </c>
      <c r="CO5" s="390" t="str">
        <f t="array" ref="CO5">LET(
array,SORT({$Y$2:$AB$19,TRANSPOSE($BP5:$CG5)},4,TRUE),
col,CHOOSECOLS(array,5),
row,MATCH(FALSE, ISBLANK(col), 0),
IF(BV5=SWITCH($AA$22,
"minimum cost", MIN($BP5:$CG5),
"maximum cost", MAX($BP5:$CG5), 
"custom order", IF(CO$1=INDEX(array, row,1),INDEX(array, row,5),"x"))
,1,))</f>
        <v/>
      </c>
      <c r="CP5" s="390" t="str">
        <f t="array" ref="CP5">LET(
array,SORT({$Y$2:$AB$19,TRANSPOSE($BP5:$CG5)},4,TRUE),
col,CHOOSECOLS(array,5),
row,MATCH(FALSE, ISBLANK(col), 0),
IF(BW5=SWITCH($AA$22,
"minimum cost", MIN($BP5:$CG5),
"maximum cost", MAX($BP5:$CG5), 
"custom order", IF(CP$1=INDEX(array, row,1),INDEX(array, row,5),"x"))
,1,))</f>
        <v/>
      </c>
      <c r="CQ5" s="390" t="str">
        <f t="array" ref="CQ5">LET(
array,SORT({$Y$2:$AB$19,TRANSPOSE($BP5:$CG5)},4,TRUE),
col,CHOOSECOLS(array,5),
row,MATCH(FALSE, ISBLANK(col), 0),
IF(BX5=SWITCH($AA$22,
"minimum cost", MIN($BP5:$CG5),
"maximum cost", MAX($BP5:$CG5), 
"custom order", IF(CQ$1=INDEX(array, row,1),INDEX(array, row,5),"x"))
,1,))</f>
        <v/>
      </c>
      <c r="CR5" s="390" t="str">
        <f t="array" ref="CR5">LET(
array,SORT({$Y$2:$AB$19,TRANSPOSE($BP5:$CG5)},4,TRUE),
col,CHOOSECOLS(array,5),
row,MATCH(FALSE, ISBLANK(col), 0),
IF(BY5=SWITCH($AA$22,
"minimum cost", MIN($BP5:$CG5),
"maximum cost", MAX($BP5:$CG5), 
"custom order", IF(CR$1=INDEX(array, row,1),INDEX(array, row,5),"x"))
,1,))</f>
        <v/>
      </c>
      <c r="CS5" s="390" t="str">
        <f t="array" ref="CS5">LET(
array,SORT({$Y$2:$AB$19,TRANSPOSE($BP5:$CG5)},4,TRUE),
col,CHOOSECOLS(array,5),
row,MATCH(FALSE, ISBLANK(col), 0),
IF(BZ5=SWITCH($AA$22,
"minimum cost", MIN($BP5:$CG5),
"maximum cost", MAX($BP5:$CG5), 
"custom order", IF(CS$1=INDEX(array, row,1),INDEX(array, row,5),"x"))
,1,))</f>
        <v/>
      </c>
      <c r="CT5" s="390" t="str">
        <f t="array" ref="CT5">LET(
array,SORT({$Y$2:$AB$19,TRANSPOSE($BP5:$CG5)},4,TRUE),
col,CHOOSECOLS(array,5),
row,MATCH(FALSE, ISBLANK(col), 0),
IF(CA5=SWITCH($AA$22,
"minimum cost", MIN($BP5:$CG5),
"maximum cost", MAX($BP5:$CG5), 
"custom order", IF(CT$1=INDEX(array, row,1),INDEX(array, row,5),"x"))
,1,))</f>
        <v/>
      </c>
      <c r="CU5" s="469" t="str">
        <f t="array" ref="CU5">LET(
array,SORT({$Y$2:$AB$19,TRANSPOSE($BP5:$CG5)},4,TRUE),
col,CHOOSECOLS(array,5),
row,MATCH(FALSE, ISBLANK(col), 0),
IF(CB5=SWITCH($AA$22,
"minimum cost", MIN($BP5:$CG5),
"maximum cost", MAX($BP5:$CG5), 
"custom order", IF(CU$1=INDEX(array, row,1),INDEX(array, row,5),"x"))
,1,))</f>
        <v/>
      </c>
      <c r="CV5" s="469">
        <f t="array" ref="CV5">LET(
array,SORT({$Y$2:$AB$19,TRANSPOSE($BP5:$CG5)},4,TRUE),
col,CHOOSECOLS(array,5),
row,MATCH(FALSE, ISBLANK(col), 0),
IF(CC5=SWITCH($AA$22,
"minimum cost", MIN($BP5:$CG5),
"maximum cost", MAX($BP5:$CG5), 
"custom order", IF(CV$1=INDEX(array, row,1),INDEX(array, row,5),"x"))
,1,))</f>
        <v>1</v>
      </c>
      <c r="CW5" s="469" t="str">
        <f t="array" ref="CW5">LET(
array,SORT({$Y$2:$AB$19,TRANSPOSE($BP5:$CG5)},4,TRUE),
col,CHOOSECOLS(array,5),
row,MATCH(FALSE, ISBLANK(col), 0),
IF(CD5=SWITCH($AA$22,
"minimum cost", MIN($BP5:$CG5),
"maximum cost", MAX($BP5:$CG5), 
"custom order", IF(CW$1=INDEX(array, row,1),INDEX(array, row,5),"x"))
,1,))</f>
        <v/>
      </c>
      <c r="CX5" s="469" t="str">
        <f t="array" ref="CX5">LET(
array,SORT({$Y$2:$AB$19,TRANSPOSE($BP5:$CG5)},4,TRUE),
col,CHOOSECOLS(array,5),
row,MATCH(FALSE, ISBLANK(col), 0),
IF(CE5=SWITCH($AA$22,
"minimum cost", MIN($BP5:$CG5),
"maximum cost", MAX($BP5:$CG5), 
"custom order", IF(CX$1=INDEX(array, row,1),INDEX(array, row,5),"x"))
,1,))</f>
        <v/>
      </c>
      <c r="CY5" s="469" t="str">
        <f t="array" ref="CY5">LET(
array,SORT({$Y$2:$AB$19,TRANSPOSE($BP5:$CG5)},4,TRUE),
col,CHOOSECOLS(array,5),
row,MATCH(FALSE, ISBLANK(col), 0),
IF(CF5=SWITCH($AA$22,
"minimum cost", MIN($BP5:$CG5),
"maximum cost", MAX($BP5:$CG5), 
"custom order", IF(CY$1=INDEX(array, row,1),INDEX(array, row,5),"x"))
,1,))</f>
        <v/>
      </c>
      <c r="CZ5" s="581" t="str">
        <f t="array" ref="CZ5">LET(
array,SORT({$Y$2:$AB$19,TRANSPOSE($BP5:$CG5)},4,TRUE),
col,CHOOSECOLS(array,5),
row,MATCH(FALSE, ISBLANK(col), 0),
IF(CG5=SWITCH($AA$22,
"minimum cost", MIN($BP5:$CG5),
"maximum cost", MAX($BP5:$CG5), 
"custom order", IF(CZ$1=INDEX(array, row,1),INDEX(array, row,5),"x"))
,1,))</f>
        <v/>
      </c>
      <c r="DA5" s="461"/>
      <c r="DB5" s="580" t="str">
        <f t="array" ref="DB5:DS5">IF(MATCH(1, CI5:CZ5, 0)=COLUMN(CI5:CZ5)-COLUMN(CI5)+1, CI5:CZ5, "")</f>
        <v/>
      </c>
      <c r="DC5" s="252" t="s">
        <v>133</v>
      </c>
      <c r="DD5" s="252" t="s">
        <v>133</v>
      </c>
      <c r="DE5" s="252" t="s">
        <v>133</v>
      </c>
      <c r="DF5" s="252" t="s">
        <v>133</v>
      </c>
      <c r="DG5" s="252" t="s">
        <v>133</v>
      </c>
      <c r="DH5" s="390" t="s">
        <v>133</v>
      </c>
      <c r="DI5" s="390" t="s">
        <v>133</v>
      </c>
      <c r="DJ5" s="390" t="s">
        <v>133</v>
      </c>
      <c r="DK5" s="390" t="s">
        <v>133</v>
      </c>
      <c r="DL5" s="390" t="s">
        <v>133</v>
      </c>
      <c r="DM5" s="390" t="s">
        <v>133</v>
      </c>
      <c r="DN5" s="469" t="s">
        <v>133</v>
      </c>
      <c r="DO5" s="469">
        <v>1.0</v>
      </c>
      <c r="DP5" s="469" t="s">
        <v>133</v>
      </c>
      <c r="DQ5" s="469" t="s">
        <v>133</v>
      </c>
      <c r="DR5" s="469" t="s">
        <v>133</v>
      </c>
      <c r="DS5" s="581" t="s">
        <v>133</v>
      </c>
      <c r="DT5" s="563"/>
    </row>
    <row r="6">
      <c r="A6" s="563"/>
      <c r="B6" s="594" t="s">
        <v>206</v>
      </c>
      <c r="C6" s="583"/>
      <c r="D6" s="584"/>
      <c r="E6" s="598" t="s">
        <v>216</v>
      </c>
      <c r="F6" s="584"/>
      <c r="G6" s="596"/>
      <c r="H6" s="597"/>
      <c r="I6" s="596"/>
      <c r="J6" s="597"/>
      <c r="K6" s="596"/>
      <c r="L6" s="597"/>
      <c r="M6" s="461"/>
      <c r="N6" s="10"/>
      <c r="O6" s="10"/>
      <c r="P6" s="10"/>
      <c r="Q6" s="570" t="str">
        <f>IFERROR(__xludf.DUMMYFUNCTION("IF(SUM(DB6:DS6),ARRAYFORMULA(FILTER(DB$1:DS$1, DB6:DS6=1)),)"),"Free Upgrades")</f>
        <v>Free Upgrades</v>
      </c>
      <c r="R6" s="571">
        <f>IFERROR(__xludf.DUMMYFUNCTION("IF(SUM(DB6:DS6),ARRAYFORMULA(FILTER(AW6:BN6, DB6:DS6=1))+1,)"),13.0)</f>
        <v>13</v>
      </c>
      <c r="S6" s="572">
        <f>IFERROR(__xludf.DUMMYFUNCTION("IF(SUM(DB6:DS6),ARRAYFORMULA(FILTER(AD6:AU6, DB6:DS6=1)),)"),2.659E13)</f>
        <v>26590000000000</v>
      </c>
      <c r="T6" s="572">
        <f t="shared" si="26"/>
        <v>3.09857E+15</v>
      </c>
      <c r="U6" s="573" t="str">
        <f t="shared" ref="U6:V6" si="33">FORMAT_NUMBER(S6)</f>
        <v>26.59 T</v>
      </c>
      <c r="V6" s="574" t="str">
        <f t="shared" si="33"/>
        <v>3.1 q</v>
      </c>
      <c r="W6" s="461"/>
      <c r="Y6" s="590" t="s">
        <v>206</v>
      </c>
      <c r="Z6" s="591">
        <f>SWITCH($O$3,
'Master Sheet'!R$1,'Master Sheet'!R7,
'Master Sheet'!S$1,'Master Sheet'!S7,
'Master Sheet'!T$1,'Master Sheet'!T7,
'Master Sheet'!U$1,'Master Sheet'!U7,
'Master Sheet'!V$1,'Master Sheet'!V7)</f>
        <v>57</v>
      </c>
      <c r="AA6" s="592">
        <f t="shared" si="4"/>
        <v>0</v>
      </c>
      <c r="AB6" s="593" t="str">
        <f t="shared" si="5"/>
        <v/>
      </c>
      <c r="AC6" s="461"/>
      <c r="AD6" s="580">
        <f t="shared" ref="AD6:AU6" si="34">IFERROR(WSPCOST_SINGLE_ADJUSTED(AD$1,1+AW6),)</f>
        <v>37110000000000</v>
      </c>
      <c r="AE6" s="252">
        <f t="shared" si="34"/>
        <v>82420000000</v>
      </c>
      <c r="AF6" s="252">
        <f t="shared" si="34"/>
        <v>69650000000000</v>
      </c>
      <c r="AG6" s="252">
        <f t="shared" si="34"/>
        <v>21210000000</v>
      </c>
      <c r="AH6" s="252">
        <f t="shared" si="34"/>
        <v>43890000000000</v>
      </c>
      <c r="AI6" s="252">
        <f t="shared" si="34"/>
        <v>47710000000000</v>
      </c>
      <c r="AJ6" s="390">
        <f t="shared" si="34"/>
        <v>92140000000000</v>
      </c>
      <c r="AK6" s="390">
        <f t="shared" si="34"/>
        <v>69650000000000</v>
      </c>
      <c r="AL6" s="390">
        <f t="shared" si="34"/>
        <v>5000000000</v>
      </c>
      <c r="AM6" s="390">
        <f t="shared" si="34"/>
        <v>33950000000</v>
      </c>
      <c r="AN6" s="390">
        <f t="shared" si="34"/>
        <v>60080000000000</v>
      </c>
      <c r="AO6" s="390">
        <f t="shared" si="34"/>
        <v>22020000000000</v>
      </c>
      <c r="AP6" s="469">
        <f t="shared" si="34"/>
        <v>5240000000000</v>
      </c>
      <c r="AQ6" s="469">
        <f t="shared" si="34"/>
        <v>1.3E+15</v>
      </c>
      <c r="AR6" s="469">
        <f t="shared" si="34"/>
        <v>82190000000000</v>
      </c>
      <c r="AS6" s="469">
        <f t="shared" si="34"/>
        <v>26590000000000</v>
      </c>
      <c r="AT6" s="469">
        <f t="shared" si="34"/>
        <v>3990000000000</v>
      </c>
      <c r="AU6" s="581">
        <f t="shared" si="34"/>
        <v>1.14E+15</v>
      </c>
      <c r="AV6" s="461"/>
      <c r="AW6" s="580">
        <f t="shared" ref="AW6:BN6" si="35">AW5+DB5</f>
        <v>56</v>
      </c>
      <c r="AX6" s="252">
        <f t="shared" si="35"/>
        <v>21</v>
      </c>
      <c r="AY6" s="252">
        <f t="shared" si="35"/>
        <v>60</v>
      </c>
      <c r="AZ6" s="252">
        <f t="shared" si="35"/>
        <v>17</v>
      </c>
      <c r="BA6" s="252">
        <f t="shared" si="35"/>
        <v>57</v>
      </c>
      <c r="BB6" s="252">
        <f t="shared" si="35"/>
        <v>13</v>
      </c>
      <c r="BC6" s="390">
        <f t="shared" si="35"/>
        <v>62</v>
      </c>
      <c r="BD6" s="390">
        <f t="shared" si="35"/>
        <v>60</v>
      </c>
      <c r="BE6" s="390">
        <f t="shared" si="35"/>
        <v>0</v>
      </c>
      <c r="BF6" s="390">
        <f t="shared" si="35"/>
        <v>18</v>
      </c>
      <c r="BG6" s="390">
        <f t="shared" si="35"/>
        <v>59</v>
      </c>
      <c r="BH6" s="390">
        <f t="shared" si="35"/>
        <v>20</v>
      </c>
      <c r="BI6" s="469">
        <f t="shared" si="35"/>
        <v>44</v>
      </c>
      <c r="BJ6" s="469">
        <f t="shared" si="35"/>
        <v>37</v>
      </c>
      <c r="BK6" s="469">
        <f t="shared" si="35"/>
        <v>25</v>
      </c>
      <c r="BL6" s="469">
        <f t="shared" si="35"/>
        <v>12</v>
      </c>
      <c r="BM6" s="469">
        <f t="shared" si="35"/>
        <v>42</v>
      </c>
      <c r="BN6" s="581">
        <f t="shared" si="35"/>
        <v>15</v>
      </c>
      <c r="BO6" s="461"/>
      <c r="BP6" s="580">
        <f t="shared" si="8"/>
        <v>37110000000000</v>
      </c>
      <c r="BQ6" s="252" t="str">
        <f t="shared" si="9"/>
        <v/>
      </c>
      <c r="BR6" s="252">
        <f t="shared" si="10"/>
        <v>69650000000000</v>
      </c>
      <c r="BS6" s="252" t="str">
        <f t="shared" si="11"/>
        <v/>
      </c>
      <c r="BT6" s="252" t="str">
        <f t="shared" si="12"/>
        <v/>
      </c>
      <c r="BU6" s="252">
        <f t="shared" si="13"/>
        <v>47710000000000</v>
      </c>
      <c r="BV6" s="390">
        <f t="shared" si="14"/>
        <v>92140000000000</v>
      </c>
      <c r="BW6" s="390">
        <f t="shared" si="15"/>
        <v>69650000000000</v>
      </c>
      <c r="BX6" s="390" t="str">
        <f t="shared" si="16"/>
        <v/>
      </c>
      <c r="BY6" s="390" t="str">
        <f t="shared" si="17"/>
        <v/>
      </c>
      <c r="BZ6" s="390">
        <f t="shared" si="18"/>
        <v>60080000000000</v>
      </c>
      <c r="CA6" s="390">
        <f t="shared" si="19"/>
        <v>22020000000000</v>
      </c>
      <c r="CB6" s="469">
        <f t="shared" si="20"/>
        <v>5240000000000</v>
      </c>
      <c r="CC6" s="469" t="str">
        <f t="shared" si="21"/>
        <v/>
      </c>
      <c r="CD6" s="469">
        <f t="shared" si="22"/>
        <v>82190000000000</v>
      </c>
      <c r="CE6" s="469">
        <f t="shared" si="23"/>
        <v>26590000000000</v>
      </c>
      <c r="CF6" s="469" t="str">
        <f t="shared" si="24"/>
        <v/>
      </c>
      <c r="CG6" s="581" t="str">
        <f t="shared" si="25"/>
        <v/>
      </c>
      <c r="CH6" s="461"/>
      <c r="CI6" s="580" t="str">
        <f t="array" ref="CI6">LET(
array,SORT({$Y$2:$AB$19,TRANSPOSE($BP6:$CG6)},4,TRUE),
col,CHOOSECOLS(array,5),
row,MATCH(FALSE, ISBLANK(col), 0),
IF(BP6=SWITCH($AA$22,
"minimum cost", MIN($BP6:$CG6),
"maximum cost", MAX($BP6:$CG6), 
"custom order", IF(CI$1=INDEX(array, row,1),INDEX(array, row,5),"x"))
,1,))</f>
        <v/>
      </c>
      <c r="CJ6" s="252" t="str">
        <f t="array" ref="CJ6">LET(
array,SORT({$Y$2:$AB$19,TRANSPOSE($BP6:$CG6)},4,TRUE),
col,CHOOSECOLS(array,5),
row,MATCH(FALSE, ISBLANK(col), 0),
IF(BQ6=SWITCH($AA$22,
"minimum cost", MIN($BP6:$CG6),
"maximum cost", MAX($BP6:$CG6), 
"custom order", IF(CJ$1=INDEX(array, row,1),INDEX(array, row,5),"x"))
,1,))</f>
        <v/>
      </c>
      <c r="CK6" s="252" t="str">
        <f t="array" ref="CK6">LET(
array,SORT({$Y$2:$AB$19,TRANSPOSE($BP6:$CG6)},4,TRUE),
col,CHOOSECOLS(array,5),
row,MATCH(FALSE, ISBLANK(col), 0),
IF(BR6=SWITCH($AA$22,
"minimum cost", MIN($BP6:$CG6),
"maximum cost", MAX($BP6:$CG6), 
"custom order", IF(CK$1=INDEX(array, row,1),INDEX(array, row,5),"x"))
,1,))</f>
        <v/>
      </c>
      <c r="CL6" s="252" t="str">
        <f t="array" ref="CL6">LET(
array,SORT({$Y$2:$AB$19,TRANSPOSE($BP6:$CG6)},4,TRUE),
col,CHOOSECOLS(array,5),
row,MATCH(FALSE, ISBLANK(col), 0),
IF(BS6=SWITCH($AA$22,
"minimum cost", MIN($BP6:$CG6),
"maximum cost", MAX($BP6:$CG6), 
"custom order", IF(CL$1=INDEX(array, row,1),INDEX(array, row,5),"x"))
,1,))</f>
        <v/>
      </c>
      <c r="CM6" s="252" t="str">
        <f t="array" ref="CM6">LET(
array,SORT({$Y$2:$AB$19,TRANSPOSE($BP6:$CG6)},4,TRUE),
col,CHOOSECOLS(array,5),
row,MATCH(FALSE, ISBLANK(col), 0),
IF(BT6=SWITCH($AA$22,
"minimum cost", MIN($BP6:$CG6),
"maximum cost", MAX($BP6:$CG6), 
"custom order", IF(CM$1=INDEX(array, row,1),INDEX(array, row,5),"x"))
,1,))</f>
        <v/>
      </c>
      <c r="CN6" s="252" t="str">
        <f t="array" ref="CN6">LET(
array,SORT({$Y$2:$AB$19,TRANSPOSE($BP6:$CG6)},4,TRUE),
col,CHOOSECOLS(array,5),
row,MATCH(FALSE, ISBLANK(col), 0),
IF(BU6=SWITCH($AA$22,
"minimum cost", MIN($BP6:$CG6),
"maximum cost", MAX($BP6:$CG6), 
"custom order", IF(CN$1=INDEX(array, row,1),INDEX(array, row,5),"x"))
,1,))</f>
        <v/>
      </c>
      <c r="CO6" s="390" t="str">
        <f t="array" ref="CO6">LET(
array,SORT({$Y$2:$AB$19,TRANSPOSE($BP6:$CG6)},4,TRUE),
col,CHOOSECOLS(array,5),
row,MATCH(FALSE, ISBLANK(col), 0),
IF(BV6=SWITCH($AA$22,
"minimum cost", MIN($BP6:$CG6),
"maximum cost", MAX($BP6:$CG6), 
"custom order", IF(CO$1=INDEX(array, row,1),INDEX(array, row,5),"x"))
,1,))</f>
        <v/>
      </c>
      <c r="CP6" s="390" t="str">
        <f t="array" ref="CP6">LET(
array,SORT({$Y$2:$AB$19,TRANSPOSE($BP6:$CG6)},4,TRUE),
col,CHOOSECOLS(array,5),
row,MATCH(FALSE, ISBLANK(col), 0),
IF(BW6=SWITCH($AA$22,
"minimum cost", MIN($BP6:$CG6),
"maximum cost", MAX($BP6:$CG6), 
"custom order", IF(CP$1=INDEX(array, row,1),INDEX(array, row,5),"x"))
,1,))</f>
        <v/>
      </c>
      <c r="CQ6" s="390" t="str">
        <f t="array" ref="CQ6">LET(
array,SORT({$Y$2:$AB$19,TRANSPOSE($BP6:$CG6)},4,TRUE),
col,CHOOSECOLS(array,5),
row,MATCH(FALSE, ISBLANK(col), 0),
IF(BX6=SWITCH($AA$22,
"minimum cost", MIN($BP6:$CG6),
"maximum cost", MAX($BP6:$CG6), 
"custom order", IF(CQ$1=INDEX(array, row,1),INDEX(array, row,5),"x"))
,1,))</f>
        <v/>
      </c>
      <c r="CR6" s="390" t="str">
        <f t="array" ref="CR6">LET(
array,SORT({$Y$2:$AB$19,TRANSPOSE($BP6:$CG6)},4,TRUE),
col,CHOOSECOLS(array,5),
row,MATCH(FALSE, ISBLANK(col), 0),
IF(BY6=SWITCH($AA$22,
"minimum cost", MIN($BP6:$CG6),
"maximum cost", MAX($BP6:$CG6), 
"custom order", IF(CR$1=INDEX(array, row,1),INDEX(array, row,5),"x"))
,1,))</f>
        <v/>
      </c>
      <c r="CS6" s="390" t="str">
        <f t="array" ref="CS6">LET(
array,SORT({$Y$2:$AB$19,TRANSPOSE($BP6:$CG6)},4,TRUE),
col,CHOOSECOLS(array,5),
row,MATCH(FALSE, ISBLANK(col), 0),
IF(BZ6=SWITCH($AA$22,
"minimum cost", MIN($BP6:$CG6),
"maximum cost", MAX($BP6:$CG6), 
"custom order", IF(CS$1=INDEX(array, row,1),INDEX(array, row,5),"x"))
,1,))</f>
        <v/>
      </c>
      <c r="CT6" s="390" t="str">
        <f t="array" ref="CT6">LET(
array,SORT({$Y$2:$AB$19,TRANSPOSE($BP6:$CG6)},4,TRUE),
col,CHOOSECOLS(array,5),
row,MATCH(FALSE, ISBLANK(col), 0),
IF(CA6=SWITCH($AA$22,
"minimum cost", MIN($BP6:$CG6),
"maximum cost", MAX($BP6:$CG6), 
"custom order", IF(CT$1=INDEX(array, row,1),INDEX(array, row,5),"x"))
,1,))</f>
        <v/>
      </c>
      <c r="CU6" s="469" t="str">
        <f t="array" ref="CU6">LET(
array,SORT({$Y$2:$AB$19,TRANSPOSE($BP6:$CG6)},4,TRUE),
col,CHOOSECOLS(array,5),
row,MATCH(FALSE, ISBLANK(col), 0),
IF(CB6=SWITCH($AA$22,
"minimum cost", MIN($BP6:$CG6),
"maximum cost", MAX($BP6:$CG6), 
"custom order", IF(CU$1=INDEX(array, row,1),INDEX(array, row,5),"x"))
,1,))</f>
        <v/>
      </c>
      <c r="CV6" s="469" t="str">
        <f t="array" ref="CV6">LET(
array,SORT({$Y$2:$AB$19,TRANSPOSE($BP6:$CG6)},4,TRUE),
col,CHOOSECOLS(array,5),
row,MATCH(FALSE, ISBLANK(col), 0),
IF(CC6=SWITCH($AA$22,
"minimum cost", MIN($BP6:$CG6),
"maximum cost", MAX($BP6:$CG6), 
"custom order", IF(CV$1=INDEX(array, row,1),INDEX(array, row,5),"x"))
,1,))</f>
        <v/>
      </c>
      <c r="CW6" s="469" t="str">
        <f t="array" ref="CW6">LET(
array,SORT({$Y$2:$AB$19,TRANSPOSE($BP6:$CG6)},4,TRUE),
col,CHOOSECOLS(array,5),
row,MATCH(FALSE, ISBLANK(col), 0),
IF(CD6=SWITCH($AA$22,
"minimum cost", MIN($BP6:$CG6),
"maximum cost", MAX($BP6:$CG6), 
"custom order", IF(CW$1=INDEX(array, row,1),INDEX(array, row,5),"x"))
,1,))</f>
        <v/>
      </c>
      <c r="CX6" s="469">
        <f t="array" ref="CX6">LET(
array,SORT({$Y$2:$AB$19,TRANSPOSE($BP6:$CG6)},4,TRUE),
col,CHOOSECOLS(array,5),
row,MATCH(FALSE, ISBLANK(col), 0),
IF(CE6=SWITCH($AA$22,
"minimum cost", MIN($BP6:$CG6),
"maximum cost", MAX($BP6:$CG6), 
"custom order", IF(CX$1=INDEX(array, row,1),INDEX(array, row,5),"x"))
,1,))</f>
        <v>1</v>
      </c>
      <c r="CY6" s="469" t="str">
        <f t="array" ref="CY6">LET(
array,SORT({$Y$2:$AB$19,TRANSPOSE($BP6:$CG6)},4,TRUE),
col,CHOOSECOLS(array,5),
row,MATCH(FALSE, ISBLANK(col), 0),
IF(CF6=SWITCH($AA$22,
"minimum cost", MIN($BP6:$CG6),
"maximum cost", MAX($BP6:$CG6), 
"custom order", IF(CY$1=INDEX(array, row,1),INDEX(array, row,5),"x"))
,1,))</f>
        <v/>
      </c>
      <c r="CZ6" s="581" t="str">
        <f t="array" ref="CZ6">LET(
array,SORT({$Y$2:$AB$19,TRANSPOSE($BP6:$CG6)},4,TRUE),
col,CHOOSECOLS(array,5),
row,MATCH(FALSE, ISBLANK(col), 0),
IF(CG6=SWITCH($AA$22,
"minimum cost", MIN($BP6:$CG6),
"maximum cost", MAX($BP6:$CG6), 
"custom order", IF(CZ$1=INDEX(array, row,1),INDEX(array, row,5),"x"))
,1,))</f>
        <v/>
      </c>
      <c r="DA6" s="461"/>
      <c r="DB6" s="580" t="str">
        <f t="array" ref="DB6:DS6">IF(MATCH(1, CI6:CZ6, 0)=COLUMN(CI6:CZ6)-COLUMN(CI6)+1, CI6:CZ6, "")</f>
        <v/>
      </c>
      <c r="DC6" s="252" t="s">
        <v>133</v>
      </c>
      <c r="DD6" s="252" t="s">
        <v>133</v>
      </c>
      <c r="DE6" s="252" t="s">
        <v>133</v>
      </c>
      <c r="DF6" s="252" t="s">
        <v>133</v>
      </c>
      <c r="DG6" s="252" t="s">
        <v>133</v>
      </c>
      <c r="DH6" s="390" t="s">
        <v>133</v>
      </c>
      <c r="DI6" s="390" t="s">
        <v>133</v>
      </c>
      <c r="DJ6" s="390" t="s">
        <v>133</v>
      </c>
      <c r="DK6" s="390" t="s">
        <v>133</v>
      </c>
      <c r="DL6" s="390" t="s">
        <v>133</v>
      </c>
      <c r="DM6" s="390" t="s">
        <v>133</v>
      </c>
      <c r="DN6" s="469" t="s">
        <v>133</v>
      </c>
      <c r="DO6" s="469" t="s">
        <v>133</v>
      </c>
      <c r="DP6" s="469" t="s">
        <v>133</v>
      </c>
      <c r="DQ6" s="469">
        <v>1.0</v>
      </c>
      <c r="DR6" s="469" t="s">
        <v>133</v>
      </c>
      <c r="DS6" s="581" t="s">
        <v>133</v>
      </c>
      <c r="DT6" s="563"/>
    </row>
    <row r="7">
      <c r="A7" s="563"/>
      <c r="B7" s="599" t="s">
        <v>112</v>
      </c>
      <c r="C7" s="600" t="s">
        <v>215</v>
      </c>
      <c r="D7" s="601"/>
      <c r="E7" s="602" t="s">
        <v>216</v>
      </c>
      <c r="F7" s="601"/>
      <c r="G7" s="603"/>
      <c r="H7" s="604"/>
      <c r="I7" s="603"/>
      <c r="J7" s="604"/>
      <c r="K7" s="603"/>
      <c r="L7" s="604"/>
      <c r="M7" s="461"/>
      <c r="N7" s="10"/>
      <c r="O7" s="10"/>
      <c r="P7" s="10"/>
      <c r="Q7" s="570" t="str">
        <f>IFERROR(__xludf.DUMMYFUNCTION("IF(SUM(DB7:DS7),ARRAYFORMULA(FILTER(DB$1:DS$1, DB7:DS7=1)),)"),"Free Upgrades")</f>
        <v>Free Upgrades</v>
      </c>
      <c r="R7" s="571">
        <f>IFERROR(__xludf.DUMMYFUNCTION("IF(SUM(DB7:DS7),ARRAYFORMULA(FILTER(AW7:BN7, DB7:DS7=1))+1,)"),14.0)</f>
        <v>14</v>
      </c>
      <c r="S7" s="572">
        <f>IFERROR(__xludf.DUMMYFUNCTION("IF(SUM(DB7:DS7),ARRAYFORMULA(FILTER(AD7:AU7, DB7:DS7=1)),)"),3.692E13)</f>
        <v>36920000000000</v>
      </c>
      <c r="T7" s="572">
        <f t="shared" si="26"/>
        <v>3.13549E+15</v>
      </c>
      <c r="U7" s="573" t="str">
        <f t="shared" ref="U7:V7" si="36">FORMAT_NUMBER(S7)</f>
        <v>36.92 T</v>
      </c>
      <c r="V7" s="574" t="str">
        <f t="shared" si="36"/>
        <v>3.14 q</v>
      </c>
      <c r="W7" s="461"/>
      <c r="Y7" s="605" t="s">
        <v>112</v>
      </c>
      <c r="Z7" s="606">
        <f>SWITCH($O$3,
'Master Sheet'!R$1,'Master Sheet'!R8,
'Master Sheet'!S$1,'Master Sheet'!S8,
'Master Sheet'!T$1,'Master Sheet'!T8,
'Master Sheet'!U$1,'Master Sheet'!U8,
'Master Sheet'!V$1,'Master Sheet'!V8)</f>
        <v>13</v>
      </c>
      <c r="AA7" s="607">
        <f t="shared" si="4"/>
        <v>0.125</v>
      </c>
      <c r="AB7" s="608" t="str">
        <f t="shared" si="5"/>
        <v/>
      </c>
      <c r="AC7" s="461"/>
      <c r="AD7" s="580">
        <f t="shared" ref="AD7:AU7" si="37">IFERROR(WSPCOST_SINGLE_ADJUSTED(AD$1,1+AW7),)</f>
        <v>37110000000000</v>
      </c>
      <c r="AE7" s="252">
        <f t="shared" si="37"/>
        <v>82420000000</v>
      </c>
      <c r="AF7" s="252">
        <f t="shared" si="37"/>
        <v>69650000000000</v>
      </c>
      <c r="AG7" s="252">
        <f t="shared" si="37"/>
        <v>21210000000</v>
      </c>
      <c r="AH7" s="252">
        <f t="shared" si="37"/>
        <v>43890000000000</v>
      </c>
      <c r="AI7" s="252">
        <f t="shared" si="37"/>
        <v>47710000000000</v>
      </c>
      <c r="AJ7" s="390">
        <f t="shared" si="37"/>
        <v>92140000000000</v>
      </c>
      <c r="AK7" s="390">
        <f t="shared" si="37"/>
        <v>69650000000000</v>
      </c>
      <c r="AL7" s="390">
        <f t="shared" si="37"/>
        <v>5000000000</v>
      </c>
      <c r="AM7" s="390">
        <f t="shared" si="37"/>
        <v>33950000000</v>
      </c>
      <c r="AN7" s="390">
        <f t="shared" si="37"/>
        <v>60080000000000</v>
      </c>
      <c r="AO7" s="390">
        <f t="shared" si="37"/>
        <v>22020000000000</v>
      </c>
      <c r="AP7" s="469">
        <f t="shared" si="37"/>
        <v>5240000000000</v>
      </c>
      <c r="AQ7" s="469">
        <f t="shared" si="37"/>
        <v>1.3E+15</v>
      </c>
      <c r="AR7" s="469">
        <f t="shared" si="37"/>
        <v>82190000000000</v>
      </c>
      <c r="AS7" s="469">
        <f t="shared" si="37"/>
        <v>36920000000000</v>
      </c>
      <c r="AT7" s="469">
        <f t="shared" si="37"/>
        <v>3990000000000</v>
      </c>
      <c r="AU7" s="581">
        <f t="shared" si="37"/>
        <v>1.14E+15</v>
      </c>
      <c r="AV7" s="461"/>
      <c r="AW7" s="580">
        <f t="shared" ref="AW7:BN7" si="38">AW6+DB6</f>
        <v>56</v>
      </c>
      <c r="AX7" s="252">
        <f t="shared" si="38"/>
        <v>21</v>
      </c>
      <c r="AY7" s="252">
        <f t="shared" si="38"/>
        <v>60</v>
      </c>
      <c r="AZ7" s="252">
        <f t="shared" si="38"/>
        <v>17</v>
      </c>
      <c r="BA7" s="252">
        <f t="shared" si="38"/>
        <v>57</v>
      </c>
      <c r="BB7" s="252">
        <f t="shared" si="38"/>
        <v>13</v>
      </c>
      <c r="BC7" s="390">
        <f t="shared" si="38"/>
        <v>62</v>
      </c>
      <c r="BD7" s="390">
        <f t="shared" si="38"/>
        <v>60</v>
      </c>
      <c r="BE7" s="390">
        <f t="shared" si="38"/>
        <v>0</v>
      </c>
      <c r="BF7" s="390">
        <f t="shared" si="38"/>
        <v>18</v>
      </c>
      <c r="BG7" s="390">
        <f t="shared" si="38"/>
        <v>59</v>
      </c>
      <c r="BH7" s="390">
        <f t="shared" si="38"/>
        <v>20</v>
      </c>
      <c r="BI7" s="469">
        <f t="shared" si="38"/>
        <v>44</v>
      </c>
      <c r="BJ7" s="469">
        <f t="shared" si="38"/>
        <v>37</v>
      </c>
      <c r="BK7" s="469">
        <f t="shared" si="38"/>
        <v>25</v>
      </c>
      <c r="BL7" s="469">
        <f t="shared" si="38"/>
        <v>13</v>
      </c>
      <c r="BM7" s="469">
        <f t="shared" si="38"/>
        <v>42</v>
      </c>
      <c r="BN7" s="581">
        <f t="shared" si="38"/>
        <v>15</v>
      </c>
      <c r="BO7" s="461"/>
      <c r="BP7" s="580">
        <f t="shared" si="8"/>
        <v>37110000000000</v>
      </c>
      <c r="BQ7" s="252" t="str">
        <f t="shared" si="9"/>
        <v/>
      </c>
      <c r="BR7" s="252">
        <f t="shared" si="10"/>
        <v>69650000000000</v>
      </c>
      <c r="BS7" s="252" t="str">
        <f t="shared" si="11"/>
        <v/>
      </c>
      <c r="BT7" s="252" t="str">
        <f t="shared" si="12"/>
        <v/>
      </c>
      <c r="BU7" s="252">
        <f t="shared" si="13"/>
        <v>47710000000000</v>
      </c>
      <c r="BV7" s="390">
        <f t="shared" si="14"/>
        <v>92140000000000</v>
      </c>
      <c r="BW7" s="390">
        <f t="shared" si="15"/>
        <v>69650000000000</v>
      </c>
      <c r="BX7" s="390" t="str">
        <f t="shared" si="16"/>
        <v/>
      </c>
      <c r="BY7" s="390" t="str">
        <f t="shared" si="17"/>
        <v/>
      </c>
      <c r="BZ7" s="390">
        <f t="shared" si="18"/>
        <v>60080000000000</v>
      </c>
      <c r="CA7" s="390">
        <f t="shared" si="19"/>
        <v>22020000000000</v>
      </c>
      <c r="CB7" s="469">
        <f t="shared" si="20"/>
        <v>5240000000000</v>
      </c>
      <c r="CC7" s="469" t="str">
        <f t="shared" si="21"/>
        <v/>
      </c>
      <c r="CD7" s="469">
        <f t="shared" si="22"/>
        <v>82190000000000</v>
      </c>
      <c r="CE7" s="469">
        <f t="shared" si="23"/>
        <v>36920000000000</v>
      </c>
      <c r="CF7" s="469" t="str">
        <f t="shared" si="24"/>
        <v/>
      </c>
      <c r="CG7" s="581" t="str">
        <f t="shared" si="25"/>
        <v/>
      </c>
      <c r="CH7" s="461"/>
      <c r="CI7" s="580" t="str">
        <f t="array" ref="CI7">LET(
array,SORT({$Y$2:$AB$19,TRANSPOSE($BP7:$CG7)},4,TRUE),
col,CHOOSECOLS(array,5),
row,MATCH(FALSE, ISBLANK(col), 0),
IF(BP7=SWITCH($AA$22,
"minimum cost", MIN($BP7:$CG7),
"maximum cost", MAX($BP7:$CG7), 
"custom order", IF(CI$1=INDEX(array, row,1),INDEX(array, row,5),"x"))
,1,))</f>
        <v/>
      </c>
      <c r="CJ7" s="252" t="str">
        <f t="array" ref="CJ7">LET(
array,SORT({$Y$2:$AB$19,TRANSPOSE($BP7:$CG7)},4,TRUE),
col,CHOOSECOLS(array,5),
row,MATCH(FALSE, ISBLANK(col), 0),
IF(BQ7=SWITCH($AA$22,
"minimum cost", MIN($BP7:$CG7),
"maximum cost", MAX($BP7:$CG7), 
"custom order", IF(CJ$1=INDEX(array, row,1),INDEX(array, row,5),"x"))
,1,))</f>
        <v/>
      </c>
      <c r="CK7" s="252" t="str">
        <f t="array" ref="CK7">LET(
array,SORT({$Y$2:$AB$19,TRANSPOSE($BP7:$CG7)},4,TRUE),
col,CHOOSECOLS(array,5),
row,MATCH(FALSE, ISBLANK(col), 0),
IF(BR7=SWITCH($AA$22,
"minimum cost", MIN($BP7:$CG7),
"maximum cost", MAX($BP7:$CG7), 
"custom order", IF(CK$1=INDEX(array, row,1),INDEX(array, row,5),"x"))
,1,))</f>
        <v/>
      </c>
      <c r="CL7" s="252" t="str">
        <f t="array" ref="CL7">LET(
array,SORT({$Y$2:$AB$19,TRANSPOSE($BP7:$CG7)},4,TRUE),
col,CHOOSECOLS(array,5),
row,MATCH(FALSE, ISBLANK(col), 0),
IF(BS7=SWITCH($AA$22,
"minimum cost", MIN($BP7:$CG7),
"maximum cost", MAX($BP7:$CG7), 
"custom order", IF(CL$1=INDEX(array, row,1),INDEX(array, row,5),"x"))
,1,))</f>
        <v/>
      </c>
      <c r="CM7" s="252" t="str">
        <f t="array" ref="CM7">LET(
array,SORT({$Y$2:$AB$19,TRANSPOSE($BP7:$CG7)},4,TRUE),
col,CHOOSECOLS(array,5),
row,MATCH(FALSE, ISBLANK(col), 0),
IF(BT7=SWITCH($AA$22,
"minimum cost", MIN($BP7:$CG7),
"maximum cost", MAX($BP7:$CG7), 
"custom order", IF(CM$1=INDEX(array, row,1),INDEX(array, row,5),"x"))
,1,))</f>
        <v/>
      </c>
      <c r="CN7" s="252" t="str">
        <f t="array" ref="CN7">LET(
array,SORT({$Y$2:$AB$19,TRANSPOSE($BP7:$CG7)},4,TRUE),
col,CHOOSECOLS(array,5),
row,MATCH(FALSE, ISBLANK(col), 0),
IF(BU7=SWITCH($AA$22,
"minimum cost", MIN($BP7:$CG7),
"maximum cost", MAX($BP7:$CG7), 
"custom order", IF(CN$1=INDEX(array, row,1),INDEX(array, row,5),"x"))
,1,))</f>
        <v/>
      </c>
      <c r="CO7" s="390" t="str">
        <f t="array" ref="CO7">LET(
array,SORT({$Y$2:$AB$19,TRANSPOSE($BP7:$CG7)},4,TRUE),
col,CHOOSECOLS(array,5),
row,MATCH(FALSE, ISBLANK(col), 0),
IF(BV7=SWITCH($AA$22,
"minimum cost", MIN($BP7:$CG7),
"maximum cost", MAX($BP7:$CG7), 
"custom order", IF(CO$1=INDEX(array, row,1),INDEX(array, row,5),"x"))
,1,))</f>
        <v/>
      </c>
      <c r="CP7" s="390" t="str">
        <f t="array" ref="CP7">LET(
array,SORT({$Y$2:$AB$19,TRANSPOSE($BP7:$CG7)},4,TRUE),
col,CHOOSECOLS(array,5),
row,MATCH(FALSE, ISBLANK(col), 0),
IF(BW7=SWITCH($AA$22,
"minimum cost", MIN($BP7:$CG7),
"maximum cost", MAX($BP7:$CG7), 
"custom order", IF(CP$1=INDEX(array, row,1),INDEX(array, row,5),"x"))
,1,))</f>
        <v/>
      </c>
      <c r="CQ7" s="390" t="str">
        <f t="array" ref="CQ7">LET(
array,SORT({$Y$2:$AB$19,TRANSPOSE($BP7:$CG7)},4,TRUE),
col,CHOOSECOLS(array,5),
row,MATCH(FALSE, ISBLANK(col), 0),
IF(BX7=SWITCH($AA$22,
"minimum cost", MIN($BP7:$CG7),
"maximum cost", MAX($BP7:$CG7), 
"custom order", IF(CQ$1=INDEX(array, row,1),INDEX(array, row,5),"x"))
,1,))</f>
        <v/>
      </c>
      <c r="CR7" s="390" t="str">
        <f t="array" ref="CR7">LET(
array,SORT({$Y$2:$AB$19,TRANSPOSE($BP7:$CG7)},4,TRUE),
col,CHOOSECOLS(array,5),
row,MATCH(FALSE, ISBLANK(col), 0),
IF(BY7=SWITCH($AA$22,
"minimum cost", MIN($BP7:$CG7),
"maximum cost", MAX($BP7:$CG7), 
"custom order", IF(CR$1=INDEX(array, row,1),INDEX(array, row,5),"x"))
,1,))</f>
        <v/>
      </c>
      <c r="CS7" s="390" t="str">
        <f t="array" ref="CS7">LET(
array,SORT({$Y$2:$AB$19,TRANSPOSE($BP7:$CG7)},4,TRUE),
col,CHOOSECOLS(array,5),
row,MATCH(FALSE, ISBLANK(col), 0),
IF(BZ7=SWITCH($AA$22,
"minimum cost", MIN($BP7:$CG7),
"maximum cost", MAX($BP7:$CG7), 
"custom order", IF(CS$1=INDEX(array, row,1),INDEX(array, row,5),"x"))
,1,))</f>
        <v/>
      </c>
      <c r="CT7" s="390" t="str">
        <f t="array" ref="CT7">LET(
array,SORT({$Y$2:$AB$19,TRANSPOSE($BP7:$CG7)},4,TRUE),
col,CHOOSECOLS(array,5),
row,MATCH(FALSE, ISBLANK(col), 0),
IF(CA7=SWITCH($AA$22,
"minimum cost", MIN($BP7:$CG7),
"maximum cost", MAX($BP7:$CG7), 
"custom order", IF(CT$1=INDEX(array, row,1),INDEX(array, row,5),"x"))
,1,))</f>
        <v/>
      </c>
      <c r="CU7" s="469" t="str">
        <f t="array" ref="CU7">LET(
array,SORT({$Y$2:$AB$19,TRANSPOSE($BP7:$CG7)},4,TRUE),
col,CHOOSECOLS(array,5),
row,MATCH(FALSE, ISBLANK(col), 0),
IF(CB7=SWITCH($AA$22,
"minimum cost", MIN($BP7:$CG7),
"maximum cost", MAX($BP7:$CG7), 
"custom order", IF(CU$1=INDEX(array, row,1),INDEX(array, row,5),"x"))
,1,))</f>
        <v/>
      </c>
      <c r="CV7" s="469" t="str">
        <f t="array" ref="CV7">LET(
array,SORT({$Y$2:$AB$19,TRANSPOSE($BP7:$CG7)},4,TRUE),
col,CHOOSECOLS(array,5),
row,MATCH(FALSE, ISBLANK(col), 0),
IF(CC7=SWITCH($AA$22,
"minimum cost", MIN($BP7:$CG7),
"maximum cost", MAX($BP7:$CG7), 
"custom order", IF(CV$1=INDEX(array, row,1),INDEX(array, row,5),"x"))
,1,))</f>
        <v/>
      </c>
      <c r="CW7" s="469" t="str">
        <f t="array" ref="CW7">LET(
array,SORT({$Y$2:$AB$19,TRANSPOSE($BP7:$CG7)},4,TRUE),
col,CHOOSECOLS(array,5),
row,MATCH(FALSE, ISBLANK(col), 0),
IF(CD7=SWITCH($AA$22,
"minimum cost", MIN($BP7:$CG7),
"maximum cost", MAX($BP7:$CG7), 
"custom order", IF(CW$1=INDEX(array, row,1),INDEX(array, row,5),"x"))
,1,))</f>
        <v/>
      </c>
      <c r="CX7" s="469">
        <f t="array" ref="CX7">LET(
array,SORT({$Y$2:$AB$19,TRANSPOSE($BP7:$CG7)},4,TRUE),
col,CHOOSECOLS(array,5),
row,MATCH(FALSE, ISBLANK(col), 0),
IF(CE7=SWITCH($AA$22,
"minimum cost", MIN($BP7:$CG7),
"maximum cost", MAX($BP7:$CG7), 
"custom order", IF(CX$1=INDEX(array, row,1),INDEX(array, row,5),"x"))
,1,))</f>
        <v>1</v>
      </c>
      <c r="CY7" s="469" t="str">
        <f t="array" ref="CY7">LET(
array,SORT({$Y$2:$AB$19,TRANSPOSE($BP7:$CG7)},4,TRUE),
col,CHOOSECOLS(array,5),
row,MATCH(FALSE, ISBLANK(col), 0),
IF(CF7=SWITCH($AA$22,
"minimum cost", MIN($BP7:$CG7),
"maximum cost", MAX($BP7:$CG7), 
"custom order", IF(CY$1=INDEX(array, row,1),INDEX(array, row,5),"x"))
,1,))</f>
        <v/>
      </c>
      <c r="CZ7" s="581" t="str">
        <f t="array" ref="CZ7">LET(
array,SORT({$Y$2:$AB$19,TRANSPOSE($BP7:$CG7)},4,TRUE),
col,CHOOSECOLS(array,5),
row,MATCH(FALSE, ISBLANK(col), 0),
IF(CG7=SWITCH($AA$22,
"minimum cost", MIN($BP7:$CG7),
"maximum cost", MAX($BP7:$CG7), 
"custom order", IF(CZ$1=INDEX(array, row,1),INDEX(array, row,5),"x"))
,1,))</f>
        <v/>
      </c>
      <c r="DA7" s="461"/>
      <c r="DB7" s="580" t="str">
        <f t="array" ref="DB7:DS7">IF(MATCH(1, CI7:CZ7, 0)=COLUMN(CI7:CZ7)-COLUMN(CI7)+1, CI7:CZ7, "")</f>
        <v/>
      </c>
      <c r="DC7" s="252" t="s">
        <v>133</v>
      </c>
      <c r="DD7" s="252" t="s">
        <v>133</v>
      </c>
      <c r="DE7" s="252" t="s">
        <v>133</v>
      </c>
      <c r="DF7" s="252" t="s">
        <v>133</v>
      </c>
      <c r="DG7" s="252" t="s">
        <v>133</v>
      </c>
      <c r="DH7" s="390" t="s">
        <v>133</v>
      </c>
      <c r="DI7" s="390" t="s">
        <v>133</v>
      </c>
      <c r="DJ7" s="390" t="s">
        <v>133</v>
      </c>
      <c r="DK7" s="390" t="s">
        <v>133</v>
      </c>
      <c r="DL7" s="390" t="s">
        <v>133</v>
      </c>
      <c r="DM7" s="390" t="s">
        <v>133</v>
      </c>
      <c r="DN7" s="469" t="s">
        <v>133</v>
      </c>
      <c r="DO7" s="469" t="s">
        <v>133</v>
      </c>
      <c r="DP7" s="469" t="s">
        <v>133</v>
      </c>
      <c r="DQ7" s="469">
        <v>1.0</v>
      </c>
      <c r="DR7" s="469" t="s">
        <v>133</v>
      </c>
      <c r="DS7" s="581" t="s">
        <v>133</v>
      </c>
      <c r="DT7" s="563"/>
    </row>
    <row r="8">
      <c r="A8" s="563"/>
      <c r="B8" s="609" t="s">
        <v>124</v>
      </c>
      <c r="C8" s="610" t="s">
        <v>220</v>
      </c>
      <c r="D8" s="611">
        <v>7.0</v>
      </c>
      <c r="E8" s="612"/>
      <c r="F8" s="613"/>
      <c r="G8" s="614"/>
      <c r="H8" s="615"/>
      <c r="I8" s="614"/>
      <c r="J8" s="615"/>
      <c r="K8" s="614"/>
      <c r="L8" s="615"/>
      <c r="M8" s="461"/>
      <c r="N8" s="10"/>
      <c r="O8" s="10"/>
      <c r="P8" s="10"/>
      <c r="Q8" s="570" t="str">
        <f>IFERROR(__xludf.DUMMYFUNCTION("IF(SUM(DB8:DS8),ARRAYFORMULA(FILTER(DB$1:DS$1, DB8:DS8=1)),)"),"Free Upgrades")</f>
        <v>Free Upgrades</v>
      </c>
      <c r="R8" s="571">
        <f>IFERROR(__xludf.DUMMYFUNCTION("IF(SUM(DB8:DS8),ARRAYFORMULA(FILTER(AW8:BN8, DB8:DS8=1))+1,)"),15.0)</f>
        <v>15</v>
      </c>
      <c r="S8" s="572">
        <f>IFERROR(__xludf.DUMMYFUNCTION("IF(SUM(DB8:DS8),ARRAYFORMULA(FILTER(AD8:AU8, DB8:DS8=1)),)"),5.002E13)</f>
        <v>50020000000000</v>
      </c>
      <c r="T8" s="572">
        <f t="shared" si="26"/>
        <v>3.18551E+15</v>
      </c>
      <c r="U8" s="573" t="str">
        <f t="shared" ref="U8:V8" si="39">FORMAT_NUMBER(S8)</f>
        <v>50.02 T</v>
      </c>
      <c r="V8" s="574" t="str">
        <f t="shared" si="39"/>
        <v>3.19 q</v>
      </c>
      <c r="W8" s="461"/>
      <c r="Y8" s="616" t="s">
        <v>124</v>
      </c>
      <c r="Z8" s="617">
        <f>SWITCH($O$3,
'Master Sheet'!R$1,'Master Sheet'!R9,
'Master Sheet'!S$1,'Master Sheet'!S9,
'Master Sheet'!T$1,'Master Sheet'!T9,
'Master Sheet'!U$1,'Master Sheet'!U9,
'Master Sheet'!V$1,'Master Sheet'!V9)</f>
        <v>62</v>
      </c>
      <c r="AA8" s="618">
        <f t="shared" si="4"/>
        <v>0.25</v>
      </c>
      <c r="AB8" s="619">
        <f t="shared" si="5"/>
        <v>7</v>
      </c>
      <c r="AC8" s="461"/>
      <c r="AD8" s="580">
        <f t="shared" ref="AD8:AU8" si="40">IFERROR(WSPCOST_SINGLE_ADJUSTED(AD$1,1+AW8),)</f>
        <v>37110000000000</v>
      </c>
      <c r="AE8" s="252">
        <f t="shared" si="40"/>
        <v>82420000000</v>
      </c>
      <c r="AF8" s="252">
        <f t="shared" si="40"/>
        <v>69650000000000</v>
      </c>
      <c r="AG8" s="252">
        <f t="shared" si="40"/>
        <v>21210000000</v>
      </c>
      <c r="AH8" s="252">
        <f t="shared" si="40"/>
        <v>43890000000000</v>
      </c>
      <c r="AI8" s="252">
        <f t="shared" si="40"/>
        <v>47710000000000</v>
      </c>
      <c r="AJ8" s="390">
        <f t="shared" si="40"/>
        <v>92140000000000</v>
      </c>
      <c r="AK8" s="390">
        <f t="shared" si="40"/>
        <v>69650000000000</v>
      </c>
      <c r="AL8" s="390">
        <f t="shared" si="40"/>
        <v>5000000000</v>
      </c>
      <c r="AM8" s="390">
        <f t="shared" si="40"/>
        <v>33950000000</v>
      </c>
      <c r="AN8" s="390">
        <f t="shared" si="40"/>
        <v>60080000000000</v>
      </c>
      <c r="AO8" s="390">
        <f t="shared" si="40"/>
        <v>22020000000000</v>
      </c>
      <c r="AP8" s="469">
        <f t="shared" si="40"/>
        <v>5240000000000</v>
      </c>
      <c r="AQ8" s="469">
        <f t="shared" si="40"/>
        <v>1.3E+15</v>
      </c>
      <c r="AR8" s="469">
        <f t="shared" si="40"/>
        <v>82190000000000</v>
      </c>
      <c r="AS8" s="469">
        <f t="shared" si="40"/>
        <v>50020000000000</v>
      </c>
      <c r="AT8" s="469">
        <f t="shared" si="40"/>
        <v>3990000000000</v>
      </c>
      <c r="AU8" s="581">
        <f t="shared" si="40"/>
        <v>1.14E+15</v>
      </c>
      <c r="AV8" s="461"/>
      <c r="AW8" s="580">
        <f t="shared" ref="AW8:BN8" si="41">AW7+DB7</f>
        <v>56</v>
      </c>
      <c r="AX8" s="252">
        <f t="shared" si="41"/>
        <v>21</v>
      </c>
      <c r="AY8" s="252">
        <f t="shared" si="41"/>
        <v>60</v>
      </c>
      <c r="AZ8" s="252">
        <f t="shared" si="41"/>
        <v>17</v>
      </c>
      <c r="BA8" s="252">
        <f t="shared" si="41"/>
        <v>57</v>
      </c>
      <c r="BB8" s="252">
        <f t="shared" si="41"/>
        <v>13</v>
      </c>
      <c r="BC8" s="390">
        <f t="shared" si="41"/>
        <v>62</v>
      </c>
      <c r="BD8" s="390">
        <f t="shared" si="41"/>
        <v>60</v>
      </c>
      <c r="BE8" s="390">
        <f t="shared" si="41"/>
        <v>0</v>
      </c>
      <c r="BF8" s="390">
        <f t="shared" si="41"/>
        <v>18</v>
      </c>
      <c r="BG8" s="390">
        <f t="shared" si="41"/>
        <v>59</v>
      </c>
      <c r="BH8" s="390">
        <f t="shared" si="41"/>
        <v>20</v>
      </c>
      <c r="BI8" s="469">
        <f t="shared" si="41"/>
        <v>44</v>
      </c>
      <c r="BJ8" s="469">
        <f t="shared" si="41"/>
        <v>37</v>
      </c>
      <c r="BK8" s="469">
        <f t="shared" si="41"/>
        <v>25</v>
      </c>
      <c r="BL8" s="469">
        <f t="shared" si="41"/>
        <v>14</v>
      </c>
      <c r="BM8" s="469">
        <f t="shared" si="41"/>
        <v>42</v>
      </c>
      <c r="BN8" s="581">
        <f t="shared" si="41"/>
        <v>15</v>
      </c>
      <c r="BO8" s="461"/>
      <c r="BP8" s="580">
        <f t="shared" si="8"/>
        <v>37110000000000</v>
      </c>
      <c r="BQ8" s="252" t="str">
        <f t="shared" si="9"/>
        <v/>
      </c>
      <c r="BR8" s="252">
        <f t="shared" si="10"/>
        <v>69650000000000</v>
      </c>
      <c r="BS8" s="252" t="str">
        <f t="shared" si="11"/>
        <v/>
      </c>
      <c r="BT8" s="252" t="str">
        <f t="shared" si="12"/>
        <v/>
      </c>
      <c r="BU8" s="252">
        <f t="shared" si="13"/>
        <v>47710000000000</v>
      </c>
      <c r="BV8" s="390">
        <f t="shared" si="14"/>
        <v>92140000000000</v>
      </c>
      <c r="BW8" s="390">
        <f t="shared" si="15"/>
        <v>69650000000000</v>
      </c>
      <c r="BX8" s="390" t="str">
        <f t="shared" si="16"/>
        <v/>
      </c>
      <c r="BY8" s="390" t="str">
        <f t="shared" si="17"/>
        <v/>
      </c>
      <c r="BZ8" s="390">
        <f t="shared" si="18"/>
        <v>60080000000000</v>
      </c>
      <c r="CA8" s="390">
        <f t="shared" si="19"/>
        <v>22020000000000</v>
      </c>
      <c r="CB8" s="469">
        <f t="shared" si="20"/>
        <v>5240000000000</v>
      </c>
      <c r="CC8" s="469" t="str">
        <f t="shared" si="21"/>
        <v/>
      </c>
      <c r="CD8" s="469">
        <f t="shared" si="22"/>
        <v>82190000000000</v>
      </c>
      <c r="CE8" s="469">
        <f t="shared" si="23"/>
        <v>50020000000000</v>
      </c>
      <c r="CF8" s="469" t="str">
        <f t="shared" si="24"/>
        <v/>
      </c>
      <c r="CG8" s="581" t="str">
        <f t="shared" si="25"/>
        <v/>
      </c>
      <c r="CH8" s="461"/>
      <c r="CI8" s="580" t="str">
        <f t="array" ref="CI8">LET(
array,SORT({$Y$2:$AB$19,TRANSPOSE($BP8:$CG8)},4,TRUE),
col,CHOOSECOLS(array,5),
row,MATCH(FALSE, ISBLANK(col), 0),
IF(BP8=SWITCH($AA$22,
"minimum cost", MIN($BP8:$CG8),
"maximum cost", MAX($BP8:$CG8), 
"custom order", IF(CI$1=INDEX(array, row,1),INDEX(array, row,5),"x"))
,1,))</f>
        <v/>
      </c>
      <c r="CJ8" s="252" t="str">
        <f t="array" ref="CJ8">LET(
array,SORT({$Y$2:$AB$19,TRANSPOSE($BP8:$CG8)},4,TRUE),
col,CHOOSECOLS(array,5),
row,MATCH(FALSE, ISBLANK(col), 0),
IF(BQ8=SWITCH($AA$22,
"minimum cost", MIN($BP8:$CG8),
"maximum cost", MAX($BP8:$CG8), 
"custom order", IF(CJ$1=INDEX(array, row,1),INDEX(array, row,5),"x"))
,1,))</f>
        <v/>
      </c>
      <c r="CK8" s="252" t="str">
        <f t="array" ref="CK8">LET(
array,SORT({$Y$2:$AB$19,TRANSPOSE($BP8:$CG8)},4,TRUE),
col,CHOOSECOLS(array,5),
row,MATCH(FALSE, ISBLANK(col), 0),
IF(BR8=SWITCH($AA$22,
"minimum cost", MIN($BP8:$CG8),
"maximum cost", MAX($BP8:$CG8), 
"custom order", IF(CK$1=INDEX(array, row,1),INDEX(array, row,5),"x"))
,1,))</f>
        <v/>
      </c>
      <c r="CL8" s="252" t="str">
        <f t="array" ref="CL8">LET(
array,SORT({$Y$2:$AB$19,TRANSPOSE($BP8:$CG8)},4,TRUE),
col,CHOOSECOLS(array,5),
row,MATCH(FALSE, ISBLANK(col), 0),
IF(BS8=SWITCH($AA$22,
"minimum cost", MIN($BP8:$CG8),
"maximum cost", MAX($BP8:$CG8), 
"custom order", IF(CL$1=INDEX(array, row,1),INDEX(array, row,5),"x"))
,1,))</f>
        <v/>
      </c>
      <c r="CM8" s="252" t="str">
        <f t="array" ref="CM8">LET(
array,SORT({$Y$2:$AB$19,TRANSPOSE($BP8:$CG8)},4,TRUE),
col,CHOOSECOLS(array,5),
row,MATCH(FALSE, ISBLANK(col), 0),
IF(BT8=SWITCH($AA$22,
"minimum cost", MIN($BP8:$CG8),
"maximum cost", MAX($BP8:$CG8), 
"custom order", IF(CM$1=INDEX(array, row,1),INDEX(array, row,5),"x"))
,1,))</f>
        <v/>
      </c>
      <c r="CN8" s="252" t="str">
        <f t="array" ref="CN8">LET(
array,SORT({$Y$2:$AB$19,TRANSPOSE($BP8:$CG8)},4,TRUE),
col,CHOOSECOLS(array,5),
row,MATCH(FALSE, ISBLANK(col), 0),
IF(BU8=SWITCH($AA$22,
"minimum cost", MIN($BP8:$CG8),
"maximum cost", MAX($BP8:$CG8), 
"custom order", IF(CN$1=INDEX(array, row,1),INDEX(array, row,5),"x"))
,1,))</f>
        <v/>
      </c>
      <c r="CO8" s="390" t="str">
        <f t="array" ref="CO8">LET(
array,SORT({$Y$2:$AB$19,TRANSPOSE($BP8:$CG8)},4,TRUE),
col,CHOOSECOLS(array,5),
row,MATCH(FALSE, ISBLANK(col), 0),
IF(BV8=SWITCH($AA$22,
"minimum cost", MIN($BP8:$CG8),
"maximum cost", MAX($BP8:$CG8), 
"custom order", IF(CO$1=INDEX(array, row,1),INDEX(array, row,5),"x"))
,1,))</f>
        <v/>
      </c>
      <c r="CP8" s="390" t="str">
        <f t="array" ref="CP8">LET(
array,SORT({$Y$2:$AB$19,TRANSPOSE($BP8:$CG8)},4,TRUE),
col,CHOOSECOLS(array,5),
row,MATCH(FALSE, ISBLANK(col), 0),
IF(BW8=SWITCH($AA$22,
"minimum cost", MIN($BP8:$CG8),
"maximum cost", MAX($BP8:$CG8), 
"custom order", IF(CP$1=INDEX(array, row,1),INDEX(array, row,5),"x"))
,1,))</f>
        <v/>
      </c>
      <c r="CQ8" s="390" t="str">
        <f t="array" ref="CQ8">LET(
array,SORT({$Y$2:$AB$19,TRANSPOSE($BP8:$CG8)},4,TRUE),
col,CHOOSECOLS(array,5),
row,MATCH(FALSE, ISBLANK(col), 0),
IF(BX8=SWITCH($AA$22,
"minimum cost", MIN($BP8:$CG8),
"maximum cost", MAX($BP8:$CG8), 
"custom order", IF(CQ$1=INDEX(array, row,1),INDEX(array, row,5),"x"))
,1,))</f>
        <v/>
      </c>
      <c r="CR8" s="390" t="str">
        <f t="array" ref="CR8">LET(
array,SORT({$Y$2:$AB$19,TRANSPOSE($BP8:$CG8)},4,TRUE),
col,CHOOSECOLS(array,5),
row,MATCH(FALSE, ISBLANK(col), 0),
IF(BY8=SWITCH($AA$22,
"minimum cost", MIN($BP8:$CG8),
"maximum cost", MAX($BP8:$CG8), 
"custom order", IF(CR$1=INDEX(array, row,1),INDEX(array, row,5),"x"))
,1,))</f>
        <v/>
      </c>
      <c r="CS8" s="390" t="str">
        <f t="array" ref="CS8">LET(
array,SORT({$Y$2:$AB$19,TRANSPOSE($BP8:$CG8)},4,TRUE),
col,CHOOSECOLS(array,5),
row,MATCH(FALSE, ISBLANK(col), 0),
IF(BZ8=SWITCH($AA$22,
"minimum cost", MIN($BP8:$CG8),
"maximum cost", MAX($BP8:$CG8), 
"custom order", IF(CS$1=INDEX(array, row,1),INDEX(array, row,5),"x"))
,1,))</f>
        <v/>
      </c>
      <c r="CT8" s="390" t="str">
        <f t="array" ref="CT8">LET(
array,SORT({$Y$2:$AB$19,TRANSPOSE($BP8:$CG8)},4,TRUE),
col,CHOOSECOLS(array,5),
row,MATCH(FALSE, ISBLANK(col), 0),
IF(CA8=SWITCH($AA$22,
"minimum cost", MIN($BP8:$CG8),
"maximum cost", MAX($BP8:$CG8), 
"custom order", IF(CT$1=INDEX(array, row,1),INDEX(array, row,5),"x"))
,1,))</f>
        <v/>
      </c>
      <c r="CU8" s="469" t="str">
        <f t="array" ref="CU8">LET(
array,SORT({$Y$2:$AB$19,TRANSPOSE($BP8:$CG8)},4,TRUE),
col,CHOOSECOLS(array,5),
row,MATCH(FALSE, ISBLANK(col), 0),
IF(CB8=SWITCH($AA$22,
"minimum cost", MIN($BP8:$CG8),
"maximum cost", MAX($BP8:$CG8), 
"custom order", IF(CU$1=INDEX(array, row,1),INDEX(array, row,5),"x"))
,1,))</f>
        <v/>
      </c>
      <c r="CV8" s="469" t="str">
        <f t="array" ref="CV8">LET(
array,SORT({$Y$2:$AB$19,TRANSPOSE($BP8:$CG8)},4,TRUE),
col,CHOOSECOLS(array,5),
row,MATCH(FALSE, ISBLANK(col), 0),
IF(CC8=SWITCH($AA$22,
"minimum cost", MIN($BP8:$CG8),
"maximum cost", MAX($BP8:$CG8), 
"custom order", IF(CV$1=INDEX(array, row,1),INDEX(array, row,5),"x"))
,1,))</f>
        <v/>
      </c>
      <c r="CW8" s="469" t="str">
        <f t="array" ref="CW8">LET(
array,SORT({$Y$2:$AB$19,TRANSPOSE($BP8:$CG8)},4,TRUE),
col,CHOOSECOLS(array,5),
row,MATCH(FALSE, ISBLANK(col), 0),
IF(CD8=SWITCH($AA$22,
"minimum cost", MIN($BP8:$CG8),
"maximum cost", MAX($BP8:$CG8), 
"custom order", IF(CW$1=INDEX(array, row,1),INDEX(array, row,5),"x"))
,1,))</f>
        <v/>
      </c>
      <c r="CX8" s="469">
        <f t="array" ref="CX8">LET(
array,SORT({$Y$2:$AB$19,TRANSPOSE($BP8:$CG8)},4,TRUE),
col,CHOOSECOLS(array,5),
row,MATCH(FALSE, ISBLANK(col), 0),
IF(CE8=SWITCH($AA$22,
"minimum cost", MIN($BP8:$CG8),
"maximum cost", MAX($BP8:$CG8), 
"custom order", IF(CX$1=INDEX(array, row,1),INDEX(array, row,5),"x"))
,1,))</f>
        <v>1</v>
      </c>
      <c r="CY8" s="469" t="str">
        <f t="array" ref="CY8">LET(
array,SORT({$Y$2:$AB$19,TRANSPOSE($BP8:$CG8)},4,TRUE),
col,CHOOSECOLS(array,5),
row,MATCH(FALSE, ISBLANK(col), 0),
IF(CF8=SWITCH($AA$22,
"minimum cost", MIN($BP8:$CG8),
"maximum cost", MAX($BP8:$CG8), 
"custom order", IF(CY$1=INDEX(array, row,1),INDEX(array, row,5),"x"))
,1,))</f>
        <v/>
      </c>
      <c r="CZ8" s="581" t="str">
        <f t="array" ref="CZ8">LET(
array,SORT({$Y$2:$AB$19,TRANSPOSE($BP8:$CG8)},4,TRUE),
col,CHOOSECOLS(array,5),
row,MATCH(FALSE, ISBLANK(col), 0),
IF(CG8=SWITCH($AA$22,
"minimum cost", MIN($BP8:$CG8),
"maximum cost", MAX($BP8:$CG8), 
"custom order", IF(CZ$1=INDEX(array, row,1),INDEX(array, row,5),"x"))
,1,))</f>
        <v/>
      </c>
      <c r="DA8" s="461"/>
      <c r="DB8" s="580" t="str">
        <f t="array" ref="DB8:DS8">IF(MATCH(1, CI8:CZ8, 0)=COLUMN(CI8:CZ8)-COLUMN(CI8)+1, CI8:CZ8, "")</f>
        <v/>
      </c>
      <c r="DC8" s="252" t="s">
        <v>133</v>
      </c>
      <c r="DD8" s="252" t="s">
        <v>133</v>
      </c>
      <c r="DE8" s="252" t="s">
        <v>133</v>
      </c>
      <c r="DF8" s="252" t="s">
        <v>133</v>
      </c>
      <c r="DG8" s="252" t="s">
        <v>133</v>
      </c>
      <c r="DH8" s="390" t="s">
        <v>133</v>
      </c>
      <c r="DI8" s="390" t="s">
        <v>133</v>
      </c>
      <c r="DJ8" s="390" t="s">
        <v>133</v>
      </c>
      <c r="DK8" s="390" t="s">
        <v>133</v>
      </c>
      <c r="DL8" s="390" t="s">
        <v>133</v>
      </c>
      <c r="DM8" s="390" t="s">
        <v>133</v>
      </c>
      <c r="DN8" s="469" t="s">
        <v>133</v>
      </c>
      <c r="DO8" s="469" t="s">
        <v>133</v>
      </c>
      <c r="DP8" s="469" t="s">
        <v>133</v>
      </c>
      <c r="DQ8" s="469">
        <v>1.0</v>
      </c>
      <c r="DR8" s="469" t="s">
        <v>133</v>
      </c>
      <c r="DS8" s="581" t="s">
        <v>133</v>
      </c>
      <c r="DT8" s="563"/>
    </row>
    <row r="9">
      <c r="A9" s="563"/>
      <c r="B9" s="620" t="s">
        <v>138</v>
      </c>
      <c r="C9" s="621" t="s">
        <v>216</v>
      </c>
      <c r="D9" s="622">
        <v>5.0</v>
      </c>
      <c r="E9" s="623"/>
      <c r="F9" s="624"/>
      <c r="G9" s="625"/>
      <c r="H9" s="626"/>
      <c r="I9" s="625"/>
      <c r="J9" s="626"/>
      <c r="K9" s="625"/>
      <c r="L9" s="626"/>
      <c r="M9" s="461"/>
      <c r="N9" s="10"/>
      <c r="O9" s="10"/>
      <c r="P9" s="10"/>
      <c r="Q9" s="570" t="str">
        <f>IFERROR(__xludf.DUMMYFUNCTION("IF(SUM(DB9:DS9),ARRAYFORMULA(FILTER(DB$1:DS$1, DB9:DS9=1)),)"),"Free Upgrades")</f>
        <v>Free Upgrades</v>
      </c>
      <c r="R9" s="571">
        <f>IFERROR(__xludf.DUMMYFUNCTION("IF(SUM(DB9:DS9),ARRAYFORMULA(FILTER(AW9:BN9, DB9:DS9=1))+1,)"),16.0)</f>
        <v>16</v>
      </c>
      <c r="S9" s="572">
        <f>IFERROR(__xludf.DUMMYFUNCTION("IF(SUM(DB9:DS9),ARRAYFORMULA(FILTER(AD9:AU9, DB9:DS9=1)),)"),6.638E13)</f>
        <v>66380000000000</v>
      </c>
      <c r="T9" s="572">
        <f t="shared" si="26"/>
        <v>3.25189E+15</v>
      </c>
      <c r="U9" s="573" t="str">
        <f t="shared" ref="U9:V9" si="42">FORMAT_NUMBER(S9)</f>
        <v>66.38 T</v>
      </c>
      <c r="V9" s="574" t="str">
        <f t="shared" si="42"/>
        <v>3.25 q</v>
      </c>
      <c r="W9" s="461"/>
      <c r="Y9" s="616" t="s">
        <v>138</v>
      </c>
      <c r="Z9" s="617">
        <f>SWITCH($O$3,
'Master Sheet'!R$1,'Master Sheet'!R10,
'Master Sheet'!S$1,'Master Sheet'!S10,
'Master Sheet'!T$1,'Master Sheet'!T10,
'Master Sheet'!U$1,'Master Sheet'!U10,
'Master Sheet'!V$1,'Master Sheet'!V10)</f>
        <v>60</v>
      </c>
      <c r="AA9" s="618">
        <f t="shared" si="4"/>
        <v>0.5</v>
      </c>
      <c r="AB9" s="619">
        <f t="shared" si="5"/>
        <v>5</v>
      </c>
      <c r="AC9" s="461"/>
      <c r="AD9" s="580">
        <f t="shared" ref="AD9:AU9" si="43">IFERROR(WSPCOST_SINGLE_ADJUSTED(AD$1,1+AW9),)</f>
        <v>37110000000000</v>
      </c>
      <c r="AE9" s="252">
        <f t="shared" si="43"/>
        <v>82420000000</v>
      </c>
      <c r="AF9" s="252">
        <f t="shared" si="43"/>
        <v>69650000000000</v>
      </c>
      <c r="AG9" s="252">
        <f t="shared" si="43"/>
        <v>21210000000</v>
      </c>
      <c r="AH9" s="252">
        <f t="shared" si="43"/>
        <v>43890000000000</v>
      </c>
      <c r="AI9" s="252">
        <f t="shared" si="43"/>
        <v>47710000000000</v>
      </c>
      <c r="AJ9" s="390">
        <f t="shared" si="43"/>
        <v>92140000000000</v>
      </c>
      <c r="AK9" s="390">
        <f t="shared" si="43"/>
        <v>69650000000000</v>
      </c>
      <c r="AL9" s="390">
        <f t="shared" si="43"/>
        <v>5000000000</v>
      </c>
      <c r="AM9" s="390">
        <f t="shared" si="43"/>
        <v>33950000000</v>
      </c>
      <c r="AN9" s="390">
        <f t="shared" si="43"/>
        <v>60080000000000</v>
      </c>
      <c r="AO9" s="390">
        <f t="shared" si="43"/>
        <v>22020000000000</v>
      </c>
      <c r="AP9" s="469">
        <f t="shared" si="43"/>
        <v>5240000000000</v>
      </c>
      <c r="AQ9" s="469">
        <f t="shared" si="43"/>
        <v>1.3E+15</v>
      </c>
      <c r="AR9" s="469">
        <f t="shared" si="43"/>
        <v>82190000000000</v>
      </c>
      <c r="AS9" s="469">
        <f t="shared" si="43"/>
        <v>66380000000000</v>
      </c>
      <c r="AT9" s="469">
        <f t="shared" si="43"/>
        <v>3990000000000</v>
      </c>
      <c r="AU9" s="581">
        <f t="shared" si="43"/>
        <v>1.14E+15</v>
      </c>
      <c r="AV9" s="461"/>
      <c r="AW9" s="580">
        <f t="shared" ref="AW9:BN9" si="44">AW8+DB8</f>
        <v>56</v>
      </c>
      <c r="AX9" s="252">
        <f t="shared" si="44"/>
        <v>21</v>
      </c>
      <c r="AY9" s="252">
        <f t="shared" si="44"/>
        <v>60</v>
      </c>
      <c r="AZ9" s="252">
        <f t="shared" si="44"/>
        <v>17</v>
      </c>
      <c r="BA9" s="252">
        <f t="shared" si="44"/>
        <v>57</v>
      </c>
      <c r="BB9" s="252">
        <f t="shared" si="44"/>
        <v>13</v>
      </c>
      <c r="BC9" s="390">
        <f t="shared" si="44"/>
        <v>62</v>
      </c>
      <c r="BD9" s="390">
        <f t="shared" si="44"/>
        <v>60</v>
      </c>
      <c r="BE9" s="390">
        <f t="shared" si="44"/>
        <v>0</v>
      </c>
      <c r="BF9" s="390">
        <f t="shared" si="44"/>
        <v>18</v>
      </c>
      <c r="BG9" s="390">
        <f t="shared" si="44"/>
        <v>59</v>
      </c>
      <c r="BH9" s="390">
        <f t="shared" si="44"/>
        <v>20</v>
      </c>
      <c r="BI9" s="469">
        <f t="shared" si="44"/>
        <v>44</v>
      </c>
      <c r="BJ9" s="469">
        <f t="shared" si="44"/>
        <v>37</v>
      </c>
      <c r="BK9" s="469">
        <f t="shared" si="44"/>
        <v>25</v>
      </c>
      <c r="BL9" s="469">
        <f t="shared" si="44"/>
        <v>15</v>
      </c>
      <c r="BM9" s="469">
        <f t="shared" si="44"/>
        <v>42</v>
      </c>
      <c r="BN9" s="581">
        <f t="shared" si="44"/>
        <v>15</v>
      </c>
      <c r="BO9" s="461"/>
      <c r="BP9" s="580">
        <f t="shared" si="8"/>
        <v>37110000000000</v>
      </c>
      <c r="BQ9" s="252" t="str">
        <f t="shared" si="9"/>
        <v/>
      </c>
      <c r="BR9" s="252">
        <f t="shared" si="10"/>
        <v>69650000000000</v>
      </c>
      <c r="BS9" s="252" t="str">
        <f t="shared" si="11"/>
        <v/>
      </c>
      <c r="BT9" s="252" t="str">
        <f t="shared" si="12"/>
        <v/>
      </c>
      <c r="BU9" s="252">
        <f t="shared" si="13"/>
        <v>47710000000000</v>
      </c>
      <c r="BV9" s="390">
        <f t="shared" si="14"/>
        <v>92140000000000</v>
      </c>
      <c r="BW9" s="390">
        <f t="shared" si="15"/>
        <v>69650000000000</v>
      </c>
      <c r="BX9" s="390" t="str">
        <f t="shared" si="16"/>
        <v/>
      </c>
      <c r="BY9" s="390" t="str">
        <f t="shared" si="17"/>
        <v/>
      </c>
      <c r="BZ9" s="390">
        <f t="shared" si="18"/>
        <v>60080000000000</v>
      </c>
      <c r="CA9" s="390">
        <f t="shared" si="19"/>
        <v>22020000000000</v>
      </c>
      <c r="CB9" s="469">
        <f t="shared" si="20"/>
        <v>5240000000000</v>
      </c>
      <c r="CC9" s="469" t="str">
        <f t="shared" si="21"/>
        <v/>
      </c>
      <c r="CD9" s="469">
        <f t="shared" si="22"/>
        <v>82190000000000</v>
      </c>
      <c r="CE9" s="469">
        <f t="shared" si="23"/>
        <v>66380000000000</v>
      </c>
      <c r="CF9" s="469" t="str">
        <f t="shared" si="24"/>
        <v/>
      </c>
      <c r="CG9" s="581" t="str">
        <f t="shared" si="25"/>
        <v/>
      </c>
      <c r="CH9" s="461"/>
      <c r="CI9" s="580" t="str">
        <f t="array" ref="CI9">LET(
array,SORT({$Y$2:$AB$19,TRANSPOSE($BP9:$CG9)},4,TRUE),
col,CHOOSECOLS(array,5),
row,MATCH(FALSE, ISBLANK(col), 0),
IF(BP9=SWITCH($AA$22,
"minimum cost", MIN($BP9:$CG9),
"maximum cost", MAX($BP9:$CG9), 
"custom order", IF(CI$1=INDEX(array, row,1),INDEX(array, row,5),"x"))
,1,))</f>
        <v/>
      </c>
      <c r="CJ9" s="252" t="str">
        <f t="array" ref="CJ9">LET(
array,SORT({$Y$2:$AB$19,TRANSPOSE($BP9:$CG9)},4,TRUE),
col,CHOOSECOLS(array,5),
row,MATCH(FALSE, ISBLANK(col), 0),
IF(BQ9=SWITCH($AA$22,
"minimum cost", MIN($BP9:$CG9),
"maximum cost", MAX($BP9:$CG9), 
"custom order", IF(CJ$1=INDEX(array, row,1),INDEX(array, row,5),"x"))
,1,))</f>
        <v/>
      </c>
      <c r="CK9" s="252" t="str">
        <f t="array" ref="CK9">LET(
array,SORT({$Y$2:$AB$19,TRANSPOSE($BP9:$CG9)},4,TRUE),
col,CHOOSECOLS(array,5),
row,MATCH(FALSE, ISBLANK(col), 0),
IF(BR9=SWITCH($AA$22,
"minimum cost", MIN($BP9:$CG9),
"maximum cost", MAX($BP9:$CG9), 
"custom order", IF(CK$1=INDEX(array, row,1),INDEX(array, row,5),"x"))
,1,))</f>
        <v/>
      </c>
      <c r="CL9" s="252" t="str">
        <f t="array" ref="CL9">LET(
array,SORT({$Y$2:$AB$19,TRANSPOSE($BP9:$CG9)},4,TRUE),
col,CHOOSECOLS(array,5),
row,MATCH(FALSE, ISBLANK(col), 0),
IF(BS9=SWITCH($AA$22,
"minimum cost", MIN($BP9:$CG9),
"maximum cost", MAX($BP9:$CG9), 
"custom order", IF(CL$1=INDEX(array, row,1),INDEX(array, row,5),"x"))
,1,))</f>
        <v/>
      </c>
      <c r="CM9" s="252" t="str">
        <f t="array" ref="CM9">LET(
array,SORT({$Y$2:$AB$19,TRANSPOSE($BP9:$CG9)},4,TRUE),
col,CHOOSECOLS(array,5),
row,MATCH(FALSE, ISBLANK(col), 0),
IF(BT9=SWITCH($AA$22,
"minimum cost", MIN($BP9:$CG9),
"maximum cost", MAX($BP9:$CG9), 
"custom order", IF(CM$1=INDEX(array, row,1),INDEX(array, row,5),"x"))
,1,))</f>
        <v/>
      </c>
      <c r="CN9" s="252" t="str">
        <f t="array" ref="CN9">LET(
array,SORT({$Y$2:$AB$19,TRANSPOSE($BP9:$CG9)},4,TRUE),
col,CHOOSECOLS(array,5),
row,MATCH(FALSE, ISBLANK(col), 0),
IF(BU9=SWITCH($AA$22,
"minimum cost", MIN($BP9:$CG9),
"maximum cost", MAX($BP9:$CG9), 
"custom order", IF(CN$1=INDEX(array, row,1),INDEX(array, row,5),"x"))
,1,))</f>
        <v/>
      </c>
      <c r="CO9" s="390" t="str">
        <f t="array" ref="CO9">LET(
array,SORT({$Y$2:$AB$19,TRANSPOSE($BP9:$CG9)},4,TRUE),
col,CHOOSECOLS(array,5),
row,MATCH(FALSE, ISBLANK(col), 0),
IF(BV9=SWITCH($AA$22,
"minimum cost", MIN($BP9:$CG9),
"maximum cost", MAX($BP9:$CG9), 
"custom order", IF(CO$1=INDEX(array, row,1),INDEX(array, row,5),"x"))
,1,))</f>
        <v/>
      </c>
      <c r="CP9" s="390" t="str">
        <f t="array" ref="CP9">LET(
array,SORT({$Y$2:$AB$19,TRANSPOSE($BP9:$CG9)},4,TRUE),
col,CHOOSECOLS(array,5),
row,MATCH(FALSE, ISBLANK(col), 0),
IF(BW9=SWITCH($AA$22,
"minimum cost", MIN($BP9:$CG9),
"maximum cost", MAX($BP9:$CG9), 
"custom order", IF(CP$1=INDEX(array, row,1),INDEX(array, row,5),"x"))
,1,))</f>
        <v/>
      </c>
      <c r="CQ9" s="390" t="str">
        <f t="array" ref="CQ9">LET(
array,SORT({$Y$2:$AB$19,TRANSPOSE($BP9:$CG9)},4,TRUE),
col,CHOOSECOLS(array,5),
row,MATCH(FALSE, ISBLANK(col), 0),
IF(BX9=SWITCH($AA$22,
"minimum cost", MIN($BP9:$CG9),
"maximum cost", MAX($BP9:$CG9), 
"custom order", IF(CQ$1=INDEX(array, row,1),INDEX(array, row,5),"x"))
,1,))</f>
        <v/>
      </c>
      <c r="CR9" s="390" t="str">
        <f t="array" ref="CR9">LET(
array,SORT({$Y$2:$AB$19,TRANSPOSE($BP9:$CG9)},4,TRUE),
col,CHOOSECOLS(array,5),
row,MATCH(FALSE, ISBLANK(col), 0),
IF(BY9=SWITCH($AA$22,
"minimum cost", MIN($BP9:$CG9),
"maximum cost", MAX($BP9:$CG9), 
"custom order", IF(CR$1=INDEX(array, row,1),INDEX(array, row,5),"x"))
,1,))</f>
        <v/>
      </c>
      <c r="CS9" s="390" t="str">
        <f t="array" ref="CS9">LET(
array,SORT({$Y$2:$AB$19,TRANSPOSE($BP9:$CG9)},4,TRUE),
col,CHOOSECOLS(array,5),
row,MATCH(FALSE, ISBLANK(col), 0),
IF(BZ9=SWITCH($AA$22,
"minimum cost", MIN($BP9:$CG9),
"maximum cost", MAX($BP9:$CG9), 
"custom order", IF(CS$1=INDEX(array, row,1),INDEX(array, row,5),"x"))
,1,))</f>
        <v/>
      </c>
      <c r="CT9" s="390" t="str">
        <f t="array" ref="CT9">LET(
array,SORT({$Y$2:$AB$19,TRANSPOSE($BP9:$CG9)},4,TRUE),
col,CHOOSECOLS(array,5),
row,MATCH(FALSE, ISBLANK(col), 0),
IF(CA9=SWITCH($AA$22,
"minimum cost", MIN($BP9:$CG9),
"maximum cost", MAX($BP9:$CG9), 
"custom order", IF(CT$1=INDEX(array, row,1),INDEX(array, row,5),"x"))
,1,))</f>
        <v/>
      </c>
      <c r="CU9" s="469" t="str">
        <f t="array" ref="CU9">LET(
array,SORT({$Y$2:$AB$19,TRANSPOSE($BP9:$CG9)},4,TRUE),
col,CHOOSECOLS(array,5),
row,MATCH(FALSE, ISBLANK(col), 0),
IF(CB9=SWITCH($AA$22,
"minimum cost", MIN($BP9:$CG9),
"maximum cost", MAX($BP9:$CG9), 
"custom order", IF(CU$1=INDEX(array, row,1),INDEX(array, row,5),"x"))
,1,))</f>
        <v/>
      </c>
      <c r="CV9" s="469" t="str">
        <f t="array" ref="CV9">LET(
array,SORT({$Y$2:$AB$19,TRANSPOSE($BP9:$CG9)},4,TRUE),
col,CHOOSECOLS(array,5),
row,MATCH(FALSE, ISBLANK(col), 0),
IF(CC9=SWITCH($AA$22,
"minimum cost", MIN($BP9:$CG9),
"maximum cost", MAX($BP9:$CG9), 
"custom order", IF(CV$1=INDEX(array, row,1),INDEX(array, row,5),"x"))
,1,))</f>
        <v/>
      </c>
      <c r="CW9" s="469" t="str">
        <f t="array" ref="CW9">LET(
array,SORT({$Y$2:$AB$19,TRANSPOSE($BP9:$CG9)},4,TRUE),
col,CHOOSECOLS(array,5),
row,MATCH(FALSE, ISBLANK(col), 0),
IF(CD9=SWITCH($AA$22,
"minimum cost", MIN($BP9:$CG9),
"maximum cost", MAX($BP9:$CG9), 
"custom order", IF(CW$1=INDEX(array, row,1),INDEX(array, row,5),"x"))
,1,))</f>
        <v/>
      </c>
      <c r="CX9" s="469">
        <f t="array" ref="CX9">LET(
array,SORT({$Y$2:$AB$19,TRANSPOSE($BP9:$CG9)},4,TRUE),
col,CHOOSECOLS(array,5),
row,MATCH(FALSE, ISBLANK(col), 0),
IF(CE9=SWITCH($AA$22,
"minimum cost", MIN($BP9:$CG9),
"maximum cost", MAX($BP9:$CG9), 
"custom order", IF(CX$1=INDEX(array, row,1),INDEX(array, row,5),"x"))
,1,))</f>
        <v>1</v>
      </c>
      <c r="CY9" s="469" t="str">
        <f t="array" ref="CY9">LET(
array,SORT({$Y$2:$AB$19,TRANSPOSE($BP9:$CG9)},4,TRUE),
col,CHOOSECOLS(array,5),
row,MATCH(FALSE, ISBLANK(col), 0),
IF(CF9=SWITCH($AA$22,
"minimum cost", MIN($BP9:$CG9),
"maximum cost", MAX($BP9:$CG9), 
"custom order", IF(CY$1=INDEX(array, row,1),INDEX(array, row,5),"x"))
,1,))</f>
        <v/>
      </c>
      <c r="CZ9" s="581" t="str">
        <f t="array" ref="CZ9">LET(
array,SORT({$Y$2:$AB$19,TRANSPOSE($BP9:$CG9)},4,TRUE),
col,CHOOSECOLS(array,5),
row,MATCH(FALSE, ISBLANK(col), 0),
IF(CG9=SWITCH($AA$22,
"minimum cost", MIN($BP9:$CG9),
"maximum cost", MAX($BP9:$CG9), 
"custom order", IF(CZ$1=INDEX(array, row,1),INDEX(array, row,5),"x"))
,1,))</f>
        <v/>
      </c>
      <c r="DA9" s="461"/>
      <c r="DB9" s="580" t="str">
        <f t="array" ref="DB9:DS9">IF(MATCH(1, CI9:CZ9, 0)=COLUMN(CI9:CZ9)-COLUMN(CI9)+1, CI9:CZ9, "")</f>
        <v/>
      </c>
      <c r="DC9" s="252" t="s">
        <v>133</v>
      </c>
      <c r="DD9" s="252" t="s">
        <v>133</v>
      </c>
      <c r="DE9" s="252" t="s">
        <v>133</v>
      </c>
      <c r="DF9" s="252" t="s">
        <v>133</v>
      </c>
      <c r="DG9" s="252" t="s">
        <v>133</v>
      </c>
      <c r="DH9" s="390" t="s">
        <v>133</v>
      </c>
      <c r="DI9" s="390" t="s">
        <v>133</v>
      </c>
      <c r="DJ9" s="390" t="s">
        <v>133</v>
      </c>
      <c r="DK9" s="390" t="s">
        <v>133</v>
      </c>
      <c r="DL9" s="390" t="s">
        <v>133</v>
      </c>
      <c r="DM9" s="390" t="s">
        <v>133</v>
      </c>
      <c r="DN9" s="469" t="s">
        <v>133</v>
      </c>
      <c r="DO9" s="469" t="s">
        <v>133</v>
      </c>
      <c r="DP9" s="469" t="s">
        <v>133</v>
      </c>
      <c r="DQ9" s="469">
        <v>1.0</v>
      </c>
      <c r="DR9" s="469" t="s">
        <v>133</v>
      </c>
      <c r="DS9" s="581" t="s">
        <v>133</v>
      </c>
      <c r="DT9" s="563"/>
    </row>
    <row r="10">
      <c r="A10" s="563"/>
      <c r="B10" s="627" t="s">
        <v>207</v>
      </c>
      <c r="C10" s="628"/>
      <c r="D10" s="624"/>
      <c r="E10" s="623"/>
      <c r="F10" s="624"/>
      <c r="G10" s="629"/>
      <c r="H10" s="630"/>
      <c r="I10" s="629"/>
      <c r="J10" s="630"/>
      <c r="K10" s="629"/>
      <c r="L10" s="630"/>
      <c r="M10" s="461"/>
      <c r="N10" s="10"/>
      <c r="O10" s="10"/>
      <c r="P10" s="10"/>
      <c r="Q10" s="570" t="str">
        <f>IFERROR(__xludf.DUMMYFUNCTION("IF(SUM(DB10:DS10),ARRAYFORMULA(FILTER(DB$1:DS$1, DB10:DS10=1)),)"),"Free Upgrades")</f>
        <v>Free Upgrades</v>
      </c>
      <c r="R10" s="571">
        <f>IFERROR(__xludf.DUMMYFUNCTION("IF(SUM(DB10:DS10),ARRAYFORMULA(FILTER(AW10:BN10, DB10:DS10=1))+1,)"),17.0)</f>
        <v>17</v>
      </c>
      <c r="S10" s="572">
        <f>IFERROR(__xludf.DUMMYFUNCTION("IF(SUM(DB10:DS10),ARRAYFORMULA(FILTER(AD10:AU10, DB10:DS10=1)),)"),8.648E13)</f>
        <v>86480000000000</v>
      </c>
      <c r="T10" s="572">
        <f t="shared" si="26"/>
        <v>3.33837E+15</v>
      </c>
      <c r="U10" s="573" t="str">
        <f t="shared" ref="U10:V10" si="45">FORMAT_NUMBER(S10)</f>
        <v>86.48 T</v>
      </c>
      <c r="V10" s="574" t="str">
        <f t="shared" si="45"/>
        <v>3.34 q</v>
      </c>
      <c r="W10" s="461"/>
      <c r="Y10" s="616" t="s">
        <v>207</v>
      </c>
      <c r="Z10" s="617">
        <f>SWITCH($O$3,
'Master Sheet'!R$1,'Master Sheet'!R11,
'Master Sheet'!S$1,'Master Sheet'!S11,
'Master Sheet'!T$1,'Master Sheet'!T11,
'Master Sheet'!U$1,'Master Sheet'!U11,
'Master Sheet'!V$1,'Master Sheet'!V11)</f>
        <v>0</v>
      </c>
      <c r="AA10" s="618">
        <f t="shared" si="4"/>
        <v>0</v>
      </c>
      <c r="AB10" s="619" t="str">
        <f t="shared" si="5"/>
        <v/>
      </c>
      <c r="AC10" s="461"/>
      <c r="AD10" s="580">
        <f t="shared" ref="AD10:AU10" si="46">IFERROR(WSPCOST_SINGLE_ADJUSTED(AD$1,1+AW10),)</f>
        <v>37110000000000</v>
      </c>
      <c r="AE10" s="252">
        <f t="shared" si="46"/>
        <v>82420000000</v>
      </c>
      <c r="AF10" s="252">
        <f t="shared" si="46"/>
        <v>69650000000000</v>
      </c>
      <c r="AG10" s="252">
        <f t="shared" si="46"/>
        <v>21210000000</v>
      </c>
      <c r="AH10" s="252">
        <f t="shared" si="46"/>
        <v>43890000000000</v>
      </c>
      <c r="AI10" s="252">
        <f t="shared" si="46"/>
        <v>47710000000000</v>
      </c>
      <c r="AJ10" s="390">
        <f t="shared" si="46"/>
        <v>92140000000000</v>
      </c>
      <c r="AK10" s="390">
        <f t="shared" si="46"/>
        <v>69650000000000</v>
      </c>
      <c r="AL10" s="390">
        <f t="shared" si="46"/>
        <v>5000000000</v>
      </c>
      <c r="AM10" s="390">
        <f t="shared" si="46"/>
        <v>33950000000</v>
      </c>
      <c r="AN10" s="390">
        <f t="shared" si="46"/>
        <v>60080000000000</v>
      </c>
      <c r="AO10" s="390">
        <f t="shared" si="46"/>
        <v>22020000000000</v>
      </c>
      <c r="AP10" s="469">
        <f t="shared" si="46"/>
        <v>5240000000000</v>
      </c>
      <c r="AQ10" s="469">
        <f t="shared" si="46"/>
        <v>1.3E+15</v>
      </c>
      <c r="AR10" s="469">
        <f t="shared" si="46"/>
        <v>82190000000000</v>
      </c>
      <c r="AS10" s="469">
        <f t="shared" si="46"/>
        <v>86480000000000</v>
      </c>
      <c r="AT10" s="469">
        <f t="shared" si="46"/>
        <v>3990000000000</v>
      </c>
      <c r="AU10" s="581">
        <f t="shared" si="46"/>
        <v>1.14E+15</v>
      </c>
      <c r="AV10" s="461"/>
      <c r="AW10" s="580">
        <f t="shared" ref="AW10:BN10" si="47">AW9+DB9</f>
        <v>56</v>
      </c>
      <c r="AX10" s="252">
        <f t="shared" si="47"/>
        <v>21</v>
      </c>
      <c r="AY10" s="252">
        <f t="shared" si="47"/>
        <v>60</v>
      </c>
      <c r="AZ10" s="252">
        <f t="shared" si="47"/>
        <v>17</v>
      </c>
      <c r="BA10" s="252">
        <f t="shared" si="47"/>
        <v>57</v>
      </c>
      <c r="BB10" s="252">
        <f t="shared" si="47"/>
        <v>13</v>
      </c>
      <c r="BC10" s="390">
        <f t="shared" si="47"/>
        <v>62</v>
      </c>
      <c r="BD10" s="390">
        <f t="shared" si="47"/>
        <v>60</v>
      </c>
      <c r="BE10" s="390">
        <f t="shared" si="47"/>
        <v>0</v>
      </c>
      <c r="BF10" s="390">
        <f t="shared" si="47"/>
        <v>18</v>
      </c>
      <c r="BG10" s="390">
        <f t="shared" si="47"/>
        <v>59</v>
      </c>
      <c r="BH10" s="390">
        <f t="shared" si="47"/>
        <v>20</v>
      </c>
      <c r="BI10" s="469">
        <f t="shared" si="47"/>
        <v>44</v>
      </c>
      <c r="BJ10" s="469">
        <f t="shared" si="47"/>
        <v>37</v>
      </c>
      <c r="BK10" s="469">
        <f t="shared" si="47"/>
        <v>25</v>
      </c>
      <c r="BL10" s="469">
        <f t="shared" si="47"/>
        <v>16</v>
      </c>
      <c r="BM10" s="469">
        <f t="shared" si="47"/>
        <v>42</v>
      </c>
      <c r="BN10" s="581">
        <f t="shared" si="47"/>
        <v>15</v>
      </c>
      <c r="BO10" s="461"/>
      <c r="BP10" s="580">
        <f t="shared" si="8"/>
        <v>37110000000000</v>
      </c>
      <c r="BQ10" s="252" t="str">
        <f t="shared" si="9"/>
        <v/>
      </c>
      <c r="BR10" s="252">
        <f t="shared" si="10"/>
        <v>69650000000000</v>
      </c>
      <c r="BS10" s="252" t="str">
        <f t="shared" si="11"/>
        <v/>
      </c>
      <c r="BT10" s="252" t="str">
        <f t="shared" si="12"/>
        <v/>
      </c>
      <c r="BU10" s="252">
        <f t="shared" si="13"/>
        <v>47710000000000</v>
      </c>
      <c r="BV10" s="390">
        <f t="shared" si="14"/>
        <v>92140000000000</v>
      </c>
      <c r="BW10" s="390">
        <f t="shared" si="15"/>
        <v>69650000000000</v>
      </c>
      <c r="BX10" s="390" t="str">
        <f t="shared" si="16"/>
        <v/>
      </c>
      <c r="BY10" s="390" t="str">
        <f t="shared" si="17"/>
        <v/>
      </c>
      <c r="BZ10" s="390">
        <f t="shared" si="18"/>
        <v>60080000000000</v>
      </c>
      <c r="CA10" s="390">
        <f t="shared" si="19"/>
        <v>22020000000000</v>
      </c>
      <c r="CB10" s="469">
        <f t="shared" si="20"/>
        <v>5240000000000</v>
      </c>
      <c r="CC10" s="469" t="str">
        <f t="shared" si="21"/>
        <v/>
      </c>
      <c r="CD10" s="469">
        <f t="shared" si="22"/>
        <v>82190000000000</v>
      </c>
      <c r="CE10" s="469">
        <f t="shared" si="23"/>
        <v>86480000000000</v>
      </c>
      <c r="CF10" s="469" t="str">
        <f t="shared" si="24"/>
        <v/>
      </c>
      <c r="CG10" s="581" t="str">
        <f t="shared" si="25"/>
        <v/>
      </c>
      <c r="CH10" s="461"/>
      <c r="CI10" s="580" t="str">
        <f t="array" ref="CI10">LET(
array,SORT({$Y$2:$AB$19,TRANSPOSE($BP10:$CG10)},4,TRUE),
col,CHOOSECOLS(array,5),
row,MATCH(FALSE, ISBLANK(col), 0),
IF(BP10=SWITCH($AA$22,
"minimum cost", MIN($BP10:$CG10),
"maximum cost", MAX($BP10:$CG10), 
"custom order", IF(CI$1=INDEX(array, row,1),INDEX(array, row,5),"x"))
,1,))</f>
        <v/>
      </c>
      <c r="CJ10" s="252" t="str">
        <f t="array" ref="CJ10">LET(
array,SORT({$Y$2:$AB$19,TRANSPOSE($BP10:$CG10)},4,TRUE),
col,CHOOSECOLS(array,5),
row,MATCH(FALSE, ISBLANK(col), 0),
IF(BQ10=SWITCH($AA$22,
"minimum cost", MIN($BP10:$CG10),
"maximum cost", MAX($BP10:$CG10), 
"custom order", IF(CJ$1=INDEX(array, row,1),INDEX(array, row,5),"x"))
,1,))</f>
        <v/>
      </c>
      <c r="CK10" s="252" t="str">
        <f t="array" ref="CK10">LET(
array,SORT({$Y$2:$AB$19,TRANSPOSE($BP10:$CG10)},4,TRUE),
col,CHOOSECOLS(array,5),
row,MATCH(FALSE, ISBLANK(col), 0),
IF(BR10=SWITCH($AA$22,
"minimum cost", MIN($BP10:$CG10),
"maximum cost", MAX($BP10:$CG10), 
"custom order", IF(CK$1=INDEX(array, row,1),INDEX(array, row,5),"x"))
,1,))</f>
        <v/>
      </c>
      <c r="CL10" s="252" t="str">
        <f t="array" ref="CL10">LET(
array,SORT({$Y$2:$AB$19,TRANSPOSE($BP10:$CG10)},4,TRUE),
col,CHOOSECOLS(array,5),
row,MATCH(FALSE, ISBLANK(col), 0),
IF(BS10=SWITCH($AA$22,
"minimum cost", MIN($BP10:$CG10),
"maximum cost", MAX($BP10:$CG10), 
"custom order", IF(CL$1=INDEX(array, row,1),INDEX(array, row,5),"x"))
,1,))</f>
        <v/>
      </c>
      <c r="CM10" s="252" t="str">
        <f t="array" ref="CM10">LET(
array,SORT({$Y$2:$AB$19,TRANSPOSE($BP10:$CG10)},4,TRUE),
col,CHOOSECOLS(array,5),
row,MATCH(FALSE, ISBLANK(col), 0),
IF(BT10=SWITCH($AA$22,
"minimum cost", MIN($BP10:$CG10),
"maximum cost", MAX($BP10:$CG10), 
"custom order", IF(CM$1=INDEX(array, row,1),INDEX(array, row,5),"x"))
,1,))</f>
        <v/>
      </c>
      <c r="CN10" s="252" t="str">
        <f t="array" ref="CN10">LET(
array,SORT({$Y$2:$AB$19,TRANSPOSE($BP10:$CG10)},4,TRUE),
col,CHOOSECOLS(array,5),
row,MATCH(FALSE, ISBLANK(col), 0),
IF(BU10=SWITCH($AA$22,
"minimum cost", MIN($BP10:$CG10),
"maximum cost", MAX($BP10:$CG10), 
"custom order", IF(CN$1=INDEX(array, row,1),INDEX(array, row,5),"x"))
,1,))</f>
        <v/>
      </c>
      <c r="CO10" s="390" t="str">
        <f t="array" ref="CO10">LET(
array,SORT({$Y$2:$AB$19,TRANSPOSE($BP10:$CG10)},4,TRUE),
col,CHOOSECOLS(array,5),
row,MATCH(FALSE, ISBLANK(col), 0),
IF(BV10=SWITCH($AA$22,
"minimum cost", MIN($BP10:$CG10),
"maximum cost", MAX($BP10:$CG10), 
"custom order", IF(CO$1=INDEX(array, row,1),INDEX(array, row,5),"x"))
,1,))</f>
        <v/>
      </c>
      <c r="CP10" s="390" t="str">
        <f t="array" ref="CP10">LET(
array,SORT({$Y$2:$AB$19,TRANSPOSE($BP10:$CG10)},4,TRUE),
col,CHOOSECOLS(array,5),
row,MATCH(FALSE, ISBLANK(col), 0),
IF(BW10=SWITCH($AA$22,
"minimum cost", MIN($BP10:$CG10),
"maximum cost", MAX($BP10:$CG10), 
"custom order", IF(CP$1=INDEX(array, row,1),INDEX(array, row,5),"x"))
,1,))</f>
        <v/>
      </c>
      <c r="CQ10" s="390" t="str">
        <f t="array" ref="CQ10">LET(
array,SORT({$Y$2:$AB$19,TRANSPOSE($BP10:$CG10)},4,TRUE),
col,CHOOSECOLS(array,5),
row,MATCH(FALSE, ISBLANK(col), 0),
IF(BX10=SWITCH($AA$22,
"minimum cost", MIN($BP10:$CG10),
"maximum cost", MAX($BP10:$CG10), 
"custom order", IF(CQ$1=INDEX(array, row,1),INDEX(array, row,5),"x"))
,1,))</f>
        <v/>
      </c>
      <c r="CR10" s="390" t="str">
        <f t="array" ref="CR10">LET(
array,SORT({$Y$2:$AB$19,TRANSPOSE($BP10:$CG10)},4,TRUE),
col,CHOOSECOLS(array,5),
row,MATCH(FALSE, ISBLANK(col), 0),
IF(BY10=SWITCH($AA$22,
"minimum cost", MIN($BP10:$CG10),
"maximum cost", MAX($BP10:$CG10), 
"custom order", IF(CR$1=INDEX(array, row,1),INDEX(array, row,5),"x"))
,1,))</f>
        <v/>
      </c>
      <c r="CS10" s="390" t="str">
        <f t="array" ref="CS10">LET(
array,SORT({$Y$2:$AB$19,TRANSPOSE($BP10:$CG10)},4,TRUE),
col,CHOOSECOLS(array,5),
row,MATCH(FALSE, ISBLANK(col), 0),
IF(BZ10=SWITCH($AA$22,
"minimum cost", MIN($BP10:$CG10),
"maximum cost", MAX($BP10:$CG10), 
"custom order", IF(CS$1=INDEX(array, row,1),INDEX(array, row,5),"x"))
,1,))</f>
        <v/>
      </c>
      <c r="CT10" s="390" t="str">
        <f t="array" ref="CT10">LET(
array,SORT({$Y$2:$AB$19,TRANSPOSE($BP10:$CG10)},4,TRUE),
col,CHOOSECOLS(array,5),
row,MATCH(FALSE, ISBLANK(col), 0),
IF(CA10=SWITCH($AA$22,
"minimum cost", MIN($BP10:$CG10),
"maximum cost", MAX($BP10:$CG10), 
"custom order", IF(CT$1=INDEX(array, row,1),INDEX(array, row,5),"x"))
,1,))</f>
        <v/>
      </c>
      <c r="CU10" s="469" t="str">
        <f t="array" ref="CU10">LET(
array,SORT({$Y$2:$AB$19,TRANSPOSE($BP10:$CG10)},4,TRUE),
col,CHOOSECOLS(array,5),
row,MATCH(FALSE, ISBLANK(col), 0),
IF(CB10=SWITCH($AA$22,
"minimum cost", MIN($BP10:$CG10),
"maximum cost", MAX($BP10:$CG10), 
"custom order", IF(CU$1=INDEX(array, row,1),INDEX(array, row,5),"x"))
,1,))</f>
        <v/>
      </c>
      <c r="CV10" s="469" t="str">
        <f t="array" ref="CV10">LET(
array,SORT({$Y$2:$AB$19,TRANSPOSE($BP10:$CG10)},4,TRUE),
col,CHOOSECOLS(array,5),
row,MATCH(FALSE, ISBLANK(col), 0),
IF(CC10=SWITCH($AA$22,
"minimum cost", MIN($BP10:$CG10),
"maximum cost", MAX($BP10:$CG10), 
"custom order", IF(CV$1=INDEX(array, row,1),INDEX(array, row,5),"x"))
,1,))</f>
        <v/>
      </c>
      <c r="CW10" s="469" t="str">
        <f t="array" ref="CW10">LET(
array,SORT({$Y$2:$AB$19,TRANSPOSE($BP10:$CG10)},4,TRUE),
col,CHOOSECOLS(array,5),
row,MATCH(FALSE, ISBLANK(col), 0),
IF(CD10=SWITCH($AA$22,
"minimum cost", MIN($BP10:$CG10),
"maximum cost", MAX($BP10:$CG10), 
"custom order", IF(CW$1=INDEX(array, row,1),INDEX(array, row,5),"x"))
,1,))</f>
        <v/>
      </c>
      <c r="CX10" s="469">
        <f t="array" ref="CX10">LET(
array,SORT({$Y$2:$AB$19,TRANSPOSE($BP10:$CG10)},4,TRUE),
col,CHOOSECOLS(array,5),
row,MATCH(FALSE, ISBLANK(col), 0),
IF(CE10=SWITCH($AA$22,
"minimum cost", MIN($BP10:$CG10),
"maximum cost", MAX($BP10:$CG10), 
"custom order", IF(CX$1=INDEX(array, row,1),INDEX(array, row,5),"x"))
,1,))</f>
        <v>1</v>
      </c>
      <c r="CY10" s="469" t="str">
        <f t="array" ref="CY10">LET(
array,SORT({$Y$2:$AB$19,TRANSPOSE($BP10:$CG10)},4,TRUE),
col,CHOOSECOLS(array,5),
row,MATCH(FALSE, ISBLANK(col), 0),
IF(CF10=SWITCH($AA$22,
"minimum cost", MIN($BP10:$CG10),
"maximum cost", MAX($BP10:$CG10), 
"custom order", IF(CY$1=INDEX(array, row,1),INDEX(array, row,5),"x"))
,1,))</f>
        <v/>
      </c>
      <c r="CZ10" s="581" t="str">
        <f t="array" ref="CZ10">LET(
array,SORT({$Y$2:$AB$19,TRANSPOSE($BP10:$CG10)},4,TRUE),
col,CHOOSECOLS(array,5),
row,MATCH(FALSE, ISBLANK(col), 0),
IF(CG10=SWITCH($AA$22,
"minimum cost", MIN($BP10:$CG10),
"maximum cost", MAX($BP10:$CG10), 
"custom order", IF(CZ$1=INDEX(array, row,1),INDEX(array, row,5),"x"))
,1,))</f>
        <v/>
      </c>
      <c r="DA10" s="461"/>
      <c r="DB10" s="580" t="str">
        <f t="array" ref="DB10:DS10">IF(MATCH(1, CI10:CZ10, 0)=COLUMN(CI10:CZ10)-COLUMN(CI10)+1, CI10:CZ10, "")</f>
        <v/>
      </c>
      <c r="DC10" s="252" t="s">
        <v>133</v>
      </c>
      <c r="DD10" s="252" t="s">
        <v>133</v>
      </c>
      <c r="DE10" s="252" t="s">
        <v>133</v>
      </c>
      <c r="DF10" s="252" t="s">
        <v>133</v>
      </c>
      <c r="DG10" s="252" t="s">
        <v>133</v>
      </c>
      <c r="DH10" s="390" t="s">
        <v>133</v>
      </c>
      <c r="DI10" s="390" t="s">
        <v>133</v>
      </c>
      <c r="DJ10" s="390" t="s">
        <v>133</v>
      </c>
      <c r="DK10" s="390" t="s">
        <v>133</v>
      </c>
      <c r="DL10" s="390" t="s">
        <v>133</v>
      </c>
      <c r="DM10" s="390" t="s">
        <v>133</v>
      </c>
      <c r="DN10" s="469" t="s">
        <v>133</v>
      </c>
      <c r="DO10" s="469" t="s">
        <v>133</v>
      </c>
      <c r="DP10" s="469" t="s">
        <v>133</v>
      </c>
      <c r="DQ10" s="469">
        <v>1.0</v>
      </c>
      <c r="DR10" s="469" t="s">
        <v>133</v>
      </c>
      <c r="DS10" s="581" t="s">
        <v>133</v>
      </c>
      <c r="DT10" s="563"/>
    </row>
    <row r="11">
      <c r="A11" s="563"/>
      <c r="B11" s="620" t="s">
        <v>208</v>
      </c>
      <c r="C11" s="628"/>
      <c r="D11" s="624"/>
      <c r="E11" s="623"/>
      <c r="F11" s="624"/>
      <c r="G11" s="631"/>
      <c r="H11" s="626"/>
      <c r="I11" s="631"/>
      <c r="J11" s="626"/>
      <c r="K11" s="631"/>
      <c r="L11" s="626"/>
      <c r="M11" s="461"/>
      <c r="N11" s="10"/>
      <c r="O11" s="10"/>
      <c r="P11" s="10"/>
      <c r="Q11" s="570" t="str">
        <f>IFERROR(__xludf.DUMMYFUNCTION("IF(SUM(DB11:DS11),ARRAYFORMULA(FILTER(DB$1:DS$1, DB11:DS11=1)),)"),"Free Upgrades")</f>
        <v>Free Upgrades</v>
      </c>
      <c r="R11" s="571">
        <f>IFERROR(__xludf.DUMMYFUNCTION("IF(SUM(DB11:DS11),ARRAYFORMULA(FILTER(AW11:BN11, DB11:DS11=1))+1,)"),18.0)</f>
        <v>18</v>
      </c>
      <c r="S11" s="572">
        <f>IFERROR(__xludf.DUMMYFUNCTION("IF(SUM(DB11:DS11),ARRAYFORMULA(FILTER(AD11:AU11, DB11:DS11=1)),)"),2.2177E14)</f>
        <v>221770000000000</v>
      </c>
      <c r="T11" s="572">
        <f t="shared" si="26"/>
        <v>3.56014E+15</v>
      </c>
      <c r="U11" s="573" t="str">
        <f t="shared" ref="U11:V11" si="48">FORMAT_NUMBER(S11)</f>
        <v>221.77 T</v>
      </c>
      <c r="V11" s="574" t="str">
        <f t="shared" si="48"/>
        <v>3.56 q</v>
      </c>
      <c r="W11" s="461"/>
      <c r="Y11" s="616" t="s">
        <v>208</v>
      </c>
      <c r="Z11" s="617">
        <f>SWITCH($O$3,
'Master Sheet'!R$1,'Master Sheet'!R12,
'Master Sheet'!S$1,'Master Sheet'!S12,
'Master Sheet'!T$1,'Master Sheet'!T12,
'Master Sheet'!U$1,'Master Sheet'!U12,
'Master Sheet'!V$1,'Master Sheet'!V12)</f>
        <v>18</v>
      </c>
      <c r="AA11" s="618">
        <f t="shared" si="4"/>
        <v>0</v>
      </c>
      <c r="AB11" s="619" t="str">
        <f t="shared" si="5"/>
        <v/>
      </c>
      <c r="AC11" s="461"/>
      <c r="AD11" s="580">
        <f t="shared" ref="AD11:AU11" si="49">IFERROR(WSPCOST_SINGLE_ADJUSTED(AD$1,1+AW11),)</f>
        <v>37110000000000</v>
      </c>
      <c r="AE11" s="252">
        <f t="shared" si="49"/>
        <v>82420000000</v>
      </c>
      <c r="AF11" s="252">
        <f t="shared" si="49"/>
        <v>69650000000000</v>
      </c>
      <c r="AG11" s="252">
        <f t="shared" si="49"/>
        <v>21210000000</v>
      </c>
      <c r="AH11" s="252">
        <f t="shared" si="49"/>
        <v>43890000000000</v>
      </c>
      <c r="AI11" s="252">
        <f t="shared" si="49"/>
        <v>47710000000000</v>
      </c>
      <c r="AJ11" s="390">
        <f t="shared" si="49"/>
        <v>92140000000000</v>
      </c>
      <c r="AK11" s="390">
        <f t="shared" si="49"/>
        <v>69650000000000</v>
      </c>
      <c r="AL11" s="390">
        <f t="shared" si="49"/>
        <v>5000000000</v>
      </c>
      <c r="AM11" s="390">
        <f t="shared" si="49"/>
        <v>33950000000</v>
      </c>
      <c r="AN11" s="390">
        <f t="shared" si="49"/>
        <v>60080000000000</v>
      </c>
      <c r="AO11" s="390">
        <f t="shared" si="49"/>
        <v>22020000000000</v>
      </c>
      <c r="AP11" s="469">
        <f t="shared" si="49"/>
        <v>5240000000000</v>
      </c>
      <c r="AQ11" s="469">
        <f t="shared" si="49"/>
        <v>1.3E+15</v>
      </c>
      <c r="AR11" s="469">
        <f t="shared" si="49"/>
        <v>82190000000000</v>
      </c>
      <c r="AS11" s="469">
        <f t="shared" si="49"/>
        <v>221770000000000</v>
      </c>
      <c r="AT11" s="469">
        <f t="shared" si="49"/>
        <v>3990000000000</v>
      </c>
      <c r="AU11" s="581">
        <f t="shared" si="49"/>
        <v>1.14E+15</v>
      </c>
      <c r="AV11" s="461"/>
      <c r="AW11" s="580">
        <f t="shared" ref="AW11:BN11" si="50">AW10+DB10</f>
        <v>56</v>
      </c>
      <c r="AX11" s="252">
        <f t="shared" si="50"/>
        <v>21</v>
      </c>
      <c r="AY11" s="252">
        <f t="shared" si="50"/>
        <v>60</v>
      </c>
      <c r="AZ11" s="252">
        <f t="shared" si="50"/>
        <v>17</v>
      </c>
      <c r="BA11" s="252">
        <f t="shared" si="50"/>
        <v>57</v>
      </c>
      <c r="BB11" s="252">
        <f t="shared" si="50"/>
        <v>13</v>
      </c>
      <c r="BC11" s="390">
        <f t="shared" si="50"/>
        <v>62</v>
      </c>
      <c r="BD11" s="390">
        <f t="shared" si="50"/>
        <v>60</v>
      </c>
      <c r="BE11" s="390">
        <f t="shared" si="50"/>
        <v>0</v>
      </c>
      <c r="BF11" s="390">
        <f t="shared" si="50"/>
        <v>18</v>
      </c>
      <c r="BG11" s="390">
        <f t="shared" si="50"/>
        <v>59</v>
      </c>
      <c r="BH11" s="390">
        <f t="shared" si="50"/>
        <v>20</v>
      </c>
      <c r="BI11" s="469">
        <f t="shared" si="50"/>
        <v>44</v>
      </c>
      <c r="BJ11" s="469">
        <f t="shared" si="50"/>
        <v>37</v>
      </c>
      <c r="BK11" s="469">
        <f t="shared" si="50"/>
        <v>25</v>
      </c>
      <c r="BL11" s="469">
        <f t="shared" si="50"/>
        <v>17</v>
      </c>
      <c r="BM11" s="469">
        <f t="shared" si="50"/>
        <v>42</v>
      </c>
      <c r="BN11" s="581">
        <f t="shared" si="50"/>
        <v>15</v>
      </c>
      <c r="BO11" s="461"/>
      <c r="BP11" s="580">
        <f t="shared" si="8"/>
        <v>37110000000000</v>
      </c>
      <c r="BQ11" s="252" t="str">
        <f t="shared" si="9"/>
        <v/>
      </c>
      <c r="BR11" s="252">
        <f t="shared" si="10"/>
        <v>69650000000000</v>
      </c>
      <c r="BS11" s="252" t="str">
        <f t="shared" si="11"/>
        <v/>
      </c>
      <c r="BT11" s="252" t="str">
        <f t="shared" si="12"/>
        <v/>
      </c>
      <c r="BU11" s="252">
        <f t="shared" si="13"/>
        <v>47710000000000</v>
      </c>
      <c r="BV11" s="390">
        <f t="shared" si="14"/>
        <v>92140000000000</v>
      </c>
      <c r="BW11" s="390">
        <f t="shared" si="15"/>
        <v>69650000000000</v>
      </c>
      <c r="BX11" s="390" t="str">
        <f t="shared" si="16"/>
        <v/>
      </c>
      <c r="BY11" s="390" t="str">
        <f t="shared" si="17"/>
        <v/>
      </c>
      <c r="BZ11" s="390">
        <f t="shared" si="18"/>
        <v>60080000000000</v>
      </c>
      <c r="CA11" s="390">
        <f t="shared" si="19"/>
        <v>22020000000000</v>
      </c>
      <c r="CB11" s="469">
        <f t="shared" si="20"/>
        <v>5240000000000</v>
      </c>
      <c r="CC11" s="469" t="str">
        <f t="shared" si="21"/>
        <v/>
      </c>
      <c r="CD11" s="469">
        <f t="shared" si="22"/>
        <v>82190000000000</v>
      </c>
      <c r="CE11" s="469">
        <f t="shared" si="23"/>
        <v>221770000000000</v>
      </c>
      <c r="CF11" s="469" t="str">
        <f t="shared" si="24"/>
        <v/>
      </c>
      <c r="CG11" s="581" t="str">
        <f t="shared" si="25"/>
        <v/>
      </c>
      <c r="CH11" s="461"/>
      <c r="CI11" s="580" t="str">
        <f t="array" ref="CI11">LET(
array,SORT({$Y$2:$AB$19,TRANSPOSE($BP11:$CG11)},4,TRUE),
col,CHOOSECOLS(array,5),
row,MATCH(FALSE, ISBLANK(col), 0),
IF(BP11=SWITCH($AA$22,
"minimum cost", MIN($BP11:$CG11),
"maximum cost", MAX($BP11:$CG11), 
"custom order", IF(CI$1=INDEX(array, row,1),INDEX(array, row,5),"x"))
,1,))</f>
        <v/>
      </c>
      <c r="CJ11" s="252" t="str">
        <f t="array" ref="CJ11">LET(
array,SORT({$Y$2:$AB$19,TRANSPOSE($BP11:$CG11)},4,TRUE),
col,CHOOSECOLS(array,5),
row,MATCH(FALSE, ISBLANK(col), 0),
IF(BQ11=SWITCH($AA$22,
"minimum cost", MIN($BP11:$CG11),
"maximum cost", MAX($BP11:$CG11), 
"custom order", IF(CJ$1=INDEX(array, row,1),INDEX(array, row,5),"x"))
,1,))</f>
        <v/>
      </c>
      <c r="CK11" s="252" t="str">
        <f t="array" ref="CK11">LET(
array,SORT({$Y$2:$AB$19,TRANSPOSE($BP11:$CG11)},4,TRUE),
col,CHOOSECOLS(array,5),
row,MATCH(FALSE, ISBLANK(col), 0),
IF(BR11=SWITCH($AA$22,
"minimum cost", MIN($BP11:$CG11),
"maximum cost", MAX($BP11:$CG11), 
"custom order", IF(CK$1=INDEX(array, row,1),INDEX(array, row,5),"x"))
,1,))</f>
        <v/>
      </c>
      <c r="CL11" s="252" t="str">
        <f t="array" ref="CL11">LET(
array,SORT({$Y$2:$AB$19,TRANSPOSE($BP11:$CG11)},4,TRUE),
col,CHOOSECOLS(array,5),
row,MATCH(FALSE, ISBLANK(col), 0),
IF(BS11=SWITCH($AA$22,
"minimum cost", MIN($BP11:$CG11),
"maximum cost", MAX($BP11:$CG11), 
"custom order", IF(CL$1=INDEX(array, row,1),INDEX(array, row,5),"x"))
,1,))</f>
        <v/>
      </c>
      <c r="CM11" s="252" t="str">
        <f t="array" ref="CM11">LET(
array,SORT({$Y$2:$AB$19,TRANSPOSE($BP11:$CG11)},4,TRUE),
col,CHOOSECOLS(array,5),
row,MATCH(FALSE, ISBLANK(col), 0),
IF(BT11=SWITCH($AA$22,
"minimum cost", MIN($BP11:$CG11),
"maximum cost", MAX($BP11:$CG11), 
"custom order", IF(CM$1=INDEX(array, row,1),INDEX(array, row,5),"x"))
,1,))</f>
        <v/>
      </c>
      <c r="CN11" s="252" t="str">
        <f t="array" ref="CN11">LET(
array,SORT({$Y$2:$AB$19,TRANSPOSE($BP11:$CG11)},4,TRUE),
col,CHOOSECOLS(array,5),
row,MATCH(FALSE, ISBLANK(col), 0),
IF(BU11=SWITCH($AA$22,
"minimum cost", MIN($BP11:$CG11),
"maximum cost", MAX($BP11:$CG11), 
"custom order", IF(CN$1=INDEX(array, row,1),INDEX(array, row,5),"x"))
,1,))</f>
        <v/>
      </c>
      <c r="CO11" s="390" t="str">
        <f t="array" ref="CO11">LET(
array,SORT({$Y$2:$AB$19,TRANSPOSE($BP11:$CG11)},4,TRUE),
col,CHOOSECOLS(array,5),
row,MATCH(FALSE, ISBLANK(col), 0),
IF(BV11=SWITCH($AA$22,
"minimum cost", MIN($BP11:$CG11),
"maximum cost", MAX($BP11:$CG11), 
"custom order", IF(CO$1=INDEX(array, row,1),INDEX(array, row,5),"x"))
,1,))</f>
        <v/>
      </c>
      <c r="CP11" s="390" t="str">
        <f t="array" ref="CP11">LET(
array,SORT({$Y$2:$AB$19,TRANSPOSE($BP11:$CG11)},4,TRUE),
col,CHOOSECOLS(array,5),
row,MATCH(FALSE, ISBLANK(col), 0),
IF(BW11=SWITCH($AA$22,
"minimum cost", MIN($BP11:$CG11),
"maximum cost", MAX($BP11:$CG11), 
"custom order", IF(CP$1=INDEX(array, row,1),INDEX(array, row,5),"x"))
,1,))</f>
        <v/>
      </c>
      <c r="CQ11" s="390" t="str">
        <f t="array" ref="CQ11">LET(
array,SORT({$Y$2:$AB$19,TRANSPOSE($BP11:$CG11)},4,TRUE),
col,CHOOSECOLS(array,5),
row,MATCH(FALSE, ISBLANK(col), 0),
IF(BX11=SWITCH($AA$22,
"minimum cost", MIN($BP11:$CG11),
"maximum cost", MAX($BP11:$CG11), 
"custom order", IF(CQ$1=INDEX(array, row,1),INDEX(array, row,5),"x"))
,1,))</f>
        <v/>
      </c>
      <c r="CR11" s="390" t="str">
        <f t="array" ref="CR11">LET(
array,SORT({$Y$2:$AB$19,TRANSPOSE($BP11:$CG11)},4,TRUE),
col,CHOOSECOLS(array,5),
row,MATCH(FALSE, ISBLANK(col), 0),
IF(BY11=SWITCH($AA$22,
"minimum cost", MIN($BP11:$CG11),
"maximum cost", MAX($BP11:$CG11), 
"custom order", IF(CR$1=INDEX(array, row,1),INDEX(array, row,5),"x"))
,1,))</f>
        <v/>
      </c>
      <c r="CS11" s="390" t="str">
        <f t="array" ref="CS11">LET(
array,SORT({$Y$2:$AB$19,TRANSPOSE($BP11:$CG11)},4,TRUE),
col,CHOOSECOLS(array,5),
row,MATCH(FALSE, ISBLANK(col), 0),
IF(BZ11=SWITCH($AA$22,
"minimum cost", MIN($BP11:$CG11),
"maximum cost", MAX($BP11:$CG11), 
"custom order", IF(CS$1=INDEX(array, row,1),INDEX(array, row,5),"x"))
,1,))</f>
        <v/>
      </c>
      <c r="CT11" s="390" t="str">
        <f t="array" ref="CT11">LET(
array,SORT({$Y$2:$AB$19,TRANSPOSE($BP11:$CG11)},4,TRUE),
col,CHOOSECOLS(array,5),
row,MATCH(FALSE, ISBLANK(col), 0),
IF(CA11=SWITCH($AA$22,
"minimum cost", MIN($BP11:$CG11),
"maximum cost", MAX($BP11:$CG11), 
"custom order", IF(CT$1=INDEX(array, row,1),INDEX(array, row,5),"x"))
,1,))</f>
        <v/>
      </c>
      <c r="CU11" s="469" t="str">
        <f t="array" ref="CU11">LET(
array,SORT({$Y$2:$AB$19,TRANSPOSE($BP11:$CG11)},4,TRUE),
col,CHOOSECOLS(array,5),
row,MATCH(FALSE, ISBLANK(col), 0),
IF(CB11=SWITCH($AA$22,
"minimum cost", MIN($BP11:$CG11),
"maximum cost", MAX($BP11:$CG11), 
"custom order", IF(CU$1=INDEX(array, row,1),INDEX(array, row,5),"x"))
,1,))</f>
        <v/>
      </c>
      <c r="CV11" s="469" t="str">
        <f t="array" ref="CV11">LET(
array,SORT({$Y$2:$AB$19,TRANSPOSE($BP11:$CG11)},4,TRUE),
col,CHOOSECOLS(array,5),
row,MATCH(FALSE, ISBLANK(col), 0),
IF(CC11=SWITCH($AA$22,
"minimum cost", MIN($BP11:$CG11),
"maximum cost", MAX($BP11:$CG11), 
"custom order", IF(CV$1=INDEX(array, row,1),INDEX(array, row,5),"x"))
,1,))</f>
        <v/>
      </c>
      <c r="CW11" s="469" t="str">
        <f t="array" ref="CW11">LET(
array,SORT({$Y$2:$AB$19,TRANSPOSE($BP11:$CG11)},4,TRUE),
col,CHOOSECOLS(array,5),
row,MATCH(FALSE, ISBLANK(col), 0),
IF(CD11=SWITCH($AA$22,
"minimum cost", MIN($BP11:$CG11),
"maximum cost", MAX($BP11:$CG11), 
"custom order", IF(CW$1=INDEX(array, row,1),INDEX(array, row,5),"x"))
,1,))</f>
        <v/>
      </c>
      <c r="CX11" s="469">
        <f t="array" ref="CX11">LET(
array,SORT({$Y$2:$AB$19,TRANSPOSE($BP11:$CG11)},4,TRUE),
col,CHOOSECOLS(array,5),
row,MATCH(FALSE, ISBLANK(col), 0),
IF(CE11=SWITCH($AA$22,
"minimum cost", MIN($BP11:$CG11),
"maximum cost", MAX($BP11:$CG11), 
"custom order", IF(CX$1=INDEX(array, row,1),INDEX(array, row,5),"x"))
,1,))</f>
        <v>1</v>
      </c>
      <c r="CY11" s="469" t="str">
        <f t="array" ref="CY11">LET(
array,SORT({$Y$2:$AB$19,TRANSPOSE($BP11:$CG11)},4,TRUE),
col,CHOOSECOLS(array,5),
row,MATCH(FALSE, ISBLANK(col), 0),
IF(CF11=SWITCH($AA$22,
"minimum cost", MIN($BP11:$CG11),
"maximum cost", MAX($BP11:$CG11), 
"custom order", IF(CY$1=INDEX(array, row,1),INDEX(array, row,5),"x"))
,1,))</f>
        <v/>
      </c>
      <c r="CZ11" s="581" t="str">
        <f t="array" ref="CZ11">LET(
array,SORT({$Y$2:$AB$19,TRANSPOSE($BP11:$CG11)},4,TRUE),
col,CHOOSECOLS(array,5),
row,MATCH(FALSE, ISBLANK(col), 0),
IF(CG11=SWITCH($AA$22,
"minimum cost", MIN($BP11:$CG11),
"maximum cost", MAX($BP11:$CG11), 
"custom order", IF(CZ$1=INDEX(array, row,1),INDEX(array, row,5),"x"))
,1,))</f>
        <v/>
      </c>
      <c r="DA11" s="461"/>
      <c r="DB11" s="580" t="str">
        <f t="array" ref="DB11:DS11">IF(MATCH(1, CI11:CZ11, 0)=COLUMN(CI11:CZ11)-COLUMN(CI11)+1, CI11:CZ11, "")</f>
        <v/>
      </c>
      <c r="DC11" s="252" t="s">
        <v>133</v>
      </c>
      <c r="DD11" s="252" t="s">
        <v>133</v>
      </c>
      <c r="DE11" s="252" t="s">
        <v>133</v>
      </c>
      <c r="DF11" s="252" t="s">
        <v>133</v>
      </c>
      <c r="DG11" s="252" t="s">
        <v>133</v>
      </c>
      <c r="DH11" s="390" t="s">
        <v>133</v>
      </c>
      <c r="DI11" s="390" t="s">
        <v>133</v>
      </c>
      <c r="DJ11" s="390" t="s">
        <v>133</v>
      </c>
      <c r="DK11" s="390" t="s">
        <v>133</v>
      </c>
      <c r="DL11" s="390" t="s">
        <v>133</v>
      </c>
      <c r="DM11" s="390" t="s">
        <v>133</v>
      </c>
      <c r="DN11" s="469" t="s">
        <v>133</v>
      </c>
      <c r="DO11" s="469" t="s">
        <v>133</v>
      </c>
      <c r="DP11" s="469" t="s">
        <v>133</v>
      </c>
      <c r="DQ11" s="469">
        <v>1.0</v>
      </c>
      <c r="DR11" s="469" t="s">
        <v>133</v>
      </c>
      <c r="DS11" s="581" t="s">
        <v>133</v>
      </c>
      <c r="DT11" s="563"/>
    </row>
    <row r="12">
      <c r="A12" s="563"/>
      <c r="B12" s="620" t="s">
        <v>163</v>
      </c>
      <c r="C12" s="621" t="s">
        <v>220</v>
      </c>
      <c r="D12" s="622">
        <v>8.0</v>
      </c>
      <c r="E12" s="623"/>
      <c r="F12" s="624"/>
      <c r="G12" s="625"/>
      <c r="H12" s="626"/>
      <c r="I12" s="625"/>
      <c r="J12" s="626"/>
      <c r="K12" s="625"/>
      <c r="L12" s="626"/>
      <c r="M12" s="461"/>
      <c r="N12" s="10"/>
      <c r="O12" s="10"/>
      <c r="P12" s="10"/>
      <c r="Q12" s="570" t="str">
        <f>IFERROR(__xludf.DUMMYFUNCTION("IF(SUM(DB12:DS12),ARRAYFORMULA(FILTER(DB$1:DS$1, DB12:DS12=1)),)"),"Cells / Kill Bonus")</f>
        <v>Cells / Kill Bonus</v>
      </c>
      <c r="R12" s="571">
        <f>IFERROR(__xludf.DUMMYFUNCTION("IF(SUM(DB12:DS12),ARRAYFORMULA(FILTER(AW12:BN12, DB12:DS12=1))+1,)"),26.0)</f>
        <v>26</v>
      </c>
      <c r="S12" s="572">
        <f>IFERROR(__xludf.DUMMYFUNCTION("IF(SUM(DB12:DS12),ARRAYFORMULA(FILTER(AD12:AU12, DB12:DS12=1)),)"),8.219E13)</f>
        <v>82190000000000</v>
      </c>
      <c r="T12" s="572">
        <f t="shared" si="26"/>
        <v>3.64233E+15</v>
      </c>
      <c r="U12" s="573" t="str">
        <f t="shared" ref="U12:V12" si="51">FORMAT_NUMBER(S12)</f>
        <v>82.19 T</v>
      </c>
      <c r="V12" s="574" t="str">
        <f t="shared" si="51"/>
        <v>3.64 q</v>
      </c>
      <c r="W12" s="461"/>
      <c r="Y12" s="616" t="s">
        <v>163</v>
      </c>
      <c r="Z12" s="617">
        <f>SWITCH($O$3,
'Master Sheet'!R$1,'Master Sheet'!R13,
'Master Sheet'!S$1,'Master Sheet'!S13,
'Master Sheet'!T$1,'Master Sheet'!T13,
'Master Sheet'!U$1,'Master Sheet'!U13,
'Master Sheet'!V$1,'Master Sheet'!V13)</f>
        <v>59</v>
      </c>
      <c r="AA12" s="618">
        <f t="shared" si="4"/>
        <v>0.25</v>
      </c>
      <c r="AB12" s="619">
        <f t="shared" si="5"/>
        <v>8</v>
      </c>
      <c r="AC12" s="461"/>
      <c r="AD12" s="580">
        <f t="shared" ref="AD12:AU12" si="52">IFERROR(WSPCOST_SINGLE_ADJUSTED(AD$1,1+AW12),)</f>
        <v>37110000000000</v>
      </c>
      <c r="AE12" s="252">
        <f t="shared" si="52"/>
        <v>82420000000</v>
      </c>
      <c r="AF12" s="252">
        <f t="shared" si="52"/>
        <v>69650000000000</v>
      </c>
      <c r="AG12" s="252">
        <f t="shared" si="52"/>
        <v>21210000000</v>
      </c>
      <c r="AH12" s="252">
        <f t="shared" si="52"/>
        <v>43890000000000</v>
      </c>
      <c r="AI12" s="252">
        <f t="shared" si="52"/>
        <v>47710000000000</v>
      </c>
      <c r="AJ12" s="390">
        <f t="shared" si="52"/>
        <v>92140000000000</v>
      </c>
      <c r="AK12" s="390">
        <f t="shared" si="52"/>
        <v>69650000000000</v>
      </c>
      <c r="AL12" s="390">
        <f t="shared" si="52"/>
        <v>5000000000</v>
      </c>
      <c r="AM12" s="390">
        <f t="shared" si="52"/>
        <v>33950000000</v>
      </c>
      <c r="AN12" s="390">
        <f t="shared" si="52"/>
        <v>60080000000000</v>
      </c>
      <c r="AO12" s="390">
        <f t="shared" si="52"/>
        <v>22020000000000</v>
      </c>
      <c r="AP12" s="469">
        <f t="shared" si="52"/>
        <v>5240000000000</v>
      </c>
      <c r="AQ12" s="469">
        <f t="shared" si="52"/>
        <v>1.3E+15</v>
      </c>
      <c r="AR12" s="469">
        <f t="shared" si="52"/>
        <v>82190000000000</v>
      </c>
      <c r="AS12" s="469">
        <f t="shared" si="52"/>
        <v>420490000000000</v>
      </c>
      <c r="AT12" s="469">
        <f t="shared" si="52"/>
        <v>3990000000000</v>
      </c>
      <c r="AU12" s="581">
        <f t="shared" si="52"/>
        <v>1.14E+15</v>
      </c>
      <c r="AV12" s="461"/>
      <c r="AW12" s="580">
        <f t="shared" ref="AW12:BN12" si="53">AW11+DB11</f>
        <v>56</v>
      </c>
      <c r="AX12" s="252">
        <f t="shared" si="53"/>
        <v>21</v>
      </c>
      <c r="AY12" s="252">
        <f t="shared" si="53"/>
        <v>60</v>
      </c>
      <c r="AZ12" s="252">
        <f t="shared" si="53"/>
        <v>17</v>
      </c>
      <c r="BA12" s="252">
        <f t="shared" si="53"/>
        <v>57</v>
      </c>
      <c r="BB12" s="252">
        <f t="shared" si="53"/>
        <v>13</v>
      </c>
      <c r="BC12" s="390">
        <f t="shared" si="53"/>
        <v>62</v>
      </c>
      <c r="BD12" s="390">
        <f t="shared" si="53"/>
        <v>60</v>
      </c>
      <c r="BE12" s="390">
        <f t="shared" si="53"/>
        <v>0</v>
      </c>
      <c r="BF12" s="390">
        <f t="shared" si="53"/>
        <v>18</v>
      </c>
      <c r="BG12" s="390">
        <f t="shared" si="53"/>
        <v>59</v>
      </c>
      <c r="BH12" s="390">
        <f t="shared" si="53"/>
        <v>20</v>
      </c>
      <c r="BI12" s="469">
        <f t="shared" si="53"/>
        <v>44</v>
      </c>
      <c r="BJ12" s="469">
        <f t="shared" si="53"/>
        <v>37</v>
      </c>
      <c r="BK12" s="469">
        <f t="shared" si="53"/>
        <v>25</v>
      </c>
      <c r="BL12" s="469">
        <f t="shared" si="53"/>
        <v>18</v>
      </c>
      <c r="BM12" s="469">
        <f t="shared" si="53"/>
        <v>42</v>
      </c>
      <c r="BN12" s="581">
        <f t="shared" si="53"/>
        <v>15</v>
      </c>
      <c r="BO12" s="461"/>
      <c r="BP12" s="580">
        <f t="shared" si="8"/>
        <v>37110000000000</v>
      </c>
      <c r="BQ12" s="252" t="str">
        <f t="shared" si="9"/>
        <v/>
      </c>
      <c r="BR12" s="252">
        <f t="shared" si="10"/>
        <v>69650000000000</v>
      </c>
      <c r="BS12" s="252" t="str">
        <f t="shared" si="11"/>
        <v/>
      </c>
      <c r="BT12" s="252" t="str">
        <f t="shared" si="12"/>
        <v/>
      </c>
      <c r="BU12" s="252">
        <f t="shared" si="13"/>
        <v>47710000000000</v>
      </c>
      <c r="BV12" s="390">
        <f t="shared" si="14"/>
        <v>92140000000000</v>
      </c>
      <c r="BW12" s="390">
        <f t="shared" si="15"/>
        <v>69650000000000</v>
      </c>
      <c r="BX12" s="390" t="str">
        <f t="shared" si="16"/>
        <v/>
      </c>
      <c r="BY12" s="390" t="str">
        <f t="shared" si="17"/>
        <v/>
      </c>
      <c r="BZ12" s="390">
        <f t="shared" si="18"/>
        <v>60080000000000</v>
      </c>
      <c r="CA12" s="390">
        <f t="shared" si="19"/>
        <v>22020000000000</v>
      </c>
      <c r="CB12" s="469">
        <f t="shared" si="20"/>
        <v>5240000000000</v>
      </c>
      <c r="CC12" s="469" t="str">
        <f t="shared" si="21"/>
        <v/>
      </c>
      <c r="CD12" s="469">
        <f t="shared" si="22"/>
        <v>82190000000000</v>
      </c>
      <c r="CE12" s="469" t="str">
        <f t="shared" si="23"/>
        <v/>
      </c>
      <c r="CF12" s="469" t="str">
        <f t="shared" si="24"/>
        <v/>
      </c>
      <c r="CG12" s="581" t="str">
        <f t="shared" si="25"/>
        <v/>
      </c>
      <c r="CH12" s="461"/>
      <c r="CI12" s="580" t="str">
        <f t="array" ref="CI12">LET(
array,SORT({$Y$2:$AB$19,TRANSPOSE($BP12:$CG12)},4,TRUE),
col,CHOOSECOLS(array,5),
row,MATCH(FALSE, ISBLANK(col), 0),
IF(BP12=SWITCH($AA$22,
"minimum cost", MIN($BP12:$CG12),
"maximum cost", MAX($BP12:$CG12), 
"custom order", IF(CI$1=INDEX(array, row,1),INDEX(array, row,5),"x"))
,1,))</f>
        <v/>
      </c>
      <c r="CJ12" s="252" t="str">
        <f t="array" ref="CJ12">LET(
array,SORT({$Y$2:$AB$19,TRANSPOSE($BP12:$CG12)},4,TRUE),
col,CHOOSECOLS(array,5),
row,MATCH(FALSE, ISBLANK(col), 0),
IF(BQ12=SWITCH($AA$22,
"minimum cost", MIN($BP12:$CG12),
"maximum cost", MAX($BP12:$CG12), 
"custom order", IF(CJ$1=INDEX(array, row,1),INDEX(array, row,5),"x"))
,1,))</f>
        <v/>
      </c>
      <c r="CK12" s="252" t="str">
        <f t="array" ref="CK12">LET(
array,SORT({$Y$2:$AB$19,TRANSPOSE($BP12:$CG12)},4,TRUE),
col,CHOOSECOLS(array,5),
row,MATCH(FALSE, ISBLANK(col), 0),
IF(BR12=SWITCH($AA$22,
"minimum cost", MIN($BP12:$CG12),
"maximum cost", MAX($BP12:$CG12), 
"custom order", IF(CK$1=INDEX(array, row,1),INDEX(array, row,5),"x"))
,1,))</f>
        <v/>
      </c>
      <c r="CL12" s="252" t="str">
        <f t="array" ref="CL12">LET(
array,SORT({$Y$2:$AB$19,TRANSPOSE($BP12:$CG12)},4,TRUE),
col,CHOOSECOLS(array,5),
row,MATCH(FALSE, ISBLANK(col), 0),
IF(BS12=SWITCH($AA$22,
"minimum cost", MIN($BP12:$CG12),
"maximum cost", MAX($BP12:$CG12), 
"custom order", IF(CL$1=INDEX(array, row,1),INDEX(array, row,5),"x"))
,1,))</f>
        <v/>
      </c>
      <c r="CM12" s="252" t="str">
        <f t="array" ref="CM12">LET(
array,SORT({$Y$2:$AB$19,TRANSPOSE($BP12:$CG12)},4,TRUE),
col,CHOOSECOLS(array,5),
row,MATCH(FALSE, ISBLANK(col), 0),
IF(BT12=SWITCH($AA$22,
"minimum cost", MIN($BP12:$CG12),
"maximum cost", MAX($BP12:$CG12), 
"custom order", IF(CM$1=INDEX(array, row,1),INDEX(array, row,5),"x"))
,1,))</f>
        <v/>
      </c>
      <c r="CN12" s="252" t="str">
        <f t="array" ref="CN12">LET(
array,SORT({$Y$2:$AB$19,TRANSPOSE($BP12:$CG12)},4,TRUE),
col,CHOOSECOLS(array,5),
row,MATCH(FALSE, ISBLANK(col), 0),
IF(BU12=SWITCH($AA$22,
"minimum cost", MIN($BP12:$CG12),
"maximum cost", MAX($BP12:$CG12), 
"custom order", IF(CN$1=INDEX(array, row,1),INDEX(array, row,5),"x"))
,1,))</f>
        <v/>
      </c>
      <c r="CO12" s="390" t="str">
        <f t="array" ref="CO12">LET(
array,SORT({$Y$2:$AB$19,TRANSPOSE($BP12:$CG12)},4,TRUE),
col,CHOOSECOLS(array,5),
row,MATCH(FALSE, ISBLANK(col), 0),
IF(BV12=SWITCH($AA$22,
"minimum cost", MIN($BP12:$CG12),
"maximum cost", MAX($BP12:$CG12), 
"custom order", IF(CO$1=INDEX(array, row,1),INDEX(array, row,5),"x"))
,1,))</f>
        <v/>
      </c>
      <c r="CP12" s="390" t="str">
        <f t="array" ref="CP12">LET(
array,SORT({$Y$2:$AB$19,TRANSPOSE($BP12:$CG12)},4,TRUE),
col,CHOOSECOLS(array,5),
row,MATCH(FALSE, ISBLANK(col), 0),
IF(BW12=SWITCH($AA$22,
"minimum cost", MIN($BP12:$CG12),
"maximum cost", MAX($BP12:$CG12), 
"custom order", IF(CP$1=INDEX(array, row,1),INDEX(array, row,5),"x"))
,1,))</f>
        <v/>
      </c>
      <c r="CQ12" s="390" t="str">
        <f t="array" ref="CQ12">LET(
array,SORT({$Y$2:$AB$19,TRANSPOSE($BP12:$CG12)},4,TRUE),
col,CHOOSECOLS(array,5),
row,MATCH(FALSE, ISBLANK(col), 0),
IF(BX12=SWITCH($AA$22,
"minimum cost", MIN($BP12:$CG12),
"maximum cost", MAX($BP12:$CG12), 
"custom order", IF(CQ$1=INDEX(array, row,1),INDEX(array, row,5),"x"))
,1,))</f>
        <v/>
      </c>
      <c r="CR12" s="390" t="str">
        <f t="array" ref="CR12">LET(
array,SORT({$Y$2:$AB$19,TRANSPOSE($BP12:$CG12)},4,TRUE),
col,CHOOSECOLS(array,5),
row,MATCH(FALSE, ISBLANK(col), 0),
IF(BY12=SWITCH($AA$22,
"minimum cost", MIN($BP12:$CG12),
"maximum cost", MAX($BP12:$CG12), 
"custom order", IF(CR$1=INDEX(array, row,1),INDEX(array, row,5),"x"))
,1,))</f>
        <v/>
      </c>
      <c r="CS12" s="390" t="str">
        <f t="array" ref="CS12">LET(
array,SORT({$Y$2:$AB$19,TRANSPOSE($BP12:$CG12)},4,TRUE),
col,CHOOSECOLS(array,5),
row,MATCH(FALSE, ISBLANK(col), 0),
IF(BZ12=SWITCH($AA$22,
"minimum cost", MIN($BP12:$CG12),
"maximum cost", MAX($BP12:$CG12), 
"custom order", IF(CS$1=INDEX(array, row,1),INDEX(array, row,5),"x"))
,1,))</f>
        <v/>
      </c>
      <c r="CT12" s="390" t="str">
        <f t="array" ref="CT12">LET(
array,SORT({$Y$2:$AB$19,TRANSPOSE($BP12:$CG12)},4,TRUE),
col,CHOOSECOLS(array,5),
row,MATCH(FALSE, ISBLANK(col), 0),
IF(CA12=SWITCH($AA$22,
"minimum cost", MIN($BP12:$CG12),
"maximum cost", MAX($BP12:$CG12), 
"custom order", IF(CT$1=INDEX(array, row,1),INDEX(array, row,5),"x"))
,1,))</f>
        <v/>
      </c>
      <c r="CU12" s="469" t="str">
        <f t="array" ref="CU12">LET(
array,SORT({$Y$2:$AB$19,TRANSPOSE($BP12:$CG12)},4,TRUE),
col,CHOOSECOLS(array,5),
row,MATCH(FALSE, ISBLANK(col), 0),
IF(CB12=SWITCH($AA$22,
"minimum cost", MIN($BP12:$CG12),
"maximum cost", MAX($BP12:$CG12), 
"custom order", IF(CU$1=INDEX(array, row,1),INDEX(array, row,5),"x"))
,1,))</f>
        <v/>
      </c>
      <c r="CV12" s="469" t="str">
        <f t="array" ref="CV12">LET(
array,SORT({$Y$2:$AB$19,TRANSPOSE($BP12:$CG12)},4,TRUE),
col,CHOOSECOLS(array,5),
row,MATCH(FALSE, ISBLANK(col), 0),
IF(CC12=SWITCH($AA$22,
"minimum cost", MIN($BP12:$CG12),
"maximum cost", MAX($BP12:$CG12), 
"custom order", IF(CV$1=INDEX(array, row,1),INDEX(array, row,5),"x"))
,1,))</f>
        <v/>
      </c>
      <c r="CW12" s="469">
        <f t="array" ref="CW12">LET(
array,SORT({$Y$2:$AB$19,TRANSPOSE($BP12:$CG12)},4,TRUE),
col,CHOOSECOLS(array,5),
row,MATCH(FALSE, ISBLANK(col), 0),
IF(CD12=SWITCH($AA$22,
"minimum cost", MIN($BP12:$CG12),
"maximum cost", MAX($BP12:$CG12), 
"custom order", IF(CW$1=INDEX(array, row,1),INDEX(array, row,5),"x"))
,1,))</f>
        <v>1</v>
      </c>
      <c r="CX12" s="469" t="str">
        <f t="array" ref="CX12">LET(
array,SORT({$Y$2:$AB$19,TRANSPOSE($BP12:$CG12)},4,TRUE),
col,CHOOSECOLS(array,5),
row,MATCH(FALSE, ISBLANK(col), 0),
IF(CE12=SWITCH($AA$22,
"minimum cost", MIN($BP12:$CG12),
"maximum cost", MAX($BP12:$CG12), 
"custom order", IF(CX$1=INDEX(array, row,1),INDEX(array, row,5),"x"))
,1,))</f>
        <v/>
      </c>
      <c r="CY12" s="469" t="str">
        <f t="array" ref="CY12">LET(
array,SORT({$Y$2:$AB$19,TRANSPOSE($BP12:$CG12)},4,TRUE),
col,CHOOSECOLS(array,5),
row,MATCH(FALSE, ISBLANK(col), 0),
IF(CF12=SWITCH($AA$22,
"minimum cost", MIN($BP12:$CG12),
"maximum cost", MAX($BP12:$CG12), 
"custom order", IF(CY$1=INDEX(array, row,1),INDEX(array, row,5),"x"))
,1,))</f>
        <v/>
      </c>
      <c r="CZ12" s="581" t="str">
        <f t="array" ref="CZ12">LET(
array,SORT({$Y$2:$AB$19,TRANSPOSE($BP12:$CG12)},4,TRUE),
col,CHOOSECOLS(array,5),
row,MATCH(FALSE, ISBLANK(col), 0),
IF(CG12=SWITCH($AA$22,
"minimum cost", MIN($BP12:$CG12),
"maximum cost", MAX($BP12:$CG12), 
"custom order", IF(CZ$1=INDEX(array, row,1),INDEX(array, row,5),"x"))
,1,))</f>
        <v/>
      </c>
      <c r="DA12" s="461"/>
      <c r="DB12" s="580" t="str">
        <f t="array" ref="DB12:DS12">IF(MATCH(1, CI12:CZ12, 0)=COLUMN(CI12:CZ12)-COLUMN(CI12)+1, CI12:CZ12, "")</f>
        <v/>
      </c>
      <c r="DC12" s="252" t="s">
        <v>133</v>
      </c>
      <c r="DD12" s="252" t="s">
        <v>133</v>
      </c>
      <c r="DE12" s="252" t="s">
        <v>133</v>
      </c>
      <c r="DF12" s="252" t="s">
        <v>133</v>
      </c>
      <c r="DG12" s="252" t="s">
        <v>133</v>
      </c>
      <c r="DH12" s="390" t="s">
        <v>133</v>
      </c>
      <c r="DI12" s="390" t="s">
        <v>133</v>
      </c>
      <c r="DJ12" s="390" t="s">
        <v>133</v>
      </c>
      <c r="DK12" s="390" t="s">
        <v>133</v>
      </c>
      <c r="DL12" s="390" t="s">
        <v>133</v>
      </c>
      <c r="DM12" s="390" t="s">
        <v>133</v>
      </c>
      <c r="DN12" s="469" t="s">
        <v>133</v>
      </c>
      <c r="DO12" s="469" t="s">
        <v>133</v>
      </c>
      <c r="DP12" s="469">
        <v>1.0</v>
      </c>
      <c r="DQ12" s="469" t="s">
        <v>133</v>
      </c>
      <c r="DR12" s="469" t="s">
        <v>133</v>
      </c>
      <c r="DS12" s="581" t="s">
        <v>133</v>
      </c>
      <c r="DT12" s="563"/>
    </row>
    <row r="13">
      <c r="A13" s="563"/>
      <c r="B13" s="632" t="s">
        <v>209</v>
      </c>
      <c r="C13" s="633" t="s">
        <v>215</v>
      </c>
      <c r="D13" s="634">
        <v>9.0</v>
      </c>
      <c r="E13" s="635"/>
      <c r="F13" s="636"/>
      <c r="G13" s="637"/>
      <c r="H13" s="634"/>
      <c r="I13" s="637"/>
      <c r="J13" s="634"/>
      <c r="K13" s="637"/>
      <c r="L13" s="634"/>
      <c r="M13" s="461"/>
      <c r="N13" s="10"/>
      <c r="O13" s="10"/>
      <c r="P13" s="10"/>
      <c r="Q13" s="570" t="str">
        <f>IFERROR(__xludf.DUMMYFUNCTION("IF(SUM(DB13:DS13),ARRAYFORMULA(FILTER(DB$1:DS$1, DB13:DS13=1)),)"),"Cells / Kill Bonus")</f>
        <v>Cells / Kill Bonus</v>
      </c>
      <c r="R13" s="571">
        <f>IFERROR(__xludf.DUMMYFUNCTION("IF(SUM(DB13:DS13),ARRAYFORMULA(FILTER(AW13:BN13, DB13:DS13=1))+1,)"),27.0)</f>
        <v>27</v>
      </c>
      <c r="S13" s="572">
        <f>IFERROR(__xludf.DUMMYFUNCTION("IF(SUM(DB13:DS13),ARRAYFORMULA(FILTER(AD13:AU13, DB13:DS13=1)),)"),1.0089E14)</f>
        <v>100890000000000</v>
      </c>
      <c r="T13" s="572">
        <f t="shared" si="26"/>
        <v>3.74322E+15</v>
      </c>
      <c r="U13" s="573" t="str">
        <f t="shared" ref="U13:V13" si="54">FORMAT_NUMBER(S13)</f>
        <v>100.89 T</v>
      </c>
      <c r="V13" s="574" t="str">
        <f t="shared" si="54"/>
        <v>3.74 q</v>
      </c>
      <c r="W13" s="461"/>
      <c r="Y13" s="638" t="s">
        <v>209</v>
      </c>
      <c r="Z13" s="639">
        <f>SWITCH($O$3,
'Master Sheet'!R$1,'Master Sheet'!R14,
'Master Sheet'!S$1,'Master Sheet'!S14,
'Master Sheet'!T$1,'Master Sheet'!T14,
'Master Sheet'!U$1,'Master Sheet'!U14,
'Master Sheet'!V$1,'Master Sheet'!V14)</f>
        <v>20</v>
      </c>
      <c r="AA13" s="640">
        <f t="shared" si="4"/>
        <v>0.125</v>
      </c>
      <c r="AB13" s="641">
        <f t="shared" si="5"/>
        <v>9</v>
      </c>
      <c r="AC13" s="461"/>
      <c r="AD13" s="580">
        <f t="shared" ref="AD13:AU13" si="55">IFERROR(WSPCOST_SINGLE_ADJUSTED(AD$1,1+AW13),)</f>
        <v>37110000000000</v>
      </c>
      <c r="AE13" s="252">
        <f t="shared" si="55"/>
        <v>82420000000</v>
      </c>
      <c r="AF13" s="252">
        <f t="shared" si="55"/>
        <v>69650000000000</v>
      </c>
      <c r="AG13" s="252">
        <f t="shared" si="55"/>
        <v>21210000000</v>
      </c>
      <c r="AH13" s="252">
        <f t="shared" si="55"/>
        <v>43890000000000</v>
      </c>
      <c r="AI13" s="252">
        <f t="shared" si="55"/>
        <v>47710000000000</v>
      </c>
      <c r="AJ13" s="390">
        <f t="shared" si="55"/>
        <v>92140000000000</v>
      </c>
      <c r="AK13" s="390">
        <f t="shared" si="55"/>
        <v>69650000000000</v>
      </c>
      <c r="AL13" s="390">
        <f t="shared" si="55"/>
        <v>5000000000</v>
      </c>
      <c r="AM13" s="390">
        <f t="shared" si="55"/>
        <v>33950000000</v>
      </c>
      <c r="AN13" s="390">
        <f t="shared" si="55"/>
        <v>60080000000000</v>
      </c>
      <c r="AO13" s="390">
        <f t="shared" si="55"/>
        <v>22020000000000</v>
      </c>
      <c r="AP13" s="469">
        <f t="shared" si="55"/>
        <v>5240000000000</v>
      </c>
      <c r="AQ13" s="469">
        <f t="shared" si="55"/>
        <v>1.3E+15</v>
      </c>
      <c r="AR13" s="469">
        <f t="shared" si="55"/>
        <v>100890000000000</v>
      </c>
      <c r="AS13" s="469">
        <f t="shared" si="55"/>
        <v>420490000000000</v>
      </c>
      <c r="AT13" s="469">
        <f t="shared" si="55"/>
        <v>3990000000000</v>
      </c>
      <c r="AU13" s="581">
        <f t="shared" si="55"/>
        <v>1.14E+15</v>
      </c>
      <c r="AV13" s="461"/>
      <c r="AW13" s="580">
        <f t="shared" ref="AW13:BN13" si="56">AW12+DB12</f>
        <v>56</v>
      </c>
      <c r="AX13" s="252">
        <f t="shared" si="56"/>
        <v>21</v>
      </c>
      <c r="AY13" s="252">
        <f t="shared" si="56"/>
        <v>60</v>
      </c>
      <c r="AZ13" s="252">
        <f t="shared" si="56"/>
        <v>17</v>
      </c>
      <c r="BA13" s="252">
        <f t="shared" si="56"/>
        <v>57</v>
      </c>
      <c r="BB13" s="252">
        <f t="shared" si="56"/>
        <v>13</v>
      </c>
      <c r="BC13" s="390">
        <f t="shared" si="56"/>
        <v>62</v>
      </c>
      <c r="BD13" s="390">
        <f t="shared" si="56"/>
        <v>60</v>
      </c>
      <c r="BE13" s="390">
        <f t="shared" si="56"/>
        <v>0</v>
      </c>
      <c r="BF13" s="390">
        <f t="shared" si="56"/>
        <v>18</v>
      </c>
      <c r="BG13" s="390">
        <f t="shared" si="56"/>
        <v>59</v>
      </c>
      <c r="BH13" s="390">
        <f t="shared" si="56"/>
        <v>20</v>
      </c>
      <c r="BI13" s="469">
        <f t="shared" si="56"/>
        <v>44</v>
      </c>
      <c r="BJ13" s="469">
        <f t="shared" si="56"/>
        <v>37</v>
      </c>
      <c r="BK13" s="469">
        <f t="shared" si="56"/>
        <v>26</v>
      </c>
      <c r="BL13" s="469">
        <f t="shared" si="56"/>
        <v>18</v>
      </c>
      <c r="BM13" s="469">
        <f t="shared" si="56"/>
        <v>42</v>
      </c>
      <c r="BN13" s="581">
        <f t="shared" si="56"/>
        <v>15</v>
      </c>
      <c r="BO13" s="461"/>
      <c r="BP13" s="580">
        <f t="shared" si="8"/>
        <v>37110000000000</v>
      </c>
      <c r="BQ13" s="252" t="str">
        <f t="shared" si="9"/>
        <v/>
      </c>
      <c r="BR13" s="252">
        <f t="shared" si="10"/>
        <v>69650000000000</v>
      </c>
      <c r="BS13" s="252" t="str">
        <f t="shared" si="11"/>
        <v/>
      </c>
      <c r="BT13" s="252" t="str">
        <f t="shared" si="12"/>
        <v/>
      </c>
      <c r="BU13" s="252">
        <f t="shared" si="13"/>
        <v>47710000000000</v>
      </c>
      <c r="BV13" s="390">
        <f t="shared" si="14"/>
        <v>92140000000000</v>
      </c>
      <c r="BW13" s="390">
        <f t="shared" si="15"/>
        <v>69650000000000</v>
      </c>
      <c r="BX13" s="390" t="str">
        <f t="shared" si="16"/>
        <v/>
      </c>
      <c r="BY13" s="390" t="str">
        <f t="shared" si="17"/>
        <v/>
      </c>
      <c r="BZ13" s="390">
        <f t="shared" si="18"/>
        <v>60080000000000</v>
      </c>
      <c r="CA13" s="390">
        <f t="shared" si="19"/>
        <v>22020000000000</v>
      </c>
      <c r="CB13" s="469">
        <f t="shared" si="20"/>
        <v>5240000000000</v>
      </c>
      <c r="CC13" s="469" t="str">
        <f t="shared" si="21"/>
        <v/>
      </c>
      <c r="CD13" s="469">
        <f t="shared" si="22"/>
        <v>100890000000000</v>
      </c>
      <c r="CE13" s="469" t="str">
        <f t="shared" si="23"/>
        <v/>
      </c>
      <c r="CF13" s="469" t="str">
        <f t="shared" si="24"/>
        <v/>
      </c>
      <c r="CG13" s="581" t="str">
        <f t="shared" si="25"/>
        <v/>
      </c>
      <c r="CH13" s="461"/>
      <c r="CI13" s="580" t="str">
        <f t="array" ref="CI13">LET(
array,SORT({$Y$2:$AB$19,TRANSPOSE($BP13:$CG13)},4,TRUE),
col,CHOOSECOLS(array,5),
row,MATCH(FALSE, ISBLANK(col), 0),
IF(BP13=SWITCH($AA$22,
"minimum cost", MIN($BP13:$CG13),
"maximum cost", MAX($BP13:$CG13), 
"custom order", IF(CI$1=INDEX(array, row,1),INDEX(array, row,5),"x"))
,1,))</f>
        <v/>
      </c>
      <c r="CJ13" s="252" t="str">
        <f t="array" ref="CJ13">LET(
array,SORT({$Y$2:$AB$19,TRANSPOSE($BP13:$CG13)},4,TRUE),
col,CHOOSECOLS(array,5),
row,MATCH(FALSE, ISBLANK(col), 0),
IF(BQ13=SWITCH($AA$22,
"minimum cost", MIN($BP13:$CG13),
"maximum cost", MAX($BP13:$CG13), 
"custom order", IF(CJ$1=INDEX(array, row,1),INDEX(array, row,5),"x"))
,1,))</f>
        <v/>
      </c>
      <c r="CK13" s="252" t="str">
        <f t="array" ref="CK13">LET(
array,SORT({$Y$2:$AB$19,TRANSPOSE($BP13:$CG13)},4,TRUE),
col,CHOOSECOLS(array,5),
row,MATCH(FALSE, ISBLANK(col), 0),
IF(BR13=SWITCH($AA$22,
"minimum cost", MIN($BP13:$CG13),
"maximum cost", MAX($BP13:$CG13), 
"custom order", IF(CK$1=INDEX(array, row,1),INDEX(array, row,5),"x"))
,1,))</f>
        <v/>
      </c>
      <c r="CL13" s="252" t="str">
        <f t="array" ref="CL13">LET(
array,SORT({$Y$2:$AB$19,TRANSPOSE($BP13:$CG13)},4,TRUE),
col,CHOOSECOLS(array,5),
row,MATCH(FALSE, ISBLANK(col), 0),
IF(BS13=SWITCH($AA$22,
"minimum cost", MIN($BP13:$CG13),
"maximum cost", MAX($BP13:$CG13), 
"custom order", IF(CL$1=INDEX(array, row,1),INDEX(array, row,5),"x"))
,1,))</f>
        <v/>
      </c>
      <c r="CM13" s="252" t="str">
        <f t="array" ref="CM13">LET(
array,SORT({$Y$2:$AB$19,TRANSPOSE($BP13:$CG13)},4,TRUE),
col,CHOOSECOLS(array,5),
row,MATCH(FALSE, ISBLANK(col), 0),
IF(BT13=SWITCH($AA$22,
"minimum cost", MIN($BP13:$CG13),
"maximum cost", MAX($BP13:$CG13), 
"custom order", IF(CM$1=INDEX(array, row,1),INDEX(array, row,5),"x"))
,1,))</f>
        <v/>
      </c>
      <c r="CN13" s="252" t="str">
        <f t="array" ref="CN13">LET(
array,SORT({$Y$2:$AB$19,TRANSPOSE($BP13:$CG13)},4,TRUE),
col,CHOOSECOLS(array,5),
row,MATCH(FALSE, ISBLANK(col), 0),
IF(BU13=SWITCH($AA$22,
"minimum cost", MIN($BP13:$CG13),
"maximum cost", MAX($BP13:$CG13), 
"custom order", IF(CN$1=INDEX(array, row,1),INDEX(array, row,5),"x"))
,1,))</f>
        <v/>
      </c>
      <c r="CO13" s="390" t="str">
        <f t="array" ref="CO13">LET(
array,SORT({$Y$2:$AB$19,TRANSPOSE($BP13:$CG13)},4,TRUE),
col,CHOOSECOLS(array,5),
row,MATCH(FALSE, ISBLANK(col), 0),
IF(BV13=SWITCH($AA$22,
"minimum cost", MIN($BP13:$CG13),
"maximum cost", MAX($BP13:$CG13), 
"custom order", IF(CO$1=INDEX(array, row,1),INDEX(array, row,5),"x"))
,1,))</f>
        <v/>
      </c>
      <c r="CP13" s="390" t="str">
        <f t="array" ref="CP13">LET(
array,SORT({$Y$2:$AB$19,TRANSPOSE($BP13:$CG13)},4,TRUE),
col,CHOOSECOLS(array,5),
row,MATCH(FALSE, ISBLANK(col), 0),
IF(BW13=SWITCH($AA$22,
"minimum cost", MIN($BP13:$CG13),
"maximum cost", MAX($BP13:$CG13), 
"custom order", IF(CP$1=INDEX(array, row,1),INDEX(array, row,5),"x"))
,1,))</f>
        <v/>
      </c>
      <c r="CQ13" s="390" t="str">
        <f t="array" ref="CQ13">LET(
array,SORT({$Y$2:$AB$19,TRANSPOSE($BP13:$CG13)},4,TRUE),
col,CHOOSECOLS(array,5),
row,MATCH(FALSE, ISBLANK(col), 0),
IF(BX13=SWITCH($AA$22,
"minimum cost", MIN($BP13:$CG13),
"maximum cost", MAX($BP13:$CG13), 
"custom order", IF(CQ$1=INDEX(array, row,1),INDEX(array, row,5),"x"))
,1,))</f>
        <v/>
      </c>
      <c r="CR13" s="390" t="str">
        <f t="array" ref="CR13">LET(
array,SORT({$Y$2:$AB$19,TRANSPOSE($BP13:$CG13)},4,TRUE),
col,CHOOSECOLS(array,5),
row,MATCH(FALSE, ISBLANK(col), 0),
IF(BY13=SWITCH($AA$22,
"minimum cost", MIN($BP13:$CG13),
"maximum cost", MAX($BP13:$CG13), 
"custom order", IF(CR$1=INDEX(array, row,1),INDEX(array, row,5),"x"))
,1,))</f>
        <v/>
      </c>
      <c r="CS13" s="390" t="str">
        <f t="array" ref="CS13">LET(
array,SORT({$Y$2:$AB$19,TRANSPOSE($BP13:$CG13)},4,TRUE),
col,CHOOSECOLS(array,5),
row,MATCH(FALSE, ISBLANK(col), 0),
IF(BZ13=SWITCH($AA$22,
"minimum cost", MIN($BP13:$CG13),
"maximum cost", MAX($BP13:$CG13), 
"custom order", IF(CS$1=INDEX(array, row,1),INDEX(array, row,5),"x"))
,1,))</f>
        <v/>
      </c>
      <c r="CT13" s="390" t="str">
        <f t="array" ref="CT13">LET(
array,SORT({$Y$2:$AB$19,TRANSPOSE($BP13:$CG13)},4,TRUE),
col,CHOOSECOLS(array,5),
row,MATCH(FALSE, ISBLANK(col), 0),
IF(CA13=SWITCH($AA$22,
"minimum cost", MIN($BP13:$CG13),
"maximum cost", MAX($BP13:$CG13), 
"custom order", IF(CT$1=INDEX(array, row,1),INDEX(array, row,5),"x"))
,1,))</f>
        <v/>
      </c>
      <c r="CU13" s="469" t="str">
        <f t="array" ref="CU13">LET(
array,SORT({$Y$2:$AB$19,TRANSPOSE($BP13:$CG13)},4,TRUE),
col,CHOOSECOLS(array,5),
row,MATCH(FALSE, ISBLANK(col), 0),
IF(CB13=SWITCH($AA$22,
"minimum cost", MIN($BP13:$CG13),
"maximum cost", MAX($BP13:$CG13), 
"custom order", IF(CU$1=INDEX(array, row,1),INDEX(array, row,5),"x"))
,1,))</f>
        <v/>
      </c>
      <c r="CV13" s="469" t="str">
        <f t="array" ref="CV13">LET(
array,SORT({$Y$2:$AB$19,TRANSPOSE($BP13:$CG13)},4,TRUE),
col,CHOOSECOLS(array,5),
row,MATCH(FALSE, ISBLANK(col), 0),
IF(CC13=SWITCH($AA$22,
"minimum cost", MIN($BP13:$CG13),
"maximum cost", MAX($BP13:$CG13), 
"custom order", IF(CV$1=INDEX(array, row,1),INDEX(array, row,5),"x"))
,1,))</f>
        <v/>
      </c>
      <c r="CW13" s="469">
        <f t="array" ref="CW13">LET(
array,SORT({$Y$2:$AB$19,TRANSPOSE($BP13:$CG13)},4,TRUE),
col,CHOOSECOLS(array,5),
row,MATCH(FALSE, ISBLANK(col), 0),
IF(CD13=SWITCH($AA$22,
"minimum cost", MIN($BP13:$CG13),
"maximum cost", MAX($BP13:$CG13), 
"custom order", IF(CW$1=INDEX(array, row,1),INDEX(array, row,5),"x"))
,1,))</f>
        <v>1</v>
      </c>
      <c r="CX13" s="469" t="str">
        <f t="array" ref="CX13">LET(
array,SORT({$Y$2:$AB$19,TRANSPOSE($BP13:$CG13)},4,TRUE),
col,CHOOSECOLS(array,5),
row,MATCH(FALSE, ISBLANK(col), 0),
IF(CE13=SWITCH($AA$22,
"minimum cost", MIN($BP13:$CG13),
"maximum cost", MAX($BP13:$CG13), 
"custom order", IF(CX$1=INDEX(array, row,1),INDEX(array, row,5),"x"))
,1,))</f>
        <v/>
      </c>
      <c r="CY13" s="469" t="str">
        <f t="array" ref="CY13">LET(
array,SORT({$Y$2:$AB$19,TRANSPOSE($BP13:$CG13)},4,TRUE),
col,CHOOSECOLS(array,5),
row,MATCH(FALSE, ISBLANK(col), 0),
IF(CF13=SWITCH($AA$22,
"minimum cost", MIN($BP13:$CG13),
"maximum cost", MAX($BP13:$CG13), 
"custom order", IF(CY$1=INDEX(array, row,1),INDEX(array, row,5),"x"))
,1,))</f>
        <v/>
      </c>
      <c r="CZ13" s="581" t="str">
        <f t="array" ref="CZ13">LET(
array,SORT({$Y$2:$AB$19,TRANSPOSE($BP13:$CG13)},4,TRUE),
col,CHOOSECOLS(array,5),
row,MATCH(FALSE, ISBLANK(col), 0),
IF(CG13=SWITCH($AA$22,
"minimum cost", MIN($BP13:$CG13),
"maximum cost", MAX($BP13:$CG13), 
"custom order", IF(CZ$1=INDEX(array, row,1),INDEX(array, row,5),"x"))
,1,))</f>
        <v/>
      </c>
      <c r="DA13" s="461"/>
      <c r="DB13" s="580" t="str">
        <f t="array" ref="DB13:DS13">IF(MATCH(1, CI13:CZ13, 0)=COLUMN(CI13:CZ13)-COLUMN(CI13)+1, CI13:CZ13, "")</f>
        <v/>
      </c>
      <c r="DC13" s="252" t="s">
        <v>133</v>
      </c>
      <c r="DD13" s="252" t="s">
        <v>133</v>
      </c>
      <c r="DE13" s="252" t="s">
        <v>133</v>
      </c>
      <c r="DF13" s="252" t="s">
        <v>133</v>
      </c>
      <c r="DG13" s="252" t="s">
        <v>133</v>
      </c>
      <c r="DH13" s="390" t="s">
        <v>133</v>
      </c>
      <c r="DI13" s="390" t="s">
        <v>133</v>
      </c>
      <c r="DJ13" s="390" t="s">
        <v>133</v>
      </c>
      <c r="DK13" s="390" t="s">
        <v>133</v>
      </c>
      <c r="DL13" s="390" t="s">
        <v>133</v>
      </c>
      <c r="DM13" s="390" t="s">
        <v>133</v>
      </c>
      <c r="DN13" s="469" t="s">
        <v>133</v>
      </c>
      <c r="DO13" s="469" t="s">
        <v>133</v>
      </c>
      <c r="DP13" s="469">
        <v>1.0</v>
      </c>
      <c r="DQ13" s="469" t="s">
        <v>133</v>
      </c>
      <c r="DR13" s="469" t="s">
        <v>133</v>
      </c>
      <c r="DS13" s="581" t="s">
        <v>133</v>
      </c>
      <c r="DT13" s="563"/>
    </row>
    <row r="14">
      <c r="A14" s="563"/>
      <c r="B14" s="642" t="s">
        <v>210</v>
      </c>
      <c r="C14" s="643" t="s">
        <v>215</v>
      </c>
      <c r="D14" s="644">
        <v>6.0</v>
      </c>
      <c r="E14" s="645" t="s">
        <v>220</v>
      </c>
      <c r="F14" s="646"/>
      <c r="G14" s="647"/>
      <c r="H14" s="648"/>
      <c r="I14" s="647"/>
      <c r="J14" s="648"/>
      <c r="K14" s="647"/>
      <c r="L14" s="648"/>
      <c r="M14" s="461"/>
      <c r="N14" s="10"/>
      <c r="O14" s="10"/>
      <c r="P14" s="10"/>
      <c r="Q14" s="570" t="str">
        <f>IFERROR(__xludf.DUMMYFUNCTION("IF(SUM(DB14:DS14),ARRAYFORMULA(FILTER(DB$1:DS$1, DB14:DS14=1)),)"),"Cells / Kill Bonus")</f>
        <v>Cells / Kill Bonus</v>
      </c>
      <c r="R14" s="571">
        <f>IFERROR(__xludf.DUMMYFUNCTION("IF(SUM(DB14:DS14),ARRAYFORMULA(FILTER(AW14:BN14, DB14:DS14=1))+1,)"),28.0)</f>
        <v>28</v>
      </c>
      <c r="S14" s="572">
        <f>IFERROR(__xludf.DUMMYFUNCTION("IF(SUM(DB14:DS14),ARRAYFORMULA(FILTER(AD14:AU14, DB14:DS14=1)),)"),1.2232E14)</f>
        <v>122320000000000</v>
      </c>
      <c r="T14" s="572">
        <f t="shared" si="26"/>
        <v>3.86554E+15</v>
      </c>
      <c r="U14" s="573" t="str">
        <f t="shared" ref="U14:V14" si="57">FORMAT_NUMBER(S14)</f>
        <v>122.32 T</v>
      </c>
      <c r="V14" s="574" t="str">
        <f t="shared" si="57"/>
        <v>3.87 q</v>
      </c>
      <c r="W14" s="461"/>
      <c r="Y14" s="649" t="s">
        <v>210</v>
      </c>
      <c r="Z14" s="650">
        <f>SWITCH($O$3,
'Master Sheet'!R$1,'Master Sheet'!R15,
'Master Sheet'!S$1,'Master Sheet'!S15,
'Master Sheet'!T$1,'Master Sheet'!T15,
'Master Sheet'!U$1,'Master Sheet'!U15,
'Master Sheet'!V$1,'Master Sheet'!V15)</f>
        <v>44</v>
      </c>
      <c r="AA14" s="650">
        <f t="shared" si="4"/>
        <v>0.125</v>
      </c>
      <c r="AB14" s="650">
        <f t="shared" si="5"/>
        <v>6</v>
      </c>
      <c r="AC14" s="461"/>
      <c r="AD14" s="580">
        <f t="shared" ref="AD14:AU14" si="58">IFERROR(WSPCOST_SINGLE_ADJUSTED(AD$1,1+AW14),)</f>
        <v>37110000000000</v>
      </c>
      <c r="AE14" s="252">
        <f t="shared" si="58"/>
        <v>82420000000</v>
      </c>
      <c r="AF14" s="252">
        <f t="shared" si="58"/>
        <v>69650000000000</v>
      </c>
      <c r="AG14" s="252">
        <f t="shared" si="58"/>
        <v>21210000000</v>
      </c>
      <c r="AH14" s="252">
        <f t="shared" si="58"/>
        <v>43890000000000</v>
      </c>
      <c r="AI14" s="252">
        <f t="shared" si="58"/>
        <v>47710000000000</v>
      </c>
      <c r="AJ14" s="390">
        <f t="shared" si="58"/>
        <v>92140000000000</v>
      </c>
      <c r="AK14" s="390">
        <f t="shared" si="58"/>
        <v>69650000000000</v>
      </c>
      <c r="AL14" s="390">
        <f t="shared" si="58"/>
        <v>5000000000</v>
      </c>
      <c r="AM14" s="390">
        <f t="shared" si="58"/>
        <v>33950000000</v>
      </c>
      <c r="AN14" s="390">
        <f t="shared" si="58"/>
        <v>60080000000000</v>
      </c>
      <c r="AO14" s="390">
        <f t="shared" si="58"/>
        <v>22020000000000</v>
      </c>
      <c r="AP14" s="469">
        <f t="shared" si="58"/>
        <v>5240000000000</v>
      </c>
      <c r="AQ14" s="469">
        <f t="shared" si="58"/>
        <v>1.3E+15</v>
      </c>
      <c r="AR14" s="469">
        <f t="shared" si="58"/>
        <v>122320000000000</v>
      </c>
      <c r="AS14" s="469">
        <f t="shared" si="58"/>
        <v>420490000000000</v>
      </c>
      <c r="AT14" s="469">
        <f t="shared" si="58"/>
        <v>3990000000000</v>
      </c>
      <c r="AU14" s="581">
        <f t="shared" si="58"/>
        <v>1.14E+15</v>
      </c>
      <c r="AV14" s="461"/>
      <c r="AW14" s="580">
        <f t="shared" ref="AW14:BN14" si="59">AW13+DB13</f>
        <v>56</v>
      </c>
      <c r="AX14" s="252">
        <f t="shared" si="59"/>
        <v>21</v>
      </c>
      <c r="AY14" s="252">
        <f t="shared" si="59"/>
        <v>60</v>
      </c>
      <c r="AZ14" s="252">
        <f t="shared" si="59"/>
        <v>17</v>
      </c>
      <c r="BA14" s="252">
        <f t="shared" si="59"/>
        <v>57</v>
      </c>
      <c r="BB14" s="252">
        <f t="shared" si="59"/>
        <v>13</v>
      </c>
      <c r="BC14" s="390">
        <f t="shared" si="59"/>
        <v>62</v>
      </c>
      <c r="BD14" s="390">
        <f t="shared" si="59"/>
        <v>60</v>
      </c>
      <c r="BE14" s="390">
        <f t="shared" si="59"/>
        <v>0</v>
      </c>
      <c r="BF14" s="390">
        <f t="shared" si="59"/>
        <v>18</v>
      </c>
      <c r="BG14" s="390">
        <f t="shared" si="59"/>
        <v>59</v>
      </c>
      <c r="BH14" s="390">
        <f t="shared" si="59"/>
        <v>20</v>
      </c>
      <c r="BI14" s="469">
        <f t="shared" si="59"/>
        <v>44</v>
      </c>
      <c r="BJ14" s="469">
        <f t="shared" si="59"/>
        <v>37</v>
      </c>
      <c r="BK14" s="469">
        <f t="shared" si="59"/>
        <v>27</v>
      </c>
      <c r="BL14" s="469">
        <f t="shared" si="59"/>
        <v>18</v>
      </c>
      <c r="BM14" s="469">
        <f t="shared" si="59"/>
        <v>42</v>
      </c>
      <c r="BN14" s="581">
        <f t="shared" si="59"/>
        <v>15</v>
      </c>
      <c r="BO14" s="461"/>
      <c r="BP14" s="580">
        <f t="shared" si="8"/>
        <v>37110000000000</v>
      </c>
      <c r="BQ14" s="252" t="str">
        <f t="shared" si="9"/>
        <v/>
      </c>
      <c r="BR14" s="252">
        <f t="shared" si="10"/>
        <v>69650000000000</v>
      </c>
      <c r="BS14" s="252" t="str">
        <f t="shared" si="11"/>
        <v/>
      </c>
      <c r="BT14" s="252" t="str">
        <f t="shared" si="12"/>
        <v/>
      </c>
      <c r="BU14" s="252">
        <f t="shared" si="13"/>
        <v>47710000000000</v>
      </c>
      <c r="BV14" s="390">
        <f t="shared" si="14"/>
        <v>92140000000000</v>
      </c>
      <c r="BW14" s="390">
        <f t="shared" si="15"/>
        <v>69650000000000</v>
      </c>
      <c r="BX14" s="390" t="str">
        <f t="shared" si="16"/>
        <v/>
      </c>
      <c r="BY14" s="390" t="str">
        <f t="shared" si="17"/>
        <v/>
      </c>
      <c r="BZ14" s="390">
        <f t="shared" si="18"/>
        <v>60080000000000</v>
      </c>
      <c r="CA14" s="390">
        <f t="shared" si="19"/>
        <v>22020000000000</v>
      </c>
      <c r="CB14" s="469">
        <f t="shared" si="20"/>
        <v>5240000000000</v>
      </c>
      <c r="CC14" s="469" t="str">
        <f t="shared" si="21"/>
        <v/>
      </c>
      <c r="CD14" s="469">
        <f t="shared" si="22"/>
        <v>122320000000000</v>
      </c>
      <c r="CE14" s="469" t="str">
        <f t="shared" si="23"/>
        <v/>
      </c>
      <c r="CF14" s="469" t="str">
        <f t="shared" si="24"/>
        <v/>
      </c>
      <c r="CG14" s="581" t="str">
        <f t="shared" si="25"/>
        <v/>
      </c>
      <c r="CH14" s="461"/>
      <c r="CI14" s="580" t="str">
        <f t="array" ref="CI14">LET(
array,SORT({$Y$2:$AB$19,TRANSPOSE($BP14:$CG14)},4,TRUE),
col,CHOOSECOLS(array,5),
row,MATCH(FALSE, ISBLANK(col), 0),
IF(BP14=SWITCH($AA$22,
"minimum cost", MIN($BP14:$CG14),
"maximum cost", MAX($BP14:$CG14), 
"custom order", IF(CI$1=INDEX(array, row,1),INDEX(array, row,5),"x"))
,1,))</f>
        <v/>
      </c>
      <c r="CJ14" s="252" t="str">
        <f t="array" ref="CJ14">LET(
array,SORT({$Y$2:$AB$19,TRANSPOSE($BP14:$CG14)},4,TRUE),
col,CHOOSECOLS(array,5),
row,MATCH(FALSE, ISBLANK(col), 0),
IF(BQ14=SWITCH($AA$22,
"minimum cost", MIN($BP14:$CG14),
"maximum cost", MAX($BP14:$CG14), 
"custom order", IF(CJ$1=INDEX(array, row,1),INDEX(array, row,5),"x"))
,1,))</f>
        <v/>
      </c>
      <c r="CK14" s="252" t="str">
        <f t="array" ref="CK14">LET(
array,SORT({$Y$2:$AB$19,TRANSPOSE($BP14:$CG14)},4,TRUE),
col,CHOOSECOLS(array,5),
row,MATCH(FALSE, ISBLANK(col), 0),
IF(BR14=SWITCH($AA$22,
"minimum cost", MIN($BP14:$CG14),
"maximum cost", MAX($BP14:$CG14), 
"custom order", IF(CK$1=INDEX(array, row,1),INDEX(array, row,5),"x"))
,1,))</f>
        <v/>
      </c>
      <c r="CL14" s="252" t="str">
        <f t="array" ref="CL14">LET(
array,SORT({$Y$2:$AB$19,TRANSPOSE($BP14:$CG14)},4,TRUE),
col,CHOOSECOLS(array,5),
row,MATCH(FALSE, ISBLANK(col), 0),
IF(BS14=SWITCH($AA$22,
"minimum cost", MIN($BP14:$CG14),
"maximum cost", MAX($BP14:$CG14), 
"custom order", IF(CL$1=INDEX(array, row,1),INDEX(array, row,5),"x"))
,1,))</f>
        <v/>
      </c>
      <c r="CM14" s="252" t="str">
        <f t="array" ref="CM14">LET(
array,SORT({$Y$2:$AB$19,TRANSPOSE($BP14:$CG14)},4,TRUE),
col,CHOOSECOLS(array,5),
row,MATCH(FALSE, ISBLANK(col), 0),
IF(BT14=SWITCH($AA$22,
"minimum cost", MIN($BP14:$CG14),
"maximum cost", MAX($BP14:$CG14), 
"custom order", IF(CM$1=INDEX(array, row,1),INDEX(array, row,5),"x"))
,1,))</f>
        <v/>
      </c>
      <c r="CN14" s="252" t="str">
        <f t="array" ref="CN14">LET(
array,SORT({$Y$2:$AB$19,TRANSPOSE($BP14:$CG14)},4,TRUE),
col,CHOOSECOLS(array,5),
row,MATCH(FALSE, ISBLANK(col), 0),
IF(BU14=SWITCH($AA$22,
"minimum cost", MIN($BP14:$CG14),
"maximum cost", MAX($BP14:$CG14), 
"custom order", IF(CN$1=INDEX(array, row,1),INDEX(array, row,5),"x"))
,1,))</f>
        <v/>
      </c>
      <c r="CO14" s="390" t="str">
        <f t="array" ref="CO14">LET(
array,SORT({$Y$2:$AB$19,TRANSPOSE($BP14:$CG14)},4,TRUE),
col,CHOOSECOLS(array,5),
row,MATCH(FALSE, ISBLANK(col), 0),
IF(BV14=SWITCH($AA$22,
"minimum cost", MIN($BP14:$CG14),
"maximum cost", MAX($BP14:$CG14), 
"custom order", IF(CO$1=INDEX(array, row,1),INDEX(array, row,5),"x"))
,1,))</f>
        <v/>
      </c>
      <c r="CP14" s="390" t="str">
        <f t="array" ref="CP14">LET(
array,SORT({$Y$2:$AB$19,TRANSPOSE($BP14:$CG14)},4,TRUE),
col,CHOOSECOLS(array,5),
row,MATCH(FALSE, ISBLANK(col), 0),
IF(BW14=SWITCH($AA$22,
"minimum cost", MIN($BP14:$CG14),
"maximum cost", MAX($BP14:$CG14), 
"custom order", IF(CP$1=INDEX(array, row,1),INDEX(array, row,5),"x"))
,1,))</f>
        <v/>
      </c>
      <c r="CQ14" s="390" t="str">
        <f t="array" ref="CQ14">LET(
array,SORT({$Y$2:$AB$19,TRANSPOSE($BP14:$CG14)},4,TRUE),
col,CHOOSECOLS(array,5),
row,MATCH(FALSE, ISBLANK(col), 0),
IF(BX14=SWITCH($AA$22,
"minimum cost", MIN($BP14:$CG14),
"maximum cost", MAX($BP14:$CG14), 
"custom order", IF(CQ$1=INDEX(array, row,1),INDEX(array, row,5),"x"))
,1,))</f>
        <v/>
      </c>
      <c r="CR14" s="390" t="str">
        <f t="array" ref="CR14">LET(
array,SORT({$Y$2:$AB$19,TRANSPOSE($BP14:$CG14)},4,TRUE),
col,CHOOSECOLS(array,5),
row,MATCH(FALSE, ISBLANK(col), 0),
IF(BY14=SWITCH($AA$22,
"minimum cost", MIN($BP14:$CG14),
"maximum cost", MAX($BP14:$CG14), 
"custom order", IF(CR$1=INDEX(array, row,1),INDEX(array, row,5),"x"))
,1,))</f>
        <v/>
      </c>
      <c r="CS14" s="390" t="str">
        <f t="array" ref="CS14">LET(
array,SORT({$Y$2:$AB$19,TRANSPOSE($BP14:$CG14)},4,TRUE),
col,CHOOSECOLS(array,5),
row,MATCH(FALSE, ISBLANK(col), 0),
IF(BZ14=SWITCH($AA$22,
"minimum cost", MIN($BP14:$CG14),
"maximum cost", MAX($BP14:$CG14), 
"custom order", IF(CS$1=INDEX(array, row,1),INDEX(array, row,5),"x"))
,1,))</f>
        <v/>
      </c>
      <c r="CT14" s="390" t="str">
        <f t="array" ref="CT14">LET(
array,SORT({$Y$2:$AB$19,TRANSPOSE($BP14:$CG14)},4,TRUE),
col,CHOOSECOLS(array,5),
row,MATCH(FALSE, ISBLANK(col), 0),
IF(CA14=SWITCH($AA$22,
"minimum cost", MIN($BP14:$CG14),
"maximum cost", MAX($BP14:$CG14), 
"custom order", IF(CT$1=INDEX(array, row,1),INDEX(array, row,5),"x"))
,1,))</f>
        <v/>
      </c>
      <c r="CU14" s="469" t="str">
        <f t="array" ref="CU14">LET(
array,SORT({$Y$2:$AB$19,TRANSPOSE($BP14:$CG14)},4,TRUE),
col,CHOOSECOLS(array,5),
row,MATCH(FALSE, ISBLANK(col), 0),
IF(CB14=SWITCH($AA$22,
"minimum cost", MIN($BP14:$CG14),
"maximum cost", MAX($BP14:$CG14), 
"custom order", IF(CU$1=INDEX(array, row,1),INDEX(array, row,5),"x"))
,1,))</f>
        <v/>
      </c>
      <c r="CV14" s="469" t="str">
        <f t="array" ref="CV14">LET(
array,SORT({$Y$2:$AB$19,TRANSPOSE($BP14:$CG14)},4,TRUE),
col,CHOOSECOLS(array,5),
row,MATCH(FALSE, ISBLANK(col), 0),
IF(CC14=SWITCH($AA$22,
"minimum cost", MIN($BP14:$CG14),
"maximum cost", MAX($BP14:$CG14), 
"custom order", IF(CV$1=INDEX(array, row,1),INDEX(array, row,5),"x"))
,1,))</f>
        <v/>
      </c>
      <c r="CW14" s="469">
        <f t="array" ref="CW14">LET(
array,SORT({$Y$2:$AB$19,TRANSPOSE($BP14:$CG14)},4,TRUE),
col,CHOOSECOLS(array,5),
row,MATCH(FALSE, ISBLANK(col), 0),
IF(CD14=SWITCH($AA$22,
"minimum cost", MIN($BP14:$CG14),
"maximum cost", MAX($BP14:$CG14), 
"custom order", IF(CW$1=INDEX(array, row,1),INDEX(array, row,5),"x"))
,1,))</f>
        <v>1</v>
      </c>
      <c r="CX14" s="469" t="str">
        <f t="array" ref="CX14">LET(
array,SORT({$Y$2:$AB$19,TRANSPOSE($BP14:$CG14)},4,TRUE),
col,CHOOSECOLS(array,5),
row,MATCH(FALSE, ISBLANK(col), 0),
IF(CE14=SWITCH($AA$22,
"minimum cost", MIN($BP14:$CG14),
"maximum cost", MAX($BP14:$CG14), 
"custom order", IF(CX$1=INDEX(array, row,1),INDEX(array, row,5),"x"))
,1,))</f>
        <v/>
      </c>
      <c r="CY14" s="469" t="str">
        <f t="array" ref="CY14">LET(
array,SORT({$Y$2:$AB$19,TRANSPOSE($BP14:$CG14)},4,TRUE),
col,CHOOSECOLS(array,5),
row,MATCH(FALSE, ISBLANK(col), 0),
IF(CF14=SWITCH($AA$22,
"minimum cost", MIN($BP14:$CG14),
"maximum cost", MAX($BP14:$CG14), 
"custom order", IF(CY$1=INDEX(array, row,1),INDEX(array, row,5),"x"))
,1,))</f>
        <v/>
      </c>
      <c r="CZ14" s="581" t="str">
        <f t="array" ref="CZ14">LET(
array,SORT({$Y$2:$AB$19,TRANSPOSE($BP14:$CG14)},4,TRUE),
col,CHOOSECOLS(array,5),
row,MATCH(FALSE, ISBLANK(col), 0),
IF(CG14=SWITCH($AA$22,
"minimum cost", MIN($BP14:$CG14),
"maximum cost", MAX($BP14:$CG14), 
"custom order", IF(CZ$1=INDEX(array, row,1),INDEX(array, row,5),"x"))
,1,))</f>
        <v/>
      </c>
      <c r="DA14" s="461"/>
      <c r="DB14" s="580" t="str">
        <f t="array" ref="DB14:DS14">IF(MATCH(1, CI14:CZ14, 0)=COLUMN(CI14:CZ14)-COLUMN(CI14)+1, CI14:CZ14, "")</f>
        <v/>
      </c>
      <c r="DC14" s="252" t="s">
        <v>133</v>
      </c>
      <c r="DD14" s="252" t="s">
        <v>133</v>
      </c>
      <c r="DE14" s="252" t="s">
        <v>133</v>
      </c>
      <c r="DF14" s="252" t="s">
        <v>133</v>
      </c>
      <c r="DG14" s="252" t="s">
        <v>133</v>
      </c>
      <c r="DH14" s="390" t="s">
        <v>133</v>
      </c>
      <c r="DI14" s="390" t="s">
        <v>133</v>
      </c>
      <c r="DJ14" s="390" t="s">
        <v>133</v>
      </c>
      <c r="DK14" s="390" t="s">
        <v>133</v>
      </c>
      <c r="DL14" s="390" t="s">
        <v>133</v>
      </c>
      <c r="DM14" s="390" t="s">
        <v>133</v>
      </c>
      <c r="DN14" s="469" t="s">
        <v>133</v>
      </c>
      <c r="DO14" s="469" t="s">
        <v>133</v>
      </c>
      <c r="DP14" s="469">
        <v>1.0</v>
      </c>
      <c r="DQ14" s="469" t="s">
        <v>133</v>
      </c>
      <c r="DR14" s="469" t="s">
        <v>133</v>
      </c>
      <c r="DS14" s="581" t="s">
        <v>133</v>
      </c>
      <c r="DT14" s="563"/>
    </row>
    <row r="15">
      <c r="A15" s="563"/>
      <c r="B15" s="651" t="s">
        <v>211</v>
      </c>
      <c r="C15" s="652" t="s">
        <v>219</v>
      </c>
      <c r="D15" s="653">
        <v>2.0</v>
      </c>
      <c r="E15" s="654"/>
      <c r="F15" s="655"/>
      <c r="G15" s="656"/>
      <c r="H15" s="653"/>
      <c r="I15" s="656"/>
      <c r="J15" s="653"/>
      <c r="K15" s="656"/>
      <c r="L15" s="653"/>
      <c r="M15" s="461"/>
      <c r="N15" s="10"/>
      <c r="O15" s="10"/>
      <c r="P15" s="10"/>
      <c r="Q15" s="570" t="str">
        <f>IFERROR(__xludf.DUMMYFUNCTION("IF(SUM(DB15:DS15),ARRAYFORMULA(FILTER(DB$1:DS$1, DB15:DS15=1)),)"),"Cells / Kill Bonus")</f>
        <v>Cells / Kill Bonus</v>
      </c>
      <c r="R15" s="571">
        <f>IFERROR(__xludf.DUMMYFUNCTION("IF(SUM(DB15:DS15),ARRAYFORMULA(FILTER(AW15:BN15, DB15:DS15=1))+1,)"),29.0)</f>
        <v>29</v>
      </c>
      <c r="S15" s="572">
        <f>IFERROR(__xludf.DUMMYFUNCTION("IF(SUM(DB15:DS15),ARRAYFORMULA(FILTER(AD15:AU15, DB15:DS15=1)),)"),1.4671E14)</f>
        <v>146710000000000</v>
      </c>
      <c r="T15" s="572">
        <f t="shared" si="26"/>
        <v>4.01225E+15</v>
      </c>
      <c r="U15" s="573" t="str">
        <f t="shared" ref="U15:V15" si="60">FORMAT_NUMBER(S15)</f>
        <v>146.71 T</v>
      </c>
      <c r="V15" s="574" t="str">
        <f t="shared" si="60"/>
        <v>4.01 q</v>
      </c>
      <c r="W15" s="461"/>
      <c r="Y15" s="649" t="s">
        <v>211</v>
      </c>
      <c r="Z15" s="650">
        <f>SWITCH($O$3,
'Master Sheet'!R$1,'Master Sheet'!R16,
'Master Sheet'!S$1,'Master Sheet'!S16,
'Master Sheet'!T$1,'Master Sheet'!T16,
'Master Sheet'!U$1,'Master Sheet'!U16,
'Master Sheet'!V$1,'Master Sheet'!V16)</f>
        <v>33</v>
      </c>
      <c r="AA15" s="650">
        <f t="shared" si="4"/>
        <v>1</v>
      </c>
      <c r="AB15" s="650">
        <f t="shared" si="5"/>
        <v>2</v>
      </c>
      <c r="AC15" s="461"/>
      <c r="AD15" s="580">
        <f t="shared" ref="AD15:AU15" si="61">IFERROR(WSPCOST_SINGLE_ADJUSTED(AD$1,1+AW15),)</f>
        <v>37110000000000</v>
      </c>
      <c r="AE15" s="252">
        <f t="shared" si="61"/>
        <v>82420000000</v>
      </c>
      <c r="AF15" s="252">
        <f t="shared" si="61"/>
        <v>69650000000000</v>
      </c>
      <c r="AG15" s="252">
        <f t="shared" si="61"/>
        <v>21210000000</v>
      </c>
      <c r="AH15" s="252">
        <f t="shared" si="61"/>
        <v>43890000000000</v>
      </c>
      <c r="AI15" s="252">
        <f t="shared" si="61"/>
        <v>47710000000000</v>
      </c>
      <c r="AJ15" s="390">
        <f t="shared" si="61"/>
        <v>92140000000000</v>
      </c>
      <c r="AK15" s="390">
        <f t="shared" si="61"/>
        <v>69650000000000</v>
      </c>
      <c r="AL15" s="390">
        <f t="shared" si="61"/>
        <v>5000000000</v>
      </c>
      <c r="AM15" s="390">
        <f t="shared" si="61"/>
        <v>33950000000</v>
      </c>
      <c r="AN15" s="390">
        <f t="shared" si="61"/>
        <v>60080000000000</v>
      </c>
      <c r="AO15" s="390">
        <f t="shared" si="61"/>
        <v>22020000000000</v>
      </c>
      <c r="AP15" s="469">
        <f t="shared" si="61"/>
        <v>5240000000000</v>
      </c>
      <c r="AQ15" s="469">
        <f t="shared" si="61"/>
        <v>1.3E+15</v>
      </c>
      <c r="AR15" s="469">
        <f t="shared" si="61"/>
        <v>146710000000000</v>
      </c>
      <c r="AS15" s="469">
        <f t="shared" si="61"/>
        <v>420490000000000</v>
      </c>
      <c r="AT15" s="469">
        <f t="shared" si="61"/>
        <v>3990000000000</v>
      </c>
      <c r="AU15" s="581">
        <f t="shared" si="61"/>
        <v>1.14E+15</v>
      </c>
      <c r="AV15" s="461"/>
      <c r="AW15" s="580">
        <f t="shared" ref="AW15:BN15" si="62">AW14+DB14</f>
        <v>56</v>
      </c>
      <c r="AX15" s="252">
        <f t="shared" si="62"/>
        <v>21</v>
      </c>
      <c r="AY15" s="252">
        <f t="shared" si="62"/>
        <v>60</v>
      </c>
      <c r="AZ15" s="252">
        <f t="shared" si="62"/>
        <v>17</v>
      </c>
      <c r="BA15" s="252">
        <f t="shared" si="62"/>
        <v>57</v>
      </c>
      <c r="BB15" s="252">
        <f t="shared" si="62"/>
        <v>13</v>
      </c>
      <c r="BC15" s="390">
        <f t="shared" si="62"/>
        <v>62</v>
      </c>
      <c r="BD15" s="390">
        <f t="shared" si="62"/>
        <v>60</v>
      </c>
      <c r="BE15" s="390">
        <f t="shared" si="62"/>
        <v>0</v>
      </c>
      <c r="BF15" s="390">
        <f t="shared" si="62"/>
        <v>18</v>
      </c>
      <c r="BG15" s="390">
        <f t="shared" si="62"/>
        <v>59</v>
      </c>
      <c r="BH15" s="390">
        <f t="shared" si="62"/>
        <v>20</v>
      </c>
      <c r="BI15" s="469">
        <f t="shared" si="62"/>
        <v>44</v>
      </c>
      <c r="BJ15" s="469">
        <f t="shared" si="62"/>
        <v>37</v>
      </c>
      <c r="BK15" s="469">
        <f t="shared" si="62"/>
        <v>28</v>
      </c>
      <c r="BL15" s="469">
        <f t="shared" si="62"/>
        <v>18</v>
      </c>
      <c r="BM15" s="469">
        <f t="shared" si="62"/>
        <v>42</v>
      </c>
      <c r="BN15" s="581">
        <f t="shared" si="62"/>
        <v>15</v>
      </c>
      <c r="BO15" s="461"/>
      <c r="BP15" s="580">
        <f t="shared" si="8"/>
        <v>37110000000000</v>
      </c>
      <c r="BQ15" s="252" t="str">
        <f t="shared" si="9"/>
        <v/>
      </c>
      <c r="BR15" s="252">
        <f t="shared" si="10"/>
        <v>69650000000000</v>
      </c>
      <c r="BS15" s="252" t="str">
        <f t="shared" si="11"/>
        <v/>
      </c>
      <c r="BT15" s="252" t="str">
        <f t="shared" si="12"/>
        <v/>
      </c>
      <c r="BU15" s="252">
        <f t="shared" si="13"/>
        <v>47710000000000</v>
      </c>
      <c r="BV15" s="390">
        <f t="shared" si="14"/>
        <v>92140000000000</v>
      </c>
      <c r="BW15" s="390">
        <f t="shared" si="15"/>
        <v>69650000000000</v>
      </c>
      <c r="BX15" s="390" t="str">
        <f t="shared" si="16"/>
        <v/>
      </c>
      <c r="BY15" s="390" t="str">
        <f t="shared" si="17"/>
        <v/>
      </c>
      <c r="BZ15" s="390">
        <f t="shared" si="18"/>
        <v>60080000000000</v>
      </c>
      <c r="CA15" s="390">
        <f t="shared" si="19"/>
        <v>22020000000000</v>
      </c>
      <c r="CB15" s="469">
        <f t="shared" si="20"/>
        <v>5240000000000</v>
      </c>
      <c r="CC15" s="469" t="str">
        <f t="shared" si="21"/>
        <v/>
      </c>
      <c r="CD15" s="469">
        <f t="shared" si="22"/>
        <v>146710000000000</v>
      </c>
      <c r="CE15" s="469" t="str">
        <f t="shared" si="23"/>
        <v/>
      </c>
      <c r="CF15" s="469" t="str">
        <f t="shared" si="24"/>
        <v/>
      </c>
      <c r="CG15" s="581" t="str">
        <f t="shared" si="25"/>
        <v/>
      </c>
      <c r="CH15" s="461"/>
      <c r="CI15" s="580" t="str">
        <f t="array" ref="CI15">LET(
array,SORT({$Y$2:$AB$19,TRANSPOSE($BP15:$CG15)},4,TRUE),
col,CHOOSECOLS(array,5),
row,MATCH(FALSE, ISBLANK(col), 0),
IF(BP15=SWITCH($AA$22,
"minimum cost", MIN($BP15:$CG15),
"maximum cost", MAX($BP15:$CG15), 
"custom order", IF(CI$1=INDEX(array, row,1),INDEX(array, row,5),"x"))
,1,))</f>
        <v/>
      </c>
      <c r="CJ15" s="252" t="str">
        <f t="array" ref="CJ15">LET(
array,SORT({$Y$2:$AB$19,TRANSPOSE($BP15:$CG15)},4,TRUE),
col,CHOOSECOLS(array,5),
row,MATCH(FALSE, ISBLANK(col), 0),
IF(BQ15=SWITCH($AA$22,
"minimum cost", MIN($BP15:$CG15),
"maximum cost", MAX($BP15:$CG15), 
"custom order", IF(CJ$1=INDEX(array, row,1),INDEX(array, row,5),"x"))
,1,))</f>
        <v/>
      </c>
      <c r="CK15" s="252" t="str">
        <f t="array" ref="CK15">LET(
array,SORT({$Y$2:$AB$19,TRANSPOSE($BP15:$CG15)},4,TRUE),
col,CHOOSECOLS(array,5),
row,MATCH(FALSE, ISBLANK(col), 0),
IF(BR15=SWITCH($AA$22,
"minimum cost", MIN($BP15:$CG15),
"maximum cost", MAX($BP15:$CG15), 
"custom order", IF(CK$1=INDEX(array, row,1),INDEX(array, row,5),"x"))
,1,))</f>
        <v/>
      </c>
      <c r="CL15" s="252" t="str">
        <f t="array" ref="CL15">LET(
array,SORT({$Y$2:$AB$19,TRANSPOSE($BP15:$CG15)},4,TRUE),
col,CHOOSECOLS(array,5),
row,MATCH(FALSE, ISBLANK(col), 0),
IF(BS15=SWITCH($AA$22,
"minimum cost", MIN($BP15:$CG15),
"maximum cost", MAX($BP15:$CG15), 
"custom order", IF(CL$1=INDEX(array, row,1),INDEX(array, row,5),"x"))
,1,))</f>
        <v/>
      </c>
      <c r="CM15" s="252" t="str">
        <f t="array" ref="CM15">LET(
array,SORT({$Y$2:$AB$19,TRANSPOSE($BP15:$CG15)},4,TRUE),
col,CHOOSECOLS(array,5),
row,MATCH(FALSE, ISBLANK(col), 0),
IF(BT15=SWITCH($AA$22,
"minimum cost", MIN($BP15:$CG15),
"maximum cost", MAX($BP15:$CG15), 
"custom order", IF(CM$1=INDEX(array, row,1),INDEX(array, row,5),"x"))
,1,))</f>
        <v/>
      </c>
      <c r="CN15" s="252" t="str">
        <f t="array" ref="CN15">LET(
array,SORT({$Y$2:$AB$19,TRANSPOSE($BP15:$CG15)},4,TRUE),
col,CHOOSECOLS(array,5),
row,MATCH(FALSE, ISBLANK(col), 0),
IF(BU15=SWITCH($AA$22,
"minimum cost", MIN($BP15:$CG15),
"maximum cost", MAX($BP15:$CG15), 
"custom order", IF(CN$1=INDEX(array, row,1),INDEX(array, row,5),"x"))
,1,))</f>
        <v/>
      </c>
      <c r="CO15" s="390" t="str">
        <f t="array" ref="CO15">LET(
array,SORT({$Y$2:$AB$19,TRANSPOSE($BP15:$CG15)},4,TRUE),
col,CHOOSECOLS(array,5),
row,MATCH(FALSE, ISBLANK(col), 0),
IF(BV15=SWITCH($AA$22,
"minimum cost", MIN($BP15:$CG15),
"maximum cost", MAX($BP15:$CG15), 
"custom order", IF(CO$1=INDEX(array, row,1),INDEX(array, row,5),"x"))
,1,))</f>
        <v/>
      </c>
      <c r="CP15" s="390" t="str">
        <f t="array" ref="CP15">LET(
array,SORT({$Y$2:$AB$19,TRANSPOSE($BP15:$CG15)},4,TRUE),
col,CHOOSECOLS(array,5),
row,MATCH(FALSE, ISBLANK(col), 0),
IF(BW15=SWITCH($AA$22,
"minimum cost", MIN($BP15:$CG15),
"maximum cost", MAX($BP15:$CG15), 
"custom order", IF(CP$1=INDEX(array, row,1),INDEX(array, row,5),"x"))
,1,))</f>
        <v/>
      </c>
      <c r="CQ15" s="390" t="str">
        <f t="array" ref="CQ15">LET(
array,SORT({$Y$2:$AB$19,TRANSPOSE($BP15:$CG15)},4,TRUE),
col,CHOOSECOLS(array,5),
row,MATCH(FALSE, ISBLANK(col), 0),
IF(BX15=SWITCH($AA$22,
"minimum cost", MIN($BP15:$CG15),
"maximum cost", MAX($BP15:$CG15), 
"custom order", IF(CQ$1=INDEX(array, row,1),INDEX(array, row,5),"x"))
,1,))</f>
        <v/>
      </c>
      <c r="CR15" s="390" t="str">
        <f t="array" ref="CR15">LET(
array,SORT({$Y$2:$AB$19,TRANSPOSE($BP15:$CG15)},4,TRUE),
col,CHOOSECOLS(array,5),
row,MATCH(FALSE, ISBLANK(col), 0),
IF(BY15=SWITCH($AA$22,
"minimum cost", MIN($BP15:$CG15),
"maximum cost", MAX($BP15:$CG15), 
"custom order", IF(CR$1=INDEX(array, row,1),INDEX(array, row,5),"x"))
,1,))</f>
        <v/>
      </c>
      <c r="CS15" s="390" t="str">
        <f t="array" ref="CS15">LET(
array,SORT({$Y$2:$AB$19,TRANSPOSE($BP15:$CG15)},4,TRUE),
col,CHOOSECOLS(array,5),
row,MATCH(FALSE, ISBLANK(col), 0),
IF(BZ15=SWITCH($AA$22,
"minimum cost", MIN($BP15:$CG15),
"maximum cost", MAX($BP15:$CG15), 
"custom order", IF(CS$1=INDEX(array, row,1),INDEX(array, row,5),"x"))
,1,))</f>
        <v/>
      </c>
      <c r="CT15" s="390" t="str">
        <f t="array" ref="CT15">LET(
array,SORT({$Y$2:$AB$19,TRANSPOSE($BP15:$CG15)},4,TRUE),
col,CHOOSECOLS(array,5),
row,MATCH(FALSE, ISBLANK(col), 0),
IF(CA15=SWITCH($AA$22,
"minimum cost", MIN($BP15:$CG15),
"maximum cost", MAX($BP15:$CG15), 
"custom order", IF(CT$1=INDEX(array, row,1),INDEX(array, row,5),"x"))
,1,))</f>
        <v/>
      </c>
      <c r="CU15" s="469" t="str">
        <f t="array" ref="CU15">LET(
array,SORT({$Y$2:$AB$19,TRANSPOSE($BP15:$CG15)},4,TRUE),
col,CHOOSECOLS(array,5),
row,MATCH(FALSE, ISBLANK(col), 0),
IF(CB15=SWITCH($AA$22,
"minimum cost", MIN($BP15:$CG15),
"maximum cost", MAX($BP15:$CG15), 
"custom order", IF(CU$1=INDEX(array, row,1),INDEX(array, row,5),"x"))
,1,))</f>
        <v/>
      </c>
      <c r="CV15" s="469" t="str">
        <f t="array" ref="CV15">LET(
array,SORT({$Y$2:$AB$19,TRANSPOSE($BP15:$CG15)},4,TRUE),
col,CHOOSECOLS(array,5),
row,MATCH(FALSE, ISBLANK(col), 0),
IF(CC15=SWITCH($AA$22,
"minimum cost", MIN($BP15:$CG15),
"maximum cost", MAX($BP15:$CG15), 
"custom order", IF(CV$1=INDEX(array, row,1),INDEX(array, row,5),"x"))
,1,))</f>
        <v/>
      </c>
      <c r="CW15" s="469">
        <f t="array" ref="CW15">LET(
array,SORT({$Y$2:$AB$19,TRANSPOSE($BP15:$CG15)},4,TRUE),
col,CHOOSECOLS(array,5),
row,MATCH(FALSE, ISBLANK(col), 0),
IF(CD15=SWITCH($AA$22,
"minimum cost", MIN($BP15:$CG15),
"maximum cost", MAX($BP15:$CG15), 
"custom order", IF(CW$1=INDEX(array, row,1),INDEX(array, row,5),"x"))
,1,))</f>
        <v>1</v>
      </c>
      <c r="CX15" s="469" t="str">
        <f t="array" ref="CX15">LET(
array,SORT({$Y$2:$AB$19,TRANSPOSE($BP15:$CG15)},4,TRUE),
col,CHOOSECOLS(array,5),
row,MATCH(FALSE, ISBLANK(col), 0),
IF(CE15=SWITCH($AA$22,
"minimum cost", MIN($BP15:$CG15),
"maximum cost", MAX($BP15:$CG15), 
"custom order", IF(CX$1=INDEX(array, row,1),INDEX(array, row,5),"x"))
,1,))</f>
        <v/>
      </c>
      <c r="CY15" s="469" t="str">
        <f t="array" ref="CY15">LET(
array,SORT({$Y$2:$AB$19,TRANSPOSE($BP15:$CG15)},4,TRUE),
col,CHOOSECOLS(array,5),
row,MATCH(FALSE, ISBLANK(col), 0),
IF(CF15=SWITCH($AA$22,
"minimum cost", MIN($BP15:$CG15),
"maximum cost", MAX($BP15:$CG15), 
"custom order", IF(CY$1=INDEX(array, row,1),INDEX(array, row,5),"x"))
,1,))</f>
        <v/>
      </c>
      <c r="CZ15" s="581" t="str">
        <f t="array" ref="CZ15">LET(
array,SORT({$Y$2:$AB$19,TRANSPOSE($BP15:$CG15)},4,TRUE),
col,CHOOSECOLS(array,5),
row,MATCH(FALSE, ISBLANK(col), 0),
IF(CG15=SWITCH($AA$22,
"minimum cost", MIN($BP15:$CG15),
"maximum cost", MAX($BP15:$CG15), 
"custom order", IF(CZ$1=INDEX(array, row,1),INDEX(array, row,5),"x"))
,1,))</f>
        <v/>
      </c>
      <c r="DA15" s="461"/>
      <c r="DB15" s="580" t="str">
        <f t="array" ref="DB15:DS15">IF(MATCH(1, CI15:CZ15, 0)=COLUMN(CI15:CZ15)-COLUMN(CI15)+1, CI15:CZ15, "")</f>
        <v/>
      </c>
      <c r="DC15" s="252" t="s">
        <v>133</v>
      </c>
      <c r="DD15" s="252" t="s">
        <v>133</v>
      </c>
      <c r="DE15" s="252" t="s">
        <v>133</v>
      </c>
      <c r="DF15" s="252" t="s">
        <v>133</v>
      </c>
      <c r="DG15" s="252" t="s">
        <v>133</v>
      </c>
      <c r="DH15" s="390" t="s">
        <v>133</v>
      </c>
      <c r="DI15" s="390" t="s">
        <v>133</v>
      </c>
      <c r="DJ15" s="390" t="s">
        <v>133</v>
      </c>
      <c r="DK15" s="390" t="s">
        <v>133</v>
      </c>
      <c r="DL15" s="390" t="s">
        <v>133</v>
      </c>
      <c r="DM15" s="390" t="s">
        <v>133</v>
      </c>
      <c r="DN15" s="469" t="s">
        <v>133</v>
      </c>
      <c r="DO15" s="469" t="s">
        <v>133</v>
      </c>
      <c r="DP15" s="469">
        <v>1.0</v>
      </c>
      <c r="DQ15" s="469" t="s">
        <v>133</v>
      </c>
      <c r="DR15" s="469" t="s">
        <v>133</v>
      </c>
      <c r="DS15" s="581" t="s">
        <v>133</v>
      </c>
      <c r="DT15" s="563"/>
    </row>
    <row r="16">
      <c r="A16" s="563"/>
      <c r="B16" s="651" t="s">
        <v>212</v>
      </c>
      <c r="C16" s="657" t="s">
        <v>219</v>
      </c>
      <c r="D16" s="653">
        <v>4.0</v>
      </c>
      <c r="E16" s="654"/>
      <c r="F16" s="655"/>
      <c r="G16" s="656"/>
      <c r="H16" s="653"/>
      <c r="I16" s="656"/>
      <c r="J16" s="653"/>
      <c r="K16" s="656"/>
      <c r="L16" s="653"/>
      <c r="M16" s="461"/>
      <c r="N16" s="10"/>
      <c r="O16" s="10"/>
      <c r="P16" s="10"/>
      <c r="Q16" s="570" t="str">
        <f>IFERROR(__xludf.DUMMYFUNCTION("IF(SUM(DB16:DS16),ARRAYFORMULA(FILTER(DB$1:DS$1, DB16:DS16=1)),)"),"Cells / Kill Bonus")</f>
        <v>Cells / Kill Bonus</v>
      </c>
      <c r="R16" s="571">
        <f>IFERROR(__xludf.DUMMYFUNCTION("IF(SUM(DB16:DS16),ARRAYFORMULA(FILTER(AW16:BN16, DB16:DS16=1))+1,)"),30.0)</f>
        <v>30</v>
      </c>
      <c r="S16" s="572">
        <f>IFERROR(__xludf.DUMMYFUNCTION("IF(SUM(DB16:DS16),ARRAYFORMULA(FILTER(AD16:AU16, DB16:DS16=1)),)"),1.7429E14)</f>
        <v>174290000000000</v>
      </c>
      <c r="T16" s="572">
        <f t="shared" si="26"/>
        <v>4.18654E+15</v>
      </c>
      <c r="U16" s="573" t="str">
        <f t="shared" ref="U16:V16" si="63">FORMAT_NUMBER(S16)</f>
        <v>174.29 T</v>
      </c>
      <c r="V16" s="574" t="str">
        <f t="shared" si="63"/>
        <v>4.19 q</v>
      </c>
      <c r="W16" s="461"/>
      <c r="Y16" s="649" t="s">
        <v>212</v>
      </c>
      <c r="Z16" s="650">
        <f>SWITCH($O$3,
'Master Sheet'!R$1,'Master Sheet'!R17,
'Master Sheet'!S$1,'Master Sheet'!S17,
'Master Sheet'!T$1,'Master Sheet'!T17,
'Master Sheet'!U$1,'Master Sheet'!U17,
'Master Sheet'!V$1,'Master Sheet'!V17)</f>
        <v>25</v>
      </c>
      <c r="AA16" s="650">
        <f t="shared" si="4"/>
        <v>1</v>
      </c>
      <c r="AB16" s="650">
        <f t="shared" si="5"/>
        <v>4</v>
      </c>
      <c r="AC16" s="461"/>
      <c r="AD16" s="580">
        <f t="shared" ref="AD16:AU16" si="64">IFERROR(WSPCOST_SINGLE_ADJUSTED(AD$1,1+AW16),)</f>
        <v>37110000000000</v>
      </c>
      <c r="AE16" s="252">
        <f t="shared" si="64"/>
        <v>82420000000</v>
      </c>
      <c r="AF16" s="252">
        <f t="shared" si="64"/>
        <v>69650000000000</v>
      </c>
      <c r="AG16" s="252">
        <f t="shared" si="64"/>
        <v>21210000000</v>
      </c>
      <c r="AH16" s="252">
        <f t="shared" si="64"/>
        <v>43890000000000</v>
      </c>
      <c r="AI16" s="252">
        <f t="shared" si="64"/>
        <v>47710000000000</v>
      </c>
      <c r="AJ16" s="390">
        <f t="shared" si="64"/>
        <v>92140000000000</v>
      </c>
      <c r="AK16" s="390">
        <f t="shared" si="64"/>
        <v>69650000000000</v>
      </c>
      <c r="AL16" s="390">
        <f t="shared" si="64"/>
        <v>5000000000</v>
      </c>
      <c r="AM16" s="390">
        <f t="shared" si="64"/>
        <v>33950000000</v>
      </c>
      <c r="AN16" s="390">
        <f t="shared" si="64"/>
        <v>60080000000000</v>
      </c>
      <c r="AO16" s="390">
        <f t="shared" si="64"/>
        <v>22020000000000</v>
      </c>
      <c r="AP16" s="469">
        <f t="shared" si="64"/>
        <v>5240000000000</v>
      </c>
      <c r="AQ16" s="469">
        <f t="shared" si="64"/>
        <v>1.3E+15</v>
      </c>
      <c r="AR16" s="469">
        <f t="shared" si="64"/>
        <v>174290000000000</v>
      </c>
      <c r="AS16" s="469">
        <f t="shared" si="64"/>
        <v>420490000000000</v>
      </c>
      <c r="AT16" s="469">
        <f t="shared" si="64"/>
        <v>3990000000000</v>
      </c>
      <c r="AU16" s="581">
        <f t="shared" si="64"/>
        <v>1.14E+15</v>
      </c>
      <c r="AV16" s="461"/>
      <c r="AW16" s="580">
        <f t="shared" ref="AW16:BN16" si="65">AW15+DB15</f>
        <v>56</v>
      </c>
      <c r="AX16" s="252">
        <f t="shared" si="65"/>
        <v>21</v>
      </c>
      <c r="AY16" s="252">
        <f t="shared" si="65"/>
        <v>60</v>
      </c>
      <c r="AZ16" s="252">
        <f t="shared" si="65"/>
        <v>17</v>
      </c>
      <c r="BA16" s="252">
        <f t="shared" si="65"/>
        <v>57</v>
      </c>
      <c r="BB16" s="252">
        <f t="shared" si="65"/>
        <v>13</v>
      </c>
      <c r="BC16" s="390">
        <f t="shared" si="65"/>
        <v>62</v>
      </c>
      <c r="BD16" s="390">
        <f t="shared" si="65"/>
        <v>60</v>
      </c>
      <c r="BE16" s="390">
        <f t="shared" si="65"/>
        <v>0</v>
      </c>
      <c r="BF16" s="390">
        <f t="shared" si="65"/>
        <v>18</v>
      </c>
      <c r="BG16" s="390">
        <f t="shared" si="65"/>
        <v>59</v>
      </c>
      <c r="BH16" s="390">
        <f t="shared" si="65"/>
        <v>20</v>
      </c>
      <c r="BI16" s="469">
        <f t="shared" si="65"/>
        <v>44</v>
      </c>
      <c r="BJ16" s="469">
        <f t="shared" si="65"/>
        <v>37</v>
      </c>
      <c r="BK16" s="469">
        <f t="shared" si="65"/>
        <v>29</v>
      </c>
      <c r="BL16" s="469">
        <f t="shared" si="65"/>
        <v>18</v>
      </c>
      <c r="BM16" s="469">
        <f t="shared" si="65"/>
        <v>42</v>
      </c>
      <c r="BN16" s="581">
        <f t="shared" si="65"/>
        <v>15</v>
      </c>
      <c r="BO16" s="461"/>
      <c r="BP16" s="580">
        <f t="shared" si="8"/>
        <v>37110000000000</v>
      </c>
      <c r="BQ16" s="252" t="str">
        <f t="shared" si="9"/>
        <v/>
      </c>
      <c r="BR16" s="252">
        <f t="shared" si="10"/>
        <v>69650000000000</v>
      </c>
      <c r="BS16" s="252" t="str">
        <f t="shared" si="11"/>
        <v/>
      </c>
      <c r="BT16" s="252" t="str">
        <f t="shared" si="12"/>
        <v/>
      </c>
      <c r="BU16" s="252">
        <f t="shared" si="13"/>
        <v>47710000000000</v>
      </c>
      <c r="BV16" s="390">
        <f t="shared" si="14"/>
        <v>92140000000000</v>
      </c>
      <c r="BW16" s="390">
        <f t="shared" si="15"/>
        <v>69650000000000</v>
      </c>
      <c r="BX16" s="390" t="str">
        <f t="shared" si="16"/>
        <v/>
      </c>
      <c r="BY16" s="390" t="str">
        <f t="shared" si="17"/>
        <v/>
      </c>
      <c r="BZ16" s="390">
        <f t="shared" si="18"/>
        <v>60080000000000</v>
      </c>
      <c r="CA16" s="390">
        <f t="shared" si="19"/>
        <v>22020000000000</v>
      </c>
      <c r="CB16" s="469">
        <f t="shared" si="20"/>
        <v>5240000000000</v>
      </c>
      <c r="CC16" s="469" t="str">
        <f t="shared" si="21"/>
        <v/>
      </c>
      <c r="CD16" s="469">
        <f t="shared" si="22"/>
        <v>174290000000000</v>
      </c>
      <c r="CE16" s="469" t="str">
        <f t="shared" si="23"/>
        <v/>
      </c>
      <c r="CF16" s="469" t="str">
        <f t="shared" si="24"/>
        <v/>
      </c>
      <c r="CG16" s="581" t="str">
        <f t="shared" si="25"/>
        <v/>
      </c>
      <c r="CH16" s="461"/>
      <c r="CI16" s="580" t="str">
        <f t="array" ref="CI16">LET(
array,SORT({$Y$2:$AB$19,TRANSPOSE($BP16:$CG16)},4,TRUE),
col,CHOOSECOLS(array,5),
row,MATCH(FALSE, ISBLANK(col), 0),
IF(BP16=SWITCH($AA$22,
"minimum cost", MIN($BP16:$CG16),
"maximum cost", MAX($BP16:$CG16), 
"custom order", IF(CI$1=INDEX(array, row,1),INDEX(array, row,5),"x"))
,1,))</f>
        <v/>
      </c>
      <c r="CJ16" s="252" t="str">
        <f t="array" ref="CJ16">LET(
array,SORT({$Y$2:$AB$19,TRANSPOSE($BP16:$CG16)},4,TRUE),
col,CHOOSECOLS(array,5),
row,MATCH(FALSE, ISBLANK(col), 0),
IF(BQ16=SWITCH($AA$22,
"minimum cost", MIN($BP16:$CG16),
"maximum cost", MAX($BP16:$CG16), 
"custom order", IF(CJ$1=INDEX(array, row,1),INDEX(array, row,5),"x"))
,1,))</f>
        <v/>
      </c>
      <c r="CK16" s="252" t="str">
        <f t="array" ref="CK16">LET(
array,SORT({$Y$2:$AB$19,TRANSPOSE($BP16:$CG16)},4,TRUE),
col,CHOOSECOLS(array,5),
row,MATCH(FALSE, ISBLANK(col), 0),
IF(BR16=SWITCH($AA$22,
"minimum cost", MIN($BP16:$CG16),
"maximum cost", MAX($BP16:$CG16), 
"custom order", IF(CK$1=INDEX(array, row,1),INDEX(array, row,5),"x"))
,1,))</f>
        <v/>
      </c>
      <c r="CL16" s="252" t="str">
        <f t="array" ref="CL16">LET(
array,SORT({$Y$2:$AB$19,TRANSPOSE($BP16:$CG16)},4,TRUE),
col,CHOOSECOLS(array,5),
row,MATCH(FALSE, ISBLANK(col), 0),
IF(BS16=SWITCH($AA$22,
"minimum cost", MIN($BP16:$CG16),
"maximum cost", MAX($BP16:$CG16), 
"custom order", IF(CL$1=INDEX(array, row,1),INDEX(array, row,5),"x"))
,1,))</f>
        <v/>
      </c>
      <c r="CM16" s="252" t="str">
        <f t="array" ref="CM16">LET(
array,SORT({$Y$2:$AB$19,TRANSPOSE($BP16:$CG16)},4,TRUE),
col,CHOOSECOLS(array,5),
row,MATCH(FALSE, ISBLANK(col), 0),
IF(BT16=SWITCH($AA$22,
"minimum cost", MIN($BP16:$CG16),
"maximum cost", MAX($BP16:$CG16), 
"custom order", IF(CM$1=INDEX(array, row,1),INDEX(array, row,5),"x"))
,1,))</f>
        <v/>
      </c>
      <c r="CN16" s="252" t="str">
        <f t="array" ref="CN16">LET(
array,SORT({$Y$2:$AB$19,TRANSPOSE($BP16:$CG16)},4,TRUE),
col,CHOOSECOLS(array,5),
row,MATCH(FALSE, ISBLANK(col), 0),
IF(BU16=SWITCH($AA$22,
"minimum cost", MIN($BP16:$CG16),
"maximum cost", MAX($BP16:$CG16), 
"custom order", IF(CN$1=INDEX(array, row,1),INDEX(array, row,5),"x"))
,1,))</f>
        <v/>
      </c>
      <c r="CO16" s="390" t="str">
        <f t="array" ref="CO16">LET(
array,SORT({$Y$2:$AB$19,TRANSPOSE($BP16:$CG16)},4,TRUE),
col,CHOOSECOLS(array,5),
row,MATCH(FALSE, ISBLANK(col), 0),
IF(BV16=SWITCH($AA$22,
"minimum cost", MIN($BP16:$CG16),
"maximum cost", MAX($BP16:$CG16), 
"custom order", IF(CO$1=INDEX(array, row,1),INDEX(array, row,5),"x"))
,1,))</f>
        <v/>
      </c>
      <c r="CP16" s="390" t="str">
        <f t="array" ref="CP16">LET(
array,SORT({$Y$2:$AB$19,TRANSPOSE($BP16:$CG16)},4,TRUE),
col,CHOOSECOLS(array,5),
row,MATCH(FALSE, ISBLANK(col), 0),
IF(BW16=SWITCH($AA$22,
"minimum cost", MIN($BP16:$CG16),
"maximum cost", MAX($BP16:$CG16), 
"custom order", IF(CP$1=INDEX(array, row,1),INDEX(array, row,5),"x"))
,1,))</f>
        <v/>
      </c>
      <c r="CQ16" s="390" t="str">
        <f t="array" ref="CQ16">LET(
array,SORT({$Y$2:$AB$19,TRANSPOSE($BP16:$CG16)},4,TRUE),
col,CHOOSECOLS(array,5),
row,MATCH(FALSE, ISBLANK(col), 0),
IF(BX16=SWITCH($AA$22,
"minimum cost", MIN($BP16:$CG16),
"maximum cost", MAX($BP16:$CG16), 
"custom order", IF(CQ$1=INDEX(array, row,1),INDEX(array, row,5),"x"))
,1,))</f>
        <v/>
      </c>
      <c r="CR16" s="390" t="str">
        <f t="array" ref="CR16">LET(
array,SORT({$Y$2:$AB$19,TRANSPOSE($BP16:$CG16)},4,TRUE),
col,CHOOSECOLS(array,5),
row,MATCH(FALSE, ISBLANK(col), 0),
IF(BY16=SWITCH($AA$22,
"minimum cost", MIN($BP16:$CG16),
"maximum cost", MAX($BP16:$CG16), 
"custom order", IF(CR$1=INDEX(array, row,1),INDEX(array, row,5),"x"))
,1,))</f>
        <v/>
      </c>
      <c r="CS16" s="390" t="str">
        <f t="array" ref="CS16">LET(
array,SORT({$Y$2:$AB$19,TRANSPOSE($BP16:$CG16)},4,TRUE),
col,CHOOSECOLS(array,5),
row,MATCH(FALSE, ISBLANK(col), 0),
IF(BZ16=SWITCH($AA$22,
"minimum cost", MIN($BP16:$CG16),
"maximum cost", MAX($BP16:$CG16), 
"custom order", IF(CS$1=INDEX(array, row,1),INDEX(array, row,5),"x"))
,1,))</f>
        <v/>
      </c>
      <c r="CT16" s="390" t="str">
        <f t="array" ref="CT16">LET(
array,SORT({$Y$2:$AB$19,TRANSPOSE($BP16:$CG16)},4,TRUE),
col,CHOOSECOLS(array,5),
row,MATCH(FALSE, ISBLANK(col), 0),
IF(CA16=SWITCH($AA$22,
"minimum cost", MIN($BP16:$CG16),
"maximum cost", MAX($BP16:$CG16), 
"custom order", IF(CT$1=INDEX(array, row,1),INDEX(array, row,5),"x"))
,1,))</f>
        <v/>
      </c>
      <c r="CU16" s="469" t="str">
        <f t="array" ref="CU16">LET(
array,SORT({$Y$2:$AB$19,TRANSPOSE($BP16:$CG16)},4,TRUE),
col,CHOOSECOLS(array,5),
row,MATCH(FALSE, ISBLANK(col), 0),
IF(CB16=SWITCH($AA$22,
"minimum cost", MIN($BP16:$CG16),
"maximum cost", MAX($BP16:$CG16), 
"custom order", IF(CU$1=INDEX(array, row,1),INDEX(array, row,5),"x"))
,1,))</f>
        <v/>
      </c>
      <c r="CV16" s="469" t="str">
        <f t="array" ref="CV16">LET(
array,SORT({$Y$2:$AB$19,TRANSPOSE($BP16:$CG16)},4,TRUE),
col,CHOOSECOLS(array,5),
row,MATCH(FALSE, ISBLANK(col), 0),
IF(CC16=SWITCH($AA$22,
"minimum cost", MIN($BP16:$CG16),
"maximum cost", MAX($BP16:$CG16), 
"custom order", IF(CV$1=INDEX(array, row,1),INDEX(array, row,5),"x"))
,1,))</f>
        <v/>
      </c>
      <c r="CW16" s="469">
        <f t="array" ref="CW16">LET(
array,SORT({$Y$2:$AB$19,TRANSPOSE($BP16:$CG16)},4,TRUE),
col,CHOOSECOLS(array,5),
row,MATCH(FALSE, ISBLANK(col), 0),
IF(CD16=SWITCH($AA$22,
"minimum cost", MIN($BP16:$CG16),
"maximum cost", MAX($BP16:$CG16), 
"custom order", IF(CW$1=INDEX(array, row,1),INDEX(array, row,5),"x"))
,1,))</f>
        <v>1</v>
      </c>
      <c r="CX16" s="469" t="str">
        <f t="array" ref="CX16">LET(
array,SORT({$Y$2:$AB$19,TRANSPOSE($BP16:$CG16)},4,TRUE),
col,CHOOSECOLS(array,5),
row,MATCH(FALSE, ISBLANK(col), 0),
IF(CE16=SWITCH($AA$22,
"minimum cost", MIN($BP16:$CG16),
"maximum cost", MAX($BP16:$CG16), 
"custom order", IF(CX$1=INDEX(array, row,1),INDEX(array, row,5),"x"))
,1,))</f>
        <v/>
      </c>
      <c r="CY16" s="469" t="str">
        <f t="array" ref="CY16">LET(
array,SORT({$Y$2:$AB$19,TRANSPOSE($BP16:$CG16)},4,TRUE),
col,CHOOSECOLS(array,5),
row,MATCH(FALSE, ISBLANK(col), 0),
IF(CF16=SWITCH($AA$22,
"minimum cost", MIN($BP16:$CG16),
"maximum cost", MAX($BP16:$CG16), 
"custom order", IF(CY$1=INDEX(array, row,1),INDEX(array, row,5),"x"))
,1,))</f>
        <v/>
      </c>
      <c r="CZ16" s="581" t="str">
        <f t="array" ref="CZ16">LET(
array,SORT({$Y$2:$AB$19,TRANSPOSE($BP16:$CG16)},4,TRUE),
col,CHOOSECOLS(array,5),
row,MATCH(FALSE, ISBLANK(col), 0),
IF(CG16=SWITCH($AA$22,
"minimum cost", MIN($BP16:$CG16),
"maximum cost", MAX($BP16:$CG16), 
"custom order", IF(CZ$1=INDEX(array, row,1),INDEX(array, row,5),"x"))
,1,))</f>
        <v/>
      </c>
      <c r="DA16" s="461"/>
      <c r="DB16" s="580" t="str">
        <f t="array" ref="DB16:DS16">IF(MATCH(1, CI16:CZ16, 0)=COLUMN(CI16:CZ16)-COLUMN(CI16)+1, CI16:CZ16, "")</f>
        <v/>
      </c>
      <c r="DC16" s="252" t="s">
        <v>133</v>
      </c>
      <c r="DD16" s="252" t="s">
        <v>133</v>
      </c>
      <c r="DE16" s="252" t="s">
        <v>133</v>
      </c>
      <c r="DF16" s="252" t="s">
        <v>133</v>
      </c>
      <c r="DG16" s="252" t="s">
        <v>133</v>
      </c>
      <c r="DH16" s="390" t="s">
        <v>133</v>
      </c>
      <c r="DI16" s="390" t="s">
        <v>133</v>
      </c>
      <c r="DJ16" s="390" t="s">
        <v>133</v>
      </c>
      <c r="DK16" s="390" t="s">
        <v>133</v>
      </c>
      <c r="DL16" s="390" t="s">
        <v>133</v>
      </c>
      <c r="DM16" s="390" t="s">
        <v>133</v>
      </c>
      <c r="DN16" s="469" t="s">
        <v>133</v>
      </c>
      <c r="DO16" s="469" t="s">
        <v>133</v>
      </c>
      <c r="DP16" s="469">
        <v>1.0</v>
      </c>
      <c r="DQ16" s="469" t="s">
        <v>133</v>
      </c>
      <c r="DR16" s="469" t="s">
        <v>133</v>
      </c>
      <c r="DS16" s="581" t="s">
        <v>133</v>
      </c>
      <c r="DT16" s="563"/>
    </row>
    <row r="17">
      <c r="A17" s="563"/>
      <c r="B17" s="651" t="s">
        <v>157</v>
      </c>
      <c r="C17" s="658" t="s">
        <v>220</v>
      </c>
      <c r="D17" s="659">
        <v>3.0</v>
      </c>
      <c r="E17" s="654"/>
      <c r="F17" s="655"/>
      <c r="G17" s="660"/>
      <c r="H17" s="653"/>
      <c r="I17" s="660"/>
      <c r="J17" s="653"/>
      <c r="K17" s="660"/>
      <c r="L17" s="653"/>
      <c r="M17" s="461"/>
      <c r="N17" s="10"/>
      <c r="O17" s="10"/>
      <c r="P17" s="10"/>
      <c r="Q17" s="570" t="str">
        <f>IFERROR(__xludf.DUMMYFUNCTION("IF(SUM(DB17:DS17),ARRAYFORMULA(FILTER(DB$1:DS$1, DB17:DS17=1)),)"),"Cells / Kill Bonus")</f>
        <v>Cells / Kill Bonus</v>
      </c>
      <c r="R17" s="571">
        <f>IFERROR(__xludf.DUMMYFUNCTION("IF(SUM(DB17:DS17),ARRAYFORMULA(FILTER(AW17:BN17, DB17:DS17=1))+1,)"),31.0)</f>
        <v>31</v>
      </c>
      <c r="S17" s="572">
        <f>IFERROR(__xludf.DUMMYFUNCTION("IF(SUM(DB17:DS17),ARRAYFORMULA(FILTER(AD17:AU17, DB17:DS17=1)),)"),2.0532E14)</f>
        <v>205320000000000</v>
      </c>
      <c r="T17" s="572">
        <f t="shared" si="26"/>
        <v>4.39186E+15</v>
      </c>
      <c r="U17" s="573" t="str">
        <f t="shared" ref="U17:V17" si="66">FORMAT_NUMBER(S17)</f>
        <v>205.32 T</v>
      </c>
      <c r="V17" s="574" t="str">
        <f t="shared" si="66"/>
        <v>4.39 q</v>
      </c>
      <c r="W17" s="461"/>
      <c r="Y17" s="649" t="s">
        <v>157</v>
      </c>
      <c r="Z17" s="650">
        <f>SWITCH($O$3,
'Master Sheet'!R$1,'Master Sheet'!R18,
'Master Sheet'!S$1,'Master Sheet'!S18,
'Master Sheet'!T$1,'Master Sheet'!T18,
'Master Sheet'!U$1,'Master Sheet'!U18,
'Master Sheet'!V$1,'Master Sheet'!V18)</f>
        <v>12</v>
      </c>
      <c r="AA17" s="650">
        <f t="shared" si="4"/>
        <v>0.25</v>
      </c>
      <c r="AB17" s="650">
        <f t="shared" si="5"/>
        <v>3</v>
      </c>
      <c r="AC17" s="461"/>
      <c r="AD17" s="580">
        <f t="shared" ref="AD17:AU17" si="67">IFERROR(WSPCOST_SINGLE_ADJUSTED(AD$1,1+AW17),)</f>
        <v>37110000000000</v>
      </c>
      <c r="AE17" s="252">
        <f t="shared" si="67"/>
        <v>82420000000</v>
      </c>
      <c r="AF17" s="252">
        <f t="shared" si="67"/>
        <v>69650000000000</v>
      </c>
      <c r="AG17" s="252">
        <f t="shared" si="67"/>
        <v>21210000000</v>
      </c>
      <c r="AH17" s="252">
        <f t="shared" si="67"/>
        <v>43890000000000</v>
      </c>
      <c r="AI17" s="252">
        <f t="shared" si="67"/>
        <v>47710000000000</v>
      </c>
      <c r="AJ17" s="390">
        <f t="shared" si="67"/>
        <v>92140000000000</v>
      </c>
      <c r="AK17" s="390">
        <f t="shared" si="67"/>
        <v>69650000000000</v>
      </c>
      <c r="AL17" s="390">
        <f t="shared" si="67"/>
        <v>5000000000</v>
      </c>
      <c r="AM17" s="390">
        <f t="shared" si="67"/>
        <v>33950000000</v>
      </c>
      <c r="AN17" s="390">
        <f t="shared" si="67"/>
        <v>60080000000000</v>
      </c>
      <c r="AO17" s="390">
        <f t="shared" si="67"/>
        <v>22020000000000</v>
      </c>
      <c r="AP17" s="469">
        <f t="shared" si="67"/>
        <v>5240000000000</v>
      </c>
      <c r="AQ17" s="469">
        <f t="shared" si="67"/>
        <v>1.3E+15</v>
      </c>
      <c r="AR17" s="469">
        <f t="shared" si="67"/>
        <v>205320000000000</v>
      </c>
      <c r="AS17" s="469">
        <f t="shared" si="67"/>
        <v>420490000000000</v>
      </c>
      <c r="AT17" s="469">
        <f t="shared" si="67"/>
        <v>3990000000000</v>
      </c>
      <c r="AU17" s="581">
        <f t="shared" si="67"/>
        <v>1.14E+15</v>
      </c>
      <c r="AV17" s="461"/>
      <c r="AW17" s="580">
        <f t="shared" ref="AW17:BN17" si="68">AW16+DB16</f>
        <v>56</v>
      </c>
      <c r="AX17" s="252">
        <f t="shared" si="68"/>
        <v>21</v>
      </c>
      <c r="AY17" s="252">
        <f t="shared" si="68"/>
        <v>60</v>
      </c>
      <c r="AZ17" s="252">
        <f t="shared" si="68"/>
        <v>17</v>
      </c>
      <c r="BA17" s="252">
        <f t="shared" si="68"/>
        <v>57</v>
      </c>
      <c r="BB17" s="252">
        <f t="shared" si="68"/>
        <v>13</v>
      </c>
      <c r="BC17" s="390">
        <f t="shared" si="68"/>
        <v>62</v>
      </c>
      <c r="BD17" s="390">
        <f t="shared" si="68"/>
        <v>60</v>
      </c>
      <c r="BE17" s="390">
        <f t="shared" si="68"/>
        <v>0</v>
      </c>
      <c r="BF17" s="390">
        <f t="shared" si="68"/>
        <v>18</v>
      </c>
      <c r="BG17" s="390">
        <f t="shared" si="68"/>
        <v>59</v>
      </c>
      <c r="BH17" s="390">
        <f t="shared" si="68"/>
        <v>20</v>
      </c>
      <c r="BI17" s="469">
        <f t="shared" si="68"/>
        <v>44</v>
      </c>
      <c r="BJ17" s="469">
        <f t="shared" si="68"/>
        <v>37</v>
      </c>
      <c r="BK17" s="469">
        <f t="shared" si="68"/>
        <v>30</v>
      </c>
      <c r="BL17" s="469">
        <f t="shared" si="68"/>
        <v>18</v>
      </c>
      <c r="BM17" s="469">
        <f t="shared" si="68"/>
        <v>42</v>
      </c>
      <c r="BN17" s="581">
        <f t="shared" si="68"/>
        <v>15</v>
      </c>
      <c r="BO17" s="461"/>
      <c r="BP17" s="580">
        <f t="shared" si="8"/>
        <v>37110000000000</v>
      </c>
      <c r="BQ17" s="252" t="str">
        <f t="shared" si="9"/>
        <v/>
      </c>
      <c r="BR17" s="252">
        <f t="shared" si="10"/>
        <v>69650000000000</v>
      </c>
      <c r="BS17" s="252" t="str">
        <f t="shared" si="11"/>
        <v/>
      </c>
      <c r="BT17" s="252" t="str">
        <f t="shared" si="12"/>
        <v/>
      </c>
      <c r="BU17" s="252">
        <f t="shared" si="13"/>
        <v>47710000000000</v>
      </c>
      <c r="BV17" s="390">
        <f t="shared" si="14"/>
        <v>92140000000000</v>
      </c>
      <c r="BW17" s="390">
        <f t="shared" si="15"/>
        <v>69650000000000</v>
      </c>
      <c r="BX17" s="390" t="str">
        <f t="shared" si="16"/>
        <v/>
      </c>
      <c r="BY17" s="390" t="str">
        <f t="shared" si="17"/>
        <v/>
      </c>
      <c r="BZ17" s="390">
        <f t="shared" si="18"/>
        <v>60080000000000</v>
      </c>
      <c r="CA17" s="390">
        <f t="shared" si="19"/>
        <v>22020000000000</v>
      </c>
      <c r="CB17" s="469">
        <f t="shared" si="20"/>
        <v>5240000000000</v>
      </c>
      <c r="CC17" s="469" t="str">
        <f t="shared" si="21"/>
        <v/>
      </c>
      <c r="CD17" s="469">
        <f t="shared" si="22"/>
        <v>205320000000000</v>
      </c>
      <c r="CE17" s="469" t="str">
        <f t="shared" si="23"/>
        <v/>
      </c>
      <c r="CF17" s="469" t="str">
        <f t="shared" si="24"/>
        <v/>
      </c>
      <c r="CG17" s="581" t="str">
        <f t="shared" si="25"/>
        <v/>
      </c>
      <c r="CH17" s="461"/>
      <c r="CI17" s="580" t="str">
        <f t="array" ref="CI17">LET(
array,SORT({$Y$2:$AB$19,TRANSPOSE($BP17:$CG17)},4,TRUE),
col,CHOOSECOLS(array,5),
row,MATCH(FALSE, ISBLANK(col), 0),
IF(BP17=SWITCH($AA$22,
"minimum cost", MIN($BP17:$CG17),
"maximum cost", MAX($BP17:$CG17), 
"custom order", IF(CI$1=INDEX(array, row,1),INDEX(array, row,5),"x"))
,1,))</f>
        <v/>
      </c>
      <c r="CJ17" s="252" t="str">
        <f t="array" ref="CJ17">LET(
array,SORT({$Y$2:$AB$19,TRANSPOSE($BP17:$CG17)},4,TRUE),
col,CHOOSECOLS(array,5),
row,MATCH(FALSE, ISBLANK(col), 0),
IF(BQ17=SWITCH($AA$22,
"minimum cost", MIN($BP17:$CG17),
"maximum cost", MAX($BP17:$CG17), 
"custom order", IF(CJ$1=INDEX(array, row,1),INDEX(array, row,5),"x"))
,1,))</f>
        <v/>
      </c>
      <c r="CK17" s="252" t="str">
        <f t="array" ref="CK17">LET(
array,SORT({$Y$2:$AB$19,TRANSPOSE($BP17:$CG17)},4,TRUE),
col,CHOOSECOLS(array,5),
row,MATCH(FALSE, ISBLANK(col), 0),
IF(BR17=SWITCH($AA$22,
"minimum cost", MIN($BP17:$CG17),
"maximum cost", MAX($BP17:$CG17), 
"custom order", IF(CK$1=INDEX(array, row,1),INDEX(array, row,5),"x"))
,1,))</f>
        <v/>
      </c>
      <c r="CL17" s="252" t="str">
        <f t="array" ref="CL17">LET(
array,SORT({$Y$2:$AB$19,TRANSPOSE($BP17:$CG17)},4,TRUE),
col,CHOOSECOLS(array,5),
row,MATCH(FALSE, ISBLANK(col), 0),
IF(BS17=SWITCH($AA$22,
"minimum cost", MIN($BP17:$CG17),
"maximum cost", MAX($BP17:$CG17), 
"custom order", IF(CL$1=INDEX(array, row,1),INDEX(array, row,5),"x"))
,1,))</f>
        <v/>
      </c>
      <c r="CM17" s="252" t="str">
        <f t="array" ref="CM17">LET(
array,SORT({$Y$2:$AB$19,TRANSPOSE($BP17:$CG17)},4,TRUE),
col,CHOOSECOLS(array,5),
row,MATCH(FALSE, ISBLANK(col), 0),
IF(BT17=SWITCH($AA$22,
"minimum cost", MIN($BP17:$CG17),
"maximum cost", MAX($BP17:$CG17), 
"custom order", IF(CM$1=INDEX(array, row,1),INDEX(array, row,5),"x"))
,1,))</f>
        <v/>
      </c>
      <c r="CN17" s="252" t="str">
        <f t="array" ref="CN17">LET(
array,SORT({$Y$2:$AB$19,TRANSPOSE($BP17:$CG17)},4,TRUE),
col,CHOOSECOLS(array,5),
row,MATCH(FALSE, ISBLANK(col), 0),
IF(BU17=SWITCH($AA$22,
"minimum cost", MIN($BP17:$CG17),
"maximum cost", MAX($BP17:$CG17), 
"custom order", IF(CN$1=INDEX(array, row,1),INDEX(array, row,5),"x"))
,1,))</f>
        <v/>
      </c>
      <c r="CO17" s="390" t="str">
        <f t="array" ref="CO17">LET(
array,SORT({$Y$2:$AB$19,TRANSPOSE($BP17:$CG17)},4,TRUE),
col,CHOOSECOLS(array,5),
row,MATCH(FALSE, ISBLANK(col), 0),
IF(BV17=SWITCH($AA$22,
"minimum cost", MIN($BP17:$CG17),
"maximum cost", MAX($BP17:$CG17), 
"custom order", IF(CO$1=INDEX(array, row,1),INDEX(array, row,5),"x"))
,1,))</f>
        <v/>
      </c>
      <c r="CP17" s="390" t="str">
        <f t="array" ref="CP17">LET(
array,SORT({$Y$2:$AB$19,TRANSPOSE($BP17:$CG17)},4,TRUE),
col,CHOOSECOLS(array,5),
row,MATCH(FALSE, ISBLANK(col), 0),
IF(BW17=SWITCH($AA$22,
"minimum cost", MIN($BP17:$CG17),
"maximum cost", MAX($BP17:$CG17), 
"custom order", IF(CP$1=INDEX(array, row,1),INDEX(array, row,5),"x"))
,1,))</f>
        <v/>
      </c>
      <c r="CQ17" s="390" t="str">
        <f t="array" ref="CQ17">LET(
array,SORT({$Y$2:$AB$19,TRANSPOSE($BP17:$CG17)},4,TRUE),
col,CHOOSECOLS(array,5),
row,MATCH(FALSE, ISBLANK(col), 0),
IF(BX17=SWITCH($AA$22,
"minimum cost", MIN($BP17:$CG17),
"maximum cost", MAX($BP17:$CG17), 
"custom order", IF(CQ$1=INDEX(array, row,1),INDEX(array, row,5),"x"))
,1,))</f>
        <v/>
      </c>
      <c r="CR17" s="390" t="str">
        <f t="array" ref="CR17">LET(
array,SORT({$Y$2:$AB$19,TRANSPOSE($BP17:$CG17)},4,TRUE),
col,CHOOSECOLS(array,5),
row,MATCH(FALSE, ISBLANK(col), 0),
IF(BY17=SWITCH($AA$22,
"minimum cost", MIN($BP17:$CG17),
"maximum cost", MAX($BP17:$CG17), 
"custom order", IF(CR$1=INDEX(array, row,1),INDEX(array, row,5),"x"))
,1,))</f>
        <v/>
      </c>
      <c r="CS17" s="390" t="str">
        <f t="array" ref="CS17">LET(
array,SORT({$Y$2:$AB$19,TRANSPOSE($BP17:$CG17)},4,TRUE),
col,CHOOSECOLS(array,5),
row,MATCH(FALSE, ISBLANK(col), 0),
IF(BZ17=SWITCH($AA$22,
"minimum cost", MIN($BP17:$CG17),
"maximum cost", MAX($BP17:$CG17), 
"custom order", IF(CS$1=INDEX(array, row,1),INDEX(array, row,5),"x"))
,1,))</f>
        <v/>
      </c>
      <c r="CT17" s="390" t="str">
        <f t="array" ref="CT17">LET(
array,SORT({$Y$2:$AB$19,TRANSPOSE($BP17:$CG17)},4,TRUE),
col,CHOOSECOLS(array,5),
row,MATCH(FALSE, ISBLANK(col), 0),
IF(CA17=SWITCH($AA$22,
"minimum cost", MIN($BP17:$CG17),
"maximum cost", MAX($BP17:$CG17), 
"custom order", IF(CT$1=INDEX(array, row,1),INDEX(array, row,5),"x"))
,1,))</f>
        <v/>
      </c>
      <c r="CU17" s="469" t="str">
        <f t="array" ref="CU17">LET(
array,SORT({$Y$2:$AB$19,TRANSPOSE($BP17:$CG17)},4,TRUE),
col,CHOOSECOLS(array,5),
row,MATCH(FALSE, ISBLANK(col), 0),
IF(CB17=SWITCH($AA$22,
"minimum cost", MIN($BP17:$CG17),
"maximum cost", MAX($BP17:$CG17), 
"custom order", IF(CU$1=INDEX(array, row,1),INDEX(array, row,5),"x"))
,1,))</f>
        <v/>
      </c>
      <c r="CV17" s="469" t="str">
        <f t="array" ref="CV17">LET(
array,SORT({$Y$2:$AB$19,TRANSPOSE($BP17:$CG17)},4,TRUE),
col,CHOOSECOLS(array,5),
row,MATCH(FALSE, ISBLANK(col), 0),
IF(CC17=SWITCH($AA$22,
"minimum cost", MIN($BP17:$CG17),
"maximum cost", MAX($BP17:$CG17), 
"custom order", IF(CV$1=INDEX(array, row,1),INDEX(array, row,5),"x"))
,1,))</f>
        <v/>
      </c>
      <c r="CW17" s="469">
        <f t="array" ref="CW17">LET(
array,SORT({$Y$2:$AB$19,TRANSPOSE($BP17:$CG17)},4,TRUE),
col,CHOOSECOLS(array,5),
row,MATCH(FALSE, ISBLANK(col), 0),
IF(CD17=SWITCH($AA$22,
"minimum cost", MIN($BP17:$CG17),
"maximum cost", MAX($BP17:$CG17), 
"custom order", IF(CW$1=INDEX(array, row,1),INDEX(array, row,5),"x"))
,1,))</f>
        <v>1</v>
      </c>
      <c r="CX17" s="469" t="str">
        <f t="array" ref="CX17">LET(
array,SORT({$Y$2:$AB$19,TRANSPOSE($BP17:$CG17)},4,TRUE),
col,CHOOSECOLS(array,5),
row,MATCH(FALSE, ISBLANK(col), 0),
IF(CE17=SWITCH($AA$22,
"minimum cost", MIN($BP17:$CG17),
"maximum cost", MAX($BP17:$CG17), 
"custom order", IF(CX$1=INDEX(array, row,1),INDEX(array, row,5),"x"))
,1,))</f>
        <v/>
      </c>
      <c r="CY17" s="469" t="str">
        <f t="array" ref="CY17">LET(
array,SORT({$Y$2:$AB$19,TRANSPOSE($BP17:$CG17)},4,TRUE),
col,CHOOSECOLS(array,5),
row,MATCH(FALSE, ISBLANK(col), 0),
IF(CF17=SWITCH($AA$22,
"minimum cost", MIN($BP17:$CG17),
"maximum cost", MAX($BP17:$CG17), 
"custom order", IF(CY$1=INDEX(array, row,1),INDEX(array, row,5),"x"))
,1,))</f>
        <v/>
      </c>
      <c r="CZ17" s="581" t="str">
        <f t="array" ref="CZ17">LET(
array,SORT({$Y$2:$AB$19,TRANSPOSE($BP17:$CG17)},4,TRUE),
col,CHOOSECOLS(array,5),
row,MATCH(FALSE, ISBLANK(col), 0),
IF(CG17=SWITCH($AA$22,
"minimum cost", MIN($BP17:$CG17),
"maximum cost", MAX($BP17:$CG17), 
"custom order", IF(CZ$1=INDEX(array, row,1),INDEX(array, row,5),"x"))
,1,))</f>
        <v/>
      </c>
      <c r="DA17" s="461"/>
      <c r="DB17" s="580" t="str">
        <f t="array" ref="DB17:DS17">IF(MATCH(1, CI17:CZ17, 0)=COLUMN(CI17:CZ17)-COLUMN(CI17)+1, CI17:CZ17, "")</f>
        <v/>
      </c>
      <c r="DC17" s="252" t="s">
        <v>133</v>
      </c>
      <c r="DD17" s="252" t="s">
        <v>133</v>
      </c>
      <c r="DE17" s="252" t="s">
        <v>133</v>
      </c>
      <c r="DF17" s="252" t="s">
        <v>133</v>
      </c>
      <c r="DG17" s="252" t="s">
        <v>133</v>
      </c>
      <c r="DH17" s="390" t="s">
        <v>133</v>
      </c>
      <c r="DI17" s="390" t="s">
        <v>133</v>
      </c>
      <c r="DJ17" s="390" t="s">
        <v>133</v>
      </c>
      <c r="DK17" s="390" t="s">
        <v>133</v>
      </c>
      <c r="DL17" s="390" t="s">
        <v>133</v>
      </c>
      <c r="DM17" s="390" t="s">
        <v>133</v>
      </c>
      <c r="DN17" s="469" t="s">
        <v>133</v>
      </c>
      <c r="DO17" s="469" t="s">
        <v>133</v>
      </c>
      <c r="DP17" s="469">
        <v>1.0</v>
      </c>
      <c r="DQ17" s="469" t="s">
        <v>133</v>
      </c>
      <c r="DR17" s="469" t="s">
        <v>133</v>
      </c>
      <c r="DS17" s="581" t="s">
        <v>133</v>
      </c>
      <c r="DT17" s="563"/>
    </row>
    <row r="18">
      <c r="A18" s="563"/>
      <c r="B18" s="661" t="s">
        <v>213</v>
      </c>
      <c r="C18" s="662"/>
      <c r="D18" s="655"/>
      <c r="E18" s="654"/>
      <c r="F18" s="655"/>
      <c r="G18" s="663"/>
      <c r="H18" s="664"/>
      <c r="I18" s="663"/>
      <c r="J18" s="664"/>
      <c r="K18" s="663"/>
      <c r="L18" s="664"/>
      <c r="M18" s="461"/>
      <c r="N18" s="10"/>
      <c r="O18" s="10"/>
      <c r="P18" s="10"/>
      <c r="Q18" s="570" t="str">
        <f>IFERROR(__xludf.DUMMYFUNCTION("IF(SUM(DB18:DS18),ARRAYFORMULA(FILTER(DB$1:DS$1, DB18:DS18=1)),)"),"Cells / Kill Bonus")</f>
        <v>Cells / Kill Bonus</v>
      </c>
      <c r="R18" s="571">
        <f>IFERROR(__xludf.DUMMYFUNCTION("IF(SUM(DB18:DS18),ARRAYFORMULA(FILTER(AW18:BN18, DB18:DS18=1))+1,)"),32.0)</f>
        <v>32</v>
      </c>
      <c r="S18" s="572">
        <f>IFERROR(__xludf.DUMMYFUNCTION("IF(SUM(DB18:DS18),ARRAYFORMULA(FILTER(AD18:AU18, DB18:DS18=1)),)"),2.8806E14)</f>
        <v>288060000000000</v>
      </c>
      <c r="T18" s="572">
        <f t="shared" si="26"/>
        <v>4.67992E+15</v>
      </c>
      <c r="U18" s="573" t="str">
        <f t="shared" ref="U18:V18" si="69">FORMAT_NUMBER(S18)</f>
        <v>288.06 T</v>
      </c>
      <c r="V18" s="574" t="str">
        <f t="shared" si="69"/>
        <v>4.68 q</v>
      </c>
      <c r="W18" s="461"/>
      <c r="Y18" s="649" t="s">
        <v>213</v>
      </c>
      <c r="Z18" s="650">
        <f>SWITCH($O$3,
'Master Sheet'!R$1,'Master Sheet'!R19,
'Master Sheet'!S$1,'Master Sheet'!S19,
'Master Sheet'!T$1,'Master Sheet'!T19,
'Master Sheet'!U$1,'Master Sheet'!U19,
'Master Sheet'!V$1,'Master Sheet'!V19)</f>
        <v>42</v>
      </c>
      <c r="AA18" s="650">
        <f t="shared" si="4"/>
        <v>0</v>
      </c>
      <c r="AB18" s="650" t="str">
        <f t="shared" si="5"/>
        <v/>
      </c>
      <c r="AC18" s="461"/>
      <c r="AD18" s="580">
        <f t="shared" ref="AD18:AU18" si="70">IFERROR(WSPCOST_SINGLE_ADJUSTED(AD$1,1+AW18),)</f>
        <v>37110000000000</v>
      </c>
      <c r="AE18" s="252">
        <f t="shared" si="70"/>
        <v>82420000000</v>
      </c>
      <c r="AF18" s="252">
        <f t="shared" si="70"/>
        <v>69650000000000</v>
      </c>
      <c r="AG18" s="252">
        <f t="shared" si="70"/>
        <v>21210000000</v>
      </c>
      <c r="AH18" s="252">
        <f t="shared" si="70"/>
        <v>43890000000000</v>
      </c>
      <c r="AI18" s="252">
        <f t="shared" si="70"/>
        <v>47710000000000</v>
      </c>
      <c r="AJ18" s="390">
        <f t="shared" si="70"/>
        <v>92140000000000</v>
      </c>
      <c r="AK18" s="390">
        <f t="shared" si="70"/>
        <v>69650000000000</v>
      </c>
      <c r="AL18" s="390">
        <f t="shared" si="70"/>
        <v>5000000000</v>
      </c>
      <c r="AM18" s="390">
        <f t="shared" si="70"/>
        <v>33950000000</v>
      </c>
      <c r="AN18" s="390">
        <f t="shared" si="70"/>
        <v>60080000000000</v>
      </c>
      <c r="AO18" s="390">
        <f t="shared" si="70"/>
        <v>22020000000000</v>
      </c>
      <c r="AP18" s="469">
        <f t="shared" si="70"/>
        <v>5240000000000</v>
      </c>
      <c r="AQ18" s="469">
        <f t="shared" si="70"/>
        <v>1.3E+15</v>
      </c>
      <c r="AR18" s="469">
        <f t="shared" si="70"/>
        <v>288060000000000</v>
      </c>
      <c r="AS18" s="469">
        <f t="shared" si="70"/>
        <v>420490000000000</v>
      </c>
      <c r="AT18" s="469">
        <f t="shared" si="70"/>
        <v>3990000000000</v>
      </c>
      <c r="AU18" s="581">
        <f t="shared" si="70"/>
        <v>1.14E+15</v>
      </c>
      <c r="AV18" s="461"/>
      <c r="AW18" s="580">
        <f t="shared" ref="AW18:BN18" si="71">AW17+DB17</f>
        <v>56</v>
      </c>
      <c r="AX18" s="252">
        <f t="shared" si="71"/>
        <v>21</v>
      </c>
      <c r="AY18" s="252">
        <f t="shared" si="71"/>
        <v>60</v>
      </c>
      <c r="AZ18" s="252">
        <f t="shared" si="71"/>
        <v>17</v>
      </c>
      <c r="BA18" s="252">
        <f t="shared" si="71"/>
        <v>57</v>
      </c>
      <c r="BB18" s="252">
        <f t="shared" si="71"/>
        <v>13</v>
      </c>
      <c r="BC18" s="390">
        <f t="shared" si="71"/>
        <v>62</v>
      </c>
      <c r="BD18" s="390">
        <f t="shared" si="71"/>
        <v>60</v>
      </c>
      <c r="BE18" s="390">
        <f t="shared" si="71"/>
        <v>0</v>
      </c>
      <c r="BF18" s="390">
        <f t="shared" si="71"/>
        <v>18</v>
      </c>
      <c r="BG18" s="390">
        <f t="shared" si="71"/>
        <v>59</v>
      </c>
      <c r="BH18" s="390">
        <f t="shared" si="71"/>
        <v>20</v>
      </c>
      <c r="BI18" s="469">
        <f t="shared" si="71"/>
        <v>44</v>
      </c>
      <c r="BJ18" s="469">
        <f t="shared" si="71"/>
        <v>37</v>
      </c>
      <c r="BK18" s="469">
        <f t="shared" si="71"/>
        <v>31</v>
      </c>
      <c r="BL18" s="469">
        <f t="shared" si="71"/>
        <v>18</v>
      </c>
      <c r="BM18" s="469">
        <f t="shared" si="71"/>
        <v>42</v>
      </c>
      <c r="BN18" s="581">
        <f t="shared" si="71"/>
        <v>15</v>
      </c>
      <c r="BO18" s="461"/>
      <c r="BP18" s="580">
        <f t="shared" si="8"/>
        <v>37110000000000</v>
      </c>
      <c r="BQ18" s="252" t="str">
        <f t="shared" si="9"/>
        <v/>
      </c>
      <c r="BR18" s="252">
        <f t="shared" si="10"/>
        <v>69650000000000</v>
      </c>
      <c r="BS18" s="252" t="str">
        <f t="shared" si="11"/>
        <v/>
      </c>
      <c r="BT18" s="252" t="str">
        <f t="shared" si="12"/>
        <v/>
      </c>
      <c r="BU18" s="252">
        <f t="shared" si="13"/>
        <v>47710000000000</v>
      </c>
      <c r="BV18" s="390">
        <f t="shared" si="14"/>
        <v>92140000000000</v>
      </c>
      <c r="BW18" s="390">
        <f t="shared" si="15"/>
        <v>69650000000000</v>
      </c>
      <c r="BX18" s="390" t="str">
        <f t="shared" si="16"/>
        <v/>
      </c>
      <c r="BY18" s="390" t="str">
        <f t="shared" si="17"/>
        <v/>
      </c>
      <c r="BZ18" s="390">
        <f t="shared" si="18"/>
        <v>60080000000000</v>
      </c>
      <c r="CA18" s="390">
        <f t="shared" si="19"/>
        <v>22020000000000</v>
      </c>
      <c r="CB18" s="469">
        <f t="shared" si="20"/>
        <v>5240000000000</v>
      </c>
      <c r="CC18" s="469" t="str">
        <f t="shared" si="21"/>
        <v/>
      </c>
      <c r="CD18" s="469">
        <f t="shared" si="22"/>
        <v>288060000000000</v>
      </c>
      <c r="CE18" s="469" t="str">
        <f t="shared" si="23"/>
        <v/>
      </c>
      <c r="CF18" s="469" t="str">
        <f t="shared" si="24"/>
        <v/>
      </c>
      <c r="CG18" s="581" t="str">
        <f t="shared" si="25"/>
        <v/>
      </c>
      <c r="CH18" s="461"/>
      <c r="CI18" s="580" t="str">
        <f t="array" ref="CI18">LET(
array,SORT({$Y$2:$AB$19,TRANSPOSE($BP18:$CG18)},4,TRUE),
col,CHOOSECOLS(array,5),
row,MATCH(FALSE, ISBLANK(col), 0),
IF(BP18=SWITCH($AA$22,
"minimum cost", MIN($BP18:$CG18),
"maximum cost", MAX($BP18:$CG18), 
"custom order", IF(CI$1=INDEX(array, row,1),INDEX(array, row,5),"x"))
,1,))</f>
        <v/>
      </c>
      <c r="CJ18" s="252" t="str">
        <f t="array" ref="CJ18">LET(
array,SORT({$Y$2:$AB$19,TRANSPOSE($BP18:$CG18)},4,TRUE),
col,CHOOSECOLS(array,5),
row,MATCH(FALSE, ISBLANK(col), 0),
IF(BQ18=SWITCH($AA$22,
"minimum cost", MIN($BP18:$CG18),
"maximum cost", MAX($BP18:$CG18), 
"custom order", IF(CJ$1=INDEX(array, row,1),INDEX(array, row,5),"x"))
,1,))</f>
        <v/>
      </c>
      <c r="CK18" s="252" t="str">
        <f t="array" ref="CK18">LET(
array,SORT({$Y$2:$AB$19,TRANSPOSE($BP18:$CG18)},4,TRUE),
col,CHOOSECOLS(array,5),
row,MATCH(FALSE, ISBLANK(col), 0),
IF(BR18=SWITCH($AA$22,
"minimum cost", MIN($BP18:$CG18),
"maximum cost", MAX($BP18:$CG18), 
"custom order", IF(CK$1=INDEX(array, row,1),INDEX(array, row,5),"x"))
,1,))</f>
        <v/>
      </c>
      <c r="CL18" s="252" t="str">
        <f t="array" ref="CL18">LET(
array,SORT({$Y$2:$AB$19,TRANSPOSE($BP18:$CG18)},4,TRUE),
col,CHOOSECOLS(array,5),
row,MATCH(FALSE, ISBLANK(col), 0),
IF(BS18=SWITCH($AA$22,
"minimum cost", MIN($BP18:$CG18),
"maximum cost", MAX($BP18:$CG18), 
"custom order", IF(CL$1=INDEX(array, row,1),INDEX(array, row,5),"x"))
,1,))</f>
        <v/>
      </c>
      <c r="CM18" s="252" t="str">
        <f t="array" ref="CM18">LET(
array,SORT({$Y$2:$AB$19,TRANSPOSE($BP18:$CG18)},4,TRUE),
col,CHOOSECOLS(array,5),
row,MATCH(FALSE, ISBLANK(col), 0),
IF(BT18=SWITCH($AA$22,
"minimum cost", MIN($BP18:$CG18),
"maximum cost", MAX($BP18:$CG18), 
"custom order", IF(CM$1=INDEX(array, row,1),INDEX(array, row,5),"x"))
,1,))</f>
        <v/>
      </c>
      <c r="CN18" s="252" t="str">
        <f t="array" ref="CN18">LET(
array,SORT({$Y$2:$AB$19,TRANSPOSE($BP18:$CG18)},4,TRUE),
col,CHOOSECOLS(array,5),
row,MATCH(FALSE, ISBLANK(col), 0),
IF(BU18=SWITCH($AA$22,
"minimum cost", MIN($BP18:$CG18),
"maximum cost", MAX($BP18:$CG18), 
"custom order", IF(CN$1=INDEX(array, row,1),INDEX(array, row,5),"x"))
,1,))</f>
        <v/>
      </c>
      <c r="CO18" s="390" t="str">
        <f t="array" ref="CO18">LET(
array,SORT({$Y$2:$AB$19,TRANSPOSE($BP18:$CG18)},4,TRUE),
col,CHOOSECOLS(array,5),
row,MATCH(FALSE, ISBLANK(col), 0),
IF(BV18=SWITCH($AA$22,
"minimum cost", MIN($BP18:$CG18),
"maximum cost", MAX($BP18:$CG18), 
"custom order", IF(CO$1=INDEX(array, row,1),INDEX(array, row,5),"x"))
,1,))</f>
        <v/>
      </c>
      <c r="CP18" s="390" t="str">
        <f t="array" ref="CP18">LET(
array,SORT({$Y$2:$AB$19,TRANSPOSE($BP18:$CG18)},4,TRUE),
col,CHOOSECOLS(array,5),
row,MATCH(FALSE, ISBLANK(col), 0),
IF(BW18=SWITCH($AA$22,
"minimum cost", MIN($BP18:$CG18),
"maximum cost", MAX($BP18:$CG18), 
"custom order", IF(CP$1=INDEX(array, row,1),INDEX(array, row,5),"x"))
,1,))</f>
        <v/>
      </c>
      <c r="CQ18" s="390" t="str">
        <f t="array" ref="CQ18">LET(
array,SORT({$Y$2:$AB$19,TRANSPOSE($BP18:$CG18)},4,TRUE),
col,CHOOSECOLS(array,5),
row,MATCH(FALSE, ISBLANK(col), 0),
IF(BX18=SWITCH($AA$22,
"minimum cost", MIN($BP18:$CG18),
"maximum cost", MAX($BP18:$CG18), 
"custom order", IF(CQ$1=INDEX(array, row,1),INDEX(array, row,5),"x"))
,1,))</f>
        <v/>
      </c>
      <c r="CR18" s="390" t="str">
        <f t="array" ref="CR18">LET(
array,SORT({$Y$2:$AB$19,TRANSPOSE($BP18:$CG18)},4,TRUE),
col,CHOOSECOLS(array,5),
row,MATCH(FALSE, ISBLANK(col), 0),
IF(BY18=SWITCH($AA$22,
"minimum cost", MIN($BP18:$CG18),
"maximum cost", MAX($BP18:$CG18), 
"custom order", IF(CR$1=INDEX(array, row,1),INDEX(array, row,5),"x"))
,1,))</f>
        <v/>
      </c>
      <c r="CS18" s="390" t="str">
        <f t="array" ref="CS18">LET(
array,SORT({$Y$2:$AB$19,TRANSPOSE($BP18:$CG18)},4,TRUE),
col,CHOOSECOLS(array,5),
row,MATCH(FALSE, ISBLANK(col), 0),
IF(BZ18=SWITCH($AA$22,
"minimum cost", MIN($BP18:$CG18),
"maximum cost", MAX($BP18:$CG18), 
"custom order", IF(CS$1=INDEX(array, row,1),INDEX(array, row,5),"x"))
,1,))</f>
        <v/>
      </c>
      <c r="CT18" s="390" t="str">
        <f t="array" ref="CT18">LET(
array,SORT({$Y$2:$AB$19,TRANSPOSE($BP18:$CG18)},4,TRUE),
col,CHOOSECOLS(array,5),
row,MATCH(FALSE, ISBLANK(col), 0),
IF(CA18=SWITCH($AA$22,
"minimum cost", MIN($BP18:$CG18),
"maximum cost", MAX($BP18:$CG18), 
"custom order", IF(CT$1=INDEX(array, row,1),INDEX(array, row,5),"x"))
,1,))</f>
        <v/>
      </c>
      <c r="CU18" s="469" t="str">
        <f t="array" ref="CU18">LET(
array,SORT({$Y$2:$AB$19,TRANSPOSE($BP18:$CG18)},4,TRUE),
col,CHOOSECOLS(array,5),
row,MATCH(FALSE, ISBLANK(col), 0),
IF(CB18=SWITCH($AA$22,
"minimum cost", MIN($BP18:$CG18),
"maximum cost", MAX($BP18:$CG18), 
"custom order", IF(CU$1=INDEX(array, row,1),INDEX(array, row,5),"x"))
,1,))</f>
        <v/>
      </c>
      <c r="CV18" s="469" t="str">
        <f t="array" ref="CV18">LET(
array,SORT({$Y$2:$AB$19,TRANSPOSE($BP18:$CG18)},4,TRUE),
col,CHOOSECOLS(array,5),
row,MATCH(FALSE, ISBLANK(col), 0),
IF(CC18=SWITCH($AA$22,
"minimum cost", MIN($BP18:$CG18),
"maximum cost", MAX($BP18:$CG18), 
"custom order", IF(CV$1=INDEX(array, row,1),INDEX(array, row,5),"x"))
,1,))</f>
        <v/>
      </c>
      <c r="CW18" s="469">
        <f t="array" ref="CW18">LET(
array,SORT({$Y$2:$AB$19,TRANSPOSE($BP18:$CG18)},4,TRUE),
col,CHOOSECOLS(array,5),
row,MATCH(FALSE, ISBLANK(col), 0),
IF(CD18=SWITCH($AA$22,
"minimum cost", MIN($BP18:$CG18),
"maximum cost", MAX($BP18:$CG18), 
"custom order", IF(CW$1=INDEX(array, row,1),INDEX(array, row,5),"x"))
,1,))</f>
        <v>1</v>
      </c>
      <c r="CX18" s="469" t="str">
        <f t="array" ref="CX18">LET(
array,SORT({$Y$2:$AB$19,TRANSPOSE($BP18:$CG18)},4,TRUE),
col,CHOOSECOLS(array,5),
row,MATCH(FALSE, ISBLANK(col), 0),
IF(CE18=SWITCH($AA$22,
"minimum cost", MIN($BP18:$CG18),
"maximum cost", MAX($BP18:$CG18), 
"custom order", IF(CX$1=INDEX(array, row,1),INDEX(array, row,5),"x"))
,1,))</f>
        <v/>
      </c>
      <c r="CY18" s="469" t="str">
        <f t="array" ref="CY18">LET(
array,SORT({$Y$2:$AB$19,TRANSPOSE($BP18:$CG18)},4,TRUE),
col,CHOOSECOLS(array,5),
row,MATCH(FALSE, ISBLANK(col), 0),
IF(CF18=SWITCH($AA$22,
"minimum cost", MIN($BP18:$CG18),
"maximum cost", MAX($BP18:$CG18), 
"custom order", IF(CY$1=INDEX(array, row,1),INDEX(array, row,5),"x"))
,1,))</f>
        <v/>
      </c>
      <c r="CZ18" s="581" t="str">
        <f t="array" ref="CZ18">LET(
array,SORT({$Y$2:$AB$19,TRANSPOSE($BP18:$CG18)},4,TRUE),
col,CHOOSECOLS(array,5),
row,MATCH(FALSE, ISBLANK(col), 0),
IF(CG18=SWITCH($AA$22,
"minimum cost", MIN($BP18:$CG18),
"maximum cost", MAX($BP18:$CG18), 
"custom order", IF(CZ$1=INDEX(array, row,1),INDEX(array, row,5),"x"))
,1,))</f>
        <v/>
      </c>
      <c r="DA18" s="461"/>
      <c r="DB18" s="580" t="str">
        <f t="array" ref="DB18:DS18">IF(MATCH(1, CI18:CZ18, 0)=COLUMN(CI18:CZ18)-COLUMN(CI18)+1, CI18:CZ18, "")</f>
        <v/>
      </c>
      <c r="DC18" s="252" t="s">
        <v>133</v>
      </c>
      <c r="DD18" s="252" t="s">
        <v>133</v>
      </c>
      <c r="DE18" s="252" t="s">
        <v>133</v>
      </c>
      <c r="DF18" s="252" t="s">
        <v>133</v>
      </c>
      <c r="DG18" s="252" t="s">
        <v>133</v>
      </c>
      <c r="DH18" s="390" t="s">
        <v>133</v>
      </c>
      <c r="DI18" s="390" t="s">
        <v>133</v>
      </c>
      <c r="DJ18" s="390" t="s">
        <v>133</v>
      </c>
      <c r="DK18" s="390" t="s">
        <v>133</v>
      </c>
      <c r="DL18" s="390" t="s">
        <v>133</v>
      </c>
      <c r="DM18" s="390" t="s">
        <v>133</v>
      </c>
      <c r="DN18" s="469" t="s">
        <v>133</v>
      </c>
      <c r="DO18" s="469" t="s">
        <v>133</v>
      </c>
      <c r="DP18" s="469">
        <v>1.0</v>
      </c>
      <c r="DQ18" s="469" t="s">
        <v>133</v>
      </c>
      <c r="DR18" s="469" t="s">
        <v>133</v>
      </c>
      <c r="DS18" s="581" t="s">
        <v>133</v>
      </c>
      <c r="DT18" s="563"/>
    </row>
    <row r="19">
      <c r="A19" s="563"/>
      <c r="B19" s="665" t="s">
        <v>214</v>
      </c>
      <c r="C19" s="666" t="s">
        <v>219</v>
      </c>
      <c r="D19" s="667">
        <v>1.0</v>
      </c>
      <c r="E19" s="668"/>
      <c r="F19" s="669"/>
      <c r="G19" s="670"/>
      <c r="H19" s="667"/>
      <c r="I19" s="670"/>
      <c r="J19" s="667"/>
      <c r="K19" s="670"/>
      <c r="L19" s="667"/>
      <c r="M19" s="461"/>
      <c r="N19" s="10"/>
      <c r="O19" s="10"/>
      <c r="P19" s="10"/>
      <c r="Q19" s="570" t="str">
        <f>IFERROR(__xludf.DUMMYFUNCTION("IF(SUM(DB19:DS19),ARRAYFORMULA(FILTER(DB$1:DS$1, DB19:DS19=1)),)"),"Cells / Kill Bonus")</f>
        <v>Cells / Kill Bonus</v>
      </c>
      <c r="R19" s="571">
        <f>IFERROR(__xludf.DUMMYFUNCTION("IF(SUM(DB19:DS19),ARRAYFORMULA(FILTER(AW19:BN19, DB19:DS19=1))+1,)"),33.0)</f>
        <v>33</v>
      </c>
      <c r="S19" s="572">
        <f>IFERROR(__xludf.DUMMYFUNCTION("IF(SUM(DB19:DS19),ARRAYFORMULA(FILTER(AD19:AU19, DB19:DS19=1)),)"),3.9025E14)</f>
        <v>390250000000000</v>
      </c>
      <c r="T19" s="572">
        <f t="shared" si="26"/>
        <v>5.07017E+15</v>
      </c>
      <c r="U19" s="573" t="str">
        <f t="shared" ref="U19:V19" si="72">FORMAT_NUMBER(S19)</f>
        <v>390.25 T</v>
      </c>
      <c r="V19" s="574" t="str">
        <f t="shared" si="72"/>
        <v>5.07 q</v>
      </c>
      <c r="W19" s="461"/>
      <c r="Y19" s="671" t="s">
        <v>214</v>
      </c>
      <c r="Z19" s="672">
        <f>SWITCH($O$3,
'Master Sheet'!R$1,'Master Sheet'!R20,
'Master Sheet'!S$1,'Master Sheet'!S20,
'Master Sheet'!T$1,'Master Sheet'!T20,
'Master Sheet'!U$1,'Master Sheet'!U20,
'Master Sheet'!V$1,'Master Sheet'!V20)</f>
        <v>15</v>
      </c>
      <c r="AA19" s="650" t="str">
        <f t="shared" si="4"/>
        <v/>
      </c>
      <c r="AB19" s="672">
        <f t="shared" si="5"/>
        <v>1</v>
      </c>
      <c r="AC19" s="461"/>
      <c r="AD19" s="580">
        <f t="shared" ref="AD19:AU19" si="73">IFERROR(WSPCOST_SINGLE_ADJUSTED(AD$1,1+AW19),)</f>
        <v>37110000000000</v>
      </c>
      <c r="AE19" s="252">
        <f t="shared" si="73"/>
        <v>82420000000</v>
      </c>
      <c r="AF19" s="252">
        <f t="shared" si="73"/>
        <v>69650000000000</v>
      </c>
      <c r="AG19" s="252">
        <f t="shared" si="73"/>
        <v>21210000000</v>
      </c>
      <c r="AH19" s="252">
        <f t="shared" si="73"/>
        <v>43890000000000</v>
      </c>
      <c r="AI19" s="252">
        <f t="shared" si="73"/>
        <v>47710000000000</v>
      </c>
      <c r="AJ19" s="390">
        <f t="shared" si="73"/>
        <v>92140000000000</v>
      </c>
      <c r="AK19" s="390">
        <f t="shared" si="73"/>
        <v>69650000000000</v>
      </c>
      <c r="AL19" s="390">
        <f t="shared" si="73"/>
        <v>5000000000</v>
      </c>
      <c r="AM19" s="390">
        <f t="shared" si="73"/>
        <v>33950000000</v>
      </c>
      <c r="AN19" s="390">
        <f t="shared" si="73"/>
        <v>60080000000000</v>
      </c>
      <c r="AO19" s="390">
        <f t="shared" si="73"/>
        <v>22020000000000</v>
      </c>
      <c r="AP19" s="469">
        <f t="shared" si="73"/>
        <v>5240000000000</v>
      </c>
      <c r="AQ19" s="469">
        <f t="shared" si="73"/>
        <v>1.3E+15</v>
      </c>
      <c r="AR19" s="469">
        <f t="shared" si="73"/>
        <v>390250000000000</v>
      </c>
      <c r="AS19" s="469">
        <f t="shared" si="73"/>
        <v>420490000000000</v>
      </c>
      <c r="AT19" s="469">
        <f t="shared" si="73"/>
        <v>3990000000000</v>
      </c>
      <c r="AU19" s="581">
        <f t="shared" si="73"/>
        <v>1.14E+15</v>
      </c>
      <c r="AV19" s="461"/>
      <c r="AW19" s="580">
        <f t="shared" ref="AW19:BN19" si="74">AW18+DB18</f>
        <v>56</v>
      </c>
      <c r="AX19" s="252">
        <f t="shared" si="74"/>
        <v>21</v>
      </c>
      <c r="AY19" s="252">
        <f t="shared" si="74"/>
        <v>60</v>
      </c>
      <c r="AZ19" s="252">
        <f t="shared" si="74"/>
        <v>17</v>
      </c>
      <c r="BA19" s="252">
        <f t="shared" si="74"/>
        <v>57</v>
      </c>
      <c r="BB19" s="252">
        <f t="shared" si="74"/>
        <v>13</v>
      </c>
      <c r="BC19" s="390">
        <f t="shared" si="74"/>
        <v>62</v>
      </c>
      <c r="BD19" s="390">
        <f t="shared" si="74"/>
        <v>60</v>
      </c>
      <c r="BE19" s="390">
        <f t="shared" si="74"/>
        <v>0</v>
      </c>
      <c r="BF19" s="390">
        <f t="shared" si="74"/>
        <v>18</v>
      </c>
      <c r="BG19" s="390">
        <f t="shared" si="74"/>
        <v>59</v>
      </c>
      <c r="BH19" s="390">
        <f t="shared" si="74"/>
        <v>20</v>
      </c>
      <c r="BI19" s="469">
        <f t="shared" si="74"/>
        <v>44</v>
      </c>
      <c r="BJ19" s="469">
        <f t="shared" si="74"/>
        <v>37</v>
      </c>
      <c r="BK19" s="469">
        <f t="shared" si="74"/>
        <v>32</v>
      </c>
      <c r="BL19" s="469">
        <f t="shared" si="74"/>
        <v>18</v>
      </c>
      <c r="BM19" s="469">
        <f t="shared" si="74"/>
        <v>42</v>
      </c>
      <c r="BN19" s="581">
        <f t="shared" si="74"/>
        <v>15</v>
      </c>
      <c r="BO19" s="461"/>
      <c r="BP19" s="580">
        <f t="shared" si="8"/>
        <v>37110000000000</v>
      </c>
      <c r="BQ19" s="252" t="str">
        <f t="shared" si="9"/>
        <v/>
      </c>
      <c r="BR19" s="252">
        <f t="shared" si="10"/>
        <v>69650000000000</v>
      </c>
      <c r="BS19" s="252" t="str">
        <f t="shared" si="11"/>
        <v/>
      </c>
      <c r="BT19" s="252" t="str">
        <f t="shared" si="12"/>
        <v/>
      </c>
      <c r="BU19" s="252">
        <f t="shared" si="13"/>
        <v>47710000000000</v>
      </c>
      <c r="BV19" s="390">
        <f t="shared" si="14"/>
        <v>92140000000000</v>
      </c>
      <c r="BW19" s="390">
        <f t="shared" si="15"/>
        <v>69650000000000</v>
      </c>
      <c r="BX19" s="390" t="str">
        <f t="shared" si="16"/>
        <v/>
      </c>
      <c r="BY19" s="390" t="str">
        <f t="shared" si="17"/>
        <v/>
      </c>
      <c r="BZ19" s="390">
        <f t="shared" si="18"/>
        <v>60080000000000</v>
      </c>
      <c r="CA19" s="390">
        <f t="shared" si="19"/>
        <v>22020000000000</v>
      </c>
      <c r="CB19" s="469">
        <f t="shared" si="20"/>
        <v>5240000000000</v>
      </c>
      <c r="CC19" s="469" t="str">
        <f t="shared" si="21"/>
        <v/>
      </c>
      <c r="CD19" s="469">
        <f t="shared" si="22"/>
        <v>390250000000000</v>
      </c>
      <c r="CE19" s="469" t="str">
        <f t="shared" si="23"/>
        <v/>
      </c>
      <c r="CF19" s="469" t="str">
        <f t="shared" si="24"/>
        <v/>
      </c>
      <c r="CG19" s="581" t="str">
        <f t="shared" si="25"/>
        <v/>
      </c>
      <c r="CH19" s="461"/>
      <c r="CI19" s="580" t="str">
        <f t="array" ref="CI19">LET(
array,SORT({$Y$2:$AB$19,TRANSPOSE($BP19:$CG19)},4,TRUE),
col,CHOOSECOLS(array,5),
row,MATCH(FALSE, ISBLANK(col), 0),
IF(BP19=SWITCH($AA$22,
"minimum cost", MIN($BP19:$CG19),
"maximum cost", MAX($BP19:$CG19), 
"custom order", IF(CI$1=INDEX(array, row,1),INDEX(array, row,5),"x"))
,1,))</f>
        <v/>
      </c>
      <c r="CJ19" s="252" t="str">
        <f t="array" ref="CJ19">LET(
array,SORT({$Y$2:$AB$19,TRANSPOSE($BP19:$CG19)},4,TRUE),
col,CHOOSECOLS(array,5),
row,MATCH(FALSE, ISBLANK(col), 0),
IF(BQ19=SWITCH($AA$22,
"minimum cost", MIN($BP19:$CG19),
"maximum cost", MAX($BP19:$CG19), 
"custom order", IF(CJ$1=INDEX(array, row,1),INDEX(array, row,5),"x"))
,1,))</f>
        <v/>
      </c>
      <c r="CK19" s="252" t="str">
        <f t="array" ref="CK19">LET(
array,SORT({$Y$2:$AB$19,TRANSPOSE($BP19:$CG19)},4,TRUE),
col,CHOOSECOLS(array,5),
row,MATCH(FALSE, ISBLANK(col), 0),
IF(BR19=SWITCH($AA$22,
"minimum cost", MIN($BP19:$CG19),
"maximum cost", MAX($BP19:$CG19), 
"custom order", IF(CK$1=INDEX(array, row,1),INDEX(array, row,5),"x"))
,1,))</f>
        <v/>
      </c>
      <c r="CL19" s="252" t="str">
        <f t="array" ref="CL19">LET(
array,SORT({$Y$2:$AB$19,TRANSPOSE($BP19:$CG19)},4,TRUE),
col,CHOOSECOLS(array,5),
row,MATCH(FALSE, ISBLANK(col), 0),
IF(BS19=SWITCH($AA$22,
"minimum cost", MIN($BP19:$CG19),
"maximum cost", MAX($BP19:$CG19), 
"custom order", IF(CL$1=INDEX(array, row,1),INDEX(array, row,5),"x"))
,1,))</f>
        <v/>
      </c>
      <c r="CM19" s="252" t="str">
        <f t="array" ref="CM19">LET(
array,SORT({$Y$2:$AB$19,TRANSPOSE($BP19:$CG19)},4,TRUE),
col,CHOOSECOLS(array,5),
row,MATCH(FALSE, ISBLANK(col), 0),
IF(BT19=SWITCH($AA$22,
"minimum cost", MIN($BP19:$CG19),
"maximum cost", MAX($BP19:$CG19), 
"custom order", IF(CM$1=INDEX(array, row,1),INDEX(array, row,5),"x"))
,1,))</f>
        <v/>
      </c>
      <c r="CN19" s="252" t="str">
        <f t="array" ref="CN19">LET(
array,SORT({$Y$2:$AB$19,TRANSPOSE($BP19:$CG19)},4,TRUE),
col,CHOOSECOLS(array,5),
row,MATCH(FALSE, ISBLANK(col), 0),
IF(BU19=SWITCH($AA$22,
"minimum cost", MIN($BP19:$CG19),
"maximum cost", MAX($BP19:$CG19), 
"custom order", IF(CN$1=INDEX(array, row,1),INDEX(array, row,5),"x"))
,1,))</f>
        <v/>
      </c>
      <c r="CO19" s="390" t="str">
        <f t="array" ref="CO19">LET(
array,SORT({$Y$2:$AB$19,TRANSPOSE($BP19:$CG19)},4,TRUE),
col,CHOOSECOLS(array,5),
row,MATCH(FALSE, ISBLANK(col), 0),
IF(BV19=SWITCH($AA$22,
"minimum cost", MIN($BP19:$CG19),
"maximum cost", MAX($BP19:$CG19), 
"custom order", IF(CO$1=INDEX(array, row,1),INDEX(array, row,5),"x"))
,1,))</f>
        <v/>
      </c>
      <c r="CP19" s="390" t="str">
        <f t="array" ref="CP19">LET(
array,SORT({$Y$2:$AB$19,TRANSPOSE($BP19:$CG19)},4,TRUE),
col,CHOOSECOLS(array,5),
row,MATCH(FALSE, ISBLANK(col), 0),
IF(BW19=SWITCH($AA$22,
"minimum cost", MIN($BP19:$CG19),
"maximum cost", MAX($BP19:$CG19), 
"custom order", IF(CP$1=INDEX(array, row,1),INDEX(array, row,5),"x"))
,1,))</f>
        <v/>
      </c>
      <c r="CQ19" s="390" t="str">
        <f t="array" ref="CQ19">LET(
array,SORT({$Y$2:$AB$19,TRANSPOSE($BP19:$CG19)},4,TRUE),
col,CHOOSECOLS(array,5),
row,MATCH(FALSE, ISBLANK(col), 0),
IF(BX19=SWITCH($AA$22,
"minimum cost", MIN($BP19:$CG19),
"maximum cost", MAX($BP19:$CG19), 
"custom order", IF(CQ$1=INDEX(array, row,1),INDEX(array, row,5),"x"))
,1,))</f>
        <v/>
      </c>
      <c r="CR19" s="390" t="str">
        <f t="array" ref="CR19">LET(
array,SORT({$Y$2:$AB$19,TRANSPOSE($BP19:$CG19)},4,TRUE),
col,CHOOSECOLS(array,5),
row,MATCH(FALSE, ISBLANK(col), 0),
IF(BY19=SWITCH($AA$22,
"minimum cost", MIN($BP19:$CG19),
"maximum cost", MAX($BP19:$CG19), 
"custom order", IF(CR$1=INDEX(array, row,1),INDEX(array, row,5),"x"))
,1,))</f>
        <v/>
      </c>
      <c r="CS19" s="390" t="str">
        <f t="array" ref="CS19">LET(
array,SORT({$Y$2:$AB$19,TRANSPOSE($BP19:$CG19)},4,TRUE),
col,CHOOSECOLS(array,5),
row,MATCH(FALSE, ISBLANK(col), 0),
IF(BZ19=SWITCH($AA$22,
"minimum cost", MIN($BP19:$CG19),
"maximum cost", MAX($BP19:$CG19), 
"custom order", IF(CS$1=INDEX(array, row,1),INDEX(array, row,5),"x"))
,1,))</f>
        <v/>
      </c>
      <c r="CT19" s="390" t="str">
        <f t="array" ref="CT19">LET(
array,SORT({$Y$2:$AB$19,TRANSPOSE($BP19:$CG19)},4,TRUE),
col,CHOOSECOLS(array,5),
row,MATCH(FALSE, ISBLANK(col), 0),
IF(CA19=SWITCH($AA$22,
"minimum cost", MIN($BP19:$CG19),
"maximum cost", MAX($BP19:$CG19), 
"custom order", IF(CT$1=INDEX(array, row,1),INDEX(array, row,5),"x"))
,1,))</f>
        <v/>
      </c>
      <c r="CU19" s="469" t="str">
        <f t="array" ref="CU19">LET(
array,SORT({$Y$2:$AB$19,TRANSPOSE($BP19:$CG19)},4,TRUE),
col,CHOOSECOLS(array,5),
row,MATCH(FALSE, ISBLANK(col), 0),
IF(CB19=SWITCH($AA$22,
"minimum cost", MIN($BP19:$CG19),
"maximum cost", MAX($BP19:$CG19), 
"custom order", IF(CU$1=INDEX(array, row,1),INDEX(array, row,5),"x"))
,1,))</f>
        <v/>
      </c>
      <c r="CV19" s="469" t="str">
        <f t="array" ref="CV19">LET(
array,SORT({$Y$2:$AB$19,TRANSPOSE($BP19:$CG19)},4,TRUE),
col,CHOOSECOLS(array,5),
row,MATCH(FALSE, ISBLANK(col), 0),
IF(CC19=SWITCH($AA$22,
"minimum cost", MIN($BP19:$CG19),
"maximum cost", MAX($BP19:$CG19), 
"custom order", IF(CV$1=INDEX(array, row,1),INDEX(array, row,5),"x"))
,1,))</f>
        <v/>
      </c>
      <c r="CW19" s="469">
        <f t="array" ref="CW19">LET(
array,SORT({$Y$2:$AB$19,TRANSPOSE($BP19:$CG19)},4,TRUE),
col,CHOOSECOLS(array,5),
row,MATCH(FALSE, ISBLANK(col), 0),
IF(CD19=SWITCH($AA$22,
"minimum cost", MIN($BP19:$CG19),
"maximum cost", MAX($BP19:$CG19), 
"custom order", IF(CW$1=INDEX(array, row,1),INDEX(array, row,5),"x"))
,1,))</f>
        <v>1</v>
      </c>
      <c r="CX19" s="469" t="str">
        <f t="array" ref="CX19">LET(
array,SORT({$Y$2:$AB$19,TRANSPOSE($BP19:$CG19)},4,TRUE),
col,CHOOSECOLS(array,5),
row,MATCH(FALSE, ISBLANK(col), 0),
IF(CE19=SWITCH($AA$22,
"minimum cost", MIN($BP19:$CG19),
"maximum cost", MAX($BP19:$CG19), 
"custom order", IF(CX$1=INDEX(array, row,1),INDEX(array, row,5),"x"))
,1,))</f>
        <v/>
      </c>
      <c r="CY19" s="469" t="str">
        <f t="array" ref="CY19">LET(
array,SORT({$Y$2:$AB$19,TRANSPOSE($BP19:$CG19)},4,TRUE),
col,CHOOSECOLS(array,5),
row,MATCH(FALSE, ISBLANK(col), 0),
IF(CF19=SWITCH($AA$22,
"minimum cost", MIN($BP19:$CG19),
"maximum cost", MAX($BP19:$CG19), 
"custom order", IF(CY$1=INDEX(array, row,1),INDEX(array, row,5),"x"))
,1,))</f>
        <v/>
      </c>
      <c r="CZ19" s="581" t="str">
        <f t="array" ref="CZ19">LET(
array,SORT({$Y$2:$AB$19,TRANSPOSE($BP19:$CG19)},4,TRUE),
col,CHOOSECOLS(array,5),
row,MATCH(FALSE, ISBLANK(col), 0),
IF(CG19=SWITCH($AA$22,
"minimum cost", MIN($BP19:$CG19),
"maximum cost", MAX($BP19:$CG19), 
"custom order", IF(CZ$1=INDEX(array, row,1),INDEX(array, row,5),"x"))
,1,))</f>
        <v/>
      </c>
      <c r="DA19" s="461"/>
      <c r="DB19" s="580" t="str">
        <f t="array" ref="DB19:DS19">IF(MATCH(1, CI19:CZ19, 0)=COLUMN(CI19:CZ19)-COLUMN(CI19)+1, CI19:CZ19, "")</f>
        <v/>
      </c>
      <c r="DC19" s="252" t="s">
        <v>133</v>
      </c>
      <c r="DD19" s="252" t="s">
        <v>133</v>
      </c>
      <c r="DE19" s="252" t="s">
        <v>133</v>
      </c>
      <c r="DF19" s="252" t="s">
        <v>133</v>
      </c>
      <c r="DG19" s="252" t="s">
        <v>133</v>
      </c>
      <c r="DH19" s="390" t="s">
        <v>133</v>
      </c>
      <c r="DI19" s="390" t="s">
        <v>133</v>
      </c>
      <c r="DJ19" s="390" t="s">
        <v>133</v>
      </c>
      <c r="DK19" s="390" t="s">
        <v>133</v>
      </c>
      <c r="DL19" s="390" t="s">
        <v>133</v>
      </c>
      <c r="DM19" s="390" t="s">
        <v>133</v>
      </c>
      <c r="DN19" s="469" t="s">
        <v>133</v>
      </c>
      <c r="DO19" s="469" t="s">
        <v>133</v>
      </c>
      <c r="DP19" s="469">
        <v>1.0</v>
      </c>
      <c r="DQ19" s="469" t="s">
        <v>133</v>
      </c>
      <c r="DR19" s="469" t="s">
        <v>133</v>
      </c>
      <c r="DS19" s="581" t="s">
        <v>133</v>
      </c>
      <c r="DT19" s="563"/>
    </row>
    <row r="20">
      <c r="A20" s="673"/>
      <c r="B20" s="674"/>
      <c r="C20" s="675"/>
      <c r="D20" s="10"/>
      <c r="E20" s="10"/>
      <c r="F20" s="10"/>
      <c r="G20" s="10"/>
      <c r="H20" s="10"/>
      <c r="I20" s="10"/>
      <c r="J20" s="10"/>
      <c r="K20" s="10"/>
      <c r="L20" s="10"/>
      <c r="M20" s="676"/>
      <c r="N20" s="10"/>
      <c r="O20" s="10"/>
      <c r="P20" s="10"/>
      <c r="Q20" s="570" t="str">
        <f>IFERROR(__xludf.DUMMYFUNCTION("IF(SUM(DB20:DS20),ARRAYFORMULA(FILTER(DB$1:DS$1, DB20:DS20=1)),)"),"Cells / Kill Bonus")</f>
        <v>Cells / Kill Bonus</v>
      </c>
      <c r="R20" s="571">
        <f>IFERROR(__xludf.DUMMYFUNCTION("IF(SUM(DB20:DS20),ARRAYFORMULA(FILTER(AW20:BN20, DB20:DS20=1))+1,)"),34.0)</f>
        <v>34</v>
      </c>
      <c r="S20" s="572">
        <f>IFERROR(__xludf.DUMMYFUNCTION("IF(SUM(DB20:DS20),ARRAYFORMULA(FILTER(AD20:AU20, DB20:DS20=1)),)"),5.147E14)</f>
        <v>514700000000000</v>
      </c>
      <c r="T20" s="572">
        <f t="shared" si="26"/>
        <v>5.58487E+15</v>
      </c>
      <c r="U20" s="573" t="str">
        <f t="shared" ref="U20:V20" si="75">FORMAT_NUMBER(S20)</f>
        <v>514.7 T</v>
      </c>
      <c r="V20" s="574" t="str">
        <f t="shared" si="75"/>
        <v>5.58 q</v>
      </c>
      <c r="W20" s="677"/>
      <c r="Y20" s="10"/>
      <c r="Z20" s="678"/>
      <c r="AA20" s="678"/>
      <c r="AB20" s="679"/>
      <c r="AC20" s="461"/>
      <c r="AD20" s="580">
        <f t="shared" ref="AD20:AU20" si="76">IFERROR(WSPCOST_SINGLE_ADJUSTED(AD$1,1+AW20),)</f>
        <v>37110000000000</v>
      </c>
      <c r="AE20" s="252">
        <f t="shared" si="76"/>
        <v>82420000000</v>
      </c>
      <c r="AF20" s="252">
        <f t="shared" si="76"/>
        <v>69650000000000</v>
      </c>
      <c r="AG20" s="252">
        <f t="shared" si="76"/>
        <v>21210000000</v>
      </c>
      <c r="AH20" s="252">
        <f t="shared" si="76"/>
        <v>43890000000000</v>
      </c>
      <c r="AI20" s="252">
        <f t="shared" si="76"/>
        <v>47710000000000</v>
      </c>
      <c r="AJ20" s="390">
        <f t="shared" si="76"/>
        <v>92140000000000</v>
      </c>
      <c r="AK20" s="390">
        <f t="shared" si="76"/>
        <v>69650000000000</v>
      </c>
      <c r="AL20" s="390">
        <f t="shared" si="76"/>
        <v>5000000000</v>
      </c>
      <c r="AM20" s="390">
        <f t="shared" si="76"/>
        <v>33950000000</v>
      </c>
      <c r="AN20" s="390">
        <f t="shared" si="76"/>
        <v>60080000000000</v>
      </c>
      <c r="AO20" s="390">
        <f t="shared" si="76"/>
        <v>22020000000000</v>
      </c>
      <c r="AP20" s="469">
        <f t="shared" si="76"/>
        <v>5240000000000</v>
      </c>
      <c r="AQ20" s="469">
        <f t="shared" si="76"/>
        <v>1.3E+15</v>
      </c>
      <c r="AR20" s="469">
        <f t="shared" si="76"/>
        <v>514700000000000</v>
      </c>
      <c r="AS20" s="469">
        <f t="shared" si="76"/>
        <v>420490000000000</v>
      </c>
      <c r="AT20" s="469">
        <f t="shared" si="76"/>
        <v>3990000000000</v>
      </c>
      <c r="AU20" s="581">
        <f t="shared" si="76"/>
        <v>1.14E+15</v>
      </c>
      <c r="AV20" s="461"/>
      <c r="AW20" s="580">
        <f t="shared" ref="AW20:BN20" si="77">AW19+DB19</f>
        <v>56</v>
      </c>
      <c r="AX20" s="252">
        <f t="shared" si="77"/>
        <v>21</v>
      </c>
      <c r="AY20" s="252">
        <f t="shared" si="77"/>
        <v>60</v>
      </c>
      <c r="AZ20" s="252">
        <f t="shared" si="77"/>
        <v>17</v>
      </c>
      <c r="BA20" s="252">
        <f t="shared" si="77"/>
        <v>57</v>
      </c>
      <c r="BB20" s="252">
        <f t="shared" si="77"/>
        <v>13</v>
      </c>
      <c r="BC20" s="390">
        <f t="shared" si="77"/>
        <v>62</v>
      </c>
      <c r="BD20" s="390">
        <f t="shared" si="77"/>
        <v>60</v>
      </c>
      <c r="BE20" s="390">
        <f t="shared" si="77"/>
        <v>0</v>
      </c>
      <c r="BF20" s="390">
        <f t="shared" si="77"/>
        <v>18</v>
      </c>
      <c r="BG20" s="390">
        <f t="shared" si="77"/>
        <v>59</v>
      </c>
      <c r="BH20" s="390">
        <f t="shared" si="77"/>
        <v>20</v>
      </c>
      <c r="BI20" s="469">
        <f t="shared" si="77"/>
        <v>44</v>
      </c>
      <c r="BJ20" s="469">
        <f t="shared" si="77"/>
        <v>37</v>
      </c>
      <c r="BK20" s="469">
        <f t="shared" si="77"/>
        <v>33</v>
      </c>
      <c r="BL20" s="469">
        <f t="shared" si="77"/>
        <v>18</v>
      </c>
      <c r="BM20" s="469">
        <f t="shared" si="77"/>
        <v>42</v>
      </c>
      <c r="BN20" s="581">
        <f t="shared" si="77"/>
        <v>15</v>
      </c>
      <c r="BO20" s="461"/>
      <c r="BP20" s="580">
        <f t="shared" si="8"/>
        <v>37110000000000</v>
      </c>
      <c r="BQ20" s="252" t="str">
        <f t="shared" si="9"/>
        <v/>
      </c>
      <c r="BR20" s="252">
        <f t="shared" si="10"/>
        <v>69650000000000</v>
      </c>
      <c r="BS20" s="252" t="str">
        <f t="shared" si="11"/>
        <v/>
      </c>
      <c r="BT20" s="252" t="str">
        <f t="shared" si="12"/>
        <v/>
      </c>
      <c r="BU20" s="252">
        <f t="shared" si="13"/>
        <v>47710000000000</v>
      </c>
      <c r="BV20" s="390">
        <f t="shared" si="14"/>
        <v>92140000000000</v>
      </c>
      <c r="BW20" s="390">
        <f t="shared" si="15"/>
        <v>69650000000000</v>
      </c>
      <c r="BX20" s="390" t="str">
        <f t="shared" si="16"/>
        <v/>
      </c>
      <c r="BY20" s="390" t="str">
        <f t="shared" si="17"/>
        <v/>
      </c>
      <c r="BZ20" s="390">
        <f t="shared" si="18"/>
        <v>60080000000000</v>
      </c>
      <c r="CA20" s="390">
        <f t="shared" si="19"/>
        <v>22020000000000</v>
      </c>
      <c r="CB20" s="469">
        <f t="shared" si="20"/>
        <v>5240000000000</v>
      </c>
      <c r="CC20" s="469" t="str">
        <f t="shared" si="21"/>
        <v/>
      </c>
      <c r="CD20" s="469">
        <f t="shared" si="22"/>
        <v>514700000000000</v>
      </c>
      <c r="CE20" s="469" t="str">
        <f t="shared" si="23"/>
        <v/>
      </c>
      <c r="CF20" s="469" t="str">
        <f t="shared" si="24"/>
        <v/>
      </c>
      <c r="CG20" s="581" t="str">
        <f t="shared" si="25"/>
        <v/>
      </c>
      <c r="CH20" s="461"/>
      <c r="CI20" s="580" t="str">
        <f t="array" ref="CI20">LET(
array,SORT({$Y$2:$AB$19,TRANSPOSE($BP20:$CG20)},4,TRUE),
col,CHOOSECOLS(array,5),
row,MATCH(FALSE, ISBLANK(col), 0),
IF(BP20=SWITCH($AA$22,
"minimum cost", MIN($BP20:$CG20),
"maximum cost", MAX($BP20:$CG20), 
"custom order", IF(CI$1=INDEX(array, row,1),INDEX(array, row,5),"x"))
,1,))</f>
        <v/>
      </c>
      <c r="CJ20" s="252" t="str">
        <f t="array" ref="CJ20">LET(
array,SORT({$Y$2:$AB$19,TRANSPOSE($BP20:$CG20)},4,TRUE),
col,CHOOSECOLS(array,5),
row,MATCH(FALSE, ISBLANK(col), 0),
IF(BQ20=SWITCH($AA$22,
"minimum cost", MIN($BP20:$CG20),
"maximum cost", MAX($BP20:$CG20), 
"custom order", IF(CJ$1=INDEX(array, row,1),INDEX(array, row,5),"x"))
,1,))</f>
        <v/>
      </c>
      <c r="CK20" s="252" t="str">
        <f t="array" ref="CK20">LET(
array,SORT({$Y$2:$AB$19,TRANSPOSE($BP20:$CG20)},4,TRUE),
col,CHOOSECOLS(array,5),
row,MATCH(FALSE, ISBLANK(col), 0),
IF(BR20=SWITCH($AA$22,
"minimum cost", MIN($BP20:$CG20),
"maximum cost", MAX($BP20:$CG20), 
"custom order", IF(CK$1=INDEX(array, row,1),INDEX(array, row,5),"x"))
,1,))</f>
        <v/>
      </c>
      <c r="CL20" s="252" t="str">
        <f t="array" ref="CL20">LET(
array,SORT({$Y$2:$AB$19,TRANSPOSE($BP20:$CG20)},4,TRUE),
col,CHOOSECOLS(array,5),
row,MATCH(FALSE, ISBLANK(col), 0),
IF(BS20=SWITCH($AA$22,
"minimum cost", MIN($BP20:$CG20),
"maximum cost", MAX($BP20:$CG20), 
"custom order", IF(CL$1=INDEX(array, row,1),INDEX(array, row,5),"x"))
,1,))</f>
        <v/>
      </c>
      <c r="CM20" s="252" t="str">
        <f t="array" ref="CM20">LET(
array,SORT({$Y$2:$AB$19,TRANSPOSE($BP20:$CG20)},4,TRUE),
col,CHOOSECOLS(array,5),
row,MATCH(FALSE, ISBLANK(col), 0),
IF(BT20=SWITCH($AA$22,
"minimum cost", MIN($BP20:$CG20),
"maximum cost", MAX($BP20:$CG20), 
"custom order", IF(CM$1=INDEX(array, row,1),INDEX(array, row,5),"x"))
,1,))</f>
        <v/>
      </c>
      <c r="CN20" s="252" t="str">
        <f t="array" ref="CN20">LET(
array,SORT({$Y$2:$AB$19,TRANSPOSE($BP20:$CG20)},4,TRUE),
col,CHOOSECOLS(array,5),
row,MATCH(FALSE, ISBLANK(col), 0),
IF(BU20=SWITCH($AA$22,
"minimum cost", MIN($BP20:$CG20),
"maximum cost", MAX($BP20:$CG20), 
"custom order", IF(CN$1=INDEX(array, row,1),INDEX(array, row,5),"x"))
,1,))</f>
        <v/>
      </c>
      <c r="CO20" s="390" t="str">
        <f t="array" ref="CO20">LET(
array,SORT({$Y$2:$AB$19,TRANSPOSE($BP20:$CG20)},4,TRUE),
col,CHOOSECOLS(array,5),
row,MATCH(FALSE, ISBLANK(col), 0),
IF(BV20=SWITCH($AA$22,
"minimum cost", MIN($BP20:$CG20),
"maximum cost", MAX($BP20:$CG20), 
"custom order", IF(CO$1=INDEX(array, row,1),INDEX(array, row,5),"x"))
,1,))</f>
        <v/>
      </c>
      <c r="CP20" s="390" t="str">
        <f t="array" ref="CP20">LET(
array,SORT({$Y$2:$AB$19,TRANSPOSE($BP20:$CG20)},4,TRUE),
col,CHOOSECOLS(array,5),
row,MATCH(FALSE, ISBLANK(col), 0),
IF(BW20=SWITCH($AA$22,
"minimum cost", MIN($BP20:$CG20),
"maximum cost", MAX($BP20:$CG20), 
"custom order", IF(CP$1=INDEX(array, row,1),INDEX(array, row,5),"x"))
,1,))</f>
        <v/>
      </c>
      <c r="CQ20" s="390" t="str">
        <f t="array" ref="CQ20">LET(
array,SORT({$Y$2:$AB$19,TRANSPOSE($BP20:$CG20)},4,TRUE),
col,CHOOSECOLS(array,5),
row,MATCH(FALSE, ISBLANK(col), 0),
IF(BX20=SWITCH($AA$22,
"minimum cost", MIN($BP20:$CG20),
"maximum cost", MAX($BP20:$CG20), 
"custom order", IF(CQ$1=INDEX(array, row,1),INDEX(array, row,5),"x"))
,1,))</f>
        <v/>
      </c>
      <c r="CR20" s="390" t="str">
        <f t="array" ref="CR20">LET(
array,SORT({$Y$2:$AB$19,TRANSPOSE($BP20:$CG20)},4,TRUE),
col,CHOOSECOLS(array,5),
row,MATCH(FALSE, ISBLANK(col), 0),
IF(BY20=SWITCH($AA$22,
"minimum cost", MIN($BP20:$CG20),
"maximum cost", MAX($BP20:$CG20), 
"custom order", IF(CR$1=INDEX(array, row,1),INDEX(array, row,5),"x"))
,1,))</f>
        <v/>
      </c>
      <c r="CS20" s="390" t="str">
        <f t="array" ref="CS20">LET(
array,SORT({$Y$2:$AB$19,TRANSPOSE($BP20:$CG20)},4,TRUE),
col,CHOOSECOLS(array,5),
row,MATCH(FALSE, ISBLANK(col), 0),
IF(BZ20=SWITCH($AA$22,
"minimum cost", MIN($BP20:$CG20),
"maximum cost", MAX($BP20:$CG20), 
"custom order", IF(CS$1=INDEX(array, row,1),INDEX(array, row,5),"x"))
,1,))</f>
        <v/>
      </c>
      <c r="CT20" s="390" t="str">
        <f t="array" ref="CT20">LET(
array,SORT({$Y$2:$AB$19,TRANSPOSE($BP20:$CG20)},4,TRUE),
col,CHOOSECOLS(array,5),
row,MATCH(FALSE, ISBLANK(col), 0),
IF(CA20=SWITCH($AA$22,
"minimum cost", MIN($BP20:$CG20),
"maximum cost", MAX($BP20:$CG20), 
"custom order", IF(CT$1=INDEX(array, row,1),INDEX(array, row,5),"x"))
,1,))</f>
        <v/>
      </c>
      <c r="CU20" s="469" t="str">
        <f t="array" ref="CU20">LET(
array,SORT({$Y$2:$AB$19,TRANSPOSE($BP20:$CG20)},4,TRUE),
col,CHOOSECOLS(array,5),
row,MATCH(FALSE, ISBLANK(col), 0),
IF(CB20=SWITCH($AA$22,
"minimum cost", MIN($BP20:$CG20),
"maximum cost", MAX($BP20:$CG20), 
"custom order", IF(CU$1=INDEX(array, row,1),INDEX(array, row,5),"x"))
,1,))</f>
        <v/>
      </c>
      <c r="CV20" s="469" t="str">
        <f t="array" ref="CV20">LET(
array,SORT({$Y$2:$AB$19,TRANSPOSE($BP20:$CG20)},4,TRUE),
col,CHOOSECOLS(array,5),
row,MATCH(FALSE, ISBLANK(col), 0),
IF(CC20=SWITCH($AA$22,
"minimum cost", MIN($BP20:$CG20),
"maximum cost", MAX($BP20:$CG20), 
"custom order", IF(CV$1=INDEX(array, row,1),INDEX(array, row,5),"x"))
,1,))</f>
        <v/>
      </c>
      <c r="CW20" s="469">
        <f t="array" ref="CW20">LET(
array,SORT({$Y$2:$AB$19,TRANSPOSE($BP20:$CG20)},4,TRUE),
col,CHOOSECOLS(array,5),
row,MATCH(FALSE, ISBLANK(col), 0),
IF(CD20=SWITCH($AA$22,
"minimum cost", MIN($BP20:$CG20),
"maximum cost", MAX($BP20:$CG20), 
"custom order", IF(CW$1=INDEX(array, row,1),INDEX(array, row,5),"x"))
,1,))</f>
        <v>1</v>
      </c>
      <c r="CX20" s="469" t="str">
        <f t="array" ref="CX20">LET(
array,SORT({$Y$2:$AB$19,TRANSPOSE($BP20:$CG20)},4,TRUE),
col,CHOOSECOLS(array,5),
row,MATCH(FALSE, ISBLANK(col), 0),
IF(CE20=SWITCH($AA$22,
"minimum cost", MIN($BP20:$CG20),
"maximum cost", MAX($BP20:$CG20), 
"custom order", IF(CX$1=INDEX(array, row,1),INDEX(array, row,5),"x"))
,1,))</f>
        <v/>
      </c>
      <c r="CY20" s="469" t="str">
        <f t="array" ref="CY20">LET(
array,SORT({$Y$2:$AB$19,TRANSPOSE($BP20:$CG20)},4,TRUE),
col,CHOOSECOLS(array,5),
row,MATCH(FALSE, ISBLANK(col), 0),
IF(CF20=SWITCH($AA$22,
"minimum cost", MIN($BP20:$CG20),
"maximum cost", MAX($BP20:$CG20), 
"custom order", IF(CY$1=INDEX(array, row,1),INDEX(array, row,5),"x"))
,1,))</f>
        <v/>
      </c>
      <c r="CZ20" s="581" t="str">
        <f t="array" ref="CZ20">LET(
array,SORT({$Y$2:$AB$19,TRANSPOSE($BP20:$CG20)},4,TRUE),
col,CHOOSECOLS(array,5),
row,MATCH(FALSE, ISBLANK(col), 0),
IF(CG20=SWITCH($AA$22,
"minimum cost", MIN($BP20:$CG20),
"maximum cost", MAX($BP20:$CG20), 
"custom order", IF(CZ$1=INDEX(array, row,1),INDEX(array, row,5),"x"))
,1,))</f>
        <v/>
      </c>
      <c r="DA20" s="461"/>
      <c r="DB20" s="580" t="str">
        <f t="array" ref="DB20:DS20">IF(MATCH(1, CI20:CZ20, 0)=COLUMN(CI20:CZ20)-COLUMN(CI20)+1, CI20:CZ20, "")</f>
        <v/>
      </c>
      <c r="DC20" s="252" t="s">
        <v>133</v>
      </c>
      <c r="DD20" s="252" t="s">
        <v>133</v>
      </c>
      <c r="DE20" s="252" t="s">
        <v>133</v>
      </c>
      <c r="DF20" s="252" t="s">
        <v>133</v>
      </c>
      <c r="DG20" s="252" t="s">
        <v>133</v>
      </c>
      <c r="DH20" s="390" t="s">
        <v>133</v>
      </c>
      <c r="DI20" s="390" t="s">
        <v>133</v>
      </c>
      <c r="DJ20" s="390" t="s">
        <v>133</v>
      </c>
      <c r="DK20" s="390" t="s">
        <v>133</v>
      </c>
      <c r="DL20" s="390" t="s">
        <v>133</v>
      </c>
      <c r="DM20" s="390" t="s">
        <v>133</v>
      </c>
      <c r="DN20" s="469" t="s">
        <v>133</v>
      </c>
      <c r="DO20" s="469" t="s">
        <v>133</v>
      </c>
      <c r="DP20" s="469">
        <v>1.0</v>
      </c>
      <c r="DQ20" s="469" t="s">
        <v>133</v>
      </c>
      <c r="DR20" s="469" t="s">
        <v>133</v>
      </c>
      <c r="DS20" s="581" t="s">
        <v>133</v>
      </c>
      <c r="DT20" s="563"/>
    </row>
    <row r="21">
      <c r="A21" s="563"/>
      <c r="B21" s="680" t="s">
        <v>221</v>
      </c>
      <c r="C21" s="681" t="s">
        <v>214</v>
      </c>
      <c r="D21" s="682"/>
      <c r="E21" s="589" t="s">
        <v>122</v>
      </c>
      <c r="F21" s="325"/>
      <c r="G21" s="589"/>
      <c r="H21" s="325"/>
      <c r="I21" s="589"/>
      <c r="J21" s="325"/>
      <c r="K21" s="683"/>
      <c r="L21" s="684"/>
      <c r="M21" s="461"/>
      <c r="N21" s="10"/>
      <c r="O21" s="10"/>
      <c r="P21" s="10"/>
      <c r="Q21" s="570" t="str">
        <f>IFERROR(__xludf.DUMMYFUNCTION("IF(SUM(DB21:DS21),ARRAYFORMULA(FILTER(DB$1:DS$1, DB21:DS21=1)),)"),"Cells / Kill Bonus")</f>
        <v>Cells / Kill Bonus</v>
      </c>
      <c r="R21" s="571">
        <f>IFERROR(__xludf.DUMMYFUNCTION("IF(SUM(DB21:DS21),ARRAYFORMULA(FILTER(AW21:BN21, DB21:DS21=1))+1,)"),35.0)</f>
        <v>35</v>
      </c>
      <c r="S21" s="572">
        <f>IFERROR(__xludf.DUMMYFUNCTION("IF(SUM(DB21:DS21),ARRAYFORMULA(FILTER(AD21:AU21, DB21:DS21=1)),)"),6.6446E14)</f>
        <v>664460000000000</v>
      </c>
      <c r="T21" s="572">
        <f t="shared" si="26"/>
        <v>6.24933E+15</v>
      </c>
      <c r="U21" s="573" t="str">
        <f t="shared" ref="U21:V21" si="78">FORMAT_NUMBER(S21)</f>
        <v>664.46 T</v>
      </c>
      <c r="V21" s="574" t="str">
        <f t="shared" si="78"/>
        <v>6.25 q</v>
      </c>
      <c r="W21" s="677"/>
      <c r="Y21" s="685" t="s">
        <v>221</v>
      </c>
      <c r="Z21" s="686"/>
      <c r="AA21" s="687" t="str">
        <f t="shared" ref="AA21:AA22" si="82">SWITCH($O$3,
$C$1,C21,
$E$1,E21,
$G$1,G21,
$I$1,I21,
$K$1,K21)</f>
        <v>Enemy Level Skips</v>
      </c>
      <c r="AB21" s="204"/>
      <c r="AC21" s="461"/>
      <c r="AD21" s="580">
        <f t="shared" ref="AD21:AU21" si="79">IFERROR(WSPCOST_SINGLE_ADJUSTED(AD$1,1+AW21),)</f>
        <v>37110000000000</v>
      </c>
      <c r="AE21" s="252">
        <f t="shared" si="79"/>
        <v>82420000000</v>
      </c>
      <c r="AF21" s="252">
        <f t="shared" si="79"/>
        <v>69650000000000</v>
      </c>
      <c r="AG21" s="252">
        <f t="shared" si="79"/>
        <v>21210000000</v>
      </c>
      <c r="AH21" s="252">
        <f t="shared" si="79"/>
        <v>43890000000000</v>
      </c>
      <c r="AI21" s="252">
        <f t="shared" si="79"/>
        <v>47710000000000</v>
      </c>
      <c r="AJ21" s="390">
        <f t="shared" si="79"/>
        <v>92140000000000</v>
      </c>
      <c r="AK21" s="390">
        <f t="shared" si="79"/>
        <v>69650000000000</v>
      </c>
      <c r="AL21" s="390">
        <f t="shared" si="79"/>
        <v>5000000000</v>
      </c>
      <c r="AM21" s="390">
        <f t="shared" si="79"/>
        <v>33950000000</v>
      </c>
      <c r="AN21" s="390">
        <f t="shared" si="79"/>
        <v>60080000000000</v>
      </c>
      <c r="AO21" s="390">
        <f t="shared" si="79"/>
        <v>22020000000000</v>
      </c>
      <c r="AP21" s="469">
        <f t="shared" si="79"/>
        <v>5240000000000</v>
      </c>
      <c r="AQ21" s="469">
        <f t="shared" si="79"/>
        <v>1.3E+15</v>
      </c>
      <c r="AR21" s="469">
        <f t="shared" si="79"/>
        <v>664460000000000</v>
      </c>
      <c r="AS21" s="469">
        <f t="shared" si="79"/>
        <v>420490000000000</v>
      </c>
      <c r="AT21" s="469">
        <f t="shared" si="79"/>
        <v>3990000000000</v>
      </c>
      <c r="AU21" s="581">
        <f t="shared" si="79"/>
        <v>1.14E+15</v>
      </c>
      <c r="AV21" s="461"/>
      <c r="AW21" s="580">
        <f t="shared" ref="AW21:BN21" si="80">AW20+DB20</f>
        <v>56</v>
      </c>
      <c r="AX21" s="252">
        <f t="shared" si="80"/>
        <v>21</v>
      </c>
      <c r="AY21" s="252">
        <f t="shared" si="80"/>
        <v>60</v>
      </c>
      <c r="AZ21" s="252">
        <f t="shared" si="80"/>
        <v>17</v>
      </c>
      <c r="BA21" s="252">
        <f t="shared" si="80"/>
        <v>57</v>
      </c>
      <c r="BB21" s="252">
        <f t="shared" si="80"/>
        <v>13</v>
      </c>
      <c r="BC21" s="390">
        <f t="shared" si="80"/>
        <v>62</v>
      </c>
      <c r="BD21" s="390">
        <f t="shared" si="80"/>
        <v>60</v>
      </c>
      <c r="BE21" s="390">
        <f t="shared" si="80"/>
        <v>0</v>
      </c>
      <c r="BF21" s="390">
        <f t="shared" si="80"/>
        <v>18</v>
      </c>
      <c r="BG21" s="390">
        <f t="shared" si="80"/>
        <v>59</v>
      </c>
      <c r="BH21" s="390">
        <f t="shared" si="80"/>
        <v>20</v>
      </c>
      <c r="BI21" s="469">
        <f t="shared" si="80"/>
        <v>44</v>
      </c>
      <c r="BJ21" s="469">
        <f t="shared" si="80"/>
        <v>37</v>
      </c>
      <c r="BK21" s="469">
        <f t="shared" si="80"/>
        <v>34</v>
      </c>
      <c r="BL21" s="469">
        <f t="shared" si="80"/>
        <v>18</v>
      </c>
      <c r="BM21" s="469">
        <f t="shared" si="80"/>
        <v>42</v>
      </c>
      <c r="BN21" s="581">
        <f t="shared" si="80"/>
        <v>15</v>
      </c>
      <c r="BO21" s="461"/>
      <c r="BP21" s="580">
        <f t="shared" si="8"/>
        <v>37110000000000</v>
      </c>
      <c r="BQ21" s="252" t="str">
        <f t="shared" si="9"/>
        <v/>
      </c>
      <c r="BR21" s="252">
        <f t="shared" si="10"/>
        <v>69650000000000</v>
      </c>
      <c r="BS21" s="252" t="str">
        <f t="shared" si="11"/>
        <v/>
      </c>
      <c r="BT21" s="252" t="str">
        <f t="shared" si="12"/>
        <v/>
      </c>
      <c r="BU21" s="252">
        <f t="shared" si="13"/>
        <v>47710000000000</v>
      </c>
      <c r="BV21" s="390">
        <f t="shared" si="14"/>
        <v>92140000000000</v>
      </c>
      <c r="BW21" s="390">
        <f t="shared" si="15"/>
        <v>69650000000000</v>
      </c>
      <c r="BX21" s="390" t="str">
        <f t="shared" si="16"/>
        <v/>
      </c>
      <c r="BY21" s="390" t="str">
        <f t="shared" si="17"/>
        <v/>
      </c>
      <c r="BZ21" s="390">
        <f t="shared" si="18"/>
        <v>60080000000000</v>
      </c>
      <c r="CA21" s="390">
        <f t="shared" si="19"/>
        <v>22020000000000</v>
      </c>
      <c r="CB21" s="469">
        <f t="shared" si="20"/>
        <v>5240000000000</v>
      </c>
      <c r="CC21" s="469" t="str">
        <f t="shared" si="21"/>
        <v/>
      </c>
      <c r="CD21" s="469">
        <f t="shared" si="22"/>
        <v>664460000000000</v>
      </c>
      <c r="CE21" s="469" t="str">
        <f t="shared" si="23"/>
        <v/>
      </c>
      <c r="CF21" s="469" t="str">
        <f t="shared" si="24"/>
        <v/>
      </c>
      <c r="CG21" s="581" t="str">
        <f t="shared" si="25"/>
        <v/>
      </c>
      <c r="CH21" s="461"/>
      <c r="CI21" s="580" t="str">
        <f t="array" ref="CI21">LET(
array,SORT({$Y$2:$AB$19,TRANSPOSE($BP21:$CG21)},4,TRUE),
col,CHOOSECOLS(array,5),
row,MATCH(FALSE, ISBLANK(col), 0),
IF(BP21=SWITCH($AA$22,
"minimum cost", MIN($BP21:$CG21),
"maximum cost", MAX($BP21:$CG21), 
"custom order", IF(CI$1=INDEX(array, row,1),INDEX(array, row,5),"x"))
,1,))</f>
        <v/>
      </c>
      <c r="CJ21" s="252" t="str">
        <f t="array" ref="CJ21">LET(
array,SORT({$Y$2:$AB$19,TRANSPOSE($BP21:$CG21)},4,TRUE),
col,CHOOSECOLS(array,5),
row,MATCH(FALSE, ISBLANK(col), 0),
IF(BQ21=SWITCH($AA$22,
"minimum cost", MIN($BP21:$CG21),
"maximum cost", MAX($BP21:$CG21), 
"custom order", IF(CJ$1=INDEX(array, row,1),INDEX(array, row,5),"x"))
,1,))</f>
        <v/>
      </c>
      <c r="CK21" s="252" t="str">
        <f t="array" ref="CK21">LET(
array,SORT({$Y$2:$AB$19,TRANSPOSE($BP21:$CG21)},4,TRUE),
col,CHOOSECOLS(array,5),
row,MATCH(FALSE, ISBLANK(col), 0),
IF(BR21=SWITCH($AA$22,
"minimum cost", MIN($BP21:$CG21),
"maximum cost", MAX($BP21:$CG21), 
"custom order", IF(CK$1=INDEX(array, row,1),INDEX(array, row,5),"x"))
,1,))</f>
        <v/>
      </c>
      <c r="CL21" s="252" t="str">
        <f t="array" ref="CL21">LET(
array,SORT({$Y$2:$AB$19,TRANSPOSE($BP21:$CG21)},4,TRUE),
col,CHOOSECOLS(array,5),
row,MATCH(FALSE, ISBLANK(col), 0),
IF(BS21=SWITCH($AA$22,
"minimum cost", MIN($BP21:$CG21),
"maximum cost", MAX($BP21:$CG21), 
"custom order", IF(CL$1=INDEX(array, row,1),INDEX(array, row,5),"x"))
,1,))</f>
        <v/>
      </c>
      <c r="CM21" s="252" t="str">
        <f t="array" ref="CM21">LET(
array,SORT({$Y$2:$AB$19,TRANSPOSE($BP21:$CG21)},4,TRUE),
col,CHOOSECOLS(array,5),
row,MATCH(FALSE, ISBLANK(col), 0),
IF(BT21=SWITCH($AA$22,
"minimum cost", MIN($BP21:$CG21),
"maximum cost", MAX($BP21:$CG21), 
"custom order", IF(CM$1=INDEX(array, row,1),INDEX(array, row,5),"x"))
,1,))</f>
        <v/>
      </c>
      <c r="CN21" s="252" t="str">
        <f t="array" ref="CN21">LET(
array,SORT({$Y$2:$AB$19,TRANSPOSE($BP21:$CG21)},4,TRUE),
col,CHOOSECOLS(array,5),
row,MATCH(FALSE, ISBLANK(col), 0),
IF(BU21=SWITCH($AA$22,
"minimum cost", MIN($BP21:$CG21),
"maximum cost", MAX($BP21:$CG21), 
"custom order", IF(CN$1=INDEX(array, row,1),INDEX(array, row,5),"x"))
,1,))</f>
        <v/>
      </c>
      <c r="CO21" s="390" t="str">
        <f t="array" ref="CO21">LET(
array,SORT({$Y$2:$AB$19,TRANSPOSE($BP21:$CG21)},4,TRUE),
col,CHOOSECOLS(array,5),
row,MATCH(FALSE, ISBLANK(col), 0),
IF(BV21=SWITCH($AA$22,
"minimum cost", MIN($BP21:$CG21),
"maximum cost", MAX($BP21:$CG21), 
"custom order", IF(CO$1=INDEX(array, row,1),INDEX(array, row,5),"x"))
,1,))</f>
        <v/>
      </c>
      <c r="CP21" s="390" t="str">
        <f t="array" ref="CP21">LET(
array,SORT({$Y$2:$AB$19,TRANSPOSE($BP21:$CG21)},4,TRUE),
col,CHOOSECOLS(array,5),
row,MATCH(FALSE, ISBLANK(col), 0),
IF(BW21=SWITCH($AA$22,
"minimum cost", MIN($BP21:$CG21),
"maximum cost", MAX($BP21:$CG21), 
"custom order", IF(CP$1=INDEX(array, row,1),INDEX(array, row,5),"x"))
,1,))</f>
        <v/>
      </c>
      <c r="CQ21" s="390" t="str">
        <f t="array" ref="CQ21">LET(
array,SORT({$Y$2:$AB$19,TRANSPOSE($BP21:$CG21)},4,TRUE),
col,CHOOSECOLS(array,5),
row,MATCH(FALSE, ISBLANK(col), 0),
IF(BX21=SWITCH($AA$22,
"minimum cost", MIN($BP21:$CG21),
"maximum cost", MAX($BP21:$CG21), 
"custom order", IF(CQ$1=INDEX(array, row,1),INDEX(array, row,5),"x"))
,1,))</f>
        <v/>
      </c>
      <c r="CR21" s="390" t="str">
        <f t="array" ref="CR21">LET(
array,SORT({$Y$2:$AB$19,TRANSPOSE($BP21:$CG21)},4,TRUE),
col,CHOOSECOLS(array,5),
row,MATCH(FALSE, ISBLANK(col), 0),
IF(BY21=SWITCH($AA$22,
"minimum cost", MIN($BP21:$CG21),
"maximum cost", MAX($BP21:$CG21), 
"custom order", IF(CR$1=INDEX(array, row,1),INDEX(array, row,5),"x"))
,1,))</f>
        <v/>
      </c>
      <c r="CS21" s="390" t="str">
        <f t="array" ref="CS21">LET(
array,SORT({$Y$2:$AB$19,TRANSPOSE($BP21:$CG21)},4,TRUE),
col,CHOOSECOLS(array,5),
row,MATCH(FALSE, ISBLANK(col), 0),
IF(BZ21=SWITCH($AA$22,
"minimum cost", MIN($BP21:$CG21),
"maximum cost", MAX($BP21:$CG21), 
"custom order", IF(CS$1=INDEX(array, row,1),INDEX(array, row,5),"x"))
,1,))</f>
        <v/>
      </c>
      <c r="CT21" s="390" t="str">
        <f t="array" ref="CT21">LET(
array,SORT({$Y$2:$AB$19,TRANSPOSE($BP21:$CG21)},4,TRUE),
col,CHOOSECOLS(array,5),
row,MATCH(FALSE, ISBLANK(col), 0),
IF(CA21=SWITCH($AA$22,
"minimum cost", MIN($BP21:$CG21),
"maximum cost", MAX($BP21:$CG21), 
"custom order", IF(CT$1=INDEX(array, row,1),INDEX(array, row,5),"x"))
,1,))</f>
        <v/>
      </c>
      <c r="CU21" s="469" t="str">
        <f t="array" ref="CU21">LET(
array,SORT({$Y$2:$AB$19,TRANSPOSE($BP21:$CG21)},4,TRUE),
col,CHOOSECOLS(array,5),
row,MATCH(FALSE, ISBLANK(col), 0),
IF(CB21=SWITCH($AA$22,
"minimum cost", MIN($BP21:$CG21),
"maximum cost", MAX($BP21:$CG21), 
"custom order", IF(CU$1=INDEX(array, row,1),INDEX(array, row,5),"x"))
,1,))</f>
        <v/>
      </c>
      <c r="CV21" s="469" t="str">
        <f t="array" ref="CV21">LET(
array,SORT({$Y$2:$AB$19,TRANSPOSE($BP21:$CG21)},4,TRUE),
col,CHOOSECOLS(array,5),
row,MATCH(FALSE, ISBLANK(col), 0),
IF(CC21=SWITCH($AA$22,
"minimum cost", MIN($BP21:$CG21),
"maximum cost", MAX($BP21:$CG21), 
"custom order", IF(CV$1=INDEX(array, row,1),INDEX(array, row,5),"x"))
,1,))</f>
        <v/>
      </c>
      <c r="CW21" s="469">
        <f t="array" ref="CW21">LET(
array,SORT({$Y$2:$AB$19,TRANSPOSE($BP21:$CG21)},4,TRUE),
col,CHOOSECOLS(array,5),
row,MATCH(FALSE, ISBLANK(col), 0),
IF(CD21=SWITCH($AA$22,
"minimum cost", MIN($BP21:$CG21),
"maximum cost", MAX($BP21:$CG21), 
"custom order", IF(CW$1=INDEX(array, row,1),INDEX(array, row,5),"x"))
,1,))</f>
        <v>1</v>
      </c>
      <c r="CX21" s="469" t="str">
        <f t="array" ref="CX21">LET(
array,SORT({$Y$2:$AB$19,TRANSPOSE($BP21:$CG21)},4,TRUE),
col,CHOOSECOLS(array,5),
row,MATCH(FALSE, ISBLANK(col), 0),
IF(CE21=SWITCH($AA$22,
"minimum cost", MIN($BP21:$CG21),
"maximum cost", MAX($BP21:$CG21), 
"custom order", IF(CX$1=INDEX(array, row,1),INDEX(array, row,5),"x"))
,1,))</f>
        <v/>
      </c>
      <c r="CY21" s="469" t="str">
        <f t="array" ref="CY21">LET(
array,SORT({$Y$2:$AB$19,TRANSPOSE($BP21:$CG21)},4,TRUE),
col,CHOOSECOLS(array,5),
row,MATCH(FALSE, ISBLANK(col), 0),
IF(CF21=SWITCH($AA$22,
"minimum cost", MIN($BP21:$CG21),
"maximum cost", MAX($BP21:$CG21), 
"custom order", IF(CY$1=INDEX(array, row,1),INDEX(array, row,5),"x"))
,1,))</f>
        <v/>
      </c>
      <c r="CZ21" s="581" t="str">
        <f t="array" ref="CZ21">LET(
array,SORT({$Y$2:$AB$19,TRANSPOSE($BP21:$CG21)},4,TRUE),
col,CHOOSECOLS(array,5),
row,MATCH(FALSE, ISBLANK(col), 0),
IF(CG21=SWITCH($AA$22,
"minimum cost", MIN($BP21:$CG21),
"maximum cost", MAX($BP21:$CG21), 
"custom order", IF(CZ$1=INDEX(array, row,1),INDEX(array, row,5),"x"))
,1,))</f>
        <v/>
      </c>
      <c r="DA21" s="461"/>
      <c r="DB21" s="580" t="str">
        <f t="array" ref="DB21:DS21">IF(MATCH(1, CI21:CZ21, 0)=COLUMN(CI21:CZ21)-COLUMN(CI21)+1, CI21:CZ21, "")</f>
        <v/>
      </c>
      <c r="DC21" s="252" t="s">
        <v>133</v>
      </c>
      <c r="DD21" s="252" t="s">
        <v>133</v>
      </c>
      <c r="DE21" s="252" t="s">
        <v>133</v>
      </c>
      <c r="DF21" s="252" t="s">
        <v>133</v>
      </c>
      <c r="DG21" s="252" t="s">
        <v>133</v>
      </c>
      <c r="DH21" s="390" t="s">
        <v>133</v>
      </c>
      <c r="DI21" s="390" t="s">
        <v>133</v>
      </c>
      <c r="DJ21" s="390" t="s">
        <v>133</v>
      </c>
      <c r="DK21" s="390" t="s">
        <v>133</v>
      </c>
      <c r="DL21" s="390" t="s">
        <v>133</v>
      </c>
      <c r="DM21" s="390" t="s">
        <v>133</v>
      </c>
      <c r="DN21" s="469" t="s">
        <v>133</v>
      </c>
      <c r="DO21" s="469" t="s">
        <v>133</v>
      </c>
      <c r="DP21" s="469">
        <v>1.0</v>
      </c>
      <c r="DQ21" s="469" t="s">
        <v>133</v>
      </c>
      <c r="DR21" s="469" t="s">
        <v>133</v>
      </c>
      <c r="DS21" s="581" t="s">
        <v>133</v>
      </c>
      <c r="DT21" s="563"/>
    </row>
    <row r="22">
      <c r="A22" s="563"/>
      <c r="B22" s="680" t="s">
        <v>222</v>
      </c>
      <c r="C22" s="688" t="s">
        <v>223</v>
      </c>
      <c r="D22" s="689"/>
      <c r="E22" s="589" t="s">
        <v>224</v>
      </c>
      <c r="F22" s="325"/>
      <c r="G22" s="589"/>
      <c r="H22" s="325"/>
      <c r="I22" s="589"/>
      <c r="J22" s="325"/>
      <c r="K22" s="690"/>
      <c r="L22" s="691"/>
      <c r="M22" s="461"/>
      <c r="N22" s="10"/>
      <c r="O22" s="10"/>
      <c r="P22" s="10"/>
      <c r="Q22" s="570" t="str">
        <f>IFERROR(__xludf.DUMMYFUNCTION("IF(SUM(DB22:DS22),ARRAYFORMULA(FILTER(DB$1:DS$1, DB22:DS22=1)),)"),"Cells / Kill Bonus")</f>
        <v>Cells / Kill Bonus</v>
      </c>
      <c r="R22" s="571">
        <f>IFERROR(__xludf.DUMMYFUNCTION("IF(SUM(DB22:DS22),ARRAYFORMULA(FILTER(AW22:BN22, DB22:DS22=1))+1,)"),36.0)</f>
        <v>36</v>
      </c>
      <c r="S22" s="572">
        <f>IFERROR(__xludf.DUMMYFUNCTION("IF(SUM(DB22:DS22),ARRAYFORMULA(FILTER(AD22:AU22, DB22:DS22=1)),)"),8.4282E14)</f>
        <v>842820000000000</v>
      </c>
      <c r="T22" s="572">
        <f t="shared" si="26"/>
        <v>7.09215E+15</v>
      </c>
      <c r="U22" s="573" t="str">
        <f t="shared" ref="U22:V22" si="81">FORMAT_NUMBER(S22)</f>
        <v>842.82 T</v>
      </c>
      <c r="V22" s="574" t="str">
        <f t="shared" si="81"/>
        <v>7.09 q</v>
      </c>
      <c r="W22" s="677"/>
      <c r="Y22" s="685" t="str">
        <f>"Order in between upgrades"</f>
        <v>Order in between upgrades</v>
      </c>
      <c r="Z22" s="686"/>
      <c r="AA22" s="687" t="str">
        <f t="shared" si="82"/>
        <v>custom order</v>
      </c>
      <c r="AB22" s="204"/>
      <c r="AC22" s="461"/>
      <c r="AD22" s="580">
        <f t="shared" ref="AD22:AU22" si="83">IFERROR(WSPCOST_SINGLE_ADJUSTED(AD$1,1+AW22),)</f>
        <v>37110000000000</v>
      </c>
      <c r="AE22" s="252">
        <f t="shared" si="83"/>
        <v>82420000000</v>
      </c>
      <c r="AF22" s="252">
        <f t="shared" si="83"/>
        <v>69650000000000</v>
      </c>
      <c r="AG22" s="252">
        <f t="shared" si="83"/>
        <v>21210000000</v>
      </c>
      <c r="AH22" s="252">
        <f t="shared" si="83"/>
        <v>43890000000000</v>
      </c>
      <c r="AI22" s="252">
        <f t="shared" si="83"/>
        <v>47710000000000</v>
      </c>
      <c r="AJ22" s="390">
        <f t="shared" si="83"/>
        <v>92140000000000</v>
      </c>
      <c r="AK22" s="390">
        <f t="shared" si="83"/>
        <v>69650000000000</v>
      </c>
      <c r="AL22" s="390">
        <f t="shared" si="83"/>
        <v>5000000000</v>
      </c>
      <c r="AM22" s="390">
        <f t="shared" si="83"/>
        <v>33950000000</v>
      </c>
      <c r="AN22" s="390">
        <f t="shared" si="83"/>
        <v>60080000000000</v>
      </c>
      <c r="AO22" s="390">
        <f t="shared" si="83"/>
        <v>22020000000000</v>
      </c>
      <c r="AP22" s="469">
        <f t="shared" si="83"/>
        <v>5240000000000</v>
      </c>
      <c r="AQ22" s="469">
        <f t="shared" si="83"/>
        <v>1.3E+15</v>
      </c>
      <c r="AR22" s="469">
        <f t="shared" si="83"/>
        <v>842820000000000</v>
      </c>
      <c r="AS22" s="469">
        <f t="shared" si="83"/>
        <v>420490000000000</v>
      </c>
      <c r="AT22" s="469">
        <f t="shared" si="83"/>
        <v>3990000000000</v>
      </c>
      <c r="AU22" s="581">
        <f t="shared" si="83"/>
        <v>1.14E+15</v>
      </c>
      <c r="AV22" s="461"/>
      <c r="AW22" s="580">
        <f t="shared" ref="AW22:BN22" si="84">AW21+DB21</f>
        <v>56</v>
      </c>
      <c r="AX22" s="252">
        <f t="shared" si="84"/>
        <v>21</v>
      </c>
      <c r="AY22" s="252">
        <f t="shared" si="84"/>
        <v>60</v>
      </c>
      <c r="AZ22" s="252">
        <f t="shared" si="84"/>
        <v>17</v>
      </c>
      <c r="BA22" s="252">
        <f t="shared" si="84"/>
        <v>57</v>
      </c>
      <c r="BB22" s="252">
        <f t="shared" si="84"/>
        <v>13</v>
      </c>
      <c r="BC22" s="390">
        <f t="shared" si="84"/>
        <v>62</v>
      </c>
      <c r="BD22" s="390">
        <f t="shared" si="84"/>
        <v>60</v>
      </c>
      <c r="BE22" s="390">
        <f t="shared" si="84"/>
        <v>0</v>
      </c>
      <c r="BF22" s="390">
        <f t="shared" si="84"/>
        <v>18</v>
      </c>
      <c r="BG22" s="390">
        <f t="shared" si="84"/>
        <v>59</v>
      </c>
      <c r="BH22" s="390">
        <f t="shared" si="84"/>
        <v>20</v>
      </c>
      <c r="BI22" s="469">
        <f t="shared" si="84"/>
        <v>44</v>
      </c>
      <c r="BJ22" s="469">
        <f t="shared" si="84"/>
        <v>37</v>
      </c>
      <c r="BK22" s="469">
        <f t="shared" si="84"/>
        <v>35</v>
      </c>
      <c r="BL22" s="469">
        <f t="shared" si="84"/>
        <v>18</v>
      </c>
      <c r="BM22" s="469">
        <f t="shared" si="84"/>
        <v>42</v>
      </c>
      <c r="BN22" s="581">
        <f t="shared" si="84"/>
        <v>15</v>
      </c>
      <c r="BO22" s="461"/>
      <c r="BP22" s="580">
        <f t="shared" si="8"/>
        <v>37110000000000</v>
      </c>
      <c r="BQ22" s="252" t="str">
        <f t="shared" si="9"/>
        <v/>
      </c>
      <c r="BR22" s="252">
        <f t="shared" si="10"/>
        <v>69650000000000</v>
      </c>
      <c r="BS22" s="252" t="str">
        <f t="shared" si="11"/>
        <v/>
      </c>
      <c r="BT22" s="252" t="str">
        <f t="shared" si="12"/>
        <v/>
      </c>
      <c r="BU22" s="252">
        <f t="shared" si="13"/>
        <v>47710000000000</v>
      </c>
      <c r="BV22" s="390">
        <f t="shared" si="14"/>
        <v>92140000000000</v>
      </c>
      <c r="BW22" s="390">
        <f t="shared" si="15"/>
        <v>69650000000000</v>
      </c>
      <c r="BX22" s="390" t="str">
        <f t="shared" si="16"/>
        <v/>
      </c>
      <c r="BY22" s="390" t="str">
        <f t="shared" si="17"/>
        <v/>
      </c>
      <c r="BZ22" s="390">
        <f t="shared" si="18"/>
        <v>60080000000000</v>
      </c>
      <c r="CA22" s="390">
        <f t="shared" si="19"/>
        <v>22020000000000</v>
      </c>
      <c r="CB22" s="469">
        <f t="shared" si="20"/>
        <v>5240000000000</v>
      </c>
      <c r="CC22" s="469" t="str">
        <f t="shared" si="21"/>
        <v/>
      </c>
      <c r="CD22" s="469">
        <f t="shared" si="22"/>
        <v>842820000000000</v>
      </c>
      <c r="CE22" s="469" t="str">
        <f t="shared" si="23"/>
        <v/>
      </c>
      <c r="CF22" s="469" t="str">
        <f t="shared" si="24"/>
        <v/>
      </c>
      <c r="CG22" s="581" t="str">
        <f t="shared" si="25"/>
        <v/>
      </c>
      <c r="CH22" s="461"/>
      <c r="CI22" s="580" t="str">
        <f t="array" ref="CI22">LET(
array,SORT({$Y$2:$AB$19,TRANSPOSE($BP22:$CG22)},4,TRUE),
col,CHOOSECOLS(array,5),
row,MATCH(FALSE, ISBLANK(col), 0),
IF(BP22=SWITCH($AA$22,
"minimum cost", MIN($BP22:$CG22),
"maximum cost", MAX($BP22:$CG22), 
"custom order", IF(CI$1=INDEX(array, row,1),INDEX(array, row,5),"x"))
,1,))</f>
        <v/>
      </c>
      <c r="CJ22" s="252" t="str">
        <f t="array" ref="CJ22">LET(
array,SORT({$Y$2:$AB$19,TRANSPOSE($BP22:$CG22)},4,TRUE),
col,CHOOSECOLS(array,5),
row,MATCH(FALSE, ISBLANK(col), 0),
IF(BQ22=SWITCH($AA$22,
"minimum cost", MIN($BP22:$CG22),
"maximum cost", MAX($BP22:$CG22), 
"custom order", IF(CJ$1=INDEX(array, row,1),INDEX(array, row,5),"x"))
,1,))</f>
        <v/>
      </c>
      <c r="CK22" s="252" t="str">
        <f t="array" ref="CK22">LET(
array,SORT({$Y$2:$AB$19,TRANSPOSE($BP22:$CG22)},4,TRUE),
col,CHOOSECOLS(array,5),
row,MATCH(FALSE, ISBLANK(col), 0),
IF(BR22=SWITCH($AA$22,
"minimum cost", MIN($BP22:$CG22),
"maximum cost", MAX($BP22:$CG22), 
"custom order", IF(CK$1=INDEX(array, row,1),INDEX(array, row,5),"x"))
,1,))</f>
        <v/>
      </c>
      <c r="CL22" s="252" t="str">
        <f t="array" ref="CL22">LET(
array,SORT({$Y$2:$AB$19,TRANSPOSE($BP22:$CG22)},4,TRUE),
col,CHOOSECOLS(array,5),
row,MATCH(FALSE, ISBLANK(col), 0),
IF(BS22=SWITCH($AA$22,
"minimum cost", MIN($BP22:$CG22),
"maximum cost", MAX($BP22:$CG22), 
"custom order", IF(CL$1=INDEX(array, row,1),INDEX(array, row,5),"x"))
,1,))</f>
        <v/>
      </c>
      <c r="CM22" s="252" t="str">
        <f t="array" ref="CM22">LET(
array,SORT({$Y$2:$AB$19,TRANSPOSE($BP22:$CG22)},4,TRUE),
col,CHOOSECOLS(array,5),
row,MATCH(FALSE, ISBLANK(col), 0),
IF(BT22=SWITCH($AA$22,
"minimum cost", MIN($BP22:$CG22),
"maximum cost", MAX($BP22:$CG22), 
"custom order", IF(CM$1=INDEX(array, row,1),INDEX(array, row,5),"x"))
,1,))</f>
        <v/>
      </c>
      <c r="CN22" s="252" t="str">
        <f t="array" ref="CN22">LET(
array,SORT({$Y$2:$AB$19,TRANSPOSE($BP22:$CG22)},4,TRUE),
col,CHOOSECOLS(array,5),
row,MATCH(FALSE, ISBLANK(col), 0),
IF(BU22=SWITCH($AA$22,
"minimum cost", MIN($BP22:$CG22),
"maximum cost", MAX($BP22:$CG22), 
"custom order", IF(CN$1=INDEX(array, row,1),INDEX(array, row,5),"x"))
,1,))</f>
        <v/>
      </c>
      <c r="CO22" s="390" t="str">
        <f t="array" ref="CO22">LET(
array,SORT({$Y$2:$AB$19,TRANSPOSE($BP22:$CG22)},4,TRUE),
col,CHOOSECOLS(array,5),
row,MATCH(FALSE, ISBLANK(col), 0),
IF(BV22=SWITCH($AA$22,
"minimum cost", MIN($BP22:$CG22),
"maximum cost", MAX($BP22:$CG22), 
"custom order", IF(CO$1=INDEX(array, row,1),INDEX(array, row,5),"x"))
,1,))</f>
        <v/>
      </c>
      <c r="CP22" s="390" t="str">
        <f t="array" ref="CP22">LET(
array,SORT({$Y$2:$AB$19,TRANSPOSE($BP22:$CG22)},4,TRUE),
col,CHOOSECOLS(array,5),
row,MATCH(FALSE, ISBLANK(col), 0),
IF(BW22=SWITCH($AA$22,
"minimum cost", MIN($BP22:$CG22),
"maximum cost", MAX($BP22:$CG22), 
"custom order", IF(CP$1=INDEX(array, row,1),INDEX(array, row,5),"x"))
,1,))</f>
        <v/>
      </c>
      <c r="CQ22" s="390" t="str">
        <f t="array" ref="CQ22">LET(
array,SORT({$Y$2:$AB$19,TRANSPOSE($BP22:$CG22)},4,TRUE),
col,CHOOSECOLS(array,5),
row,MATCH(FALSE, ISBLANK(col), 0),
IF(BX22=SWITCH($AA$22,
"minimum cost", MIN($BP22:$CG22),
"maximum cost", MAX($BP22:$CG22), 
"custom order", IF(CQ$1=INDEX(array, row,1),INDEX(array, row,5),"x"))
,1,))</f>
        <v/>
      </c>
      <c r="CR22" s="390" t="str">
        <f t="array" ref="CR22">LET(
array,SORT({$Y$2:$AB$19,TRANSPOSE($BP22:$CG22)},4,TRUE),
col,CHOOSECOLS(array,5),
row,MATCH(FALSE, ISBLANK(col), 0),
IF(BY22=SWITCH($AA$22,
"minimum cost", MIN($BP22:$CG22),
"maximum cost", MAX($BP22:$CG22), 
"custom order", IF(CR$1=INDEX(array, row,1),INDEX(array, row,5),"x"))
,1,))</f>
        <v/>
      </c>
      <c r="CS22" s="390" t="str">
        <f t="array" ref="CS22">LET(
array,SORT({$Y$2:$AB$19,TRANSPOSE($BP22:$CG22)},4,TRUE),
col,CHOOSECOLS(array,5),
row,MATCH(FALSE, ISBLANK(col), 0),
IF(BZ22=SWITCH($AA$22,
"minimum cost", MIN($BP22:$CG22),
"maximum cost", MAX($BP22:$CG22), 
"custom order", IF(CS$1=INDEX(array, row,1),INDEX(array, row,5),"x"))
,1,))</f>
        <v/>
      </c>
      <c r="CT22" s="390" t="str">
        <f t="array" ref="CT22">LET(
array,SORT({$Y$2:$AB$19,TRANSPOSE($BP22:$CG22)},4,TRUE),
col,CHOOSECOLS(array,5),
row,MATCH(FALSE, ISBLANK(col), 0),
IF(CA22=SWITCH($AA$22,
"minimum cost", MIN($BP22:$CG22),
"maximum cost", MAX($BP22:$CG22), 
"custom order", IF(CT$1=INDEX(array, row,1),INDEX(array, row,5),"x"))
,1,))</f>
        <v/>
      </c>
      <c r="CU22" s="469" t="str">
        <f t="array" ref="CU22">LET(
array,SORT({$Y$2:$AB$19,TRANSPOSE($BP22:$CG22)},4,TRUE),
col,CHOOSECOLS(array,5),
row,MATCH(FALSE, ISBLANK(col), 0),
IF(CB22=SWITCH($AA$22,
"minimum cost", MIN($BP22:$CG22),
"maximum cost", MAX($BP22:$CG22), 
"custom order", IF(CU$1=INDEX(array, row,1),INDEX(array, row,5),"x"))
,1,))</f>
        <v/>
      </c>
      <c r="CV22" s="469" t="str">
        <f t="array" ref="CV22">LET(
array,SORT({$Y$2:$AB$19,TRANSPOSE($BP22:$CG22)},4,TRUE),
col,CHOOSECOLS(array,5),
row,MATCH(FALSE, ISBLANK(col), 0),
IF(CC22=SWITCH($AA$22,
"minimum cost", MIN($BP22:$CG22),
"maximum cost", MAX($BP22:$CG22), 
"custom order", IF(CV$1=INDEX(array, row,1),INDEX(array, row,5),"x"))
,1,))</f>
        <v/>
      </c>
      <c r="CW22" s="469">
        <f t="array" ref="CW22">LET(
array,SORT({$Y$2:$AB$19,TRANSPOSE($BP22:$CG22)},4,TRUE),
col,CHOOSECOLS(array,5),
row,MATCH(FALSE, ISBLANK(col), 0),
IF(CD22=SWITCH($AA$22,
"minimum cost", MIN($BP22:$CG22),
"maximum cost", MAX($BP22:$CG22), 
"custom order", IF(CW$1=INDEX(array, row,1),INDEX(array, row,5),"x"))
,1,))</f>
        <v>1</v>
      </c>
      <c r="CX22" s="469" t="str">
        <f t="array" ref="CX22">LET(
array,SORT({$Y$2:$AB$19,TRANSPOSE($BP22:$CG22)},4,TRUE),
col,CHOOSECOLS(array,5),
row,MATCH(FALSE, ISBLANK(col), 0),
IF(CE22=SWITCH($AA$22,
"minimum cost", MIN($BP22:$CG22),
"maximum cost", MAX($BP22:$CG22), 
"custom order", IF(CX$1=INDEX(array, row,1),INDEX(array, row,5),"x"))
,1,))</f>
        <v/>
      </c>
      <c r="CY22" s="469" t="str">
        <f t="array" ref="CY22">LET(
array,SORT({$Y$2:$AB$19,TRANSPOSE($BP22:$CG22)},4,TRUE),
col,CHOOSECOLS(array,5),
row,MATCH(FALSE, ISBLANK(col), 0),
IF(CF22=SWITCH($AA$22,
"minimum cost", MIN($BP22:$CG22),
"maximum cost", MAX($BP22:$CG22), 
"custom order", IF(CY$1=INDEX(array, row,1),INDEX(array, row,5),"x"))
,1,))</f>
        <v/>
      </c>
      <c r="CZ22" s="581" t="str">
        <f t="array" ref="CZ22">LET(
array,SORT({$Y$2:$AB$19,TRANSPOSE($BP22:$CG22)},4,TRUE),
col,CHOOSECOLS(array,5),
row,MATCH(FALSE, ISBLANK(col), 0),
IF(CG22=SWITCH($AA$22,
"minimum cost", MIN($BP22:$CG22),
"maximum cost", MAX($BP22:$CG22), 
"custom order", IF(CZ$1=INDEX(array, row,1),INDEX(array, row,5),"x"))
,1,))</f>
        <v/>
      </c>
      <c r="DA22" s="461"/>
      <c r="DB22" s="580" t="str">
        <f t="array" ref="DB22:DS22">IF(MATCH(1, CI22:CZ22, 0)=COLUMN(CI22:CZ22)-COLUMN(CI22)+1, CI22:CZ22, "")</f>
        <v/>
      </c>
      <c r="DC22" s="252" t="s">
        <v>133</v>
      </c>
      <c r="DD22" s="252" t="s">
        <v>133</v>
      </c>
      <c r="DE22" s="252" t="s">
        <v>133</v>
      </c>
      <c r="DF22" s="252" t="s">
        <v>133</v>
      </c>
      <c r="DG22" s="252" t="s">
        <v>133</v>
      </c>
      <c r="DH22" s="390" t="s">
        <v>133</v>
      </c>
      <c r="DI22" s="390" t="s">
        <v>133</v>
      </c>
      <c r="DJ22" s="390" t="s">
        <v>133</v>
      </c>
      <c r="DK22" s="390" t="s">
        <v>133</v>
      </c>
      <c r="DL22" s="390" t="s">
        <v>133</v>
      </c>
      <c r="DM22" s="390" t="s">
        <v>133</v>
      </c>
      <c r="DN22" s="469" t="s">
        <v>133</v>
      </c>
      <c r="DO22" s="469" t="s">
        <v>133</v>
      </c>
      <c r="DP22" s="469">
        <v>1.0</v>
      </c>
      <c r="DQ22" s="469" t="s">
        <v>133</v>
      </c>
      <c r="DR22" s="469" t="s">
        <v>133</v>
      </c>
      <c r="DS22" s="581" t="s">
        <v>133</v>
      </c>
      <c r="DT22" s="563"/>
    </row>
    <row r="23">
      <c r="A23" s="563"/>
      <c r="B23" s="674"/>
      <c r="C23" s="678"/>
      <c r="D23" s="675"/>
      <c r="E23" s="692"/>
      <c r="F23" s="675"/>
      <c r="G23" s="692"/>
      <c r="H23" s="675"/>
      <c r="I23" s="692"/>
      <c r="J23" s="675"/>
      <c r="K23" s="692"/>
      <c r="L23" s="675"/>
      <c r="M23" s="461"/>
      <c r="N23" s="10"/>
      <c r="O23" s="10"/>
      <c r="P23" s="10"/>
      <c r="Q23" s="570" t="str">
        <f>IFERROR(__xludf.DUMMYFUNCTION("IF(SUM(DB23:DS23),ARRAYFORMULA(FILTER(DB$1:DS$1, DB23:DS23=1)),)"),"Cells / Kill Bonus")</f>
        <v>Cells / Kill Bonus</v>
      </c>
      <c r="R23" s="571">
        <f>IFERROR(__xludf.DUMMYFUNCTION("IF(SUM(DB23:DS23),ARRAYFORMULA(FILTER(AW23:BN23, DB23:DS23=1))+1,)"),37.0)</f>
        <v>37</v>
      </c>
      <c r="S23" s="572">
        <f>IFERROR(__xludf.DUMMYFUNCTION("IF(SUM(DB23:DS23),ARRAYFORMULA(FILTER(AD23:AU23, DB23:DS23=1)),)"),1.05E15)</f>
        <v>1.05E+15</v>
      </c>
      <c r="T23" s="572">
        <f t="shared" si="26"/>
        <v>8.14215E+15</v>
      </c>
      <c r="U23" s="573" t="str">
        <f t="shared" ref="U23:V23" si="85">FORMAT_NUMBER(S23)</f>
        <v>1.05 q</v>
      </c>
      <c r="V23" s="574" t="str">
        <f t="shared" si="85"/>
        <v>8.14 q</v>
      </c>
      <c r="W23" s="677"/>
      <c r="X23" s="461"/>
      <c r="Y23" s="10"/>
      <c r="Z23" s="679"/>
      <c r="AA23" s="678"/>
      <c r="AB23" s="674"/>
      <c r="AC23" s="461"/>
      <c r="AD23" s="580">
        <f t="shared" ref="AD23:AU23" si="86">IFERROR(WSPCOST_SINGLE_ADJUSTED(AD$1,1+AW23),)</f>
        <v>37110000000000</v>
      </c>
      <c r="AE23" s="252">
        <f t="shared" si="86"/>
        <v>82420000000</v>
      </c>
      <c r="AF23" s="252">
        <f t="shared" si="86"/>
        <v>69650000000000</v>
      </c>
      <c r="AG23" s="252">
        <f t="shared" si="86"/>
        <v>21210000000</v>
      </c>
      <c r="AH23" s="252">
        <f t="shared" si="86"/>
        <v>43890000000000</v>
      </c>
      <c r="AI23" s="252">
        <f t="shared" si="86"/>
        <v>47710000000000</v>
      </c>
      <c r="AJ23" s="390">
        <f t="shared" si="86"/>
        <v>92140000000000</v>
      </c>
      <c r="AK23" s="390">
        <f t="shared" si="86"/>
        <v>69650000000000</v>
      </c>
      <c r="AL23" s="390">
        <f t="shared" si="86"/>
        <v>5000000000</v>
      </c>
      <c r="AM23" s="390">
        <f t="shared" si="86"/>
        <v>33950000000</v>
      </c>
      <c r="AN23" s="390">
        <f t="shared" si="86"/>
        <v>60080000000000</v>
      </c>
      <c r="AO23" s="390">
        <f t="shared" si="86"/>
        <v>22020000000000</v>
      </c>
      <c r="AP23" s="469">
        <f t="shared" si="86"/>
        <v>5240000000000</v>
      </c>
      <c r="AQ23" s="469">
        <f t="shared" si="86"/>
        <v>1.3E+15</v>
      </c>
      <c r="AR23" s="469">
        <f t="shared" si="86"/>
        <v>1.05E+15</v>
      </c>
      <c r="AS23" s="469">
        <f t="shared" si="86"/>
        <v>420490000000000</v>
      </c>
      <c r="AT23" s="469">
        <f t="shared" si="86"/>
        <v>3990000000000</v>
      </c>
      <c r="AU23" s="581">
        <f t="shared" si="86"/>
        <v>1.14E+15</v>
      </c>
      <c r="AV23" s="461"/>
      <c r="AW23" s="580">
        <f t="shared" ref="AW23:BN23" si="87">AW22+DB22</f>
        <v>56</v>
      </c>
      <c r="AX23" s="252">
        <f t="shared" si="87"/>
        <v>21</v>
      </c>
      <c r="AY23" s="252">
        <f t="shared" si="87"/>
        <v>60</v>
      </c>
      <c r="AZ23" s="252">
        <f t="shared" si="87"/>
        <v>17</v>
      </c>
      <c r="BA23" s="252">
        <f t="shared" si="87"/>
        <v>57</v>
      </c>
      <c r="BB23" s="252">
        <f t="shared" si="87"/>
        <v>13</v>
      </c>
      <c r="BC23" s="390">
        <f t="shared" si="87"/>
        <v>62</v>
      </c>
      <c r="BD23" s="390">
        <f t="shared" si="87"/>
        <v>60</v>
      </c>
      <c r="BE23" s="390">
        <f t="shared" si="87"/>
        <v>0</v>
      </c>
      <c r="BF23" s="390">
        <f t="shared" si="87"/>
        <v>18</v>
      </c>
      <c r="BG23" s="390">
        <f t="shared" si="87"/>
        <v>59</v>
      </c>
      <c r="BH23" s="390">
        <f t="shared" si="87"/>
        <v>20</v>
      </c>
      <c r="BI23" s="469">
        <f t="shared" si="87"/>
        <v>44</v>
      </c>
      <c r="BJ23" s="469">
        <f t="shared" si="87"/>
        <v>37</v>
      </c>
      <c r="BK23" s="469">
        <f t="shared" si="87"/>
        <v>36</v>
      </c>
      <c r="BL23" s="469">
        <f t="shared" si="87"/>
        <v>18</v>
      </c>
      <c r="BM23" s="469">
        <f t="shared" si="87"/>
        <v>42</v>
      </c>
      <c r="BN23" s="581">
        <f t="shared" si="87"/>
        <v>15</v>
      </c>
      <c r="BO23" s="461"/>
      <c r="BP23" s="580">
        <f t="shared" si="8"/>
        <v>37110000000000</v>
      </c>
      <c r="BQ23" s="252" t="str">
        <f t="shared" si="9"/>
        <v/>
      </c>
      <c r="BR23" s="252">
        <f t="shared" si="10"/>
        <v>69650000000000</v>
      </c>
      <c r="BS23" s="252" t="str">
        <f t="shared" si="11"/>
        <v/>
      </c>
      <c r="BT23" s="252" t="str">
        <f t="shared" si="12"/>
        <v/>
      </c>
      <c r="BU23" s="252">
        <f t="shared" si="13"/>
        <v>47710000000000</v>
      </c>
      <c r="BV23" s="390">
        <f t="shared" si="14"/>
        <v>92140000000000</v>
      </c>
      <c r="BW23" s="390">
        <f t="shared" si="15"/>
        <v>69650000000000</v>
      </c>
      <c r="BX23" s="390" t="str">
        <f t="shared" si="16"/>
        <v/>
      </c>
      <c r="BY23" s="390" t="str">
        <f t="shared" si="17"/>
        <v/>
      </c>
      <c r="BZ23" s="390">
        <f t="shared" si="18"/>
        <v>60080000000000</v>
      </c>
      <c r="CA23" s="390">
        <f t="shared" si="19"/>
        <v>22020000000000</v>
      </c>
      <c r="CB23" s="469">
        <f t="shared" si="20"/>
        <v>5240000000000</v>
      </c>
      <c r="CC23" s="469" t="str">
        <f t="shared" si="21"/>
        <v/>
      </c>
      <c r="CD23" s="469">
        <f t="shared" si="22"/>
        <v>1.05E+15</v>
      </c>
      <c r="CE23" s="469" t="str">
        <f t="shared" si="23"/>
        <v/>
      </c>
      <c r="CF23" s="469" t="str">
        <f t="shared" si="24"/>
        <v/>
      </c>
      <c r="CG23" s="581" t="str">
        <f t="shared" si="25"/>
        <v/>
      </c>
      <c r="CH23" s="461"/>
      <c r="CI23" s="580" t="str">
        <f t="array" ref="CI23">LET(
array,SORT({$Y$2:$AB$19,TRANSPOSE($BP23:$CG23)},4,TRUE),
col,CHOOSECOLS(array,5),
row,MATCH(FALSE, ISBLANK(col), 0),
IF(BP23=SWITCH($AA$22,
"minimum cost", MIN($BP23:$CG23),
"maximum cost", MAX($BP23:$CG23), 
"custom order", IF(CI$1=INDEX(array, row,1),INDEX(array, row,5),"x"))
,1,))</f>
        <v/>
      </c>
      <c r="CJ23" s="252" t="str">
        <f t="array" ref="CJ23">LET(
array,SORT({$Y$2:$AB$19,TRANSPOSE($BP23:$CG23)},4,TRUE),
col,CHOOSECOLS(array,5),
row,MATCH(FALSE, ISBLANK(col), 0),
IF(BQ23=SWITCH($AA$22,
"minimum cost", MIN($BP23:$CG23),
"maximum cost", MAX($BP23:$CG23), 
"custom order", IF(CJ$1=INDEX(array, row,1),INDEX(array, row,5),"x"))
,1,))</f>
        <v/>
      </c>
      <c r="CK23" s="252" t="str">
        <f t="array" ref="CK23">LET(
array,SORT({$Y$2:$AB$19,TRANSPOSE($BP23:$CG23)},4,TRUE),
col,CHOOSECOLS(array,5),
row,MATCH(FALSE, ISBLANK(col), 0),
IF(BR23=SWITCH($AA$22,
"minimum cost", MIN($BP23:$CG23),
"maximum cost", MAX($BP23:$CG23), 
"custom order", IF(CK$1=INDEX(array, row,1),INDEX(array, row,5),"x"))
,1,))</f>
        <v/>
      </c>
      <c r="CL23" s="252" t="str">
        <f t="array" ref="CL23">LET(
array,SORT({$Y$2:$AB$19,TRANSPOSE($BP23:$CG23)},4,TRUE),
col,CHOOSECOLS(array,5),
row,MATCH(FALSE, ISBLANK(col), 0),
IF(BS23=SWITCH($AA$22,
"minimum cost", MIN($BP23:$CG23),
"maximum cost", MAX($BP23:$CG23), 
"custom order", IF(CL$1=INDEX(array, row,1),INDEX(array, row,5),"x"))
,1,))</f>
        <v/>
      </c>
      <c r="CM23" s="252" t="str">
        <f t="array" ref="CM23">LET(
array,SORT({$Y$2:$AB$19,TRANSPOSE($BP23:$CG23)},4,TRUE),
col,CHOOSECOLS(array,5),
row,MATCH(FALSE, ISBLANK(col), 0),
IF(BT23=SWITCH($AA$22,
"minimum cost", MIN($BP23:$CG23),
"maximum cost", MAX($BP23:$CG23), 
"custom order", IF(CM$1=INDEX(array, row,1),INDEX(array, row,5),"x"))
,1,))</f>
        <v/>
      </c>
      <c r="CN23" s="252" t="str">
        <f t="array" ref="CN23">LET(
array,SORT({$Y$2:$AB$19,TRANSPOSE($BP23:$CG23)},4,TRUE),
col,CHOOSECOLS(array,5),
row,MATCH(FALSE, ISBLANK(col), 0),
IF(BU23=SWITCH($AA$22,
"minimum cost", MIN($BP23:$CG23),
"maximum cost", MAX($BP23:$CG23), 
"custom order", IF(CN$1=INDEX(array, row,1),INDEX(array, row,5),"x"))
,1,))</f>
        <v/>
      </c>
      <c r="CO23" s="390" t="str">
        <f t="array" ref="CO23">LET(
array,SORT({$Y$2:$AB$19,TRANSPOSE($BP23:$CG23)},4,TRUE),
col,CHOOSECOLS(array,5),
row,MATCH(FALSE, ISBLANK(col), 0),
IF(BV23=SWITCH($AA$22,
"minimum cost", MIN($BP23:$CG23),
"maximum cost", MAX($BP23:$CG23), 
"custom order", IF(CO$1=INDEX(array, row,1),INDEX(array, row,5),"x"))
,1,))</f>
        <v/>
      </c>
      <c r="CP23" s="390" t="str">
        <f t="array" ref="CP23">LET(
array,SORT({$Y$2:$AB$19,TRANSPOSE($BP23:$CG23)},4,TRUE),
col,CHOOSECOLS(array,5),
row,MATCH(FALSE, ISBLANK(col), 0),
IF(BW23=SWITCH($AA$22,
"minimum cost", MIN($BP23:$CG23),
"maximum cost", MAX($BP23:$CG23), 
"custom order", IF(CP$1=INDEX(array, row,1),INDEX(array, row,5),"x"))
,1,))</f>
        <v/>
      </c>
      <c r="CQ23" s="390" t="str">
        <f t="array" ref="CQ23">LET(
array,SORT({$Y$2:$AB$19,TRANSPOSE($BP23:$CG23)},4,TRUE),
col,CHOOSECOLS(array,5),
row,MATCH(FALSE, ISBLANK(col), 0),
IF(BX23=SWITCH($AA$22,
"minimum cost", MIN($BP23:$CG23),
"maximum cost", MAX($BP23:$CG23), 
"custom order", IF(CQ$1=INDEX(array, row,1),INDEX(array, row,5),"x"))
,1,))</f>
        <v/>
      </c>
      <c r="CR23" s="390" t="str">
        <f t="array" ref="CR23">LET(
array,SORT({$Y$2:$AB$19,TRANSPOSE($BP23:$CG23)},4,TRUE),
col,CHOOSECOLS(array,5),
row,MATCH(FALSE, ISBLANK(col), 0),
IF(BY23=SWITCH($AA$22,
"minimum cost", MIN($BP23:$CG23),
"maximum cost", MAX($BP23:$CG23), 
"custom order", IF(CR$1=INDEX(array, row,1),INDEX(array, row,5),"x"))
,1,))</f>
        <v/>
      </c>
      <c r="CS23" s="390" t="str">
        <f t="array" ref="CS23">LET(
array,SORT({$Y$2:$AB$19,TRANSPOSE($BP23:$CG23)},4,TRUE),
col,CHOOSECOLS(array,5),
row,MATCH(FALSE, ISBLANK(col), 0),
IF(BZ23=SWITCH($AA$22,
"minimum cost", MIN($BP23:$CG23),
"maximum cost", MAX($BP23:$CG23), 
"custom order", IF(CS$1=INDEX(array, row,1),INDEX(array, row,5),"x"))
,1,))</f>
        <v/>
      </c>
      <c r="CT23" s="390" t="str">
        <f t="array" ref="CT23">LET(
array,SORT({$Y$2:$AB$19,TRANSPOSE($BP23:$CG23)},4,TRUE),
col,CHOOSECOLS(array,5),
row,MATCH(FALSE, ISBLANK(col), 0),
IF(CA23=SWITCH($AA$22,
"minimum cost", MIN($BP23:$CG23),
"maximum cost", MAX($BP23:$CG23), 
"custom order", IF(CT$1=INDEX(array, row,1),INDEX(array, row,5),"x"))
,1,))</f>
        <v/>
      </c>
      <c r="CU23" s="469" t="str">
        <f t="array" ref="CU23">LET(
array,SORT({$Y$2:$AB$19,TRANSPOSE($BP23:$CG23)},4,TRUE),
col,CHOOSECOLS(array,5),
row,MATCH(FALSE, ISBLANK(col), 0),
IF(CB23=SWITCH($AA$22,
"minimum cost", MIN($BP23:$CG23),
"maximum cost", MAX($BP23:$CG23), 
"custom order", IF(CU$1=INDEX(array, row,1),INDEX(array, row,5),"x"))
,1,))</f>
        <v/>
      </c>
      <c r="CV23" s="469" t="str">
        <f t="array" ref="CV23">LET(
array,SORT({$Y$2:$AB$19,TRANSPOSE($BP23:$CG23)},4,TRUE),
col,CHOOSECOLS(array,5),
row,MATCH(FALSE, ISBLANK(col), 0),
IF(CC23=SWITCH($AA$22,
"minimum cost", MIN($BP23:$CG23),
"maximum cost", MAX($BP23:$CG23), 
"custom order", IF(CV$1=INDEX(array, row,1),INDEX(array, row,5),"x"))
,1,))</f>
        <v/>
      </c>
      <c r="CW23" s="469">
        <f t="array" ref="CW23">LET(
array,SORT({$Y$2:$AB$19,TRANSPOSE($BP23:$CG23)},4,TRUE),
col,CHOOSECOLS(array,5),
row,MATCH(FALSE, ISBLANK(col), 0),
IF(CD23=SWITCH($AA$22,
"minimum cost", MIN($BP23:$CG23),
"maximum cost", MAX($BP23:$CG23), 
"custom order", IF(CW$1=INDEX(array, row,1),INDEX(array, row,5),"x"))
,1,))</f>
        <v>1</v>
      </c>
      <c r="CX23" s="469" t="str">
        <f t="array" ref="CX23">LET(
array,SORT({$Y$2:$AB$19,TRANSPOSE($BP23:$CG23)},4,TRUE),
col,CHOOSECOLS(array,5),
row,MATCH(FALSE, ISBLANK(col), 0),
IF(CE23=SWITCH($AA$22,
"minimum cost", MIN($BP23:$CG23),
"maximum cost", MAX($BP23:$CG23), 
"custom order", IF(CX$1=INDEX(array, row,1),INDEX(array, row,5),"x"))
,1,))</f>
        <v/>
      </c>
      <c r="CY23" s="469" t="str">
        <f t="array" ref="CY23">LET(
array,SORT({$Y$2:$AB$19,TRANSPOSE($BP23:$CG23)},4,TRUE),
col,CHOOSECOLS(array,5),
row,MATCH(FALSE, ISBLANK(col), 0),
IF(CF23=SWITCH($AA$22,
"minimum cost", MIN($BP23:$CG23),
"maximum cost", MAX($BP23:$CG23), 
"custom order", IF(CY$1=INDEX(array, row,1),INDEX(array, row,5),"x"))
,1,))</f>
        <v/>
      </c>
      <c r="CZ23" s="581" t="str">
        <f t="array" ref="CZ23">LET(
array,SORT({$Y$2:$AB$19,TRANSPOSE($BP23:$CG23)},4,TRUE),
col,CHOOSECOLS(array,5),
row,MATCH(FALSE, ISBLANK(col), 0),
IF(CG23=SWITCH($AA$22,
"minimum cost", MIN($BP23:$CG23),
"maximum cost", MAX($BP23:$CG23), 
"custom order", IF(CZ$1=INDEX(array, row,1),INDEX(array, row,5),"x"))
,1,))</f>
        <v/>
      </c>
      <c r="DA23" s="461"/>
      <c r="DB23" s="580" t="str">
        <f t="array" ref="DB23:DS23">IF(MATCH(1, CI23:CZ23, 0)=COLUMN(CI23:CZ23)-COLUMN(CI23)+1, CI23:CZ23, "")</f>
        <v/>
      </c>
      <c r="DC23" s="252" t="s">
        <v>133</v>
      </c>
      <c r="DD23" s="252" t="s">
        <v>133</v>
      </c>
      <c r="DE23" s="252" t="s">
        <v>133</v>
      </c>
      <c r="DF23" s="252" t="s">
        <v>133</v>
      </c>
      <c r="DG23" s="252" t="s">
        <v>133</v>
      </c>
      <c r="DH23" s="390" t="s">
        <v>133</v>
      </c>
      <c r="DI23" s="390" t="s">
        <v>133</v>
      </c>
      <c r="DJ23" s="390" t="s">
        <v>133</v>
      </c>
      <c r="DK23" s="390" t="s">
        <v>133</v>
      </c>
      <c r="DL23" s="390" t="s">
        <v>133</v>
      </c>
      <c r="DM23" s="390" t="s">
        <v>133</v>
      </c>
      <c r="DN23" s="469" t="s">
        <v>133</v>
      </c>
      <c r="DO23" s="469" t="s">
        <v>133</v>
      </c>
      <c r="DP23" s="469">
        <v>1.0</v>
      </c>
      <c r="DQ23" s="469" t="s">
        <v>133</v>
      </c>
      <c r="DR23" s="469" t="s">
        <v>133</v>
      </c>
      <c r="DS23" s="581" t="s">
        <v>133</v>
      </c>
      <c r="DT23" s="563"/>
    </row>
    <row r="24">
      <c r="A24" s="673"/>
      <c r="B24" s="674"/>
      <c r="C24" s="678"/>
      <c r="D24" s="675"/>
      <c r="E24" s="692"/>
      <c r="F24" s="675"/>
      <c r="G24" s="692"/>
      <c r="H24" s="675"/>
      <c r="I24" s="692"/>
      <c r="J24" s="675"/>
      <c r="K24" s="692"/>
      <c r="L24" s="675"/>
      <c r="M24" s="676"/>
      <c r="N24" s="10"/>
      <c r="O24" s="10"/>
      <c r="P24" s="10"/>
      <c r="Q24" s="570" t="str">
        <f>IFERROR(__xludf.DUMMYFUNCTION("IF(SUM(DB24:DS24),ARRAYFORMULA(FILTER(DB$1:DS$1, DB24:DS24=1)),)"),"Health Regen")</f>
        <v>Health Regen</v>
      </c>
      <c r="R24" s="571">
        <f>IFERROR(__xludf.DUMMYFUNCTION("IF(SUM(DB24:DS24),ARRAYFORMULA(FILTER(AW24:BN24, DB24:DS24=1))+1,)"),61.0)</f>
        <v>61</v>
      </c>
      <c r="S24" s="572">
        <f>IFERROR(__xludf.DUMMYFUNCTION("IF(SUM(DB24:DS24),ARRAYFORMULA(FILTER(AD24:AU24, DB24:DS24=1)),)"),6.965E13)</f>
        <v>69650000000000</v>
      </c>
      <c r="T24" s="572">
        <f t="shared" si="26"/>
        <v>8.2118E+15</v>
      </c>
      <c r="U24" s="573" t="str">
        <f t="shared" ref="U24:V24" si="88">FORMAT_NUMBER(S24)</f>
        <v>69.65 T</v>
      </c>
      <c r="V24" s="574" t="str">
        <f t="shared" si="88"/>
        <v>8.21 q</v>
      </c>
      <c r="W24" s="677"/>
      <c r="X24" s="461"/>
      <c r="Y24" s="693" t="s">
        <v>225</v>
      </c>
      <c r="Z24" s="694" t="s">
        <v>226</v>
      </c>
      <c r="AA24" s="695"/>
      <c r="AB24" s="696"/>
      <c r="AC24" s="461"/>
      <c r="AD24" s="580">
        <f t="shared" ref="AD24:AU24" si="89">IFERROR(WSPCOST_SINGLE_ADJUSTED(AD$1,1+AW24),)</f>
        <v>37110000000000</v>
      </c>
      <c r="AE24" s="252">
        <f t="shared" si="89"/>
        <v>82420000000</v>
      </c>
      <c r="AF24" s="252">
        <f t="shared" si="89"/>
        <v>69650000000000</v>
      </c>
      <c r="AG24" s="252">
        <f t="shared" si="89"/>
        <v>21210000000</v>
      </c>
      <c r="AH24" s="252">
        <f t="shared" si="89"/>
        <v>43890000000000</v>
      </c>
      <c r="AI24" s="252">
        <f t="shared" si="89"/>
        <v>47710000000000</v>
      </c>
      <c r="AJ24" s="390">
        <f t="shared" si="89"/>
        <v>92140000000000</v>
      </c>
      <c r="AK24" s="390">
        <f t="shared" si="89"/>
        <v>69650000000000</v>
      </c>
      <c r="AL24" s="390">
        <f t="shared" si="89"/>
        <v>5000000000</v>
      </c>
      <c r="AM24" s="390">
        <f t="shared" si="89"/>
        <v>33950000000</v>
      </c>
      <c r="AN24" s="390">
        <f t="shared" si="89"/>
        <v>60080000000000</v>
      </c>
      <c r="AO24" s="390">
        <f t="shared" si="89"/>
        <v>22020000000000</v>
      </c>
      <c r="AP24" s="469">
        <f t="shared" si="89"/>
        <v>5240000000000</v>
      </c>
      <c r="AQ24" s="469">
        <f t="shared" si="89"/>
        <v>1.3E+15</v>
      </c>
      <c r="AR24" s="469">
        <f t="shared" si="89"/>
        <v>1.3E+15</v>
      </c>
      <c r="AS24" s="469">
        <f t="shared" si="89"/>
        <v>420490000000000</v>
      </c>
      <c r="AT24" s="469">
        <f t="shared" si="89"/>
        <v>3990000000000</v>
      </c>
      <c r="AU24" s="581">
        <f t="shared" si="89"/>
        <v>1.14E+15</v>
      </c>
      <c r="AV24" s="461"/>
      <c r="AW24" s="580">
        <f t="shared" ref="AW24:BN24" si="90">AW23+DB23</f>
        <v>56</v>
      </c>
      <c r="AX24" s="252">
        <f t="shared" si="90"/>
        <v>21</v>
      </c>
      <c r="AY24" s="252">
        <f t="shared" si="90"/>
        <v>60</v>
      </c>
      <c r="AZ24" s="252">
        <f t="shared" si="90"/>
        <v>17</v>
      </c>
      <c r="BA24" s="252">
        <f t="shared" si="90"/>
        <v>57</v>
      </c>
      <c r="BB24" s="252">
        <f t="shared" si="90"/>
        <v>13</v>
      </c>
      <c r="BC24" s="390">
        <f t="shared" si="90"/>
        <v>62</v>
      </c>
      <c r="BD24" s="390">
        <f t="shared" si="90"/>
        <v>60</v>
      </c>
      <c r="BE24" s="390">
        <f t="shared" si="90"/>
        <v>0</v>
      </c>
      <c r="BF24" s="390">
        <f t="shared" si="90"/>
        <v>18</v>
      </c>
      <c r="BG24" s="390">
        <f t="shared" si="90"/>
        <v>59</v>
      </c>
      <c r="BH24" s="390">
        <f t="shared" si="90"/>
        <v>20</v>
      </c>
      <c r="BI24" s="469">
        <f t="shared" si="90"/>
        <v>44</v>
      </c>
      <c r="BJ24" s="469">
        <f t="shared" si="90"/>
        <v>37</v>
      </c>
      <c r="BK24" s="469">
        <f t="shared" si="90"/>
        <v>37</v>
      </c>
      <c r="BL24" s="469">
        <f t="shared" si="90"/>
        <v>18</v>
      </c>
      <c r="BM24" s="469">
        <f t="shared" si="90"/>
        <v>42</v>
      </c>
      <c r="BN24" s="581">
        <f t="shared" si="90"/>
        <v>15</v>
      </c>
      <c r="BO24" s="461"/>
      <c r="BP24" s="580">
        <f t="shared" si="8"/>
        <v>37110000000000</v>
      </c>
      <c r="BQ24" s="252" t="str">
        <f t="shared" si="9"/>
        <v/>
      </c>
      <c r="BR24" s="252">
        <f t="shared" si="10"/>
        <v>69650000000000</v>
      </c>
      <c r="BS24" s="252" t="str">
        <f t="shared" si="11"/>
        <v/>
      </c>
      <c r="BT24" s="252" t="str">
        <f t="shared" si="12"/>
        <v/>
      </c>
      <c r="BU24" s="252">
        <f t="shared" si="13"/>
        <v>47710000000000</v>
      </c>
      <c r="BV24" s="390">
        <f t="shared" si="14"/>
        <v>92140000000000</v>
      </c>
      <c r="BW24" s="390">
        <f t="shared" si="15"/>
        <v>69650000000000</v>
      </c>
      <c r="BX24" s="390" t="str">
        <f t="shared" si="16"/>
        <v/>
      </c>
      <c r="BY24" s="390" t="str">
        <f t="shared" si="17"/>
        <v/>
      </c>
      <c r="BZ24" s="390">
        <f t="shared" si="18"/>
        <v>60080000000000</v>
      </c>
      <c r="CA24" s="390">
        <f t="shared" si="19"/>
        <v>22020000000000</v>
      </c>
      <c r="CB24" s="469">
        <f t="shared" si="20"/>
        <v>5240000000000</v>
      </c>
      <c r="CC24" s="469" t="str">
        <f t="shared" si="21"/>
        <v/>
      </c>
      <c r="CD24" s="469" t="str">
        <f t="shared" si="22"/>
        <v/>
      </c>
      <c r="CE24" s="469" t="str">
        <f t="shared" si="23"/>
        <v/>
      </c>
      <c r="CF24" s="469" t="str">
        <f t="shared" si="24"/>
        <v/>
      </c>
      <c r="CG24" s="581" t="str">
        <f t="shared" si="25"/>
        <v/>
      </c>
      <c r="CH24" s="461"/>
      <c r="CI24" s="580" t="str">
        <f t="array" ref="CI24">LET(
array,SORT({$Y$2:$AB$19,TRANSPOSE($BP24:$CG24)},4,TRUE),
col,CHOOSECOLS(array,5),
row,MATCH(FALSE, ISBLANK(col), 0),
IF(BP24=SWITCH($AA$22,
"minimum cost", MIN($BP24:$CG24),
"maximum cost", MAX($BP24:$CG24), 
"custom order", IF(CI$1=INDEX(array, row,1),INDEX(array, row,5),"x"))
,1,))</f>
        <v/>
      </c>
      <c r="CJ24" s="252" t="str">
        <f t="array" ref="CJ24">LET(
array,SORT({$Y$2:$AB$19,TRANSPOSE($BP24:$CG24)},4,TRUE),
col,CHOOSECOLS(array,5),
row,MATCH(FALSE, ISBLANK(col), 0),
IF(BQ24=SWITCH($AA$22,
"minimum cost", MIN($BP24:$CG24),
"maximum cost", MAX($BP24:$CG24), 
"custom order", IF(CJ$1=INDEX(array, row,1),INDEX(array, row,5),"x"))
,1,))</f>
        <v/>
      </c>
      <c r="CK24" s="252" t="str">
        <f t="array" ref="CK24">LET(
array,SORT({$Y$2:$AB$19,TRANSPOSE($BP24:$CG24)},4,TRUE),
col,CHOOSECOLS(array,5),
row,MATCH(FALSE, ISBLANK(col), 0),
IF(BR24=SWITCH($AA$22,
"minimum cost", MIN($BP24:$CG24),
"maximum cost", MAX($BP24:$CG24), 
"custom order", IF(CK$1=INDEX(array, row,1),INDEX(array, row,5),"x"))
,1,))</f>
        <v/>
      </c>
      <c r="CL24" s="252" t="str">
        <f t="array" ref="CL24">LET(
array,SORT({$Y$2:$AB$19,TRANSPOSE($BP24:$CG24)},4,TRUE),
col,CHOOSECOLS(array,5),
row,MATCH(FALSE, ISBLANK(col), 0),
IF(BS24=SWITCH($AA$22,
"minimum cost", MIN($BP24:$CG24),
"maximum cost", MAX($BP24:$CG24), 
"custom order", IF(CL$1=INDEX(array, row,1),INDEX(array, row,5),"x"))
,1,))</f>
        <v/>
      </c>
      <c r="CM24" s="252" t="str">
        <f t="array" ref="CM24">LET(
array,SORT({$Y$2:$AB$19,TRANSPOSE($BP24:$CG24)},4,TRUE),
col,CHOOSECOLS(array,5),
row,MATCH(FALSE, ISBLANK(col), 0),
IF(BT24=SWITCH($AA$22,
"minimum cost", MIN($BP24:$CG24),
"maximum cost", MAX($BP24:$CG24), 
"custom order", IF(CM$1=INDEX(array, row,1),INDEX(array, row,5),"x"))
,1,))</f>
        <v/>
      </c>
      <c r="CN24" s="252" t="str">
        <f t="array" ref="CN24">LET(
array,SORT({$Y$2:$AB$19,TRANSPOSE($BP24:$CG24)},4,TRUE),
col,CHOOSECOLS(array,5),
row,MATCH(FALSE, ISBLANK(col), 0),
IF(BU24=SWITCH($AA$22,
"minimum cost", MIN($BP24:$CG24),
"maximum cost", MAX($BP24:$CG24), 
"custom order", IF(CN$1=INDEX(array, row,1),INDEX(array, row,5),"x"))
,1,))</f>
        <v/>
      </c>
      <c r="CO24" s="390" t="str">
        <f t="array" ref="CO24">LET(
array,SORT({$Y$2:$AB$19,TRANSPOSE($BP24:$CG24)},4,TRUE),
col,CHOOSECOLS(array,5),
row,MATCH(FALSE, ISBLANK(col), 0),
IF(BV24=SWITCH($AA$22,
"minimum cost", MIN($BP24:$CG24),
"maximum cost", MAX($BP24:$CG24), 
"custom order", IF(CO$1=INDEX(array, row,1),INDEX(array, row,5),"x"))
,1,))</f>
        <v/>
      </c>
      <c r="CP24" s="390">
        <f t="array" ref="CP24">LET(
array,SORT({$Y$2:$AB$19,TRANSPOSE($BP24:$CG24)},4,TRUE),
col,CHOOSECOLS(array,5),
row,MATCH(FALSE, ISBLANK(col), 0),
IF(BW24=SWITCH($AA$22,
"minimum cost", MIN($BP24:$CG24),
"maximum cost", MAX($BP24:$CG24), 
"custom order", IF(CP$1=INDEX(array, row,1),INDEX(array, row,5),"x"))
,1,))</f>
        <v>1</v>
      </c>
      <c r="CQ24" s="390" t="str">
        <f t="array" ref="CQ24">LET(
array,SORT({$Y$2:$AB$19,TRANSPOSE($BP24:$CG24)},4,TRUE),
col,CHOOSECOLS(array,5),
row,MATCH(FALSE, ISBLANK(col), 0),
IF(BX24=SWITCH($AA$22,
"minimum cost", MIN($BP24:$CG24),
"maximum cost", MAX($BP24:$CG24), 
"custom order", IF(CQ$1=INDEX(array, row,1),INDEX(array, row,5),"x"))
,1,))</f>
        <v/>
      </c>
      <c r="CR24" s="390" t="str">
        <f t="array" ref="CR24">LET(
array,SORT({$Y$2:$AB$19,TRANSPOSE($BP24:$CG24)},4,TRUE),
col,CHOOSECOLS(array,5),
row,MATCH(FALSE, ISBLANK(col), 0),
IF(BY24=SWITCH($AA$22,
"minimum cost", MIN($BP24:$CG24),
"maximum cost", MAX($BP24:$CG24), 
"custom order", IF(CR$1=INDEX(array, row,1),INDEX(array, row,5),"x"))
,1,))</f>
        <v/>
      </c>
      <c r="CS24" s="390" t="str">
        <f t="array" ref="CS24">LET(
array,SORT({$Y$2:$AB$19,TRANSPOSE($BP24:$CG24)},4,TRUE),
col,CHOOSECOLS(array,5),
row,MATCH(FALSE, ISBLANK(col), 0),
IF(BZ24=SWITCH($AA$22,
"minimum cost", MIN($BP24:$CG24),
"maximum cost", MAX($BP24:$CG24), 
"custom order", IF(CS$1=INDEX(array, row,1),INDEX(array, row,5),"x"))
,1,))</f>
        <v/>
      </c>
      <c r="CT24" s="390" t="str">
        <f t="array" ref="CT24">LET(
array,SORT({$Y$2:$AB$19,TRANSPOSE($BP24:$CG24)},4,TRUE),
col,CHOOSECOLS(array,5),
row,MATCH(FALSE, ISBLANK(col), 0),
IF(CA24=SWITCH($AA$22,
"minimum cost", MIN($BP24:$CG24),
"maximum cost", MAX($BP24:$CG24), 
"custom order", IF(CT$1=INDEX(array, row,1),INDEX(array, row,5),"x"))
,1,))</f>
        <v/>
      </c>
      <c r="CU24" s="469" t="str">
        <f t="array" ref="CU24">LET(
array,SORT({$Y$2:$AB$19,TRANSPOSE($BP24:$CG24)},4,TRUE),
col,CHOOSECOLS(array,5),
row,MATCH(FALSE, ISBLANK(col), 0),
IF(CB24=SWITCH($AA$22,
"minimum cost", MIN($BP24:$CG24),
"maximum cost", MAX($BP24:$CG24), 
"custom order", IF(CU$1=INDEX(array, row,1),INDEX(array, row,5),"x"))
,1,))</f>
        <v/>
      </c>
      <c r="CV24" s="469" t="str">
        <f t="array" ref="CV24">LET(
array,SORT({$Y$2:$AB$19,TRANSPOSE($BP24:$CG24)},4,TRUE),
col,CHOOSECOLS(array,5),
row,MATCH(FALSE, ISBLANK(col), 0),
IF(CC24=SWITCH($AA$22,
"minimum cost", MIN($BP24:$CG24),
"maximum cost", MAX($BP24:$CG24), 
"custom order", IF(CV$1=INDEX(array, row,1),INDEX(array, row,5),"x"))
,1,))</f>
        <v/>
      </c>
      <c r="CW24" s="469" t="str">
        <f t="array" ref="CW24">LET(
array,SORT({$Y$2:$AB$19,TRANSPOSE($BP24:$CG24)},4,TRUE),
col,CHOOSECOLS(array,5),
row,MATCH(FALSE, ISBLANK(col), 0),
IF(CD24=SWITCH($AA$22,
"minimum cost", MIN($BP24:$CG24),
"maximum cost", MAX($BP24:$CG24), 
"custom order", IF(CW$1=INDEX(array, row,1),INDEX(array, row,5),"x"))
,1,))</f>
        <v/>
      </c>
      <c r="CX24" s="469" t="str">
        <f t="array" ref="CX24">LET(
array,SORT({$Y$2:$AB$19,TRANSPOSE($BP24:$CG24)},4,TRUE),
col,CHOOSECOLS(array,5),
row,MATCH(FALSE, ISBLANK(col), 0),
IF(CE24=SWITCH($AA$22,
"minimum cost", MIN($BP24:$CG24),
"maximum cost", MAX($BP24:$CG24), 
"custom order", IF(CX$1=INDEX(array, row,1),INDEX(array, row,5),"x"))
,1,))</f>
        <v/>
      </c>
      <c r="CY24" s="469" t="str">
        <f t="array" ref="CY24">LET(
array,SORT({$Y$2:$AB$19,TRANSPOSE($BP24:$CG24)},4,TRUE),
col,CHOOSECOLS(array,5),
row,MATCH(FALSE, ISBLANK(col), 0),
IF(CF24=SWITCH($AA$22,
"minimum cost", MIN($BP24:$CG24),
"maximum cost", MAX($BP24:$CG24), 
"custom order", IF(CY$1=INDEX(array, row,1),INDEX(array, row,5),"x"))
,1,))</f>
        <v/>
      </c>
      <c r="CZ24" s="581" t="str">
        <f t="array" ref="CZ24">LET(
array,SORT({$Y$2:$AB$19,TRANSPOSE($BP24:$CG24)},4,TRUE),
col,CHOOSECOLS(array,5),
row,MATCH(FALSE, ISBLANK(col), 0),
IF(CG24=SWITCH($AA$22,
"minimum cost", MIN($BP24:$CG24),
"maximum cost", MAX($BP24:$CG24), 
"custom order", IF(CZ$1=INDEX(array, row,1),INDEX(array, row,5),"x"))
,1,))</f>
        <v/>
      </c>
      <c r="DA24" s="461"/>
      <c r="DB24" s="580" t="str">
        <f t="array" ref="DB24:DS24">IF(MATCH(1, CI24:CZ24, 0)=COLUMN(CI24:CZ24)-COLUMN(CI24)+1, CI24:CZ24, "")</f>
        <v/>
      </c>
      <c r="DC24" s="252" t="s">
        <v>133</v>
      </c>
      <c r="DD24" s="252" t="s">
        <v>133</v>
      </c>
      <c r="DE24" s="252" t="s">
        <v>133</v>
      </c>
      <c r="DF24" s="252" t="s">
        <v>133</v>
      </c>
      <c r="DG24" s="252" t="s">
        <v>133</v>
      </c>
      <c r="DH24" s="390" t="s">
        <v>133</v>
      </c>
      <c r="DI24" s="390">
        <v>1.0</v>
      </c>
      <c r="DJ24" s="390" t="s">
        <v>133</v>
      </c>
      <c r="DK24" s="390" t="s">
        <v>133</v>
      </c>
      <c r="DL24" s="390" t="s">
        <v>133</v>
      </c>
      <c r="DM24" s="390" t="s">
        <v>133</v>
      </c>
      <c r="DN24" s="469" t="s">
        <v>133</v>
      </c>
      <c r="DO24" s="469" t="s">
        <v>133</v>
      </c>
      <c r="DP24" s="469" t="s">
        <v>133</v>
      </c>
      <c r="DQ24" s="469" t="s">
        <v>133</v>
      </c>
      <c r="DR24" s="469" t="s">
        <v>133</v>
      </c>
      <c r="DS24" s="581" t="s">
        <v>133</v>
      </c>
      <c r="DT24" s="563"/>
    </row>
    <row r="25">
      <c r="A25" s="563"/>
      <c r="B25" s="697" t="s">
        <v>227</v>
      </c>
      <c r="C25" s="211"/>
      <c r="D25" s="211"/>
      <c r="E25" s="211"/>
      <c r="F25" s="211"/>
      <c r="G25" s="211"/>
      <c r="H25" s="211"/>
      <c r="I25" s="211"/>
      <c r="J25" s="211"/>
      <c r="K25" s="211"/>
      <c r="L25" s="211"/>
      <c r="M25" s="461"/>
      <c r="N25" s="10"/>
      <c r="O25" s="10"/>
      <c r="P25" s="10"/>
      <c r="Q25" s="570" t="str">
        <f>IFERROR(__xludf.DUMMYFUNCTION("IF(SUM(DB25:DS25),ARRAYFORMULA(FILTER(DB$1:DS$1, DB25:DS25=1)),)"),"Health Regen")</f>
        <v>Health Regen</v>
      </c>
      <c r="R25" s="571">
        <f>IFERROR(__xludf.DUMMYFUNCTION("IF(SUM(DB25:DS25),ARRAYFORMULA(FILTER(AW25:BN25, DB25:DS25=1))+1,)"),62.0)</f>
        <v>62</v>
      </c>
      <c r="S25" s="572">
        <f>IFERROR(__xludf.DUMMYFUNCTION("IF(SUM(DB25:DS25),ARRAYFORMULA(FILTER(AD25:AU25, DB25:DS25=1)),)"),8.031E13)</f>
        <v>80310000000000</v>
      </c>
      <c r="T25" s="572">
        <f t="shared" si="26"/>
        <v>8.29211E+15</v>
      </c>
      <c r="U25" s="573" t="str">
        <f t="shared" ref="U25:V25" si="91">FORMAT_NUMBER(S25)</f>
        <v>80.31 T</v>
      </c>
      <c r="V25" s="574" t="str">
        <f t="shared" si="91"/>
        <v>8.29 q</v>
      </c>
      <c r="W25" s="677"/>
      <c r="X25" s="461"/>
      <c r="Y25" s="698">
        <v>1.0</v>
      </c>
      <c r="Z25" s="699" t="s">
        <v>228</v>
      </c>
      <c r="AA25" s="700"/>
      <c r="AB25" s="701"/>
      <c r="AC25" s="461"/>
      <c r="AD25" s="580">
        <f t="shared" ref="AD25:AU25" si="92">IFERROR(WSPCOST_SINGLE_ADJUSTED(AD$1,1+AW25),)</f>
        <v>37110000000000</v>
      </c>
      <c r="AE25" s="252">
        <f t="shared" si="92"/>
        <v>82420000000</v>
      </c>
      <c r="AF25" s="252">
        <f t="shared" si="92"/>
        <v>69650000000000</v>
      </c>
      <c r="AG25" s="252">
        <f t="shared" si="92"/>
        <v>21210000000</v>
      </c>
      <c r="AH25" s="252">
        <f t="shared" si="92"/>
        <v>43890000000000</v>
      </c>
      <c r="AI25" s="252">
        <f t="shared" si="92"/>
        <v>47710000000000</v>
      </c>
      <c r="AJ25" s="390">
        <f t="shared" si="92"/>
        <v>92140000000000</v>
      </c>
      <c r="AK25" s="390">
        <f t="shared" si="92"/>
        <v>80310000000000</v>
      </c>
      <c r="AL25" s="390">
        <f t="shared" si="92"/>
        <v>5000000000</v>
      </c>
      <c r="AM25" s="390">
        <f t="shared" si="92"/>
        <v>33950000000</v>
      </c>
      <c r="AN25" s="390">
        <f t="shared" si="92"/>
        <v>60080000000000</v>
      </c>
      <c r="AO25" s="390">
        <f t="shared" si="92"/>
        <v>22020000000000</v>
      </c>
      <c r="AP25" s="469">
        <f t="shared" si="92"/>
        <v>5240000000000</v>
      </c>
      <c r="AQ25" s="469">
        <f t="shared" si="92"/>
        <v>1.3E+15</v>
      </c>
      <c r="AR25" s="469">
        <f t="shared" si="92"/>
        <v>1.3E+15</v>
      </c>
      <c r="AS25" s="469">
        <f t="shared" si="92"/>
        <v>420490000000000</v>
      </c>
      <c r="AT25" s="469">
        <f t="shared" si="92"/>
        <v>3990000000000</v>
      </c>
      <c r="AU25" s="581">
        <f t="shared" si="92"/>
        <v>1.14E+15</v>
      </c>
      <c r="AV25" s="461"/>
      <c r="AW25" s="580">
        <f t="shared" ref="AW25:BN25" si="93">AW24+DB24</f>
        <v>56</v>
      </c>
      <c r="AX25" s="252">
        <f t="shared" si="93"/>
        <v>21</v>
      </c>
      <c r="AY25" s="252">
        <f t="shared" si="93"/>
        <v>60</v>
      </c>
      <c r="AZ25" s="252">
        <f t="shared" si="93"/>
        <v>17</v>
      </c>
      <c r="BA25" s="252">
        <f t="shared" si="93"/>
        <v>57</v>
      </c>
      <c r="BB25" s="252">
        <f t="shared" si="93"/>
        <v>13</v>
      </c>
      <c r="BC25" s="390">
        <f t="shared" si="93"/>
        <v>62</v>
      </c>
      <c r="BD25" s="390">
        <f t="shared" si="93"/>
        <v>61</v>
      </c>
      <c r="BE25" s="390">
        <f t="shared" si="93"/>
        <v>0</v>
      </c>
      <c r="BF25" s="390">
        <f t="shared" si="93"/>
        <v>18</v>
      </c>
      <c r="BG25" s="390">
        <f t="shared" si="93"/>
        <v>59</v>
      </c>
      <c r="BH25" s="390">
        <f t="shared" si="93"/>
        <v>20</v>
      </c>
      <c r="BI25" s="469">
        <f t="shared" si="93"/>
        <v>44</v>
      </c>
      <c r="BJ25" s="469">
        <f t="shared" si="93"/>
        <v>37</v>
      </c>
      <c r="BK25" s="469">
        <f t="shared" si="93"/>
        <v>37</v>
      </c>
      <c r="BL25" s="469">
        <f t="shared" si="93"/>
        <v>18</v>
      </c>
      <c r="BM25" s="469">
        <f t="shared" si="93"/>
        <v>42</v>
      </c>
      <c r="BN25" s="581">
        <f t="shared" si="93"/>
        <v>15</v>
      </c>
      <c r="BO25" s="461"/>
      <c r="BP25" s="580">
        <f t="shared" si="8"/>
        <v>37110000000000</v>
      </c>
      <c r="BQ25" s="252" t="str">
        <f t="shared" si="9"/>
        <v/>
      </c>
      <c r="BR25" s="252">
        <f t="shared" si="10"/>
        <v>69650000000000</v>
      </c>
      <c r="BS25" s="252" t="str">
        <f t="shared" si="11"/>
        <v/>
      </c>
      <c r="BT25" s="252" t="str">
        <f t="shared" si="12"/>
        <v/>
      </c>
      <c r="BU25" s="252">
        <f t="shared" si="13"/>
        <v>47710000000000</v>
      </c>
      <c r="BV25" s="390">
        <f t="shared" si="14"/>
        <v>92140000000000</v>
      </c>
      <c r="BW25" s="390">
        <f t="shared" si="15"/>
        <v>80310000000000</v>
      </c>
      <c r="BX25" s="390" t="str">
        <f t="shared" si="16"/>
        <v/>
      </c>
      <c r="BY25" s="390" t="str">
        <f t="shared" si="17"/>
        <v/>
      </c>
      <c r="BZ25" s="390">
        <f t="shared" si="18"/>
        <v>60080000000000</v>
      </c>
      <c r="CA25" s="390">
        <f t="shared" si="19"/>
        <v>22020000000000</v>
      </c>
      <c r="CB25" s="469">
        <f t="shared" si="20"/>
        <v>5240000000000</v>
      </c>
      <c r="CC25" s="469" t="str">
        <f t="shared" si="21"/>
        <v/>
      </c>
      <c r="CD25" s="469" t="str">
        <f t="shared" si="22"/>
        <v/>
      </c>
      <c r="CE25" s="469" t="str">
        <f t="shared" si="23"/>
        <v/>
      </c>
      <c r="CF25" s="469" t="str">
        <f t="shared" si="24"/>
        <v/>
      </c>
      <c r="CG25" s="581" t="str">
        <f t="shared" si="25"/>
        <v/>
      </c>
      <c r="CH25" s="461"/>
      <c r="CI25" s="580" t="str">
        <f t="array" ref="CI25">LET(
array,SORT({$Y$2:$AB$19,TRANSPOSE($BP25:$CG25)},4,TRUE),
col,CHOOSECOLS(array,5),
row,MATCH(FALSE, ISBLANK(col), 0),
IF(BP25=SWITCH($AA$22,
"minimum cost", MIN($BP25:$CG25),
"maximum cost", MAX($BP25:$CG25), 
"custom order", IF(CI$1=INDEX(array, row,1),INDEX(array, row,5),"x"))
,1,))</f>
        <v/>
      </c>
      <c r="CJ25" s="252" t="str">
        <f t="array" ref="CJ25">LET(
array,SORT({$Y$2:$AB$19,TRANSPOSE($BP25:$CG25)},4,TRUE),
col,CHOOSECOLS(array,5),
row,MATCH(FALSE, ISBLANK(col), 0),
IF(BQ25=SWITCH($AA$22,
"minimum cost", MIN($BP25:$CG25),
"maximum cost", MAX($BP25:$CG25), 
"custom order", IF(CJ$1=INDEX(array, row,1),INDEX(array, row,5),"x"))
,1,))</f>
        <v/>
      </c>
      <c r="CK25" s="252" t="str">
        <f t="array" ref="CK25">LET(
array,SORT({$Y$2:$AB$19,TRANSPOSE($BP25:$CG25)},4,TRUE),
col,CHOOSECOLS(array,5),
row,MATCH(FALSE, ISBLANK(col), 0),
IF(BR25=SWITCH($AA$22,
"minimum cost", MIN($BP25:$CG25),
"maximum cost", MAX($BP25:$CG25), 
"custom order", IF(CK$1=INDEX(array, row,1),INDEX(array, row,5),"x"))
,1,))</f>
        <v/>
      </c>
      <c r="CL25" s="252" t="str">
        <f t="array" ref="CL25">LET(
array,SORT({$Y$2:$AB$19,TRANSPOSE($BP25:$CG25)},4,TRUE),
col,CHOOSECOLS(array,5),
row,MATCH(FALSE, ISBLANK(col), 0),
IF(BS25=SWITCH($AA$22,
"minimum cost", MIN($BP25:$CG25),
"maximum cost", MAX($BP25:$CG25), 
"custom order", IF(CL$1=INDEX(array, row,1),INDEX(array, row,5),"x"))
,1,))</f>
        <v/>
      </c>
      <c r="CM25" s="252" t="str">
        <f t="array" ref="CM25">LET(
array,SORT({$Y$2:$AB$19,TRANSPOSE($BP25:$CG25)},4,TRUE),
col,CHOOSECOLS(array,5),
row,MATCH(FALSE, ISBLANK(col), 0),
IF(BT25=SWITCH($AA$22,
"minimum cost", MIN($BP25:$CG25),
"maximum cost", MAX($BP25:$CG25), 
"custom order", IF(CM$1=INDEX(array, row,1),INDEX(array, row,5),"x"))
,1,))</f>
        <v/>
      </c>
      <c r="CN25" s="252" t="str">
        <f t="array" ref="CN25">LET(
array,SORT({$Y$2:$AB$19,TRANSPOSE($BP25:$CG25)},4,TRUE),
col,CHOOSECOLS(array,5),
row,MATCH(FALSE, ISBLANK(col), 0),
IF(BU25=SWITCH($AA$22,
"minimum cost", MIN($BP25:$CG25),
"maximum cost", MAX($BP25:$CG25), 
"custom order", IF(CN$1=INDEX(array, row,1),INDEX(array, row,5),"x"))
,1,))</f>
        <v/>
      </c>
      <c r="CO25" s="390" t="str">
        <f t="array" ref="CO25">LET(
array,SORT({$Y$2:$AB$19,TRANSPOSE($BP25:$CG25)},4,TRUE),
col,CHOOSECOLS(array,5),
row,MATCH(FALSE, ISBLANK(col), 0),
IF(BV25=SWITCH($AA$22,
"minimum cost", MIN($BP25:$CG25),
"maximum cost", MAX($BP25:$CG25), 
"custom order", IF(CO$1=INDEX(array, row,1),INDEX(array, row,5),"x"))
,1,))</f>
        <v/>
      </c>
      <c r="CP25" s="390">
        <f t="array" ref="CP25">LET(
array,SORT({$Y$2:$AB$19,TRANSPOSE($BP25:$CG25)},4,TRUE),
col,CHOOSECOLS(array,5),
row,MATCH(FALSE, ISBLANK(col), 0),
IF(BW25=SWITCH($AA$22,
"minimum cost", MIN($BP25:$CG25),
"maximum cost", MAX($BP25:$CG25), 
"custom order", IF(CP$1=INDEX(array, row,1),INDEX(array, row,5),"x"))
,1,))</f>
        <v>1</v>
      </c>
      <c r="CQ25" s="390" t="str">
        <f t="array" ref="CQ25">LET(
array,SORT({$Y$2:$AB$19,TRANSPOSE($BP25:$CG25)},4,TRUE),
col,CHOOSECOLS(array,5),
row,MATCH(FALSE, ISBLANK(col), 0),
IF(BX25=SWITCH($AA$22,
"minimum cost", MIN($BP25:$CG25),
"maximum cost", MAX($BP25:$CG25), 
"custom order", IF(CQ$1=INDEX(array, row,1),INDEX(array, row,5),"x"))
,1,))</f>
        <v/>
      </c>
      <c r="CR25" s="390" t="str">
        <f t="array" ref="CR25">LET(
array,SORT({$Y$2:$AB$19,TRANSPOSE($BP25:$CG25)},4,TRUE),
col,CHOOSECOLS(array,5),
row,MATCH(FALSE, ISBLANK(col), 0),
IF(BY25=SWITCH($AA$22,
"minimum cost", MIN($BP25:$CG25),
"maximum cost", MAX($BP25:$CG25), 
"custom order", IF(CR$1=INDEX(array, row,1),INDEX(array, row,5),"x"))
,1,))</f>
        <v/>
      </c>
      <c r="CS25" s="390" t="str">
        <f t="array" ref="CS25">LET(
array,SORT({$Y$2:$AB$19,TRANSPOSE($BP25:$CG25)},4,TRUE),
col,CHOOSECOLS(array,5),
row,MATCH(FALSE, ISBLANK(col), 0),
IF(BZ25=SWITCH($AA$22,
"minimum cost", MIN($BP25:$CG25),
"maximum cost", MAX($BP25:$CG25), 
"custom order", IF(CS$1=INDEX(array, row,1),INDEX(array, row,5),"x"))
,1,))</f>
        <v/>
      </c>
      <c r="CT25" s="390" t="str">
        <f t="array" ref="CT25">LET(
array,SORT({$Y$2:$AB$19,TRANSPOSE($BP25:$CG25)},4,TRUE),
col,CHOOSECOLS(array,5),
row,MATCH(FALSE, ISBLANK(col), 0),
IF(CA25=SWITCH($AA$22,
"minimum cost", MIN($BP25:$CG25),
"maximum cost", MAX($BP25:$CG25), 
"custom order", IF(CT$1=INDEX(array, row,1),INDEX(array, row,5),"x"))
,1,))</f>
        <v/>
      </c>
      <c r="CU25" s="469" t="str">
        <f t="array" ref="CU25">LET(
array,SORT({$Y$2:$AB$19,TRANSPOSE($BP25:$CG25)},4,TRUE),
col,CHOOSECOLS(array,5),
row,MATCH(FALSE, ISBLANK(col), 0),
IF(CB25=SWITCH($AA$22,
"minimum cost", MIN($BP25:$CG25),
"maximum cost", MAX($BP25:$CG25), 
"custom order", IF(CU$1=INDEX(array, row,1),INDEX(array, row,5),"x"))
,1,))</f>
        <v/>
      </c>
      <c r="CV25" s="469" t="str">
        <f t="array" ref="CV25">LET(
array,SORT({$Y$2:$AB$19,TRANSPOSE($BP25:$CG25)},4,TRUE),
col,CHOOSECOLS(array,5),
row,MATCH(FALSE, ISBLANK(col), 0),
IF(CC25=SWITCH($AA$22,
"minimum cost", MIN($BP25:$CG25),
"maximum cost", MAX($BP25:$CG25), 
"custom order", IF(CV$1=INDEX(array, row,1),INDEX(array, row,5),"x"))
,1,))</f>
        <v/>
      </c>
      <c r="CW25" s="469" t="str">
        <f t="array" ref="CW25">LET(
array,SORT({$Y$2:$AB$19,TRANSPOSE($BP25:$CG25)},4,TRUE),
col,CHOOSECOLS(array,5),
row,MATCH(FALSE, ISBLANK(col), 0),
IF(CD25=SWITCH($AA$22,
"minimum cost", MIN($BP25:$CG25),
"maximum cost", MAX($BP25:$CG25), 
"custom order", IF(CW$1=INDEX(array, row,1),INDEX(array, row,5),"x"))
,1,))</f>
        <v/>
      </c>
      <c r="CX25" s="469" t="str">
        <f t="array" ref="CX25">LET(
array,SORT({$Y$2:$AB$19,TRANSPOSE($BP25:$CG25)},4,TRUE),
col,CHOOSECOLS(array,5),
row,MATCH(FALSE, ISBLANK(col), 0),
IF(CE25=SWITCH($AA$22,
"minimum cost", MIN($BP25:$CG25),
"maximum cost", MAX($BP25:$CG25), 
"custom order", IF(CX$1=INDEX(array, row,1),INDEX(array, row,5),"x"))
,1,))</f>
        <v/>
      </c>
      <c r="CY25" s="469" t="str">
        <f t="array" ref="CY25">LET(
array,SORT({$Y$2:$AB$19,TRANSPOSE($BP25:$CG25)},4,TRUE),
col,CHOOSECOLS(array,5),
row,MATCH(FALSE, ISBLANK(col), 0),
IF(CF25=SWITCH($AA$22,
"minimum cost", MIN($BP25:$CG25),
"maximum cost", MAX($BP25:$CG25), 
"custom order", IF(CY$1=INDEX(array, row,1),INDEX(array, row,5),"x"))
,1,))</f>
        <v/>
      </c>
      <c r="CZ25" s="581" t="str">
        <f t="array" ref="CZ25">LET(
array,SORT({$Y$2:$AB$19,TRANSPOSE($BP25:$CG25)},4,TRUE),
col,CHOOSECOLS(array,5),
row,MATCH(FALSE, ISBLANK(col), 0),
IF(CG25=SWITCH($AA$22,
"minimum cost", MIN($BP25:$CG25),
"maximum cost", MAX($BP25:$CG25), 
"custom order", IF(CZ$1=INDEX(array, row,1),INDEX(array, row,5),"x"))
,1,))</f>
        <v/>
      </c>
      <c r="DA25" s="461"/>
      <c r="DB25" s="580" t="str">
        <f t="array" ref="DB25:DS25">IF(MATCH(1, CI25:CZ25, 0)=COLUMN(CI25:CZ25)-COLUMN(CI25)+1, CI25:CZ25, "")</f>
        <v/>
      </c>
      <c r="DC25" s="252" t="s">
        <v>133</v>
      </c>
      <c r="DD25" s="252" t="s">
        <v>133</v>
      </c>
      <c r="DE25" s="252" t="s">
        <v>133</v>
      </c>
      <c r="DF25" s="252" t="s">
        <v>133</v>
      </c>
      <c r="DG25" s="252" t="s">
        <v>133</v>
      </c>
      <c r="DH25" s="390" t="s">
        <v>133</v>
      </c>
      <c r="DI25" s="390">
        <v>1.0</v>
      </c>
      <c r="DJ25" s="390" t="s">
        <v>133</v>
      </c>
      <c r="DK25" s="390" t="s">
        <v>133</v>
      </c>
      <c r="DL25" s="390" t="s">
        <v>133</v>
      </c>
      <c r="DM25" s="390" t="s">
        <v>133</v>
      </c>
      <c r="DN25" s="469" t="s">
        <v>133</v>
      </c>
      <c r="DO25" s="469" t="s">
        <v>133</v>
      </c>
      <c r="DP25" s="469" t="s">
        <v>133</v>
      </c>
      <c r="DQ25" s="469" t="s">
        <v>133</v>
      </c>
      <c r="DR25" s="469" t="s">
        <v>133</v>
      </c>
      <c r="DS25" s="581" t="s">
        <v>133</v>
      </c>
      <c r="DT25" s="563"/>
    </row>
    <row r="26">
      <c r="A26" s="563"/>
      <c r="B26" s="702"/>
      <c r="M26" s="461"/>
      <c r="N26" s="10"/>
      <c r="O26" s="10"/>
      <c r="P26" s="10"/>
      <c r="Q26" s="570" t="str">
        <f>IFERROR(__xludf.DUMMYFUNCTION("IF(SUM(DB26:DS26),ARRAYFORMULA(FILTER(DB$1:DS$1, DB26:DS26=1)),)"),"Health Regen")</f>
        <v>Health Regen</v>
      </c>
      <c r="R26" s="571">
        <f>IFERROR(__xludf.DUMMYFUNCTION("IF(SUM(DB26:DS26),ARRAYFORMULA(FILTER(AW26:BN26, DB26:DS26=1))+1,)"),63.0)</f>
        <v>63</v>
      </c>
      <c r="S26" s="572">
        <f>IFERROR(__xludf.DUMMYFUNCTION("IF(SUM(DB26:DS26),ARRAYFORMULA(FILTER(AD26:AU26, DB26:DS26=1)),)"),9.214E13)</f>
        <v>92140000000000</v>
      </c>
      <c r="T26" s="572">
        <f t="shared" si="26"/>
        <v>8.38425E+15</v>
      </c>
      <c r="U26" s="573" t="str">
        <f t="shared" ref="U26:V26" si="94">FORMAT_NUMBER(S26)</f>
        <v>92.14 T</v>
      </c>
      <c r="V26" s="574" t="str">
        <f t="shared" si="94"/>
        <v>8.38 q</v>
      </c>
      <c r="W26" s="677"/>
      <c r="X26" s="461"/>
      <c r="Y26" s="698">
        <v>2.0</v>
      </c>
      <c r="Z26" s="699" t="s">
        <v>229</v>
      </c>
      <c r="AA26" s="700"/>
      <c r="AB26" s="701"/>
      <c r="AC26" s="461"/>
      <c r="AD26" s="580">
        <f t="shared" ref="AD26:AU26" si="95">IFERROR(WSPCOST_SINGLE_ADJUSTED(AD$1,1+AW26),)</f>
        <v>37110000000000</v>
      </c>
      <c r="AE26" s="252">
        <f t="shared" si="95"/>
        <v>82420000000</v>
      </c>
      <c r="AF26" s="252">
        <f t="shared" si="95"/>
        <v>69650000000000</v>
      </c>
      <c r="AG26" s="252">
        <f t="shared" si="95"/>
        <v>21210000000</v>
      </c>
      <c r="AH26" s="252">
        <f t="shared" si="95"/>
        <v>43890000000000</v>
      </c>
      <c r="AI26" s="252">
        <f t="shared" si="95"/>
        <v>47710000000000</v>
      </c>
      <c r="AJ26" s="390">
        <f t="shared" si="95"/>
        <v>92140000000000</v>
      </c>
      <c r="AK26" s="390">
        <f t="shared" si="95"/>
        <v>92140000000000</v>
      </c>
      <c r="AL26" s="390">
        <f t="shared" si="95"/>
        <v>5000000000</v>
      </c>
      <c r="AM26" s="390">
        <f t="shared" si="95"/>
        <v>33950000000</v>
      </c>
      <c r="AN26" s="390">
        <f t="shared" si="95"/>
        <v>60080000000000</v>
      </c>
      <c r="AO26" s="390">
        <f t="shared" si="95"/>
        <v>22020000000000</v>
      </c>
      <c r="AP26" s="469">
        <f t="shared" si="95"/>
        <v>5240000000000</v>
      </c>
      <c r="AQ26" s="469">
        <f t="shared" si="95"/>
        <v>1.3E+15</v>
      </c>
      <c r="AR26" s="469">
        <f t="shared" si="95"/>
        <v>1.3E+15</v>
      </c>
      <c r="AS26" s="469">
        <f t="shared" si="95"/>
        <v>420490000000000</v>
      </c>
      <c r="AT26" s="469">
        <f t="shared" si="95"/>
        <v>3990000000000</v>
      </c>
      <c r="AU26" s="581">
        <f t="shared" si="95"/>
        <v>1.14E+15</v>
      </c>
      <c r="AV26" s="461"/>
      <c r="AW26" s="580">
        <f t="shared" ref="AW26:BN26" si="96">AW25+DB25</f>
        <v>56</v>
      </c>
      <c r="AX26" s="252">
        <f t="shared" si="96"/>
        <v>21</v>
      </c>
      <c r="AY26" s="252">
        <f t="shared" si="96"/>
        <v>60</v>
      </c>
      <c r="AZ26" s="252">
        <f t="shared" si="96"/>
        <v>17</v>
      </c>
      <c r="BA26" s="252">
        <f t="shared" si="96"/>
        <v>57</v>
      </c>
      <c r="BB26" s="252">
        <f t="shared" si="96"/>
        <v>13</v>
      </c>
      <c r="BC26" s="390">
        <f t="shared" si="96"/>
        <v>62</v>
      </c>
      <c r="BD26" s="390">
        <f t="shared" si="96"/>
        <v>62</v>
      </c>
      <c r="BE26" s="390">
        <f t="shared" si="96"/>
        <v>0</v>
      </c>
      <c r="BF26" s="390">
        <f t="shared" si="96"/>
        <v>18</v>
      </c>
      <c r="BG26" s="390">
        <f t="shared" si="96"/>
        <v>59</v>
      </c>
      <c r="BH26" s="390">
        <f t="shared" si="96"/>
        <v>20</v>
      </c>
      <c r="BI26" s="469">
        <f t="shared" si="96"/>
        <v>44</v>
      </c>
      <c r="BJ26" s="469">
        <f t="shared" si="96"/>
        <v>37</v>
      </c>
      <c r="BK26" s="469">
        <f t="shared" si="96"/>
        <v>37</v>
      </c>
      <c r="BL26" s="469">
        <f t="shared" si="96"/>
        <v>18</v>
      </c>
      <c r="BM26" s="469">
        <f t="shared" si="96"/>
        <v>42</v>
      </c>
      <c r="BN26" s="581">
        <f t="shared" si="96"/>
        <v>15</v>
      </c>
      <c r="BO26" s="461"/>
      <c r="BP26" s="580">
        <f t="shared" si="8"/>
        <v>37110000000000</v>
      </c>
      <c r="BQ26" s="252" t="str">
        <f t="shared" si="9"/>
        <v/>
      </c>
      <c r="BR26" s="252">
        <f t="shared" si="10"/>
        <v>69650000000000</v>
      </c>
      <c r="BS26" s="252" t="str">
        <f t="shared" si="11"/>
        <v/>
      </c>
      <c r="BT26" s="252" t="str">
        <f t="shared" si="12"/>
        <v/>
      </c>
      <c r="BU26" s="252">
        <f t="shared" si="13"/>
        <v>47710000000000</v>
      </c>
      <c r="BV26" s="390">
        <f t="shared" si="14"/>
        <v>92140000000000</v>
      </c>
      <c r="BW26" s="390">
        <f t="shared" si="15"/>
        <v>92140000000000</v>
      </c>
      <c r="BX26" s="390" t="str">
        <f t="shared" si="16"/>
        <v/>
      </c>
      <c r="BY26" s="390" t="str">
        <f t="shared" si="17"/>
        <v/>
      </c>
      <c r="BZ26" s="390">
        <f t="shared" si="18"/>
        <v>60080000000000</v>
      </c>
      <c r="CA26" s="390">
        <f t="shared" si="19"/>
        <v>22020000000000</v>
      </c>
      <c r="CB26" s="469">
        <f t="shared" si="20"/>
        <v>5240000000000</v>
      </c>
      <c r="CC26" s="469" t="str">
        <f t="shared" si="21"/>
        <v/>
      </c>
      <c r="CD26" s="469" t="str">
        <f t="shared" si="22"/>
        <v/>
      </c>
      <c r="CE26" s="469" t="str">
        <f t="shared" si="23"/>
        <v/>
      </c>
      <c r="CF26" s="469" t="str">
        <f t="shared" si="24"/>
        <v/>
      </c>
      <c r="CG26" s="581" t="str">
        <f t="shared" si="25"/>
        <v/>
      </c>
      <c r="CH26" s="461"/>
      <c r="CI26" s="580" t="str">
        <f t="array" ref="CI26">LET(
array,SORT({$Y$2:$AB$19,TRANSPOSE($BP26:$CG26)},4,TRUE),
col,CHOOSECOLS(array,5),
row,MATCH(FALSE, ISBLANK(col), 0),
IF(BP26=SWITCH($AA$22,
"minimum cost", MIN($BP26:$CG26),
"maximum cost", MAX($BP26:$CG26), 
"custom order", IF(CI$1=INDEX(array, row,1),INDEX(array, row,5),"x"))
,1,))</f>
        <v/>
      </c>
      <c r="CJ26" s="252" t="str">
        <f t="array" ref="CJ26">LET(
array,SORT({$Y$2:$AB$19,TRANSPOSE($BP26:$CG26)},4,TRUE),
col,CHOOSECOLS(array,5),
row,MATCH(FALSE, ISBLANK(col), 0),
IF(BQ26=SWITCH($AA$22,
"minimum cost", MIN($BP26:$CG26),
"maximum cost", MAX($BP26:$CG26), 
"custom order", IF(CJ$1=INDEX(array, row,1),INDEX(array, row,5),"x"))
,1,))</f>
        <v/>
      </c>
      <c r="CK26" s="252" t="str">
        <f t="array" ref="CK26">LET(
array,SORT({$Y$2:$AB$19,TRANSPOSE($BP26:$CG26)},4,TRUE),
col,CHOOSECOLS(array,5),
row,MATCH(FALSE, ISBLANK(col), 0),
IF(BR26=SWITCH($AA$22,
"minimum cost", MIN($BP26:$CG26),
"maximum cost", MAX($BP26:$CG26), 
"custom order", IF(CK$1=INDEX(array, row,1),INDEX(array, row,5),"x"))
,1,))</f>
        <v/>
      </c>
      <c r="CL26" s="252" t="str">
        <f t="array" ref="CL26">LET(
array,SORT({$Y$2:$AB$19,TRANSPOSE($BP26:$CG26)},4,TRUE),
col,CHOOSECOLS(array,5),
row,MATCH(FALSE, ISBLANK(col), 0),
IF(BS26=SWITCH($AA$22,
"minimum cost", MIN($BP26:$CG26),
"maximum cost", MAX($BP26:$CG26), 
"custom order", IF(CL$1=INDEX(array, row,1),INDEX(array, row,5),"x"))
,1,))</f>
        <v/>
      </c>
      <c r="CM26" s="252" t="str">
        <f t="array" ref="CM26">LET(
array,SORT({$Y$2:$AB$19,TRANSPOSE($BP26:$CG26)},4,TRUE),
col,CHOOSECOLS(array,5),
row,MATCH(FALSE, ISBLANK(col), 0),
IF(BT26=SWITCH($AA$22,
"minimum cost", MIN($BP26:$CG26),
"maximum cost", MAX($BP26:$CG26), 
"custom order", IF(CM$1=INDEX(array, row,1),INDEX(array, row,5),"x"))
,1,))</f>
        <v/>
      </c>
      <c r="CN26" s="252" t="str">
        <f t="array" ref="CN26">LET(
array,SORT({$Y$2:$AB$19,TRANSPOSE($BP26:$CG26)},4,TRUE),
col,CHOOSECOLS(array,5),
row,MATCH(FALSE, ISBLANK(col), 0),
IF(BU26=SWITCH($AA$22,
"minimum cost", MIN($BP26:$CG26),
"maximum cost", MAX($BP26:$CG26), 
"custom order", IF(CN$1=INDEX(array, row,1),INDEX(array, row,5),"x"))
,1,))</f>
        <v/>
      </c>
      <c r="CO26" s="390" t="str">
        <f t="array" ref="CO26">LET(
array,SORT({$Y$2:$AB$19,TRANSPOSE($BP26:$CG26)},4,TRUE),
col,CHOOSECOLS(array,5),
row,MATCH(FALSE, ISBLANK(col), 0),
IF(BV26=SWITCH($AA$22,
"minimum cost", MIN($BP26:$CG26),
"maximum cost", MAX($BP26:$CG26), 
"custom order", IF(CO$1=INDEX(array, row,1),INDEX(array, row,5),"x"))
,1,))</f>
        <v/>
      </c>
      <c r="CP26" s="390">
        <f t="array" ref="CP26">LET(
array,SORT({$Y$2:$AB$19,TRANSPOSE($BP26:$CG26)},4,TRUE),
col,CHOOSECOLS(array,5),
row,MATCH(FALSE, ISBLANK(col), 0),
IF(BW26=SWITCH($AA$22,
"minimum cost", MIN($BP26:$CG26),
"maximum cost", MAX($BP26:$CG26), 
"custom order", IF(CP$1=INDEX(array, row,1),INDEX(array, row,5),"x"))
,1,))</f>
        <v>1</v>
      </c>
      <c r="CQ26" s="390" t="str">
        <f t="array" ref="CQ26">LET(
array,SORT({$Y$2:$AB$19,TRANSPOSE($BP26:$CG26)},4,TRUE),
col,CHOOSECOLS(array,5),
row,MATCH(FALSE, ISBLANK(col), 0),
IF(BX26=SWITCH($AA$22,
"minimum cost", MIN($BP26:$CG26),
"maximum cost", MAX($BP26:$CG26), 
"custom order", IF(CQ$1=INDEX(array, row,1),INDEX(array, row,5),"x"))
,1,))</f>
        <v/>
      </c>
      <c r="CR26" s="390" t="str">
        <f t="array" ref="CR26">LET(
array,SORT({$Y$2:$AB$19,TRANSPOSE($BP26:$CG26)},4,TRUE),
col,CHOOSECOLS(array,5),
row,MATCH(FALSE, ISBLANK(col), 0),
IF(BY26=SWITCH($AA$22,
"minimum cost", MIN($BP26:$CG26),
"maximum cost", MAX($BP26:$CG26), 
"custom order", IF(CR$1=INDEX(array, row,1),INDEX(array, row,5),"x"))
,1,))</f>
        <v/>
      </c>
      <c r="CS26" s="390" t="str">
        <f t="array" ref="CS26">LET(
array,SORT({$Y$2:$AB$19,TRANSPOSE($BP26:$CG26)},4,TRUE),
col,CHOOSECOLS(array,5),
row,MATCH(FALSE, ISBLANK(col), 0),
IF(BZ26=SWITCH($AA$22,
"minimum cost", MIN($BP26:$CG26),
"maximum cost", MAX($BP26:$CG26), 
"custom order", IF(CS$1=INDEX(array, row,1),INDEX(array, row,5),"x"))
,1,))</f>
        <v/>
      </c>
      <c r="CT26" s="390" t="str">
        <f t="array" ref="CT26">LET(
array,SORT({$Y$2:$AB$19,TRANSPOSE($BP26:$CG26)},4,TRUE),
col,CHOOSECOLS(array,5),
row,MATCH(FALSE, ISBLANK(col), 0),
IF(CA26=SWITCH($AA$22,
"minimum cost", MIN($BP26:$CG26),
"maximum cost", MAX($BP26:$CG26), 
"custom order", IF(CT$1=INDEX(array, row,1),INDEX(array, row,5),"x"))
,1,))</f>
        <v/>
      </c>
      <c r="CU26" s="469" t="str">
        <f t="array" ref="CU26">LET(
array,SORT({$Y$2:$AB$19,TRANSPOSE($BP26:$CG26)},4,TRUE),
col,CHOOSECOLS(array,5),
row,MATCH(FALSE, ISBLANK(col), 0),
IF(CB26=SWITCH($AA$22,
"minimum cost", MIN($BP26:$CG26),
"maximum cost", MAX($BP26:$CG26), 
"custom order", IF(CU$1=INDEX(array, row,1),INDEX(array, row,5),"x"))
,1,))</f>
        <v/>
      </c>
      <c r="CV26" s="469" t="str">
        <f t="array" ref="CV26">LET(
array,SORT({$Y$2:$AB$19,TRANSPOSE($BP26:$CG26)},4,TRUE),
col,CHOOSECOLS(array,5),
row,MATCH(FALSE, ISBLANK(col), 0),
IF(CC26=SWITCH($AA$22,
"minimum cost", MIN($BP26:$CG26),
"maximum cost", MAX($BP26:$CG26), 
"custom order", IF(CV$1=INDEX(array, row,1),INDEX(array, row,5),"x"))
,1,))</f>
        <v/>
      </c>
      <c r="CW26" s="469" t="str">
        <f t="array" ref="CW26">LET(
array,SORT({$Y$2:$AB$19,TRANSPOSE($BP26:$CG26)},4,TRUE),
col,CHOOSECOLS(array,5),
row,MATCH(FALSE, ISBLANK(col), 0),
IF(CD26=SWITCH($AA$22,
"minimum cost", MIN($BP26:$CG26),
"maximum cost", MAX($BP26:$CG26), 
"custom order", IF(CW$1=INDEX(array, row,1),INDEX(array, row,5),"x"))
,1,))</f>
        <v/>
      </c>
      <c r="CX26" s="469" t="str">
        <f t="array" ref="CX26">LET(
array,SORT({$Y$2:$AB$19,TRANSPOSE($BP26:$CG26)},4,TRUE),
col,CHOOSECOLS(array,5),
row,MATCH(FALSE, ISBLANK(col), 0),
IF(CE26=SWITCH($AA$22,
"minimum cost", MIN($BP26:$CG26),
"maximum cost", MAX($BP26:$CG26), 
"custom order", IF(CX$1=INDEX(array, row,1),INDEX(array, row,5),"x"))
,1,))</f>
        <v/>
      </c>
      <c r="CY26" s="469" t="str">
        <f t="array" ref="CY26">LET(
array,SORT({$Y$2:$AB$19,TRANSPOSE($BP26:$CG26)},4,TRUE),
col,CHOOSECOLS(array,5),
row,MATCH(FALSE, ISBLANK(col), 0),
IF(CF26=SWITCH($AA$22,
"minimum cost", MIN($BP26:$CG26),
"maximum cost", MAX($BP26:$CG26), 
"custom order", IF(CY$1=INDEX(array, row,1),INDEX(array, row,5),"x"))
,1,))</f>
        <v/>
      </c>
      <c r="CZ26" s="581" t="str">
        <f t="array" ref="CZ26">LET(
array,SORT({$Y$2:$AB$19,TRANSPOSE($BP26:$CG26)},4,TRUE),
col,CHOOSECOLS(array,5),
row,MATCH(FALSE, ISBLANK(col), 0),
IF(CG26=SWITCH($AA$22,
"minimum cost", MIN($BP26:$CG26),
"maximum cost", MAX($BP26:$CG26), 
"custom order", IF(CZ$1=INDEX(array, row,1),INDEX(array, row,5),"x"))
,1,))</f>
        <v/>
      </c>
      <c r="DA26" s="461"/>
      <c r="DB26" s="580" t="str">
        <f t="array" ref="DB26:DS26">IF(MATCH(1, CI26:CZ26, 0)=COLUMN(CI26:CZ26)-COLUMN(CI26)+1, CI26:CZ26, "")</f>
        <v/>
      </c>
      <c r="DC26" s="252" t="s">
        <v>133</v>
      </c>
      <c r="DD26" s="252" t="s">
        <v>133</v>
      </c>
      <c r="DE26" s="252" t="s">
        <v>133</v>
      </c>
      <c r="DF26" s="252" t="s">
        <v>133</v>
      </c>
      <c r="DG26" s="252" t="s">
        <v>133</v>
      </c>
      <c r="DH26" s="390" t="s">
        <v>133</v>
      </c>
      <c r="DI26" s="390">
        <v>1.0</v>
      </c>
      <c r="DJ26" s="390" t="s">
        <v>133</v>
      </c>
      <c r="DK26" s="390" t="s">
        <v>133</v>
      </c>
      <c r="DL26" s="390" t="s">
        <v>133</v>
      </c>
      <c r="DM26" s="390" t="s">
        <v>133</v>
      </c>
      <c r="DN26" s="469" t="s">
        <v>133</v>
      </c>
      <c r="DO26" s="469" t="s">
        <v>133</v>
      </c>
      <c r="DP26" s="469" t="s">
        <v>133</v>
      </c>
      <c r="DQ26" s="469" t="s">
        <v>133</v>
      </c>
      <c r="DR26" s="469" t="s">
        <v>133</v>
      </c>
      <c r="DS26" s="581" t="s">
        <v>133</v>
      </c>
      <c r="DT26" s="563"/>
    </row>
    <row r="27">
      <c r="A27" s="563"/>
      <c r="B27" s="702"/>
      <c r="M27" s="461"/>
      <c r="N27" s="10"/>
      <c r="O27" s="10"/>
      <c r="P27" s="10"/>
      <c r="Q27" s="570" t="str">
        <f>IFERROR(__xludf.DUMMYFUNCTION("IF(SUM(DB27:DS27),ARRAYFORMULA(FILTER(DB$1:DS$1, DB27:DS27=1)),)"),"Health Regen")</f>
        <v>Health Regen</v>
      </c>
      <c r="R27" s="571">
        <f>IFERROR(__xludf.DUMMYFUNCTION("IF(SUM(DB27:DS27),ARRAYFORMULA(FILTER(AW27:BN27, DB27:DS27=1))+1,)"),64.0)</f>
        <v>64</v>
      </c>
      <c r="S27" s="572">
        <f>IFERROR(__xludf.DUMMYFUNCTION("IF(SUM(DB27:DS27),ARRAYFORMULA(FILTER(AD27:AU27, DB27:DS27=1)),)"),1.0523E14)</f>
        <v>105230000000000</v>
      </c>
      <c r="T27" s="572">
        <f t="shared" si="26"/>
        <v>8.48948E+15</v>
      </c>
      <c r="U27" s="573" t="str">
        <f t="shared" ref="U27:V27" si="97">FORMAT_NUMBER(S27)</f>
        <v>105.23 T</v>
      </c>
      <c r="V27" s="574" t="str">
        <f t="shared" si="97"/>
        <v>8.49 q</v>
      </c>
      <c r="W27" s="677"/>
      <c r="X27" s="703"/>
      <c r="Y27" s="698">
        <v>3.0</v>
      </c>
      <c r="Z27" s="699" t="s">
        <v>230</v>
      </c>
      <c r="AA27" s="700"/>
      <c r="AB27" s="701"/>
      <c r="AC27" s="461"/>
      <c r="AD27" s="580">
        <f t="shared" ref="AD27:AU27" si="98">IFERROR(WSPCOST_SINGLE_ADJUSTED(AD$1,1+AW27),)</f>
        <v>37110000000000</v>
      </c>
      <c r="AE27" s="252">
        <f t="shared" si="98"/>
        <v>82420000000</v>
      </c>
      <c r="AF27" s="252">
        <f t="shared" si="98"/>
        <v>69650000000000</v>
      </c>
      <c r="AG27" s="252">
        <f t="shared" si="98"/>
        <v>21210000000</v>
      </c>
      <c r="AH27" s="252">
        <f t="shared" si="98"/>
        <v>43890000000000</v>
      </c>
      <c r="AI27" s="252">
        <f t="shared" si="98"/>
        <v>47710000000000</v>
      </c>
      <c r="AJ27" s="390">
        <f t="shared" si="98"/>
        <v>92140000000000</v>
      </c>
      <c r="AK27" s="390">
        <f t="shared" si="98"/>
        <v>105230000000000</v>
      </c>
      <c r="AL27" s="390">
        <f t="shared" si="98"/>
        <v>5000000000</v>
      </c>
      <c r="AM27" s="390">
        <f t="shared" si="98"/>
        <v>33950000000</v>
      </c>
      <c r="AN27" s="390">
        <f t="shared" si="98"/>
        <v>60080000000000</v>
      </c>
      <c r="AO27" s="390">
        <f t="shared" si="98"/>
        <v>22020000000000</v>
      </c>
      <c r="AP27" s="469">
        <f t="shared" si="98"/>
        <v>5240000000000</v>
      </c>
      <c r="AQ27" s="469">
        <f t="shared" si="98"/>
        <v>1.3E+15</v>
      </c>
      <c r="AR27" s="469">
        <f t="shared" si="98"/>
        <v>1.3E+15</v>
      </c>
      <c r="AS27" s="469">
        <f t="shared" si="98"/>
        <v>420490000000000</v>
      </c>
      <c r="AT27" s="469">
        <f t="shared" si="98"/>
        <v>3990000000000</v>
      </c>
      <c r="AU27" s="581">
        <f t="shared" si="98"/>
        <v>1.14E+15</v>
      </c>
      <c r="AV27" s="461"/>
      <c r="AW27" s="580">
        <f t="shared" ref="AW27:BN27" si="99">AW26+DB26</f>
        <v>56</v>
      </c>
      <c r="AX27" s="252">
        <f t="shared" si="99"/>
        <v>21</v>
      </c>
      <c r="AY27" s="252">
        <f t="shared" si="99"/>
        <v>60</v>
      </c>
      <c r="AZ27" s="252">
        <f t="shared" si="99"/>
        <v>17</v>
      </c>
      <c r="BA27" s="252">
        <f t="shared" si="99"/>
        <v>57</v>
      </c>
      <c r="BB27" s="252">
        <f t="shared" si="99"/>
        <v>13</v>
      </c>
      <c r="BC27" s="390">
        <f t="shared" si="99"/>
        <v>62</v>
      </c>
      <c r="BD27" s="390">
        <f t="shared" si="99"/>
        <v>63</v>
      </c>
      <c r="BE27" s="390">
        <f t="shared" si="99"/>
        <v>0</v>
      </c>
      <c r="BF27" s="390">
        <f t="shared" si="99"/>
        <v>18</v>
      </c>
      <c r="BG27" s="390">
        <f t="shared" si="99"/>
        <v>59</v>
      </c>
      <c r="BH27" s="390">
        <f t="shared" si="99"/>
        <v>20</v>
      </c>
      <c r="BI27" s="469">
        <f t="shared" si="99"/>
        <v>44</v>
      </c>
      <c r="BJ27" s="469">
        <f t="shared" si="99"/>
        <v>37</v>
      </c>
      <c r="BK27" s="469">
        <f t="shared" si="99"/>
        <v>37</v>
      </c>
      <c r="BL27" s="469">
        <f t="shared" si="99"/>
        <v>18</v>
      </c>
      <c r="BM27" s="469">
        <f t="shared" si="99"/>
        <v>42</v>
      </c>
      <c r="BN27" s="581">
        <f t="shared" si="99"/>
        <v>15</v>
      </c>
      <c r="BO27" s="461"/>
      <c r="BP27" s="580">
        <f t="shared" si="8"/>
        <v>37110000000000</v>
      </c>
      <c r="BQ27" s="252" t="str">
        <f t="shared" si="9"/>
        <v/>
      </c>
      <c r="BR27" s="252">
        <f t="shared" si="10"/>
        <v>69650000000000</v>
      </c>
      <c r="BS27" s="252" t="str">
        <f t="shared" si="11"/>
        <v/>
      </c>
      <c r="BT27" s="252" t="str">
        <f t="shared" si="12"/>
        <v/>
      </c>
      <c r="BU27" s="252">
        <f t="shared" si="13"/>
        <v>47710000000000</v>
      </c>
      <c r="BV27" s="390">
        <f t="shared" si="14"/>
        <v>92140000000000</v>
      </c>
      <c r="BW27" s="390">
        <f t="shared" si="15"/>
        <v>105230000000000</v>
      </c>
      <c r="BX27" s="390" t="str">
        <f t="shared" si="16"/>
        <v/>
      </c>
      <c r="BY27" s="390" t="str">
        <f t="shared" si="17"/>
        <v/>
      </c>
      <c r="BZ27" s="390">
        <f t="shared" si="18"/>
        <v>60080000000000</v>
      </c>
      <c r="CA27" s="390">
        <f t="shared" si="19"/>
        <v>22020000000000</v>
      </c>
      <c r="CB27" s="469">
        <f t="shared" si="20"/>
        <v>5240000000000</v>
      </c>
      <c r="CC27" s="469" t="str">
        <f t="shared" si="21"/>
        <v/>
      </c>
      <c r="CD27" s="469" t="str">
        <f t="shared" si="22"/>
        <v/>
      </c>
      <c r="CE27" s="469" t="str">
        <f t="shared" si="23"/>
        <v/>
      </c>
      <c r="CF27" s="469" t="str">
        <f t="shared" si="24"/>
        <v/>
      </c>
      <c r="CG27" s="581" t="str">
        <f t="shared" si="25"/>
        <v/>
      </c>
      <c r="CH27" s="461"/>
      <c r="CI27" s="580" t="str">
        <f t="array" ref="CI27">LET(
array,SORT({$Y$2:$AB$19,TRANSPOSE($BP27:$CG27)},4,TRUE),
col,CHOOSECOLS(array,5),
row,MATCH(FALSE, ISBLANK(col), 0),
IF(BP27=SWITCH($AA$22,
"minimum cost", MIN($BP27:$CG27),
"maximum cost", MAX($BP27:$CG27), 
"custom order", IF(CI$1=INDEX(array, row,1),INDEX(array, row,5),"x"))
,1,))</f>
        <v/>
      </c>
      <c r="CJ27" s="252" t="str">
        <f t="array" ref="CJ27">LET(
array,SORT({$Y$2:$AB$19,TRANSPOSE($BP27:$CG27)},4,TRUE),
col,CHOOSECOLS(array,5),
row,MATCH(FALSE, ISBLANK(col), 0),
IF(BQ27=SWITCH($AA$22,
"minimum cost", MIN($BP27:$CG27),
"maximum cost", MAX($BP27:$CG27), 
"custom order", IF(CJ$1=INDEX(array, row,1),INDEX(array, row,5),"x"))
,1,))</f>
        <v/>
      </c>
      <c r="CK27" s="252" t="str">
        <f t="array" ref="CK27">LET(
array,SORT({$Y$2:$AB$19,TRANSPOSE($BP27:$CG27)},4,TRUE),
col,CHOOSECOLS(array,5),
row,MATCH(FALSE, ISBLANK(col), 0),
IF(BR27=SWITCH($AA$22,
"minimum cost", MIN($BP27:$CG27),
"maximum cost", MAX($BP27:$CG27), 
"custom order", IF(CK$1=INDEX(array, row,1),INDEX(array, row,5),"x"))
,1,))</f>
        <v/>
      </c>
      <c r="CL27" s="252" t="str">
        <f t="array" ref="CL27">LET(
array,SORT({$Y$2:$AB$19,TRANSPOSE($BP27:$CG27)},4,TRUE),
col,CHOOSECOLS(array,5),
row,MATCH(FALSE, ISBLANK(col), 0),
IF(BS27=SWITCH($AA$22,
"minimum cost", MIN($BP27:$CG27),
"maximum cost", MAX($BP27:$CG27), 
"custom order", IF(CL$1=INDEX(array, row,1),INDEX(array, row,5),"x"))
,1,))</f>
        <v/>
      </c>
      <c r="CM27" s="252" t="str">
        <f t="array" ref="CM27">LET(
array,SORT({$Y$2:$AB$19,TRANSPOSE($BP27:$CG27)},4,TRUE),
col,CHOOSECOLS(array,5),
row,MATCH(FALSE, ISBLANK(col), 0),
IF(BT27=SWITCH($AA$22,
"minimum cost", MIN($BP27:$CG27),
"maximum cost", MAX($BP27:$CG27), 
"custom order", IF(CM$1=INDEX(array, row,1),INDEX(array, row,5),"x"))
,1,))</f>
        <v/>
      </c>
      <c r="CN27" s="252" t="str">
        <f t="array" ref="CN27">LET(
array,SORT({$Y$2:$AB$19,TRANSPOSE($BP27:$CG27)},4,TRUE),
col,CHOOSECOLS(array,5),
row,MATCH(FALSE, ISBLANK(col), 0),
IF(BU27=SWITCH($AA$22,
"minimum cost", MIN($BP27:$CG27),
"maximum cost", MAX($BP27:$CG27), 
"custom order", IF(CN$1=INDEX(array, row,1),INDEX(array, row,5),"x"))
,1,))</f>
        <v/>
      </c>
      <c r="CO27" s="390" t="str">
        <f t="array" ref="CO27">LET(
array,SORT({$Y$2:$AB$19,TRANSPOSE($BP27:$CG27)},4,TRUE),
col,CHOOSECOLS(array,5),
row,MATCH(FALSE, ISBLANK(col), 0),
IF(BV27=SWITCH($AA$22,
"minimum cost", MIN($BP27:$CG27),
"maximum cost", MAX($BP27:$CG27), 
"custom order", IF(CO$1=INDEX(array, row,1),INDEX(array, row,5),"x"))
,1,))</f>
        <v/>
      </c>
      <c r="CP27" s="390">
        <f t="array" ref="CP27">LET(
array,SORT({$Y$2:$AB$19,TRANSPOSE($BP27:$CG27)},4,TRUE),
col,CHOOSECOLS(array,5),
row,MATCH(FALSE, ISBLANK(col), 0),
IF(BW27=SWITCH($AA$22,
"minimum cost", MIN($BP27:$CG27),
"maximum cost", MAX($BP27:$CG27), 
"custom order", IF(CP$1=INDEX(array, row,1),INDEX(array, row,5),"x"))
,1,))</f>
        <v>1</v>
      </c>
      <c r="CQ27" s="390" t="str">
        <f t="array" ref="CQ27">LET(
array,SORT({$Y$2:$AB$19,TRANSPOSE($BP27:$CG27)},4,TRUE),
col,CHOOSECOLS(array,5),
row,MATCH(FALSE, ISBLANK(col), 0),
IF(BX27=SWITCH($AA$22,
"minimum cost", MIN($BP27:$CG27),
"maximum cost", MAX($BP27:$CG27), 
"custom order", IF(CQ$1=INDEX(array, row,1),INDEX(array, row,5),"x"))
,1,))</f>
        <v/>
      </c>
      <c r="CR27" s="390" t="str">
        <f t="array" ref="CR27">LET(
array,SORT({$Y$2:$AB$19,TRANSPOSE($BP27:$CG27)},4,TRUE),
col,CHOOSECOLS(array,5),
row,MATCH(FALSE, ISBLANK(col), 0),
IF(BY27=SWITCH($AA$22,
"minimum cost", MIN($BP27:$CG27),
"maximum cost", MAX($BP27:$CG27), 
"custom order", IF(CR$1=INDEX(array, row,1),INDEX(array, row,5),"x"))
,1,))</f>
        <v/>
      </c>
      <c r="CS27" s="390" t="str">
        <f t="array" ref="CS27">LET(
array,SORT({$Y$2:$AB$19,TRANSPOSE($BP27:$CG27)},4,TRUE),
col,CHOOSECOLS(array,5),
row,MATCH(FALSE, ISBLANK(col), 0),
IF(BZ27=SWITCH($AA$22,
"minimum cost", MIN($BP27:$CG27),
"maximum cost", MAX($BP27:$CG27), 
"custom order", IF(CS$1=INDEX(array, row,1),INDEX(array, row,5),"x"))
,1,))</f>
        <v/>
      </c>
      <c r="CT27" s="390" t="str">
        <f t="array" ref="CT27">LET(
array,SORT({$Y$2:$AB$19,TRANSPOSE($BP27:$CG27)},4,TRUE),
col,CHOOSECOLS(array,5),
row,MATCH(FALSE, ISBLANK(col), 0),
IF(CA27=SWITCH($AA$22,
"minimum cost", MIN($BP27:$CG27),
"maximum cost", MAX($BP27:$CG27), 
"custom order", IF(CT$1=INDEX(array, row,1),INDEX(array, row,5),"x"))
,1,))</f>
        <v/>
      </c>
      <c r="CU27" s="469" t="str">
        <f t="array" ref="CU27">LET(
array,SORT({$Y$2:$AB$19,TRANSPOSE($BP27:$CG27)},4,TRUE),
col,CHOOSECOLS(array,5),
row,MATCH(FALSE, ISBLANK(col), 0),
IF(CB27=SWITCH($AA$22,
"minimum cost", MIN($BP27:$CG27),
"maximum cost", MAX($BP27:$CG27), 
"custom order", IF(CU$1=INDEX(array, row,1),INDEX(array, row,5),"x"))
,1,))</f>
        <v/>
      </c>
      <c r="CV27" s="469" t="str">
        <f t="array" ref="CV27">LET(
array,SORT({$Y$2:$AB$19,TRANSPOSE($BP27:$CG27)},4,TRUE),
col,CHOOSECOLS(array,5),
row,MATCH(FALSE, ISBLANK(col), 0),
IF(CC27=SWITCH($AA$22,
"minimum cost", MIN($BP27:$CG27),
"maximum cost", MAX($BP27:$CG27), 
"custom order", IF(CV$1=INDEX(array, row,1),INDEX(array, row,5),"x"))
,1,))</f>
        <v/>
      </c>
      <c r="CW27" s="469" t="str">
        <f t="array" ref="CW27">LET(
array,SORT({$Y$2:$AB$19,TRANSPOSE($BP27:$CG27)},4,TRUE),
col,CHOOSECOLS(array,5),
row,MATCH(FALSE, ISBLANK(col), 0),
IF(CD27=SWITCH($AA$22,
"minimum cost", MIN($BP27:$CG27),
"maximum cost", MAX($BP27:$CG27), 
"custom order", IF(CW$1=INDEX(array, row,1),INDEX(array, row,5),"x"))
,1,))</f>
        <v/>
      </c>
      <c r="CX27" s="469" t="str">
        <f t="array" ref="CX27">LET(
array,SORT({$Y$2:$AB$19,TRANSPOSE($BP27:$CG27)},4,TRUE),
col,CHOOSECOLS(array,5),
row,MATCH(FALSE, ISBLANK(col), 0),
IF(CE27=SWITCH($AA$22,
"minimum cost", MIN($BP27:$CG27),
"maximum cost", MAX($BP27:$CG27), 
"custom order", IF(CX$1=INDEX(array, row,1),INDEX(array, row,5),"x"))
,1,))</f>
        <v/>
      </c>
      <c r="CY27" s="469" t="str">
        <f t="array" ref="CY27">LET(
array,SORT({$Y$2:$AB$19,TRANSPOSE($BP27:$CG27)},4,TRUE),
col,CHOOSECOLS(array,5),
row,MATCH(FALSE, ISBLANK(col), 0),
IF(CF27=SWITCH($AA$22,
"minimum cost", MIN($BP27:$CG27),
"maximum cost", MAX($BP27:$CG27), 
"custom order", IF(CY$1=INDEX(array, row,1),INDEX(array, row,5),"x"))
,1,))</f>
        <v/>
      </c>
      <c r="CZ27" s="581" t="str">
        <f t="array" ref="CZ27">LET(
array,SORT({$Y$2:$AB$19,TRANSPOSE($BP27:$CG27)},4,TRUE),
col,CHOOSECOLS(array,5),
row,MATCH(FALSE, ISBLANK(col), 0),
IF(CG27=SWITCH($AA$22,
"minimum cost", MIN($BP27:$CG27),
"maximum cost", MAX($BP27:$CG27), 
"custom order", IF(CZ$1=INDEX(array, row,1),INDEX(array, row,5),"x"))
,1,))</f>
        <v/>
      </c>
      <c r="DA27" s="461"/>
      <c r="DB27" s="580" t="str">
        <f t="array" ref="DB27:DS27">IF(MATCH(1, CI27:CZ27, 0)=COLUMN(CI27:CZ27)-COLUMN(CI27)+1, CI27:CZ27, "")</f>
        <v/>
      </c>
      <c r="DC27" s="252" t="s">
        <v>133</v>
      </c>
      <c r="DD27" s="252" t="s">
        <v>133</v>
      </c>
      <c r="DE27" s="252" t="s">
        <v>133</v>
      </c>
      <c r="DF27" s="252" t="s">
        <v>133</v>
      </c>
      <c r="DG27" s="252" t="s">
        <v>133</v>
      </c>
      <c r="DH27" s="390" t="s">
        <v>133</v>
      </c>
      <c r="DI27" s="390">
        <v>1.0</v>
      </c>
      <c r="DJ27" s="390" t="s">
        <v>133</v>
      </c>
      <c r="DK27" s="390" t="s">
        <v>133</v>
      </c>
      <c r="DL27" s="390" t="s">
        <v>133</v>
      </c>
      <c r="DM27" s="390" t="s">
        <v>133</v>
      </c>
      <c r="DN27" s="469" t="s">
        <v>133</v>
      </c>
      <c r="DO27" s="469" t="s">
        <v>133</v>
      </c>
      <c r="DP27" s="469" t="s">
        <v>133</v>
      </c>
      <c r="DQ27" s="469" t="s">
        <v>133</v>
      </c>
      <c r="DR27" s="469" t="s">
        <v>133</v>
      </c>
      <c r="DS27" s="581" t="s">
        <v>133</v>
      </c>
      <c r="DT27" s="563"/>
    </row>
    <row r="28">
      <c r="A28" s="563"/>
      <c r="B28" s="702"/>
      <c r="M28" s="461"/>
      <c r="N28" s="10"/>
      <c r="O28" s="10"/>
      <c r="P28" s="10"/>
      <c r="Q28" s="570" t="str">
        <f>IFERROR(__xludf.DUMMYFUNCTION("IF(SUM(DB28:DS28),ARRAYFORMULA(FILTER(DB$1:DS$1, DB28:DS28=1)),)"),"Health Regen")</f>
        <v>Health Regen</v>
      </c>
      <c r="R28" s="571">
        <f>IFERROR(__xludf.DUMMYFUNCTION("IF(SUM(DB28:DS28),ARRAYFORMULA(FILTER(AW28:BN28, DB28:DS28=1))+1,)"),65.0)</f>
        <v>65</v>
      </c>
      <c r="S28" s="572">
        <f>IFERROR(__xludf.DUMMYFUNCTION("IF(SUM(DB28:DS28),ARRAYFORMULA(FILTER(AD28:AU28, DB28:DS28=1)),)"),1.1969E14)</f>
        <v>119690000000000</v>
      </c>
      <c r="T28" s="572">
        <f t="shared" si="26"/>
        <v>8.60917E+15</v>
      </c>
      <c r="U28" s="573" t="str">
        <f t="shared" ref="U28:V28" si="100">FORMAT_NUMBER(S28)</f>
        <v>119.69 T</v>
      </c>
      <c r="V28" s="574" t="str">
        <f t="shared" si="100"/>
        <v>8.61 q</v>
      </c>
      <c r="W28" s="677"/>
      <c r="X28" s="704"/>
      <c r="Y28" s="698">
        <v>4.0</v>
      </c>
      <c r="Z28" s="699" t="s">
        <v>231</v>
      </c>
      <c r="AA28" s="700"/>
      <c r="AB28" s="701"/>
      <c r="AC28" s="461"/>
      <c r="AD28" s="580">
        <f t="shared" ref="AD28:AU28" si="101">IFERROR(WSPCOST_SINGLE_ADJUSTED(AD$1,1+AW28),)</f>
        <v>37110000000000</v>
      </c>
      <c r="AE28" s="252">
        <f t="shared" si="101"/>
        <v>82420000000</v>
      </c>
      <c r="AF28" s="252">
        <f t="shared" si="101"/>
        <v>69650000000000</v>
      </c>
      <c r="AG28" s="252">
        <f t="shared" si="101"/>
        <v>21210000000</v>
      </c>
      <c r="AH28" s="252">
        <f t="shared" si="101"/>
        <v>43890000000000</v>
      </c>
      <c r="AI28" s="252">
        <f t="shared" si="101"/>
        <v>47710000000000</v>
      </c>
      <c r="AJ28" s="390">
        <f t="shared" si="101"/>
        <v>92140000000000</v>
      </c>
      <c r="AK28" s="390">
        <f t="shared" si="101"/>
        <v>119690000000000</v>
      </c>
      <c r="AL28" s="390">
        <f t="shared" si="101"/>
        <v>5000000000</v>
      </c>
      <c r="AM28" s="390">
        <f t="shared" si="101"/>
        <v>33950000000</v>
      </c>
      <c r="AN28" s="390">
        <f t="shared" si="101"/>
        <v>60080000000000</v>
      </c>
      <c r="AO28" s="390">
        <f t="shared" si="101"/>
        <v>22020000000000</v>
      </c>
      <c r="AP28" s="469">
        <f t="shared" si="101"/>
        <v>5240000000000</v>
      </c>
      <c r="AQ28" s="469">
        <f t="shared" si="101"/>
        <v>1.3E+15</v>
      </c>
      <c r="AR28" s="469">
        <f t="shared" si="101"/>
        <v>1.3E+15</v>
      </c>
      <c r="AS28" s="469">
        <f t="shared" si="101"/>
        <v>420490000000000</v>
      </c>
      <c r="AT28" s="469">
        <f t="shared" si="101"/>
        <v>3990000000000</v>
      </c>
      <c r="AU28" s="581">
        <f t="shared" si="101"/>
        <v>1.14E+15</v>
      </c>
      <c r="AV28" s="461"/>
      <c r="AW28" s="580">
        <f t="shared" ref="AW28:BN28" si="102">AW27+DB27</f>
        <v>56</v>
      </c>
      <c r="AX28" s="252">
        <f t="shared" si="102"/>
        <v>21</v>
      </c>
      <c r="AY28" s="252">
        <f t="shared" si="102"/>
        <v>60</v>
      </c>
      <c r="AZ28" s="252">
        <f t="shared" si="102"/>
        <v>17</v>
      </c>
      <c r="BA28" s="252">
        <f t="shared" si="102"/>
        <v>57</v>
      </c>
      <c r="BB28" s="252">
        <f t="shared" si="102"/>
        <v>13</v>
      </c>
      <c r="BC28" s="390">
        <f t="shared" si="102"/>
        <v>62</v>
      </c>
      <c r="BD28" s="390">
        <f t="shared" si="102"/>
        <v>64</v>
      </c>
      <c r="BE28" s="390">
        <f t="shared" si="102"/>
        <v>0</v>
      </c>
      <c r="BF28" s="390">
        <f t="shared" si="102"/>
        <v>18</v>
      </c>
      <c r="BG28" s="390">
        <f t="shared" si="102"/>
        <v>59</v>
      </c>
      <c r="BH28" s="390">
        <f t="shared" si="102"/>
        <v>20</v>
      </c>
      <c r="BI28" s="469">
        <f t="shared" si="102"/>
        <v>44</v>
      </c>
      <c r="BJ28" s="469">
        <f t="shared" si="102"/>
        <v>37</v>
      </c>
      <c r="BK28" s="469">
        <f t="shared" si="102"/>
        <v>37</v>
      </c>
      <c r="BL28" s="469">
        <f t="shared" si="102"/>
        <v>18</v>
      </c>
      <c r="BM28" s="469">
        <f t="shared" si="102"/>
        <v>42</v>
      </c>
      <c r="BN28" s="581">
        <f t="shared" si="102"/>
        <v>15</v>
      </c>
      <c r="BO28" s="461"/>
      <c r="BP28" s="580">
        <f t="shared" si="8"/>
        <v>37110000000000</v>
      </c>
      <c r="BQ28" s="252" t="str">
        <f t="shared" si="9"/>
        <v/>
      </c>
      <c r="BR28" s="252">
        <f t="shared" si="10"/>
        <v>69650000000000</v>
      </c>
      <c r="BS28" s="252" t="str">
        <f t="shared" si="11"/>
        <v/>
      </c>
      <c r="BT28" s="252" t="str">
        <f t="shared" si="12"/>
        <v/>
      </c>
      <c r="BU28" s="252">
        <f t="shared" si="13"/>
        <v>47710000000000</v>
      </c>
      <c r="BV28" s="390">
        <f t="shared" si="14"/>
        <v>92140000000000</v>
      </c>
      <c r="BW28" s="390">
        <f t="shared" si="15"/>
        <v>119690000000000</v>
      </c>
      <c r="BX28" s="390" t="str">
        <f t="shared" si="16"/>
        <v/>
      </c>
      <c r="BY28" s="390" t="str">
        <f t="shared" si="17"/>
        <v/>
      </c>
      <c r="BZ28" s="390">
        <f t="shared" si="18"/>
        <v>60080000000000</v>
      </c>
      <c r="CA28" s="390">
        <f t="shared" si="19"/>
        <v>22020000000000</v>
      </c>
      <c r="CB28" s="469">
        <f t="shared" si="20"/>
        <v>5240000000000</v>
      </c>
      <c r="CC28" s="469" t="str">
        <f t="shared" si="21"/>
        <v/>
      </c>
      <c r="CD28" s="469" t="str">
        <f t="shared" si="22"/>
        <v/>
      </c>
      <c r="CE28" s="469" t="str">
        <f t="shared" si="23"/>
        <v/>
      </c>
      <c r="CF28" s="469" t="str">
        <f t="shared" si="24"/>
        <v/>
      </c>
      <c r="CG28" s="581" t="str">
        <f t="shared" si="25"/>
        <v/>
      </c>
      <c r="CH28" s="461"/>
      <c r="CI28" s="580" t="str">
        <f t="array" ref="CI28">LET(
array,SORT({$Y$2:$AB$19,TRANSPOSE($BP28:$CG28)},4,TRUE),
col,CHOOSECOLS(array,5),
row,MATCH(FALSE, ISBLANK(col), 0),
IF(BP28=SWITCH($AA$22,
"minimum cost", MIN($BP28:$CG28),
"maximum cost", MAX($BP28:$CG28), 
"custom order", IF(CI$1=INDEX(array, row,1),INDEX(array, row,5),"x"))
,1,))</f>
        <v/>
      </c>
      <c r="CJ28" s="252" t="str">
        <f t="array" ref="CJ28">LET(
array,SORT({$Y$2:$AB$19,TRANSPOSE($BP28:$CG28)},4,TRUE),
col,CHOOSECOLS(array,5),
row,MATCH(FALSE, ISBLANK(col), 0),
IF(BQ28=SWITCH($AA$22,
"minimum cost", MIN($BP28:$CG28),
"maximum cost", MAX($BP28:$CG28), 
"custom order", IF(CJ$1=INDEX(array, row,1),INDEX(array, row,5),"x"))
,1,))</f>
        <v/>
      </c>
      <c r="CK28" s="252" t="str">
        <f t="array" ref="CK28">LET(
array,SORT({$Y$2:$AB$19,TRANSPOSE($BP28:$CG28)},4,TRUE),
col,CHOOSECOLS(array,5),
row,MATCH(FALSE, ISBLANK(col), 0),
IF(BR28=SWITCH($AA$22,
"minimum cost", MIN($BP28:$CG28),
"maximum cost", MAX($BP28:$CG28), 
"custom order", IF(CK$1=INDEX(array, row,1),INDEX(array, row,5),"x"))
,1,))</f>
        <v/>
      </c>
      <c r="CL28" s="252" t="str">
        <f t="array" ref="CL28">LET(
array,SORT({$Y$2:$AB$19,TRANSPOSE($BP28:$CG28)},4,TRUE),
col,CHOOSECOLS(array,5),
row,MATCH(FALSE, ISBLANK(col), 0),
IF(BS28=SWITCH($AA$22,
"minimum cost", MIN($BP28:$CG28),
"maximum cost", MAX($BP28:$CG28), 
"custom order", IF(CL$1=INDEX(array, row,1),INDEX(array, row,5),"x"))
,1,))</f>
        <v/>
      </c>
      <c r="CM28" s="252" t="str">
        <f t="array" ref="CM28">LET(
array,SORT({$Y$2:$AB$19,TRANSPOSE($BP28:$CG28)},4,TRUE),
col,CHOOSECOLS(array,5),
row,MATCH(FALSE, ISBLANK(col), 0),
IF(BT28=SWITCH($AA$22,
"minimum cost", MIN($BP28:$CG28),
"maximum cost", MAX($BP28:$CG28), 
"custom order", IF(CM$1=INDEX(array, row,1),INDEX(array, row,5),"x"))
,1,))</f>
        <v/>
      </c>
      <c r="CN28" s="252" t="str">
        <f t="array" ref="CN28">LET(
array,SORT({$Y$2:$AB$19,TRANSPOSE($BP28:$CG28)},4,TRUE),
col,CHOOSECOLS(array,5),
row,MATCH(FALSE, ISBLANK(col), 0),
IF(BU28=SWITCH($AA$22,
"minimum cost", MIN($BP28:$CG28),
"maximum cost", MAX($BP28:$CG28), 
"custom order", IF(CN$1=INDEX(array, row,1),INDEX(array, row,5),"x"))
,1,))</f>
        <v/>
      </c>
      <c r="CO28" s="390" t="str">
        <f t="array" ref="CO28">LET(
array,SORT({$Y$2:$AB$19,TRANSPOSE($BP28:$CG28)},4,TRUE),
col,CHOOSECOLS(array,5),
row,MATCH(FALSE, ISBLANK(col), 0),
IF(BV28=SWITCH($AA$22,
"minimum cost", MIN($BP28:$CG28),
"maximum cost", MAX($BP28:$CG28), 
"custom order", IF(CO$1=INDEX(array, row,1),INDEX(array, row,5),"x"))
,1,))</f>
        <v/>
      </c>
      <c r="CP28" s="390">
        <f t="array" ref="CP28">LET(
array,SORT({$Y$2:$AB$19,TRANSPOSE($BP28:$CG28)},4,TRUE),
col,CHOOSECOLS(array,5),
row,MATCH(FALSE, ISBLANK(col), 0),
IF(BW28=SWITCH($AA$22,
"minimum cost", MIN($BP28:$CG28),
"maximum cost", MAX($BP28:$CG28), 
"custom order", IF(CP$1=INDEX(array, row,1),INDEX(array, row,5),"x"))
,1,))</f>
        <v>1</v>
      </c>
      <c r="CQ28" s="390" t="str">
        <f t="array" ref="CQ28">LET(
array,SORT({$Y$2:$AB$19,TRANSPOSE($BP28:$CG28)},4,TRUE),
col,CHOOSECOLS(array,5),
row,MATCH(FALSE, ISBLANK(col), 0),
IF(BX28=SWITCH($AA$22,
"minimum cost", MIN($BP28:$CG28),
"maximum cost", MAX($BP28:$CG28), 
"custom order", IF(CQ$1=INDEX(array, row,1),INDEX(array, row,5),"x"))
,1,))</f>
        <v/>
      </c>
      <c r="CR28" s="390" t="str">
        <f t="array" ref="CR28">LET(
array,SORT({$Y$2:$AB$19,TRANSPOSE($BP28:$CG28)},4,TRUE),
col,CHOOSECOLS(array,5),
row,MATCH(FALSE, ISBLANK(col), 0),
IF(BY28=SWITCH($AA$22,
"minimum cost", MIN($BP28:$CG28),
"maximum cost", MAX($BP28:$CG28), 
"custom order", IF(CR$1=INDEX(array, row,1),INDEX(array, row,5),"x"))
,1,))</f>
        <v/>
      </c>
      <c r="CS28" s="390" t="str">
        <f t="array" ref="CS28">LET(
array,SORT({$Y$2:$AB$19,TRANSPOSE($BP28:$CG28)},4,TRUE),
col,CHOOSECOLS(array,5),
row,MATCH(FALSE, ISBLANK(col), 0),
IF(BZ28=SWITCH($AA$22,
"minimum cost", MIN($BP28:$CG28),
"maximum cost", MAX($BP28:$CG28), 
"custom order", IF(CS$1=INDEX(array, row,1),INDEX(array, row,5),"x"))
,1,))</f>
        <v/>
      </c>
      <c r="CT28" s="390" t="str">
        <f t="array" ref="CT28">LET(
array,SORT({$Y$2:$AB$19,TRANSPOSE($BP28:$CG28)},4,TRUE),
col,CHOOSECOLS(array,5),
row,MATCH(FALSE, ISBLANK(col), 0),
IF(CA28=SWITCH($AA$22,
"minimum cost", MIN($BP28:$CG28),
"maximum cost", MAX($BP28:$CG28), 
"custom order", IF(CT$1=INDEX(array, row,1),INDEX(array, row,5),"x"))
,1,))</f>
        <v/>
      </c>
      <c r="CU28" s="469" t="str">
        <f t="array" ref="CU28">LET(
array,SORT({$Y$2:$AB$19,TRANSPOSE($BP28:$CG28)},4,TRUE),
col,CHOOSECOLS(array,5),
row,MATCH(FALSE, ISBLANK(col), 0),
IF(CB28=SWITCH($AA$22,
"minimum cost", MIN($BP28:$CG28),
"maximum cost", MAX($BP28:$CG28), 
"custom order", IF(CU$1=INDEX(array, row,1),INDEX(array, row,5),"x"))
,1,))</f>
        <v/>
      </c>
      <c r="CV28" s="469" t="str">
        <f t="array" ref="CV28">LET(
array,SORT({$Y$2:$AB$19,TRANSPOSE($BP28:$CG28)},4,TRUE),
col,CHOOSECOLS(array,5),
row,MATCH(FALSE, ISBLANK(col), 0),
IF(CC28=SWITCH($AA$22,
"minimum cost", MIN($BP28:$CG28),
"maximum cost", MAX($BP28:$CG28), 
"custom order", IF(CV$1=INDEX(array, row,1),INDEX(array, row,5),"x"))
,1,))</f>
        <v/>
      </c>
      <c r="CW28" s="469" t="str">
        <f t="array" ref="CW28">LET(
array,SORT({$Y$2:$AB$19,TRANSPOSE($BP28:$CG28)},4,TRUE),
col,CHOOSECOLS(array,5),
row,MATCH(FALSE, ISBLANK(col), 0),
IF(CD28=SWITCH($AA$22,
"minimum cost", MIN($BP28:$CG28),
"maximum cost", MAX($BP28:$CG28), 
"custom order", IF(CW$1=INDEX(array, row,1),INDEX(array, row,5),"x"))
,1,))</f>
        <v/>
      </c>
      <c r="CX28" s="469" t="str">
        <f t="array" ref="CX28">LET(
array,SORT({$Y$2:$AB$19,TRANSPOSE($BP28:$CG28)},4,TRUE),
col,CHOOSECOLS(array,5),
row,MATCH(FALSE, ISBLANK(col), 0),
IF(CE28=SWITCH($AA$22,
"minimum cost", MIN($BP28:$CG28),
"maximum cost", MAX($BP28:$CG28), 
"custom order", IF(CX$1=INDEX(array, row,1),INDEX(array, row,5),"x"))
,1,))</f>
        <v/>
      </c>
      <c r="CY28" s="469" t="str">
        <f t="array" ref="CY28">LET(
array,SORT({$Y$2:$AB$19,TRANSPOSE($BP28:$CG28)},4,TRUE),
col,CHOOSECOLS(array,5),
row,MATCH(FALSE, ISBLANK(col), 0),
IF(CF28=SWITCH($AA$22,
"minimum cost", MIN($BP28:$CG28),
"maximum cost", MAX($BP28:$CG28), 
"custom order", IF(CY$1=INDEX(array, row,1),INDEX(array, row,5),"x"))
,1,))</f>
        <v/>
      </c>
      <c r="CZ28" s="581" t="str">
        <f t="array" ref="CZ28">LET(
array,SORT({$Y$2:$AB$19,TRANSPOSE($BP28:$CG28)},4,TRUE),
col,CHOOSECOLS(array,5),
row,MATCH(FALSE, ISBLANK(col), 0),
IF(CG28=SWITCH($AA$22,
"minimum cost", MIN($BP28:$CG28),
"maximum cost", MAX($BP28:$CG28), 
"custom order", IF(CZ$1=INDEX(array, row,1),INDEX(array, row,5),"x"))
,1,))</f>
        <v/>
      </c>
      <c r="DA28" s="461"/>
      <c r="DB28" s="580" t="str">
        <f t="array" ref="DB28:DS28">IF(MATCH(1, CI28:CZ28, 0)=COLUMN(CI28:CZ28)-COLUMN(CI28)+1, CI28:CZ28, "")</f>
        <v/>
      </c>
      <c r="DC28" s="252" t="s">
        <v>133</v>
      </c>
      <c r="DD28" s="252" t="s">
        <v>133</v>
      </c>
      <c r="DE28" s="252" t="s">
        <v>133</v>
      </c>
      <c r="DF28" s="252" t="s">
        <v>133</v>
      </c>
      <c r="DG28" s="252" t="s">
        <v>133</v>
      </c>
      <c r="DH28" s="390" t="s">
        <v>133</v>
      </c>
      <c r="DI28" s="390">
        <v>1.0</v>
      </c>
      <c r="DJ28" s="390" t="s">
        <v>133</v>
      </c>
      <c r="DK28" s="390" t="s">
        <v>133</v>
      </c>
      <c r="DL28" s="390" t="s">
        <v>133</v>
      </c>
      <c r="DM28" s="390" t="s">
        <v>133</v>
      </c>
      <c r="DN28" s="469" t="s">
        <v>133</v>
      </c>
      <c r="DO28" s="469" t="s">
        <v>133</v>
      </c>
      <c r="DP28" s="469" t="s">
        <v>133</v>
      </c>
      <c r="DQ28" s="469" t="s">
        <v>133</v>
      </c>
      <c r="DR28" s="469" t="s">
        <v>133</v>
      </c>
      <c r="DS28" s="581" t="s">
        <v>133</v>
      </c>
      <c r="DT28" s="563"/>
    </row>
    <row r="29">
      <c r="A29" s="563"/>
      <c r="B29" s="702"/>
      <c r="M29" s="461"/>
      <c r="N29" s="10"/>
      <c r="O29" s="10"/>
      <c r="P29" s="10"/>
      <c r="Q29" s="570" t="str">
        <f>IFERROR(__xludf.DUMMYFUNCTION("IF(SUM(DB29:DS29),ARRAYFORMULA(FILTER(DB$1:DS$1, DB29:DS29=1)),)"),"Health Regen")</f>
        <v>Health Regen</v>
      </c>
      <c r="R29" s="571">
        <f>IFERROR(__xludf.DUMMYFUNCTION("IF(SUM(DB29:DS29),ARRAYFORMULA(FILTER(AW29:BN29, DB29:DS29=1))+1,)"),66.0)</f>
        <v>66</v>
      </c>
      <c r="S29" s="572">
        <f>IFERROR(__xludf.DUMMYFUNCTION("IF(SUM(DB29:DS29),ARRAYFORMULA(FILTER(AD29:AU29, DB29:DS29=1)),)"),1.3561E14)</f>
        <v>135610000000000</v>
      </c>
      <c r="T29" s="572">
        <f t="shared" si="26"/>
        <v>8.74478E+15</v>
      </c>
      <c r="U29" s="573" t="str">
        <f t="shared" ref="U29:V29" si="103">FORMAT_NUMBER(S29)</f>
        <v>135.61 T</v>
      </c>
      <c r="V29" s="574" t="str">
        <f t="shared" si="103"/>
        <v>8.74 q</v>
      </c>
      <c r="W29" s="677"/>
      <c r="X29" s="704"/>
      <c r="Y29" s="705">
        <v>5.0</v>
      </c>
      <c r="Z29" s="706" t="s">
        <v>232</v>
      </c>
      <c r="AA29" s="707"/>
      <c r="AB29" s="708"/>
      <c r="AC29" s="461"/>
      <c r="AD29" s="580">
        <f t="shared" ref="AD29:AU29" si="104">IFERROR(WSPCOST_SINGLE_ADJUSTED(AD$1,1+AW29),)</f>
        <v>37110000000000</v>
      </c>
      <c r="AE29" s="252">
        <f t="shared" si="104"/>
        <v>82420000000</v>
      </c>
      <c r="AF29" s="252">
        <f t="shared" si="104"/>
        <v>69650000000000</v>
      </c>
      <c r="AG29" s="252">
        <f t="shared" si="104"/>
        <v>21210000000</v>
      </c>
      <c r="AH29" s="252">
        <f t="shared" si="104"/>
        <v>43890000000000</v>
      </c>
      <c r="AI29" s="252">
        <f t="shared" si="104"/>
        <v>47710000000000</v>
      </c>
      <c r="AJ29" s="390">
        <f t="shared" si="104"/>
        <v>92140000000000</v>
      </c>
      <c r="AK29" s="390">
        <f t="shared" si="104"/>
        <v>135610000000000</v>
      </c>
      <c r="AL29" s="390">
        <f t="shared" si="104"/>
        <v>5000000000</v>
      </c>
      <c r="AM29" s="390">
        <f t="shared" si="104"/>
        <v>33950000000</v>
      </c>
      <c r="AN29" s="390">
        <f t="shared" si="104"/>
        <v>60080000000000</v>
      </c>
      <c r="AO29" s="390">
        <f t="shared" si="104"/>
        <v>22020000000000</v>
      </c>
      <c r="AP29" s="469">
        <f t="shared" si="104"/>
        <v>5240000000000</v>
      </c>
      <c r="AQ29" s="469">
        <f t="shared" si="104"/>
        <v>1.3E+15</v>
      </c>
      <c r="AR29" s="469">
        <f t="shared" si="104"/>
        <v>1.3E+15</v>
      </c>
      <c r="AS29" s="469">
        <f t="shared" si="104"/>
        <v>420490000000000</v>
      </c>
      <c r="AT29" s="469">
        <f t="shared" si="104"/>
        <v>3990000000000</v>
      </c>
      <c r="AU29" s="581">
        <f t="shared" si="104"/>
        <v>1.14E+15</v>
      </c>
      <c r="AV29" s="461"/>
      <c r="AW29" s="580">
        <f t="shared" ref="AW29:BN29" si="105">AW28+DB28</f>
        <v>56</v>
      </c>
      <c r="AX29" s="252">
        <f t="shared" si="105"/>
        <v>21</v>
      </c>
      <c r="AY29" s="252">
        <f t="shared" si="105"/>
        <v>60</v>
      </c>
      <c r="AZ29" s="252">
        <f t="shared" si="105"/>
        <v>17</v>
      </c>
      <c r="BA29" s="252">
        <f t="shared" si="105"/>
        <v>57</v>
      </c>
      <c r="BB29" s="252">
        <f t="shared" si="105"/>
        <v>13</v>
      </c>
      <c r="BC29" s="390">
        <f t="shared" si="105"/>
        <v>62</v>
      </c>
      <c r="BD29" s="390">
        <f t="shared" si="105"/>
        <v>65</v>
      </c>
      <c r="BE29" s="390">
        <f t="shared" si="105"/>
        <v>0</v>
      </c>
      <c r="BF29" s="390">
        <f t="shared" si="105"/>
        <v>18</v>
      </c>
      <c r="BG29" s="390">
        <f t="shared" si="105"/>
        <v>59</v>
      </c>
      <c r="BH29" s="390">
        <f t="shared" si="105"/>
        <v>20</v>
      </c>
      <c r="BI29" s="469">
        <f t="shared" si="105"/>
        <v>44</v>
      </c>
      <c r="BJ29" s="469">
        <f t="shared" si="105"/>
        <v>37</v>
      </c>
      <c r="BK29" s="469">
        <f t="shared" si="105"/>
        <v>37</v>
      </c>
      <c r="BL29" s="469">
        <f t="shared" si="105"/>
        <v>18</v>
      </c>
      <c r="BM29" s="469">
        <f t="shared" si="105"/>
        <v>42</v>
      </c>
      <c r="BN29" s="581">
        <f t="shared" si="105"/>
        <v>15</v>
      </c>
      <c r="BO29" s="461"/>
      <c r="BP29" s="580">
        <f t="shared" si="8"/>
        <v>37110000000000</v>
      </c>
      <c r="BQ29" s="252" t="str">
        <f t="shared" si="9"/>
        <v/>
      </c>
      <c r="BR29" s="252">
        <f t="shared" si="10"/>
        <v>69650000000000</v>
      </c>
      <c r="BS29" s="252" t="str">
        <f t="shared" si="11"/>
        <v/>
      </c>
      <c r="BT29" s="252" t="str">
        <f t="shared" si="12"/>
        <v/>
      </c>
      <c r="BU29" s="252">
        <f t="shared" si="13"/>
        <v>47710000000000</v>
      </c>
      <c r="BV29" s="390">
        <f t="shared" si="14"/>
        <v>92140000000000</v>
      </c>
      <c r="BW29" s="390">
        <f t="shared" si="15"/>
        <v>135610000000000</v>
      </c>
      <c r="BX29" s="390" t="str">
        <f t="shared" si="16"/>
        <v/>
      </c>
      <c r="BY29" s="390" t="str">
        <f t="shared" si="17"/>
        <v/>
      </c>
      <c r="BZ29" s="390">
        <f t="shared" si="18"/>
        <v>60080000000000</v>
      </c>
      <c r="CA29" s="390">
        <f t="shared" si="19"/>
        <v>22020000000000</v>
      </c>
      <c r="CB29" s="469">
        <f t="shared" si="20"/>
        <v>5240000000000</v>
      </c>
      <c r="CC29" s="469" t="str">
        <f t="shared" si="21"/>
        <v/>
      </c>
      <c r="CD29" s="469" t="str">
        <f t="shared" si="22"/>
        <v/>
      </c>
      <c r="CE29" s="469" t="str">
        <f t="shared" si="23"/>
        <v/>
      </c>
      <c r="CF29" s="469" t="str">
        <f t="shared" si="24"/>
        <v/>
      </c>
      <c r="CG29" s="581" t="str">
        <f t="shared" si="25"/>
        <v/>
      </c>
      <c r="CH29" s="461"/>
      <c r="CI29" s="580" t="str">
        <f t="array" ref="CI29">LET(
array,SORT({$Y$2:$AB$19,TRANSPOSE($BP29:$CG29)},4,TRUE),
col,CHOOSECOLS(array,5),
row,MATCH(FALSE, ISBLANK(col), 0),
IF(BP29=SWITCH($AA$22,
"minimum cost", MIN($BP29:$CG29),
"maximum cost", MAX($BP29:$CG29), 
"custom order", IF(CI$1=INDEX(array, row,1),INDEX(array, row,5),"x"))
,1,))</f>
        <v/>
      </c>
      <c r="CJ29" s="252" t="str">
        <f t="array" ref="CJ29">LET(
array,SORT({$Y$2:$AB$19,TRANSPOSE($BP29:$CG29)},4,TRUE),
col,CHOOSECOLS(array,5),
row,MATCH(FALSE, ISBLANK(col), 0),
IF(BQ29=SWITCH($AA$22,
"minimum cost", MIN($BP29:$CG29),
"maximum cost", MAX($BP29:$CG29), 
"custom order", IF(CJ$1=INDEX(array, row,1),INDEX(array, row,5),"x"))
,1,))</f>
        <v/>
      </c>
      <c r="CK29" s="252" t="str">
        <f t="array" ref="CK29">LET(
array,SORT({$Y$2:$AB$19,TRANSPOSE($BP29:$CG29)},4,TRUE),
col,CHOOSECOLS(array,5),
row,MATCH(FALSE, ISBLANK(col), 0),
IF(BR29=SWITCH($AA$22,
"minimum cost", MIN($BP29:$CG29),
"maximum cost", MAX($BP29:$CG29), 
"custom order", IF(CK$1=INDEX(array, row,1),INDEX(array, row,5),"x"))
,1,))</f>
        <v/>
      </c>
      <c r="CL29" s="252" t="str">
        <f t="array" ref="CL29">LET(
array,SORT({$Y$2:$AB$19,TRANSPOSE($BP29:$CG29)},4,TRUE),
col,CHOOSECOLS(array,5),
row,MATCH(FALSE, ISBLANK(col), 0),
IF(BS29=SWITCH($AA$22,
"minimum cost", MIN($BP29:$CG29),
"maximum cost", MAX($BP29:$CG29), 
"custom order", IF(CL$1=INDEX(array, row,1),INDEX(array, row,5),"x"))
,1,))</f>
        <v/>
      </c>
      <c r="CM29" s="252" t="str">
        <f t="array" ref="CM29">LET(
array,SORT({$Y$2:$AB$19,TRANSPOSE($BP29:$CG29)},4,TRUE),
col,CHOOSECOLS(array,5),
row,MATCH(FALSE, ISBLANK(col), 0),
IF(BT29=SWITCH($AA$22,
"minimum cost", MIN($BP29:$CG29),
"maximum cost", MAX($BP29:$CG29), 
"custom order", IF(CM$1=INDEX(array, row,1),INDEX(array, row,5),"x"))
,1,))</f>
        <v/>
      </c>
      <c r="CN29" s="252" t="str">
        <f t="array" ref="CN29">LET(
array,SORT({$Y$2:$AB$19,TRANSPOSE($BP29:$CG29)},4,TRUE),
col,CHOOSECOLS(array,5),
row,MATCH(FALSE, ISBLANK(col), 0),
IF(BU29=SWITCH($AA$22,
"minimum cost", MIN($BP29:$CG29),
"maximum cost", MAX($BP29:$CG29), 
"custom order", IF(CN$1=INDEX(array, row,1),INDEX(array, row,5),"x"))
,1,))</f>
        <v/>
      </c>
      <c r="CO29" s="390" t="str">
        <f t="array" ref="CO29">LET(
array,SORT({$Y$2:$AB$19,TRANSPOSE($BP29:$CG29)},4,TRUE),
col,CHOOSECOLS(array,5),
row,MATCH(FALSE, ISBLANK(col), 0),
IF(BV29=SWITCH($AA$22,
"minimum cost", MIN($BP29:$CG29),
"maximum cost", MAX($BP29:$CG29), 
"custom order", IF(CO$1=INDEX(array, row,1),INDEX(array, row,5),"x"))
,1,))</f>
        <v/>
      </c>
      <c r="CP29" s="390">
        <f t="array" ref="CP29">LET(
array,SORT({$Y$2:$AB$19,TRANSPOSE($BP29:$CG29)},4,TRUE),
col,CHOOSECOLS(array,5),
row,MATCH(FALSE, ISBLANK(col), 0),
IF(BW29=SWITCH($AA$22,
"minimum cost", MIN($BP29:$CG29),
"maximum cost", MAX($BP29:$CG29), 
"custom order", IF(CP$1=INDEX(array, row,1),INDEX(array, row,5),"x"))
,1,))</f>
        <v>1</v>
      </c>
      <c r="CQ29" s="390" t="str">
        <f t="array" ref="CQ29">LET(
array,SORT({$Y$2:$AB$19,TRANSPOSE($BP29:$CG29)},4,TRUE),
col,CHOOSECOLS(array,5),
row,MATCH(FALSE, ISBLANK(col), 0),
IF(BX29=SWITCH($AA$22,
"minimum cost", MIN($BP29:$CG29),
"maximum cost", MAX($BP29:$CG29), 
"custom order", IF(CQ$1=INDEX(array, row,1),INDEX(array, row,5),"x"))
,1,))</f>
        <v/>
      </c>
      <c r="CR29" s="390" t="str">
        <f t="array" ref="CR29">LET(
array,SORT({$Y$2:$AB$19,TRANSPOSE($BP29:$CG29)},4,TRUE),
col,CHOOSECOLS(array,5),
row,MATCH(FALSE, ISBLANK(col), 0),
IF(BY29=SWITCH($AA$22,
"minimum cost", MIN($BP29:$CG29),
"maximum cost", MAX($BP29:$CG29), 
"custom order", IF(CR$1=INDEX(array, row,1),INDEX(array, row,5),"x"))
,1,))</f>
        <v/>
      </c>
      <c r="CS29" s="390" t="str">
        <f t="array" ref="CS29">LET(
array,SORT({$Y$2:$AB$19,TRANSPOSE($BP29:$CG29)},4,TRUE),
col,CHOOSECOLS(array,5),
row,MATCH(FALSE, ISBLANK(col), 0),
IF(BZ29=SWITCH($AA$22,
"minimum cost", MIN($BP29:$CG29),
"maximum cost", MAX($BP29:$CG29), 
"custom order", IF(CS$1=INDEX(array, row,1),INDEX(array, row,5),"x"))
,1,))</f>
        <v/>
      </c>
      <c r="CT29" s="390" t="str">
        <f t="array" ref="CT29">LET(
array,SORT({$Y$2:$AB$19,TRANSPOSE($BP29:$CG29)},4,TRUE),
col,CHOOSECOLS(array,5),
row,MATCH(FALSE, ISBLANK(col), 0),
IF(CA29=SWITCH($AA$22,
"minimum cost", MIN($BP29:$CG29),
"maximum cost", MAX($BP29:$CG29), 
"custom order", IF(CT$1=INDEX(array, row,1),INDEX(array, row,5),"x"))
,1,))</f>
        <v/>
      </c>
      <c r="CU29" s="469" t="str">
        <f t="array" ref="CU29">LET(
array,SORT({$Y$2:$AB$19,TRANSPOSE($BP29:$CG29)},4,TRUE),
col,CHOOSECOLS(array,5),
row,MATCH(FALSE, ISBLANK(col), 0),
IF(CB29=SWITCH($AA$22,
"minimum cost", MIN($BP29:$CG29),
"maximum cost", MAX($BP29:$CG29), 
"custom order", IF(CU$1=INDEX(array, row,1),INDEX(array, row,5),"x"))
,1,))</f>
        <v/>
      </c>
      <c r="CV29" s="469" t="str">
        <f t="array" ref="CV29">LET(
array,SORT({$Y$2:$AB$19,TRANSPOSE($BP29:$CG29)},4,TRUE),
col,CHOOSECOLS(array,5),
row,MATCH(FALSE, ISBLANK(col), 0),
IF(CC29=SWITCH($AA$22,
"minimum cost", MIN($BP29:$CG29),
"maximum cost", MAX($BP29:$CG29), 
"custom order", IF(CV$1=INDEX(array, row,1),INDEX(array, row,5),"x"))
,1,))</f>
        <v/>
      </c>
      <c r="CW29" s="469" t="str">
        <f t="array" ref="CW29">LET(
array,SORT({$Y$2:$AB$19,TRANSPOSE($BP29:$CG29)},4,TRUE),
col,CHOOSECOLS(array,5),
row,MATCH(FALSE, ISBLANK(col), 0),
IF(CD29=SWITCH($AA$22,
"minimum cost", MIN($BP29:$CG29),
"maximum cost", MAX($BP29:$CG29), 
"custom order", IF(CW$1=INDEX(array, row,1),INDEX(array, row,5),"x"))
,1,))</f>
        <v/>
      </c>
      <c r="CX29" s="469" t="str">
        <f t="array" ref="CX29">LET(
array,SORT({$Y$2:$AB$19,TRANSPOSE($BP29:$CG29)},4,TRUE),
col,CHOOSECOLS(array,5),
row,MATCH(FALSE, ISBLANK(col), 0),
IF(CE29=SWITCH($AA$22,
"minimum cost", MIN($BP29:$CG29),
"maximum cost", MAX($BP29:$CG29), 
"custom order", IF(CX$1=INDEX(array, row,1),INDEX(array, row,5),"x"))
,1,))</f>
        <v/>
      </c>
      <c r="CY29" s="469" t="str">
        <f t="array" ref="CY29">LET(
array,SORT({$Y$2:$AB$19,TRANSPOSE($BP29:$CG29)},4,TRUE),
col,CHOOSECOLS(array,5),
row,MATCH(FALSE, ISBLANK(col), 0),
IF(CF29=SWITCH($AA$22,
"minimum cost", MIN($BP29:$CG29),
"maximum cost", MAX($BP29:$CG29), 
"custom order", IF(CY$1=INDEX(array, row,1),INDEX(array, row,5),"x"))
,1,))</f>
        <v/>
      </c>
      <c r="CZ29" s="581" t="str">
        <f t="array" ref="CZ29">LET(
array,SORT({$Y$2:$AB$19,TRANSPOSE($BP29:$CG29)},4,TRUE),
col,CHOOSECOLS(array,5),
row,MATCH(FALSE, ISBLANK(col), 0),
IF(CG29=SWITCH($AA$22,
"minimum cost", MIN($BP29:$CG29),
"maximum cost", MAX($BP29:$CG29), 
"custom order", IF(CZ$1=INDEX(array, row,1),INDEX(array, row,5),"x"))
,1,))</f>
        <v/>
      </c>
      <c r="DA29" s="461"/>
      <c r="DB29" s="580" t="str">
        <f t="array" ref="DB29:DS29">IF(MATCH(1, CI29:CZ29, 0)=COLUMN(CI29:CZ29)-COLUMN(CI29)+1, CI29:CZ29, "")</f>
        <v/>
      </c>
      <c r="DC29" s="252" t="s">
        <v>133</v>
      </c>
      <c r="DD29" s="252" t="s">
        <v>133</v>
      </c>
      <c r="DE29" s="252" t="s">
        <v>133</v>
      </c>
      <c r="DF29" s="252" t="s">
        <v>133</v>
      </c>
      <c r="DG29" s="252" t="s">
        <v>133</v>
      </c>
      <c r="DH29" s="390" t="s">
        <v>133</v>
      </c>
      <c r="DI29" s="390">
        <v>1.0</v>
      </c>
      <c r="DJ29" s="390" t="s">
        <v>133</v>
      </c>
      <c r="DK29" s="390" t="s">
        <v>133</v>
      </c>
      <c r="DL29" s="390" t="s">
        <v>133</v>
      </c>
      <c r="DM29" s="390" t="s">
        <v>133</v>
      </c>
      <c r="DN29" s="469" t="s">
        <v>133</v>
      </c>
      <c r="DO29" s="469" t="s">
        <v>133</v>
      </c>
      <c r="DP29" s="469" t="s">
        <v>133</v>
      </c>
      <c r="DQ29" s="469" t="s">
        <v>133</v>
      </c>
      <c r="DR29" s="469" t="s">
        <v>133</v>
      </c>
      <c r="DS29" s="581" t="s">
        <v>133</v>
      </c>
      <c r="DT29" s="563"/>
    </row>
    <row r="30">
      <c r="A30" s="563"/>
      <c r="B30" s="702"/>
      <c r="M30" s="461"/>
      <c r="N30" s="10"/>
      <c r="O30" s="10"/>
      <c r="P30" s="10"/>
      <c r="Q30" s="570" t="str">
        <f>IFERROR(__xludf.DUMMYFUNCTION("IF(SUM(DB30:DS30),ARRAYFORMULA(FILTER(DB$1:DS$1, DB30:DS30=1)),)"),"Health Regen")</f>
        <v>Health Regen</v>
      </c>
      <c r="R30" s="571">
        <f>IFERROR(__xludf.DUMMYFUNCTION("IF(SUM(DB30:DS30),ARRAYFORMULA(FILTER(AW30:BN30, DB30:DS30=1))+1,)"),67.0)</f>
        <v>67</v>
      </c>
      <c r="S30" s="572">
        <f>IFERROR(__xludf.DUMMYFUNCTION("IF(SUM(DB30:DS30),ARRAYFORMULA(FILTER(AD30:AU30, DB30:DS30=1)),)"),1.531E14)</f>
        <v>153100000000000</v>
      </c>
      <c r="T30" s="572">
        <f t="shared" si="26"/>
        <v>8.89788E+15</v>
      </c>
      <c r="U30" s="573" t="str">
        <f t="shared" ref="U30:V30" si="106">FORMAT_NUMBER(S30)</f>
        <v>153.1 T</v>
      </c>
      <c r="V30" s="574" t="str">
        <f t="shared" si="106"/>
        <v>8.9 q</v>
      </c>
      <c r="W30" s="677"/>
      <c r="X30" s="709"/>
      <c r="Y30" s="710"/>
      <c r="Z30" s="710"/>
      <c r="AA30" s="710"/>
      <c r="AB30" s="711"/>
      <c r="AC30" s="461"/>
      <c r="AD30" s="580">
        <f t="shared" ref="AD30:AU30" si="107">IFERROR(WSPCOST_SINGLE_ADJUSTED(AD$1,1+AW30),)</f>
        <v>37110000000000</v>
      </c>
      <c r="AE30" s="252">
        <f t="shared" si="107"/>
        <v>82420000000</v>
      </c>
      <c r="AF30" s="252">
        <f t="shared" si="107"/>
        <v>69650000000000</v>
      </c>
      <c r="AG30" s="252">
        <f t="shared" si="107"/>
        <v>21210000000</v>
      </c>
      <c r="AH30" s="252">
        <f t="shared" si="107"/>
        <v>43890000000000</v>
      </c>
      <c r="AI30" s="252">
        <f t="shared" si="107"/>
        <v>47710000000000</v>
      </c>
      <c r="AJ30" s="390">
        <f t="shared" si="107"/>
        <v>92140000000000</v>
      </c>
      <c r="AK30" s="390">
        <f t="shared" si="107"/>
        <v>153100000000000</v>
      </c>
      <c r="AL30" s="390">
        <f t="shared" si="107"/>
        <v>5000000000</v>
      </c>
      <c r="AM30" s="390">
        <f t="shared" si="107"/>
        <v>33950000000</v>
      </c>
      <c r="AN30" s="390">
        <f t="shared" si="107"/>
        <v>60080000000000</v>
      </c>
      <c r="AO30" s="390">
        <f t="shared" si="107"/>
        <v>22020000000000</v>
      </c>
      <c r="AP30" s="469">
        <f t="shared" si="107"/>
        <v>5240000000000</v>
      </c>
      <c r="AQ30" s="469">
        <f t="shared" si="107"/>
        <v>1.3E+15</v>
      </c>
      <c r="AR30" s="469">
        <f t="shared" si="107"/>
        <v>1.3E+15</v>
      </c>
      <c r="AS30" s="469">
        <f t="shared" si="107"/>
        <v>420490000000000</v>
      </c>
      <c r="AT30" s="469">
        <f t="shared" si="107"/>
        <v>3990000000000</v>
      </c>
      <c r="AU30" s="581">
        <f t="shared" si="107"/>
        <v>1.14E+15</v>
      </c>
      <c r="AV30" s="461"/>
      <c r="AW30" s="580">
        <f t="shared" ref="AW30:BN30" si="108">AW29+DB29</f>
        <v>56</v>
      </c>
      <c r="AX30" s="252">
        <f t="shared" si="108"/>
        <v>21</v>
      </c>
      <c r="AY30" s="252">
        <f t="shared" si="108"/>
        <v>60</v>
      </c>
      <c r="AZ30" s="252">
        <f t="shared" si="108"/>
        <v>17</v>
      </c>
      <c r="BA30" s="252">
        <f t="shared" si="108"/>
        <v>57</v>
      </c>
      <c r="BB30" s="252">
        <f t="shared" si="108"/>
        <v>13</v>
      </c>
      <c r="BC30" s="390">
        <f t="shared" si="108"/>
        <v>62</v>
      </c>
      <c r="BD30" s="390">
        <f t="shared" si="108"/>
        <v>66</v>
      </c>
      <c r="BE30" s="390">
        <f t="shared" si="108"/>
        <v>0</v>
      </c>
      <c r="BF30" s="390">
        <f t="shared" si="108"/>
        <v>18</v>
      </c>
      <c r="BG30" s="390">
        <f t="shared" si="108"/>
        <v>59</v>
      </c>
      <c r="BH30" s="390">
        <f t="shared" si="108"/>
        <v>20</v>
      </c>
      <c r="BI30" s="469">
        <f t="shared" si="108"/>
        <v>44</v>
      </c>
      <c r="BJ30" s="469">
        <f t="shared" si="108"/>
        <v>37</v>
      </c>
      <c r="BK30" s="469">
        <f t="shared" si="108"/>
        <v>37</v>
      </c>
      <c r="BL30" s="469">
        <f t="shared" si="108"/>
        <v>18</v>
      </c>
      <c r="BM30" s="469">
        <f t="shared" si="108"/>
        <v>42</v>
      </c>
      <c r="BN30" s="581">
        <f t="shared" si="108"/>
        <v>15</v>
      </c>
      <c r="BO30" s="461"/>
      <c r="BP30" s="580">
        <f t="shared" si="8"/>
        <v>37110000000000</v>
      </c>
      <c r="BQ30" s="252" t="str">
        <f t="shared" si="9"/>
        <v/>
      </c>
      <c r="BR30" s="252">
        <f t="shared" si="10"/>
        <v>69650000000000</v>
      </c>
      <c r="BS30" s="252" t="str">
        <f t="shared" si="11"/>
        <v/>
      </c>
      <c r="BT30" s="252" t="str">
        <f t="shared" si="12"/>
        <v/>
      </c>
      <c r="BU30" s="252">
        <f t="shared" si="13"/>
        <v>47710000000000</v>
      </c>
      <c r="BV30" s="390">
        <f t="shared" si="14"/>
        <v>92140000000000</v>
      </c>
      <c r="BW30" s="390">
        <f t="shared" si="15"/>
        <v>153100000000000</v>
      </c>
      <c r="BX30" s="390" t="str">
        <f t="shared" si="16"/>
        <v/>
      </c>
      <c r="BY30" s="390" t="str">
        <f t="shared" si="17"/>
        <v/>
      </c>
      <c r="BZ30" s="390">
        <f t="shared" si="18"/>
        <v>60080000000000</v>
      </c>
      <c r="CA30" s="390">
        <f t="shared" si="19"/>
        <v>22020000000000</v>
      </c>
      <c r="CB30" s="469">
        <f t="shared" si="20"/>
        <v>5240000000000</v>
      </c>
      <c r="CC30" s="469" t="str">
        <f t="shared" si="21"/>
        <v/>
      </c>
      <c r="CD30" s="469" t="str">
        <f t="shared" si="22"/>
        <v/>
      </c>
      <c r="CE30" s="469" t="str">
        <f t="shared" si="23"/>
        <v/>
      </c>
      <c r="CF30" s="469" t="str">
        <f t="shared" si="24"/>
        <v/>
      </c>
      <c r="CG30" s="581" t="str">
        <f t="shared" si="25"/>
        <v/>
      </c>
      <c r="CH30" s="461"/>
      <c r="CI30" s="580" t="str">
        <f t="array" ref="CI30">LET(
array,SORT({$Y$2:$AB$19,TRANSPOSE($BP30:$CG30)},4,TRUE),
col,CHOOSECOLS(array,5),
row,MATCH(FALSE, ISBLANK(col), 0),
IF(BP30=SWITCH($AA$22,
"minimum cost", MIN($BP30:$CG30),
"maximum cost", MAX($BP30:$CG30), 
"custom order", IF(CI$1=INDEX(array, row,1),INDEX(array, row,5),"x"))
,1,))</f>
        <v/>
      </c>
      <c r="CJ30" s="252" t="str">
        <f t="array" ref="CJ30">LET(
array,SORT({$Y$2:$AB$19,TRANSPOSE($BP30:$CG30)},4,TRUE),
col,CHOOSECOLS(array,5),
row,MATCH(FALSE, ISBLANK(col), 0),
IF(BQ30=SWITCH($AA$22,
"minimum cost", MIN($BP30:$CG30),
"maximum cost", MAX($BP30:$CG30), 
"custom order", IF(CJ$1=INDEX(array, row,1),INDEX(array, row,5),"x"))
,1,))</f>
        <v/>
      </c>
      <c r="CK30" s="252" t="str">
        <f t="array" ref="CK30">LET(
array,SORT({$Y$2:$AB$19,TRANSPOSE($BP30:$CG30)},4,TRUE),
col,CHOOSECOLS(array,5),
row,MATCH(FALSE, ISBLANK(col), 0),
IF(BR30=SWITCH($AA$22,
"minimum cost", MIN($BP30:$CG30),
"maximum cost", MAX($BP30:$CG30), 
"custom order", IF(CK$1=INDEX(array, row,1),INDEX(array, row,5),"x"))
,1,))</f>
        <v/>
      </c>
      <c r="CL30" s="252" t="str">
        <f t="array" ref="CL30">LET(
array,SORT({$Y$2:$AB$19,TRANSPOSE($BP30:$CG30)},4,TRUE),
col,CHOOSECOLS(array,5),
row,MATCH(FALSE, ISBLANK(col), 0),
IF(BS30=SWITCH($AA$22,
"minimum cost", MIN($BP30:$CG30),
"maximum cost", MAX($BP30:$CG30), 
"custom order", IF(CL$1=INDEX(array, row,1),INDEX(array, row,5),"x"))
,1,))</f>
        <v/>
      </c>
      <c r="CM30" s="252" t="str">
        <f t="array" ref="CM30">LET(
array,SORT({$Y$2:$AB$19,TRANSPOSE($BP30:$CG30)},4,TRUE),
col,CHOOSECOLS(array,5),
row,MATCH(FALSE, ISBLANK(col), 0),
IF(BT30=SWITCH($AA$22,
"minimum cost", MIN($BP30:$CG30),
"maximum cost", MAX($BP30:$CG30), 
"custom order", IF(CM$1=INDEX(array, row,1),INDEX(array, row,5),"x"))
,1,))</f>
        <v/>
      </c>
      <c r="CN30" s="252" t="str">
        <f t="array" ref="CN30">LET(
array,SORT({$Y$2:$AB$19,TRANSPOSE($BP30:$CG30)},4,TRUE),
col,CHOOSECOLS(array,5),
row,MATCH(FALSE, ISBLANK(col), 0),
IF(BU30=SWITCH($AA$22,
"minimum cost", MIN($BP30:$CG30),
"maximum cost", MAX($BP30:$CG30), 
"custom order", IF(CN$1=INDEX(array, row,1),INDEX(array, row,5),"x"))
,1,))</f>
        <v/>
      </c>
      <c r="CO30" s="390" t="str">
        <f t="array" ref="CO30">LET(
array,SORT({$Y$2:$AB$19,TRANSPOSE($BP30:$CG30)},4,TRUE),
col,CHOOSECOLS(array,5),
row,MATCH(FALSE, ISBLANK(col), 0),
IF(BV30=SWITCH($AA$22,
"minimum cost", MIN($BP30:$CG30),
"maximum cost", MAX($BP30:$CG30), 
"custom order", IF(CO$1=INDEX(array, row,1),INDEX(array, row,5),"x"))
,1,))</f>
        <v/>
      </c>
      <c r="CP30" s="390">
        <f t="array" ref="CP30">LET(
array,SORT({$Y$2:$AB$19,TRANSPOSE($BP30:$CG30)},4,TRUE),
col,CHOOSECOLS(array,5),
row,MATCH(FALSE, ISBLANK(col), 0),
IF(BW30=SWITCH($AA$22,
"minimum cost", MIN($BP30:$CG30),
"maximum cost", MAX($BP30:$CG30), 
"custom order", IF(CP$1=INDEX(array, row,1),INDEX(array, row,5),"x"))
,1,))</f>
        <v>1</v>
      </c>
      <c r="CQ30" s="390" t="str">
        <f t="array" ref="CQ30">LET(
array,SORT({$Y$2:$AB$19,TRANSPOSE($BP30:$CG30)},4,TRUE),
col,CHOOSECOLS(array,5),
row,MATCH(FALSE, ISBLANK(col), 0),
IF(BX30=SWITCH($AA$22,
"minimum cost", MIN($BP30:$CG30),
"maximum cost", MAX($BP30:$CG30), 
"custom order", IF(CQ$1=INDEX(array, row,1),INDEX(array, row,5),"x"))
,1,))</f>
        <v/>
      </c>
      <c r="CR30" s="390" t="str">
        <f t="array" ref="CR30">LET(
array,SORT({$Y$2:$AB$19,TRANSPOSE($BP30:$CG30)},4,TRUE),
col,CHOOSECOLS(array,5),
row,MATCH(FALSE, ISBLANK(col), 0),
IF(BY30=SWITCH($AA$22,
"minimum cost", MIN($BP30:$CG30),
"maximum cost", MAX($BP30:$CG30), 
"custom order", IF(CR$1=INDEX(array, row,1),INDEX(array, row,5),"x"))
,1,))</f>
        <v/>
      </c>
      <c r="CS30" s="390" t="str">
        <f t="array" ref="CS30">LET(
array,SORT({$Y$2:$AB$19,TRANSPOSE($BP30:$CG30)},4,TRUE),
col,CHOOSECOLS(array,5),
row,MATCH(FALSE, ISBLANK(col), 0),
IF(BZ30=SWITCH($AA$22,
"minimum cost", MIN($BP30:$CG30),
"maximum cost", MAX($BP30:$CG30), 
"custom order", IF(CS$1=INDEX(array, row,1),INDEX(array, row,5),"x"))
,1,))</f>
        <v/>
      </c>
      <c r="CT30" s="390" t="str">
        <f t="array" ref="CT30">LET(
array,SORT({$Y$2:$AB$19,TRANSPOSE($BP30:$CG30)},4,TRUE),
col,CHOOSECOLS(array,5),
row,MATCH(FALSE, ISBLANK(col), 0),
IF(CA30=SWITCH($AA$22,
"minimum cost", MIN($BP30:$CG30),
"maximum cost", MAX($BP30:$CG30), 
"custom order", IF(CT$1=INDEX(array, row,1),INDEX(array, row,5),"x"))
,1,))</f>
        <v/>
      </c>
      <c r="CU30" s="469" t="str">
        <f t="array" ref="CU30">LET(
array,SORT({$Y$2:$AB$19,TRANSPOSE($BP30:$CG30)},4,TRUE),
col,CHOOSECOLS(array,5),
row,MATCH(FALSE, ISBLANK(col), 0),
IF(CB30=SWITCH($AA$22,
"minimum cost", MIN($BP30:$CG30),
"maximum cost", MAX($BP30:$CG30), 
"custom order", IF(CU$1=INDEX(array, row,1),INDEX(array, row,5),"x"))
,1,))</f>
        <v/>
      </c>
      <c r="CV30" s="469" t="str">
        <f t="array" ref="CV30">LET(
array,SORT({$Y$2:$AB$19,TRANSPOSE($BP30:$CG30)},4,TRUE),
col,CHOOSECOLS(array,5),
row,MATCH(FALSE, ISBLANK(col), 0),
IF(CC30=SWITCH($AA$22,
"minimum cost", MIN($BP30:$CG30),
"maximum cost", MAX($BP30:$CG30), 
"custom order", IF(CV$1=INDEX(array, row,1),INDEX(array, row,5),"x"))
,1,))</f>
        <v/>
      </c>
      <c r="CW30" s="469" t="str">
        <f t="array" ref="CW30">LET(
array,SORT({$Y$2:$AB$19,TRANSPOSE($BP30:$CG30)},4,TRUE),
col,CHOOSECOLS(array,5),
row,MATCH(FALSE, ISBLANK(col), 0),
IF(CD30=SWITCH($AA$22,
"minimum cost", MIN($BP30:$CG30),
"maximum cost", MAX($BP30:$CG30), 
"custom order", IF(CW$1=INDEX(array, row,1),INDEX(array, row,5),"x"))
,1,))</f>
        <v/>
      </c>
      <c r="CX30" s="469" t="str">
        <f t="array" ref="CX30">LET(
array,SORT({$Y$2:$AB$19,TRANSPOSE($BP30:$CG30)},4,TRUE),
col,CHOOSECOLS(array,5),
row,MATCH(FALSE, ISBLANK(col), 0),
IF(CE30=SWITCH($AA$22,
"minimum cost", MIN($BP30:$CG30),
"maximum cost", MAX($BP30:$CG30), 
"custom order", IF(CX$1=INDEX(array, row,1),INDEX(array, row,5),"x"))
,1,))</f>
        <v/>
      </c>
      <c r="CY30" s="469" t="str">
        <f t="array" ref="CY30">LET(
array,SORT({$Y$2:$AB$19,TRANSPOSE($BP30:$CG30)},4,TRUE),
col,CHOOSECOLS(array,5),
row,MATCH(FALSE, ISBLANK(col), 0),
IF(CF30=SWITCH($AA$22,
"minimum cost", MIN($BP30:$CG30),
"maximum cost", MAX($BP30:$CG30), 
"custom order", IF(CY$1=INDEX(array, row,1),INDEX(array, row,5),"x"))
,1,))</f>
        <v/>
      </c>
      <c r="CZ30" s="581" t="str">
        <f t="array" ref="CZ30">LET(
array,SORT({$Y$2:$AB$19,TRANSPOSE($BP30:$CG30)},4,TRUE),
col,CHOOSECOLS(array,5),
row,MATCH(FALSE, ISBLANK(col), 0),
IF(CG30=SWITCH($AA$22,
"minimum cost", MIN($BP30:$CG30),
"maximum cost", MAX($BP30:$CG30), 
"custom order", IF(CZ$1=INDEX(array, row,1),INDEX(array, row,5),"x"))
,1,))</f>
        <v/>
      </c>
      <c r="DA30" s="461"/>
      <c r="DB30" s="580" t="str">
        <f t="array" ref="DB30:DS30">IF(MATCH(1, CI30:CZ30, 0)=COLUMN(CI30:CZ30)-COLUMN(CI30)+1, CI30:CZ30, "")</f>
        <v/>
      </c>
      <c r="DC30" s="252" t="s">
        <v>133</v>
      </c>
      <c r="DD30" s="252" t="s">
        <v>133</v>
      </c>
      <c r="DE30" s="252" t="s">
        <v>133</v>
      </c>
      <c r="DF30" s="252" t="s">
        <v>133</v>
      </c>
      <c r="DG30" s="252" t="s">
        <v>133</v>
      </c>
      <c r="DH30" s="390" t="s">
        <v>133</v>
      </c>
      <c r="DI30" s="390">
        <v>1.0</v>
      </c>
      <c r="DJ30" s="390" t="s">
        <v>133</v>
      </c>
      <c r="DK30" s="390" t="s">
        <v>133</v>
      </c>
      <c r="DL30" s="390" t="s">
        <v>133</v>
      </c>
      <c r="DM30" s="390" t="s">
        <v>133</v>
      </c>
      <c r="DN30" s="469" t="s">
        <v>133</v>
      </c>
      <c r="DO30" s="469" t="s">
        <v>133</v>
      </c>
      <c r="DP30" s="469" t="s">
        <v>133</v>
      </c>
      <c r="DQ30" s="469" t="s">
        <v>133</v>
      </c>
      <c r="DR30" s="469" t="s">
        <v>133</v>
      </c>
      <c r="DS30" s="581" t="s">
        <v>133</v>
      </c>
      <c r="DT30" s="563"/>
    </row>
    <row r="31">
      <c r="A31" s="563"/>
      <c r="B31" s="220"/>
      <c r="C31" s="215"/>
      <c r="D31" s="215"/>
      <c r="E31" s="215"/>
      <c r="F31" s="215"/>
      <c r="G31" s="215"/>
      <c r="H31" s="215"/>
      <c r="I31" s="215"/>
      <c r="J31" s="215"/>
      <c r="K31" s="215"/>
      <c r="L31" s="215"/>
      <c r="M31" s="461"/>
      <c r="N31" s="10"/>
      <c r="O31" s="10"/>
      <c r="P31" s="10"/>
      <c r="Q31" s="570" t="str">
        <f>IFERROR(__xludf.DUMMYFUNCTION("IF(SUM(DB31:DS31),ARRAYFORMULA(FILTER(DB$1:DS$1, DB31:DS31=1)),)"),"Health Regen")</f>
        <v>Health Regen</v>
      </c>
      <c r="R31" s="571">
        <f>IFERROR(__xludf.DUMMYFUNCTION("IF(SUM(DB31:DS31),ARRAYFORMULA(FILTER(AW31:BN31, DB31:DS31=1))+1,)"),68.0)</f>
        <v>68</v>
      </c>
      <c r="S31" s="572">
        <f>IFERROR(__xludf.DUMMYFUNCTION("IF(SUM(DB31:DS31),ARRAYFORMULA(FILTER(AD31:AU31, DB31:DS31=1)),)"),1.7226E14)</f>
        <v>172260000000000</v>
      </c>
      <c r="T31" s="572">
        <f t="shared" si="26"/>
        <v>9.07014E+15</v>
      </c>
      <c r="U31" s="573" t="str">
        <f t="shared" ref="U31:V31" si="109">FORMAT_NUMBER(S31)</f>
        <v>172.26 T</v>
      </c>
      <c r="V31" s="574" t="str">
        <f t="shared" si="109"/>
        <v>9.07 q</v>
      </c>
      <c r="W31" s="677"/>
      <c r="X31" s="709"/>
      <c r="Y31" s="709"/>
      <c r="Z31" s="709"/>
      <c r="AA31" s="709"/>
      <c r="AB31" s="712"/>
      <c r="AC31" s="461"/>
      <c r="AD31" s="580">
        <f t="shared" ref="AD31:AU31" si="110">IFERROR(WSPCOST_SINGLE_ADJUSTED(AD$1,1+AW31),)</f>
        <v>37110000000000</v>
      </c>
      <c r="AE31" s="252">
        <f t="shared" si="110"/>
        <v>82420000000</v>
      </c>
      <c r="AF31" s="252">
        <f t="shared" si="110"/>
        <v>69650000000000</v>
      </c>
      <c r="AG31" s="252">
        <f t="shared" si="110"/>
        <v>21210000000</v>
      </c>
      <c r="AH31" s="252">
        <f t="shared" si="110"/>
        <v>43890000000000</v>
      </c>
      <c r="AI31" s="252">
        <f t="shared" si="110"/>
        <v>47710000000000</v>
      </c>
      <c r="AJ31" s="390">
        <f t="shared" si="110"/>
        <v>92140000000000</v>
      </c>
      <c r="AK31" s="390">
        <f t="shared" si="110"/>
        <v>172260000000000</v>
      </c>
      <c r="AL31" s="390">
        <f t="shared" si="110"/>
        <v>5000000000</v>
      </c>
      <c r="AM31" s="390">
        <f t="shared" si="110"/>
        <v>33950000000</v>
      </c>
      <c r="AN31" s="390">
        <f t="shared" si="110"/>
        <v>60080000000000</v>
      </c>
      <c r="AO31" s="390">
        <f t="shared" si="110"/>
        <v>22020000000000</v>
      </c>
      <c r="AP31" s="469">
        <f t="shared" si="110"/>
        <v>5240000000000</v>
      </c>
      <c r="AQ31" s="469">
        <f t="shared" si="110"/>
        <v>1.3E+15</v>
      </c>
      <c r="AR31" s="469">
        <f t="shared" si="110"/>
        <v>1.3E+15</v>
      </c>
      <c r="AS31" s="469">
        <f t="shared" si="110"/>
        <v>420490000000000</v>
      </c>
      <c r="AT31" s="469">
        <f t="shared" si="110"/>
        <v>3990000000000</v>
      </c>
      <c r="AU31" s="581">
        <f t="shared" si="110"/>
        <v>1.14E+15</v>
      </c>
      <c r="AV31" s="461"/>
      <c r="AW31" s="580">
        <f t="shared" ref="AW31:BN31" si="111">AW30+DB30</f>
        <v>56</v>
      </c>
      <c r="AX31" s="252">
        <f t="shared" si="111"/>
        <v>21</v>
      </c>
      <c r="AY31" s="252">
        <f t="shared" si="111"/>
        <v>60</v>
      </c>
      <c r="AZ31" s="252">
        <f t="shared" si="111"/>
        <v>17</v>
      </c>
      <c r="BA31" s="252">
        <f t="shared" si="111"/>
        <v>57</v>
      </c>
      <c r="BB31" s="252">
        <f t="shared" si="111"/>
        <v>13</v>
      </c>
      <c r="BC31" s="390">
        <f t="shared" si="111"/>
        <v>62</v>
      </c>
      <c r="BD31" s="390">
        <f t="shared" si="111"/>
        <v>67</v>
      </c>
      <c r="BE31" s="390">
        <f t="shared" si="111"/>
        <v>0</v>
      </c>
      <c r="BF31" s="390">
        <f t="shared" si="111"/>
        <v>18</v>
      </c>
      <c r="BG31" s="390">
        <f t="shared" si="111"/>
        <v>59</v>
      </c>
      <c r="BH31" s="390">
        <f t="shared" si="111"/>
        <v>20</v>
      </c>
      <c r="BI31" s="469">
        <f t="shared" si="111"/>
        <v>44</v>
      </c>
      <c r="BJ31" s="469">
        <f t="shared" si="111"/>
        <v>37</v>
      </c>
      <c r="BK31" s="469">
        <f t="shared" si="111"/>
        <v>37</v>
      </c>
      <c r="BL31" s="469">
        <f t="shared" si="111"/>
        <v>18</v>
      </c>
      <c r="BM31" s="469">
        <f t="shared" si="111"/>
        <v>42</v>
      </c>
      <c r="BN31" s="581">
        <f t="shared" si="111"/>
        <v>15</v>
      </c>
      <c r="BO31" s="461"/>
      <c r="BP31" s="580">
        <f t="shared" si="8"/>
        <v>37110000000000</v>
      </c>
      <c r="BQ31" s="252" t="str">
        <f t="shared" si="9"/>
        <v/>
      </c>
      <c r="BR31" s="252">
        <f t="shared" si="10"/>
        <v>69650000000000</v>
      </c>
      <c r="BS31" s="252" t="str">
        <f t="shared" si="11"/>
        <v/>
      </c>
      <c r="BT31" s="252" t="str">
        <f t="shared" si="12"/>
        <v/>
      </c>
      <c r="BU31" s="252">
        <f t="shared" si="13"/>
        <v>47710000000000</v>
      </c>
      <c r="BV31" s="390">
        <f t="shared" si="14"/>
        <v>92140000000000</v>
      </c>
      <c r="BW31" s="390">
        <f t="shared" si="15"/>
        <v>172260000000000</v>
      </c>
      <c r="BX31" s="390" t="str">
        <f t="shared" si="16"/>
        <v/>
      </c>
      <c r="BY31" s="390" t="str">
        <f t="shared" si="17"/>
        <v/>
      </c>
      <c r="BZ31" s="390">
        <f t="shared" si="18"/>
        <v>60080000000000</v>
      </c>
      <c r="CA31" s="390">
        <f t="shared" si="19"/>
        <v>22020000000000</v>
      </c>
      <c r="CB31" s="469">
        <f t="shared" si="20"/>
        <v>5240000000000</v>
      </c>
      <c r="CC31" s="469" t="str">
        <f t="shared" si="21"/>
        <v/>
      </c>
      <c r="CD31" s="469" t="str">
        <f t="shared" si="22"/>
        <v/>
      </c>
      <c r="CE31" s="469" t="str">
        <f t="shared" si="23"/>
        <v/>
      </c>
      <c r="CF31" s="469" t="str">
        <f t="shared" si="24"/>
        <v/>
      </c>
      <c r="CG31" s="581" t="str">
        <f t="shared" si="25"/>
        <v/>
      </c>
      <c r="CH31" s="461"/>
      <c r="CI31" s="580" t="str">
        <f t="array" ref="CI31">LET(
array,SORT({$Y$2:$AB$19,TRANSPOSE($BP31:$CG31)},4,TRUE),
col,CHOOSECOLS(array,5),
row,MATCH(FALSE, ISBLANK(col), 0),
IF(BP31=SWITCH($AA$22,
"minimum cost", MIN($BP31:$CG31),
"maximum cost", MAX($BP31:$CG31), 
"custom order", IF(CI$1=INDEX(array, row,1),INDEX(array, row,5),"x"))
,1,))</f>
        <v/>
      </c>
      <c r="CJ31" s="252" t="str">
        <f t="array" ref="CJ31">LET(
array,SORT({$Y$2:$AB$19,TRANSPOSE($BP31:$CG31)},4,TRUE),
col,CHOOSECOLS(array,5),
row,MATCH(FALSE, ISBLANK(col), 0),
IF(BQ31=SWITCH($AA$22,
"minimum cost", MIN($BP31:$CG31),
"maximum cost", MAX($BP31:$CG31), 
"custom order", IF(CJ$1=INDEX(array, row,1),INDEX(array, row,5),"x"))
,1,))</f>
        <v/>
      </c>
      <c r="CK31" s="252" t="str">
        <f t="array" ref="CK31">LET(
array,SORT({$Y$2:$AB$19,TRANSPOSE($BP31:$CG31)},4,TRUE),
col,CHOOSECOLS(array,5),
row,MATCH(FALSE, ISBLANK(col), 0),
IF(BR31=SWITCH($AA$22,
"minimum cost", MIN($BP31:$CG31),
"maximum cost", MAX($BP31:$CG31), 
"custom order", IF(CK$1=INDEX(array, row,1),INDEX(array, row,5),"x"))
,1,))</f>
        <v/>
      </c>
      <c r="CL31" s="252" t="str">
        <f t="array" ref="CL31">LET(
array,SORT({$Y$2:$AB$19,TRANSPOSE($BP31:$CG31)},4,TRUE),
col,CHOOSECOLS(array,5),
row,MATCH(FALSE, ISBLANK(col), 0),
IF(BS31=SWITCH($AA$22,
"minimum cost", MIN($BP31:$CG31),
"maximum cost", MAX($BP31:$CG31), 
"custom order", IF(CL$1=INDEX(array, row,1),INDEX(array, row,5),"x"))
,1,))</f>
        <v/>
      </c>
      <c r="CM31" s="252" t="str">
        <f t="array" ref="CM31">LET(
array,SORT({$Y$2:$AB$19,TRANSPOSE($BP31:$CG31)},4,TRUE),
col,CHOOSECOLS(array,5),
row,MATCH(FALSE, ISBLANK(col), 0),
IF(BT31=SWITCH($AA$22,
"minimum cost", MIN($BP31:$CG31),
"maximum cost", MAX($BP31:$CG31), 
"custom order", IF(CM$1=INDEX(array, row,1),INDEX(array, row,5),"x"))
,1,))</f>
        <v/>
      </c>
      <c r="CN31" s="252" t="str">
        <f t="array" ref="CN31">LET(
array,SORT({$Y$2:$AB$19,TRANSPOSE($BP31:$CG31)},4,TRUE),
col,CHOOSECOLS(array,5),
row,MATCH(FALSE, ISBLANK(col), 0),
IF(BU31=SWITCH($AA$22,
"minimum cost", MIN($BP31:$CG31),
"maximum cost", MAX($BP31:$CG31), 
"custom order", IF(CN$1=INDEX(array, row,1),INDEX(array, row,5),"x"))
,1,))</f>
        <v/>
      </c>
      <c r="CO31" s="390" t="str">
        <f t="array" ref="CO31">LET(
array,SORT({$Y$2:$AB$19,TRANSPOSE($BP31:$CG31)},4,TRUE),
col,CHOOSECOLS(array,5),
row,MATCH(FALSE, ISBLANK(col), 0),
IF(BV31=SWITCH($AA$22,
"minimum cost", MIN($BP31:$CG31),
"maximum cost", MAX($BP31:$CG31), 
"custom order", IF(CO$1=INDEX(array, row,1),INDEX(array, row,5),"x"))
,1,))</f>
        <v/>
      </c>
      <c r="CP31" s="390">
        <f t="array" ref="CP31">LET(
array,SORT({$Y$2:$AB$19,TRANSPOSE($BP31:$CG31)},4,TRUE),
col,CHOOSECOLS(array,5),
row,MATCH(FALSE, ISBLANK(col), 0),
IF(BW31=SWITCH($AA$22,
"minimum cost", MIN($BP31:$CG31),
"maximum cost", MAX($BP31:$CG31), 
"custom order", IF(CP$1=INDEX(array, row,1),INDEX(array, row,5),"x"))
,1,))</f>
        <v>1</v>
      </c>
      <c r="CQ31" s="390" t="str">
        <f t="array" ref="CQ31">LET(
array,SORT({$Y$2:$AB$19,TRANSPOSE($BP31:$CG31)},4,TRUE),
col,CHOOSECOLS(array,5),
row,MATCH(FALSE, ISBLANK(col), 0),
IF(BX31=SWITCH($AA$22,
"minimum cost", MIN($BP31:$CG31),
"maximum cost", MAX($BP31:$CG31), 
"custom order", IF(CQ$1=INDEX(array, row,1),INDEX(array, row,5),"x"))
,1,))</f>
        <v/>
      </c>
      <c r="CR31" s="390" t="str">
        <f t="array" ref="CR31">LET(
array,SORT({$Y$2:$AB$19,TRANSPOSE($BP31:$CG31)},4,TRUE),
col,CHOOSECOLS(array,5),
row,MATCH(FALSE, ISBLANK(col), 0),
IF(BY31=SWITCH($AA$22,
"minimum cost", MIN($BP31:$CG31),
"maximum cost", MAX($BP31:$CG31), 
"custom order", IF(CR$1=INDEX(array, row,1),INDEX(array, row,5),"x"))
,1,))</f>
        <v/>
      </c>
      <c r="CS31" s="390" t="str">
        <f t="array" ref="CS31">LET(
array,SORT({$Y$2:$AB$19,TRANSPOSE($BP31:$CG31)},4,TRUE),
col,CHOOSECOLS(array,5),
row,MATCH(FALSE, ISBLANK(col), 0),
IF(BZ31=SWITCH($AA$22,
"minimum cost", MIN($BP31:$CG31),
"maximum cost", MAX($BP31:$CG31), 
"custom order", IF(CS$1=INDEX(array, row,1),INDEX(array, row,5),"x"))
,1,))</f>
        <v/>
      </c>
      <c r="CT31" s="390" t="str">
        <f t="array" ref="CT31">LET(
array,SORT({$Y$2:$AB$19,TRANSPOSE($BP31:$CG31)},4,TRUE),
col,CHOOSECOLS(array,5),
row,MATCH(FALSE, ISBLANK(col), 0),
IF(CA31=SWITCH($AA$22,
"minimum cost", MIN($BP31:$CG31),
"maximum cost", MAX($BP31:$CG31), 
"custom order", IF(CT$1=INDEX(array, row,1),INDEX(array, row,5),"x"))
,1,))</f>
        <v/>
      </c>
      <c r="CU31" s="469" t="str">
        <f t="array" ref="CU31">LET(
array,SORT({$Y$2:$AB$19,TRANSPOSE($BP31:$CG31)},4,TRUE),
col,CHOOSECOLS(array,5),
row,MATCH(FALSE, ISBLANK(col), 0),
IF(CB31=SWITCH($AA$22,
"minimum cost", MIN($BP31:$CG31),
"maximum cost", MAX($BP31:$CG31), 
"custom order", IF(CU$1=INDEX(array, row,1),INDEX(array, row,5),"x"))
,1,))</f>
        <v/>
      </c>
      <c r="CV31" s="469" t="str">
        <f t="array" ref="CV31">LET(
array,SORT({$Y$2:$AB$19,TRANSPOSE($BP31:$CG31)},4,TRUE),
col,CHOOSECOLS(array,5),
row,MATCH(FALSE, ISBLANK(col), 0),
IF(CC31=SWITCH($AA$22,
"minimum cost", MIN($BP31:$CG31),
"maximum cost", MAX($BP31:$CG31), 
"custom order", IF(CV$1=INDEX(array, row,1),INDEX(array, row,5),"x"))
,1,))</f>
        <v/>
      </c>
      <c r="CW31" s="469" t="str">
        <f t="array" ref="CW31">LET(
array,SORT({$Y$2:$AB$19,TRANSPOSE($BP31:$CG31)},4,TRUE),
col,CHOOSECOLS(array,5),
row,MATCH(FALSE, ISBLANK(col), 0),
IF(CD31=SWITCH($AA$22,
"minimum cost", MIN($BP31:$CG31),
"maximum cost", MAX($BP31:$CG31), 
"custom order", IF(CW$1=INDEX(array, row,1),INDEX(array, row,5),"x"))
,1,))</f>
        <v/>
      </c>
      <c r="CX31" s="469" t="str">
        <f t="array" ref="CX31">LET(
array,SORT({$Y$2:$AB$19,TRANSPOSE($BP31:$CG31)},4,TRUE),
col,CHOOSECOLS(array,5),
row,MATCH(FALSE, ISBLANK(col), 0),
IF(CE31=SWITCH($AA$22,
"minimum cost", MIN($BP31:$CG31),
"maximum cost", MAX($BP31:$CG31), 
"custom order", IF(CX$1=INDEX(array, row,1),INDEX(array, row,5),"x"))
,1,))</f>
        <v/>
      </c>
      <c r="CY31" s="469" t="str">
        <f t="array" ref="CY31">LET(
array,SORT({$Y$2:$AB$19,TRANSPOSE($BP31:$CG31)},4,TRUE),
col,CHOOSECOLS(array,5),
row,MATCH(FALSE, ISBLANK(col), 0),
IF(CF31=SWITCH($AA$22,
"minimum cost", MIN($BP31:$CG31),
"maximum cost", MAX($BP31:$CG31), 
"custom order", IF(CY$1=INDEX(array, row,1),INDEX(array, row,5),"x"))
,1,))</f>
        <v/>
      </c>
      <c r="CZ31" s="581" t="str">
        <f t="array" ref="CZ31">LET(
array,SORT({$Y$2:$AB$19,TRANSPOSE($BP31:$CG31)},4,TRUE),
col,CHOOSECOLS(array,5),
row,MATCH(FALSE, ISBLANK(col), 0),
IF(CG31=SWITCH($AA$22,
"minimum cost", MIN($BP31:$CG31),
"maximum cost", MAX($BP31:$CG31), 
"custom order", IF(CZ$1=INDEX(array, row,1),INDEX(array, row,5),"x"))
,1,))</f>
        <v/>
      </c>
      <c r="DA31" s="461"/>
      <c r="DB31" s="580" t="str">
        <f t="array" ref="DB31:DS31">IF(MATCH(1, CI31:CZ31, 0)=COLUMN(CI31:CZ31)-COLUMN(CI31)+1, CI31:CZ31, "")</f>
        <v/>
      </c>
      <c r="DC31" s="252" t="s">
        <v>133</v>
      </c>
      <c r="DD31" s="252" t="s">
        <v>133</v>
      </c>
      <c r="DE31" s="252" t="s">
        <v>133</v>
      </c>
      <c r="DF31" s="252" t="s">
        <v>133</v>
      </c>
      <c r="DG31" s="252" t="s">
        <v>133</v>
      </c>
      <c r="DH31" s="390" t="s">
        <v>133</v>
      </c>
      <c r="DI31" s="390">
        <v>1.0</v>
      </c>
      <c r="DJ31" s="390" t="s">
        <v>133</v>
      </c>
      <c r="DK31" s="390" t="s">
        <v>133</v>
      </c>
      <c r="DL31" s="390" t="s">
        <v>133</v>
      </c>
      <c r="DM31" s="390" t="s">
        <v>133</v>
      </c>
      <c r="DN31" s="469" t="s">
        <v>133</v>
      </c>
      <c r="DO31" s="469" t="s">
        <v>133</v>
      </c>
      <c r="DP31" s="469" t="s">
        <v>133</v>
      </c>
      <c r="DQ31" s="469" t="s">
        <v>133</v>
      </c>
      <c r="DR31" s="469" t="s">
        <v>133</v>
      </c>
      <c r="DS31" s="581" t="s">
        <v>133</v>
      </c>
      <c r="DT31" s="563"/>
    </row>
    <row r="32">
      <c r="A32" s="563"/>
      <c r="B32" s="713"/>
      <c r="C32" s="713"/>
      <c r="D32" s="713"/>
      <c r="E32" s="315"/>
      <c r="F32" s="713"/>
      <c r="G32" s="315"/>
      <c r="H32" s="713"/>
      <c r="I32" s="315"/>
      <c r="J32" s="713"/>
      <c r="K32" s="315"/>
      <c r="L32" s="713"/>
      <c r="M32" s="461"/>
      <c r="N32" s="10"/>
      <c r="O32" s="10"/>
      <c r="P32" s="10"/>
      <c r="Q32" s="570" t="str">
        <f>IFERROR(__xludf.DUMMYFUNCTION("IF(SUM(DB32:DS32),ARRAYFORMULA(FILTER(DB$1:DS$1, DB32:DS32=1)),)"),"Health Regen")</f>
        <v>Health Regen</v>
      </c>
      <c r="R32" s="571">
        <f>IFERROR(__xludf.DUMMYFUNCTION("IF(SUM(DB32:DS32),ARRAYFORMULA(FILTER(AW32:BN32, DB32:DS32=1))+1,)"),69.0)</f>
        <v>69</v>
      </c>
      <c r="S32" s="572">
        <f>IFERROR(__xludf.DUMMYFUNCTION("IF(SUM(DB32:DS32),ARRAYFORMULA(FILTER(AD32:AU32, DB32:DS32=1)),)"),1.9321E14)</f>
        <v>193210000000000</v>
      </c>
      <c r="T32" s="572">
        <f t="shared" si="26"/>
        <v>9.26335E+15</v>
      </c>
      <c r="U32" s="573" t="str">
        <f t="shared" ref="U32:V32" si="112">FORMAT_NUMBER(S32)</f>
        <v>193.21 T</v>
      </c>
      <c r="V32" s="574" t="str">
        <f t="shared" si="112"/>
        <v>9.26 q</v>
      </c>
      <c r="W32" s="677"/>
      <c r="X32" s="709"/>
      <c r="Y32" s="709"/>
      <c r="Z32" s="709"/>
      <c r="AA32" s="709"/>
      <c r="AB32" s="712"/>
      <c r="AC32" s="461"/>
      <c r="AD32" s="580">
        <f t="shared" ref="AD32:AU32" si="113">IFERROR(WSPCOST_SINGLE_ADJUSTED(AD$1,1+AW32),)</f>
        <v>37110000000000</v>
      </c>
      <c r="AE32" s="252">
        <f t="shared" si="113"/>
        <v>82420000000</v>
      </c>
      <c r="AF32" s="252">
        <f t="shared" si="113"/>
        <v>69650000000000</v>
      </c>
      <c r="AG32" s="252">
        <f t="shared" si="113"/>
        <v>21210000000</v>
      </c>
      <c r="AH32" s="252">
        <f t="shared" si="113"/>
        <v>43890000000000</v>
      </c>
      <c r="AI32" s="252">
        <f t="shared" si="113"/>
        <v>47710000000000</v>
      </c>
      <c r="AJ32" s="390">
        <f t="shared" si="113"/>
        <v>92140000000000</v>
      </c>
      <c r="AK32" s="390">
        <f t="shared" si="113"/>
        <v>193210000000000</v>
      </c>
      <c r="AL32" s="390">
        <f t="shared" si="113"/>
        <v>5000000000</v>
      </c>
      <c r="AM32" s="390">
        <f t="shared" si="113"/>
        <v>33950000000</v>
      </c>
      <c r="AN32" s="390">
        <f t="shared" si="113"/>
        <v>60080000000000</v>
      </c>
      <c r="AO32" s="390">
        <f t="shared" si="113"/>
        <v>22020000000000</v>
      </c>
      <c r="AP32" s="469">
        <f t="shared" si="113"/>
        <v>5240000000000</v>
      </c>
      <c r="AQ32" s="469">
        <f t="shared" si="113"/>
        <v>1.3E+15</v>
      </c>
      <c r="AR32" s="469">
        <f t="shared" si="113"/>
        <v>1.3E+15</v>
      </c>
      <c r="AS32" s="469">
        <f t="shared" si="113"/>
        <v>420490000000000</v>
      </c>
      <c r="AT32" s="469">
        <f t="shared" si="113"/>
        <v>3990000000000</v>
      </c>
      <c r="AU32" s="581">
        <f t="shared" si="113"/>
        <v>1.14E+15</v>
      </c>
      <c r="AV32" s="461"/>
      <c r="AW32" s="580">
        <f t="shared" ref="AW32:BN32" si="114">AW31+DB31</f>
        <v>56</v>
      </c>
      <c r="AX32" s="252">
        <f t="shared" si="114"/>
        <v>21</v>
      </c>
      <c r="AY32" s="252">
        <f t="shared" si="114"/>
        <v>60</v>
      </c>
      <c r="AZ32" s="252">
        <f t="shared" si="114"/>
        <v>17</v>
      </c>
      <c r="BA32" s="252">
        <f t="shared" si="114"/>
        <v>57</v>
      </c>
      <c r="BB32" s="252">
        <f t="shared" si="114"/>
        <v>13</v>
      </c>
      <c r="BC32" s="390">
        <f t="shared" si="114"/>
        <v>62</v>
      </c>
      <c r="BD32" s="390">
        <f t="shared" si="114"/>
        <v>68</v>
      </c>
      <c r="BE32" s="390">
        <f t="shared" si="114"/>
        <v>0</v>
      </c>
      <c r="BF32" s="390">
        <f t="shared" si="114"/>
        <v>18</v>
      </c>
      <c r="BG32" s="390">
        <f t="shared" si="114"/>
        <v>59</v>
      </c>
      <c r="BH32" s="390">
        <f t="shared" si="114"/>
        <v>20</v>
      </c>
      <c r="BI32" s="469">
        <f t="shared" si="114"/>
        <v>44</v>
      </c>
      <c r="BJ32" s="469">
        <f t="shared" si="114"/>
        <v>37</v>
      </c>
      <c r="BK32" s="469">
        <f t="shared" si="114"/>
        <v>37</v>
      </c>
      <c r="BL32" s="469">
        <f t="shared" si="114"/>
        <v>18</v>
      </c>
      <c r="BM32" s="469">
        <f t="shared" si="114"/>
        <v>42</v>
      </c>
      <c r="BN32" s="581">
        <f t="shared" si="114"/>
        <v>15</v>
      </c>
      <c r="BO32" s="461"/>
      <c r="BP32" s="580">
        <f t="shared" si="8"/>
        <v>37110000000000</v>
      </c>
      <c r="BQ32" s="252" t="str">
        <f t="shared" si="9"/>
        <v/>
      </c>
      <c r="BR32" s="252">
        <f t="shared" si="10"/>
        <v>69650000000000</v>
      </c>
      <c r="BS32" s="252" t="str">
        <f t="shared" si="11"/>
        <v/>
      </c>
      <c r="BT32" s="252" t="str">
        <f t="shared" si="12"/>
        <v/>
      </c>
      <c r="BU32" s="252">
        <f t="shared" si="13"/>
        <v>47710000000000</v>
      </c>
      <c r="BV32" s="390">
        <f t="shared" si="14"/>
        <v>92140000000000</v>
      </c>
      <c r="BW32" s="390">
        <f t="shared" si="15"/>
        <v>193210000000000</v>
      </c>
      <c r="BX32" s="390" t="str">
        <f t="shared" si="16"/>
        <v/>
      </c>
      <c r="BY32" s="390" t="str">
        <f t="shared" si="17"/>
        <v/>
      </c>
      <c r="BZ32" s="390">
        <f t="shared" si="18"/>
        <v>60080000000000</v>
      </c>
      <c r="CA32" s="390">
        <f t="shared" si="19"/>
        <v>22020000000000</v>
      </c>
      <c r="CB32" s="469">
        <f t="shared" si="20"/>
        <v>5240000000000</v>
      </c>
      <c r="CC32" s="469" t="str">
        <f t="shared" si="21"/>
        <v/>
      </c>
      <c r="CD32" s="469" t="str">
        <f t="shared" si="22"/>
        <v/>
      </c>
      <c r="CE32" s="469" t="str">
        <f t="shared" si="23"/>
        <v/>
      </c>
      <c r="CF32" s="469" t="str">
        <f t="shared" si="24"/>
        <v/>
      </c>
      <c r="CG32" s="581" t="str">
        <f t="shared" si="25"/>
        <v/>
      </c>
      <c r="CH32" s="461"/>
      <c r="CI32" s="580" t="str">
        <f t="array" ref="CI32">LET(
array,SORT({$Y$2:$AB$19,TRANSPOSE($BP32:$CG32)},4,TRUE),
col,CHOOSECOLS(array,5),
row,MATCH(FALSE, ISBLANK(col), 0),
IF(BP32=SWITCH($AA$22,
"minimum cost", MIN($BP32:$CG32),
"maximum cost", MAX($BP32:$CG32), 
"custom order", IF(CI$1=INDEX(array, row,1),INDEX(array, row,5),"x"))
,1,))</f>
        <v/>
      </c>
      <c r="CJ32" s="252" t="str">
        <f t="array" ref="CJ32">LET(
array,SORT({$Y$2:$AB$19,TRANSPOSE($BP32:$CG32)},4,TRUE),
col,CHOOSECOLS(array,5),
row,MATCH(FALSE, ISBLANK(col), 0),
IF(BQ32=SWITCH($AA$22,
"minimum cost", MIN($BP32:$CG32),
"maximum cost", MAX($BP32:$CG32), 
"custom order", IF(CJ$1=INDEX(array, row,1),INDEX(array, row,5),"x"))
,1,))</f>
        <v/>
      </c>
      <c r="CK32" s="252" t="str">
        <f t="array" ref="CK32">LET(
array,SORT({$Y$2:$AB$19,TRANSPOSE($BP32:$CG32)},4,TRUE),
col,CHOOSECOLS(array,5),
row,MATCH(FALSE, ISBLANK(col), 0),
IF(BR32=SWITCH($AA$22,
"minimum cost", MIN($BP32:$CG32),
"maximum cost", MAX($BP32:$CG32), 
"custom order", IF(CK$1=INDEX(array, row,1),INDEX(array, row,5),"x"))
,1,))</f>
        <v/>
      </c>
      <c r="CL32" s="252" t="str">
        <f t="array" ref="CL32">LET(
array,SORT({$Y$2:$AB$19,TRANSPOSE($BP32:$CG32)},4,TRUE),
col,CHOOSECOLS(array,5),
row,MATCH(FALSE, ISBLANK(col), 0),
IF(BS32=SWITCH($AA$22,
"minimum cost", MIN($BP32:$CG32),
"maximum cost", MAX($BP32:$CG32), 
"custom order", IF(CL$1=INDEX(array, row,1),INDEX(array, row,5),"x"))
,1,))</f>
        <v/>
      </c>
      <c r="CM32" s="252" t="str">
        <f t="array" ref="CM32">LET(
array,SORT({$Y$2:$AB$19,TRANSPOSE($BP32:$CG32)},4,TRUE),
col,CHOOSECOLS(array,5),
row,MATCH(FALSE, ISBLANK(col), 0),
IF(BT32=SWITCH($AA$22,
"minimum cost", MIN($BP32:$CG32),
"maximum cost", MAX($BP32:$CG32), 
"custom order", IF(CM$1=INDEX(array, row,1),INDEX(array, row,5),"x"))
,1,))</f>
        <v/>
      </c>
      <c r="CN32" s="252" t="str">
        <f t="array" ref="CN32">LET(
array,SORT({$Y$2:$AB$19,TRANSPOSE($BP32:$CG32)},4,TRUE),
col,CHOOSECOLS(array,5),
row,MATCH(FALSE, ISBLANK(col), 0),
IF(BU32=SWITCH($AA$22,
"minimum cost", MIN($BP32:$CG32),
"maximum cost", MAX($BP32:$CG32), 
"custom order", IF(CN$1=INDEX(array, row,1),INDEX(array, row,5),"x"))
,1,))</f>
        <v/>
      </c>
      <c r="CO32" s="390" t="str">
        <f t="array" ref="CO32">LET(
array,SORT({$Y$2:$AB$19,TRANSPOSE($BP32:$CG32)},4,TRUE),
col,CHOOSECOLS(array,5),
row,MATCH(FALSE, ISBLANK(col), 0),
IF(BV32=SWITCH($AA$22,
"minimum cost", MIN($BP32:$CG32),
"maximum cost", MAX($BP32:$CG32), 
"custom order", IF(CO$1=INDEX(array, row,1),INDEX(array, row,5),"x"))
,1,))</f>
        <v/>
      </c>
      <c r="CP32" s="390">
        <f t="array" ref="CP32">LET(
array,SORT({$Y$2:$AB$19,TRANSPOSE($BP32:$CG32)},4,TRUE),
col,CHOOSECOLS(array,5),
row,MATCH(FALSE, ISBLANK(col), 0),
IF(BW32=SWITCH($AA$22,
"minimum cost", MIN($BP32:$CG32),
"maximum cost", MAX($BP32:$CG32), 
"custom order", IF(CP$1=INDEX(array, row,1),INDEX(array, row,5),"x"))
,1,))</f>
        <v>1</v>
      </c>
      <c r="CQ32" s="390" t="str">
        <f t="array" ref="CQ32">LET(
array,SORT({$Y$2:$AB$19,TRANSPOSE($BP32:$CG32)},4,TRUE),
col,CHOOSECOLS(array,5),
row,MATCH(FALSE, ISBLANK(col), 0),
IF(BX32=SWITCH($AA$22,
"minimum cost", MIN($BP32:$CG32),
"maximum cost", MAX($BP32:$CG32), 
"custom order", IF(CQ$1=INDEX(array, row,1),INDEX(array, row,5),"x"))
,1,))</f>
        <v/>
      </c>
      <c r="CR32" s="390" t="str">
        <f t="array" ref="CR32">LET(
array,SORT({$Y$2:$AB$19,TRANSPOSE($BP32:$CG32)},4,TRUE),
col,CHOOSECOLS(array,5),
row,MATCH(FALSE, ISBLANK(col), 0),
IF(BY32=SWITCH($AA$22,
"minimum cost", MIN($BP32:$CG32),
"maximum cost", MAX($BP32:$CG32), 
"custom order", IF(CR$1=INDEX(array, row,1),INDEX(array, row,5),"x"))
,1,))</f>
        <v/>
      </c>
      <c r="CS32" s="390" t="str">
        <f t="array" ref="CS32">LET(
array,SORT({$Y$2:$AB$19,TRANSPOSE($BP32:$CG32)},4,TRUE),
col,CHOOSECOLS(array,5),
row,MATCH(FALSE, ISBLANK(col), 0),
IF(BZ32=SWITCH($AA$22,
"minimum cost", MIN($BP32:$CG32),
"maximum cost", MAX($BP32:$CG32), 
"custom order", IF(CS$1=INDEX(array, row,1),INDEX(array, row,5),"x"))
,1,))</f>
        <v/>
      </c>
      <c r="CT32" s="390" t="str">
        <f t="array" ref="CT32">LET(
array,SORT({$Y$2:$AB$19,TRANSPOSE($BP32:$CG32)},4,TRUE),
col,CHOOSECOLS(array,5),
row,MATCH(FALSE, ISBLANK(col), 0),
IF(CA32=SWITCH($AA$22,
"minimum cost", MIN($BP32:$CG32),
"maximum cost", MAX($BP32:$CG32), 
"custom order", IF(CT$1=INDEX(array, row,1),INDEX(array, row,5),"x"))
,1,))</f>
        <v/>
      </c>
      <c r="CU32" s="469" t="str">
        <f t="array" ref="CU32">LET(
array,SORT({$Y$2:$AB$19,TRANSPOSE($BP32:$CG32)},4,TRUE),
col,CHOOSECOLS(array,5),
row,MATCH(FALSE, ISBLANK(col), 0),
IF(CB32=SWITCH($AA$22,
"minimum cost", MIN($BP32:$CG32),
"maximum cost", MAX($BP32:$CG32), 
"custom order", IF(CU$1=INDEX(array, row,1),INDEX(array, row,5),"x"))
,1,))</f>
        <v/>
      </c>
      <c r="CV32" s="469" t="str">
        <f t="array" ref="CV32">LET(
array,SORT({$Y$2:$AB$19,TRANSPOSE($BP32:$CG32)},4,TRUE),
col,CHOOSECOLS(array,5),
row,MATCH(FALSE, ISBLANK(col), 0),
IF(CC32=SWITCH($AA$22,
"minimum cost", MIN($BP32:$CG32),
"maximum cost", MAX($BP32:$CG32), 
"custom order", IF(CV$1=INDEX(array, row,1),INDEX(array, row,5),"x"))
,1,))</f>
        <v/>
      </c>
      <c r="CW32" s="469" t="str">
        <f t="array" ref="CW32">LET(
array,SORT({$Y$2:$AB$19,TRANSPOSE($BP32:$CG32)},4,TRUE),
col,CHOOSECOLS(array,5),
row,MATCH(FALSE, ISBLANK(col), 0),
IF(CD32=SWITCH($AA$22,
"minimum cost", MIN($BP32:$CG32),
"maximum cost", MAX($BP32:$CG32), 
"custom order", IF(CW$1=INDEX(array, row,1),INDEX(array, row,5),"x"))
,1,))</f>
        <v/>
      </c>
      <c r="CX32" s="469" t="str">
        <f t="array" ref="CX32">LET(
array,SORT({$Y$2:$AB$19,TRANSPOSE($BP32:$CG32)},4,TRUE),
col,CHOOSECOLS(array,5),
row,MATCH(FALSE, ISBLANK(col), 0),
IF(CE32=SWITCH($AA$22,
"minimum cost", MIN($BP32:$CG32),
"maximum cost", MAX($BP32:$CG32), 
"custom order", IF(CX$1=INDEX(array, row,1),INDEX(array, row,5),"x"))
,1,))</f>
        <v/>
      </c>
      <c r="CY32" s="469" t="str">
        <f t="array" ref="CY32">LET(
array,SORT({$Y$2:$AB$19,TRANSPOSE($BP32:$CG32)},4,TRUE),
col,CHOOSECOLS(array,5),
row,MATCH(FALSE, ISBLANK(col), 0),
IF(CF32=SWITCH($AA$22,
"minimum cost", MIN($BP32:$CG32),
"maximum cost", MAX($BP32:$CG32), 
"custom order", IF(CY$1=INDEX(array, row,1),INDEX(array, row,5),"x"))
,1,))</f>
        <v/>
      </c>
      <c r="CZ32" s="581" t="str">
        <f t="array" ref="CZ32">LET(
array,SORT({$Y$2:$AB$19,TRANSPOSE($BP32:$CG32)},4,TRUE),
col,CHOOSECOLS(array,5),
row,MATCH(FALSE, ISBLANK(col), 0),
IF(CG32=SWITCH($AA$22,
"minimum cost", MIN($BP32:$CG32),
"maximum cost", MAX($BP32:$CG32), 
"custom order", IF(CZ$1=INDEX(array, row,1),INDEX(array, row,5),"x"))
,1,))</f>
        <v/>
      </c>
      <c r="DA32" s="461"/>
      <c r="DB32" s="580" t="str">
        <f t="array" ref="DB32:DS32">IF(MATCH(1, CI32:CZ32, 0)=COLUMN(CI32:CZ32)-COLUMN(CI32)+1, CI32:CZ32, "")</f>
        <v/>
      </c>
      <c r="DC32" s="252" t="s">
        <v>133</v>
      </c>
      <c r="DD32" s="252" t="s">
        <v>133</v>
      </c>
      <c r="DE32" s="252" t="s">
        <v>133</v>
      </c>
      <c r="DF32" s="252" t="s">
        <v>133</v>
      </c>
      <c r="DG32" s="252" t="s">
        <v>133</v>
      </c>
      <c r="DH32" s="390" t="s">
        <v>133</v>
      </c>
      <c r="DI32" s="390">
        <v>1.0</v>
      </c>
      <c r="DJ32" s="390" t="s">
        <v>133</v>
      </c>
      <c r="DK32" s="390" t="s">
        <v>133</v>
      </c>
      <c r="DL32" s="390" t="s">
        <v>133</v>
      </c>
      <c r="DM32" s="390" t="s">
        <v>133</v>
      </c>
      <c r="DN32" s="469" t="s">
        <v>133</v>
      </c>
      <c r="DO32" s="469" t="s">
        <v>133</v>
      </c>
      <c r="DP32" s="469" t="s">
        <v>133</v>
      </c>
      <c r="DQ32" s="469" t="s">
        <v>133</v>
      </c>
      <c r="DR32" s="469" t="s">
        <v>133</v>
      </c>
      <c r="DS32" s="581" t="s">
        <v>133</v>
      </c>
      <c r="DT32" s="563"/>
    </row>
    <row r="33">
      <c r="A33" s="563"/>
      <c r="B33" s="714" t="s">
        <v>233</v>
      </c>
      <c r="C33" s="715"/>
      <c r="D33" s="715"/>
      <c r="E33" s="715"/>
      <c r="F33" s="715"/>
      <c r="G33" s="715"/>
      <c r="H33" s="715"/>
      <c r="I33" s="715"/>
      <c r="J33" s="715"/>
      <c r="K33" s="715"/>
      <c r="L33" s="715"/>
      <c r="M33" s="461"/>
      <c r="N33" s="10"/>
      <c r="O33" s="10"/>
      <c r="P33" s="10"/>
      <c r="Q33" s="570" t="str">
        <f>IFERROR(__xludf.DUMMYFUNCTION("IF(SUM(DB33:DS33),ARRAYFORMULA(FILTER(DB$1:DS$1, DB33:DS33=1)),)"),"Health Regen")</f>
        <v>Health Regen</v>
      </c>
      <c r="R33" s="571">
        <f>IFERROR(__xludf.DUMMYFUNCTION("IF(SUM(DB33:DS33),ARRAYFORMULA(FILTER(AW33:BN33, DB33:DS33=1))+1,)"),70.0)</f>
        <v>70</v>
      </c>
      <c r="S33" s="572">
        <f>IFERROR(__xludf.DUMMYFUNCTION("IF(SUM(DB33:DS33),ARRAYFORMULA(FILTER(AD33:AU33, DB33:DS33=1)),)"),2.1608E14)</f>
        <v>216080000000000</v>
      </c>
      <c r="T33" s="572">
        <f t="shared" si="26"/>
        <v>9.47943E+15</v>
      </c>
      <c r="U33" s="573" t="str">
        <f t="shared" ref="U33:V33" si="115">FORMAT_NUMBER(S33)</f>
        <v>216.08 T</v>
      </c>
      <c r="V33" s="574" t="str">
        <f t="shared" si="115"/>
        <v>9.48 q</v>
      </c>
      <c r="W33" s="677"/>
      <c r="X33" s="709"/>
      <c r="Y33" s="709"/>
      <c r="Z33" s="709"/>
      <c r="AA33" s="709"/>
      <c r="AB33" s="712"/>
      <c r="AC33" s="461"/>
      <c r="AD33" s="580">
        <f t="shared" ref="AD33:AU33" si="116">IFERROR(WSPCOST_SINGLE_ADJUSTED(AD$1,1+AW33),)</f>
        <v>37110000000000</v>
      </c>
      <c r="AE33" s="252">
        <f t="shared" si="116"/>
        <v>82420000000</v>
      </c>
      <c r="AF33" s="252">
        <f t="shared" si="116"/>
        <v>69650000000000</v>
      </c>
      <c r="AG33" s="252">
        <f t="shared" si="116"/>
        <v>21210000000</v>
      </c>
      <c r="AH33" s="252">
        <f t="shared" si="116"/>
        <v>43890000000000</v>
      </c>
      <c r="AI33" s="252">
        <f t="shared" si="116"/>
        <v>47710000000000</v>
      </c>
      <c r="AJ33" s="390">
        <f t="shared" si="116"/>
        <v>92140000000000</v>
      </c>
      <c r="AK33" s="390">
        <f t="shared" si="116"/>
        <v>216080000000000</v>
      </c>
      <c r="AL33" s="390">
        <f t="shared" si="116"/>
        <v>5000000000</v>
      </c>
      <c r="AM33" s="390">
        <f t="shared" si="116"/>
        <v>33950000000</v>
      </c>
      <c r="AN33" s="390">
        <f t="shared" si="116"/>
        <v>60080000000000</v>
      </c>
      <c r="AO33" s="390">
        <f t="shared" si="116"/>
        <v>22020000000000</v>
      </c>
      <c r="AP33" s="469">
        <f t="shared" si="116"/>
        <v>5240000000000</v>
      </c>
      <c r="AQ33" s="469">
        <f t="shared" si="116"/>
        <v>1.3E+15</v>
      </c>
      <c r="AR33" s="469">
        <f t="shared" si="116"/>
        <v>1.3E+15</v>
      </c>
      <c r="AS33" s="469">
        <f t="shared" si="116"/>
        <v>420490000000000</v>
      </c>
      <c r="AT33" s="469">
        <f t="shared" si="116"/>
        <v>3990000000000</v>
      </c>
      <c r="AU33" s="581">
        <f t="shared" si="116"/>
        <v>1.14E+15</v>
      </c>
      <c r="AV33" s="461"/>
      <c r="AW33" s="580">
        <f t="shared" ref="AW33:BN33" si="117">AW32+DB32</f>
        <v>56</v>
      </c>
      <c r="AX33" s="252">
        <f t="shared" si="117"/>
        <v>21</v>
      </c>
      <c r="AY33" s="252">
        <f t="shared" si="117"/>
        <v>60</v>
      </c>
      <c r="AZ33" s="252">
        <f t="shared" si="117"/>
        <v>17</v>
      </c>
      <c r="BA33" s="252">
        <f t="shared" si="117"/>
        <v>57</v>
      </c>
      <c r="BB33" s="252">
        <f t="shared" si="117"/>
        <v>13</v>
      </c>
      <c r="BC33" s="390">
        <f t="shared" si="117"/>
        <v>62</v>
      </c>
      <c r="BD33" s="390">
        <f t="shared" si="117"/>
        <v>69</v>
      </c>
      <c r="BE33" s="390">
        <f t="shared" si="117"/>
        <v>0</v>
      </c>
      <c r="BF33" s="390">
        <f t="shared" si="117"/>
        <v>18</v>
      </c>
      <c r="BG33" s="390">
        <f t="shared" si="117"/>
        <v>59</v>
      </c>
      <c r="BH33" s="390">
        <f t="shared" si="117"/>
        <v>20</v>
      </c>
      <c r="BI33" s="469">
        <f t="shared" si="117"/>
        <v>44</v>
      </c>
      <c r="BJ33" s="469">
        <f t="shared" si="117"/>
        <v>37</v>
      </c>
      <c r="BK33" s="469">
        <f t="shared" si="117"/>
        <v>37</v>
      </c>
      <c r="BL33" s="469">
        <f t="shared" si="117"/>
        <v>18</v>
      </c>
      <c r="BM33" s="469">
        <f t="shared" si="117"/>
        <v>42</v>
      </c>
      <c r="BN33" s="581">
        <f t="shared" si="117"/>
        <v>15</v>
      </c>
      <c r="BO33" s="461"/>
      <c r="BP33" s="580">
        <f t="shared" si="8"/>
        <v>37110000000000</v>
      </c>
      <c r="BQ33" s="252" t="str">
        <f t="shared" si="9"/>
        <v/>
      </c>
      <c r="BR33" s="252">
        <f t="shared" si="10"/>
        <v>69650000000000</v>
      </c>
      <c r="BS33" s="252" t="str">
        <f t="shared" si="11"/>
        <v/>
      </c>
      <c r="BT33" s="252" t="str">
        <f t="shared" si="12"/>
        <v/>
      </c>
      <c r="BU33" s="252">
        <f t="shared" si="13"/>
        <v>47710000000000</v>
      </c>
      <c r="BV33" s="390">
        <f t="shared" si="14"/>
        <v>92140000000000</v>
      </c>
      <c r="BW33" s="390">
        <f t="shared" si="15"/>
        <v>216080000000000</v>
      </c>
      <c r="BX33" s="390" t="str">
        <f t="shared" si="16"/>
        <v/>
      </c>
      <c r="BY33" s="390" t="str">
        <f t="shared" si="17"/>
        <v/>
      </c>
      <c r="BZ33" s="390">
        <f t="shared" si="18"/>
        <v>60080000000000</v>
      </c>
      <c r="CA33" s="390">
        <f t="shared" si="19"/>
        <v>22020000000000</v>
      </c>
      <c r="CB33" s="469">
        <f t="shared" si="20"/>
        <v>5240000000000</v>
      </c>
      <c r="CC33" s="469" t="str">
        <f t="shared" si="21"/>
        <v/>
      </c>
      <c r="CD33" s="469" t="str">
        <f t="shared" si="22"/>
        <v/>
      </c>
      <c r="CE33" s="469" t="str">
        <f t="shared" si="23"/>
        <v/>
      </c>
      <c r="CF33" s="469" t="str">
        <f t="shared" si="24"/>
        <v/>
      </c>
      <c r="CG33" s="581" t="str">
        <f t="shared" si="25"/>
        <v/>
      </c>
      <c r="CH33" s="461"/>
      <c r="CI33" s="580" t="str">
        <f t="array" ref="CI33">LET(
array,SORT({$Y$2:$AB$19,TRANSPOSE($BP33:$CG33)},4,TRUE),
col,CHOOSECOLS(array,5),
row,MATCH(FALSE, ISBLANK(col), 0),
IF(BP33=SWITCH($AA$22,
"minimum cost", MIN($BP33:$CG33),
"maximum cost", MAX($BP33:$CG33), 
"custom order", IF(CI$1=INDEX(array, row,1),INDEX(array, row,5),"x"))
,1,))</f>
        <v/>
      </c>
      <c r="CJ33" s="252" t="str">
        <f t="array" ref="CJ33">LET(
array,SORT({$Y$2:$AB$19,TRANSPOSE($BP33:$CG33)},4,TRUE),
col,CHOOSECOLS(array,5),
row,MATCH(FALSE, ISBLANK(col), 0),
IF(BQ33=SWITCH($AA$22,
"minimum cost", MIN($BP33:$CG33),
"maximum cost", MAX($BP33:$CG33), 
"custom order", IF(CJ$1=INDEX(array, row,1),INDEX(array, row,5),"x"))
,1,))</f>
        <v/>
      </c>
      <c r="CK33" s="252" t="str">
        <f t="array" ref="CK33">LET(
array,SORT({$Y$2:$AB$19,TRANSPOSE($BP33:$CG33)},4,TRUE),
col,CHOOSECOLS(array,5),
row,MATCH(FALSE, ISBLANK(col), 0),
IF(BR33=SWITCH($AA$22,
"minimum cost", MIN($BP33:$CG33),
"maximum cost", MAX($BP33:$CG33), 
"custom order", IF(CK$1=INDEX(array, row,1),INDEX(array, row,5),"x"))
,1,))</f>
        <v/>
      </c>
      <c r="CL33" s="252" t="str">
        <f t="array" ref="CL33">LET(
array,SORT({$Y$2:$AB$19,TRANSPOSE($BP33:$CG33)},4,TRUE),
col,CHOOSECOLS(array,5),
row,MATCH(FALSE, ISBLANK(col), 0),
IF(BS33=SWITCH($AA$22,
"minimum cost", MIN($BP33:$CG33),
"maximum cost", MAX($BP33:$CG33), 
"custom order", IF(CL$1=INDEX(array, row,1),INDEX(array, row,5),"x"))
,1,))</f>
        <v/>
      </c>
      <c r="CM33" s="252" t="str">
        <f t="array" ref="CM33">LET(
array,SORT({$Y$2:$AB$19,TRANSPOSE($BP33:$CG33)},4,TRUE),
col,CHOOSECOLS(array,5),
row,MATCH(FALSE, ISBLANK(col), 0),
IF(BT33=SWITCH($AA$22,
"minimum cost", MIN($BP33:$CG33),
"maximum cost", MAX($BP33:$CG33), 
"custom order", IF(CM$1=INDEX(array, row,1),INDEX(array, row,5),"x"))
,1,))</f>
        <v/>
      </c>
      <c r="CN33" s="252" t="str">
        <f t="array" ref="CN33">LET(
array,SORT({$Y$2:$AB$19,TRANSPOSE($BP33:$CG33)},4,TRUE),
col,CHOOSECOLS(array,5),
row,MATCH(FALSE, ISBLANK(col), 0),
IF(BU33=SWITCH($AA$22,
"minimum cost", MIN($BP33:$CG33),
"maximum cost", MAX($BP33:$CG33), 
"custom order", IF(CN$1=INDEX(array, row,1),INDEX(array, row,5),"x"))
,1,))</f>
        <v/>
      </c>
      <c r="CO33" s="390" t="str">
        <f t="array" ref="CO33">LET(
array,SORT({$Y$2:$AB$19,TRANSPOSE($BP33:$CG33)},4,TRUE),
col,CHOOSECOLS(array,5),
row,MATCH(FALSE, ISBLANK(col), 0),
IF(BV33=SWITCH($AA$22,
"minimum cost", MIN($BP33:$CG33),
"maximum cost", MAX($BP33:$CG33), 
"custom order", IF(CO$1=INDEX(array, row,1),INDEX(array, row,5),"x"))
,1,))</f>
        <v/>
      </c>
      <c r="CP33" s="390">
        <f t="array" ref="CP33">LET(
array,SORT({$Y$2:$AB$19,TRANSPOSE($BP33:$CG33)},4,TRUE),
col,CHOOSECOLS(array,5),
row,MATCH(FALSE, ISBLANK(col), 0),
IF(BW33=SWITCH($AA$22,
"minimum cost", MIN($BP33:$CG33),
"maximum cost", MAX($BP33:$CG33), 
"custom order", IF(CP$1=INDEX(array, row,1),INDEX(array, row,5),"x"))
,1,))</f>
        <v>1</v>
      </c>
      <c r="CQ33" s="390" t="str">
        <f t="array" ref="CQ33">LET(
array,SORT({$Y$2:$AB$19,TRANSPOSE($BP33:$CG33)},4,TRUE),
col,CHOOSECOLS(array,5),
row,MATCH(FALSE, ISBLANK(col), 0),
IF(BX33=SWITCH($AA$22,
"minimum cost", MIN($BP33:$CG33),
"maximum cost", MAX($BP33:$CG33), 
"custom order", IF(CQ$1=INDEX(array, row,1),INDEX(array, row,5),"x"))
,1,))</f>
        <v/>
      </c>
      <c r="CR33" s="390" t="str">
        <f t="array" ref="CR33">LET(
array,SORT({$Y$2:$AB$19,TRANSPOSE($BP33:$CG33)},4,TRUE),
col,CHOOSECOLS(array,5),
row,MATCH(FALSE, ISBLANK(col), 0),
IF(BY33=SWITCH($AA$22,
"minimum cost", MIN($BP33:$CG33),
"maximum cost", MAX($BP33:$CG33), 
"custom order", IF(CR$1=INDEX(array, row,1),INDEX(array, row,5),"x"))
,1,))</f>
        <v/>
      </c>
      <c r="CS33" s="390" t="str">
        <f t="array" ref="CS33">LET(
array,SORT({$Y$2:$AB$19,TRANSPOSE($BP33:$CG33)},4,TRUE),
col,CHOOSECOLS(array,5),
row,MATCH(FALSE, ISBLANK(col), 0),
IF(BZ33=SWITCH($AA$22,
"minimum cost", MIN($BP33:$CG33),
"maximum cost", MAX($BP33:$CG33), 
"custom order", IF(CS$1=INDEX(array, row,1),INDEX(array, row,5),"x"))
,1,))</f>
        <v/>
      </c>
      <c r="CT33" s="390" t="str">
        <f t="array" ref="CT33">LET(
array,SORT({$Y$2:$AB$19,TRANSPOSE($BP33:$CG33)},4,TRUE),
col,CHOOSECOLS(array,5),
row,MATCH(FALSE, ISBLANK(col), 0),
IF(CA33=SWITCH($AA$22,
"minimum cost", MIN($BP33:$CG33),
"maximum cost", MAX($BP33:$CG33), 
"custom order", IF(CT$1=INDEX(array, row,1),INDEX(array, row,5),"x"))
,1,))</f>
        <v/>
      </c>
      <c r="CU33" s="469" t="str">
        <f t="array" ref="CU33">LET(
array,SORT({$Y$2:$AB$19,TRANSPOSE($BP33:$CG33)},4,TRUE),
col,CHOOSECOLS(array,5),
row,MATCH(FALSE, ISBLANK(col), 0),
IF(CB33=SWITCH($AA$22,
"minimum cost", MIN($BP33:$CG33),
"maximum cost", MAX($BP33:$CG33), 
"custom order", IF(CU$1=INDEX(array, row,1),INDEX(array, row,5),"x"))
,1,))</f>
        <v/>
      </c>
      <c r="CV33" s="469" t="str">
        <f t="array" ref="CV33">LET(
array,SORT({$Y$2:$AB$19,TRANSPOSE($BP33:$CG33)},4,TRUE),
col,CHOOSECOLS(array,5),
row,MATCH(FALSE, ISBLANK(col), 0),
IF(CC33=SWITCH($AA$22,
"minimum cost", MIN($BP33:$CG33),
"maximum cost", MAX($BP33:$CG33), 
"custom order", IF(CV$1=INDEX(array, row,1),INDEX(array, row,5),"x"))
,1,))</f>
        <v/>
      </c>
      <c r="CW33" s="469" t="str">
        <f t="array" ref="CW33">LET(
array,SORT({$Y$2:$AB$19,TRANSPOSE($BP33:$CG33)},4,TRUE),
col,CHOOSECOLS(array,5),
row,MATCH(FALSE, ISBLANK(col), 0),
IF(CD33=SWITCH($AA$22,
"minimum cost", MIN($BP33:$CG33),
"maximum cost", MAX($BP33:$CG33), 
"custom order", IF(CW$1=INDEX(array, row,1),INDEX(array, row,5),"x"))
,1,))</f>
        <v/>
      </c>
      <c r="CX33" s="469" t="str">
        <f t="array" ref="CX33">LET(
array,SORT({$Y$2:$AB$19,TRANSPOSE($BP33:$CG33)},4,TRUE),
col,CHOOSECOLS(array,5),
row,MATCH(FALSE, ISBLANK(col), 0),
IF(CE33=SWITCH($AA$22,
"minimum cost", MIN($BP33:$CG33),
"maximum cost", MAX($BP33:$CG33), 
"custom order", IF(CX$1=INDEX(array, row,1),INDEX(array, row,5),"x"))
,1,))</f>
        <v/>
      </c>
      <c r="CY33" s="469" t="str">
        <f t="array" ref="CY33">LET(
array,SORT({$Y$2:$AB$19,TRANSPOSE($BP33:$CG33)},4,TRUE),
col,CHOOSECOLS(array,5),
row,MATCH(FALSE, ISBLANK(col), 0),
IF(CF33=SWITCH($AA$22,
"minimum cost", MIN($BP33:$CG33),
"maximum cost", MAX($BP33:$CG33), 
"custom order", IF(CY$1=INDEX(array, row,1),INDEX(array, row,5),"x"))
,1,))</f>
        <v/>
      </c>
      <c r="CZ33" s="581" t="str">
        <f t="array" ref="CZ33">LET(
array,SORT({$Y$2:$AB$19,TRANSPOSE($BP33:$CG33)},4,TRUE),
col,CHOOSECOLS(array,5),
row,MATCH(FALSE, ISBLANK(col), 0),
IF(CG33=SWITCH($AA$22,
"minimum cost", MIN($BP33:$CG33),
"maximum cost", MAX($BP33:$CG33), 
"custom order", IF(CZ$1=INDEX(array, row,1),INDEX(array, row,5),"x"))
,1,))</f>
        <v/>
      </c>
      <c r="DA33" s="461"/>
      <c r="DB33" s="580" t="str">
        <f t="array" ref="DB33:DS33">IF(MATCH(1, CI33:CZ33, 0)=COLUMN(CI33:CZ33)-COLUMN(CI33)+1, CI33:CZ33, "")</f>
        <v/>
      </c>
      <c r="DC33" s="252" t="s">
        <v>133</v>
      </c>
      <c r="DD33" s="252" t="s">
        <v>133</v>
      </c>
      <c r="DE33" s="252" t="s">
        <v>133</v>
      </c>
      <c r="DF33" s="252" t="s">
        <v>133</v>
      </c>
      <c r="DG33" s="252" t="s">
        <v>133</v>
      </c>
      <c r="DH33" s="390" t="s">
        <v>133</v>
      </c>
      <c r="DI33" s="390">
        <v>1.0</v>
      </c>
      <c r="DJ33" s="390" t="s">
        <v>133</v>
      </c>
      <c r="DK33" s="390" t="s">
        <v>133</v>
      </c>
      <c r="DL33" s="390" t="s">
        <v>133</v>
      </c>
      <c r="DM33" s="390" t="s">
        <v>133</v>
      </c>
      <c r="DN33" s="469" t="s">
        <v>133</v>
      </c>
      <c r="DO33" s="469" t="s">
        <v>133</v>
      </c>
      <c r="DP33" s="469" t="s">
        <v>133</v>
      </c>
      <c r="DQ33" s="469" t="s">
        <v>133</v>
      </c>
      <c r="DR33" s="469" t="s">
        <v>133</v>
      </c>
      <c r="DS33" s="581" t="s">
        <v>133</v>
      </c>
      <c r="DT33" s="563"/>
    </row>
    <row r="34">
      <c r="A34" s="563"/>
      <c r="B34" s="716"/>
      <c r="M34" s="461"/>
      <c r="N34" s="10"/>
      <c r="O34" s="10"/>
      <c r="P34" s="10"/>
      <c r="Q34" s="570" t="str">
        <f>IFERROR(__xludf.DUMMYFUNCTION("IF(SUM(DB34:DS34),ARRAYFORMULA(FILTER(DB$1:DS$1, DB34:DS34=1)),)"),"Health Regen")</f>
        <v>Health Regen</v>
      </c>
      <c r="R34" s="571">
        <f>IFERROR(__xludf.DUMMYFUNCTION("IF(SUM(DB34:DS34),ARRAYFORMULA(FILTER(AW34:BN34, DB34:DS34=1))+1,)"),71.0)</f>
        <v>71</v>
      </c>
      <c r="S34" s="572">
        <f>IFERROR(__xludf.DUMMYFUNCTION("IF(SUM(DB34:DS34),ARRAYFORMULA(FILTER(AD34:AU34, DB34:DS34=1)),)"),2.4098E14)</f>
        <v>240980000000000</v>
      </c>
      <c r="T34" s="572">
        <f t="shared" si="26"/>
        <v>9.72041E+15</v>
      </c>
      <c r="U34" s="573" t="str">
        <f t="shared" ref="U34:V34" si="118">FORMAT_NUMBER(S34)</f>
        <v>240.98 T</v>
      </c>
      <c r="V34" s="574" t="str">
        <f t="shared" si="118"/>
        <v>9.72 q</v>
      </c>
      <c r="W34" s="677"/>
      <c r="X34" s="709"/>
      <c r="Y34" s="709"/>
      <c r="Z34" s="709"/>
      <c r="AA34" s="709"/>
      <c r="AB34" s="712"/>
      <c r="AC34" s="461"/>
      <c r="AD34" s="580">
        <f t="shared" ref="AD34:AU34" si="119">IFERROR(WSPCOST_SINGLE_ADJUSTED(AD$1,1+AW34),)</f>
        <v>37110000000000</v>
      </c>
      <c r="AE34" s="252">
        <f t="shared" si="119"/>
        <v>82420000000</v>
      </c>
      <c r="AF34" s="252">
        <f t="shared" si="119"/>
        <v>69650000000000</v>
      </c>
      <c r="AG34" s="252">
        <f t="shared" si="119"/>
        <v>21210000000</v>
      </c>
      <c r="AH34" s="252">
        <f t="shared" si="119"/>
        <v>43890000000000</v>
      </c>
      <c r="AI34" s="252">
        <f t="shared" si="119"/>
        <v>47710000000000</v>
      </c>
      <c r="AJ34" s="390">
        <f t="shared" si="119"/>
        <v>92140000000000</v>
      </c>
      <c r="AK34" s="390">
        <f t="shared" si="119"/>
        <v>240980000000000</v>
      </c>
      <c r="AL34" s="390">
        <f t="shared" si="119"/>
        <v>5000000000</v>
      </c>
      <c r="AM34" s="390">
        <f t="shared" si="119"/>
        <v>33950000000</v>
      </c>
      <c r="AN34" s="390">
        <f t="shared" si="119"/>
        <v>60080000000000</v>
      </c>
      <c r="AO34" s="390">
        <f t="shared" si="119"/>
        <v>22020000000000</v>
      </c>
      <c r="AP34" s="469">
        <f t="shared" si="119"/>
        <v>5240000000000</v>
      </c>
      <c r="AQ34" s="469">
        <f t="shared" si="119"/>
        <v>1.3E+15</v>
      </c>
      <c r="AR34" s="469">
        <f t="shared" si="119"/>
        <v>1.3E+15</v>
      </c>
      <c r="AS34" s="469">
        <f t="shared" si="119"/>
        <v>420490000000000</v>
      </c>
      <c r="AT34" s="469">
        <f t="shared" si="119"/>
        <v>3990000000000</v>
      </c>
      <c r="AU34" s="581">
        <f t="shared" si="119"/>
        <v>1.14E+15</v>
      </c>
      <c r="AV34" s="461"/>
      <c r="AW34" s="580">
        <f t="shared" ref="AW34:BN34" si="120">AW33+DB33</f>
        <v>56</v>
      </c>
      <c r="AX34" s="252">
        <f t="shared" si="120"/>
        <v>21</v>
      </c>
      <c r="AY34" s="252">
        <f t="shared" si="120"/>
        <v>60</v>
      </c>
      <c r="AZ34" s="252">
        <f t="shared" si="120"/>
        <v>17</v>
      </c>
      <c r="BA34" s="252">
        <f t="shared" si="120"/>
        <v>57</v>
      </c>
      <c r="BB34" s="252">
        <f t="shared" si="120"/>
        <v>13</v>
      </c>
      <c r="BC34" s="390">
        <f t="shared" si="120"/>
        <v>62</v>
      </c>
      <c r="BD34" s="390">
        <f t="shared" si="120"/>
        <v>70</v>
      </c>
      <c r="BE34" s="390">
        <f t="shared" si="120"/>
        <v>0</v>
      </c>
      <c r="BF34" s="390">
        <f t="shared" si="120"/>
        <v>18</v>
      </c>
      <c r="BG34" s="390">
        <f t="shared" si="120"/>
        <v>59</v>
      </c>
      <c r="BH34" s="390">
        <f t="shared" si="120"/>
        <v>20</v>
      </c>
      <c r="BI34" s="469">
        <f t="shared" si="120"/>
        <v>44</v>
      </c>
      <c r="BJ34" s="469">
        <f t="shared" si="120"/>
        <v>37</v>
      </c>
      <c r="BK34" s="469">
        <f t="shared" si="120"/>
        <v>37</v>
      </c>
      <c r="BL34" s="469">
        <f t="shared" si="120"/>
        <v>18</v>
      </c>
      <c r="BM34" s="469">
        <f t="shared" si="120"/>
        <v>42</v>
      </c>
      <c r="BN34" s="581">
        <f t="shared" si="120"/>
        <v>15</v>
      </c>
      <c r="BO34" s="461"/>
      <c r="BP34" s="580">
        <f t="shared" si="8"/>
        <v>37110000000000</v>
      </c>
      <c r="BQ34" s="252" t="str">
        <f t="shared" si="9"/>
        <v/>
      </c>
      <c r="BR34" s="252">
        <f t="shared" si="10"/>
        <v>69650000000000</v>
      </c>
      <c r="BS34" s="252" t="str">
        <f t="shared" si="11"/>
        <v/>
      </c>
      <c r="BT34" s="252" t="str">
        <f t="shared" si="12"/>
        <v/>
      </c>
      <c r="BU34" s="252">
        <f t="shared" si="13"/>
        <v>47710000000000</v>
      </c>
      <c r="BV34" s="390">
        <f t="shared" si="14"/>
        <v>92140000000000</v>
      </c>
      <c r="BW34" s="390">
        <f t="shared" si="15"/>
        <v>240980000000000</v>
      </c>
      <c r="BX34" s="390" t="str">
        <f t="shared" si="16"/>
        <v/>
      </c>
      <c r="BY34" s="390" t="str">
        <f t="shared" si="17"/>
        <v/>
      </c>
      <c r="BZ34" s="390">
        <f t="shared" si="18"/>
        <v>60080000000000</v>
      </c>
      <c r="CA34" s="390">
        <f t="shared" si="19"/>
        <v>22020000000000</v>
      </c>
      <c r="CB34" s="469">
        <f t="shared" si="20"/>
        <v>5240000000000</v>
      </c>
      <c r="CC34" s="469" t="str">
        <f t="shared" si="21"/>
        <v/>
      </c>
      <c r="CD34" s="469" t="str">
        <f t="shared" si="22"/>
        <v/>
      </c>
      <c r="CE34" s="469" t="str">
        <f t="shared" si="23"/>
        <v/>
      </c>
      <c r="CF34" s="469" t="str">
        <f t="shared" si="24"/>
        <v/>
      </c>
      <c r="CG34" s="581" t="str">
        <f t="shared" si="25"/>
        <v/>
      </c>
      <c r="CH34" s="461"/>
      <c r="CI34" s="580" t="str">
        <f t="array" ref="CI34">LET(
array,SORT({$Y$2:$AB$19,TRANSPOSE($BP34:$CG34)},4,TRUE),
col,CHOOSECOLS(array,5),
row,MATCH(FALSE, ISBLANK(col), 0),
IF(BP34=SWITCH($AA$22,
"minimum cost", MIN($BP34:$CG34),
"maximum cost", MAX($BP34:$CG34), 
"custom order", IF(CI$1=INDEX(array, row,1),INDEX(array, row,5),"x"))
,1,))</f>
        <v/>
      </c>
      <c r="CJ34" s="252" t="str">
        <f t="array" ref="CJ34">LET(
array,SORT({$Y$2:$AB$19,TRANSPOSE($BP34:$CG34)},4,TRUE),
col,CHOOSECOLS(array,5),
row,MATCH(FALSE, ISBLANK(col), 0),
IF(BQ34=SWITCH($AA$22,
"minimum cost", MIN($BP34:$CG34),
"maximum cost", MAX($BP34:$CG34), 
"custom order", IF(CJ$1=INDEX(array, row,1),INDEX(array, row,5),"x"))
,1,))</f>
        <v/>
      </c>
      <c r="CK34" s="252" t="str">
        <f t="array" ref="CK34">LET(
array,SORT({$Y$2:$AB$19,TRANSPOSE($BP34:$CG34)},4,TRUE),
col,CHOOSECOLS(array,5),
row,MATCH(FALSE, ISBLANK(col), 0),
IF(BR34=SWITCH($AA$22,
"minimum cost", MIN($BP34:$CG34),
"maximum cost", MAX($BP34:$CG34), 
"custom order", IF(CK$1=INDEX(array, row,1),INDEX(array, row,5),"x"))
,1,))</f>
        <v/>
      </c>
      <c r="CL34" s="252" t="str">
        <f t="array" ref="CL34">LET(
array,SORT({$Y$2:$AB$19,TRANSPOSE($BP34:$CG34)},4,TRUE),
col,CHOOSECOLS(array,5),
row,MATCH(FALSE, ISBLANK(col), 0),
IF(BS34=SWITCH($AA$22,
"minimum cost", MIN($BP34:$CG34),
"maximum cost", MAX($BP34:$CG34), 
"custom order", IF(CL$1=INDEX(array, row,1),INDEX(array, row,5),"x"))
,1,))</f>
        <v/>
      </c>
      <c r="CM34" s="252" t="str">
        <f t="array" ref="CM34">LET(
array,SORT({$Y$2:$AB$19,TRANSPOSE($BP34:$CG34)},4,TRUE),
col,CHOOSECOLS(array,5),
row,MATCH(FALSE, ISBLANK(col), 0),
IF(BT34=SWITCH($AA$22,
"minimum cost", MIN($BP34:$CG34),
"maximum cost", MAX($BP34:$CG34), 
"custom order", IF(CM$1=INDEX(array, row,1),INDEX(array, row,5),"x"))
,1,))</f>
        <v/>
      </c>
      <c r="CN34" s="252" t="str">
        <f t="array" ref="CN34">LET(
array,SORT({$Y$2:$AB$19,TRANSPOSE($BP34:$CG34)},4,TRUE),
col,CHOOSECOLS(array,5),
row,MATCH(FALSE, ISBLANK(col), 0),
IF(BU34=SWITCH($AA$22,
"minimum cost", MIN($BP34:$CG34),
"maximum cost", MAX($BP34:$CG34), 
"custom order", IF(CN$1=INDEX(array, row,1),INDEX(array, row,5),"x"))
,1,))</f>
        <v/>
      </c>
      <c r="CO34" s="390" t="str">
        <f t="array" ref="CO34">LET(
array,SORT({$Y$2:$AB$19,TRANSPOSE($BP34:$CG34)},4,TRUE),
col,CHOOSECOLS(array,5),
row,MATCH(FALSE, ISBLANK(col), 0),
IF(BV34=SWITCH($AA$22,
"minimum cost", MIN($BP34:$CG34),
"maximum cost", MAX($BP34:$CG34), 
"custom order", IF(CO$1=INDEX(array, row,1),INDEX(array, row,5),"x"))
,1,))</f>
        <v/>
      </c>
      <c r="CP34" s="390">
        <f t="array" ref="CP34">LET(
array,SORT({$Y$2:$AB$19,TRANSPOSE($BP34:$CG34)},4,TRUE),
col,CHOOSECOLS(array,5),
row,MATCH(FALSE, ISBLANK(col), 0),
IF(BW34=SWITCH($AA$22,
"minimum cost", MIN($BP34:$CG34),
"maximum cost", MAX($BP34:$CG34), 
"custom order", IF(CP$1=INDEX(array, row,1),INDEX(array, row,5),"x"))
,1,))</f>
        <v>1</v>
      </c>
      <c r="CQ34" s="390" t="str">
        <f t="array" ref="CQ34">LET(
array,SORT({$Y$2:$AB$19,TRANSPOSE($BP34:$CG34)},4,TRUE),
col,CHOOSECOLS(array,5),
row,MATCH(FALSE, ISBLANK(col), 0),
IF(BX34=SWITCH($AA$22,
"minimum cost", MIN($BP34:$CG34),
"maximum cost", MAX($BP34:$CG34), 
"custom order", IF(CQ$1=INDEX(array, row,1),INDEX(array, row,5),"x"))
,1,))</f>
        <v/>
      </c>
      <c r="CR34" s="390" t="str">
        <f t="array" ref="CR34">LET(
array,SORT({$Y$2:$AB$19,TRANSPOSE($BP34:$CG34)},4,TRUE),
col,CHOOSECOLS(array,5),
row,MATCH(FALSE, ISBLANK(col), 0),
IF(BY34=SWITCH($AA$22,
"minimum cost", MIN($BP34:$CG34),
"maximum cost", MAX($BP34:$CG34), 
"custom order", IF(CR$1=INDEX(array, row,1),INDEX(array, row,5),"x"))
,1,))</f>
        <v/>
      </c>
      <c r="CS34" s="390" t="str">
        <f t="array" ref="CS34">LET(
array,SORT({$Y$2:$AB$19,TRANSPOSE($BP34:$CG34)},4,TRUE),
col,CHOOSECOLS(array,5),
row,MATCH(FALSE, ISBLANK(col), 0),
IF(BZ34=SWITCH($AA$22,
"minimum cost", MIN($BP34:$CG34),
"maximum cost", MAX($BP34:$CG34), 
"custom order", IF(CS$1=INDEX(array, row,1),INDEX(array, row,5),"x"))
,1,))</f>
        <v/>
      </c>
      <c r="CT34" s="390" t="str">
        <f t="array" ref="CT34">LET(
array,SORT({$Y$2:$AB$19,TRANSPOSE($BP34:$CG34)},4,TRUE),
col,CHOOSECOLS(array,5),
row,MATCH(FALSE, ISBLANK(col), 0),
IF(CA34=SWITCH($AA$22,
"minimum cost", MIN($BP34:$CG34),
"maximum cost", MAX($BP34:$CG34), 
"custom order", IF(CT$1=INDEX(array, row,1),INDEX(array, row,5),"x"))
,1,))</f>
        <v/>
      </c>
      <c r="CU34" s="469" t="str">
        <f t="array" ref="CU34">LET(
array,SORT({$Y$2:$AB$19,TRANSPOSE($BP34:$CG34)},4,TRUE),
col,CHOOSECOLS(array,5),
row,MATCH(FALSE, ISBLANK(col), 0),
IF(CB34=SWITCH($AA$22,
"minimum cost", MIN($BP34:$CG34),
"maximum cost", MAX($BP34:$CG34), 
"custom order", IF(CU$1=INDEX(array, row,1),INDEX(array, row,5),"x"))
,1,))</f>
        <v/>
      </c>
      <c r="CV34" s="469" t="str">
        <f t="array" ref="CV34">LET(
array,SORT({$Y$2:$AB$19,TRANSPOSE($BP34:$CG34)},4,TRUE),
col,CHOOSECOLS(array,5),
row,MATCH(FALSE, ISBLANK(col), 0),
IF(CC34=SWITCH($AA$22,
"minimum cost", MIN($BP34:$CG34),
"maximum cost", MAX($BP34:$CG34), 
"custom order", IF(CV$1=INDEX(array, row,1),INDEX(array, row,5),"x"))
,1,))</f>
        <v/>
      </c>
      <c r="CW34" s="469" t="str">
        <f t="array" ref="CW34">LET(
array,SORT({$Y$2:$AB$19,TRANSPOSE($BP34:$CG34)},4,TRUE),
col,CHOOSECOLS(array,5),
row,MATCH(FALSE, ISBLANK(col), 0),
IF(CD34=SWITCH($AA$22,
"minimum cost", MIN($BP34:$CG34),
"maximum cost", MAX($BP34:$CG34), 
"custom order", IF(CW$1=INDEX(array, row,1),INDEX(array, row,5),"x"))
,1,))</f>
        <v/>
      </c>
      <c r="CX34" s="469" t="str">
        <f t="array" ref="CX34">LET(
array,SORT({$Y$2:$AB$19,TRANSPOSE($BP34:$CG34)},4,TRUE),
col,CHOOSECOLS(array,5),
row,MATCH(FALSE, ISBLANK(col), 0),
IF(CE34=SWITCH($AA$22,
"minimum cost", MIN($BP34:$CG34),
"maximum cost", MAX($BP34:$CG34), 
"custom order", IF(CX$1=INDEX(array, row,1),INDEX(array, row,5),"x"))
,1,))</f>
        <v/>
      </c>
      <c r="CY34" s="469" t="str">
        <f t="array" ref="CY34">LET(
array,SORT({$Y$2:$AB$19,TRANSPOSE($BP34:$CG34)},4,TRUE),
col,CHOOSECOLS(array,5),
row,MATCH(FALSE, ISBLANK(col), 0),
IF(CF34=SWITCH($AA$22,
"minimum cost", MIN($BP34:$CG34),
"maximum cost", MAX($BP34:$CG34), 
"custom order", IF(CY$1=INDEX(array, row,1),INDEX(array, row,5),"x"))
,1,))</f>
        <v/>
      </c>
      <c r="CZ34" s="581" t="str">
        <f t="array" ref="CZ34">LET(
array,SORT({$Y$2:$AB$19,TRANSPOSE($BP34:$CG34)},4,TRUE),
col,CHOOSECOLS(array,5),
row,MATCH(FALSE, ISBLANK(col), 0),
IF(CG34=SWITCH($AA$22,
"minimum cost", MIN($BP34:$CG34),
"maximum cost", MAX($BP34:$CG34), 
"custom order", IF(CZ$1=INDEX(array, row,1),INDEX(array, row,5),"x"))
,1,))</f>
        <v/>
      </c>
      <c r="DA34" s="461"/>
      <c r="DB34" s="580" t="str">
        <f t="array" ref="DB34:DS34">IF(MATCH(1, CI34:CZ34, 0)=COLUMN(CI34:CZ34)-COLUMN(CI34)+1, CI34:CZ34, "")</f>
        <v/>
      </c>
      <c r="DC34" s="252" t="s">
        <v>133</v>
      </c>
      <c r="DD34" s="252" t="s">
        <v>133</v>
      </c>
      <c r="DE34" s="252" t="s">
        <v>133</v>
      </c>
      <c r="DF34" s="252" t="s">
        <v>133</v>
      </c>
      <c r="DG34" s="252" t="s">
        <v>133</v>
      </c>
      <c r="DH34" s="390" t="s">
        <v>133</v>
      </c>
      <c r="DI34" s="390">
        <v>1.0</v>
      </c>
      <c r="DJ34" s="390" t="s">
        <v>133</v>
      </c>
      <c r="DK34" s="390" t="s">
        <v>133</v>
      </c>
      <c r="DL34" s="390" t="s">
        <v>133</v>
      </c>
      <c r="DM34" s="390" t="s">
        <v>133</v>
      </c>
      <c r="DN34" s="469" t="s">
        <v>133</v>
      </c>
      <c r="DO34" s="469" t="s">
        <v>133</v>
      </c>
      <c r="DP34" s="469" t="s">
        <v>133</v>
      </c>
      <c r="DQ34" s="469" t="s">
        <v>133</v>
      </c>
      <c r="DR34" s="469" t="s">
        <v>133</v>
      </c>
      <c r="DS34" s="581" t="s">
        <v>133</v>
      </c>
      <c r="DT34" s="563"/>
    </row>
    <row r="35">
      <c r="A35" s="563"/>
      <c r="B35" s="716"/>
      <c r="M35" s="461"/>
      <c r="N35" s="10"/>
      <c r="O35" s="10"/>
      <c r="P35" s="10"/>
      <c r="Q35" s="570" t="str">
        <f>IFERROR(__xludf.DUMMYFUNCTION("IF(SUM(DB35:DS35),ARRAYFORMULA(FILTER(DB$1:DS$1, DB35:DS35=1)),)"),"Health Regen")</f>
        <v>Health Regen</v>
      </c>
      <c r="R35" s="571">
        <f>IFERROR(__xludf.DUMMYFUNCTION("IF(SUM(DB35:DS35),ARRAYFORMULA(FILTER(AW35:BN35, DB35:DS35=1))+1,)"),72.0)</f>
        <v>72</v>
      </c>
      <c r="S35" s="572">
        <f>IFERROR(__xludf.DUMMYFUNCTION("IF(SUM(DB35:DS35),ARRAYFORMULA(FILTER(AD35:AU35, DB35:DS35=1)),)"),2.6805E14)</f>
        <v>268050000000000</v>
      </c>
      <c r="T35" s="572">
        <f t="shared" si="26"/>
        <v>9.98846E+15</v>
      </c>
      <c r="U35" s="573" t="str">
        <f t="shared" ref="U35:V35" si="121">FORMAT_NUMBER(S35)</f>
        <v>268.05 T</v>
      </c>
      <c r="V35" s="574" t="str">
        <f t="shared" si="121"/>
        <v>9.99 q</v>
      </c>
      <c r="W35" s="677"/>
      <c r="X35" s="709"/>
      <c r="Y35" s="709"/>
      <c r="Z35" s="709"/>
      <c r="AA35" s="709"/>
      <c r="AB35" s="712"/>
      <c r="AC35" s="461"/>
      <c r="AD35" s="580">
        <f t="shared" ref="AD35:AU35" si="122">IFERROR(WSPCOST_SINGLE_ADJUSTED(AD$1,1+AW35),)</f>
        <v>37110000000000</v>
      </c>
      <c r="AE35" s="252">
        <f t="shared" si="122"/>
        <v>82420000000</v>
      </c>
      <c r="AF35" s="252">
        <f t="shared" si="122"/>
        <v>69650000000000</v>
      </c>
      <c r="AG35" s="252">
        <f t="shared" si="122"/>
        <v>21210000000</v>
      </c>
      <c r="AH35" s="252">
        <f t="shared" si="122"/>
        <v>43890000000000</v>
      </c>
      <c r="AI35" s="252">
        <f t="shared" si="122"/>
        <v>47710000000000</v>
      </c>
      <c r="AJ35" s="390">
        <f t="shared" si="122"/>
        <v>92140000000000</v>
      </c>
      <c r="AK35" s="390">
        <f t="shared" si="122"/>
        <v>268050000000000</v>
      </c>
      <c r="AL35" s="390">
        <f t="shared" si="122"/>
        <v>5000000000</v>
      </c>
      <c r="AM35" s="390">
        <f t="shared" si="122"/>
        <v>33950000000</v>
      </c>
      <c r="AN35" s="390">
        <f t="shared" si="122"/>
        <v>60080000000000</v>
      </c>
      <c r="AO35" s="390">
        <f t="shared" si="122"/>
        <v>22020000000000</v>
      </c>
      <c r="AP35" s="469">
        <f t="shared" si="122"/>
        <v>5240000000000</v>
      </c>
      <c r="AQ35" s="469">
        <f t="shared" si="122"/>
        <v>1.3E+15</v>
      </c>
      <c r="AR35" s="469">
        <f t="shared" si="122"/>
        <v>1.3E+15</v>
      </c>
      <c r="AS35" s="469">
        <f t="shared" si="122"/>
        <v>420490000000000</v>
      </c>
      <c r="AT35" s="469">
        <f t="shared" si="122"/>
        <v>3990000000000</v>
      </c>
      <c r="AU35" s="581">
        <f t="shared" si="122"/>
        <v>1.14E+15</v>
      </c>
      <c r="AV35" s="461"/>
      <c r="AW35" s="580">
        <f t="shared" ref="AW35:BN35" si="123">AW34+DB34</f>
        <v>56</v>
      </c>
      <c r="AX35" s="252">
        <f t="shared" si="123"/>
        <v>21</v>
      </c>
      <c r="AY35" s="252">
        <f t="shared" si="123"/>
        <v>60</v>
      </c>
      <c r="AZ35" s="252">
        <f t="shared" si="123"/>
        <v>17</v>
      </c>
      <c r="BA35" s="252">
        <f t="shared" si="123"/>
        <v>57</v>
      </c>
      <c r="BB35" s="252">
        <f t="shared" si="123"/>
        <v>13</v>
      </c>
      <c r="BC35" s="390">
        <f t="shared" si="123"/>
        <v>62</v>
      </c>
      <c r="BD35" s="390">
        <f t="shared" si="123"/>
        <v>71</v>
      </c>
      <c r="BE35" s="390">
        <f t="shared" si="123"/>
        <v>0</v>
      </c>
      <c r="BF35" s="390">
        <f t="shared" si="123"/>
        <v>18</v>
      </c>
      <c r="BG35" s="390">
        <f t="shared" si="123"/>
        <v>59</v>
      </c>
      <c r="BH35" s="390">
        <f t="shared" si="123"/>
        <v>20</v>
      </c>
      <c r="BI35" s="469">
        <f t="shared" si="123"/>
        <v>44</v>
      </c>
      <c r="BJ35" s="469">
        <f t="shared" si="123"/>
        <v>37</v>
      </c>
      <c r="BK35" s="469">
        <f t="shared" si="123"/>
        <v>37</v>
      </c>
      <c r="BL35" s="469">
        <f t="shared" si="123"/>
        <v>18</v>
      </c>
      <c r="BM35" s="469">
        <f t="shared" si="123"/>
        <v>42</v>
      </c>
      <c r="BN35" s="581">
        <f t="shared" si="123"/>
        <v>15</v>
      </c>
      <c r="BO35" s="461"/>
      <c r="BP35" s="580">
        <f t="shared" si="8"/>
        <v>37110000000000</v>
      </c>
      <c r="BQ35" s="252" t="str">
        <f t="shared" si="9"/>
        <v/>
      </c>
      <c r="BR35" s="252">
        <f t="shared" si="10"/>
        <v>69650000000000</v>
      </c>
      <c r="BS35" s="252" t="str">
        <f t="shared" si="11"/>
        <v/>
      </c>
      <c r="BT35" s="252" t="str">
        <f t="shared" si="12"/>
        <v/>
      </c>
      <c r="BU35" s="252">
        <f t="shared" si="13"/>
        <v>47710000000000</v>
      </c>
      <c r="BV35" s="390">
        <f t="shared" si="14"/>
        <v>92140000000000</v>
      </c>
      <c r="BW35" s="390">
        <f t="shared" si="15"/>
        <v>268050000000000</v>
      </c>
      <c r="BX35" s="390" t="str">
        <f t="shared" si="16"/>
        <v/>
      </c>
      <c r="BY35" s="390" t="str">
        <f t="shared" si="17"/>
        <v/>
      </c>
      <c r="BZ35" s="390">
        <f t="shared" si="18"/>
        <v>60080000000000</v>
      </c>
      <c r="CA35" s="390">
        <f t="shared" si="19"/>
        <v>22020000000000</v>
      </c>
      <c r="CB35" s="469">
        <f t="shared" si="20"/>
        <v>5240000000000</v>
      </c>
      <c r="CC35" s="469" t="str">
        <f t="shared" si="21"/>
        <v/>
      </c>
      <c r="CD35" s="469" t="str">
        <f t="shared" si="22"/>
        <v/>
      </c>
      <c r="CE35" s="469" t="str">
        <f t="shared" si="23"/>
        <v/>
      </c>
      <c r="CF35" s="469" t="str">
        <f t="shared" si="24"/>
        <v/>
      </c>
      <c r="CG35" s="581" t="str">
        <f t="shared" si="25"/>
        <v/>
      </c>
      <c r="CH35" s="461"/>
      <c r="CI35" s="580" t="str">
        <f t="array" ref="CI35">LET(
array,SORT({$Y$2:$AB$19,TRANSPOSE($BP35:$CG35)},4,TRUE),
col,CHOOSECOLS(array,5),
row,MATCH(FALSE, ISBLANK(col), 0),
IF(BP35=SWITCH($AA$22,
"minimum cost", MIN($BP35:$CG35),
"maximum cost", MAX($BP35:$CG35), 
"custom order", IF(CI$1=INDEX(array, row,1),INDEX(array, row,5),"x"))
,1,))</f>
        <v/>
      </c>
      <c r="CJ35" s="252" t="str">
        <f t="array" ref="CJ35">LET(
array,SORT({$Y$2:$AB$19,TRANSPOSE($BP35:$CG35)},4,TRUE),
col,CHOOSECOLS(array,5),
row,MATCH(FALSE, ISBLANK(col), 0),
IF(BQ35=SWITCH($AA$22,
"minimum cost", MIN($BP35:$CG35),
"maximum cost", MAX($BP35:$CG35), 
"custom order", IF(CJ$1=INDEX(array, row,1),INDEX(array, row,5),"x"))
,1,))</f>
        <v/>
      </c>
      <c r="CK35" s="252" t="str">
        <f t="array" ref="CK35">LET(
array,SORT({$Y$2:$AB$19,TRANSPOSE($BP35:$CG35)},4,TRUE),
col,CHOOSECOLS(array,5),
row,MATCH(FALSE, ISBLANK(col), 0),
IF(BR35=SWITCH($AA$22,
"minimum cost", MIN($BP35:$CG35),
"maximum cost", MAX($BP35:$CG35), 
"custom order", IF(CK$1=INDEX(array, row,1),INDEX(array, row,5),"x"))
,1,))</f>
        <v/>
      </c>
      <c r="CL35" s="252" t="str">
        <f t="array" ref="CL35">LET(
array,SORT({$Y$2:$AB$19,TRANSPOSE($BP35:$CG35)},4,TRUE),
col,CHOOSECOLS(array,5),
row,MATCH(FALSE, ISBLANK(col), 0),
IF(BS35=SWITCH($AA$22,
"minimum cost", MIN($BP35:$CG35),
"maximum cost", MAX($BP35:$CG35), 
"custom order", IF(CL$1=INDEX(array, row,1),INDEX(array, row,5),"x"))
,1,))</f>
        <v/>
      </c>
      <c r="CM35" s="252" t="str">
        <f t="array" ref="CM35">LET(
array,SORT({$Y$2:$AB$19,TRANSPOSE($BP35:$CG35)},4,TRUE),
col,CHOOSECOLS(array,5),
row,MATCH(FALSE, ISBLANK(col), 0),
IF(BT35=SWITCH($AA$22,
"minimum cost", MIN($BP35:$CG35),
"maximum cost", MAX($BP35:$CG35), 
"custom order", IF(CM$1=INDEX(array, row,1),INDEX(array, row,5),"x"))
,1,))</f>
        <v/>
      </c>
      <c r="CN35" s="252" t="str">
        <f t="array" ref="CN35">LET(
array,SORT({$Y$2:$AB$19,TRANSPOSE($BP35:$CG35)},4,TRUE),
col,CHOOSECOLS(array,5),
row,MATCH(FALSE, ISBLANK(col), 0),
IF(BU35=SWITCH($AA$22,
"minimum cost", MIN($BP35:$CG35),
"maximum cost", MAX($BP35:$CG35), 
"custom order", IF(CN$1=INDEX(array, row,1),INDEX(array, row,5),"x"))
,1,))</f>
        <v/>
      </c>
      <c r="CO35" s="390" t="str">
        <f t="array" ref="CO35">LET(
array,SORT({$Y$2:$AB$19,TRANSPOSE($BP35:$CG35)},4,TRUE),
col,CHOOSECOLS(array,5),
row,MATCH(FALSE, ISBLANK(col), 0),
IF(BV35=SWITCH($AA$22,
"minimum cost", MIN($BP35:$CG35),
"maximum cost", MAX($BP35:$CG35), 
"custom order", IF(CO$1=INDEX(array, row,1),INDEX(array, row,5),"x"))
,1,))</f>
        <v/>
      </c>
      <c r="CP35" s="390">
        <f t="array" ref="CP35">LET(
array,SORT({$Y$2:$AB$19,TRANSPOSE($BP35:$CG35)},4,TRUE),
col,CHOOSECOLS(array,5),
row,MATCH(FALSE, ISBLANK(col), 0),
IF(BW35=SWITCH($AA$22,
"minimum cost", MIN($BP35:$CG35),
"maximum cost", MAX($BP35:$CG35), 
"custom order", IF(CP$1=INDEX(array, row,1),INDEX(array, row,5),"x"))
,1,))</f>
        <v>1</v>
      </c>
      <c r="CQ35" s="390" t="str">
        <f t="array" ref="CQ35">LET(
array,SORT({$Y$2:$AB$19,TRANSPOSE($BP35:$CG35)},4,TRUE),
col,CHOOSECOLS(array,5),
row,MATCH(FALSE, ISBLANK(col), 0),
IF(BX35=SWITCH($AA$22,
"minimum cost", MIN($BP35:$CG35),
"maximum cost", MAX($BP35:$CG35), 
"custom order", IF(CQ$1=INDEX(array, row,1),INDEX(array, row,5),"x"))
,1,))</f>
        <v/>
      </c>
      <c r="CR35" s="390" t="str">
        <f t="array" ref="CR35">LET(
array,SORT({$Y$2:$AB$19,TRANSPOSE($BP35:$CG35)},4,TRUE),
col,CHOOSECOLS(array,5),
row,MATCH(FALSE, ISBLANK(col), 0),
IF(BY35=SWITCH($AA$22,
"minimum cost", MIN($BP35:$CG35),
"maximum cost", MAX($BP35:$CG35), 
"custom order", IF(CR$1=INDEX(array, row,1),INDEX(array, row,5),"x"))
,1,))</f>
        <v/>
      </c>
      <c r="CS35" s="390" t="str">
        <f t="array" ref="CS35">LET(
array,SORT({$Y$2:$AB$19,TRANSPOSE($BP35:$CG35)},4,TRUE),
col,CHOOSECOLS(array,5),
row,MATCH(FALSE, ISBLANK(col), 0),
IF(BZ35=SWITCH($AA$22,
"minimum cost", MIN($BP35:$CG35),
"maximum cost", MAX($BP35:$CG35), 
"custom order", IF(CS$1=INDEX(array, row,1),INDEX(array, row,5),"x"))
,1,))</f>
        <v/>
      </c>
      <c r="CT35" s="390" t="str">
        <f t="array" ref="CT35">LET(
array,SORT({$Y$2:$AB$19,TRANSPOSE($BP35:$CG35)},4,TRUE),
col,CHOOSECOLS(array,5),
row,MATCH(FALSE, ISBLANK(col), 0),
IF(CA35=SWITCH($AA$22,
"minimum cost", MIN($BP35:$CG35),
"maximum cost", MAX($BP35:$CG35), 
"custom order", IF(CT$1=INDEX(array, row,1),INDEX(array, row,5),"x"))
,1,))</f>
        <v/>
      </c>
      <c r="CU35" s="469" t="str">
        <f t="array" ref="CU35">LET(
array,SORT({$Y$2:$AB$19,TRANSPOSE($BP35:$CG35)},4,TRUE),
col,CHOOSECOLS(array,5),
row,MATCH(FALSE, ISBLANK(col), 0),
IF(CB35=SWITCH($AA$22,
"minimum cost", MIN($BP35:$CG35),
"maximum cost", MAX($BP35:$CG35), 
"custom order", IF(CU$1=INDEX(array, row,1),INDEX(array, row,5),"x"))
,1,))</f>
        <v/>
      </c>
      <c r="CV35" s="469" t="str">
        <f t="array" ref="CV35">LET(
array,SORT({$Y$2:$AB$19,TRANSPOSE($BP35:$CG35)},4,TRUE),
col,CHOOSECOLS(array,5),
row,MATCH(FALSE, ISBLANK(col), 0),
IF(CC35=SWITCH($AA$22,
"minimum cost", MIN($BP35:$CG35),
"maximum cost", MAX($BP35:$CG35), 
"custom order", IF(CV$1=INDEX(array, row,1),INDEX(array, row,5),"x"))
,1,))</f>
        <v/>
      </c>
      <c r="CW35" s="469" t="str">
        <f t="array" ref="CW35">LET(
array,SORT({$Y$2:$AB$19,TRANSPOSE($BP35:$CG35)},4,TRUE),
col,CHOOSECOLS(array,5),
row,MATCH(FALSE, ISBLANK(col), 0),
IF(CD35=SWITCH($AA$22,
"minimum cost", MIN($BP35:$CG35),
"maximum cost", MAX($BP35:$CG35), 
"custom order", IF(CW$1=INDEX(array, row,1),INDEX(array, row,5),"x"))
,1,))</f>
        <v/>
      </c>
      <c r="CX35" s="469" t="str">
        <f t="array" ref="CX35">LET(
array,SORT({$Y$2:$AB$19,TRANSPOSE($BP35:$CG35)},4,TRUE),
col,CHOOSECOLS(array,5),
row,MATCH(FALSE, ISBLANK(col), 0),
IF(CE35=SWITCH($AA$22,
"minimum cost", MIN($BP35:$CG35),
"maximum cost", MAX($BP35:$CG35), 
"custom order", IF(CX$1=INDEX(array, row,1),INDEX(array, row,5),"x"))
,1,))</f>
        <v/>
      </c>
      <c r="CY35" s="469" t="str">
        <f t="array" ref="CY35">LET(
array,SORT({$Y$2:$AB$19,TRANSPOSE($BP35:$CG35)},4,TRUE),
col,CHOOSECOLS(array,5),
row,MATCH(FALSE, ISBLANK(col), 0),
IF(CF35=SWITCH($AA$22,
"minimum cost", MIN($BP35:$CG35),
"maximum cost", MAX($BP35:$CG35), 
"custom order", IF(CY$1=INDEX(array, row,1),INDEX(array, row,5),"x"))
,1,))</f>
        <v/>
      </c>
      <c r="CZ35" s="581" t="str">
        <f t="array" ref="CZ35">LET(
array,SORT({$Y$2:$AB$19,TRANSPOSE($BP35:$CG35)},4,TRUE),
col,CHOOSECOLS(array,5),
row,MATCH(FALSE, ISBLANK(col), 0),
IF(CG35=SWITCH($AA$22,
"minimum cost", MIN($BP35:$CG35),
"maximum cost", MAX($BP35:$CG35), 
"custom order", IF(CZ$1=INDEX(array, row,1),INDEX(array, row,5),"x"))
,1,))</f>
        <v/>
      </c>
      <c r="DA35" s="461"/>
      <c r="DB35" s="580" t="str">
        <f t="array" ref="DB35:DS35">IF(MATCH(1, CI35:CZ35, 0)=COLUMN(CI35:CZ35)-COLUMN(CI35)+1, CI35:CZ35, "")</f>
        <v/>
      </c>
      <c r="DC35" s="252" t="s">
        <v>133</v>
      </c>
      <c r="DD35" s="252" t="s">
        <v>133</v>
      </c>
      <c r="DE35" s="252" t="s">
        <v>133</v>
      </c>
      <c r="DF35" s="252" t="s">
        <v>133</v>
      </c>
      <c r="DG35" s="252" t="s">
        <v>133</v>
      </c>
      <c r="DH35" s="390" t="s">
        <v>133</v>
      </c>
      <c r="DI35" s="390">
        <v>1.0</v>
      </c>
      <c r="DJ35" s="390" t="s">
        <v>133</v>
      </c>
      <c r="DK35" s="390" t="s">
        <v>133</v>
      </c>
      <c r="DL35" s="390" t="s">
        <v>133</v>
      </c>
      <c r="DM35" s="390" t="s">
        <v>133</v>
      </c>
      <c r="DN35" s="469" t="s">
        <v>133</v>
      </c>
      <c r="DO35" s="469" t="s">
        <v>133</v>
      </c>
      <c r="DP35" s="469" t="s">
        <v>133</v>
      </c>
      <c r="DQ35" s="469" t="s">
        <v>133</v>
      </c>
      <c r="DR35" s="469" t="s">
        <v>133</v>
      </c>
      <c r="DS35" s="581" t="s">
        <v>133</v>
      </c>
      <c r="DT35" s="563"/>
    </row>
    <row r="36">
      <c r="A36" s="563"/>
      <c r="B36" s="716"/>
      <c r="M36" s="461"/>
      <c r="N36" s="10"/>
      <c r="O36" s="10"/>
      <c r="P36" s="10"/>
      <c r="Q36" s="570" t="str">
        <f>IFERROR(__xludf.DUMMYFUNCTION("IF(SUM(DB36:DS36),ARRAYFORMULA(FILTER(DB$1:DS$1, DB36:DS36=1)),)"),"Health Regen")</f>
        <v>Health Regen</v>
      </c>
      <c r="R36" s="571">
        <f>IFERROR(__xludf.DUMMYFUNCTION("IF(SUM(DB36:DS36),ARRAYFORMULA(FILTER(AW36:BN36, DB36:DS36=1))+1,)"),73.0)</f>
        <v>73</v>
      </c>
      <c r="S36" s="572">
        <f>IFERROR(__xludf.DUMMYFUNCTION("IF(SUM(DB36:DS36),ARRAYFORMULA(FILTER(AD36:AU36, DB36:DS36=1)),)"),2.9743E14)</f>
        <v>297430000000000</v>
      </c>
      <c r="T36" s="572">
        <f t="shared" si="26"/>
        <v>1.02859E+16</v>
      </c>
      <c r="U36" s="573" t="str">
        <f t="shared" ref="U36:V36" si="124">FORMAT_NUMBER(S36)</f>
        <v>297.43 T</v>
      </c>
      <c r="V36" s="574" t="str">
        <f t="shared" si="124"/>
        <v>10.29 q</v>
      </c>
      <c r="W36" s="677"/>
      <c r="X36" s="709"/>
      <c r="Y36" s="709"/>
      <c r="Z36" s="709"/>
      <c r="AA36" s="709"/>
      <c r="AB36" s="712"/>
      <c r="AC36" s="461"/>
      <c r="AD36" s="580">
        <f t="shared" ref="AD36:AU36" si="125">IFERROR(WSPCOST_SINGLE_ADJUSTED(AD$1,1+AW36),)</f>
        <v>37110000000000</v>
      </c>
      <c r="AE36" s="252">
        <f t="shared" si="125"/>
        <v>82420000000</v>
      </c>
      <c r="AF36" s="252">
        <f t="shared" si="125"/>
        <v>69650000000000</v>
      </c>
      <c r="AG36" s="252">
        <f t="shared" si="125"/>
        <v>21210000000</v>
      </c>
      <c r="AH36" s="252">
        <f t="shared" si="125"/>
        <v>43890000000000</v>
      </c>
      <c r="AI36" s="252">
        <f t="shared" si="125"/>
        <v>47710000000000</v>
      </c>
      <c r="AJ36" s="390">
        <f t="shared" si="125"/>
        <v>92140000000000</v>
      </c>
      <c r="AK36" s="390">
        <f t="shared" si="125"/>
        <v>297430000000000</v>
      </c>
      <c r="AL36" s="390">
        <f t="shared" si="125"/>
        <v>5000000000</v>
      </c>
      <c r="AM36" s="390">
        <f t="shared" si="125"/>
        <v>33950000000</v>
      </c>
      <c r="AN36" s="390">
        <f t="shared" si="125"/>
        <v>60080000000000</v>
      </c>
      <c r="AO36" s="390">
        <f t="shared" si="125"/>
        <v>22020000000000</v>
      </c>
      <c r="AP36" s="469">
        <f t="shared" si="125"/>
        <v>5240000000000</v>
      </c>
      <c r="AQ36" s="469">
        <f t="shared" si="125"/>
        <v>1.3E+15</v>
      </c>
      <c r="AR36" s="469">
        <f t="shared" si="125"/>
        <v>1.3E+15</v>
      </c>
      <c r="AS36" s="469">
        <f t="shared" si="125"/>
        <v>420490000000000</v>
      </c>
      <c r="AT36" s="469">
        <f t="shared" si="125"/>
        <v>3990000000000</v>
      </c>
      <c r="AU36" s="581">
        <f t="shared" si="125"/>
        <v>1.14E+15</v>
      </c>
      <c r="AV36" s="461"/>
      <c r="AW36" s="580">
        <f t="shared" ref="AW36:BN36" si="126">AW35+DB35</f>
        <v>56</v>
      </c>
      <c r="AX36" s="252">
        <f t="shared" si="126"/>
        <v>21</v>
      </c>
      <c r="AY36" s="252">
        <f t="shared" si="126"/>
        <v>60</v>
      </c>
      <c r="AZ36" s="252">
        <f t="shared" si="126"/>
        <v>17</v>
      </c>
      <c r="BA36" s="252">
        <f t="shared" si="126"/>
        <v>57</v>
      </c>
      <c r="BB36" s="252">
        <f t="shared" si="126"/>
        <v>13</v>
      </c>
      <c r="BC36" s="390">
        <f t="shared" si="126"/>
        <v>62</v>
      </c>
      <c r="BD36" s="390">
        <f t="shared" si="126"/>
        <v>72</v>
      </c>
      <c r="BE36" s="390">
        <f t="shared" si="126"/>
        <v>0</v>
      </c>
      <c r="BF36" s="390">
        <f t="shared" si="126"/>
        <v>18</v>
      </c>
      <c r="BG36" s="390">
        <f t="shared" si="126"/>
        <v>59</v>
      </c>
      <c r="BH36" s="390">
        <f t="shared" si="126"/>
        <v>20</v>
      </c>
      <c r="BI36" s="469">
        <f t="shared" si="126"/>
        <v>44</v>
      </c>
      <c r="BJ36" s="469">
        <f t="shared" si="126"/>
        <v>37</v>
      </c>
      <c r="BK36" s="469">
        <f t="shared" si="126"/>
        <v>37</v>
      </c>
      <c r="BL36" s="469">
        <f t="shared" si="126"/>
        <v>18</v>
      </c>
      <c r="BM36" s="469">
        <f t="shared" si="126"/>
        <v>42</v>
      </c>
      <c r="BN36" s="581">
        <f t="shared" si="126"/>
        <v>15</v>
      </c>
      <c r="BO36" s="461"/>
      <c r="BP36" s="580">
        <f t="shared" si="8"/>
        <v>37110000000000</v>
      </c>
      <c r="BQ36" s="252" t="str">
        <f t="shared" si="9"/>
        <v/>
      </c>
      <c r="BR36" s="252">
        <f t="shared" si="10"/>
        <v>69650000000000</v>
      </c>
      <c r="BS36" s="252" t="str">
        <f t="shared" si="11"/>
        <v/>
      </c>
      <c r="BT36" s="252" t="str">
        <f t="shared" si="12"/>
        <v/>
      </c>
      <c r="BU36" s="252">
        <f t="shared" si="13"/>
        <v>47710000000000</v>
      </c>
      <c r="BV36" s="390">
        <f t="shared" si="14"/>
        <v>92140000000000</v>
      </c>
      <c r="BW36" s="390">
        <f t="shared" si="15"/>
        <v>297430000000000</v>
      </c>
      <c r="BX36" s="390" t="str">
        <f t="shared" si="16"/>
        <v/>
      </c>
      <c r="BY36" s="390" t="str">
        <f t="shared" si="17"/>
        <v/>
      </c>
      <c r="BZ36" s="390">
        <f t="shared" si="18"/>
        <v>60080000000000</v>
      </c>
      <c r="CA36" s="390">
        <f t="shared" si="19"/>
        <v>22020000000000</v>
      </c>
      <c r="CB36" s="469">
        <f t="shared" si="20"/>
        <v>5240000000000</v>
      </c>
      <c r="CC36" s="469" t="str">
        <f t="shared" si="21"/>
        <v/>
      </c>
      <c r="CD36" s="469" t="str">
        <f t="shared" si="22"/>
        <v/>
      </c>
      <c r="CE36" s="469" t="str">
        <f t="shared" si="23"/>
        <v/>
      </c>
      <c r="CF36" s="469" t="str">
        <f t="shared" si="24"/>
        <v/>
      </c>
      <c r="CG36" s="581" t="str">
        <f t="shared" si="25"/>
        <v/>
      </c>
      <c r="CH36" s="461"/>
      <c r="CI36" s="580" t="str">
        <f t="array" ref="CI36">LET(
array,SORT({$Y$2:$AB$19,TRANSPOSE($BP36:$CG36)},4,TRUE),
col,CHOOSECOLS(array,5),
row,MATCH(FALSE, ISBLANK(col), 0),
IF(BP36=SWITCH($AA$22,
"minimum cost", MIN($BP36:$CG36),
"maximum cost", MAX($BP36:$CG36), 
"custom order", IF(CI$1=INDEX(array, row,1),INDEX(array, row,5),"x"))
,1,))</f>
        <v/>
      </c>
      <c r="CJ36" s="252" t="str">
        <f t="array" ref="CJ36">LET(
array,SORT({$Y$2:$AB$19,TRANSPOSE($BP36:$CG36)},4,TRUE),
col,CHOOSECOLS(array,5),
row,MATCH(FALSE, ISBLANK(col), 0),
IF(BQ36=SWITCH($AA$22,
"minimum cost", MIN($BP36:$CG36),
"maximum cost", MAX($BP36:$CG36), 
"custom order", IF(CJ$1=INDEX(array, row,1),INDEX(array, row,5),"x"))
,1,))</f>
        <v/>
      </c>
      <c r="CK36" s="252" t="str">
        <f t="array" ref="CK36">LET(
array,SORT({$Y$2:$AB$19,TRANSPOSE($BP36:$CG36)},4,TRUE),
col,CHOOSECOLS(array,5),
row,MATCH(FALSE, ISBLANK(col), 0),
IF(BR36=SWITCH($AA$22,
"minimum cost", MIN($BP36:$CG36),
"maximum cost", MAX($BP36:$CG36), 
"custom order", IF(CK$1=INDEX(array, row,1),INDEX(array, row,5),"x"))
,1,))</f>
        <v/>
      </c>
      <c r="CL36" s="252" t="str">
        <f t="array" ref="CL36">LET(
array,SORT({$Y$2:$AB$19,TRANSPOSE($BP36:$CG36)},4,TRUE),
col,CHOOSECOLS(array,5),
row,MATCH(FALSE, ISBLANK(col), 0),
IF(BS36=SWITCH($AA$22,
"minimum cost", MIN($BP36:$CG36),
"maximum cost", MAX($BP36:$CG36), 
"custom order", IF(CL$1=INDEX(array, row,1),INDEX(array, row,5),"x"))
,1,))</f>
        <v/>
      </c>
      <c r="CM36" s="252" t="str">
        <f t="array" ref="CM36">LET(
array,SORT({$Y$2:$AB$19,TRANSPOSE($BP36:$CG36)},4,TRUE),
col,CHOOSECOLS(array,5),
row,MATCH(FALSE, ISBLANK(col), 0),
IF(BT36=SWITCH($AA$22,
"minimum cost", MIN($BP36:$CG36),
"maximum cost", MAX($BP36:$CG36), 
"custom order", IF(CM$1=INDEX(array, row,1),INDEX(array, row,5),"x"))
,1,))</f>
        <v/>
      </c>
      <c r="CN36" s="252" t="str">
        <f t="array" ref="CN36">LET(
array,SORT({$Y$2:$AB$19,TRANSPOSE($BP36:$CG36)},4,TRUE),
col,CHOOSECOLS(array,5),
row,MATCH(FALSE, ISBLANK(col), 0),
IF(BU36=SWITCH($AA$22,
"minimum cost", MIN($BP36:$CG36),
"maximum cost", MAX($BP36:$CG36), 
"custom order", IF(CN$1=INDEX(array, row,1),INDEX(array, row,5),"x"))
,1,))</f>
        <v/>
      </c>
      <c r="CO36" s="390" t="str">
        <f t="array" ref="CO36">LET(
array,SORT({$Y$2:$AB$19,TRANSPOSE($BP36:$CG36)},4,TRUE),
col,CHOOSECOLS(array,5),
row,MATCH(FALSE, ISBLANK(col), 0),
IF(BV36=SWITCH($AA$22,
"minimum cost", MIN($BP36:$CG36),
"maximum cost", MAX($BP36:$CG36), 
"custom order", IF(CO$1=INDEX(array, row,1),INDEX(array, row,5),"x"))
,1,))</f>
        <v/>
      </c>
      <c r="CP36" s="390">
        <f t="array" ref="CP36">LET(
array,SORT({$Y$2:$AB$19,TRANSPOSE($BP36:$CG36)},4,TRUE),
col,CHOOSECOLS(array,5),
row,MATCH(FALSE, ISBLANK(col), 0),
IF(BW36=SWITCH($AA$22,
"minimum cost", MIN($BP36:$CG36),
"maximum cost", MAX($BP36:$CG36), 
"custom order", IF(CP$1=INDEX(array, row,1),INDEX(array, row,5),"x"))
,1,))</f>
        <v>1</v>
      </c>
      <c r="CQ36" s="390" t="str">
        <f t="array" ref="CQ36">LET(
array,SORT({$Y$2:$AB$19,TRANSPOSE($BP36:$CG36)},4,TRUE),
col,CHOOSECOLS(array,5),
row,MATCH(FALSE, ISBLANK(col), 0),
IF(BX36=SWITCH($AA$22,
"minimum cost", MIN($BP36:$CG36),
"maximum cost", MAX($BP36:$CG36), 
"custom order", IF(CQ$1=INDEX(array, row,1),INDEX(array, row,5),"x"))
,1,))</f>
        <v/>
      </c>
      <c r="CR36" s="390" t="str">
        <f t="array" ref="CR36">LET(
array,SORT({$Y$2:$AB$19,TRANSPOSE($BP36:$CG36)},4,TRUE),
col,CHOOSECOLS(array,5),
row,MATCH(FALSE, ISBLANK(col), 0),
IF(BY36=SWITCH($AA$22,
"minimum cost", MIN($BP36:$CG36),
"maximum cost", MAX($BP36:$CG36), 
"custom order", IF(CR$1=INDEX(array, row,1),INDEX(array, row,5),"x"))
,1,))</f>
        <v/>
      </c>
      <c r="CS36" s="390" t="str">
        <f t="array" ref="CS36">LET(
array,SORT({$Y$2:$AB$19,TRANSPOSE($BP36:$CG36)},4,TRUE),
col,CHOOSECOLS(array,5),
row,MATCH(FALSE, ISBLANK(col), 0),
IF(BZ36=SWITCH($AA$22,
"minimum cost", MIN($BP36:$CG36),
"maximum cost", MAX($BP36:$CG36), 
"custom order", IF(CS$1=INDEX(array, row,1),INDEX(array, row,5),"x"))
,1,))</f>
        <v/>
      </c>
      <c r="CT36" s="390" t="str">
        <f t="array" ref="CT36">LET(
array,SORT({$Y$2:$AB$19,TRANSPOSE($BP36:$CG36)},4,TRUE),
col,CHOOSECOLS(array,5),
row,MATCH(FALSE, ISBLANK(col), 0),
IF(CA36=SWITCH($AA$22,
"minimum cost", MIN($BP36:$CG36),
"maximum cost", MAX($BP36:$CG36), 
"custom order", IF(CT$1=INDEX(array, row,1),INDEX(array, row,5),"x"))
,1,))</f>
        <v/>
      </c>
      <c r="CU36" s="469" t="str">
        <f t="array" ref="CU36">LET(
array,SORT({$Y$2:$AB$19,TRANSPOSE($BP36:$CG36)},4,TRUE),
col,CHOOSECOLS(array,5),
row,MATCH(FALSE, ISBLANK(col), 0),
IF(CB36=SWITCH($AA$22,
"minimum cost", MIN($BP36:$CG36),
"maximum cost", MAX($BP36:$CG36), 
"custom order", IF(CU$1=INDEX(array, row,1),INDEX(array, row,5),"x"))
,1,))</f>
        <v/>
      </c>
      <c r="CV36" s="469" t="str">
        <f t="array" ref="CV36">LET(
array,SORT({$Y$2:$AB$19,TRANSPOSE($BP36:$CG36)},4,TRUE),
col,CHOOSECOLS(array,5),
row,MATCH(FALSE, ISBLANK(col), 0),
IF(CC36=SWITCH($AA$22,
"minimum cost", MIN($BP36:$CG36),
"maximum cost", MAX($BP36:$CG36), 
"custom order", IF(CV$1=INDEX(array, row,1),INDEX(array, row,5),"x"))
,1,))</f>
        <v/>
      </c>
      <c r="CW36" s="469" t="str">
        <f t="array" ref="CW36">LET(
array,SORT({$Y$2:$AB$19,TRANSPOSE($BP36:$CG36)},4,TRUE),
col,CHOOSECOLS(array,5),
row,MATCH(FALSE, ISBLANK(col), 0),
IF(CD36=SWITCH($AA$22,
"minimum cost", MIN($BP36:$CG36),
"maximum cost", MAX($BP36:$CG36), 
"custom order", IF(CW$1=INDEX(array, row,1),INDEX(array, row,5),"x"))
,1,))</f>
        <v/>
      </c>
      <c r="CX36" s="469" t="str">
        <f t="array" ref="CX36">LET(
array,SORT({$Y$2:$AB$19,TRANSPOSE($BP36:$CG36)},4,TRUE),
col,CHOOSECOLS(array,5),
row,MATCH(FALSE, ISBLANK(col), 0),
IF(CE36=SWITCH($AA$22,
"minimum cost", MIN($BP36:$CG36),
"maximum cost", MAX($BP36:$CG36), 
"custom order", IF(CX$1=INDEX(array, row,1),INDEX(array, row,5),"x"))
,1,))</f>
        <v/>
      </c>
      <c r="CY36" s="469" t="str">
        <f t="array" ref="CY36">LET(
array,SORT({$Y$2:$AB$19,TRANSPOSE($BP36:$CG36)},4,TRUE),
col,CHOOSECOLS(array,5),
row,MATCH(FALSE, ISBLANK(col), 0),
IF(CF36=SWITCH($AA$22,
"minimum cost", MIN($BP36:$CG36),
"maximum cost", MAX($BP36:$CG36), 
"custom order", IF(CY$1=INDEX(array, row,1),INDEX(array, row,5),"x"))
,1,))</f>
        <v/>
      </c>
      <c r="CZ36" s="581" t="str">
        <f t="array" ref="CZ36">LET(
array,SORT({$Y$2:$AB$19,TRANSPOSE($BP36:$CG36)},4,TRUE),
col,CHOOSECOLS(array,5),
row,MATCH(FALSE, ISBLANK(col), 0),
IF(CG36=SWITCH($AA$22,
"minimum cost", MIN($BP36:$CG36),
"maximum cost", MAX($BP36:$CG36), 
"custom order", IF(CZ$1=INDEX(array, row,1),INDEX(array, row,5),"x"))
,1,))</f>
        <v/>
      </c>
      <c r="DA36" s="461"/>
      <c r="DB36" s="580" t="str">
        <f t="array" ref="DB36:DS36">IF(MATCH(1, CI36:CZ36, 0)=COLUMN(CI36:CZ36)-COLUMN(CI36)+1, CI36:CZ36, "")</f>
        <v/>
      </c>
      <c r="DC36" s="252" t="s">
        <v>133</v>
      </c>
      <c r="DD36" s="252" t="s">
        <v>133</v>
      </c>
      <c r="DE36" s="252" t="s">
        <v>133</v>
      </c>
      <c r="DF36" s="252" t="s">
        <v>133</v>
      </c>
      <c r="DG36" s="252" t="s">
        <v>133</v>
      </c>
      <c r="DH36" s="390" t="s">
        <v>133</v>
      </c>
      <c r="DI36" s="390">
        <v>1.0</v>
      </c>
      <c r="DJ36" s="390" t="s">
        <v>133</v>
      </c>
      <c r="DK36" s="390" t="s">
        <v>133</v>
      </c>
      <c r="DL36" s="390" t="s">
        <v>133</v>
      </c>
      <c r="DM36" s="390" t="s">
        <v>133</v>
      </c>
      <c r="DN36" s="469" t="s">
        <v>133</v>
      </c>
      <c r="DO36" s="469" t="s">
        <v>133</v>
      </c>
      <c r="DP36" s="469" t="s">
        <v>133</v>
      </c>
      <c r="DQ36" s="469" t="s">
        <v>133</v>
      </c>
      <c r="DR36" s="469" t="s">
        <v>133</v>
      </c>
      <c r="DS36" s="581" t="s">
        <v>133</v>
      </c>
      <c r="DT36" s="563"/>
    </row>
    <row r="37">
      <c r="A37" s="563"/>
      <c r="B37" s="717"/>
      <c r="C37" s="718"/>
      <c r="D37" s="718"/>
      <c r="E37" s="718"/>
      <c r="F37" s="718"/>
      <c r="G37" s="718"/>
      <c r="H37" s="718"/>
      <c r="I37" s="718"/>
      <c r="J37" s="718"/>
      <c r="K37" s="718"/>
      <c r="L37" s="718"/>
      <c r="M37" s="461"/>
      <c r="N37" s="10"/>
      <c r="O37" s="10"/>
      <c r="P37" s="10"/>
      <c r="Q37" s="570" t="str">
        <f>IFERROR(__xludf.DUMMYFUNCTION("IF(SUM(DB37:DS37),ARRAYFORMULA(FILTER(DB$1:DS$1, DB37:DS37=1)),)"),"Health Regen")</f>
        <v>Health Regen</v>
      </c>
      <c r="R37" s="571">
        <f>IFERROR(__xludf.DUMMYFUNCTION("IF(SUM(DB37:DS37),ARRAYFORMULA(FILTER(AW37:BN37, DB37:DS37=1))+1,)"),74.0)</f>
        <v>74</v>
      </c>
      <c r="S37" s="572">
        <f>IFERROR(__xludf.DUMMYFUNCTION("IF(SUM(DB37:DS37),ARRAYFORMULA(FILTER(AD37:AU37, DB37:DS37=1)),)"),3.2925E14)</f>
        <v>329250000000000</v>
      </c>
      <c r="T37" s="572">
        <f t="shared" si="26"/>
        <v>1.06151E+16</v>
      </c>
      <c r="U37" s="573" t="str">
        <f t="shared" ref="U37:V37" si="127">FORMAT_NUMBER(S37)</f>
        <v>329.25 T</v>
      </c>
      <c r="V37" s="574" t="str">
        <f t="shared" si="127"/>
        <v>10.62 q</v>
      </c>
      <c r="W37" s="677"/>
      <c r="X37" s="709"/>
      <c r="Y37" s="709"/>
      <c r="Z37" s="709"/>
      <c r="AA37" s="709"/>
      <c r="AB37" s="712"/>
      <c r="AC37" s="461"/>
      <c r="AD37" s="580">
        <f t="shared" ref="AD37:AU37" si="128">IFERROR(WSPCOST_SINGLE_ADJUSTED(AD$1,1+AW37),)</f>
        <v>37110000000000</v>
      </c>
      <c r="AE37" s="252">
        <f t="shared" si="128"/>
        <v>82420000000</v>
      </c>
      <c r="AF37" s="252">
        <f t="shared" si="128"/>
        <v>69650000000000</v>
      </c>
      <c r="AG37" s="252">
        <f t="shared" si="128"/>
        <v>21210000000</v>
      </c>
      <c r="AH37" s="252">
        <f t="shared" si="128"/>
        <v>43890000000000</v>
      </c>
      <c r="AI37" s="252">
        <f t="shared" si="128"/>
        <v>47710000000000</v>
      </c>
      <c r="AJ37" s="390">
        <f t="shared" si="128"/>
        <v>92140000000000</v>
      </c>
      <c r="AK37" s="390">
        <f t="shared" si="128"/>
        <v>329250000000000</v>
      </c>
      <c r="AL37" s="390">
        <f t="shared" si="128"/>
        <v>5000000000</v>
      </c>
      <c r="AM37" s="390">
        <f t="shared" si="128"/>
        <v>33950000000</v>
      </c>
      <c r="AN37" s="390">
        <f t="shared" si="128"/>
        <v>60080000000000</v>
      </c>
      <c r="AO37" s="390">
        <f t="shared" si="128"/>
        <v>22020000000000</v>
      </c>
      <c r="AP37" s="469">
        <f t="shared" si="128"/>
        <v>5240000000000</v>
      </c>
      <c r="AQ37" s="469">
        <f t="shared" si="128"/>
        <v>1.3E+15</v>
      </c>
      <c r="AR37" s="469">
        <f t="shared" si="128"/>
        <v>1.3E+15</v>
      </c>
      <c r="AS37" s="469">
        <f t="shared" si="128"/>
        <v>420490000000000</v>
      </c>
      <c r="AT37" s="469">
        <f t="shared" si="128"/>
        <v>3990000000000</v>
      </c>
      <c r="AU37" s="581">
        <f t="shared" si="128"/>
        <v>1.14E+15</v>
      </c>
      <c r="AV37" s="461"/>
      <c r="AW37" s="580">
        <f t="shared" ref="AW37:BN37" si="129">AW36+DB36</f>
        <v>56</v>
      </c>
      <c r="AX37" s="252">
        <f t="shared" si="129"/>
        <v>21</v>
      </c>
      <c r="AY37" s="252">
        <f t="shared" si="129"/>
        <v>60</v>
      </c>
      <c r="AZ37" s="252">
        <f t="shared" si="129"/>
        <v>17</v>
      </c>
      <c r="BA37" s="252">
        <f t="shared" si="129"/>
        <v>57</v>
      </c>
      <c r="BB37" s="252">
        <f t="shared" si="129"/>
        <v>13</v>
      </c>
      <c r="BC37" s="390">
        <f t="shared" si="129"/>
        <v>62</v>
      </c>
      <c r="BD37" s="390">
        <f t="shared" si="129"/>
        <v>73</v>
      </c>
      <c r="BE37" s="390">
        <f t="shared" si="129"/>
        <v>0</v>
      </c>
      <c r="BF37" s="390">
        <f t="shared" si="129"/>
        <v>18</v>
      </c>
      <c r="BG37" s="390">
        <f t="shared" si="129"/>
        <v>59</v>
      </c>
      <c r="BH37" s="390">
        <f t="shared" si="129"/>
        <v>20</v>
      </c>
      <c r="BI37" s="469">
        <f t="shared" si="129"/>
        <v>44</v>
      </c>
      <c r="BJ37" s="469">
        <f t="shared" si="129"/>
        <v>37</v>
      </c>
      <c r="BK37" s="469">
        <f t="shared" si="129"/>
        <v>37</v>
      </c>
      <c r="BL37" s="469">
        <f t="shared" si="129"/>
        <v>18</v>
      </c>
      <c r="BM37" s="469">
        <f t="shared" si="129"/>
        <v>42</v>
      </c>
      <c r="BN37" s="581">
        <f t="shared" si="129"/>
        <v>15</v>
      </c>
      <c r="BO37" s="461"/>
      <c r="BP37" s="580">
        <f t="shared" si="8"/>
        <v>37110000000000</v>
      </c>
      <c r="BQ37" s="252" t="str">
        <f t="shared" si="9"/>
        <v/>
      </c>
      <c r="BR37" s="252">
        <f t="shared" si="10"/>
        <v>69650000000000</v>
      </c>
      <c r="BS37" s="252" t="str">
        <f t="shared" si="11"/>
        <v/>
      </c>
      <c r="BT37" s="252" t="str">
        <f t="shared" si="12"/>
        <v/>
      </c>
      <c r="BU37" s="252">
        <f t="shared" si="13"/>
        <v>47710000000000</v>
      </c>
      <c r="BV37" s="390">
        <f t="shared" si="14"/>
        <v>92140000000000</v>
      </c>
      <c r="BW37" s="390">
        <f t="shared" si="15"/>
        <v>329250000000000</v>
      </c>
      <c r="BX37" s="390" t="str">
        <f t="shared" si="16"/>
        <v/>
      </c>
      <c r="BY37" s="390" t="str">
        <f t="shared" si="17"/>
        <v/>
      </c>
      <c r="BZ37" s="390">
        <f t="shared" si="18"/>
        <v>60080000000000</v>
      </c>
      <c r="CA37" s="390">
        <f t="shared" si="19"/>
        <v>22020000000000</v>
      </c>
      <c r="CB37" s="469">
        <f t="shared" si="20"/>
        <v>5240000000000</v>
      </c>
      <c r="CC37" s="469" t="str">
        <f t="shared" si="21"/>
        <v/>
      </c>
      <c r="CD37" s="469" t="str">
        <f t="shared" si="22"/>
        <v/>
      </c>
      <c r="CE37" s="469" t="str">
        <f t="shared" si="23"/>
        <v/>
      </c>
      <c r="CF37" s="469" t="str">
        <f t="shared" si="24"/>
        <v/>
      </c>
      <c r="CG37" s="581" t="str">
        <f t="shared" si="25"/>
        <v/>
      </c>
      <c r="CH37" s="461"/>
      <c r="CI37" s="580" t="str">
        <f t="array" ref="CI37">LET(
array,SORT({$Y$2:$AB$19,TRANSPOSE($BP37:$CG37)},4,TRUE),
col,CHOOSECOLS(array,5),
row,MATCH(FALSE, ISBLANK(col), 0),
IF(BP37=SWITCH($AA$22,
"minimum cost", MIN($BP37:$CG37),
"maximum cost", MAX($BP37:$CG37), 
"custom order", IF(CI$1=INDEX(array, row,1),INDEX(array, row,5),"x"))
,1,))</f>
        <v/>
      </c>
      <c r="CJ37" s="252" t="str">
        <f t="array" ref="CJ37">LET(
array,SORT({$Y$2:$AB$19,TRANSPOSE($BP37:$CG37)},4,TRUE),
col,CHOOSECOLS(array,5),
row,MATCH(FALSE, ISBLANK(col), 0),
IF(BQ37=SWITCH($AA$22,
"minimum cost", MIN($BP37:$CG37),
"maximum cost", MAX($BP37:$CG37), 
"custom order", IF(CJ$1=INDEX(array, row,1),INDEX(array, row,5),"x"))
,1,))</f>
        <v/>
      </c>
      <c r="CK37" s="252" t="str">
        <f t="array" ref="CK37">LET(
array,SORT({$Y$2:$AB$19,TRANSPOSE($BP37:$CG37)},4,TRUE),
col,CHOOSECOLS(array,5),
row,MATCH(FALSE, ISBLANK(col), 0),
IF(BR37=SWITCH($AA$22,
"minimum cost", MIN($BP37:$CG37),
"maximum cost", MAX($BP37:$CG37), 
"custom order", IF(CK$1=INDEX(array, row,1),INDEX(array, row,5),"x"))
,1,))</f>
        <v/>
      </c>
      <c r="CL37" s="252" t="str">
        <f t="array" ref="CL37">LET(
array,SORT({$Y$2:$AB$19,TRANSPOSE($BP37:$CG37)},4,TRUE),
col,CHOOSECOLS(array,5),
row,MATCH(FALSE, ISBLANK(col), 0),
IF(BS37=SWITCH($AA$22,
"minimum cost", MIN($BP37:$CG37),
"maximum cost", MAX($BP37:$CG37), 
"custom order", IF(CL$1=INDEX(array, row,1),INDEX(array, row,5),"x"))
,1,))</f>
        <v/>
      </c>
      <c r="CM37" s="252" t="str">
        <f t="array" ref="CM37">LET(
array,SORT({$Y$2:$AB$19,TRANSPOSE($BP37:$CG37)},4,TRUE),
col,CHOOSECOLS(array,5),
row,MATCH(FALSE, ISBLANK(col), 0),
IF(BT37=SWITCH($AA$22,
"minimum cost", MIN($BP37:$CG37),
"maximum cost", MAX($BP37:$CG37), 
"custom order", IF(CM$1=INDEX(array, row,1),INDEX(array, row,5),"x"))
,1,))</f>
        <v/>
      </c>
      <c r="CN37" s="252" t="str">
        <f t="array" ref="CN37">LET(
array,SORT({$Y$2:$AB$19,TRANSPOSE($BP37:$CG37)},4,TRUE),
col,CHOOSECOLS(array,5),
row,MATCH(FALSE, ISBLANK(col), 0),
IF(BU37=SWITCH($AA$22,
"minimum cost", MIN($BP37:$CG37),
"maximum cost", MAX($BP37:$CG37), 
"custom order", IF(CN$1=INDEX(array, row,1),INDEX(array, row,5),"x"))
,1,))</f>
        <v/>
      </c>
      <c r="CO37" s="390" t="str">
        <f t="array" ref="CO37">LET(
array,SORT({$Y$2:$AB$19,TRANSPOSE($BP37:$CG37)},4,TRUE),
col,CHOOSECOLS(array,5),
row,MATCH(FALSE, ISBLANK(col), 0),
IF(BV37=SWITCH($AA$22,
"minimum cost", MIN($BP37:$CG37),
"maximum cost", MAX($BP37:$CG37), 
"custom order", IF(CO$1=INDEX(array, row,1),INDEX(array, row,5),"x"))
,1,))</f>
        <v/>
      </c>
      <c r="CP37" s="390">
        <f t="array" ref="CP37">LET(
array,SORT({$Y$2:$AB$19,TRANSPOSE($BP37:$CG37)},4,TRUE),
col,CHOOSECOLS(array,5),
row,MATCH(FALSE, ISBLANK(col), 0),
IF(BW37=SWITCH($AA$22,
"minimum cost", MIN($BP37:$CG37),
"maximum cost", MAX($BP37:$CG37), 
"custom order", IF(CP$1=INDEX(array, row,1),INDEX(array, row,5),"x"))
,1,))</f>
        <v>1</v>
      </c>
      <c r="CQ37" s="390" t="str">
        <f t="array" ref="CQ37">LET(
array,SORT({$Y$2:$AB$19,TRANSPOSE($BP37:$CG37)},4,TRUE),
col,CHOOSECOLS(array,5),
row,MATCH(FALSE, ISBLANK(col), 0),
IF(BX37=SWITCH($AA$22,
"minimum cost", MIN($BP37:$CG37),
"maximum cost", MAX($BP37:$CG37), 
"custom order", IF(CQ$1=INDEX(array, row,1),INDEX(array, row,5),"x"))
,1,))</f>
        <v/>
      </c>
      <c r="CR37" s="390" t="str">
        <f t="array" ref="CR37">LET(
array,SORT({$Y$2:$AB$19,TRANSPOSE($BP37:$CG37)},4,TRUE),
col,CHOOSECOLS(array,5),
row,MATCH(FALSE, ISBLANK(col), 0),
IF(BY37=SWITCH($AA$22,
"minimum cost", MIN($BP37:$CG37),
"maximum cost", MAX($BP37:$CG37), 
"custom order", IF(CR$1=INDEX(array, row,1),INDEX(array, row,5),"x"))
,1,))</f>
        <v/>
      </c>
      <c r="CS37" s="390" t="str">
        <f t="array" ref="CS37">LET(
array,SORT({$Y$2:$AB$19,TRANSPOSE($BP37:$CG37)},4,TRUE),
col,CHOOSECOLS(array,5),
row,MATCH(FALSE, ISBLANK(col), 0),
IF(BZ37=SWITCH($AA$22,
"minimum cost", MIN($BP37:$CG37),
"maximum cost", MAX($BP37:$CG37), 
"custom order", IF(CS$1=INDEX(array, row,1),INDEX(array, row,5),"x"))
,1,))</f>
        <v/>
      </c>
      <c r="CT37" s="390" t="str">
        <f t="array" ref="CT37">LET(
array,SORT({$Y$2:$AB$19,TRANSPOSE($BP37:$CG37)},4,TRUE),
col,CHOOSECOLS(array,5),
row,MATCH(FALSE, ISBLANK(col), 0),
IF(CA37=SWITCH($AA$22,
"minimum cost", MIN($BP37:$CG37),
"maximum cost", MAX($BP37:$CG37), 
"custom order", IF(CT$1=INDEX(array, row,1),INDEX(array, row,5),"x"))
,1,))</f>
        <v/>
      </c>
      <c r="CU37" s="469" t="str">
        <f t="array" ref="CU37">LET(
array,SORT({$Y$2:$AB$19,TRANSPOSE($BP37:$CG37)},4,TRUE),
col,CHOOSECOLS(array,5),
row,MATCH(FALSE, ISBLANK(col), 0),
IF(CB37=SWITCH($AA$22,
"minimum cost", MIN($BP37:$CG37),
"maximum cost", MAX($BP37:$CG37), 
"custom order", IF(CU$1=INDEX(array, row,1),INDEX(array, row,5),"x"))
,1,))</f>
        <v/>
      </c>
      <c r="CV37" s="469" t="str">
        <f t="array" ref="CV37">LET(
array,SORT({$Y$2:$AB$19,TRANSPOSE($BP37:$CG37)},4,TRUE),
col,CHOOSECOLS(array,5),
row,MATCH(FALSE, ISBLANK(col), 0),
IF(CC37=SWITCH($AA$22,
"minimum cost", MIN($BP37:$CG37),
"maximum cost", MAX($BP37:$CG37), 
"custom order", IF(CV$1=INDEX(array, row,1),INDEX(array, row,5),"x"))
,1,))</f>
        <v/>
      </c>
      <c r="CW37" s="469" t="str">
        <f t="array" ref="CW37">LET(
array,SORT({$Y$2:$AB$19,TRANSPOSE($BP37:$CG37)},4,TRUE),
col,CHOOSECOLS(array,5),
row,MATCH(FALSE, ISBLANK(col), 0),
IF(CD37=SWITCH($AA$22,
"minimum cost", MIN($BP37:$CG37),
"maximum cost", MAX($BP37:$CG37), 
"custom order", IF(CW$1=INDEX(array, row,1),INDEX(array, row,5),"x"))
,1,))</f>
        <v/>
      </c>
      <c r="CX37" s="469" t="str">
        <f t="array" ref="CX37">LET(
array,SORT({$Y$2:$AB$19,TRANSPOSE($BP37:$CG37)},4,TRUE),
col,CHOOSECOLS(array,5),
row,MATCH(FALSE, ISBLANK(col), 0),
IF(CE37=SWITCH($AA$22,
"minimum cost", MIN($BP37:$CG37),
"maximum cost", MAX($BP37:$CG37), 
"custom order", IF(CX$1=INDEX(array, row,1),INDEX(array, row,5),"x"))
,1,))</f>
        <v/>
      </c>
      <c r="CY37" s="469" t="str">
        <f t="array" ref="CY37">LET(
array,SORT({$Y$2:$AB$19,TRANSPOSE($BP37:$CG37)},4,TRUE),
col,CHOOSECOLS(array,5),
row,MATCH(FALSE, ISBLANK(col), 0),
IF(CF37=SWITCH($AA$22,
"minimum cost", MIN($BP37:$CG37),
"maximum cost", MAX($BP37:$CG37), 
"custom order", IF(CY$1=INDEX(array, row,1),INDEX(array, row,5),"x"))
,1,))</f>
        <v/>
      </c>
      <c r="CZ37" s="581" t="str">
        <f t="array" ref="CZ37">LET(
array,SORT({$Y$2:$AB$19,TRANSPOSE($BP37:$CG37)},4,TRUE),
col,CHOOSECOLS(array,5),
row,MATCH(FALSE, ISBLANK(col), 0),
IF(CG37=SWITCH($AA$22,
"minimum cost", MIN($BP37:$CG37),
"maximum cost", MAX($BP37:$CG37), 
"custom order", IF(CZ$1=INDEX(array, row,1),INDEX(array, row,5),"x"))
,1,))</f>
        <v/>
      </c>
      <c r="DA37" s="461"/>
      <c r="DB37" s="580" t="str">
        <f t="array" ref="DB37:DS37">IF(MATCH(1, CI37:CZ37, 0)=COLUMN(CI37:CZ37)-COLUMN(CI37)+1, CI37:CZ37, "")</f>
        <v/>
      </c>
      <c r="DC37" s="252" t="s">
        <v>133</v>
      </c>
      <c r="DD37" s="252" t="s">
        <v>133</v>
      </c>
      <c r="DE37" s="252" t="s">
        <v>133</v>
      </c>
      <c r="DF37" s="252" t="s">
        <v>133</v>
      </c>
      <c r="DG37" s="252" t="s">
        <v>133</v>
      </c>
      <c r="DH37" s="390" t="s">
        <v>133</v>
      </c>
      <c r="DI37" s="390">
        <v>1.0</v>
      </c>
      <c r="DJ37" s="390" t="s">
        <v>133</v>
      </c>
      <c r="DK37" s="390" t="s">
        <v>133</v>
      </c>
      <c r="DL37" s="390" t="s">
        <v>133</v>
      </c>
      <c r="DM37" s="390" t="s">
        <v>133</v>
      </c>
      <c r="DN37" s="469" t="s">
        <v>133</v>
      </c>
      <c r="DO37" s="469" t="s">
        <v>133</v>
      </c>
      <c r="DP37" s="469" t="s">
        <v>133</v>
      </c>
      <c r="DQ37" s="469" t="s">
        <v>133</v>
      </c>
      <c r="DR37" s="469" t="s">
        <v>133</v>
      </c>
      <c r="DS37" s="581" t="s">
        <v>133</v>
      </c>
      <c r="DT37" s="563"/>
    </row>
    <row r="38">
      <c r="A38" s="563"/>
      <c r="B38" s="713"/>
      <c r="C38" s="713"/>
      <c r="D38" s="713"/>
      <c r="E38" s="315"/>
      <c r="F38" s="713"/>
      <c r="G38" s="315"/>
      <c r="H38" s="713"/>
      <c r="I38" s="315"/>
      <c r="J38" s="713"/>
      <c r="K38" s="315"/>
      <c r="L38" s="713"/>
      <c r="M38" s="461"/>
      <c r="N38" s="10"/>
      <c r="O38" s="10"/>
      <c r="P38" s="10"/>
      <c r="Q38" s="570" t="str">
        <f>IFERROR(__xludf.DUMMYFUNCTION("IF(SUM(DB38:DS38),ARRAYFORMULA(FILTER(DB$1:DS$1, DB38:DS38=1)),)"),"Health Regen")</f>
        <v>Health Regen</v>
      </c>
      <c r="R38" s="571">
        <f>IFERROR(__xludf.DUMMYFUNCTION("IF(SUM(DB38:DS38),ARRAYFORMULA(FILTER(AW38:BN38, DB38:DS38=1))+1,)"),75.0)</f>
        <v>75</v>
      </c>
      <c r="S38" s="572">
        <f>IFERROR(__xludf.DUMMYFUNCTION("IF(SUM(DB38:DS38),ARRAYFORMULA(FILTER(AD38:AU38, DB38:DS38=1)),)"),3.6367E14)</f>
        <v>363670000000000</v>
      </c>
      <c r="T38" s="572">
        <f t="shared" si="26"/>
        <v>1.09788E+16</v>
      </c>
      <c r="U38" s="573" t="str">
        <f t="shared" ref="U38:V38" si="130">FORMAT_NUMBER(S38)</f>
        <v>363.67 T</v>
      </c>
      <c r="V38" s="574" t="str">
        <f t="shared" si="130"/>
        <v>10.98 q</v>
      </c>
      <c r="W38" s="677"/>
      <c r="X38" s="709"/>
      <c r="Y38" s="709"/>
      <c r="Z38" s="709"/>
      <c r="AA38" s="709"/>
      <c r="AB38" s="712"/>
      <c r="AC38" s="461"/>
      <c r="AD38" s="580">
        <f t="shared" ref="AD38:AU38" si="131">IFERROR(WSPCOST_SINGLE_ADJUSTED(AD$1,1+AW38),)</f>
        <v>37110000000000</v>
      </c>
      <c r="AE38" s="252">
        <f t="shared" si="131"/>
        <v>82420000000</v>
      </c>
      <c r="AF38" s="252">
        <f t="shared" si="131"/>
        <v>69650000000000</v>
      </c>
      <c r="AG38" s="252">
        <f t="shared" si="131"/>
        <v>21210000000</v>
      </c>
      <c r="AH38" s="252">
        <f t="shared" si="131"/>
        <v>43890000000000</v>
      </c>
      <c r="AI38" s="252">
        <f t="shared" si="131"/>
        <v>47710000000000</v>
      </c>
      <c r="AJ38" s="390">
        <f t="shared" si="131"/>
        <v>92140000000000</v>
      </c>
      <c r="AK38" s="390">
        <f t="shared" si="131"/>
        <v>363670000000000</v>
      </c>
      <c r="AL38" s="390">
        <f t="shared" si="131"/>
        <v>5000000000</v>
      </c>
      <c r="AM38" s="390">
        <f t="shared" si="131"/>
        <v>33950000000</v>
      </c>
      <c r="AN38" s="390">
        <f t="shared" si="131"/>
        <v>60080000000000</v>
      </c>
      <c r="AO38" s="390">
        <f t="shared" si="131"/>
        <v>22020000000000</v>
      </c>
      <c r="AP38" s="469">
        <f t="shared" si="131"/>
        <v>5240000000000</v>
      </c>
      <c r="AQ38" s="469">
        <f t="shared" si="131"/>
        <v>1.3E+15</v>
      </c>
      <c r="AR38" s="469">
        <f t="shared" si="131"/>
        <v>1.3E+15</v>
      </c>
      <c r="AS38" s="469">
        <f t="shared" si="131"/>
        <v>420490000000000</v>
      </c>
      <c r="AT38" s="469">
        <f t="shared" si="131"/>
        <v>3990000000000</v>
      </c>
      <c r="AU38" s="581">
        <f t="shared" si="131"/>
        <v>1.14E+15</v>
      </c>
      <c r="AV38" s="461"/>
      <c r="AW38" s="580">
        <f t="shared" ref="AW38:BN38" si="132">AW37+DB37</f>
        <v>56</v>
      </c>
      <c r="AX38" s="252">
        <f t="shared" si="132"/>
        <v>21</v>
      </c>
      <c r="AY38" s="252">
        <f t="shared" si="132"/>
        <v>60</v>
      </c>
      <c r="AZ38" s="252">
        <f t="shared" si="132"/>
        <v>17</v>
      </c>
      <c r="BA38" s="252">
        <f t="shared" si="132"/>
        <v>57</v>
      </c>
      <c r="BB38" s="252">
        <f t="shared" si="132"/>
        <v>13</v>
      </c>
      <c r="BC38" s="390">
        <f t="shared" si="132"/>
        <v>62</v>
      </c>
      <c r="BD38" s="390">
        <f t="shared" si="132"/>
        <v>74</v>
      </c>
      <c r="BE38" s="390">
        <f t="shared" si="132"/>
        <v>0</v>
      </c>
      <c r="BF38" s="390">
        <f t="shared" si="132"/>
        <v>18</v>
      </c>
      <c r="BG38" s="390">
        <f t="shared" si="132"/>
        <v>59</v>
      </c>
      <c r="BH38" s="390">
        <f t="shared" si="132"/>
        <v>20</v>
      </c>
      <c r="BI38" s="469">
        <f t="shared" si="132"/>
        <v>44</v>
      </c>
      <c r="BJ38" s="469">
        <f t="shared" si="132"/>
        <v>37</v>
      </c>
      <c r="BK38" s="469">
        <f t="shared" si="132"/>
        <v>37</v>
      </c>
      <c r="BL38" s="469">
        <f t="shared" si="132"/>
        <v>18</v>
      </c>
      <c r="BM38" s="469">
        <f t="shared" si="132"/>
        <v>42</v>
      </c>
      <c r="BN38" s="581">
        <f t="shared" si="132"/>
        <v>15</v>
      </c>
      <c r="BO38" s="461"/>
      <c r="BP38" s="580">
        <f t="shared" si="8"/>
        <v>37110000000000</v>
      </c>
      <c r="BQ38" s="252" t="str">
        <f t="shared" si="9"/>
        <v/>
      </c>
      <c r="BR38" s="252">
        <f t="shared" si="10"/>
        <v>69650000000000</v>
      </c>
      <c r="BS38" s="252" t="str">
        <f t="shared" si="11"/>
        <v/>
      </c>
      <c r="BT38" s="252" t="str">
        <f t="shared" si="12"/>
        <v/>
      </c>
      <c r="BU38" s="252">
        <f t="shared" si="13"/>
        <v>47710000000000</v>
      </c>
      <c r="BV38" s="390">
        <f t="shared" si="14"/>
        <v>92140000000000</v>
      </c>
      <c r="BW38" s="390">
        <f t="shared" si="15"/>
        <v>363670000000000</v>
      </c>
      <c r="BX38" s="390" t="str">
        <f t="shared" si="16"/>
        <v/>
      </c>
      <c r="BY38" s="390" t="str">
        <f t="shared" si="17"/>
        <v/>
      </c>
      <c r="BZ38" s="390">
        <f t="shared" si="18"/>
        <v>60080000000000</v>
      </c>
      <c r="CA38" s="390">
        <f t="shared" si="19"/>
        <v>22020000000000</v>
      </c>
      <c r="CB38" s="469">
        <f t="shared" si="20"/>
        <v>5240000000000</v>
      </c>
      <c r="CC38" s="469" t="str">
        <f t="shared" si="21"/>
        <v/>
      </c>
      <c r="CD38" s="469" t="str">
        <f t="shared" si="22"/>
        <v/>
      </c>
      <c r="CE38" s="469" t="str">
        <f t="shared" si="23"/>
        <v/>
      </c>
      <c r="CF38" s="469" t="str">
        <f t="shared" si="24"/>
        <v/>
      </c>
      <c r="CG38" s="581" t="str">
        <f t="shared" si="25"/>
        <v/>
      </c>
      <c r="CH38" s="461"/>
      <c r="CI38" s="580" t="str">
        <f t="array" ref="CI38">LET(
array,SORT({$Y$2:$AB$19,TRANSPOSE($BP38:$CG38)},4,TRUE),
col,CHOOSECOLS(array,5),
row,MATCH(FALSE, ISBLANK(col), 0),
IF(BP38=SWITCH($AA$22,
"minimum cost", MIN($BP38:$CG38),
"maximum cost", MAX($BP38:$CG38), 
"custom order", IF(CI$1=INDEX(array, row,1),INDEX(array, row,5),"x"))
,1,))</f>
        <v/>
      </c>
      <c r="CJ38" s="252" t="str">
        <f t="array" ref="CJ38">LET(
array,SORT({$Y$2:$AB$19,TRANSPOSE($BP38:$CG38)},4,TRUE),
col,CHOOSECOLS(array,5),
row,MATCH(FALSE, ISBLANK(col), 0),
IF(BQ38=SWITCH($AA$22,
"minimum cost", MIN($BP38:$CG38),
"maximum cost", MAX($BP38:$CG38), 
"custom order", IF(CJ$1=INDEX(array, row,1),INDEX(array, row,5),"x"))
,1,))</f>
        <v/>
      </c>
      <c r="CK38" s="252" t="str">
        <f t="array" ref="CK38">LET(
array,SORT({$Y$2:$AB$19,TRANSPOSE($BP38:$CG38)},4,TRUE),
col,CHOOSECOLS(array,5),
row,MATCH(FALSE, ISBLANK(col), 0),
IF(BR38=SWITCH($AA$22,
"minimum cost", MIN($BP38:$CG38),
"maximum cost", MAX($BP38:$CG38), 
"custom order", IF(CK$1=INDEX(array, row,1),INDEX(array, row,5),"x"))
,1,))</f>
        <v/>
      </c>
      <c r="CL38" s="252" t="str">
        <f t="array" ref="CL38">LET(
array,SORT({$Y$2:$AB$19,TRANSPOSE($BP38:$CG38)},4,TRUE),
col,CHOOSECOLS(array,5),
row,MATCH(FALSE, ISBLANK(col), 0),
IF(BS38=SWITCH($AA$22,
"minimum cost", MIN($BP38:$CG38),
"maximum cost", MAX($BP38:$CG38), 
"custom order", IF(CL$1=INDEX(array, row,1),INDEX(array, row,5),"x"))
,1,))</f>
        <v/>
      </c>
      <c r="CM38" s="252" t="str">
        <f t="array" ref="CM38">LET(
array,SORT({$Y$2:$AB$19,TRANSPOSE($BP38:$CG38)},4,TRUE),
col,CHOOSECOLS(array,5),
row,MATCH(FALSE, ISBLANK(col), 0),
IF(BT38=SWITCH($AA$22,
"minimum cost", MIN($BP38:$CG38),
"maximum cost", MAX($BP38:$CG38), 
"custom order", IF(CM$1=INDEX(array, row,1),INDEX(array, row,5),"x"))
,1,))</f>
        <v/>
      </c>
      <c r="CN38" s="252" t="str">
        <f t="array" ref="CN38">LET(
array,SORT({$Y$2:$AB$19,TRANSPOSE($BP38:$CG38)},4,TRUE),
col,CHOOSECOLS(array,5),
row,MATCH(FALSE, ISBLANK(col), 0),
IF(BU38=SWITCH($AA$22,
"minimum cost", MIN($BP38:$CG38),
"maximum cost", MAX($BP38:$CG38), 
"custom order", IF(CN$1=INDEX(array, row,1),INDEX(array, row,5),"x"))
,1,))</f>
        <v/>
      </c>
      <c r="CO38" s="390" t="str">
        <f t="array" ref="CO38">LET(
array,SORT({$Y$2:$AB$19,TRANSPOSE($BP38:$CG38)},4,TRUE),
col,CHOOSECOLS(array,5),
row,MATCH(FALSE, ISBLANK(col), 0),
IF(BV38=SWITCH($AA$22,
"minimum cost", MIN($BP38:$CG38),
"maximum cost", MAX($BP38:$CG38), 
"custom order", IF(CO$1=INDEX(array, row,1),INDEX(array, row,5),"x"))
,1,))</f>
        <v/>
      </c>
      <c r="CP38" s="390">
        <f t="array" ref="CP38">LET(
array,SORT({$Y$2:$AB$19,TRANSPOSE($BP38:$CG38)},4,TRUE),
col,CHOOSECOLS(array,5),
row,MATCH(FALSE, ISBLANK(col), 0),
IF(BW38=SWITCH($AA$22,
"minimum cost", MIN($BP38:$CG38),
"maximum cost", MAX($BP38:$CG38), 
"custom order", IF(CP$1=INDEX(array, row,1),INDEX(array, row,5),"x"))
,1,))</f>
        <v>1</v>
      </c>
      <c r="CQ38" s="390" t="str">
        <f t="array" ref="CQ38">LET(
array,SORT({$Y$2:$AB$19,TRANSPOSE($BP38:$CG38)},4,TRUE),
col,CHOOSECOLS(array,5),
row,MATCH(FALSE, ISBLANK(col), 0),
IF(BX38=SWITCH($AA$22,
"minimum cost", MIN($BP38:$CG38),
"maximum cost", MAX($BP38:$CG38), 
"custom order", IF(CQ$1=INDEX(array, row,1),INDEX(array, row,5),"x"))
,1,))</f>
        <v/>
      </c>
      <c r="CR38" s="390" t="str">
        <f t="array" ref="CR38">LET(
array,SORT({$Y$2:$AB$19,TRANSPOSE($BP38:$CG38)},4,TRUE),
col,CHOOSECOLS(array,5),
row,MATCH(FALSE, ISBLANK(col), 0),
IF(BY38=SWITCH($AA$22,
"minimum cost", MIN($BP38:$CG38),
"maximum cost", MAX($BP38:$CG38), 
"custom order", IF(CR$1=INDEX(array, row,1),INDEX(array, row,5),"x"))
,1,))</f>
        <v/>
      </c>
      <c r="CS38" s="390" t="str">
        <f t="array" ref="CS38">LET(
array,SORT({$Y$2:$AB$19,TRANSPOSE($BP38:$CG38)},4,TRUE),
col,CHOOSECOLS(array,5),
row,MATCH(FALSE, ISBLANK(col), 0),
IF(BZ38=SWITCH($AA$22,
"minimum cost", MIN($BP38:$CG38),
"maximum cost", MAX($BP38:$CG38), 
"custom order", IF(CS$1=INDEX(array, row,1),INDEX(array, row,5),"x"))
,1,))</f>
        <v/>
      </c>
      <c r="CT38" s="390" t="str">
        <f t="array" ref="CT38">LET(
array,SORT({$Y$2:$AB$19,TRANSPOSE($BP38:$CG38)},4,TRUE),
col,CHOOSECOLS(array,5),
row,MATCH(FALSE, ISBLANK(col), 0),
IF(CA38=SWITCH($AA$22,
"minimum cost", MIN($BP38:$CG38),
"maximum cost", MAX($BP38:$CG38), 
"custom order", IF(CT$1=INDEX(array, row,1),INDEX(array, row,5),"x"))
,1,))</f>
        <v/>
      </c>
      <c r="CU38" s="469" t="str">
        <f t="array" ref="CU38">LET(
array,SORT({$Y$2:$AB$19,TRANSPOSE($BP38:$CG38)},4,TRUE),
col,CHOOSECOLS(array,5),
row,MATCH(FALSE, ISBLANK(col), 0),
IF(CB38=SWITCH($AA$22,
"minimum cost", MIN($BP38:$CG38),
"maximum cost", MAX($BP38:$CG38), 
"custom order", IF(CU$1=INDEX(array, row,1),INDEX(array, row,5),"x"))
,1,))</f>
        <v/>
      </c>
      <c r="CV38" s="469" t="str">
        <f t="array" ref="CV38">LET(
array,SORT({$Y$2:$AB$19,TRANSPOSE($BP38:$CG38)},4,TRUE),
col,CHOOSECOLS(array,5),
row,MATCH(FALSE, ISBLANK(col), 0),
IF(CC38=SWITCH($AA$22,
"minimum cost", MIN($BP38:$CG38),
"maximum cost", MAX($BP38:$CG38), 
"custom order", IF(CV$1=INDEX(array, row,1),INDEX(array, row,5),"x"))
,1,))</f>
        <v/>
      </c>
      <c r="CW38" s="469" t="str">
        <f t="array" ref="CW38">LET(
array,SORT({$Y$2:$AB$19,TRANSPOSE($BP38:$CG38)},4,TRUE),
col,CHOOSECOLS(array,5),
row,MATCH(FALSE, ISBLANK(col), 0),
IF(CD38=SWITCH($AA$22,
"minimum cost", MIN($BP38:$CG38),
"maximum cost", MAX($BP38:$CG38), 
"custom order", IF(CW$1=INDEX(array, row,1),INDEX(array, row,5),"x"))
,1,))</f>
        <v/>
      </c>
      <c r="CX38" s="469" t="str">
        <f t="array" ref="CX38">LET(
array,SORT({$Y$2:$AB$19,TRANSPOSE($BP38:$CG38)},4,TRUE),
col,CHOOSECOLS(array,5),
row,MATCH(FALSE, ISBLANK(col), 0),
IF(CE38=SWITCH($AA$22,
"minimum cost", MIN($BP38:$CG38),
"maximum cost", MAX($BP38:$CG38), 
"custom order", IF(CX$1=INDEX(array, row,1),INDEX(array, row,5),"x"))
,1,))</f>
        <v/>
      </c>
      <c r="CY38" s="469" t="str">
        <f t="array" ref="CY38">LET(
array,SORT({$Y$2:$AB$19,TRANSPOSE($BP38:$CG38)},4,TRUE),
col,CHOOSECOLS(array,5),
row,MATCH(FALSE, ISBLANK(col), 0),
IF(CF38=SWITCH($AA$22,
"minimum cost", MIN($BP38:$CG38),
"maximum cost", MAX($BP38:$CG38), 
"custom order", IF(CY$1=INDEX(array, row,1),INDEX(array, row,5),"x"))
,1,))</f>
        <v/>
      </c>
      <c r="CZ38" s="581" t="str">
        <f t="array" ref="CZ38">LET(
array,SORT({$Y$2:$AB$19,TRANSPOSE($BP38:$CG38)},4,TRUE),
col,CHOOSECOLS(array,5),
row,MATCH(FALSE, ISBLANK(col), 0),
IF(CG38=SWITCH($AA$22,
"minimum cost", MIN($BP38:$CG38),
"maximum cost", MAX($BP38:$CG38), 
"custom order", IF(CZ$1=INDEX(array, row,1),INDEX(array, row,5),"x"))
,1,))</f>
        <v/>
      </c>
      <c r="DA38" s="461"/>
      <c r="DB38" s="580" t="str">
        <f t="array" ref="DB38:DS38">IF(MATCH(1, CI38:CZ38, 0)=COLUMN(CI38:CZ38)-COLUMN(CI38)+1, CI38:CZ38, "")</f>
        <v/>
      </c>
      <c r="DC38" s="252" t="s">
        <v>133</v>
      </c>
      <c r="DD38" s="252" t="s">
        <v>133</v>
      </c>
      <c r="DE38" s="252" t="s">
        <v>133</v>
      </c>
      <c r="DF38" s="252" t="s">
        <v>133</v>
      </c>
      <c r="DG38" s="252" t="s">
        <v>133</v>
      </c>
      <c r="DH38" s="390" t="s">
        <v>133</v>
      </c>
      <c r="DI38" s="390">
        <v>1.0</v>
      </c>
      <c r="DJ38" s="390" t="s">
        <v>133</v>
      </c>
      <c r="DK38" s="390" t="s">
        <v>133</v>
      </c>
      <c r="DL38" s="390" t="s">
        <v>133</v>
      </c>
      <c r="DM38" s="390" t="s">
        <v>133</v>
      </c>
      <c r="DN38" s="469" t="s">
        <v>133</v>
      </c>
      <c r="DO38" s="469" t="s">
        <v>133</v>
      </c>
      <c r="DP38" s="469" t="s">
        <v>133</v>
      </c>
      <c r="DQ38" s="469" t="s">
        <v>133</v>
      </c>
      <c r="DR38" s="469" t="s">
        <v>133</v>
      </c>
      <c r="DS38" s="581" t="s">
        <v>133</v>
      </c>
      <c r="DT38" s="563"/>
    </row>
    <row r="39">
      <c r="A39" s="563"/>
      <c r="B39" s="697" t="s">
        <v>234</v>
      </c>
      <c r="C39" s="211"/>
      <c r="D39" s="211"/>
      <c r="E39" s="211"/>
      <c r="F39" s="211"/>
      <c r="G39" s="211"/>
      <c r="H39" s="211"/>
      <c r="I39" s="211"/>
      <c r="J39" s="211"/>
      <c r="K39" s="211"/>
      <c r="L39" s="204"/>
      <c r="M39" s="461"/>
      <c r="N39" s="10"/>
      <c r="O39" s="10"/>
      <c r="P39" s="10"/>
      <c r="Q39" s="570" t="str">
        <f>IFERROR(__xludf.DUMMYFUNCTION("IF(SUM(DB39:DS39),ARRAYFORMULA(FILTER(DB$1:DS$1, DB39:DS39=1)),)"),"Health Regen")</f>
        <v>Health Regen</v>
      </c>
      <c r="R39" s="571">
        <f>IFERROR(__xludf.DUMMYFUNCTION("IF(SUM(DB39:DS39),ARRAYFORMULA(FILTER(AW39:BN39, DB39:DS39=1))+1,)"),76.0)</f>
        <v>76</v>
      </c>
      <c r="S39" s="572">
        <f>IFERROR(__xludf.DUMMYFUNCTION("IF(SUM(DB39:DS39),ARRAYFORMULA(FILTER(AD39:AU39, DB39:DS39=1)),)"),4.0083E14)</f>
        <v>400830000000000</v>
      </c>
      <c r="T39" s="572">
        <f t="shared" si="26"/>
        <v>1.13796E+16</v>
      </c>
      <c r="U39" s="573" t="str">
        <f t="shared" ref="U39:V39" si="133">FORMAT_NUMBER(S39)</f>
        <v>400.83 T</v>
      </c>
      <c r="V39" s="574" t="str">
        <f t="shared" si="133"/>
        <v>11.38 q</v>
      </c>
      <c r="W39" s="677"/>
      <c r="X39" s="709"/>
      <c r="Y39" s="709"/>
      <c r="Z39" s="709"/>
      <c r="AA39" s="709"/>
      <c r="AB39" s="712"/>
      <c r="AC39" s="461"/>
      <c r="AD39" s="580">
        <f t="shared" ref="AD39:AU39" si="134">IFERROR(WSPCOST_SINGLE_ADJUSTED(AD$1,1+AW39),)</f>
        <v>37110000000000</v>
      </c>
      <c r="AE39" s="252">
        <f t="shared" si="134"/>
        <v>82420000000</v>
      </c>
      <c r="AF39" s="252">
        <f t="shared" si="134"/>
        <v>69650000000000</v>
      </c>
      <c r="AG39" s="252">
        <f t="shared" si="134"/>
        <v>21210000000</v>
      </c>
      <c r="AH39" s="252">
        <f t="shared" si="134"/>
        <v>43890000000000</v>
      </c>
      <c r="AI39" s="252">
        <f t="shared" si="134"/>
        <v>47710000000000</v>
      </c>
      <c r="AJ39" s="390">
        <f t="shared" si="134"/>
        <v>92140000000000</v>
      </c>
      <c r="AK39" s="390">
        <f t="shared" si="134"/>
        <v>400830000000000</v>
      </c>
      <c r="AL39" s="390">
        <f t="shared" si="134"/>
        <v>5000000000</v>
      </c>
      <c r="AM39" s="390">
        <f t="shared" si="134"/>
        <v>33950000000</v>
      </c>
      <c r="AN39" s="390">
        <f t="shared" si="134"/>
        <v>60080000000000</v>
      </c>
      <c r="AO39" s="390">
        <f t="shared" si="134"/>
        <v>22020000000000</v>
      </c>
      <c r="AP39" s="469">
        <f t="shared" si="134"/>
        <v>5240000000000</v>
      </c>
      <c r="AQ39" s="469">
        <f t="shared" si="134"/>
        <v>1.3E+15</v>
      </c>
      <c r="AR39" s="469">
        <f t="shared" si="134"/>
        <v>1.3E+15</v>
      </c>
      <c r="AS39" s="469">
        <f t="shared" si="134"/>
        <v>420490000000000</v>
      </c>
      <c r="AT39" s="469">
        <f t="shared" si="134"/>
        <v>3990000000000</v>
      </c>
      <c r="AU39" s="581">
        <f t="shared" si="134"/>
        <v>1.14E+15</v>
      </c>
      <c r="AV39" s="461"/>
      <c r="AW39" s="580">
        <f t="shared" ref="AW39:BN39" si="135">AW38+DB38</f>
        <v>56</v>
      </c>
      <c r="AX39" s="252">
        <f t="shared" si="135"/>
        <v>21</v>
      </c>
      <c r="AY39" s="252">
        <f t="shared" si="135"/>
        <v>60</v>
      </c>
      <c r="AZ39" s="252">
        <f t="shared" si="135"/>
        <v>17</v>
      </c>
      <c r="BA39" s="252">
        <f t="shared" si="135"/>
        <v>57</v>
      </c>
      <c r="BB39" s="252">
        <f t="shared" si="135"/>
        <v>13</v>
      </c>
      <c r="BC39" s="390">
        <f t="shared" si="135"/>
        <v>62</v>
      </c>
      <c r="BD39" s="390">
        <f t="shared" si="135"/>
        <v>75</v>
      </c>
      <c r="BE39" s="390">
        <f t="shared" si="135"/>
        <v>0</v>
      </c>
      <c r="BF39" s="390">
        <f t="shared" si="135"/>
        <v>18</v>
      </c>
      <c r="BG39" s="390">
        <f t="shared" si="135"/>
        <v>59</v>
      </c>
      <c r="BH39" s="390">
        <f t="shared" si="135"/>
        <v>20</v>
      </c>
      <c r="BI39" s="469">
        <f t="shared" si="135"/>
        <v>44</v>
      </c>
      <c r="BJ39" s="469">
        <f t="shared" si="135"/>
        <v>37</v>
      </c>
      <c r="BK39" s="469">
        <f t="shared" si="135"/>
        <v>37</v>
      </c>
      <c r="BL39" s="469">
        <f t="shared" si="135"/>
        <v>18</v>
      </c>
      <c r="BM39" s="469">
        <f t="shared" si="135"/>
        <v>42</v>
      </c>
      <c r="BN39" s="581">
        <f t="shared" si="135"/>
        <v>15</v>
      </c>
      <c r="BO39" s="461"/>
      <c r="BP39" s="580">
        <f t="shared" si="8"/>
        <v>37110000000000</v>
      </c>
      <c r="BQ39" s="252" t="str">
        <f t="shared" si="9"/>
        <v/>
      </c>
      <c r="BR39" s="252">
        <f t="shared" si="10"/>
        <v>69650000000000</v>
      </c>
      <c r="BS39" s="252" t="str">
        <f t="shared" si="11"/>
        <v/>
      </c>
      <c r="BT39" s="252" t="str">
        <f t="shared" si="12"/>
        <v/>
      </c>
      <c r="BU39" s="252">
        <f t="shared" si="13"/>
        <v>47710000000000</v>
      </c>
      <c r="BV39" s="390">
        <f t="shared" si="14"/>
        <v>92140000000000</v>
      </c>
      <c r="BW39" s="390">
        <f t="shared" si="15"/>
        <v>400830000000000</v>
      </c>
      <c r="BX39" s="390" t="str">
        <f t="shared" si="16"/>
        <v/>
      </c>
      <c r="BY39" s="390" t="str">
        <f t="shared" si="17"/>
        <v/>
      </c>
      <c r="BZ39" s="390">
        <f t="shared" si="18"/>
        <v>60080000000000</v>
      </c>
      <c r="CA39" s="390">
        <f t="shared" si="19"/>
        <v>22020000000000</v>
      </c>
      <c r="CB39" s="469">
        <f t="shared" si="20"/>
        <v>5240000000000</v>
      </c>
      <c r="CC39" s="469" t="str">
        <f t="shared" si="21"/>
        <v/>
      </c>
      <c r="CD39" s="469" t="str">
        <f t="shared" si="22"/>
        <v/>
      </c>
      <c r="CE39" s="469" t="str">
        <f t="shared" si="23"/>
        <v/>
      </c>
      <c r="CF39" s="469" t="str">
        <f t="shared" si="24"/>
        <v/>
      </c>
      <c r="CG39" s="581" t="str">
        <f t="shared" si="25"/>
        <v/>
      </c>
      <c r="CH39" s="461"/>
      <c r="CI39" s="580" t="str">
        <f t="array" ref="CI39">LET(
array,SORT({$Y$2:$AB$19,TRANSPOSE($BP39:$CG39)},4,TRUE),
col,CHOOSECOLS(array,5),
row,MATCH(FALSE, ISBLANK(col), 0),
IF(BP39=SWITCH($AA$22,
"minimum cost", MIN($BP39:$CG39),
"maximum cost", MAX($BP39:$CG39), 
"custom order", IF(CI$1=INDEX(array, row,1),INDEX(array, row,5),"x"))
,1,))</f>
        <v/>
      </c>
      <c r="CJ39" s="252" t="str">
        <f t="array" ref="CJ39">LET(
array,SORT({$Y$2:$AB$19,TRANSPOSE($BP39:$CG39)},4,TRUE),
col,CHOOSECOLS(array,5),
row,MATCH(FALSE, ISBLANK(col), 0),
IF(BQ39=SWITCH($AA$22,
"minimum cost", MIN($BP39:$CG39),
"maximum cost", MAX($BP39:$CG39), 
"custom order", IF(CJ$1=INDEX(array, row,1),INDEX(array, row,5),"x"))
,1,))</f>
        <v/>
      </c>
      <c r="CK39" s="252" t="str">
        <f t="array" ref="CK39">LET(
array,SORT({$Y$2:$AB$19,TRANSPOSE($BP39:$CG39)},4,TRUE),
col,CHOOSECOLS(array,5),
row,MATCH(FALSE, ISBLANK(col), 0),
IF(BR39=SWITCH($AA$22,
"minimum cost", MIN($BP39:$CG39),
"maximum cost", MAX($BP39:$CG39), 
"custom order", IF(CK$1=INDEX(array, row,1),INDEX(array, row,5),"x"))
,1,))</f>
        <v/>
      </c>
      <c r="CL39" s="252" t="str">
        <f t="array" ref="CL39">LET(
array,SORT({$Y$2:$AB$19,TRANSPOSE($BP39:$CG39)},4,TRUE),
col,CHOOSECOLS(array,5),
row,MATCH(FALSE, ISBLANK(col), 0),
IF(BS39=SWITCH($AA$22,
"minimum cost", MIN($BP39:$CG39),
"maximum cost", MAX($BP39:$CG39), 
"custom order", IF(CL$1=INDEX(array, row,1),INDEX(array, row,5),"x"))
,1,))</f>
        <v/>
      </c>
      <c r="CM39" s="252" t="str">
        <f t="array" ref="CM39">LET(
array,SORT({$Y$2:$AB$19,TRANSPOSE($BP39:$CG39)},4,TRUE),
col,CHOOSECOLS(array,5),
row,MATCH(FALSE, ISBLANK(col), 0),
IF(BT39=SWITCH($AA$22,
"minimum cost", MIN($BP39:$CG39),
"maximum cost", MAX($BP39:$CG39), 
"custom order", IF(CM$1=INDEX(array, row,1),INDEX(array, row,5),"x"))
,1,))</f>
        <v/>
      </c>
      <c r="CN39" s="252" t="str">
        <f t="array" ref="CN39">LET(
array,SORT({$Y$2:$AB$19,TRANSPOSE($BP39:$CG39)},4,TRUE),
col,CHOOSECOLS(array,5),
row,MATCH(FALSE, ISBLANK(col), 0),
IF(BU39=SWITCH($AA$22,
"minimum cost", MIN($BP39:$CG39),
"maximum cost", MAX($BP39:$CG39), 
"custom order", IF(CN$1=INDEX(array, row,1),INDEX(array, row,5),"x"))
,1,))</f>
        <v/>
      </c>
      <c r="CO39" s="390" t="str">
        <f t="array" ref="CO39">LET(
array,SORT({$Y$2:$AB$19,TRANSPOSE($BP39:$CG39)},4,TRUE),
col,CHOOSECOLS(array,5),
row,MATCH(FALSE, ISBLANK(col), 0),
IF(BV39=SWITCH($AA$22,
"minimum cost", MIN($BP39:$CG39),
"maximum cost", MAX($BP39:$CG39), 
"custom order", IF(CO$1=INDEX(array, row,1),INDEX(array, row,5),"x"))
,1,))</f>
        <v/>
      </c>
      <c r="CP39" s="390">
        <f t="array" ref="CP39">LET(
array,SORT({$Y$2:$AB$19,TRANSPOSE($BP39:$CG39)},4,TRUE),
col,CHOOSECOLS(array,5),
row,MATCH(FALSE, ISBLANK(col), 0),
IF(BW39=SWITCH($AA$22,
"minimum cost", MIN($BP39:$CG39),
"maximum cost", MAX($BP39:$CG39), 
"custom order", IF(CP$1=INDEX(array, row,1),INDEX(array, row,5),"x"))
,1,))</f>
        <v>1</v>
      </c>
      <c r="CQ39" s="390" t="str">
        <f t="array" ref="CQ39">LET(
array,SORT({$Y$2:$AB$19,TRANSPOSE($BP39:$CG39)},4,TRUE),
col,CHOOSECOLS(array,5),
row,MATCH(FALSE, ISBLANK(col), 0),
IF(BX39=SWITCH($AA$22,
"minimum cost", MIN($BP39:$CG39),
"maximum cost", MAX($BP39:$CG39), 
"custom order", IF(CQ$1=INDEX(array, row,1),INDEX(array, row,5),"x"))
,1,))</f>
        <v/>
      </c>
      <c r="CR39" s="390" t="str">
        <f t="array" ref="CR39">LET(
array,SORT({$Y$2:$AB$19,TRANSPOSE($BP39:$CG39)},4,TRUE),
col,CHOOSECOLS(array,5),
row,MATCH(FALSE, ISBLANK(col), 0),
IF(BY39=SWITCH($AA$22,
"minimum cost", MIN($BP39:$CG39),
"maximum cost", MAX($BP39:$CG39), 
"custom order", IF(CR$1=INDEX(array, row,1),INDEX(array, row,5),"x"))
,1,))</f>
        <v/>
      </c>
      <c r="CS39" s="390" t="str">
        <f t="array" ref="CS39">LET(
array,SORT({$Y$2:$AB$19,TRANSPOSE($BP39:$CG39)},4,TRUE),
col,CHOOSECOLS(array,5),
row,MATCH(FALSE, ISBLANK(col), 0),
IF(BZ39=SWITCH($AA$22,
"minimum cost", MIN($BP39:$CG39),
"maximum cost", MAX($BP39:$CG39), 
"custom order", IF(CS$1=INDEX(array, row,1),INDEX(array, row,5),"x"))
,1,))</f>
        <v/>
      </c>
      <c r="CT39" s="390" t="str">
        <f t="array" ref="CT39">LET(
array,SORT({$Y$2:$AB$19,TRANSPOSE($BP39:$CG39)},4,TRUE),
col,CHOOSECOLS(array,5),
row,MATCH(FALSE, ISBLANK(col), 0),
IF(CA39=SWITCH($AA$22,
"minimum cost", MIN($BP39:$CG39),
"maximum cost", MAX($BP39:$CG39), 
"custom order", IF(CT$1=INDEX(array, row,1),INDEX(array, row,5),"x"))
,1,))</f>
        <v/>
      </c>
      <c r="CU39" s="469" t="str">
        <f t="array" ref="CU39">LET(
array,SORT({$Y$2:$AB$19,TRANSPOSE($BP39:$CG39)},4,TRUE),
col,CHOOSECOLS(array,5),
row,MATCH(FALSE, ISBLANK(col), 0),
IF(CB39=SWITCH($AA$22,
"minimum cost", MIN($BP39:$CG39),
"maximum cost", MAX($BP39:$CG39), 
"custom order", IF(CU$1=INDEX(array, row,1),INDEX(array, row,5),"x"))
,1,))</f>
        <v/>
      </c>
      <c r="CV39" s="469" t="str">
        <f t="array" ref="CV39">LET(
array,SORT({$Y$2:$AB$19,TRANSPOSE($BP39:$CG39)},4,TRUE),
col,CHOOSECOLS(array,5),
row,MATCH(FALSE, ISBLANK(col), 0),
IF(CC39=SWITCH($AA$22,
"minimum cost", MIN($BP39:$CG39),
"maximum cost", MAX($BP39:$CG39), 
"custom order", IF(CV$1=INDEX(array, row,1),INDEX(array, row,5),"x"))
,1,))</f>
        <v/>
      </c>
      <c r="CW39" s="469" t="str">
        <f t="array" ref="CW39">LET(
array,SORT({$Y$2:$AB$19,TRANSPOSE($BP39:$CG39)},4,TRUE),
col,CHOOSECOLS(array,5),
row,MATCH(FALSE, ISBLANK(col), 0),
IF(CD39=SWITCH($AA$22,
"minimum cost", MIN($BP39:$CG39),
"maximum cost", MAX($BP39:$CG39), 
"custom order", IF(CW$1=INDEX(array, row,1),INDEX(array, row,5),"x"))
,1,))</f>
        <v/>
      </c>
      <c r="CX39" s="469" t="str">
        <f t="array" ref="CX39">LET(
array,SORT({$Y$2:$AB$19,TRANSPOSE($BP39:$CG39)},4,TRUE),
col,CHOOSECOLS(array,5),
row,MATCH(FALSE, ISBLANK(col), 0),
IF(CE39=SWITCH($AA$22,
"minimum cost", MIN($BP39:$CG39),
"maximum cost", MAX($BP39:$CG39), 
"custom order", IF(CX$1=INDEX(array, row,1),INDEX(array, row,5),"x"))
,1,))</f>
        <v/>
      </c>
      <c r="CY39" s="469" t="str">
        <f t="array" ref="CY39">LET(
array,SORT({$Y$2:$AB$19,TRANSPOSE($BP39:$CG39)},4,TRUE),
col,CHOOSECOLS(array,5),
row,MATCH(FALSE, ISBLANK(col), 0),
IF(CF39=SWITCH($AA$22,
"minimum cost", MIN($BP39:$CG39),
"maximum cost", MAX($BP39:$CG39), 
"custom order", IF(CY$1=INDEX(array, row,1),INDEX(array, row,5),"x"))
,1,))</f>
        <v/>
      </c>
      <c r="CZ39" s="581" t="str">
        <f t="array" ref="CZ39">LET(
array,SORT({$Y$2:$AB$19,TRANSPOSE($BP39:$CG39)},4,TRUE),
col,CHOOSECOLS(array,5),
row,MATCH(FALSE, ISBLANK(col), 0),
IF(CG39=SWITCH($AA$22,
"minimum cost", MIN($BP39:$CG39),
"maximum cost", MAX($BP39:$CG39), 
"custom order", IF(CZ$1=INDEX(array, row,1),INDEX(array, row,5),"x"))
,1,))</f>
        <v/>
      </c>
      <c r="DA39" s="461"/>
      <c r="DB39" s="580" t="str">
        <f t="array" ref="DB39:DS39">IF(MATCH(1, CI39:CZ39, 0)=COLUMN(CI39:CZ39)-COLUMN(CI39)+1, CI39:CZ39, "")</f>
        <v/>
      </c>
      <c r="DC39" s="252" t="s">
        <v>133</v>
      </c>
      <c r="DD39" s="252" t="s">
        <v>133</v>
      </c>
      <c r="DE39" s="252" t="s">
        <v>133</v>
      </c>
      <c r="DF39" s="252" t="s">
        <v>133</v>
      </c>
      <c r="DG39" s="252" t="s">
        <v>133</v>
      </c>
      <c r="DH39" s="390" t="s">
        <v>133</v>
      </c>
      <c r="DI39" s="390">
        <v>1.0</v>
      </c>
      <c r="DJ39" s="390" t="s">
        <v>133</v>
      </c>
      <c r="DK39" s="390" t="s">
        <v>133</v>
      </c>
      <c r="DL39" s="390" t="s">
        <v>133</v>
      </c>
      <c r="DM39" s="390" t="s">
        <v>133</v>
      </c>
      <c r="DN39" s="469" t="s">
        <v>133</v>
      </c>
      <c r="DO39" s="469" t="s">
        <v>133</v>
      </c>
      <c r="DP39" s="469" t="s">
        <v>133</v>
      </c>
      <c r="DQ39" s="469" t="s">
        <v>133</v>
      </c>
      <c r="DR39" s="469" t="s">
        <v>133</v>
      </c>
      <c r="DS39" s="581" t="s">
        <v>133</v>
      </c>
      <c r="DT39" s="563"/>
    </row>
    <row r="40">
      <c r="A40" s="563"/>
      <c r="B40" s="702"/>
      <c r="L40" s="224"/>
      <c r="M40" s="461"/>
      <c r="N40" s="10"/>
      <c r="O40" s="10"/>
      <c r="P40" s="10"/>
      <c r="Q40" s="570" t="str">
        <f>IFERROR(__xludf.DUMMYFUNCTION("IF(SUM(DB40:DS40),ARRAYFORMULA(FILTER(DB$1:DS$1, DB40:DS40=1)),)"),"Health Regen")</f>
        <v>Health Regen</v>
      </c>
      <c r="R40" s="571">
        <f>IFERROR(__xludf.DUMMYFUNCTION("IF(SUM(DB40:DS40),ARRAYFORMULA(FILTER(AW40:BN40, DB40:DS40=1))+1,)"),77.0)</f>
        <v>77</v>
      </c>
      <c r="S40" s="572">
        <f>IFERROR(__xludf.DUMMYFUNCTION("IF(SUM(DB40:DS40),ARRAYFORMULA(FILTER(AD40:AU40, DB40:DS40=1)),)"),4.4091E14)</f>
        <v>440910000000000</v>
      </c>
      <c r="T40" s="572">
        <f t="shared" si="26"/>
        <v>1.18206E+16</v>
      </c>
      <c r="U40" s="573" t="str">
        <f t="shared" ref="U40:V40" si="136">FORMAT_NUMBER(S40)</f>
        <v>440.91 T</v>
      </c>
      <c r="V40" s="574" t="str">
        <f t="shared" si="136"/>
        <v>11.82 q</v>
      </c>
      <c r="W40" s="677"/>
      <c r="X40" s="709"/>
      <c r="Y40" s="709"/>
      <c r="Z40" s="709"/>
      <c r="AA40" s="709"/>
      <c r="AB40" s="712"/>
      <c r="AC40" s="461"/>
      <c r="AD40" s="580">
        <f t="shared" ref="AD40:AU40" si="137">IFERROR(WSPCOST_SINGLE_ADJUSTED(AD$1,1+AW40),)</f>
        <v>37110000000000</v>
      </c>
      <c r="AE40" s="252">
        <f t="shared" si="137"/>
        <v>82420000000</v>
      </c>
      <c r="AF40" s="252">
        <f t="shared" si="137"/>
        <v>69650000000000</v>
      </c>
      <c r="AG40" s="252">
        <f t="shared" si="137"/>
        <v>21210000000</v>
      </c>
      <c r="AH40" s="252">
        <f t="shared" si="137"/>
        <v>43890000000000</v>
      </c>
      <c r="AI40" s="252">
        <f t="shared" si="137"/>
        <v>47710000000000</v>
      </c>
      <c r="AJ40" s="390">
        <f t="shared" si="137"/>
        <v>92140000000000</v>
      </c>
      <c r="AK40" s="390">
        <f t="shared" si="137"/>
        <v>440910000000000</v>
      </c>
      <c r="AL40" s="390">
        <f t="shared" si="137"/>
        <v>5000000000</v>
      </c>
      <c r="AM40" s="390">
        <f t="shared" si="137"/>
        <v>33950000000</v>
      </c>
      <c r="AN40" s="390">
        <f t="shared" si="137"/>
        <v>60080000000000</v>
      </c>
      <c r="AO40" s="390">
        <f t="shared" si="137"/>
        <v>22020000000000</v>
      </c>
      <c r="AP40" s="469">
        <f t="shared" si="137"/>
        <v>5240000000000</v>
      </c>
      <c r="AQ40" s="469">
        <f t="shared" si="137"/>
        <v>1.3E+15</v>
      </c>
      <c r="AR40" s="469">
        <f t="shared" si="137"/>
        <v>1.3E+15</v>
      </c>
      <c r="AS40" s="469">
        <f t="shared" si="137"/>
        <v>420490000000000</v>
      </c>
      <c r="AT40" s="469">
        <f t="shared" si="137"/>
        <v>3990000000000</v>
      </c>
      <c r="AU40" s="581">
        <f t="shared" si="137"/>
        <v>1.14E+15</v>
      </c>
      <c r="AV40" s="461"/>
      <c r="AW40" s="580">
        <f t="shared" ref="AW40:BN40" si="138">AW39+DB39</f>
        <v>56</v>
      </c>
      <c r="AX40" s="252">
        <f t="shared" si="138"/>
        <v>21</v>
      </c>
      <c r="AY40" s="252">
        <f t="shared" si="138"/>
        <v>60</v>
      </c>
      <c r="AZ40" s="252">
        <f t="shared" si="138"/>
        <v>17</v>
      </c>
      <c r="BA40" s="252">
        <f t="shared" si="138"/>
        <v>57</v>
      </c>
      <c r="BB40" s="252">
        <f t="shared" si="138"/>
        <v>13</v>
      </c>
      <c r="BC40" s="390">
        <f t="shared" si="138"/>
        <v>62</v>
      </c>
      <c r="BD40" s="390">
        <f t="shared" si="138"/>
        <v>76</v>
      </c>
      <c r="BE40" s="390">
        <f t="shared" si="138"/>
        <v>0</v>
      </c>
      <c r="BF40" s="390">
        <f t="shared" si="138"/>
        <v>18</v>
      </c>
      <c r="BG40" s="390">
        <f t="shared" si="138"/>
        <v>59</v>
      </c>
      <c r="BH40" s="390">
        <f t="shared" si="138"/>
        <v>20</v>
      </c>
      <c r="BI40" s="469">
        <f t="shared" si="138"/>
        <v>44</v>
      </c>
      <c r="BJ40" s="469">
        <f t="shared" si="138"/>
        <v>37</v>
      </c>
      <c r="BK40" s="469">
        <f t="shared" si="138"/>
        <v>37</v>
      </c>
      <c r="BL40" s="469">
        <f t="shared" si="138"/>
        <v>18</v>
      </c>
      <c r="BM40" s="469">
        <f t="shared" si="138"/>
        <v>42</v>
      </c>
      <c r="BN40" s="581">
        <f t="shared" si="138"/>
        <v>15</v>
      </c>
      <c r="BO40" s="461"/>
      <c r="BP40" s="580">
        <f t="shared" si="8"/>
        <v>37110000000000</v>
      </c>
      <c r="BQ40" s="252" t="str">
        <f t="shared" si="9"/>
        <v/>
      </c>
      <c r="BR40" s="252">
        <f t="shared" si="10"/>
        <v>69650000000000</v>
      </c>
      <c r="BS40" s="252" t="str">
        <f t="shared" si="11"/>
        <v/>
      </c>
      <c r="BT40" s="252" t="str">
        <f t="shared" si="12"/>
        <v/>
      </c>
      <c r="BU40" s="252">
        <f t="shared" si="13"/>
        <v>47710000000000</v>
      </c>
      <c r="BV40" s="390">
        <f t="shared" si="14"/>
        <v>92140000000000</v>
      </c>
      <c r="BW40" s="390">
        <f t="shared" si="15"/>
        <v>440910000000000</v>
      </c>
      <c r="BX40" s="390" t="str">
        <f t="shared" si="16"/>
        <v/>
      </c>
      <c r="BY40" s="390" t="str">
        <f t="shared" si="17"/>
        <v/>
      </c>
      <c r="BZ40" s="390">
        <f t="shared" si="18"/>
        <v>60080000000000</v>
      </c>
      <c r="CA40" s="390">
        <f t="shared" si="19"/>
        <v>22020000000000</v>
      </c>
      <c r="CB40" s="469">
        <f t="shared" si="20"/>
        <v>5240000000000</v>
      </c>
      <c r="CC40" s="469" t="str">
        <f t="shared" si="21"/>
        <v/>
      </c>
      <c r="CD40" s="469" t="str">
        <f t="shared" si="22"/>
        <v/>
      </c>
      <c r="CE40" s="469" t="str">
        <f t="shared" si="23"/>
        <v/>
      </c>
      <c r="CF40" s="469" t="str">
        <f t="shared" si="24"/>
        <v/>
      </c>
      <c r="CG40" s="581" t="str">
        <f t="shared" si="25"/>
        <v/>
      </c>
      <c r="CH40" s="461"/>
      <c r="CI40" s="580" t="str">
        <f t="array" ref="CI40">LET(
array,SORT({$Y$2:$AB$19,TRANSPOSE($BP40:$CG40)},4,TRUE),
col,CHOOSECOLS(array,5),
row,MATCH(FALSE, ISBLANK(col), 0),
IF(BP40=SWITCH($AA$22,
"minimum cost", MIN($BP40:$CG40),
"maximum cost", MAX($BP40:$CG40), 
"custom order", IF(CI$1=INDEX(array, row,1),INDEX(array, row,5),"x"))
,1,))</f>
        <v/>
      </c>
      <c r="CJ40" s="252" t="str">
        <f t="array" ref="CJ40">LET(
array,SORT({$Y$2:$AB$19,TRANSPOSE($BP40:$CG40)},4,TRUE),
col,CHOOSECOLS(array,5),
row,MATCH(FALSE, ISBLANK(col), 0),
IF(BQ40=SWITCH($AA$22,
"minimum cost", MIN($BP40:$CG40),
"maximum cost", MAX($BP40:$CG40), 
"custom order", IF(CJ$1=INDEX(array, row,1),INDEX(array, row,5),"x"))
,1,))</f>
        <v/>
      </c>
      <c r="CK40" s="252" t="str">
        <f t="array" ref="CK40">LET(
array,SORT({$Y$2:$AB$19,TRANSPOSE($BP40:$CG40)},4,TRUE),
col,CHOOSECOLS(array,5),
row,MATCH(FALSE, ISBLANK(col), 0),
IF(BR40=SWITCH($AA$22,
"minimum cost", MIN($BP40:$CG40),
"maximum cost", MAX($BP40:$CG40), 
"custom order", IF(CK$1=INDEX(array, row,1),INDEX(array, row,5),"x"))
,1,))</f>
        <v/>
      </c>
      <c r="CL40" s="252" t="str">
        <f t="array" ref="CL40">LET(
array,SORT({$Y$2:$AB$19,TRANSPOSE($BP40:$CG40)},4,TRUE),
col,CHOOSECOLS(array,5),
row,MATCH(FALSE, ISBLANK(col), 0),
IF(BS40=SWITCH($AA$22,
"minimum cost", MIN($BP40:$CG40),
"maximum cost", MAX($BP40:$CG40), 
"custom order", IF(CL$1=INDEX(array, row,1),INDEX(array, row,5),"x"))
,1,))</f>
        <v/>
      </c>
      <c r="CM40" s="252" t="str">
        <f t="array" ref="CM40">LET(
array,SORT({$Y$2:$AB$19,TRANSPOSE($BP40:$CG40)},4,TRUE),
col,CHOOSECOLS(array,5),
row,MATCH(FALSE, ISBLANK(col), 0),
IF(BT40=SWITCH($AA$22,
"minimum cost", MIN($BP40:$CG40),
"maximum cost", MAX($BP40:$CG40), 
"custom order", IF(CM$1=INDEX(array, row,1),INDEX(array, row,5),"x"))
,1,))</f>
        <v/>
      </c>
      <c r="CN40" s="252" t="str">
        <f t="array" ref="CN40">LET(
array,SORT({$Y$2:$AB$19,TRANSPOSE($BP40:$CG40)},4,TRUE),
col,CHOOSECOLS(array,5),
row,MATCH(FALSE, ISBLANK(col), 0),
IF(BU40=SWITCH($AA$22,
"minimum cost", MIN($BP40:$CG40),
"maximum cost", MAX($BP40:$CG40), 
"custom order", IF(CN$1=INDEX(array, row,1),INDEX(array, row,5),"x"))
,1,))</f>
        <v/>
      </c>
      <c r="CO40" s="390" t="str">
        <f t="array" ref="CO40">LET(
array,SORT({$Y$2:$AB$19,TRANSPOSE($BP40:$CG40)},4,TRUE),
col,CHOOSECOLS(array,5),
row,MATCH(FALSE, ISBLANK(col), 0),
IF(BV40=SWITCH($AA$22,
"minimum cost", MIN($BP40:$CG40),
"maximum cost", MAX($BP40:$CG40), 
"custom order", IF(CO$1=INDEX(array, row,1),INDEX(array, row,5),"x"))
,1,))</f>
        <v/>
      </c>
      <c r="CP40" s="390">
        <f t="array" ref="CP40">LET(
array,SORT({$Y$2:$AB$19,TRANSPOSE($BP40:$CG40)},4,TRUE),
col,CHOOSECOLS(array,5),
row,MATCH(FALSE, ISBLANK(col), 0),
IF(BW40=SWITCH($AA$22,
"minimum cost", MIN($BP40:$CG40),
"maximum cost", MAX($BP40:$CG40), 
"custom order", IF(CP$1=INDEX(array, row,1),INDEX(array, row,5),"x"))
,1,))</f>
        <v>1</v>
      </c>
      <c r="CQ40" s="390" t="str">
        <f t="array" ref="CQ40">LET(
array,SORT({$Y$2:$AB$19,TRANSPOSE($BP40:$CG40)},4,TRUE),
col,CHOOSECOLS(array,5),
row,MATCH(FALSE, ISBLANK(col), 0),
IF(BX40=SWITCH($AA$22,
"minimum cost", MIN($BP40:$CG40),
"maximum cost", MAX($BP40:$CG40), 
"custom order", IF(CQ$1=INDEX(array, row,1),INDEX(array, row,5),"x"))
,1,))</f>
        <v/>
      </c>
      <c r="CR40" s="390" t="str">
        <f t="array" ref="CR40">LET(
array,SORT({$Y$2:$AB$19,TRANSPOSE($BP40:$CG40)},4,TRUE),
col,CHOOSECOLS(array,5),
row,MATCH(FALSE, ISBLANK(col), 0),
IF(BY40=SWITCH($AA$22,
"minimum cost", MIN($BP40:$CG40),
"maximum cost", MAX($BP40:$CG40), 
"custom order", IF(CR$1=INDEX(array, row,1),INDEX(array, row,5),"x"))
,1,))</f>
        <v/>
      </c>
      <c r="CS40" s="390" t="str">
        <f t="array" ref="CS40">LET(
array,SORT({$Y$2:$AB$19,TRANSPOSE($BP40:$CG40)},4,TRUE),
col,CHOOSECOLS(array,5),
row,MATCH(FALSE, ISBLANK(col), 0),
IF(BZ40=SWITCH($AA$22,
"minimum cost", MIN($BP40:$CG40),
"maximum cost", MAX($BP40:$CG40), 
"custom order", IF(CS$1=INDEX(array, row,1),INDEX(array, row,5),"x"))
,1,))</f>
        <v/>
      </c>
      <c r="CT40" s="390" t="str">
        <f t="array" ref="CT40">LET(
array,SORT({$Y$2:$AB$19,TRANSPOSE($BP40:$CG40)},4,TRUE),
col,CHOOSECOLS(array,5),
row,MATCH(FALSE, ISBLANK(col), 0),
IF(CA40=SWITCH($AA$22,
"minimum cost", MIN($BP40:$CG40),
"maximum cost", MAX($BP40:$CG40), 
"custom order", IF(CT$1=INDEX(array, row,1),INDEX(array, row,5),"x"))
,1,))</f>
        <v/>
      </c>
      <c r="CU40" s="469" t="str">
        <f t="array" ref="CU40">LET(
array,SORT({$Y$2:$AB$19,TRANSPOSE($BP40:$CG40)},4,TRUE),
col,CHOOSECOLS(array,5),
row,MATCH(FALSE, ISBLANK(col), 0),
IF(CB40=SWITCH($AA$22,
"minimum cost", MIN($BP40:$CG40),
"maximum cost", MAX($BP40:$CG40), 
"custom order", IF(CU$1=INDEX(array, row,1),INDEX(array, row,5),"x"))
,1,))</f>
        <v/>
      </c>
      <c r="CV40" s="469" t="str">
        <f t="array" ref="CV40">LET(
array,SORT({$Y$2:$AB$19,TRANSPOSE($BP40:$CG40)},4,TRUE),
col,CHOOSECOLS(array,5),
row,MATCH(FALSE, ISBLANK(col), 0),
IF(CC40=SWITCH($AA$22,
"minimum cost", MIN($BP40:$CG40),
"maximum cost", MAX($BP40:$CG40), 
"custom order", IF(CV$1=INDEX(array, row,1),INDEX(array, row,5),"x"))
,1,))</f>
        <v/>
      </c>
      <c r="CW40" s="469" t="str">
        <f t="array" ref="CW40">LET(
array,SORT({$Y$2:$AB$19,TRANSPOSE($BP40:$CG40)},4,TRUE),
col,CHOOSECOLS(array,5),
row,MATCH(FALSE, ISBLANK(col), 0),
IF(CD40=SWITCH($AA$22,
"minimum cost", MIN($BP40:$CG40),
"maximum cost", MAX($BP40:$CG40), 
"custom order", IF(CW$1=INDEX(array, row,1),INDEX(array, row,5),"x"))
,1,))</f>
        <v/>
      </c>
      <c r="CX40" s="469" t="str">
        <f t="array" ref="CX40">LET(
array,SORT({$Y$2:$AB$19,TRANSPOSE($BP40:$CG40)},4,TRUE),
col,CHOOSECOLS(array,5),
row,MATCH(FALSE, ISBLANK(col), 0),
IF(CE40=SWITCH($AA$22,
"minimum cost", MIN($BP40:$CG40),
"maximum cost", MAX($BP40:$CG40), 
"custom order", IF(CX$1=INDEX(array, row,1),INDEX(array, row,5),"x"))
,1,))</f>
        <v/>
      </c>
      <c r="CY40" s="469" t="str">
        <f t="array" ref="CY40">LET(
array,SORT({$Y$2:$AB$19,TRANSPOSE($BP40:$CG40)},4,TRUE),
col,CHOOSECOLS(array,5),
row,MATCH(FALSE, ISBLANK(col), 0),
IF(CF40=SWITCH($AA$22,
"minimum cost", MIN($BP40:$CG40),
"maximum cost", MAX($BP40:$CG40), 
"custom order", IF(CY$1=INDEX(array, row,1),INDEX(array, row,5),"x"))
,1,))</f>
        <v/>
      </c>
      <c r="CZ40" s="581" t="str">
        <f t="array" ref="CZ40">LET(
array,SORT({$Y$2:$AB$19,TRANSPOSE($BP40:$CG40)},4,TRUE),
col,CHOOSECOLS(array,5),
row,MATCH(FALSE, ISBLANK(col), 0),
IF(CG40=SWITCH($AA$22,
"minimum cost", MIN($BP40:$CG40),
"maximum cost", MAX($BP40:$CG40), 
"custom order", IF(CZ$1=INDEX(array, row,1),INDEX(array, row,5),"x"))
,1,))</f>
        <v/>
      </c>
      <c r="DA40" s="461"/>
      <c r="DB40" s="580" t="str">
        <f t="array" ref="DB40:DS40">IF(MATCH(1, CI40:CZ40, 0)=COLUMN(CI40:CZ40)-COLUMN(CI40)+1, CI40:CZ40, "")</f>
        <v/>
      </c>
      <c r="DC40" s="252" t="s">
        <v>133</v>
      </c>
      <c r="DD40" s="252" t="s">
        <v>133</v>
      </c>
      <c r="DE40" s="252" t="s">
        <v>133</v>
      </c>
      <c r="DF40" s="252" t="s">
        <v>133</v>
      </c>
      <c r="DG40" s="252" t="s">
        <v>133</v>
      </c>
      <c r="DH40" s="390" t="s">
        <v>133</v>
      </c>
      <c r="DI40" s="390">
        <v>1.0</v>
      </c>
      <c r="DJ40" s="390" t="s">
        <v>133</v>
      </c>
      <c r="DK40" s="390" t="s">
        <v>133</v>
      </c>
      <c r="DL40" s="390" t="s">
        <v>133</v>
      </c>
      <c r="DM40" s="390" t="s">
        <v>133</v>
      </c>
      <c r="DN40" s="469" t="s">
        <v>133</v>
      </c>
      <c r="DO40" s="469" t="s">
        <v>133</v>
      </c>
      <c r="DP40" s="469" t="s">
        <v>133</v>
      </c>
      <c r="DQ40" s="469" t="s">
        <v>133</v>
      </c>
      <c r="DR40" s="469" t="s">
        <v>133</v>
      </c>
      <c r="DS40" s="581" t="s">
        <v>133</v>
      </c>
      <c r="DT40" s="563"/>
    </row>
    <row r="41">
      <c r="A41" s="563"/>
      <c r="B41" s="702"/>
      <c r="L41" s="224"/>
      <c r="M41" s="461"/>
      <c r="N41" s="10"/>
      <c r="O41" s="10"/>
      <c r="P41" s="10"/>
      <c r="Q41" s="570" t="str">
        <f>IFERROR(__xludf.DUMMYFUNCTION("IF(SUM(DB41:DS41),ARRAYFORMULA(FILTER(DB$1:DS$1, DB41:DS41=1)),)"),"Health Regen")</f>
        <v>Health Regen</v>
      </c>
      <c r="R41" s="571">
        <f>IFERROR(__xludf.DUMMYFUNCTION("IF(SUM(DB41:DS41),ARRAYFORMULA(FILTER(AW41:BN41, DB41:DS41=1))+1,)"),78.0)</f>
        <v>78</v>
      </c>
      <c r="S41" s="572">
        <f>IFERROR(__xludf.DUMMYFUNCTION("IF(SUM(DB41:DS41),ARRAYFORMULA(FILTER(AD41:AU41, DB41:DS41=1)),)"),4.8406E14)</f>
        <v>484060000000000</v>
      </c>
      <c r="T41" s="572">
        <f t="shared" si="26"/>
        <v>1.23046E+16</v>
      </c>
      <c r="U41" s="573" t="str">
        <f t="shared" ref="U41:V41" si="139">FORMAT_NUMBER(S41)</f>
        <v>484.06 T</v>
      </c>
      <c r="V41" s="574" t="str">
        <f t="shared" si="139"/>
        <v>12.3 q</v>
      </c>
      <c r="W41" s="677"/>
      <c r="X41" s="709"/>
      <c r="Y41" s="709"/>
      <c r="Z41" s="709"/>
      <c r="AA41" s="709"/>
      <c r="AB41" s="712"/>
      <c r="AC41" s="461"/>
      <c r="AD41" s="580">
        <f t="shared" ref="AD41:AU41" si="140">IFERROR(WSPCOST_SINGLE_ADJUSTED(AD$1,1+AW41),)</f>
        <v>37110000000000</v>
      </c>
      <c r="AE41" s="252">
        <f t="shared" si="140"/>
        <v>82420000000</v>
      </c>
      <c r="AF41" s="252">
        <f t="shared" si="140"/>
        <v>69650000000000</v>
      </c>
      <c r="AG41" s="252">
        <f t="shared" si="140"/>
        <v>21210000000</v>
      </c>
      <c r="AH41" s="252">
        <f t="shared" si="140"/>
        <v>43890000000000</v>
      </c>
      <c r="AI41" s="252">
        <f t="shared" si="140"/>
        <v>47710000000000</v>
      </c>
      <c r="AJ41" s="390">
        <f t="shared" si="140"/>
        <v>92140000000000</v>
      </c>
      <c r="AK41" s="390">
        <f t="shared" si="140"/>
        <v>484060000000000</v>
      </c>
      <c r="AL41" s="390">
        <f t="shared" si="140"/>
        <v>5000000000</v>
      </c>
      <c r="AM41" s="390">
        <f t="shared" si="140"/>
        <v>33950000000</v>
      </c>
      <c r="AN41" s="390">
        <f t="shared" si="140"/>
        <v>60080000000000</v>
      </c>
      <c r="AO41" s="390">
        <f t="shared" si="140"/>
        <v>22020000000000</v>
      </c>
      <c r="AP41" s="469">
        <f t="shared" si="140"/>
        <v>5240000000000</v>
      </c>
      <c r="AQ41" s="469">
        <f t="shared" si="140"/>
        <v>1.3E+15</v>
      </c>
      <c r="AR41" s="469">
        <f t="shared" si="140"/>
        <v>1.3E+15</v>
      </c>
      <c r="AS41" s="469">
        <f t="shared" si="140"/>
        <v>420490000000000</v>
      </c>
      <c r="AT41" s="469">
        <f t="shared" si="140"/>
        <v>3990000000000</v>
      </c>
      <c r="AU41" s="581">
        <f t="shared" si="140"/>
        <v>1.14E+15</v>
      </c>
      <c r="AV41" s="461"/>
      <c r="AW41" s="580">
        <f t="shared" ref="AW41:BN41" si="141">AW40+DB40</f>
        <v>56</v>
      </c>
      <c r="AX41" s="252">
        <f t="shared" si="141"/>
        <v>21</v>
      </c>
      <c r="AY41" s="252">
        <f t="shared" si="141"/>
        <v>60</v>
      </c>
      <c r="AZ41" s="252">
        <f t="shared" si="141"/>
        <v>17</v>
      </c>
      <c r="BA41" s="252">
        <f t="shared" si="141"/>
        <v>57</v>
      </c>
      <c r="BB41" s="252">
        <f t="shared" si="141"/>
        <v>13</v>
      </c>
      <c r="BC41" s="390">
        <f t="shared" si="141"/>
        <v>62</v>
      </c>
      <c r="BD41" s="390">
        <f t="shared" si="141"/>
        <v>77</v>
      </c>
      <c r="BE41" s="390">
        <f t="shared" si="141"/>
        <v>0</v>
      </c>
      <c r="BF41" s="390">
        <f t="shared" si="141"/>
        <v>18</v>
      </c>
      <c r="BG41" s="390">
        <f t="shared" si="141"/>
        <v>59</v>
      </c>
      <c r="BH41" s="390">
        <f t="shared" si="141"/>
        <v>20</v>
      </c>
      <c r="BI41" s="469">
        <f t="shared" si="141"/>
        <v>44</v>
      </c>
      <c r="BJ41" s="469">
        <f t="shared" si="141"/>
        <v>37</v>
      </c>
      <c r="BK41" s="469">
        <f t="shared" si="141"/>
        <v>37</v>
      </c>
      <c r="BL41" s="469">
        <f t="shared" si="141"/>
        <v>18</v>
      </c>
      <c r="BM41" s="469">
        <f t="shared" si="141"/>
        <v>42</v>
      </c>
      <c r="BN41" s="581">
        <f t="shared" si="141"/>
        <v>15</v>
      </c>
      <c r="BO41" s="461"/>
      <c r="BP41" s="580">
        <f t="shared" si="8"/>
        <v>37110000000000</v>
      </c>
      <c r="BQ41" s="252" t="str">
        <f t="shared" si="9"/>
        <v/>
      </c>
      <c r="BR41" s="252">
        <f t="shared" si="10"/>
        <v>69650000000000</v>
      </c>
      <c r="BS41" s="252" t="str">
        <f t="shared" si="11"/>
        <v/>
      </c>
      <c r="BT41" s="252" t="str">
        <f t="shared" si="12"/>
        <v/>
      </c>
      <c r="BU41" s="252">
        <f t="shared" si="13"/>
        <v>47710000000000</v>
      </c>
      <c r="BV41" s="390">
        <f t="shared" si="14"/>
        <v>92140000000000</v>
      </c>
      <c r="BW41" s="390">
        <f t="shared" si="15"/>
        <v>484060000000000</v>
      </c>
      <c r="BX41" s="390" t="str">
        <f t="shared" si="16"/>
        <v/>
      </c>
      <c r="BY41" s="390" t="str">
        <f t="shared" si="17"/>
        <v/>
      </c>
      <c r="BZ41" s="390">
        <f t="shared" si="18"/>
        <v>60080000000000</v>
      </c>
      <c r="CA41" s="390">
        <f t="shared" si="19"/>
        <v>22020000000000</v>
      </c>
      <c r="CB41" s="469">
        <f t="shared" si="20"/>
        <v>5240000000000</v>
      </c>
      <c r="CC41" s="469" t="str">
        <f t="shared" si="21"/>
        <v/>
      </c>
      <c r="CD41" s="469" t="str">
        <f t="shared" si="22"/>
        <v/>
      </c>
      <c r="CE41" s="469" t="str">
        <f t="shared" si="23"/>
        <v/>
      </c>
      <c r="CF41" s="469" t="str">
        <f t="shared" si="24"/>
        <v/>
      </c>
      <c r="CG41" s="581" t="str">
        <f t="shared" si="25"/>
        <v/>
      </c>
      <c r="CH41" s="461"/>
      <c r="CI41" s="580" t="str">
        <f t="array" ref="CI41">LET(
array,SORT({$Y$2:$AB$19,TRANSPOSE($BP41:$CG41)},4,TRUE),
col,CHOOSECOLS(array,5),
row,MATCH(FALSE, ISBLANK(col), 0),
IF(BP41=SWITCH($AA$22,
"minimum cost", MIN($BP41:$CG41),
"maximum cost", MAX($BP41:$CG41), 
"custom order", IF(CI$1=INDEX(array, row,1),INDEX(array, row,5),"x"))
,1,))</f>
        <v/>
      </c>
      <c r="CJ41" s="252" t="str">
        <f t="array" ref="CJ41">LET(
array,SORT({$Y$2:$AB$19,TRANSPOSE($BP41:$CG41)},4,TRUE),
col,CHOOSECOLS(array,5),
row,MATCH(FALSE, ISBLANK(col), 0),
IF(BQ41=SWITCH($AA$22,
"minimum cost", MIN($BP41:$CG41),
"maximum cost", MAX($BP41:$CG41), 
"custom order", IF(CJ$1=INDEX(array, row,1),INDEX(array, row,5),"x"))
,1,))</f>
        <v/>
      </c>
      <c r="CK41" s="252" t="str">
        <f t="array" ref="CK41">LET(
array,SORT({$Y$2:$AB$19,TRANSPOSE($BP41:$CG41)},4,TRUE),
col,CHOOSECOLS(array,5),
row,MATCH(FALSE, ISBLANK(col), 0),
IF(BR41=SWITCH($AA$22,
"minimum cost", MIN($BP41:$CG41),
"maximum cost", MAX($BP41:$CG41), 
"custom order", IF(CK$1=INDEX(array, row,1),INDEX(array, row,5),"x"))
,1,))</f>
        <v/>
      </c>
      <c r="CL41" s="252" t="str">
        <f t="array" ref="CL41">LET(
array,SORT({$Y$2:$AB$19,TRANSPOSE($BP41:$CG41)},4,TRUE),
col,CHOOSECOLS(array,5),
row,MATCH(FALSE, ISBLANK(col), 0),
IF(BS41=SWITCH($AA$22,
"minimum cost", MIN($BP41:$CG41),
"maximum cost", MAX($BP41:$CG41), 
"custom order", IF(CL$1=INDEX(array, row,1),INDEX(array, row,5),"x"))
,1,))</f>
        <v/>
      </c>
      <c r="CM41" s="252" t="str">
        <f t="array" ref="CM41">LET(
array,SORT({$Y$2:$AB$19,TRANSPOSE($BP41:$CG41)},4,TRUE),
col,CHOOSECOLS(array,5),
row,MATCH(FALSE, ISBLANK(col), 0),
IF(BT41=SWITCH($AA$22,
"minimum cost", MIN($BP41:$CG41),
"maximum cost", MAX($BP41:$CG41), 
"custom order", IF(CM$1=INDEX(array, row,1),INDEX(array, row,5),"x"))
,1,))</f>
        <v/>
      </c>
      <c r="CN41" s="252" t="str">
        <f t="array" ref="CN41">LET(
array,SORT({$Y$2:$AB$19,TRANSPOSE($BP41:$CG41)},4,TRUE),
col,CHOOSECOLS(array,5),
row,MATCH(FALSE, ISBLANK(col), 0),
IF(BU41=SWITCH($AA$22,
"minimum cost", MIN($BP41:$CG41),
"maximum cost", MAX($BP41:$CG41), 
"custom order", IF(CN$1=INDEX(array, row,1),INDEX(array, row,5),"x"))
,1,))</f>
        <v/>
      </c>
      <c r="CO41" s="390" t="str">
        <f t="array" ref="CO41">LET(
array,SORT({$Y$2:$AB$19,TRANSPOSE($BP41:$CG41)},4,TRUE),
col,CHOOSECOLS(array,5),
row,MATCH(FALSE, ISBLANK(col), 0),
IF(BV41=SWITCH($AA$22,
"minimum cost", MIN($BP41:$CG41),
"maximum cost", MAX($BP41:$CG41), 
"custom order", IF(CO$1=INDEX(array, row,1),INDEX(array, row,5),"x"))
,1,))</f>
        <v/>
      </c>
      <c r="CP41" s="390">
        <f t="array" ref="CP41">LET(
array,SORT({$Y$2:$AB$19,TRANSPOSE($BP41:$CG41)},4,TRUE),
col,CHOOSECOLS(array,5),
row,MATCH(FALSE, ISBLANK(col), 0),
IF(BW41=SWITCH($AA$22,
"minimum cost", MIN($BP41:$CG41),
"maximum cost", MAX($BP41:$CG41), 
"custom order", IF(CP$1=INDEX(array, row,1),INDEX(array, row,5),"x"))
,1,))</f>
        <v>1</v>
      </c>
      <c r="CQ41" s="390" t="str">
        <f t="array" ref="CQ41">LET(
array,SORT({$Y$2:$AB$19,TRANSPOSE($BP41:$CG41)},4,TRUE),
col,CHOOSECOLS(array,5),
row,MATCH(FALSE, ISBLANK(col), 0),
IF(BX41=SWITCH($AA$22,
"minimum cost", MIN($BP41:$CG41),
"maximum cost", MAX($BP41:$CG41), 
"custom order", IF(CQ$1=INDEX(array, row,1),INDEX(array, row,5),"x"))
,1,))</f>
        <v/>
      </c>
      <c r="CR41" s="390" t="str">
        <f t="array" ref="CR41">LET(
array,SORT({$Y$2:$AB$19,TRANSPOSE($BP41:$CG41)},4,TRUE),
col,CHOOSECOLS(array,5),
row,MATCH(FALSE, ISBLANK(col), 0),
IF(BY41=SWITCH($AA$22,
"minimum cost", MIN($BP41:$CG41),
"maximum cost", MAX($BP41:$CG41), 
"custom order", IF(CR$1=INDEX(array, row,1),INDEX(array, row,5),"x"))
,1,))</f>
        <v/>
      </c>
      <c r="CS41" s="390" t="str">
        <f t="array" ref="CS41">LET(
array,SORT({$Y$2:$AB$19,TRANSPOSE($BP41:$CG41)},4,TRUE),
col,CHOOSECOLS(array,5),
row,MATCH(FALSE, ISBLANK(col), 0),
IF(BZ41=SWITCH($AA$22,
"minimum cost", MIN($BP41:$CG41),
"maximum cost", MAX($BP41:$CG41), 
"custom order", IF(CS$1=INDEX(array, row,1),INDEX(array, row,5),"x"))
,1,))</f>
        <v/>
      </c>
      <c r="CT41" s="390" t="str">
        <f t="array" ref="CT41">LET(
array,SORT({$Y$2:$AB$19,TRANSPOSE($BP41:$CG41)},4,TRUE),
col,CHOOSECOLS(array,5),
row,MATCH(FALSE, ISBLANK(col), 0),
IF(CA41=SWITCH($AA$22,
"minimum cost", MIN($BP41:$CG41),
"maximum cost", MAX($BP41:$CG41), 
"custom order", IF(CT$1=INDEX(array, row,1),INDEX(array, row,5),"x"))
,1,))</f>
        <v/>
      </c>
      <c r="CU41" s="469" t="str">
        <f t="array" ref="CU41">LET(
array,SORT({$Y$2:$AB$19,TRANSPOSE($BP41:$CG41)},4,TRUE),
col,CHOOSECOLS(array,5),
row,MATCH(FALSE, ISBLANK(col), 0),
IF(CB41=SWITCH($AA$22,
"minimum cost", MIN($BP41:$CG41),
"maximum cost", MAX($BP41:$CG41), 
"custom order", IF(CU$1=INDEX(array, row,1),INDEX(array, row,5),"x"))
,1,))</f>
        <v/>
      </c>
      <c r="CV41" s="469" t="str">
        <f t="array" ref="CV41">LET(
array,SORT({$Y$2:$AB$19,TRANSPOSE($BP41:$CG41)},4,TRUE),
col,CHOOSECOLS(array,5),
row,MATCH(FALSE, ISBLANK(col), 0),
IF(CC41=SWITCH($AA$22,
"minimum cost", MIN($BP41:$CG41),
"maximum cost", MAX($BP41:$CG41), 
"custom order", IF(CV$1=INDEX(array, row,1),INDEX(array, row,5),"x"))
,1,))</f>
        <v/>
      </c>
      <c r="CW41" s="469" t="str">
        <f t="array" ref="CW41">LET(
array,SORT({$Y$2:$AB$19,TRANSPOSE($BP41:$CG41)},4,TRUE),
col,CHOOSECOLS(array,5),
row,MATCH(FALSE, ISBLANK(col), 0),
IF(CD41=SWITCH($AA$22,
"minimum cost", MIN($BP41:$CG41),
"maximum cost", MAX($BP41:$CG41), 
"custom order", IF(CW$1=INDEX(array, row,1),INDEX(array, row,5),"x"))
,1,))</f>
        <v/>
      </c>
      <c r="CX41" s="469" t="str">
        <f t="array" ref="CX41">LET(
array,SORT({$Y$2:$AB$19,TRANSPOSE($BP41:$CG41)},4,TRUE),
col,CHOOSECOLS(array,5),
row,MATCH(FALSE, ISBLANK(col), 0),
IF(CE41=SWITCH($AA$22,
"minimum cost", MIN($BP41:$CG41),
"maximum cost", MAX($BP41:$CG41), 
"custom order", IF(CX$1=INDEX(array, row,1),INDEX(array, row,5),"x"))
,1,))</f>
        <v/>
      </c>
      <c r="CY41" s="469" t="str">
        <f t="array" ref="CY41">LET(
array,SORT({$Y$2:$AB$19,TRANSPOSE($BP41:$CG41)},4,TRUE),
col,CHOOSECOLS(array,5),
row,MATCH(FALSE, ISBLANK(col), 0),
IF(CF41=SWITCH($AA$22,
"minimum cost", MIN($BP41:$CG41),
"maximum cost", MAX($BP41:$CG41), 
"custom order", IF(CY$1=INDEX(array, row,1),INDEX(array, row,5),"x"))
,1,))</f>
        <v/>
      </c>
      <c r="CZ41" s="581" t="str">
        <f t="array" ref="CZ41">LET(
array,SORT({$Y$2:$AB$19,TRANSPOSE($BP41:$CG41)},4,TRUE),
col,CHOOSECOLS(array,5),
row,MATCH(FALSE, ISBLANK(col), 0),
IF(CG41=SWITCH($AA$22,
"minimum cost", MIN($BP41:$CG41),
"maximum cost", MAX($BP41:$CG41), 
"custom order", IF(CZ$1=INDEX(array, row,1),INDEX(array, row,5),"x"))
,1,))</f>
        <v/>
      </c>
      <c r="DA41" s="461"/>
      <c r="DB41" s="580" t="str">
        <f t="array" ref="DB41:DS41">IF(MATCH(1, CI41:CZ41, 0)=COLUMN(CI41:CZ41)-COLUMN(CI41)+1, CI41:CZ41, "")</f>
        <v/>
      </c>
      <c r="DC41" s="252" t="s">
        <v>133</v>
      </c>
      <c r="DD41" s="252" t="s">
        <v>133</v>
      </c>
      <c r="DE41" s="252" t="s">
        <v>133</v>
      </c>
      <c r="DF41" s="252" t="s">
        <v>133</v>
      </c>
      <c r="DG41" s="252" t="s">
        <v>133</v>
      </c>
      <c r="DH41" s="390" t="s">
        <v>133</v>
      </c>
      <c r="DI41" s="390">
        <v>1.0</v>
      </c>
      <c r="DJ41" s="390" t="s">
        <v>133</v>
      </c>
      <c r="DK41" s="390" t="s">
        <v>133</v>
      </c>
      <c r="DL41" s="390" t="s">
        <v>133</v>
      </c>
      <c r="DM41" s="390" t="s">
        <v>133</v>
      </c>
      <c r="DN41" s="469" t="s">
        <v>133</v>
      </c>
      <c r="DO41" s="469" t="s">
        <v>133</v>
      </c>
      <c r="DP41" s="469" t="s">
        <v>133</v>
      </c>
      <c r="DQ41" s="469" t="s">
        <v>133</v>
      </c>
      <c r="DR41" s="469" t="s">
        <v>133</v>
      </c>
      <c r="DS41" s="581" t="s">
        <v>133</v>
      </c>
      <c r="DT41" s="563"/>
    </row>
    <row r="42">
      <c r="A42" s="563"/>
      <c r="B42" s="702"/>
      <c r="L42" s="224"/>
      <c r="M42" s="461"/>
      <c r="N42" s="10"/>
      <c r="O42" s="10"/>
      <c r="P42" s="10"/>
      <c r="Q42" s="570" t="str">
        <f>IFERROR(__xludf.DUMMYFUNCTION("IF(SUM(DB42:DS42),ARRAYFORMULA(FILTER(DB$1:DS$1, DB42:DS42=1)),)"),"Health Regen")</f>
        <v>Health Regen</v>
      </c>
      <c r="R42" s="571">
        <f>IFERROR(__xludf.DUMMYFUNCTION("IF(SUM(DB42:DS42),ARRAYFORMULA(FILTER(AW42:BN42, DB42:DS42=1))+1,)"),79.0)</f>
        <v>79</v>
      </c>
      <c r="S42" s="572">
        <f>IFERROR(__xludf.DUMMYFUNCTION("IF(SUM(DB42:DS42),ARRAYFORMULA(FILTER(AD42:AU42, DB42:DS42=1)),)"),5.3045E14)</f>
        <v>530450000000000</v>
      </c>
      <c r="T42" s="572">
        <f t="shared" si="26"/>
        <v>1.28351E+16</v>
      </c>
      <c r="U42" s="573" t="str">
        <f t="shared" ref="U42:V42" si="142">FORMAT_NUMBER(S42)</f>
        <v>530.45 T</v>
      </c>
      <c r="V42" s="574" t="str">
        <f t="shared" si="142"/>
        <v>12.84 q</v>
      </c>
      <c r="W42" s="677"/>
      <c r="X42" s="709"/>
      <c r="Y42" s="709"/>
      <c r="Z42" s="709"/>
      <c r="AA42" s="709"/>
      <c r="AB42" s="712"/>
      <c r="AC42" s="461"/>
      <c r="AD42" s="580">
        <f t="shared" ref="AD42:AU42" si="143">IFERROR(WSPCOST_SINGLE_ADJUSTED(AD$1,1+AW42),)</f>
        <v>37110000000000</v>
      </c>
      <c r="AE42" s="252">
        <f t="shared" si="143"/>
        <v>82420000000</v>
      </c>
      <c r="AF42" s="252">
        <f t="shared" si="143"/>
        <v>69650000000000</v>
      </c>
      <c r="AG42" s="252">
        <f t="shared" si="143"/>
        <v>21210000000</v>
      </c>
      <c r="AH42" s="252">
        <f t="shared" si="143"/>
        <v>43890000000000</v>
      </c>
      <c r="AI42" s="252">
        <f t="shared" si="143"/>
        <v>47710000000000</v>
      </c>
      <c r="AJ42" s="390">
        <f t="shared" si="143"/>
        <v>92140000000000</v>
      </c>
      <c r="AK42" s="390">
        <f t="shared" si="143"/>
        <v>530450000000000</v>
      </c>
      <c r="AL42" s="390">
        <f t="shared" si="143"/>
        <v>5000000000</v>
      </c>
      <c r="AM42" s="390">
        <f t="shared" si="143"/>
        <v>33950000000</v>
      </c>
      <c r="AN42" s="390">
        <f t="shared" si="143"/>
        <v>60080000000000</v>
      </c>
      <c r="AO42" s="390">
        <f t="shared" si="143"/>
        <v>22020000000000</v>
      </c>
      <c r="AP42" s="469">
        <f t="shared" si="143"/>
        <v>5240000000000</v>
      </c>
      <c r="AQ42" s="469">
        <f t="shared" si="143"/>
        <v>1.3E+15</v>
      </c>
      <c r="AR42" s="469">
        <f t="shared" si="143"/>
        <v>1.3E+15</v>
      </c>
      <c r="AS42" s="469">
        <f t="shared" si="143"/>
        <v>420490000000000</v>
      </c>
      <c r="AT42" s="469">
        <f t="shared" si="143"/>
        <v>3990000000000</v>
      </c>
      <c r="AU42" s="581">
        <f t="shared" si="143"/>
        <v>1.14E+15</v>
      </c>
      <c r="AV42" s="461"/>
      <c r="AW42" s="580">
        <f t="shared" ref="AW42:BN42" si="144">AW41+DB41</f>
        <v>56</v>
      </c>
      <c r="AX42" s="252">
        <f t="shared" si="144"/>
        <v>21</v>
      </c>
      <c r="AY42" s="252">
        <f t="shared" si="144"/>
        <v>60</v>
      </c>
      <c r="AZ42" s="252">
        <f t="shared" si="144"/>
        <v>17</v>
      </c>
      <c r="BA42" s="252">
        <f t="shared" si="144"/>
        <v>57</v>
      </c>
      <c r="BB42" s="252">
        <f t="shared" si="144"/>
        <v>13</v>
      </c>
      <c r="BC42" s="390">
        <f t="shared" si="144"/>
        <v>62</v>
      </c>
      <c r="BD42" s="390">
        <f t="shared" si="144"/>
        <v>78</v>
      </c>
      <c r="BE42" s="390">
        <f t="shared" si="144"/>
        <v>0</v>
      </c>
      <c r="BF42" s="390">
        <f t="shared" si="144"/>
        <v>18</v>
      </c>
      <c r="BG42" s="390">
        <f t="shared" si="144"/>
        <v>59</v>
      </c>
      <c r="BH42" s="390">
        <f t="shared" si="144"/>
        <v>20</v>
      </c>
      <c r="BI42" s="469">
        <f t="shared" si="144"/>
        <v>44</v>
      </c>
      <c r="BJ42" s="469">
        <f t="shared" si="144"/>
        <v>37</v>
      </c>
      <c r="BK42" s="469">
        <f t="shared" si="144"/>
        <v>37</v>
      </c>
      <c r="BL42" s="469">
        <f t="shared" si="144"/>
        <v>18</v>
      </c>
      <c r="BM42" s="469">
        <f t="shared" si="144"/>
        <v>42</v>
      </c>
      <c r="BN42" s="581">
        <f t="shared" si="144"/>
        <v>15</v>
      </c>
      <c r="BO42" s="461"/>
      <c r="BP42" s="580">
        <f t="shared" si="8"/>
        <v>37110000000000</v>
      </c>
      <c r="BQ42" s="252" t="str">
        <f t="shared" si="9"/>
        <v/>
      </c>
      <c r="BR42" s="252">
        <f t="shared" si="10"/>
        <v>69650000000000</v>
      </c>
      <c r="BS42" s="252" t="str">
        <f t="shared" si="11"/>
        <v/>
      </c>
      <c r="BT42" s="252" t="str">
        <f t="shared" si="12"/>
        <v/>
      </c>
      <c r="BU42" s="252">
        <f t="shared" si="13"/>
        <v>47710000000000</v>
      </c>
      <c r="BV42" s="390">
        <f t="shared" si="14"/>
        <v>92140000000000</v>
      </c>
      <c r="BW42" s="390">
        <f t="shared" si="15"/>
        <v>530450000000000</v>
      </c>
      <c r="BX42" s="390" t="str">
        <f t="shared" si="16"/>
        <v/>
      </c>
      <c r="BY42" s="390" t="str">
        <f t="shared" si="17"/>
        <v/>
      </c>
      <c r="BZ42" s="390">
        <f t="shared" si="18"/>
        <v>60080000000000</v>
      </c>
      <c r="CA42" s="390">
        <f t="shared" si="19"/>
        <v>22020000000000</v>
      </c>
      <c r="CB42" s="469">
        <f t="shared" si="20"/>
        <v>5240000000000</v>
      </c>
      <c r="CC42" s="469" t="str">
        <f t="shared" si="21"/>
        <v/>
      </c>
      <c r="CD42" s="469" t="str">
        <f t="shared" si="22"/>
        <v/>
      </c>
      <c r="CE42" s="469" t="str">
        <f t="shared" si="23"/>
        <v/>
      </c>
      <c r="CF42" s="469" t="str">
        <f t="shared" si="24"/>
        <v/>
      </c>
      <c r="CG42" s="581" t="str">
        <f t="shared" si="25"/>
        <v/>
      </c>
      <c r="CH42" s="461"/>
      <c r="CI42" s="580" t="str">
        <f t="array" ref="CI42">LET(
array,SORT({$Y$2:$AB$19,TRANSPOSE($BP42:$CG42)},4,TRUE),
col,CHOOSECOLS(array,5),
row,MATCH(FALSE, ISBLANK(col), 0),
IF(BP42=SWITCH($AA$22,
"minimum cost", MIN($BP42:$CG42),
"maximum cost", MAX($BP42:$CG42), 
"custom order", IF(CI$1=INDEX(array, row,1),INDEX(array, row,5),"x"))
,1,))</f>
        <v/>
      </c>
      <c r="CJ42" s="252" t="str">
        <f t="array" ref="CJ42">LET(
array,SORT({$Y$2:$AB$19,TRANSPOSE($BP42:$CG42)},4,TRUE),
col,CHOOSECOLS(array,5),
row,MATCH(FALSE, ISBLANK(col), 0),
IF(BQ42=SWITCH($AA$22,
"minimum cost", MIN($BP42:$CG42),
"maximum cost", MAX($BP42:$CG42), 
"custom order", IF(CJ$1=INDEX(array, row,1),INDEX(array, row,5),"x"))
,1,))</f>
        <v/>
      </c>
      <c r="CK42" s="252" t="str">
        <f t="array" ref="CK42">LET(
array,SORT({$Y$2:$AB$19,TRANSPOSE($BP42:$CG42)},4,TRUE),
col,CHOOSECOLS(array,5),
row,MATCH(FALSE, ISBLANK(col), 0),
IF(BR42=SWITCH($AA$22,
"minimum cost", MIN($BP42:$CG42),
"maximum cost", MAX($BP42:$CG42), 
"custom order", IF(CK$1=INDEX(array, row,1),INDEX(array, row,5),"x"))
,1,))</f>
        <v/>
      </c>
      <c r="CL42" s="252" t="str">
        <f t="array" ref="CL42">LET(
array,SORT({$Y$2:$AB$19,TRANSPOSE($BP42:$CG42)},4,TRUE),
col,CHOOSECOLS(array,5),
row,MATCH(FALSE, ISBLANK(col), 0),
IF(BS42=SWITCH($AA$22,
"minimum cost", MIN($BP42:$CG42),
"maximum cost", MAX($BP42:$CG42), 
"custom order", IF(CL$1=INDEX(array, row,1),INDEX(array, row,5),"x"))
,1,))</f>
        <v/>
      </c>
      <c r="CM42" s="252" t="str">
        <f t="array" ref="CM42">LET(
array,SORT({$Y$2:$AB$19,TRANSPOSE($BP42:$CG42)},4,TRUE),
col,CHOOSECOLS(array,5),
row,MATCH(FALSE, ISBLANK(col), 0),
IF(BT42=SWITCH($AA$22,
"minimum cost", MIN($BP42:$CG42),
"maximum cost", MAX($BP42:$CG42), 
"custom order", IF(CM$1=INDEX(array, row,1),INDEX(array, row,5),"x"))
,1,))</f>
        <v/>
      </c>
      <c r="CN42" s="252" t="str">
        <f t="array" ref="CN42">LET(
array,SORT({$Y$2:$AB$19,TRANSPOSE($BP42:$CG42)},4,TRUE),
col,CHOOSECOLS(array,5),
row,MATCH(FALSE, ISBLANK(col), 0),
IF(BU42=SWITCH($AA$22,
"minimum cost", MIN($BP42:$CG42),
"maximum cost", MAX($BP42:$CG42), 
"custom order", IF(CN$1=INDEX(array, row,1),INDEX(array, row,5),"x"))
,1,))</f>
        <v/>
      </c>
      <c r="CO42" s="390" t="str">
        <f t="array" ref="CO42">LET(
array,SORT({$Y$2:$AB$19,TRANSPOSE($BP42:$CG42)},4,TRUE),
col,CHOOSECOLS(array,5),
row,MATCH(FALSE, ISBLANK(col), 0),
IF(BV42=SWITCH($AA$22,
"minimum cost", MIN($BP42:$CG42),
"maximum cost", MAX($BP42:$CG42), 
"custom order", IF(CO$1=INDEX(array, row,1),INDEX(array, row,5),"x"))
,1,))</f>
        <v/>
      </c>
      <c r="CP42" s="390">
        <f t="array" ref="CP42">LET(
array,SORT({$Y$2:$AB$19,TRANSPOSE($BP42:$CG42)},4,TRUE),
col,CHOOSECOLS(array,5),
row,MATCH(FALSE, ISBLANK(col), 0),
IF(BW42=SWITCH($AA$22,
"minimum cost", MIN($BP42:$CG42),
"maximum cost", MAX($BP42:$CG42), 
"custom order", IF(CP$1=INDEX(array, row,1),INDEX(array, row,5),"x"))
,1,))</f>
        <v>1</v>
      </c>
      <c r="CQ42" s="390" t="str">
        <f t="array" ref="CQ42">LET(
array,SORT({$Y$2:$AB$19,TRANSPOSE($BP42:$CG42)},4,TRUE),
col,CHOOSECOLS(array,5),
row,MATCH(FALSE, ISBLANK(col), 0),
IF(BX42=SWITCH($AA$22,
"minimum cost", MIN($BP42:$CG42),
"maximum cost", MAX($BP42:$CG42), 
"custom order", IF(CQ$1=INDEX(array, row,1),INDEX(array, row,5),"x"))
,1,))</f>
        <v/>
      </c>
      <c r="CR42" s="390" t="str">
        <f t="array" ref="CR42">LET(
array,SORT({$Y$2:$AB$19,TRANSPOSE($BP42:$CG42)},4,TRUE),
col,CHOOSECOLS(array,5),
row,MATCH(FALSE, ISBLANK(col), 0),
IF(BY42=SWITCH($AA$22,
"minimum cost", MIN($BP42:$CG42),
"maximum cost", MAX($BP42:$CG42), 
"custom order", IF(CR$1=INDEX(array, row,1),INDEX(array, row,5),"x"))
,1,))</f>
        <v/>
      </c>
      <c r="CS42" s="390" t="str">
        <f t="array" ref="CS42">LET(
array,SORT({$Y$2:$AB$19,TRANSPOSE($BP42:$CG42)},4,TRUE),
col,CHOOSECOLS(array,5),
row,MATCH(FALSE, ISBLANK(col), 0),
IF(BZ42=SWITCH($AA$22,
"minimum cost", MIN($BP42:$CG42),
"maximum cost", MAX($BP42:$CG42), 
"custom order", IF(CS$1=INDEX(array, row,1),INDEX(array, row,5),"x"))
,1,))</f>
        <v/>
      </c>
      <c r="CT42" s="390" t="str">
        <f t="array" ref="CT42">LET(
array,SORT({$Y$2:$AB$19,TRANSPOSE($BP42:$CG42)},4,TRUE),
col,CHOOSECOLS(array,5),
row,MATCH(FALSE, ISBLANK(col), 0),
IF(CA42=SWITCH($AA$22,
"minimum cost", MIN($BP42:$CG42),
"maximum cost", MAX($BP42:$CG42), 
"custom order", IF(CT$1=INDEX(array, row,1),INDEX(array, row,5),"x"))
,1,))</f>
        <v/>
      </c>
      <c r="CU42" s="469" t="str">
        <f t="array" ref="CU42">LET(
array,SORT({$Y$2:$AB$19,TRANSPOSE($BP42:$CG42)},4,TRUE),
col,CHOOSECOLS(array,5),
row,MATCH(FALSE, ISBLANK(col), 0),
IF(CB42=SWITCH($AA$22,
"minimum cost", MIN($BP42:$CG42),
"maximum cost", MAX($BP42:$CG42), 
"custom order", IF(CU$1=INDEX(array, row,1),INDEX(array, row,5),"x"))
,1,))</f>
        <v/>
      </c>
      <c r="CV42" s="469" t="str">
        <f t="array" ref="CV42">LET(
array,SORT({$Y$2:$AB$19,TRANSPOSE($BP42:$CG42)},4,TRUE),
col,CHOOSECOLS(array,5),
row,MATCH(FALSE, ISBLANK(col), 0),
IF(CC42=SWITCH($AA$22,
"minimum cost", MIN($BP42:$CG42),
"maximum cost", MAX($BP42:$CG42), 
"custom order", IF(CV$1=INDEX(array, row,1),INDEX(array, row,5),"x"))
,1,))</f>
        <v/>
      </c>
      <c r="CW42" s="469" t="str">
        <f t="array" ref="CW42">LET(
array,SORT({$Y$2:$AB$19,TRANSPOSE($BP42:$CG42)},4,TRUE),
col,CHOOSECOLS(array,5),
row,MATCH(FALSE, ISBLANK(col), 0),
IF(CD42=SWITCH($AA$22,
"minimum cost", MIN($BP42:$CG42),
"maximum cost", MAX($BP42:$CG42), 
"custom order", IF(CW$1=INDEX(array, row,1),INDEX(array, row,5),"x"))
,1,))</f>
        <v/>
      </c>
      <c r="CX42" s="469" t="str">
        <f t="array" ref="CX42">LET(
array,SORT({$Y$2:$AB$19,TRANSPOSE($BP42:$CG42)},4,TRUE),
col,CHOOSECOLS(array,5),
row,MATCH(FALSE, ISBLANK(col), 0),
IF(CE42=SWITCH($AA$22,
"minimum cost", MIN($BP42:$CG42),
"maximum cost", MAX($BP42:$CG42), 
"custom order", IF(CX$1=INDEX(array, row,1),INDEX(array, row,5),"x"))
,1,))</f>
        <v/>
      </c>
      <c r="CY42" s="469" t="str">
        <f t="array" ref="CY42">LET(
array,SORT({$Y$2:$AB$19,TRANSPOSE($BP42:$CG42)},4,TRUE),
col,CHOOSECOLS(array,5),
row,MATCH(FALSE, ISBLANK(col), 0),
IF(CF42=SWITCH($AA$22,
"minimum cost", MIN($BP42:$CG42),
"maximum cost", MAX($BP42:$CG42), 
"custom order", IF(CY$1=INDEX(array, row,1),INDEX(array, row,5),"x"))
,1,))</f>
        <v/>
      </c>
      <c r="CZ42" s="581" t="str">
        <f t="array" ref="CZ42">LET(
array,SORT({$Y$2:$AB$19,TRANSPOSE($BP42:$CG42)},4,TRUE),
col,CHOOSECOLS(array,5),
row,MATCH(FALSE, ISBLANK(col), 0),
IF(CG42=SWITCH($AA$22,
"minimum cost", MIN($BP42:$CG42),
"maximum cost", MAX($BP42:$CG42), 
"custom order", IF(CZ$1=INDEX(array, row,1),INDEX(array, row,5),"x"))
,1,))</f>
        <v/>
      </c>
      <c r="DA42" s="461"/>
      <c r="DB42" s="580" t="str">
        <f t="array" ref="DB42:DS42">IF(MATCH(1, CI42:CZ42, 0)=COLUMN(CI42:CZ42)-COLUMN(CI42)+1, CI42:CZ42, "")</f>
        <v/>
      </c>
      <c r="DC42" s="252" t="s">
        <v>133</v>
      </c>
      <c r="DD42" s="252" t="s">
        <v>133</v>
      </c>
      <c r="DE42" s="252" t="s">
        <v>133</v>
      </c>
      <c r="DF42" s="252" t="s">
        <v>133</v>
      </c>
      <c r="DG42" s="252" t="s">
        <v>133</v>
      </c>
      <c r="DH42" s="390" t="s">
        <v>133</v>
      </c>
      <c r="DI42" s="390">
        <v>1.0</v>
      </c>
      <c r="DJ42" s="390" t="s">
        <v>133</v>
      </c>
      <c r="DK42" s="390" t="s">
        <v>133</v>
      </c>
      <c r="DL42" s="390" t="s">
        <v>133</v>
      </c>
      <c r="DM42" s="390" t="s">
        <v>133</v>
      </c>
      <c r="DN42" s="469" t="s">
        <v>133</v>
      </c>
      <c r="DO42" s="469" t="s">
        <v>133</v>
      </c>
      <c r="DP42" s="469" t="s">
        <v>133</v>
      </c>
      <c r="DQ42" s="469" t="s">
        <v>133</v>
      </c>
      <c r="DR42" s="469" t="s">
        <v>133</v>
      </c>
      <c r="DS42" s="581" t="s">
        <v>133</v>
      </c>
      <c r="DT42" s="563"/>
    </row>
    <row r="43">
      <c r="A43" s="563"/>
      <c r="B43" s="220"/>
      <c r="C43" s="215"/>
      <c r="D43" s="215"/>
      <c r="E43" s="215"/>
      <c r="F43" s="215"/>
      <c r="G43" s="215"/>
      <c r="H43" s="215"/>
      <c r="I43" s="215"/>
      <c r="J43" s="215"/>
      <c r="K43" s="215"/>
      <c r="L43" s="219"/>
      <c r="M43" s="461"/>
      <c r="N43" s="10"/>
      <c r="O43" s="10"/>
      <c r="P43" s="10"/>
      <c r="Q43" s="570" t="str">
        <f>IFERROR(__xludf.DUMMYFUNCTION("IF(SUM(DB43:DS43),ARRAYFORMULA(FILTER(DB$1:DS$1, DB43:DS43=1)),)"),"Cash Bonus")</f>
        <v>Cash Bonus</v>
      </c>
      <c r="R43" s="571">
        <f>IFERROR(__xludf.DUMMYFUNCTION("IF(SUM(DB43:DS43),ARRAYFORMULA(FILTER(AW43:BN43, DB43:DS43=1))+1,)"),45.0)</f>
        <v>45</v>
      </c>
      <c r="S43" s="572">
        <f>IFERROR(__xludf.DUMMYFUNCTION("IF(SUM(DB43:DS43),ARRAYFORMULA(FILTER(AD43:AU43, DB43:DS43=1)),)"),5.24E12)</f>
        <v>5240000000000</v>
      </c>
      <c r="T43" s="572">
        <f t="shared" si="26"/>
        <v>1.28403E+16</v>
      </c>
      <c r="U43" s="573" t="str">
        <f t="shared" ref="U43:V43" si="145">FORMAT_NUMBER(S43)</f>
        <v>5.24 T</v>
      </c>
      <c r="V43" s="574" t="str">
        <f t="shared" si="145"/>
        <v>12.84 q</v>
      </c>
      <c r="W43" s="677"/>
      <c r="X43" s="709"/>
      <c r="Y43" s="709"/>
      <c r="Z43" s="709"/>
      <c r="AA43" s="709"/>
      <c r="AB43" s="712"/>
      <c r="AC43" s="461"/>
      <c r="AD43" s="580">
        <f t="shared" ref="AD43:AU43" si="146">IFERROR(WSPCOST_SINGLE_ADJUSTED(AD$1,1+AW43),)</f>
        <v>37110000000000</v>
      </c>
      <c r="AE43" s="252">
        <f t="shared" si="146"/>
        <v>82420000000</v>
      </c>
      <c r="AF43" s="252">
        <f t="shared" si="146"/>
        <v>69650000000000</v>
      </c>
      <c r="AG43" s="252">
        <f t="shared" si="146"/>
        <v>21210000000</v>
      </c>
      <c r="AH43" s="252">
        <f t="shared" si="146"/>
        <v>43890000000000</v>
      </c>
      <c r="AI43" s="252">
        <f t="shared" si="146"/>
        <v>47710000000000</v>
      </c>
      <c r="AJ43" s="390">
        <f t="shared" si="146"/>
        <v>92140000000000</v>
      </c>
      <c r="AK43" s="390">
        <f t="shared" si="146"/>
        <v>580270000000000</v>
      </c>
      <c r="AL43" s="390">
        <f t="shared" si="146"/>
        <v>5000000000</v>
      </c>
      <c r="AM43" s="390">
        <f t="shared" si="146"/>
        <v>33950000000</v>
      </c>
      <c r="AN43" s="390">
        <f t="shared" si="146"/>
        <v>60080000000000</v>
      </c>
      <c r="AO43" s="390">
        <f t="shared" si="146"/>
        <v>22020000000000</v>
      </c>
      <c r="AP43" s="469">
        <f t="shared" si="146"/>
        <v>5240000000000</v>
      </c>
      <c r="AQ43" s="469">
        <f t="shared" si="146"/>
        <v>1.3E+15</v>
      </c>
      <c r="AR43" s="469">
        <f t="shared" si="146"/>
        <v>1.3E+15</v>
      </c>
      <c r="AS43" s="469">
        <f t="shared" si="146"/>
        <v>420490000000000</v>
      </c>
      <c r="AT43" s="469">
        <f t="shared" si="146"/>
        <v>3990000000000</v>
      </c>
      <c r="AU43" s="581">
        <f t="shared" si="146"/>
        <v>1.14E+15</v>
      </c>
      <c r="AV43" s="461"/>
      <c r="AW43" s="580">
        <f t="shared" ref="AW43:BN43" si="147">AW42+DB42</f>
        <v>56</v>
      </c>
      <c r="AX43" s="252">
        <f t="shared" si="147"/>
        <v>21</v>
      </c>
      <c r="AY43" s="252">
        <f t="shared" si="147"/>
        <v>60</v>
      </c>
      <c r="AZ43" s="252">
        <f t="shared" si="147"/>
        <v>17</v>
      </c>
      <c r="BA43" s="252">
        <f t="shared" si="147"/>
        <v>57</v>
      </c>
      <c r="BB43" s="252">
        <f t="shared" si="147"/>
        <v>13</v>
      </c>
      <c r="BC43" s="390">
        <f t="shared" si="147"/>
        <v>62</v>
      </c>
      <c r="BD43" s="390">
        <f t="shared" si="147"/>
        <v>79</v>
      </c>
      <c r="BE43" s="390">
        <f t="shared" si="147"/>
        <v>0</v>
      </c>
      <c r="BF43" s="390">
        <f t="shared" si="147"/>
        <v>18</v>
      </c>
      <c r="BG43" s="390">
        <f t="shared" si="147"/>
        <v>59</v>
      </c>
      <c r="BH43" s="390">
        <f t="shared" si="147"/>
        <v>20</v>
      </c>
      <c r="BI43" s="469">
        <f t="shared" si="147"/>
        <v>44</v>
      </c>
      <c r="BJ43" s="469">
        <f t="shared" si="147"/>
        <v>37</v>
      </c>
      <c r="BK43" s="469">
        <f t="shared" si="147"/>
        <v>37</v>
      </c>
      <c r="BL43" s="469">
        <f t="shared" si="147"/>
        <v>18</v>
      </c>
      <c r="BM43" s="469">
        <f t="shared" si="147"/>
        <v>42</v>
      </c>
      <c r="BN43" s="581">
        <f t="shared" si="147"/>
        <v>15</v>
      </c>
      <c r="BO43" s="461"/>
      <c r="BP43" s="580">
        <f t="shared" si="8"/>
        <v>37110000000000</v>
      </c>
      <c r="BQ43" s="252" t="str">
        <f t="shared" si="9"/>
        <v/>
      </c>
      <c r="BR43" s="252">
        <f t="shared" si="10"/>
        <v>69650000000000</v>
      </c>
      <c r="BS43" s="252" t="str">
        <f t="shared" si="11"/>
        <v/>
      </c>
      <c r="BT43" s="252" t="str">
        <f t="shared" si="12"/>
        <v/>
      </c>
      <c r="BU43" s="252">
        <f t="shared" si="13"/>
        <v>47710000000000</v>
      </c>
      <c r="BV43" s="390">
        <f t="shared" si="14"/>
        <v>92140000000000</v>
      </c>
      <c r="BW43" s="390" t="str">
        <f t="shared" si="15"/>
        <v/>
      </c>
      <c r="BX43" s="390" t="str">
        <f t="shared" si="16"/>
        <v/>
      </c>
      <c r="BY43" s="390" t="str">
        <f t="shared" si="17"/>
        <v/>
      </c>
      <c r="BZ43" s="390">
        <f t="shared" si="18"/>
        <v>60080000000000</v>
      </c>
      <c r="CA43" s="390">
        <f t="shared" si="19"/>
        <v>22020000000000</v>
      </c>
      <c r="CB43" s="469">
        <f t="shared" si="20"/>
        <v>5240000000000</v>
      </c>
      <c r="CC43" s="469" t="str">
        <f t="shared" si="21"/>
        <v/>
      </c>
      <c r="CD43" s="469" t="str">
        <f t="shared" si="22"/>
        <v/>
      </c>
      <c r="CE43" s="469" t="str">
        <f t="shared" si="23"/>
        <v/>
      </c>
      <c r="CF43" s="469" t="str">
        <f t="shared" si="24"/>
        <v/>
      </c>
      <c r="CG43" s="581" t="str">
        <f t="shared" si="25"/>
        <v/>
      </c>
      <c r="CH43" s="461"/>
      <c r="CI43" s="580" t="str">
        <f t="array" ref="CI43">LET(
array,SORT({$Y$2:$AB$19,TRANSPOSE($BP43:$CG43)},4,TRUE),
col,CHOOSECOLS(array,5),
row,MATCH(FALSE, ISBLANK(col), 0),
IF(BP43=SWITCH($AA$22,
"minimum cost", MIN($BP43:$CG43),
"maximum cost", MAX($BP43:$CG43), 
"custom order", IF(CI$1=INDEX(array, row,1),INDEX(array, row,5),"x"))
,1,))</f>
        <v/>
      </c>
      <c r="CJ43" s="252" t="str">
        <f t="array" ref="CJ43">LET(
array,SORT({$Y$2:$AB$19,TRANSPOSE($BP43:$CG43)},4,TRUE),
col,CHOOSECOLS(array,5),
row,MATCH(FALSE, ISBLANK(col), 0),
IF(BQ43=SWITCH($AA$22,
"minimum cost", MIN($BP43:$CG43),
"maximum cost", MAX($BP43:$CG43), 
"custom order", IF(CJ$1=INDEX(array, row,1),INDEX(array, row,5),"x"))
,1,))</f>
        <v/>
      </c>
      <c r="CK43" s="252" t="str">
        <f t="array" ref="CK43">LET(
array,SORT({$Y$2:$AB$19,TRANSPOSE($BP43:$CG43)},4,TRUE),
col,CHOOSECOLS(array,5),
row,MATCH(FALSE, ISBLANK(col), 0),
IF(BR43=SWITCH($AA$22,
"minimum cost", MIN($BP43:$CG43),
"maximum cost", MAX($BP43:$CG43), 
"custom order", IF(CK$1=INDEX(array, row,1),INDEX(array, row,5),"x"))
,1,))</f>
        <v/>
      </c>
      <c r="CL43" s="252" t="str">
        <f t="array" ref="CL43">LET(
array,SORT({$Y$2:$AB$19,TRANSPOSE($BP43:$CG43)},4,TRUE),
col,CHOOSECOLS(array,5),
row,MATCH(FALSE, ISBLANK(col), 0),
IF(BS43=SWITCH($AA$22,
"minimum cost", MIN($BP43:$CG43),
"maximum cost", MAX($BP43:$CG43), 
"custom order", IF(CL$1=INDEX(array, row,1),INDEX(array, row,5),"x"))
,1,))</f>
        <v/>
      </c>
      <c r="CM43" s="252" t="str">
        <f t="array" ref="CM43">LET(
array,SORT({$Y$2:$AB$19,TRANSPOSE($BP43:$CG43)},4,TRUE),
col,CHOOSECOLS(array,5),
row,MATCH(FALSE, ISBLANK(col), 0),
IF(BT43=SWITCH($AA$22,
"minimum cost", MIN($BP43:$CG43),
"maximum cost", MAX($BP43:$CG43), 
"custom order", IF(CM$1=INDEX(array, row,1),INDEX(array, row,5),"x"))
,1,))</f>
        <v/>
      </c>
      <c r="CN43" s="252" t="str">
        <f t="array" ref="CN43">LET(
array,SORT({$Y$2:$AB$19,TRANSPOSE($BP43:$CG43)},4,TRUE),
col,CHOOSECOLS(array,5),
row,MATCH(FALSE, ISBLANK(col), 0),
IF(BU43=SWITCH($AA$22,
"minimum cost", MIN($BP43:$CG43),
"maximum cost", MAX($BP43:$CG43), 
"custom order", IF(CN$1=INDEX(array, row,1),INDEX(array, row,5),"x"))
,1,))</f>
        <v/>
      </c>
      <c r="CO43" s="390" t="str">
        <f t="array" ref="CO43">LET(
array,SORT({$Y$2:$AB$19,TRANSPOSE($BP43:$CG43)},4,TRUE),
col,CHOOSECOLS(array,5),
row,MATCH(FALSE, ISBLANK(col), 0),
IF(BV43=SWITCH($AA$22,
"minimum cost", MIN($BP43:$CG43),
"maximum cost", MAX($BP43:$CG43), 
"custom order", IF(CO$1=INDEX(array, row,1),INDEX(array, row,5),"x"))
,1,))</f>
        <v/>
      </c>
      <c r="CP43" s="390" t="str">
        <f t="array" ref="CP43">LET(
array,SORT({$Y$2:$AB$19,TRANSPOSE($BP43:$CG43)},4,TRUE),
col,CHOOSECOLS(array,5),
row,MATCH(FALSE, ISBLANK(col), 0),
IF(BW43=SWITCH($AA$22,
"minimum cost", MIN($BP43:$CG43),
"maximum cost", MAX($BP43:$CG43), 
"custom order", IF(CP$1=INDEX(array, row,1),INDEX(array, row,5),"x"))
,1,))</f>
        <v/>
      </c>
      <c r="CQ43" s="390" t="str">
        <f t="array" ref="CQ43">LET(
array,SORT({$Y$2:$AB$19,TRANSPOSE($BP43:$CG43)},4,TRUE),
col,CHOOSECOLS(array,5),
row,MATCH(FALSE, ISBLANK(col), 0),
IF(BX43=SWITCH($AA$22,
"minimum cost", MIN($BP43:$CG43),
"maximum cost", MAX($BP43:$CG43), 
"custom order", IF(CQ$1=INDEX(array, row,1),INDEX(array, row,5),"x"))
,1,))</f>
        <v/>
      </c>
      <c r="CR43" s="390" t="str">
        <f t="array" ref="CR43">LET(
array,SORT({$Y$2:$AB$19,TRANSPOSE($BP43:$CG43)},4,TRUE),
col,CHOOSECOLS(array,5),
row,MATCH(FALSE, ISBLANK(col), 0),
IF(BY43=SWITCH($AA$22,
"minimum cost", MIN($BP43:$CG43),
"maximum cost", MAX($BP43:$CG43), 
"custom order", IF(CR$1=INDEX(array, row,1),INDEX(array, row,5),"x"))
,1,))</f>
        <v/>
      </c>
      <c r="CS43" s="390" t="str">
        <f t="array" ref="CS43">LET(
array,SORT({$Y$2:$AB$19,TRANSPOSE($BP43:$CG43)},4,TRUE),
col,CHOOSECOLS(array,5),
row,MATCH(FALSE, ISBLANK(col), 0),
IF(BZ43=SWITCH($AA$22,
"minimum cost", MIN($BP43:$CG43),
"maximum cost", MAX($BP43:$CG43), 
"custom order", IF(CS$1=INDEX(array, row,1),INDEX(array, row,5),"x"))
,1,))</f>
        <v/>
      </c>
      <c r="CT43" s="390" t="str">
        <f t="array" ref="CT43">LET(
array,SORT({$Y$2:$AB$19,TRANSPOSE($BP43:$CG43)},4,TRUE),
col,CHOOSECOLS(array,5),
row,MATCH(FALSE, ISBLANK(col), 0),
IF(CA43=SWITCH($AA$22,
"minimum cost", MIN($BP43:$CG43),
"maximum cost", MAX($BP43:$CG43), 
"custom order", IF(CT$1=INDEX(array, row,1),INDEX(array, row,5),"x"))
,1,))</f>
        <v/>
      </c>
      <c r="CU43" s="469">
        <f t="array" ref="CU43">LET(
array,SORT({$Y$2:$AB$19,TRANSPOSE($BP43:$CG43)},4,TRUE),
col,CHOOSECOLS(array,5),
row,MATCH(FALSE, ISBLANK(col), 0),
IF(CB43=SWITCH($AA$22,
"minimum cost", MIN($BP43:$CG43),
"maximum cost", MAX($BP43:$CG43), 
"custom order", IF(CU$1=INDEX(array, row,1),INDEX(array, row,5),"x"))
,1,))</f>
        <v>1</v>
      </c>
      <c r="CV43" s="469" t="str">
        <f t="array" ref="CV43">LET(
array,SORT({$Y$2:$AB$19,TRANSPOSE($BP43:$CG43)},4,TRUE),
col,CHOOSECOLS(array,5),
row,MATCH(FALSE, ISBLANK(col), 0),
IF(CC43=SWITCH($AA$22,
"minimum cost", MIN($BP43:$CG43),
"maximum cost", MAX($BP43:$CG43), 
"custom order", IF(CV$1=INDEX(array, row,1),INDEX(array, row,5),"x"))
,1,))</f>
        <v/>
      </c>
      <c r="CW43" s="469" t="str">
        <f t="array" ref="CW43">LET(
array,SORT({$Y$2:$AB$19,TRANSPOSE($BP43:$CG43)},4,TRUE),
col,CHOOSECOLS(array,5),
row,MATCH(FALSE, ISBLANK(col), 0),
IF(CD43=SWITCH($AA$22,
"minimum cost", MIN($BP43:$CG43),
"maximum cost", MAX($BP43:$CG43), 
"custom order", IF(CW$1=INDEX(array, row,1),INDEX(array, row,5),"x"))
,1,))</f>
        <v/>
      </c>
      <c r="CX43" s="469" t="str">
        <f t="array" ref="CX43">LET(
array,SORT({$Y$2:$AB$19,TRANSPOSE($BP43:$CG43)},4,TRUE),
col,CHOOSECOLS(array,5),
row,MATCH(FALSE, ISBLANK(col), 0),
IF(CE43=SWITCH($AA$22,
"minimum cost", MIN($BP43:$CG43),
"maximum cost", MAX($BP43:$CG43), 
"custom order", IF(CX$1=INDEX(array, row,1),INDEX(array, row,5),"x"))
,1,))</f>
        <v/>
      </c>
      <c r="CY43" s="469" t="str">
        <f t="array" ref="CY43">LET(
array,SORT({$Y$2:$AB$19,TRANSPOSE($BP43:$CG43)},4,TRUE),
col,CHOOSECOLS(array,5),
row,MATCH(FALSE, ISBLANK(col), 0),
IF(CF43=SWITCH($AA$22,
"minimum cost", MIN($BP43:$CG43),
"maximum cost", MAX($BP43:$CG43), 
"custom order", IF(CY$1=INDEX(array, row,1),INDEX(array, row,5),"x"))
,1,))</f>
        <v/>
      </c>
      <c r="CZ43" s="581" t="str">
        <f t="array" ref="CZ43">LET(
array,SORT({$Y$2:$AB$19,TRANSPOSE($BP43:$CG43)},4,TRUE),
col,CHOOSECOLS(array,5),
row,MATCH(FALSE, ISBLANK(col), 0),
IF(CG43=SWITCH($AA$22,
"minimum cost", MIN($BP43:$CG43),
"maximum cost", MAX($BP43:$CG43), 
"custom order", IF(CZ$1=INDEX(array, row,1),INDEX(array, row,5),"x"))
,1,))</f>
        <v/>
      </c>
      <c r="DA43" s="461"/>
      <c r="DB43" s="580" t="str">
        <f t="array" ref="DB43:DS43">IF(MATCH(1, CI43:CZ43, 0)=COLUMN(CI43:CZ43)-COLUMN(CI43)+1, CI43:CZ43, "")</f>
        <v/>
      </c>
      <c r="DC43" s="252" t="s">
        <v>133</v>
      </c>
      <c r="DD43" s="252" t="s">
        <v>133</v>
      </c>
      <c r="DE43" s="252" t="s">
        <v>133</v>
      </c>
      <c r="DF43" s="252" t="s">
        <v>133</v>
      </c>
      <c r="DG43" s="252" t="s">
        <v>133</v>
      </c>
      <c r="DH43" s="390" t="s">
        <v>133</v>
      </c>
      <c r="DI43" s="390" t="s">
        <v>133</v>
      </c>
      <c r="DJ43" s="390" t="s">
        <v>133</v>
      </c>
      <c r="DK43" s="390" t="s">
        <v>133</v>
      </c>
      <c r="DL43" s="390" t="s">
        <v>133</v>
      </c>
      <c r="DM43" s="390" t="s">
        <v>133</v>
      </c>
      <c r="DN43" s="469">
        <v>1.0</v>
      </c>
      <c r="DO43" s="469" t="s">
        <v>133</v>
      </c>
      <c r="DP43" s="469" t="s">
        <v>133</v>
      </c>
      <c r="DQ43" s="469" t="s">
        <v>133</v>
      </c>
      <c r="DR43" s="469" t="s">
        <v>133</v>
      </c>
      <c r="DS43" s="581" t="s">
        <v>133</v>
      </c>
      <c r="DT43" s="563"/>
    </row>
    <row r="44">
      <c r="A44" s="563"/>
      <c r="B44" s="710"/>
      <c r="C44" s="710"/>
      <c r="D44" s="710"/>
      <c r="E44" s="10"/>
      <c r="F44" s="710"/>
      <c r="G44" s="10"/>
      <c r="H44" s="710"/>
      <c r="I44" s="10"/>
      <c r="J44" s="710"/>
      <c r="K44" s="10"/>
      <c r="L44" s="710"/>
      <c r="M44" s="461"/>
      <c r="N44" s="10"/>
      <c r="O44" s="10"/>
      <c r="P44" s="10"/>
      <c r="Q44" s="570" t="str">
        <f>IFERROR(__xludf.DUMMYFUNCTION("IF(SUM(DB44:DS44),ARRAYFORMULA(FILTER(DB$1:DS$1, DB44:DS44=1)),)"),"Cash Bonus")</f>
        <v>Cash Bonus</v>
      </c>
      <c r="R44" s="571">
        <f>IFERROR(__xludf.DUMMYFUNCTION("IF(SUM(DB44:DS44),ARRAYFORMULA(FILTER(AW44:BN44, DB44:DS44=1))+1,)"),46.0)</f>
        <v>46</v>
      </c>
      <c r="S44" s="572">
        <f>IFERROR(__xludf.DUMMYFUNCTION("IF(SUM(DB44:DS44),ARRAYFORMULA(FILTER(AD44:AU44, DB44:DS44=1)),)"),5.96E12)</f>
        <v>5960000000000</v>
      </c>
      <c r="T44" s="572">
        <f t="shared" si="26"/>
        <v>1.28463E+16</v>
      </c>
      <c r="U44" s="573" t="str">
        <f t="shared" ref="U44:V44" si="148">FORMAT_NUMBER(S44)</f>
        <v>5.96 T</v>
      </c>
      <c r="V44" s="574" t="str">
        <f t="shared" si="148"/>
        <v>12.85 q</v>
      </c>
      <c r="W44" s="677"/>
      <c r="X44" s="709"/>
      <c r="Y44" s="709"/>
      <c r="Z44" s="709"/>
      <c r="AA44" s="709"/>
      <c r="AB44" s="712"/>
      <c r="AC44" s="461"/>
      <c r="AD44" s="580">
        <f t="shared" ref="AD44:AU44" si="149">IFERROR(WSPCOST_SINGLE_ADJUSTED(AD$1,1+AW44),)</f>
        <v>37110000000000</v>
      </c>
      <c r="AE44" s="252">
        <f t="shared" si="149"/>
        <v>82420000000</v>
      </c>
      <c r="AF44" s="252">
        <f t="shared" si="149"/>
        <v>69650000000000</v>
      </c>
      <c r="AG44" s="252">
        <f t="shared" si="149"/>
        <v>21210000000</v>
      </c>
      <c r="AH44" s="252">
        <f t="shared" si="149"/>
        <v>43890000000000</v>
      </c>
      <c r="AI44" s="252">
        <f t="shared" si="149"/>
        <v>47710000000000</v>
      </c>
      <c r="AJ44" s="390">
        <f t="shared" si="149"/>
        <v>92140000000000</v>
      </c>
      <c r="AK44" s="390">
        <f t="shared" si="149"/>
        <v>580270000000000</v>
      </c>
      <c r="AL44" s="390">
        <f t="shared" si="149"/>
        <v>5000000000</v>
      </c>
      <c r="AM44" s="390">
        <f t="shared" si="149"/>
        <v>33950000000</v>
      </c>
      <c r="AN44" s="390">
        <f t="shared" si="149"/>
        <v>60080000000000</v>
      </c>
      <c r="AO44" s="390">
        <f t="shared" si="149"/>
        <v>22020000000000</v>
      </c>
      <c r="AP44" s="469">
        <f t="shared" si="149"/>
        <v>5960000000000</v>
      </c>
      <c r="AQ44" s="469">
        <f t="shared" si="149"/>
        <v>1.3E+15</v>
      </c>
      <c r="AR44" s="469">
        <f t="shared" si="149"/>
        <v>1.3E+15</v>
      </c>
      <c r="AS44" s="469">
        <f t="shared" si="149"/>
        <v>420490000000000</v>
      </c>
      <c r="AT44" s="469">
        <f t="shared" si="149"/>
        <v>3990000000000</v>
      </c>
      <c r="AU44" s="581">
        <f t="shared" si="149"/>
        <v>1.14E+15</v>
      </c>
      <c r="AV44" s="461"/>
      <c r="AW44" s="580">
        <f t="shared" ref="AW44:BN44" si="150">AW43+DB43</f>
        <v>56</v>
      </c>
      <c r="AX44" s="252">
        <f t="shared" si="150"/>
        <v>21</v>
      </c>
      <c r="AY44" s="252">
        <f t="shared" si="150"/>
        <v>60</v>
      </c>
      <c r="AZ44" s="252">
        <f t="shared" si="150"/>
        <v>17</v>
      </c>
      <c r="BA44" s="252">
        <f t="shared" si="150"/>
        <v>57</v>
      </c>
      <c r="BB44" s="252">
        <f t="shared" si="150"/>
        <v>13</v>
      </c>
      <c r="BC44" s="390">
        <f t="shared" si="150"/>
        <v>62</v>
      </c>
      <c r="BD44" s="390">
        <f t="shared" si="150"/>
        <v>79</v>
      </c>
      <c r="BE44" s="390">
        <f t="shared" si="150"/>
        <v>0</v>
      </c>
      <c r="BF44" s="390">
        <f t="shared" si="150"/>
        <v>18</v>
      </c>
      <c r="BG44" s="390">
        <f t="shared" si="150"/>
        <v>59</v>
      </c>
      <c r="BH44" s="390">
        <f t="shared" si="150"/>
        <v>20</v>
      </c>
      <c r="BI44" s="469">
        <f t="shared" si="150"/>
        <v>45</v>
      </c>
      <c r="BJ44" s="469">
        <f t="shared" si="150"/>
        <v>37</v>
      </c>
      <c r="BK44" s="469">
        <f t="shared" si="150"/>
        <v>37</v>
      </c>
      <c r="BL44" s="469">
        <f t="shared" si="150"/>
        <v>18</v>
      </c>
      <c r="BM44" s="469">
        <f t="shared" si="150"/>
        <v>42</v>
      </c>
      <c r="BN44" s="581">
        <f t="shared" si="150"/>
        <v>15</v>
      </c>
      <c r="BO44" s="461"/>
      <c r="BP44" s="580">
        <f t="shared" si="8"/>
        <v>37110000000000</v>
      </c>
      <c r="BQ44" s="252" t="str">
        <f t="shared" si="9"/>
        <v/>
      </c>
      <c r="BR44" s="252">
        <f t="shared" si="10"/>
        <v>69650000000000</v>
      </c>
      <c r="BS44" s="252" t="str">
        <f t="shared" si="11"/>
        <v/>
      </c>
      <c r="BT44" s="252" t="str">
        <f t="shared" si="12"/>
        <v/>
      </c>
      <c r="BU44" s="252">
        <f t="shared" si="13"/>
        <v>47710000000000</v>
      </c>
      <c r="BV44" s="390">
        <f t="shared" si="14"/>
        <v>92140000000000</v>
      </c>
      <c r="BW44" s="390" t="str">
        <f t="shared" si="15"/>
        <v/>
      </c>
      <c r="BX44" s="390" t="str">
        <f t="shared" si="16"/>
        <v/>
      </c>
      <c r="BY44" s="390" t="str">
        <f t="shared" si="17"/>
        <v/>
      </c>
      <c r="BZ44" s="390">
        <f t="shared" si="18"/>
        <v>60080000000000</v>
      </c>
      <c r="CA44" s="390">
        <f t="shared" si="19"/>
        <v>22020000000000</v>
      </c>
      <c r="CB44" s="469">
        <f t="shared" si="20"/>
        <v>5960000000000</v>
      </c>
      <c r="CC44" s="469" t="str">
        <f t="shared" si="21"/>
        <v/>
      </c>
      <c r="CD44" s="469" t="str">
        <f t="shared" si="22"/>
        <v/>
      </c>
      <c r="CE44" s="469" t="str">
        <f t="shared" si="23"/>
        <v/>
      </c>
      <c r="CF44" s="469" t="str">
        <f t="shared" si="24"/>
        <v/>
      </c>
      <c r="CG44" s="581" t="str">
        <f t="shared" si="25"/>
        <v/>
      </c>
      <c r="CH44" s="461"/>
      <c r="CI44" s="580" t="str">
        <f t="array" ref="CI44">LET(
array,SORT({$Y$2:$AB$19,TRANSPOSE($BP44:$CG44)},4,TRUE),
col,CHOOSECOLS(array,5),
row,MATCH(FALSE, ISBLANK(col), 0),
IF(BP44=SWITCH($AA$22,
"minimum cost", MIN($BP44:$CG44),
"maximum cost", MAX($BP44:$CG44), 
"custom order", IF(CI$1=INDEX(array, row,1),INDEX(array, row,5),"x"))
,1,))</f>
        <v/>
      </c>
      <c r="CJ44" s="252" t="str">
        <f t="array" ref="CJ44">LET(
array,SORT({$Y$2:$AB$19,TRANSPOSE($BP44:$CG44)},4,TRUE),
col,CHOOSECOLS(array,5),
row,MATCH(FALSE, ISBLANK(col), 0),
IF(BQ44=SWITCH($AA$22,
"minimum cost", MIN($BP44:$CG44),
"maximum cost", MAX($BP44:$CG44), 
"custom order", IF(CJ$1=INDEX(array, row,1),INDEX(array, row,5),"x"))
,1,))</f>
        <v/>
      </c>
      <c r="CK44" s="252" t="str">
        <f t="array" ref="CK44">LET(
array,SORT({$Y$2:$AB$19,TRANSPOSE($BP44:$CG44)},4,TRUE),
col,CHOOSECOLS(array,5),
row,MATCH(FALSE, ISBLANK(col), 0),
IF(BR44=SWITCH($AA$22,
"minimum cost", MIN($BP44:$CG44),
"maximum cost", MAX($BP44:$CG44), 
"custom order", IF(CK$1=INDEX(array, row,1),INDEX(array, row,5),"x"))
,1,))</f>
        <v/>
      </c>
      <c r="CL44" s="252" t="str">
        <f t="array" ref="CL44">LET(
array,SORT({$Y$2:$AB$19,TRANSPOSE($BP44:$CG44)},4,TRUE),
col,CHOOSECOLS(array,5),
row,MATCH(FALSE, ISBLANK(col), 0),
IF(BS44=SWITCH($AA$22,
"minimum cost", MIN($BP44:$CG44),
"maximum cost", MAX($BP44:$CG44), 
"custom order", IF(CL$1=INDEX(array, row,1),INDEX(array, row,5),"x"))
,1,))</f>
        <v/>
      </c>
      <c r="CM44" s="252" t="str">
        <f t="array" ref="CM44">LET(
array,SORT({$Y$2:$AB$19,TRANSPOSE($BP44:$CG44)},4,TRUE),
col,CHOOSECOLS(array,5),
row,MATCH(FALSE, ISBLANK(col), 0),
IF(BT44=SWITCH($AA$22,
"minimum cost", MIN($BP44:$CG44),
"maximum cost", MAX($BP44:$CG44), 
"custom order", IF(CM$1=INDEX(array, row,1),INDEX(array, row,5),"x"))
,1,))</f>
        <v/>
      </c>
      <c r="CN44" s="252" t="str">
        <f t="array" ref="CN44">LET(
array,SORT({$Y$2:$AB$19,TRANSPOSE($BP44:$CG44)},4,TRUE),
col,CHOOSECOLS(array,5),
row,MATCH(FALSE, ISBLANK(col), 0),
IF(BU44=SWITCH($AA$22,
"minimum cost", MIN($BP44:$CG44),
"maximum cost", MAX($BP44:$CG44), 
"custom order", IF(CN$1=INDEX(array, row,1),INDEX(array, row,5),"x"))
,1,))</f>
        <v/>
      </c>
      <c r="CO44" s="390" t="str">
        <f t="array" ref="CO44">LET(
array,SORT({$Y$2:$AB$19,TRANSPOSE($BP44:$CG44)},4,TRUE),
col,CHOOSECOLS(array,5),
row,MATCH(FALSE, ISBLANK(col), 0),
IF(BV44=SWITCH($AA$22,
"minimum cost", MIN($BP44:$CG44),
"maximum cost", MAX($BP44:$CG44), 
"custom order", IF(CO$1=INDEX(array, row,1),INDEX(array, row,5),"x"))
,1,))</f>
        <v/>
      </c>
      <c r="CP44" s="390" t="str">
        <f t="array" ref="CP44">LET(
array,SORT({$Y$2:$AB$19,TRANSPOSE($BP44:$CG44)},4,TRUE),
col,CHOOSECOLS(array,5),
row,MATCH(FALSE, ISBLANK(col), 0),
IF(BW44=SWITCH($AA$22,
"minimum cost", MIN($BP44:$CG44),
"maximum cost", MAX($BP44:$CG44), 
"custom order", IF(CP$1=INDEX(array, row,1),INDEX(array, row,5),"x"))
,1,))</f>
        <v/>
      </c>
      <c r="CQ44" s="390" t="str">
        <f t="array" ref="CQ44">LET(
array,SORT({$Y$2:$AB$19,TRANSPOSE($BP44:$CG44)},4,TRUE),
col,CHOOSECOLS(array,5),
row,MATCH(FALSE, ISBLANK(col), 0),
IF(BX44=SWITCH($AA$22,
"minimum cost", MIN($BP44:$CG44),
"maximum cost", MAX($BP44:$CG44), 
"custom order", IF(CQ$1=INDEX(array, row,1),INDEX(array, row,5),"x"))
,1,))</f>
        <v/>
      </c>
      <c r="CR44" s="390" t="str">
        <f t="array" ref="CR44">LET(
array,SORT({$Y$2:$AB$19,TRANSPOSE($BP44:$CG44)},4,TRUE),
col,CHOOSECOLS(array,5),
row,MATCH(FALSE, ISBLANK(col), 0),
IF(BY44=SWITCH($AA$22,
"minimum cost", MIN($BP44:$CG44),
"maximum cost", MAX($BP44:$CG44), 
"custom order", IF(CR$1=INDEX(array, row,1),INDEX(array, row,5),"x"))
,1,))</f>
        <v/>
      </c>
      <c r="CS44" s="390" t="str">
        <f t="array" ref="CS44">LET(
array,SORT({$Y$2:$AB$19,TRANSPOSE($BP44:$CG44)},4,TRUE),
col,CHOOSECOLS(array,5),
row,MATCH(FALSE, ISBLANK(col), 0),
IF(BZ44=SWITCH($AA$22,
"minimum cost", MIN($BP44:$CG44),
"maximum cost", MAX($BP44:$CG44), 
"custom order", IF(CS$1=INDEX(array, row,1),INDEX(array, row,5),"x"))
,1,))</f>
        <v/>
      </c>
      <c r="CT44" s="390" t="str">
        <f t="array" ref="CT44">LET(
array,SORT({$Y$2:$AB$19,TRANSPOSE($BP44:$CG44)},4,TRUE),
col,CHOOSECOLS(array,5),
row,MATCH(FALSE, ISBLANK(col), 0),
IF(CA44=SWITCH($AA$22,
"minimum cost", MIN($BP44:$CG44),
"maximum cost", MAX($BP44:$CG44), 
"custom order", IF(CT$1=INDEX(array, row,1),INDEX(array, row,5),"x"))
,1,))</f>
        <v/>
      </c>
      <c r="CU44" s="469">
        <f t="array" ref="CU44">LET(
array,SORT({$Y$2:$AB$19,TRANSPOSE($BP44:$CG44)},4,TRUE),
col,CHOOSECOLS(array,5),
row,MATCH(FALSE, ISBLANK(col), 0),
IF(CB44=SWITCH($AA$22,
"minimum cost", MIN($BP44:$CG44),
"maximum cost", MAX($BP44:$CG44), 
"custom order", IF(CU$1=INDEX(array, row,1),INDEX(array, row,5),"x"))
,1,))</f>
        <v>1</v>
      </c>
      <c r="CV44" s="469" t="str">
        <f t="array" ref="CV44">LET(
array,SORT({$Y$2:$AB$19,TRANSPOSE($BP44:$CG44)},4,TRUE),
col,CHOOSECOLS(array,5),
row,MATCH(FALSE, ISBLANK(col), 0),
IF(CC44=SWITCH($AA$22,
"minimum cost", MIN($BP44:$CG44),
"maximum cost", MAX($BP44:$CG44), 
"custom order", IF(CV$1=INDEX(array, row,1),INDEX(array, row,5),"x"))
,1,))</f>
        <v/>
      </c>
      <c r="CW44" s="469" t="str">
        <f t="array" ref="CW44">LET(
array,SORT({$Y$2:$AB$19,TRANSPOSE($BP44:$CG44)},4,TRUE),
col,CHOOSECOLS(array,5),
row,MATCH(FALSE, ISBLANK(col), 0),
IF(CD44=SWITCH($AA$22,
"minimum cost", MIN($BP44:$CG44),
"maximum cost", MAX($BP44:$CG44), 
"custom order", IF(CW$1=INDEX(array, row,1),INDEX(array, row,5),"x"))
,1,))</f>
        <v/>
      </c>
      <c r="CX44" s="469" t="str">
        <f t="array" ref="CX44">LET(
array,SORT({$Y$2:$AB$19,TRANSPOSE($BP44:$CG44)},4,TRUE),
col,CHOOSECOLS(array,5),
row,MATCH(FALSE, ISBLANK(col), 0),
IF(CE44=SWITCH($AA$22,
"minimum cost", MIN($BP44:$CG44),
"maximum cost", MAX($BP44:$CG44), 
"custom order", IF(CX$1=INDEX(array, row,1),INDEX(array, row,5),"x"))
,1,))</f>
        <v/>
      </c>
      <c r="CY44" s="469" t="str">
        <f t="array" ref="CY44">LET(
array,SORT({$Y$2:$AB$19,TRANSPOSE($BP44:$CG44)},4,TRUE),
col,CHOOSECOLS(array,5),
row,MATCH(FALSE, ISBLANK(col), 0),
IF(CF44=SWITCH($AA$22,
"minimum cost", MIN($BP44:$CG44),
"maximum cost", MAX($BP44:$CG44), 
"custom order", IF(CY$1=INDEX(array, row,1),INDEX(array, row,5),"x"))
,1,))</f>
        <v/>
      </c>
      <c r="CZ44" s="581" t="str">
        <f t="array" ref="CZ44">LET(
array,SORT({$Y$2:$AB$19,TRANSPOSE($BP44:$CG44)},4,TRUE),
col,CHOOSECOLS(array,5),
row,MATCH(FALSE, ISBLANK(col), 0),
IF(CG44=SWITCH($AA$22,
"minimum cost", MIN($BP44:$CG44),
"maximum cost", MAX($BP44:$CG44), 
"custom order", IF(CZ$1=INDEX(array, row,1),INDEX(array, row,5),"x"))
,1,))</f>
        <v/>
      </c>
      <c r="DA44" s="461"/>
      <c r="DB44" s="580" t="str">
        <f t="array" ref="DB44:DS44">IF(MATCH(1, CI44:CZ44, 0)=COLUMN(CI44:CZ44)-COLUMN(CI44)+1, CI44:CZ44, "")</f>
        <v/>
      </c>
      <c r="DC44" s="252" t="s">
        <v>133</v>
      </c>
      <c r="DD44" s="252" t="s">
        <v>133</v>
      </c>
      <c r="DE44" s="252" t="s">
        <v>133</v>
      </c>
      <c r="DF44" s="252" t="s">
        <v>133</v>
      </c>
      <c r="DG44" s="252" t="s">
        <v>133</v>
      </c>
      <c r="DH44" s="390" t="s">
        <v>133</v>
      </c>
      <c r="DI44" s="390" t="s">
        <v>133</v>
      </c>
      <c r="DJ44" s="390" t="s">
        <v>133</v>
      </c>
      <c r="DK44" s="390" t="s">
        <v>133</v>
      </c>
      <c r="DL44" s="390" t="s">
        <v>133</v>
      </c>
      <c r="DM44" s="390" t="s">
        <v>133</v>
      </c>
      <c r="DN44" s="469">
        <v>1.0</v>
      </c>
      <c r="DO44" s="469" t="s">
        <v>133</v>
      </c>
      <c r="DP44" s="469" t="s">
        <v>133</v>
      </c>
      <c r="DQ44" s="469" t="s">
        <v>133</v>
      </c>
      <c r="DR44" s="469" t="s">
        <v>133</v>
      </c>
      <c r="DS44" s="581" t="s">
        <v>133</v>
      </c>
      <c r="DT44" s="563"/>
    </row>
    <row r="45">
      <c r="A45" s="563"/>
      <c r="B45" s="709"/>
      <c r="C45" s="709"/>
      <c r="D45" s="709"/>
      <c r="E45" s="10"/>
      <c r="F45" s="709"/>
      <c r="G45" s="10"/>
      <c r="H45" s="709"/>
      <c r="I45" s="10"/>
      <c r="J45" s="709"/>
      <c r="K45" s="10"/>
      <c r="L45" s="709"/>
      <c r="M45" s="461"/>
      <c r="N45" s="10"/>
      <c r="O45" s="10"/>
      <c r="P45" s="10"/>
      <c r="Q45" s="570" t="str">
        <f>IFERROR(__xludf.DUMMYFUNCTION("IF(SUM(DB45:DS45),ARRAYFORMULA(FILTER(DB$1:DS$1, DB45:DS45=1)),)"),"Cash Bonus")</f>
        <v>Cash Bonus</v>
      </c>
      <c r="R45" s="571">
        <f>IFERROR(__xludf.DUMMYFUNCTION("IF(SUM(DB45:DS45),ARRAYFORMULA(FILTER(AW45:BN45, DB45:DS45=1))+1,)"),47.0)</f>
        <v>47</v>
      </c>
      <c r="S45" s="572">
        <f>IFERROR(__xludf.DUMMYFUNCTION("IF(SUM(DB45:DS45),ARRAYFORMULA(FILTER(AD45:AU45, DB45:DS45=1)),)"),6.76E12)</f>
        <v>6760000000000</v>
      </c>
      <c r="T45" s="572">
        <f t="shared" si="26"/>
        <v>1.2853E+16</v>
      </c>
      <c r="U45" s="573" t="str">
        <f t="shared" ref="U45:V45" si="151">FORMAT_NUMBER(S45)</f>
        <v>6.76 T</v>
      </c>
      <c r="V45" s="574" t="str">
        <f t="shared" si="151"/>
        <v>12.85 q</v>
      </c>
      <c r="W45" s="677"/>
      <c r="X45" s="709"/>
      <c r="Y45" s="709"/>
      <c r="Z45" s="709"/>
      <c r="AA45" s="709"/>
      <c r="AB45" s="712"/>
      <c r="AC45" s="461"/>
      <c r="AD45" s="580">
        <f t="shared" ref="AD45:AU45" si="152">IFERROR(WSPCOST_SINGLE_ADJUSTED(AD$1,1+AW45),)</f>
        <v>37110000000000</v>
      </c>
      <c r="AE45" s="252">
        <f t="shared" si="152"/>
        <v>82420000000</v>
      </c>
      <c r="AF45" s="252">
        <f t="shared" si="152"/>
        <v>69650000000000</v>
      </c>
      <c r="AG45" s="252">
        <f t="shared" si="152"/>
        <v>21210000000</v>
      </c>
      <c r="AH45" s="252">
        <f t="shared" si="152"/>
        <v>43890000000000</v>
      </c>
      <c r="AI45" s="252">
        <f t="shared" si="152"/>
        <v>47710000000000</v>
      </c>
      <c r="AJ45" s="390">
        <f t="shared" si="152"/>
        <v>92140000000000</v>
      </c>
      <c r="AK45" s="390">
        <f t="shared" si="152"/>
        <v>580270000000000</v>
      </c>
      <c r="AL45" s="390">
        <f t="shared" si="152"/>
        <v>5000000000</v>
      </c>
      <c r="AM45" s="390">
        <f t="shared" si="152"/>
        <v>33950000000</v>
      </c>
      <c r="AN45" s="390">
        <f t="shared" si="152"/>
        <v>60080000000000</v>
      </c>
      <c r="AO45" s="390">
        <f t="shared" si="152"/>
        <v>22020000000000</v>
      </c>
      <c r="AP45" s="469">
        <f t="shared" si="152"/>
        <v>6760000000000</v>
      </c>
      <c r="AQ45" s="469">
        <f t="shared" si="152"/>
        <v>1.3E+15</v>
      </c>
      <c r="AR45" s="469">
        <f t="shared" si="152"/>
        <v>1.3E+15</v>
      </c>
      <c r="AS45" s="469">
        <f t="shared" si="152"/>
        <v>420490000000000</v>
      </c>
      <c r="AT45" s="469">
        <f t="shared" si="152"/>
        <v>3990000000000</v>
      </c>
      <c r="AU45" s="581">
        <f t="shared" si="152"/>
        <v>1.14E+15</v>
      </c>
      <c r="AV45" s="461"/>
      <c r="AW45" s="580">
        <f t="shared" ref="AW45:BN45" si="153">AW44+DB44</f>
        <v>56</v>
      </c>
      <c r="AX45" s="252">
        <f t="shared" si="153"/>
        <v>21</v>
      </c>
      <c r="AY45" s="252">
        <f t="shared" si="153"/>
        <v>60</v>
      </c>
      <c r="AZ45" s="252">
        <f t="shared" si="153"/>
        <v>17</v>
      </c>
      <c r="BA45" s="252">
        <f t="shared" si="153"/>
        <v>57</v>
      </c>
      <c r="BB45" s="252">
        <f t="shared" si="153"/>
        <v>13</v>
      </c>
      <c r="BC45" s="390">
        <f t="shared" si="153"/>
        <v>62</v>
      </c>
      <c r="BD45" s="390">
        <f t="shared" si="153"/>
        <v>79</v>
      </c>
      <c r="BE45" s="390">
        <f t="shared" si="153"/>
        <v>0</v>
      </c>
      <c r="BF45" s="390">
        <f t="shared" si="153"/>
        <v>18</v>
      </c>
      <c r="BG45" s="390">
        <f t="shared" si="153"/>
        <v>59</v>
      </c>
      <c r="BH45" s="390">
        <f t="shared" si="153"/>
        <v>20</v>
      </c>
      <c r="BI45" s="469">
        <f t="shared" si="153"/>
        <v>46</v>
      </c>
      <c r="BJ45" s="469">
        <f t="shared" si="153"/>
        <v>37</v>
      </c>
      <c r="BK45" s="469">
        <f t="shared" si="153"/>
        <v>37</v>
      </c>
      <c r="BL45" s="469">
        <f t="shared" si="153"/>
        <v>18</v>
      </c>
      <c r="BM45" s="469">
        <f t="shared" si="153"/>
        <v>42</v>
      </c>
      <c r="BN45" s="581">
        <f t="shared" si="153"/>
        <v>15</v>
      </c>
      <c r="BO45" s="461"/>
      <c r="BP45" s="580">
        <f t="shared" si="8"/>
        <v>37110000000000</v>
      </c>
      <c r="BQ45" s="252" t="str">
        <f t="shared" si="9"/>
        <v/>
      </c>
      <c r="BR45" s="252">
        <f t="shared" si="10"/>
        <v>69650000000000</v>
      </c>
      <c r="BS45" s="252" t="str">
        <f t="shared" si="11"/>
        <v/>
      </c>
      <c r="BT45" s="252" t="str">
        <f t="shared" si="12"/>
        <v/>
      </c>
      <c r="BU45" s="252">
        <f t="shared" si="13"/>
        <v>47710000000000</v>
      </c>
      <c r="BV45" s="390">
        <f t="shared" si="14"/>
        <v>92140000000000</v>
      </c>
      <c r="BW45" s="390" t="str">
        <f t="shared" si="15"/>
        <v/>
      </c>
      <c r="BX45" s="390" t="str">
        <f t="shared" si="16"/>
        <v/>
      </c>
      <c r="BY45" s="390" t="str">
        <f t="shared" si="17"/>
        <v/>
      </c>
      <c r="BZ45" s="390">
        <f t="shared" si="18"/>
        <v>60080000000000</v>
      </c>
      <c r="CA45" s="390">
        <f t="shared" si="19"/>
        <v>22020000000000</v>
      </c>
      <c r="CB45" s="469">
        <f t="shared" si="20"/>
        <v>6760000000000</v>
      </c>
      <c r="CC45" s="469" t="str">
        <f t="shared" si="21"/>
        <v/>
      </c>
      <c r="CD45" s="469" t="str">
        <f t="shared" si="22"/>
        <v/>
      </c>
      <c r="CE45" s="469" t="str">
        <f t="shared" si="23"/>
        <v/>
      </c>
      <c r="CF45" s="469" t="str">
        <f t="shared" si="24"/>
        <v/>
      </c>
      <c r="CG45" s="581" t="str">
        <f t="shared" si="25"/>
        <v/>
      </c>
      <c r="CH45" s="461"/>
      <c r="CI45" s="580" t="str">
        <f t="array" ref="CI45">LET(
array,SORT({$Y$2:$AB$19,TRANSPOSE($BP45:$CG45)},4,TRUE),
col,CHOOSECOLS(array,5),
row,MATCH(FALSE, ISBLANK(col), 0),
IF(BP45=SWITCH($AA$22,
"minimum cost", MIN($BP45:$CG45),
"maximum cost", MAX($BP45:$CG45), 
"custom order", IF(CI$1=INDEX(array, row,1),INDEX(array, row,5),"x"))
,1,))</f>
        <v/>
      </c>
      <c r="CJ45" s="252" t="str">
        <f t="array" ref="CJ45">LET(
array,SORT({$Y$2:$AB$19,TRANSPOSE($BP45:$CG45)},4,TRUE),
col,CHOOSECOLS(array,5),
row,MATCH(FALSE, ISBLANK(col), 0),
IF(BQ45=SWITCH($AA$22,
"minimum cost", MIN($BP45:$CG45),
"maximum cost", MAX($BP45:$CG45), 
"custom order", IF(CJ$1=INDEX(array, row,1),INDEX(array, row,5),"x"))
,1,))</f>
        <v/>
      </c>
      <c r="CK45" s="252" t="str">
        <f t="array" ref="CK45">LET(
array,SORT({$Y$2:$AB$19,TRANSPOSE($BP45:$CG45)},4,TRUE),
col,CHOOSECOLS(array,5),
row,MATCH(FALSE, ISBLANK(col), 0),
IF(BR45=SWITCH($AA$22,
"minimum cost", MIN($BP45:$CG45),
"maximum cost", MAX($BP45:$CG45), 
"custom order", IF(CK$1=INDEX(array, row,1),INDEX(array, row,5),"x"))
,1,))</f>
        <v/>
      </c>
      <c r="CL45" s="252" t="str">
        <f t="array" ref="CL45">LET(
array,SORT({$Y$2:$AB$19,TRANSPOSE($BP45:$CG45)},4,TRUE),
col,CHOOSECOLS(array,5),
row,MATCH(FALSE, ISBLANK(col), 0),
IF(BS45=SWITCH($AA$22,
"minimum cost", MIN($BP45:$CG45),
"maximum cost", MAX($BP45:$CG45), 
"custom order", IF(CL$1=INDEX(array, row,1),INDEX(array, row,5),"x"))
,1,))</f>
        <v/>
      </c>
      <c r="CM45" s="252" t="str">
        <f t="array" ref="CM45">LET(
array,SORT({$Y$2:$AB$19,TRANSPOSE($BP45:$CG45)},4,TRUE),
col,CHOOSECOLS(array,5),
row,MATCH(FALSE, ISBLANK(col), 0),
IF(BT45=SWITCH($AA$22,
"minimum cost", MIN($BP45:$CG45),
"maximum cost", MAX($BP45:$CG45), 
"custom order", IF(CM$1=INDEX(array, row,1),INDEX(array, row,5),"x"))
,1,))</f>
        <v/>
      </c>
      <c r="CN45" s="252" t="str">
        <f t="array" ref="CN45">LET(
array,SORT({$Y$2:$AB$19,TRANSPOSE($BP45:$CG45)},4,TRUE),
col,CHOOSECOLS(array,5),
row,MATCH(FALSE, ISBLANK(col), 0),
IF(BU45=SWITCH($AA$22,
"minimum cost", MIN($BP45:$CG45),
"maximum cost", MAX($BP45:$CG45), 
"custom order", IF(CN$1=INDEX(array, row,1),INDEX(array, row,5),"x"))
,1,))</f>
        <v/>
      </c>
      <c r="CO45" s="390" t="str">
        <f t="array" ref="CO45">LET(
array,SORT({$Y$2:$AB$19,TRANSPOSE($BP45:$CG45)},4,TRUE),
col,CHOOSECOLS(array,5),
row,MATCH(FALSE, ISBLANK(col), 0),
IF(BV45=SWITCH($AA$22,
"minimum cost", MIN($BP45:$CG45),
"maximum cost", MAX($BP45:$CG45), 
"custom order", IF(CO$1=INDEX(array, row,1),INDEX(array, row,5),"x"))
,1,))</f>
        <v/>
      </c>
      <c r="CP45" s="390" t="str">
        <f t="array" ref="CP45">LET(
array,SORT({$Y$2:$AB$19,TRANSPOSE($BP45:$CG45)},4,TRUE),
col,CHOOSECOLS(array,5),
row,MATCH(FALSE, ISBLANK(col), 0),
IF(BW45=SWITCH($AA$22,
"minimum cost", MIN($BP45:$CG45),
"maximum cost", MAX($BP45:$CG45), 
"custom order", IF(CP$1=INDEX(array, row,1),INDEX(array, row,5),"x"))
,1,))</f>
        <v/>
      </c>
      <c r="CQ45" s="390" t="str">
        <f t="array" ref="CQ45">LET(
array,SORT({$Y$2:$AB$19,TRANSPOSE($BP45:$CG45)},4,TRUE),
col,CHOOSECOLS(array,5),
row,MATCH(FALSE, ISBLANK(col), 0),
IF(BX45=SWITCH($AA$22,
"minimum cost", MIN($BP45:$CG45),
"maximum cost", MAX($BP45:$CG45), 
"custom order", IF(CQ$1=INDEX(array, row,1),INDEX(array, row,5),"x"))
,1,))</f>
        <v/>
      </c>
      <c r="CR45" s="390" t="str">
        <f t="array" ref="CR45">LET(
array,SORT({$Y$2:$AB$19,TRANSPOSE($BP45:$CG45)},4,TRUE),
col,CHOOSECOLS(array,5),
row,MATCH(FALSE, ISBLANK(col), 0),
IF(BY45=SWITCH($AA$22,
"minimum cost", MIN($BP45:$CG45),
"maximum cost", MAX($BP45:$CG45), 
"custom order", IF(CR$1=INDEX(array, row,1),INDEX(array, row,5),"x"))
,1,))</f>
        <v/>
      </c>
      <c r="CS45" s="390" t="str">
        <f t="array" ref="CS45">LET(
array,SORT({$Y$2:$AB$19,TRANSPOSE($BP45:$CG45)},4,TRUE),
col,CHOOSECOLS(array,5),
row,MATCH(FALSE, ISBLANK(col), 0),
IF(BZ45=SWITCH($AA$22,
"minimum cost", MIN($BP45:$CG45),
"maximum cost", MAX($BP45:$CG45), 
"custom order", IF(CS$1=INDEX(array, row,1),INDEX(array, row,5),"x"))
,1,))</f>
        <v/>
      </c>
      <c r="CT45" s="390" t="str">
        <f t="array" ref="CT45">LET(
array,SORT({$Y$2:$AB$19,TRANSPOSE($BP45:$CG45)},4,TRUE),
col,CHOOSECOLS(array,5),
row,MATCH(FALSE, ISBLANK(col), 0),
IF(CA45=SWITCH($AA$22,
"minimum cost", MIN($BP45:$CG45),
"maximum cost", MAX($BP45:$CG45), 
"custom order", IF(CT$1=INDEX(array, row,1),INDEX(array, row,5),"x"))
,1,))</f>
        <v/>
      </c>
      <c r="CU45" s="469">
        <f t="array" ref="CU45">LET(
array,SORT({$Y$2:$AB$19,TRANSPOSE($BP45:$CG45)},4,TRUE),
col,CHOOSECOLS(array,5),
row,MATCH(FALSE, ISBLANK(col), 0),
IF(CB45=SWITCH($AA$22,
"minimum cost", MIN($BP45:$CG45),
"maximum cost", MAX($BP45:$CG45), 
"custom order", IF(CU$1=INDEX(array, row,1),INDEX(array, row,5),"x"))
,1,))</f>
        <v>1</v>
      </c>
      <c r="CV45" s="469" t="str">
        <f t="array" ref="CV45">LET(
array,SORT({$Y$2:$AB$19,TRANSPOSE($BP45:$CG45)},4,TRUE),
col,CHOOSECOLS(array,5),
row,MATCH(FALSE, ISBLANK(col), 0),
IF(CC45=SWITCH($AA$22,
"minimum cost", MIN($BP45:$CG45),
"maximum cost", MAX($BP45:$CG45), 
"custom order", IF(CV$1=INDEX(array, row,1),INDEX(array, row,5),"x"))
,1,))</f>
        <v/>
      </c>
      <c r="CW45" s="469" t="str">
        <f t="array" ref="CW45">LET(
array,SORT({$Y$2:$AB$19,TRANSPOSE($BP45:$CG45)},4,TRUE),
col,CHOOSECOLS(array,5),
row,MATCH(FALSE, ISBLANK(col), 0),
IF(CD45=SWITCH($AA$22,
"minimum cost", MIN($BP45:$CG45),
"maximum cost", MAX($BP45:$CG45), 
"custom order", IF(CW$1=INDEX(array, row,1),INDEX(array, row,5),"x"))
,1,))</f>
        <v/>
      </c>
      <c r="CX45" s="469" t="str">
        <f t="array" ref="CX45">LET(
array,SORT({$Y$2:$AB$19,TRANSPOSE($BP45:$CG45)},4,TRUE),
col,CHOOSECOLS(array,5),
row,MATCH(FALSE, ISBLANK(col), 0),
IF(CE45=SWITCH($AA$22,
"minimum cost", MIN($BP45:$CG45),
"maximum cost", MAX($BP45:$CG45), 
"custom order", IF(CX$1=INDEX(array, row,1),INDEX(array, row,5),"x"))
,1,))</f>
        <v/>
      </c>
      <c r="CY45" s="469" t="str">
        <f t="array" ref="CY45">LET(
array,SORT({$Y$2:$AB$19,TRANSPOSE($BP45:$CG45)},4,TRUE),
col,CHOOSECOLS(array,5),
row,MATCH(FALSE, ISBLANK(col), 0),
IF(CF45=SWITCH($AA$22,
"minimum cost", MIN($BP45:$CG45),
"maximum cost", MAX($BP45:$CG45), 
"custom order", IF(CY$1=INDEX(array, row,1),INDEX(array, row,5),"x"))
,1,))</f>
        <v/>
      </c>
      <c r="CZ45" s="581" t="str">
        <f t="array" ref="CZ45">LET(
array,SORT({$Y$2:$AB$19,TRANSPOSE($BP45:$CG45)},4,TRUE),
col,CHOOSECOLS(array,5),
row,MATCH(FALSE, ISBLANK(col), 0),
IF(CG45=SWITCH($AA$22,
"minimum cost", MIN($BP45:$CG45),
"maximum cost", MAX($BP45:$CG45), 
"custom order", IF(CZ$1=INDEX(array, row,1),INDEX(array, row,5),"x"))
,1,))</f>
        <v/>
      </c>
      <c r="DA45" s="461"/>
      <c r="DB45" s="580" t="str">
        <f t="array" ref="DB45:DS45">IF(MATCH(1, CI45:CZ45, 0)=COLUMN(CI45:CZ45)-COLUMN(CI45)+1, CI45:CZ45, "")</f>
        <v/>
      </c>
      <c r="DC45" s="252" t="s">
        <v>133</v>
      </c>
      <c r="DD45" s="252" t="s">
        <v>133</v>
      </c>
      <c r="DE45" s="252" t="s">
        <v>133</v>
      </c>
      <c r="DF45" s="252" t="s">
        <v>133</v>
      </c>
      <c r="DG45" s="252" t="s">
        <v>133</v>
      </c>
      <c r="DH45" s="390" t="s">
        <v>133</v>
      </c>
      <c r="DI45" s="390" t="s">
        <v>133</v>
      </c>
      <c r="DJ45" s="390" t="s">
        <v>133</v>
      </c>
      <c r="DK45" s="390" t="s">
        <v>133</v>
      </c>
      <c r="DL45" s="390" t="s">
        <v>133</v>
      </c>
      <c r="DM45" s="390" t="s">
        <v>133</v>
      </c>
      <c r="DN45" s="469">
        <v>1.0</v>
      </c>
      <c r="DO45" s="469" t="s">
        <v>133</v>
      </c>
      <c r="DP45" s="469" t="s">
        <v>133</v>
      </c>
      <c r="DQ45" s="469" t="s">
        <v>133</v>
      </c>
      <c r="DR45" s="469" t="s">
        <v>133</v>
      </c>
      <c r="DS45" s="581" t="s">
        <v>133</v>
      </c>
      <c r="DT45" s="563"/>
    </row>
    <row r="46">
      <c r="A46" s="563"/>
      <c r="B46" s="709"/>
      <c r="C46" s="709"/>
      <c r="D46" s="709"/>
      <c r="E46" s="10"/>
      <c r="F46" s="709"/>
      <c r="G46" s="10"/>
      <c r="H46" s="709"/>
      <c r="I46" s="10"/>
      <c r="J46" s="709"/>
      <c r="K46" s="10"/>
      <c r="L46" s="709"/>
      <c r="M46" s="461"/>
      <c r="N46" s="10"/>
      <c r="O46" s="10"/>
      <c r="P46" s="10"/>
      <c r="Q46" s="570" t="str">
        <f>IFERROR(__xludf.DUMMYFUNCTION("IF(SUM(DB46:DS46),ARRAYFORMULA(FILTER(DB$1:DS$1, DB46:DS46=1)),)"),"Cash Bonus")</f>
        <v>Cash Bonus</v>
      </c>
      <c r="R46" s="571">
        <f>IFERROR(__xludf.DUMMYFUNCTION("IF(SUM(DB46:DS46),ARRAYFORMULA(FILTER(AW46:BN46, DB46:DS46=1))+1,)"),48.0)</f>
        <v>48</v>
      </c>
      <c r="S46" s="572">
        <f>IFERROR(__xludf.DUMMYFUNCTION("IF(SUM(DB46:DS46),ARRAYFORMULA(FILTER(AD46:AU46, DB46:DS46=1)),)"),7.62E12)</f>
        <v>7620000000000</v>
      </c>
      <c r="T46" s="572">
        <f t="shared" si="26"/>
        <v>1.28606E+16</v>
      </c>
      <c r="U46" s="573" t="str">
        <f t="shared" ref="U46:V46" si="154">FORMAT_NUMBER(S46)</f>
        <v>7.62 T</v>
      </c>
      <c r="V46" s="574" t="str">
        <f t="shared" si="154"/>
        <v>12.86 q</v>
      </c>
      <c r="W46" s="677"/>
      <c r="X46" s="709"/>
      <c r="Y46" s="709"/>
      <c r="Z46" s="709"/>
      <c r="AA46" s="709"/>
      <c r="AB46" s="712"/>
      <c r="AC46" s="461"/>
      <c r="AD46" s="580">
        <f t="shared" ref="AD46:AU46" si="155">IFERROR(WSPCOST_SINGLE_ADJUSTED(AD$1,1+AW46),)</f>
        <v>37110000000000</v>
      </c>
      <c r="AE46" s="252">
        <f t="shared" si="155"/>
        <v>82420000000</v>
      </c>
      <c r="AF46" s="252">
        <f t="shared" si="155"/>
        <v>69650000000000</v>
      </c>
      <c r="AG46" s="252">
        <f t="shared" si="155"/>
        <v>21210000000</v>
      </c>
      <c r="AH46" s="252">
        <f t="shared" si="155"/>
        <v>43890000000000</v>
      </c>
      <c r="AI46" s="252">
        <f t="shared" si="155"/>
        <v>47710000000000</v>
      </c>
      <c r="AJ46" s="390">
        <f t="shared" si="155"/>
        <v>92140000000000</v>
      </c>
      <c r="AK46" s="390">
        <f t="shared" si="155"/>
        <v>580270000000000</v>
      </c>
      <c r="AL46" s="390">
        <f t="shared" si="155"/>
        <v>5000000000</v>
      </c>
      <c r="AM46" s="390">
        <f t="shared" si="155"/>
        <v>33950000000</v>
      </c>
      <c r="AN46" s="390">
        <f t="shared" si="155"/>
        <v>60080000000000</v>
      </c>
      <c r="AO46" s="390">
        <f t="shared" si="155"/>
        <v>22020000000000</v>
      </c>
      <c r="AP46" s="469">
        <f t="shared" si="155"/>
        <v>7620000000000</v>
      </c>
      <c r="AQ46" s="469">
        <f t="shared" si="155"/>
        <v>1.3E+15</v>
      </c>
      <c r="AR46" s="469">
        <f t="shared" si="155"/>
        <v>1.3E+15</v>
      </c>
      <c r="AS46" s="469">
        <f t="shared" si="155"/>
        <v>420490000000000</v>
      </c>
      <c r="AT46" s="469">
        <f t="shared" si="155"/>
        <v>3990000000000</v>
      </c>
      <c r="AU46" s="581">
        <f t="shared" si="155"/>
        <v>1.14E+15</v>
      </c>
      <c r="AV46" s="461"/>
      <c r="AW46" s="580">
        <f t="shared" ref="AW46:BN46" si="156">AW45+DB45</f>
        <v>56</v>
      </c>
      <c r="AX46" s="252">
        <f t="shared" si="156"/>
        <v>21</v>
      </c>
      <c r="AY46" s="252">
        <f t="shared" si="156"/>
        <v>60</v>
      </c>
      <c r="AZ46" s="252">
        <f t="shared" si="156"/>
        <v>17</v>
      </c>
      <c r="BA46" s="252">
        <f t="shared" si="156"/>
        <v>57</v>
      </c>
      <c r="BB46" s="252">
        <f t="shared" si="156"/>
        <v>13</v>
      </c>
      <c r="BC46" s="390">
        <f t="shared" si="156"/>
        <v>62</v>
      </c>
      <c r="BD46" s="390">
        <f t="shared" si="156"/>
        <v>79</v>
      </c>
      <c r="BE46" s="390">
        <f t="shared" si="156"/>
        <v>0</v>
      </c>
      <c r="BF46" s="390">
        <f t="shared" si="156"/>
        <v>18</v>
      </c>
      <c r="BG46" s="390">
        <f t="shared" si="156"/>
        <v>59</v>
      </c>
      <c r="BH46" s="390">
        <f t="shared" si="156"/>
        <v>20</v>
      </c>
      <c r="BI46" s="469">
        <f t="shared" si="156"/>
        <v>47</v>
      </c>
      <c r="BJ46" s="469">
        <f t="shared" si="156"/>
        <v>37</v>
      </c>
      <c r="BK46" s="469">
        <f t="shared" si="156"/>
        <v>37</v>
      </c>
      <c r="BL46" s="469">
        <f t="shared" si="156"/>
        <v>18</v>
      </c>
      <c r="BM46" s="469">
        <f t="shared" si="156"/>
        <v>42</v>
      </c>
      <c r="BN46" s="581">
        <f t="shared" si="156"/>
        <v>15</v>
      </c>
      <c r="BO46" s="461"/>
      <c r="BP46" s="580">
        <f t="shared" si="8"/>
        <v>37110000000000</v>
      </c>
      <c r="BQ46" s="252" t="str">
        <f t="shared" si="9"/>
        <v/>
      </c>
      <c r="BR46" s="252">
        <f t="shared" si="10"/>
        <v>69650000000000</v>
      </c>
      <c r="BS46" s="252" t="str">
        <f t="shared" si="11"/>
        <v/>
      </c>
      <c r="BT46" s="252" t="str">
        <f t="shared" si="12"/>
        <v/>
      </c>
      <c r="BU46" s="252">
        <f t="shared" si="13"/>
        <v>47710000000000</v>
      </c>
      <c r="BV46" s="390">
        <f t="shared" si="14"/>
        <v>92140000000000</v>
      </c>
      <c r="BW46" s="390" t="str">
        <f t="shared" si="15"/>
        <v/>
      </c>
      <c r="BX46" s="390" t="str">
        <f t="shared" si="16"/>
        <v/>
      </c>
      <c r="BY46" s="390" t="str">
        <f t="shared" si="17"/>
        <v/>
      </c>
      <c r="BZ46" s="390">
        <f t="shared" si="18"/>
        <v>60080000000000</v>
      </c>
      <c r="CA46" s="390">
        <f t="shared" si="19"/>
        <v>22020000000000</v>
      </c>
      <c r="CB46" s="469">
        <f t="shared" si="20"/>
        <v>7620000000000</v>
      </c>
      <c r="CC46" s="469" t="str">
        <f t="shared" si="21"/>
        <v/>
      </c>
      <c r="CD46" s="469" t="str">
        <f t="shared" si="22"/>
        <v/>
      </c>
      <c r="CE46" s="469" t="str">
        <f t="shared" si="23"/>
        <v/>
      </c>
      <c r="CF46" s="469" t="str">
        <f t="shared" si="24"/>
        <v/>
      </c>
      <c r="CG46" s="581" t="str">
        <f t="shared" si="25"/>
        <v/>
      </c>
      <c r="CH46" s="461"/>
      <c r="CI46" s="580" t="str">
        <f t="array" ref="CI46">LET(
array,SORT({$Y$2:$AB$19,TRANSPOSE($BP46:$CG46)},4,TRUE),
col,CHOOSECOLS(array,5),
row,MATCH(FALSE, ISBLANK(col), 0),
IF(BP46=SWITCH($AA$22,
"minimum cost", MIN($BP46:$CG46),
"maximum cost", MAX($BP46:$CG46), 
"custom order", IF(CI$1=INDEX(array, row,1),INDEX(array, row,5),"x"))
,1,))</f>
        <v/>
      </c>
      <c r="CJ46" s="252" t="str">
        <f t="array" ref="CJ46">LET(
array,SORT({$Y$2:$AB$19,TRANSPOSE($BP46:$CG46)},4,TRUE),
col,CHOOSECOLS(array,5),
row,MATCH(FALSE, ISBLANK(col), 0),
IF(BQ46=SWITCH($AA$22,
"minimum cost", MIN($BP46:$CG46),
"maximum cost", MAX($BP46:$CG46), 
"custom order", IF(CJ$1=INDEX(array, row,1),INDEX(array, row,5),"x"))
,1,))</f>
        <v/>
      </c>
      <c r="CK46" s="252" t="str">
        <f t="array" ref="CK46">LET(
array,SORT({$Y$2:$AB$19,TRANSPOSE($BP46:$CG46)},4,TRUE),
col,CHOOSECOLS(array,5),
row,MATCH(FALSE, ISBLANK(col), 0),
IF(BR46=SWITCH($AA$22,
"minimum cost", MIN($BP46:$CG46),
"maximum cost", MAX($BP46:$CG46), 
"custom order", IF(CK$1=INDEX(array, row,1),INDEX(array, row,5),"x"))
,1,))</f>
        <v/>
      </c>
      <c r="CL46" s="252" t="str">
        <f t="array" ref="CL46">LET(
array,SORT({$Y$2:$AB$19,TRANSPOSE($BP46:$CG46)},4,TRUE),
col,CHOOSECOLS(array,5),
row,MATCH(FALSE, ISBLANK(col), 0),
IF(BS46=SWITCH($AA$22,
"minimum cost", MIN($BP46:$CG46),
"maximum cost", MAX($BP46:$CG46), 
"custom order", IF(CL$1=INDEX(array, row,1),INDEX(array, row,5),"x"))
,1,))</f>
        <v/>
      </c>
      <c r="CM46" s="252" t="str">
        <f t="array" ref="CM46">LET(
array,SORT({$Y$2:$AB$19,TRANSPOSE($BP46:$CG46)},4,TRUE),
col,CHOOSECOLS(array,5),
row,MATCH(FALSE, ISBLANK(col), 0),
IF(BT46=SWITCH($AA$22,
"minimum cost", MIN($BP46:$CG46),
"maximum cost", MAX($BP46:$CG46), 
"custom order", IF(CM$1=INDEX(array, row,1),INDEX(array, row,5),"x"))
,1,))</f>
        <v/>
      </c>
      <c r="CN46" s="252" t="str">
        <f t="array" ref="CN46">LET(
array,SORT({$Y$2:$AB$19,TRANSPOSE($BP46:$CG46)},4,TRUE),
col,CHOOSECOLS(array,5),
row,MATCH(FALSE, ISBLANK(col), 0),
IF(BU46=SWITCH($AA$22,
"minimum cost", MIN($BP46:$CG46),
"maximum cost", MAX($BP46:$CG46), 
"custom order", IF(CN$1=INDEX(array, row,1),INDEX(array, row,5),"x"))
,1,))</f>
        <v/>
      </c>
      <c r="CO46" s="390" t="str">
        <f t="array" ref="CO46">LET(
array,SORT({$Y$2:$AB$19,TRANSPOSE($BP46:$CG46)},4,TRUE),
col,CHOOSECOLS(array,5),
row,MATCH(FALSE, ISBLANK(col), 0),
IF(BV46=SWITCH($AA$22,
"minimum cost", MIN($BP46:$CG46),
"maximum cost", MAX($BP46:$CG46), 
"custom order", IF(CO$1=INDEX(array, row,1),INDEX(array, row,5),"x"))
,1,))</f>
        <v/>
      </c>
      <c r="CP46" s="390" t="str">
        <f t="array" ref="CP46">LET(
array,SORT({$Y$2:$AB$19,TRANSPOSE($BP46:$CG46)},4,TRUE),
col,CHOOSECOLS(array,5),
row,MATCH(FALSE, ISBLANK(col), 0),
IF(BW46=SWITCH($AA$22,
"minimum cost", MIN($BP46:$CG46),
"maximum cost", MAX($BP46:$CG46), 
"custom order", IF(CP$1=INDEX(array, row,1),INDEX(array, row,5),"x"))
,1,))</f>
        <v/>
      </c>
      <c r="CQ46" s="390" t="str">
        <f t="array" ref="CQ46">LET(
array,SORT({$Y$2:$AB$19,TRANSPOSE($BP46:$CG46)},4,TRUE),
col,CHOOSECOLS(array,5),
row,MATCH(FALSE, ISBLANK(col), 0),
IF(BX46=SWITCH($AA$22,
"minimum cost", MIN($BP46:$CG46),
"maximum cost", MAX($BP46:$CG46), 
"custom order", IF(CQ$1=INDEX(array, row,1),INDEX(array, row,5),"x"))
,1,))</f>
        <v/>
      </c>
      <c r="CR46" s="390" t="str">
        <f t="array" ref="CR46">LET(
array,SORT({$Y$2:$AB$19,TRANSPOSE($BP46:$CG46)},4,TRUE),
col,CHOOSECOLS(array,5),
row,MATCH(FALSE, ISBLANK(col), 0),
IF(BY46=SWITCH($AA$22,
"minimum cost", MIN($BP46:$CG46),
"maximum cost", MAX($BP46:$CG46), 
"custom order", IF(CR$1=INDEX(array, row,1),INDEX(array, row,5),"x"))
,1,))</f>
        <v/>
      </c>
      <c r="CS46" s="390" t="str">
        <f t="array" ref="CS46">LET(
array,SORT({$Y$2:$AB$19,TRANSPOSE($BP46:$CG46)},4,TRUE),
col,CHOOSECOLS(array,5),
row,MATCH(FALSE, ISBLANK(col), 0),
IF(BZ46=SWITCH($AA$22,
"minimum cost", MIN($BP46:$CG46),
"maximum cost", MAX($BP46:$CG46), 
"custom order", IF(CS$1=INDEX(array, row,1),INDEX(array, row,5),"x"))
,1,))</f>
        <v/>
      </c>
      <c r="CT46" s="390" t="str">
        <f t="array" ref="CT46">LET(
array,SORT({$Y$2:$AB$19,TRANSPOSE($BP46:$CG46)},4,TRUE),
col,CHOOSECOLS(array,5),
row,MATCH(FALSE, ISBLANK(col), 0),
IF(CA46=SWITCH($AA$22,
"minimum cost", MIN($BP46:$CG46),
"maximum cost", MAX($BP46:$CG46), 
"custom order", IF(CT$1=INDEX(array, row,1),INDEX(array, row,5),"x"))
,1,))</f>
        <v/>
      </c>
      <c r="CU46" s="469">
        <f t="array" ref="CU46">LET(
array,SORT({$Y$2:$AB$19,TRANSPOSE($BP46:$CG46)},4,TRUE),
col,CHOOSECOLS(array,5),
row,MATCH(FALSE, ISBLANK(col), 0),
IF(CB46=SWITCH($AA$22,
"minimum cost", MIN($BP46:$CG46),
"maximum cost", MAX($BP46:$CG46), 
"custom order", IF(CU$1=INDEX(array, row,1),INDEX(array, row,5),"x"))
,1,))</f>
        <v>1</v>
      </c>
      <c r="CV46" s="469" t="str">
        <f t="array" ref="CV46">LET(
array,SORT({$Y$2:$AB$19,TRANSPOSE($BP46:$CG46)},4,TRUE),
col,CHOOSECOLS(array,5),
row,MATCH(FALSE, ISBLANK(col), 0),
IF(CC46=SWITCH($AA$22,
"minimum cost", MIN($BP46:$CG46),
"maximum cost", MAX($BP46:$CG46), 
"custom order", IF(CV$1=INDEX(array, row,1),INDEX(array, row,5),"x"))
,1,))</f>
        <v/>
      </c>
      <c r="CW46" s="469" t="str">
        <f t="array" ref="CW46">LET(
array,SORT({$Y$2:$AB$19,TRANSPOSE($BP46:$CG46)},4,TRUE),
col,CHOOSECOLS(array,5),
row,MATCH(FALSE, ISBLANK(col), 0),
IF(CD46=SWITCH($AA$22,
"minimum cost", MIN($BP46:$CG46),
"maximum cost", MAX($BP46:$CG46), 
"custom order", IF(CW$1=INDEX(array, row,1),INDEX(array, row,5),"x"))
,1,))</f>
        <v/>
      </c>
      <c r="CX46" s="469" t="str">
        <f t="array" ref="CX46">LET(
array,SORT({$Y$2:$AB$19,TRANSPOSE($BP46:$CG46)},4,TRUE),
col,CHOOSECOLS(array,5),
row,MATCH(FALSE, ISBLANK(col), 0),
IF(CE46=SWITCH($AA$22,
"minimum cost", MIN($BP46:$CG46),
"maximum cost", MAX($BP46:$CG46), 
"custom order", IF(CX$1=INDEX(array, row,1),INDEX(array, row,5),"x"))
,1,))</f>
        <v/>
      </c>
      <c r="CY46" s="469" t="str">
        <f t="array" ref="CY46">LET(
array,SORT({$Y$2:$AB$19,TRANSPOSE($BP46:$CG46)},4,TRUE),
col,CHOOSECOLS(array,5),
row,MATCH(FALSE, ISBLANK(col), 0),
IF(CF46=SWITCH($AA$22,
"minimum cost", MIN($BP46:$CG46),
"maximum cost", MAX($BP46:$CG46), 
"custom order", IF(CY$1=INDEX(array, row,1),INDEX(array, row,5),"x"))
,1,))</f>
        <v/>
      </c>
      <c r="CZ46" s="581" t="str">
        <f t="array" ref="CZ46">LET(
array,SORT({$Y$2:$AB$19,TRANSPOSE($BP46:$CG46)},4,TRUE),
col,CHOOSECOLS(array,5),
row,MATCH(FALSE, ISBLANK(col), 0),
IF(CG46=SWITCH($AA$22,
"minimum cost", MIN($BP46:$CG46),
"maximum cost", MAX($BP46:$CG46), 
"custom order", IF(CZ$1=INDEX(array, row,1),INDEX(array, row,5),"x"))
,1,))</f>
        <v/>
      </c>
      <c r="DA46" s="461"/>
      <c r="DB46" s="580" t="str">
        <f t="array" ref="DB46:DS46">IF(MATCH(1, CI46:CZ46, 0)=COLUMN(CI46:CZ46)-COLUMN(CI46)+1, CI46:CZ46, "")</f>
        <v/>
      </c>
      <c r="DC46" s="252" t="s">
        <v>133</v>
      </c>
      <c r="DD46" s="252" t="s">
        <v>133</v>
      </c>
      <c r="DE46" s="252" t="s">
        <v>133</v>
      </c>
      <c r="DF46" s="252" t="s">
        <v>133</v>
      </c>
      <c r="DG46" s="252" t="s">
        <v>133</v>
      </c>
      <c r="DH46" s="390" t="s">
        <v>133</v>
      </c>
      <c r="DI46" s="390" t="s">
        <v>133</v>
      </c>
      <c r="DJ46" s="390" t="s">
        <v>133</v>
      </c>
      <c r="DK46" s="390" t="s">
        <v>133</v>
      </c>
      <c r="DL46" s="390" t="s">
        <v>133</v>
      </c>
      <c r="DM46" s="390" t="s">
        <v>133</v>
      </c>
      <c r="DN46" s="469">
        <v>1.0</v>
      </c>
      <c r="DO46" s="469" t="s">
        <v>133</v>
      </c>
      <c r="DP46" s="469" t="s">
        <v>133</v>
      </c>
      <c r="DQ46" s="469" t="s">
        <v>133</v>
      </c>
      <c r="DR46" s="469" t="s">
        <v>133</v>
      </c>
      <c r="DS46" s="581" t="s">
        <v>133</v>
      </c>
      <c r="DT46" s="563"/>
    </row>
    <row r="47">
      <c r="A47" s="563"/>
      <c r="B47" s="709"/>
      <c r="C47" s="709"/>
      <c r="D47" s="709"/>
      <c r="E47" s="10"/>
      <c r="F47" s="709"/>
      <c r="G47" s="10"/>
      <c r="H47" s="709"/>
      <c r="I47" s="10"/>
      <c r="J47" s="709"/>
      <c r="K47" s="10"/>
      <c r="L47" s="709"/>
      <c r="M47" s="461"/>
      <c r="N47" s="10"/>
      <c r="O47" s="10"/>
      <c r="P47" s="10"/>
      <c r="Q47" s="570" t="str">
        <f>IFERROR(__xludf.DUMMYFUNCTION("IF(SUM(DB47:DS47),ARRAYFORMULA(FILTER(DB$1:DS$1, DB47:DS47=1)),)"),"Cash Bonus")</f>
        <v>Cash Bonus</v>
      </c>
      <c r="R47" s="571">
        <f>IFERROR(__xludf.DUMMYFUNCTION("IF(SUM(DB47:DS47),ARRAYFORMULA(FILTER(AW47:BN47, DB47:DS47=1))+1,)"),49.0)</f>
        <v>49</v>
      </c>
      <c r="S47" s="572">
        <f>IFERROR(__xludf.DUMMYFUNCTION("IF(SUM(DB47:DS47),ARRAYFORMULA(FILTER(AD47:AU47, DB47:DS47=1)),)"),8.56E12)</f>
        <v>8560000000000</v>
      </c>
      <c r="T47" s="572">
        <f t="shared" si="26"/>
        <v>1.28692E+16</v>
      </c>
      <c r="U47" s="573" t="str">
        <f t="shared" ref="U47:V47" si="157">FORMAT_NUMBER(S47)</f>
        <v>8.56 T</v>
      </c>
      <c r="V47" s="574" t="str">
        <f t="shared" si="157"/>
        <v>12.87 q</v>
      </c>
      <c r="W47" s="677"/>
      <c r="X47" s="709"/>
      <c r="Y47" s="709"/>
      <c r="Z47" s="709"/>
      <c r="AA47" s="709"/>
      <c r="AB47" s="712"/>
      <c r="AC47" s="461"/>
      <c r="AD47" s="580">
        <f t="shared" ref="AD47:AU47" si="158">IFERROR(WSPCOST_SINGLE_ADJUSTED(AD$1,1+AW47),)</f>
        <v>37110000000000</v>
      </c>
      <c r="AE47" s="252">
        <f t="shared" si="158"/>
        <v>82420000000</v>
      </c>
      <c r="AF47" s="252">
        <f t="shared" si="158"/>
        <v>69650000000000</v>
      </c>
      <c r="AG47" s="252">
        <f t="shared" si="158"/>
        <v>21210000000</v>
      </c>
      <c r="AH47" s="252">
        <f t="shared" si="158"/>
        <v>43890000000000</v>
      </c>
      <c r="AI47" s="252">
        <f t="shared" si="158"/>
        <v>47710000000000</v>
      </c>
      <c r="AJ47" s="390">
        <f t="shared" si="158"/>
        <v>92140000000000</v>
      </c>
      <c r="AK47" s="390">
        <f t="shared" si="158"/>
        <v>580270000000000</v>
      </c>
      <c r="AL47" s="390">
        <f t="shared" si="158"/>
        <v>5000000000</v>
      </c>
      <c r="AM47" s="390">
        <f t="shared" si="158"/>
        <v>33950000000</v>
      </c>
      <c r="AN47" s="390">
        <f t="shared" si="158"/>
        <v>60080000000000</v>
      </c>
      <c r="AO47" s="390">
        <f t="shared" si="158"/>
        <v>22020000000000</v>
      </c>
      <c r="AP47" s="469">
        <f t="shared" si="158"/>
        <v>8560000000000</v>
      </c>
      <c r="AQ47" s="469">
        <f t="shared" si="158"/>
        <v>1.3E+15</v>
      </c>
      <c r="AR47" s="469">
        <f t="shared" si="158"/>
        <v>1.3E+15</v>
      </c>
      <c r="AS47" s="469">
        <f t="shared" si="158"/>
        <v>420490000000000</v>
      </c>
      <c r="AT47" s="469">
        <f t="shared" si="158"/>
        <v>3990000000000</v>
      </c>
      <c r="AU47" s="581">
        <f t="shared" si="158"/>
        <v>1.14E+15</v>
      </c>
      <c r="AV47" s="461"/>
      <c r="AW47" s="580">
        <f t="shared" ref="AW47:BN47" si="159">AW46+DB46</f>
        <v>56</v>
      </c>
      <c r="AX47" s="252">
        <f t="shared" si="159"/>
        <v>21</v>
      </c>
      <c r="AY47" s="252">
        <f t="shared" si="159"/>
        <v>60</v>
      </c>
      <c r="AZ47" s="252">
        <f t="shared" si="159"/>
        <v>17</v>
      </c>
      <c r="BA47" s="252">
        <f t="shared" si="159"/>
        <v>57</v>
      </c>
      <c r="BB47" s="252">
        <f t="shared" si="159"/>
        <v>13</v>
      </c>
      <c r="BC47" s="390">
        <f t="shared" si="159"/>
        <v>62</v>
      </c>
      <c r="BD47" s="390">
        <f t="shared" si="159"/>
        <v>79</v>
      </c>
      <c r="BE47" s="390">
        <f t="shared" si="159"/>
        <v>0</v>
      </c>
      <c r="BF47" s="390">
        <f t="shared" si="159"/>
        <v>18</v>
      </c>
      <c r="BG47" s="390">
        <f t="shared" si="159"/>
        <v>59</v>
      </c>
      <c r="BH47" s="390">
        <f t="shared" si="159"/>
        <v>20</v>
      </c>
      <c r="BI47" s="469">
        <f t="shared" si="159"/>
        <v>48</v>
      </c>
      <c r="BJ47" s="469">
        <f t="shared" si="159"/>
        <v>37</v>
      </c>
      <c r="BK47" s="469">
        <f t="shared" si="159"/>
        <v>37</v>
      </c>
      <c r="BL47" s="469">
        <f t="shared" si="159"/>
        <v>18</v>
      </c>
      <c r="BM47" s="469">
        <f t="shared" si="159"/>
        <v>42</v>
      </c>
      <c r="BN47" s="581">
        <f t="shared" si="159"/>
        <v>15</v>
      </c>
      <c r="BO47" s="461"/>
      <c r="BP47" s="580">
        <f t="shared" si="8"/>
        <v>37110000000000</v>
      </c>
      <c r="BQ47" s="252" t="str">
        <f t="shared" si="9"/>
        <v/>
      </c>
      <c r="BR47" s="252">
        <f t="shared" si="10"/>
        <v>69650000000000</v>
      </c>
      <c r="BS47" s="252" t="str">
        <f t="shared" si="11"/>
        <v/>
      </c>
      <c r="BT47" s="252" t="str">
        <f t="shared" si="12"/>
        <v/>
      </c>
      <c r="BU47" s="252">
        <f t="shared" si="13"/>
        <v>47710000000000</v>
      </c>
      <c r="BV47" s="390">
        <f t="shared" si="14"/>
        <v>92140000000000</v>
      </c>
      <c r="BW47" s="390" t="str">
        <f t="shared" si="15"/>
        <v/>
      </c>
      <c r="BX47" s="390" t="str">
        <f t="shared" si="16"/>
        <v/>
      </c>
      <c r="BY47" s="390" t="str">
        <f t="shared" si="17"/>
        <v/>
      </c>
      <c r="BZ47" s="390">
        <f t="shared" si="18"/>
        <v>60080000000000</v>
      </c>
      <c r="CA47" s="390">
        <f t="shared" si="19"/>
        <v>22020000000000</v>
      </c>
      <c r="CB47" s="469">
        <f t="shared" si="20"/>
        <v>8560000000000</v>
      </c>
      <c r="CC47" s="469" t="str">
        <f t="shared" si="21"/>
        <v/>
      </c>
      <c r="CD47" s="469" t="str">
        <f t="shared" si="22"/>
        <v/>
      </c>
      <c r="CE47" s="469" t="str">
        <f t="shared" si="23"/>
        <v/>
      </c>
      <c r="CF47" s="469" t="str">
        <f t="shared" si="24"/>
        <v/>
      </c>
      <c r="CG47" s="581" t="str">
        <f t="shared" si="25"/>
        <v/>
      </c>
      <c r="CH47" s="461"/>
      <c r="CI47" s="580" t="str">
        <f t="array" ref="CI47">LET(
array,SORT({$Y$2:$AB$19,TRANSPOSE($BP47:$CG47)},4,TRUE),
col,CHOOSECOLS(array,5),
row,MATCH(FALSE, ISBLANK(col), 0),
IF(BP47=SWITCH($AA$22,
"minimum cost", MIN($BP47:$CG47),
"maximum cost", MAX($BP47:$CG47), 
"custom order", IF(CI$1=INDEX(array, row,1),INDEX(array, row,5),"x"))
,1,))</f>
        <v/>
      </c>
      <c r="CJ47" s="252" t="str">
        <f t="array" ref="CJ47">LET(
array,SORT({$Y$2:$AB$19,TRANSPOSE($BP47:$CG47)},4,TRUE),
col,CHOOSECOLS(array,5),
row,MATCH(FALSE, ISBLANK(col), 0),
IF(BQ47=SWITCH($AA$22,
"minimum cost", MIN($BP47:$CG47),
"maximum cost", MAX($BP47:$CG47), 
"custom order", IF(CJ$1=INDEX(array, row,1),INDEX(array, row,5),"x"))
,1,))</f>
        <v/>
      </c>
      <c r="CK47" s="252" t="str">
        <f t="array" ref="CK47">LET(
array,SORT({$Y$2:$AB$19,TRANSPOSE($BP47:$CG47)},4,TRUE),
col,CHOOSECOLS(array,5),
row,MATCH(FALSE, ISBLANK(col), 0),
IF(BR47=SWITCH($AA$22,
"minimum cost", MIN($BP47:$CG47),
"maximum cost", MAX($BP47:$CG47), 
"custom order", IF(CK$1=INDEX(array, row,1),INDEX(array, row,5),"x"))
,1,))</f>
        <v/>
      </c>
      <c r="CL47" s="252" t="str">
        <f t="array" ref="CL47">LET(
array,SORT({$Y$2:$AB$19,TRANSPOSE($BP47:$CG47)},4,TRUE),
col,CHOOSECOLS(array,5),
row,MATCH(FALSE, ISBLANK(col), 0),
IF(BS47=SWITCH($AA$22,
"minimum cost", MIN($BP47:$CG47),
"maximum cost", MAX($BP47:$CG47), 
"custom order", IF(CL$1=INDEX(array, row,1),INDEX(array, row,5),"x"))
,1,))</f>
        <v/>
      </c>
      <c r="CM47" s="252" t="str">
        <f t="array" ref="CM47">LET(
array,SORT({$Y$2:$AB$19,TRANSPOSE($BP47:$CG47)},4,TRUE),
col,CHOOSECOLS(array,5),
row,MATCH(FALSE, ISBLANK(col), 0),
IF(BT47=SWITCH($AA$22,
"minimum cost", MIN($BP47:$CG47),
"maximum cost", MAX($BP47:$CG47), 
"custom order", IF(CM$1=INDEX(array, row,1),INDEX(array, row,5),"x"))
,1,))</f>
        <v/>
      </c>
      <c r="CN47" s="252" t="str">
        <f t="array" ref="CN47">LET(
array,SORT({$Y$2:$AB$19,TRANSPOSE($BP47:$CG47)},4,TRUE),
col,CHOOSECOLS(array,5),
row,MATCH(FALSE, ISBLANK(col), 0),
IF(BU47=SWITCH($AA$22,
"minimum cost", MIN($BP47:$CG47),
"maximum cost", MAX($BP47:$CG47), 
"custom order", IF(CN$1=INDEX(array, row,1),INDEX(array, row,5),"x"))
,1,))</f>
        <v/>
      </c>
      <c r="CO47" s="390" t="str">
        <f t="array" ref="CO47">LET(
array,SORT({$Y$2:$AB$19,TRANSPOSE($BP47:$CG47)},4,TRUE),
col,CHOOSECOLS(array,5),
row,MATCH(FALSE, ISBLANK(col), 0),
IF(BV47=SWITCH($AA$22,
"minimum cost", MIN($BP47:$CG47),
"maximum cost", MAX($BP47:$CG47), 
"custom order", IF(CO$1=INDEX(array, row,1),INDEX(array, row,5),"x"))
,1,))</f>
        <v/>
      </c>
      <c r="CP47" s="390" t="str">
        <f t="array" ref="CP47">LET(
array,SORT({$Y$2:$AB$19,TRANSPOSE($BP47:$CG47)},4,TRUE),
col,CHOOSECOLS(array,5),
row,MATCH(FALSE, ISBLANK(col), 0),
IF(BW47=SWITCH($AA$22,
"minimum cost", MIN($BP47:$CG47),
"maximum cost", MAX($BP47:$CG47), 
"custom order", IF(CP$1=INDEX(array, row,1),INDEX(array, row,5),"x"))
,1,))</f>
        <v/>
      </c>
      <c r="CQ47" s="390" t="str">
        <f t="array" ref="CQ47">LET(
array,SORT({$Y$2:$AB$19,TRANSPOSE($BP47:$CG47)},4,TRUE),
col,CHOOSECOLS(array,5),
row,MATCH(FALSE, ISBLANK(col), 0),
IF(BX47=SWITCH($AA$22,
"minimum cost", MIN($BP47:$CG47),
"maximum cost", MAX($BP47:$CG47), 
"custom order", IF(CQ$1=INDEX(array, row,1),INDEX(array, row,5),"x"))
,1,))</f>
        <v/>
      </c>
      <c r="CR47" s="390" t="str">
        <f t="array" ref="CR47">LET(
array,SORT({$Y$2:$AB$19,TRANSPOSE($BP47:$CG47)},4,TRUE),
col,CHOOSECOLS(array,5),
row,MATCH(FALSE, ISBLANK(col), 0),
IF(BY47=SWITCH($AA$22,
"minimum cost", MIN($BP47:$CG47),
"maximum cost", MAX($BP47:$CG47), 
"custom order", IF(CR$1=INDEX(array, row,1),INDEX(array, row,5),"x"))
,1,))</f>
        <v/>
      </c>
      <c r="CS47" s="390" t="str">
        <f t="array" ref="CS47">LET(
array,SORT({$Y$2:$AB$19,TRANSPOSE($BP47:$CG47)},4,TRUE),
col,CHOOSECOLS(array,5),
row,MATCH(FALSE, ISBLANK(col), 0),
IF(BZ47=SWITCH($AA$22,
"minimum cost", MIN($BP47:$CG47),
"maximum cost", MAX($BP47:$CG47), 
"custom order", IF(CS$1=INDEX(array, row,1),INDEX(array, row,5),"x"))
,1,))</f>
        <v/>
      </c>
      <c r="CT47" s="390" t="str">
        <f t="array" ref="CT47">LET(
array,SORT({$Y$2:$AB$19,TRANSPOSE($BP47:$CG47)},4,TRUE),
col,CHOOSECOLS(array,5),
row,MATCH(FALSE, ISBLANK(col), 0),
IF(CA47=SWITCH($AA$22,
"minimum cost", MIN($BP47:$CG47),
"maximum cost", MAX($BP47:$CG47), 
"custom order", IF(CT$1=INDEX(array, row,1),INDEX(array, row,5),"x"))
,1,))</f>
        <v/>
      </c>
      <c r="CU47" s="469">
        <f t="array" ref="CU47">LET(
array,SORT({$Y$2:$AB$19,TRANSPOSE($BP47:$CG47)},4,TRUE),
col,CHOOSECOLS(array,5),
row,MATCH(FALSE, ISBLANK(col), 0),
IF(CB47=SWITCH($AA$22,
"minimum cost", MIN($BP47:$CG47),
"maximum cost", MAX($BP47:$CG47), 
"custom order", IF(CU$1=INDEX(array, row,1),INDEX(array, row,5),"x"))
,1,))</f>
        <v>1</v>
      </c>
      <c r="CV47" s="469" t="str">
        <f t="array" ref="CV47">LET(
array,SORT({$Y$2:$AB$19,TRANSPOSE($BP47:$CG47)},4,TRUE),
col,CHOOSECOLS(array,5),
row,MATCH(FALSE, ISBLANK(col), 0),
IF(CC47=SWITCH($AA$22,
"minimum cost", MIN($BP47:$CG47),
"maximum cost", MAX($BP47:$CG47), 
"custom order", IF(CV$1=INDEX(array, row,1),INDEX(array, row,5),"x"))
,1,))</f>
        <v/>
      </c>
      <c r="CW47" s="469" t="str">
        <f t="array" ref="CW47">LET(
array,SORT({$Y$2:$AB$19,TRANSPOSE($BP47:$CG47)},4,TRUE),
col,CHOOSECOLS(array,5),
row,MATCH(FALSE, ISBLANK(col), 0),
IF(CD47=SWITCH($AA$22,
"minimum cost", MIN($BP47:$CG47),
"maximum cost", MAX($BP47:$CG47), 
"custom order", IF(CW$1=INDEX(array, row,1),INDEX(array, row,5),"x"))
,1,))</f>
        <v/>
      </c>
      <c r="CX47" s="469" t="str">
        <f t="array" ref="CX47">LET(
array,SORT({$Y$2:$AB$19,TRANSPOSE($BP47:$CG47)},4,TRUE),
col,CHOOSECOLS(array,5),
row,MATCH(FALSE, ISBLANK(col), 0),
IF(CE47=SWITCH($AA$22,
"minimum cost", MIN($BP47:$CG47),
"maximum cost", MAX($BP47:$CG47), 
"custom order", IF(CX$1=INDEX(array, row,1),INDEX(array, row,5),"x"))
,1,))</f>
        <v/>
      </c>
      <c r="CY47" s="469" t="str">
        <f t="array" ref="CY47">LET(
array,SORT({$Y$2:$AB$19,TRANSPOSE($BP47:$CG47)},4,TRUE),
col,CHOOSECOLS(array,5),
row,MATCH(FALSE, ISBLANK(col), 0),
IF(CF47=SWITCH($AA$22,
"minimum cost", MIN($BP47:$CG47),
"maximum cost", MAX($BP47:$CG47), 
"custom order", IF(CY$1=INDEX(array, row,1),INDEX(array, row,5),"x"))
,1,))</f>
        <v/>
      </c>
      <c r="CZ47" s="581" t="str">
        <f t="array" ref="CZ47">LET(
array,SORT({$Y$2:$AB$19,TRANSPOSE($BP47:$CG47)},4,TRUE),
col,CHOOSECOLS(array,5),
row,MATCH(FALSE, ISBLANK(col), 0),
IF(CG47=SWITCH($AA$22,
"minimum cost", MIN($BP47:$CG47),
"maximum cost", MAX($BP47:$CG47), 
"custom order", IF(CZ$1=INDEX(array, row,1),INDEX(array, row,5),"x"))
,1,))</f>
        <v/>
      </c>
      <c r="DA47" s="461"/>
      <c r="DB47" s="580" t="str">
        <f t="array" ref="DB47:DS47">IF(MATCH(1, CI47:CZ47, 0)=COLUMN(CI47:CZ47)-COLUMN(CI47)+1, CI47:CZ47, "")</f>
        <v/>
      </c>
      <c r="DC47" s="252" t="s">
        <v>133</v>
      </c>
      <c r="DD47" s="252" t="s">
        <v>133</v>
      </c>
      <c r="DE47" s="252" t="s">
        <v>133</v>
      </c>
      <c r="DF47" s="252" t="s">
        <v>133</v>
      </c>
      <c r="DG47" s="252" t="s">
        <v>133</v>
      </c>
      <c r="DH47" s="390" t="s">
        <v>133</v>
      </c>
      <c r="DI47" s="390" t="s">
        <v>133</v>
      </c>
      <c r="DJ47" s="390" t="s">
        <v>133</v>
      </c>
      <c r="DK47" s="390" t="s">
        <v>133</v>
      </c>
      <c r="DL47" s="390" t="s">
        <v>133</v>
      </c>
      <c r="DM47" s="390" t="s">
        <v>133</v>
      </c>
      <c r="DN47" s="469">
        <v>1.0</v>
      </c>
      <c r="DO47" s="469" t="s">
        <v>133</v>
      </c>
      <c r="DP47" s="469" t="s">
        <v>133</v>
      </c>
      <c r="DQ47" s="469" t="s">
        <v>133</v>
      </c>
      <c r="DR47" s="469" t="s">
        <v>133</v>
      </c>
      <c r="DS47" s="581" t="s">
        <v>133</v>
      </c>
      <c r="DT47" s="563"/>
    </row>
    <row r="48">
      <c r="A48" s="563"/>
      <c r="B48" s="709"/>
      <c r="C48" s="709"/>
      <c r="D48" s="709"/>
      <c r="E48" s="10"/>
      <c r="F48" s="709"/>
      <c r="G48" s="10"/>
      <c r="H48" s="709"/>
      <c r="I48" s="10"/>
      <c r="J48" s="709"/>
      <c r="K48" s="10"/>
      <c r="L48" s="709"/>
      <c r="M48" s="461"/>
      <c r="N48" s="10"/>
      <c r="O48" s="10"/>
      <c r="P48" s="10"/>
      <c r="Q48" s="570" t="str">
        <f>IFERROR(__xludf.DUMMYFUNCTION("IF(SUM(DB48:DS48),ARRAYFORMULA(FILTER(DB$1:DS$1, DB48:DS48=1)),)"),"Cash Bonus")</f>
        <v>Cash Bonus</v>
      </c>
      <c r="R48" s="571">
        <f>IFERROR(__xludf.DUMMYFUNCTION("IF(SUM(DB48:DS48),ARRAYFORMULA(FILTER(AW48:BN48, DB48:DS48=1))+1,)"),50.0)</f>
        <v>50</v>
      </c>
      <c r="S48" s="572">
        <f>IFERROR(__xludf.DUMMYFUNCTION("IF(SUM(DB48:DS48),ARRAYFORMULA(FILTER(AD48:AU48, DB48:DS48=1)),)"),9.59E12)</f>
        <v>9590000000000</v>
      </c>
      <c r="T48" s="572">
        <f t="shared" si="26"/>
        <v>1.28788E+16</v>
      </c>
      <c r="U48" s="573" t="str">
        <f t="shared" ref="U48:V48" si="160">FORMAT_NUMBER(S48)</f>
        <v>9.59 T</v>
      </c>
      <c r="V48" s="574" t="str">
        <f t="shared" si="160"/>
        <v>12.88 q</v>
      </c>
      <c r="W48" s="677"/>
      <c r="X48" s="709"/>
      <c r="Y48" s="709"/>
      <c r="Z48" s="709"/>
      <c r="AA48" s="709"/>
      <c r="AB48" s="712"/>
      <c r="AC48" s="461"/>
      <c r="AD48" s="580">
        <f t="shared" ref="AD48:AU48" si="161">IFERROR(WSPCOST_SINGLE_ADJUSTED(AD$1,1+AW48),)</f>
        <v>37110000000000</v>
      </c>
      <c r="AE48" s="252">
        <f t="shared" si="161"/>
        <v>82420000000</v>
      </c>
      <c r="AF48" s="252">
        <f t="shared" si="161"/>
        <v>69650000000000</v>
      </c>
      <c r="AG48" s="252">
        <f t="shared" si="161"/>
        <v>21210000000</v>
      </c>
      <c r="AH48" s="252">
        <f t="shared" si="161"/>
        <v>43890000000000</v>
      </c>
      <c r="AI48" s="252">
        <f t="shared" si="161"/>
        <v>47710000000000</v>
      </c>
      <c r="AJ48" s="390">
        <f t="shared" si="161"/>
        <v>92140000000000</v>
      </c>
      <c r="AK48" s="390">
        <f t="shared" si="161"/>
        <v>580270000000000</v>
      </c>
      <c r="AL48" s="390">
        <f t="shared" si="161"/>
        <v>5000000000</v>
      </c>
      <c r="AM48" s="390">
        <f t="shared" si="161"/>
        <v>33950000000</v>
      </c>
      <c r="AN48" s="390">
        <f t="shared" si="161"/>
        <v>60080000000000</v>
      </c>
      <c r="AO48" s="390">
        <f t="shared" si="161"/>
        <v>22020000000000</v>
      </c>
      <c r="AP48" s="469">
        <f t="shared" si="161"/>
        <v>9590000000000</v>
      </c>
      <c r="AQ48" s="469">
        <f t="shared" si="161"/>
        <v>1.3E+15</v>
      </c>
      <c r="AR48" s="469">
        <f t="shared" si="161"/>
        <v>1.3E+15</v>
      </c>
      <c r="AS48" s="469">
        <f t="shared" si="161"/>
        <v>420490000000000</v>
      </c>
      <c r="AT48" s="469">
        <f t="shared" si="161"/>
        <v>3990000000000</v>
      </c>
      <c r="AU48" s="581">
        <f t="shared" si="161"/>
        <v>1.14E+15</v>
      </c>
      <c r="AV48" s="461"/>
      <c r="AW48" s="580">
        <f t="shared" ref="AW48:BN48" si="162">AW47+DB47</f>
        <v>56</v>
      </c>
      <c r="AX48" s="252">
        <f t="shared" si="162"/>
        <v>21</v>
      </c>
      <c r="AY48" s="252">
        <f t="shared" si="162"/>
        <v>60</v>
      </c>
      <c r="AZ48" s="252">
        <f t="shared" si="162"/>
        <v>17</v>
      </c>
      <c r="BA48" s="252">
        <f t="shared" si="162"/>
        <v>57</v>
      </c>
      <c r="BB48" s="252">
        <f t="shared" si="162"/>
        <v>13</v>
      </c>
      <c r="BC48" s="390">
        <f t="shared" si="162"/>
        <v>62</v>
      </c>
      <c r="BD48" s="390">
        <f t="shared" si="162"/>
        <v>79</v>
      </c>
      <c r="BE48" s="390">
        <f t="shared" si="162"/>
        <v>0</v>
      </c>
      <c r="BF48" s="390">
        <f t="shared" si="162"/>
        <v>18</v>
      </c>
      <c r="BG48" s="390">
        <f t="shared" si="162"/>
        <v>59</v>
      </c>
      <c r="BH48" s="390">
        <f t="shared" si="162"/>
        <v>20</v>
      </c>
      <c r="BI48" s="469">
        <f t="shared" si="162"/>
        <v>49</v>
      </c>
      <c r="BJ48" s="469">
        <f t="shared" si="162"/>
        <v>37</v>
      </c>
      <c r="BK48" s="469">
        <f t="shared" si="162"/>
        <v>37</v>
      </c>
      <c r="BL48" s="469">
        <f t="shared" si="162"/>
        <v>18</v>
      </c>
      <c r="BM48" s="469">
        <f t="shared" si="162"/>
        <v>42</v>
      </c>
      <c r="BN48" s="581">
        <f t="shared" si="162"/>
        <v>15</v>
      </c>
      <c r="BO48" s="461"/>
      <c r="BP48" s="580">
        <f t="shared" si="8"/>
        <v>37110000000000</v>
      </c>
      <c r="BQ48" s="252" t="str">
        <f t="shared" si="9"/>
        <v/>
      </c>
      <c r="BR48" s="252">
        <f t="shared" si="10"/>
        <v>69650000000000</v>
      </c>
      <c r="BS48" s="252" t="str">
        <f t="shared" si="11"/>
        <v/>
      </c>
      <c r="BT48" s="252" t="str">
        <f t="shared" si="12"/>
        <v/>
      </c>
      <c r="BU48" s="252">
        <f t="shared" si="13"/>
        <v>47710000000000</v>
      </c>
      <c r="BV48" s="390">
        <f t="shared" si="14"/>
        <v>92140000000000</v>
      </c>
      <c r="BW48" s="390" t="str">
        <f t="shared" si="15"/>
        <v/>
      </c>
      <c r="BX48" s="390" t="str">
        <f t="shared" si="16"/>
        <v/>
      </c>
      <c r="BY48" s="390" t="str">
        <f t="shared" si="17"/>
        <v/>
      </c>
      <c r="BZ48" s="390">
        <f t="shared" si="18"/>
        <v>60080000000000</v>
      </c>
      <c r="CA48" s="390">
        <f t="shared" si="19"/>
        <v>22020000000000</v>
      </c>
      <c r="CB48" s="469">
        <f t="shared" si="20"/>
        <v>9590000000000</v>
      </c>
      <c r="CC48" s="469" t="str">
        <f t="shared" si="21"/>
        <v/>
      </c>
      <c r="CD48" s="469" t="str">
        <f t="shared" si="22"/>
        <v/>
      </c>
      <c r="CE48" s="469" t="str">
        <f t="shared" si="23"/>
        <v/>
      </c>
      <c r="CF48" s="469" t="str">
        <f t="shared" si="24"/>
        <v/>
      </c>
      <c r="CG48" s="581" t="str">
        <f t="shared" si="25"/>
        <v/>
      </c>
      <c r="CH48" s="461"/>
      <c r="CI48" s="580" t="str">
        <f t="array" ref="CI48">LET(
array,SORT({$Y$2:$AB$19,TRANSPOSE($BP48:$CG48)},4,TRUE),
col,CHOOSECOLS(array,5),
row,MATCH(FALSE, ISBLANK(col), 0),
IF(BP48=SWITCH($AA$22,
"minimum cost", MIN($BP48:$CG48),
"maximum cost", MAX($BP48:$CG48), 
"custom order", IF(CI$1=INDEX(array, row,1),INDEX(array, row,5),"x"))
,1,))</f>
        <v/>
      </c>
      <c r="CJ48" s="252" t="str">
        <f t="array" ref="CJ48">LET(
array,SORT({$Y$2:$AB$19,TRANSPOSE($BP48:$CG48)},4,TRUE),
col,CHOOSECOLS(array,5),
row,MATCH(FALSE, ISBLANK(col), 0),
IF(BQ48=SWITCH($AA$22,
"minimum cost", MIN($BP48:$CG48),
"maximum cost", MAX($BP48:$CG48), 
"custom order", IF(CJ$1=INDEX(array, row,1),INDEX(array, row,5),"x"))
,1,))</f>
        <v/>
      </c>
      <c r="CK48" s="252" t="str">
        <f t="array" ref="CK48">LET(
array,SORT({$Y$2:$AB$19,TRANSPOSE($BP48:$CG48)},4,TRUE),
col,CHOOSECOLS(array,5),
row,MATCH(FALSE, ISBLANK(col), 0),
IF(BR48=SWITCH($AA$22,
"minimum cost", MIN($BP48:$CG48),
"maximum cost", MAX($BP48:$CG48), 
"custom order", IF(CK$1=INDEX(array, row,1),INDEX(array, row,5),"x"))
,1,))</f>
        <v/>
      </c>
      <c r="CL48" s="252" t="str">
        <f t="array" ref="CL48">LET(
array,SORT({$Y$2:$AB$19,TRANSPOSE($BP48:$CG48)},4,TRUE),
col,CHOOSECOLS(array,5),
row,MATCH(FALSE, ISBLANK(col), 0),
IF(BS48=SWITCH($AA$22,
"minimum cost", MIN($BP48:$CG48),
"maximum cost", MAX($BP48:$CG48), 
"custom order", IF(CL$1=INDEX(array, row,1),INDEX(array, row,5),"x"))
,1,))</f>
        <v/>
      </c>
      <c r="CM48" s="252" t="str">
        <f t="array" ref="CM48">LET(
array,SORT({$Y$2:$AB$19,TRANSPOSE($BP48:$CG48)},4,TRUE),
col,CHOOSECOLS(array,5),
row,MATCH(FALSE, ISBLANK(col), 0),
IF(BT48=SWITCH($AA$22,
"minimum cost", MIN($BP48:$CG48),
"maximum cost", MAX($BP48:$CG48), 
"custom order", IF(CM$1=INDEX(array, row,1),INDEX(array, row,5),"x"))
,1,))</f>
        <v/>
      </c>
      <c r="CN48" s="252" t="str">
        <f t="array" ref="CN48">LET(
array,SORT({$Y$2:$AB$19,TRANSPOSE($BP48:$CG48)},4,TRUE),
col,CHOOSECOLS(array,5),
row,MATCH(FALSE, ISBLANK(col), 0),
IF(BU48=SWITCH($AA$22,
"minimum cost", MIN($BP48:$CG48),
"maximum cost", MAX($BP48:$CG48), 
"custom order", IF(CN$1=INDEX(array, row,1),INDEX(array, row,5),"x"))
,1,))</f>
        <v/>
      </c>
      <c r="CO48" s="390" t="str">
        <f t="array" ref="CO48">LET(
array,SORT({$Y$2:$AB$19,TRANSPOSE($BP48:$CG48)},4,TRUE),
col,CHOOSECOLS(array,5),
row,MATCH(FALSE, ISBLANK(col), 0),
IF(BV48=SWITCH($AA$22,
"minimum cost", MIN($BP48:$CG48),
"maximum cost", MAX($BP48:$CG48), 
"custom order", IF(CO$1=INDEX(array, row,1),INDEX(array, row,5),"x"))
,1,))</f>
        <v/>
      </c>
      <c r="CP48" s="390" t="str">
        <f t="array" ref="CP48">LET(
array,SORT({$Y$2:$AB$19,TRANSPOSE($BP48:$CG48)},4,TRUE),
col,CHOOSECOLS(array,5),
row,MATCH(FALSE, ISBLANK(col), 0),
IF(BW48=SWITCH($AA$22,
"minimum cost", MIN($BP48:$CG48),
"maximum cost", MAX($BP48:$CG48), 
"custom order", IF(CP$1=INDEX(array, row,1),INDEX(array, row,5),"x"))
,1,))</f>
        <v/>
      </c>
      <c r="CQ48" s="390" t="str">
        <f t="array" ref="CQ48">LET(
array,SORT({$Y$2:$AB$19,TRANSPOSE($BP48:$CG48)},4,TRUE),
col,CHOOSECOLS(array,5),
row,MATCH(FALSE, ISBLANK(col), 0),
IF(BX48=SWITCH($AA$22,
"minimum cost", MIN($BP48:$CG48),
"maximum cost", MAX($BP48:$CG48), 
"custom order", IF(CQ$1=INDEX(array, row,1),INDEX(array, row,5),"x"))
,1,))</f>
        <v/>
      </c>
      <c r="CR48" s="390" t="str">
        <f t="array" ref="CR48">LET(
array,SORT({$Y$2:$AB$19,TRANSPOSE($BP48:$CG48)},4,TRUE),
col,CHOOSECOLS(array,5),
row,MATCH(FALSE, ISBLANK(col), 0),
IF(BY48=SWITCH($AA$22,
"minimum cost", MIN($BP48:$CG48),
"maximum cost", MAX($BP48:$CG48), 
"custom order", IF(CR$1=INDEX(array, row,1),INDEX(array, row,5),"x"))
,1,))</f>
        <v/>
      </c>
      <c r="CS48" s="390" t="str">
        <f t="array" ref="CS48">LET(
array,SORT({$Y$2:$AB$19,TRANSPOSE($BP48:$CG48)},4,TRUE),
col,CHOOSECOLS(array,5),
row,MATCH(FALSE, ISBLANK(col), 0),
IF(BZ48=SWITCH($AA$22,
"minimum cost", MIN($BP48:$CG48),
"maximum cost", MAX($BP48:$CG48), 
"custom order", IF(CS$1=INDEX(array, row,1),INDEX(array, row,5),"x"))
,1,))</f>
        <v/>
      </c>
      <c r="CT48" s="390" t="str">
        <f t="array" ref="CT48">LET(
array,SORT({$Y$2:$AB$19,TRANSPOSE($BP48:$CG48)},4,TRUE),
col,CHOOSECOLS(array,5),
row,MATCH(FALSE, ISBLANK(col), 0),
IF(CA48=SWITCH($AA$22,
"minimum cost", MIN($BP48:$CG48),
"maximum cost", MAX($BP48:$CG48), 
"custom order", IF(CT$1=INDEX(array, row,1),INDEX(array, row,5),"x"))
,1,))</f>
        <v/>
      </c>
      <c r="CU48" s="469">
        <f t="array" ref="CU48">LET(
array,SORT({$Y$2:$AB$19,TRANSPOSE($BP48:$CG48)},4,TRUE),
col,CHOOSECOLS(array,5),
row,MATCH(FALSE, ISBLANK(col), 0),
IF(CB48=SWITCH($AA$22,
"minimum cost", MIN($BP48:$CG48),
"maximum cost", MAX($BP48:$CG48), 
"custom order", IF(CU$1=INDEX(array, row,1),INDEX(array, row,5),"x"))
,1,))</f>
        <v>1</v>
      </c>
      <c r="CV48" s="469" t="str">
        <f t="array" ref="CV48">LET(
array,SORT({$Y$2:$AB$19,TRANSPOSE($BP48:$CG48)},4,TRUE),
col,CHOOSECOLS(array,5),
row,MATCH(FALSE, ISBLANK(col), 0),
IF(CC48=SWITCH($AA$22,
"minimum cost", MIN($BP48:$CG48),
"maximum cost", MAX($BP48:$CG48), 
"custom order", IF(CV$1=INDEX(array, row,1),INDEX(array, row,5),"x"))
,1,))</f>
        <v/>
      </c>
      <c r="CW48" s="469" t="str">
        <f t="array" ref="CW48">LET(
array,SORT({$Y$2:$AB$19,TRANSPOSE($BP48:$CG48)},4,TRUE),
col,CHOOSECOLS(array,5),
row,MATCH(FALSE, ISBLANK(col), 0),
IF(CD48=SWITCH($AA$22,
"minimum cost", MIN($BP48:$CG48),
"maximum cost", MAX($BP48:$CG48), 
"custom order", IF(CW$1=INDEX(array, row,1),INDEX(array, row,5),"x"))
,1,))</f>
        <v/>
      </c>
      <c r="CX48" s="469" t="str">
        <f t="array" ref="CX48">LET(
array,SORT({$Y$2:$AB$19,TRANSPOSE($BP48:$CG48)},4,TRUE),
col,CHOOSECOLS(array,5),
row,MATCH(FALSE, ISBLANK(col), 0),
IF(CE48=SWITCH($AA$22,
"minimum cost", MIN($BP48:$CG48),
"maximum cost", MAX($BP48:$CG48), 
"custom order", IF(CX$1=INDEX(array, row,1),INDEX(array, row,5),"x"))
,1,))</f>
        <v/>
      </c>
      <c r="CY48" s="469" t="str">
        <f t="array" ref="CY48">LET(
array,SORT({$Y$2:$AB$19,TRANSPOSE($BP48:$CG48)},4,TRUE),
col,CHOOSECOLS(array,5),
row,MATCH(FALSE, ISBLANK(col), 0),
IF(CF48=SWITCH($AA$22,
"minimum cost", MIN($BP48:$CG48),
"maximum cost", MAX($BP48:$CG48), 
"custom order", IF(CY$1=INDEX(array, row,1),INDEX(array, row,5),"x"))
,1,))</f>
        <v/>
      </c>
      <c r="CZ48" s="581" t="str">
        <f t="array" ref="CZ48">LET(
array,SORT({$Y$2:$AB$19,TRANSPOSE($BP48:$CG48)},4,TRUE),
col,CHOOSECOLS(array,5),
row,MATCH(FALSE, ISBLANK(col), 0),
IF(CG48=SWITCH($AA$22,
"minimum cost", MIN($BP48:$CG48),
"maximum cost", MAX($BP48:$CG48), 
"custom order", IF(CZ$1=INDEX(array, row,1),INDEX(array, row,5),"x"))
,1,))</f>
        <v/>
      </c>
      <c r="DA48" s="461"/>
      <c r="DB48" s="580" t="str">
        <f t="array" ref="DB48:DS48">IF(MATCH(1, CI48:CZ48, 0)=COLUMN(CI48:CZ48)-COLUMN(CI48)+1, CI48:CZ48, "")</f>
        <v/>
      </c>
      <c r="DC48" s="252" t="s">
        <v>133</v>
      </c>
      <c r="DD48" s="252" t="s">
        <v>133</v>
      </c>
      <c r="DE48" s="252" t="s">
        <v>133</v>
      </c>
      <c r="DF48" s="252" t="s">
        <v>133</v>
      </c>
      <c r="DG48" s="252" t="s">
        <v>133</v>
      </c>
      <c r="DH48" s="390" t="s">
        <v>133</v>
      </c>
      <c r="DI48" s="390" t="s">
        <v>133</v>
      </c>
      <c r="DJ48" s="390" t="s">
        <v>133</v>
      </c>
      <c r="DK48" s="390" t="s">
        <v>133</v>
      </c>
      <c r="DL48" s="390" t="s">
        <v>133</v>
      </c>
      <c r="DM48" s="390" t="s">
        <v>133</v>
      </c>
      <c r="DN48" s="469">
        <v>1.0</v>
      </c>
      <c r="DO48" s="469" t="s">
        <v>133</v>
      </c>
      <c r="DP48" s="469" t="s">
        <v>133</v>
      </c>
      <c r="DQ48" s="469" t="s">
        <v>133</v>
      </c>
      <c r="DR48" s="469" t="s">
        <v>133</v>
      </c>
      <c r="DS48" s="581" t="s">
        <v>133</v>
      </c>
      <c r="DT48" s="563"/>
    </row>
    <row r="49">
      <c r="A49" s="563"/>
      <c r="B49" s="709"/>
      <c r="C49" s="709"/>
      <c r="D49" s="709"/>
      <c r="E49" s="10"/>
      <c r="F49" s="709"/>
      <c r="G49" s="10"/>
      <c r="H49" s="709"/>
      <c r="I49" s="10"/>
      <c r="J49" s="709"/>
      <c r="K49" s="10"/>
      <c r="L49" s="709"/>
      <c r="M49" s="461"/>
      <c r="N49" s="10"/>
      <c r="O49" s="10"/>
      <c r="P49" s="10"/>
      <c r="Q49" s="570" t="str">
        <f>IFERROR(__xludf.DUMMYFUNCTION("IF(SUM(DB49:DS49),ARRAYFORMULA(FILTER(DB$1:DS$1, DB49:DS49=1)),)"),"Cash Bonus")</f>
        <v>Cash Bonus</v>
      </c>
      <c r="R49" s="571">
        <f>IFERROR(__xludf.DUMMYFUNCTION("IF(SUM(DB49:DS49),ARRAYFORMULA(FILTER(AW49:BN49, DB49:DS49=1))+1,)"),51.0)</f>
        <v>51</v>
      </c>
      <c r="S49" s="572">
        <f>IFERROR(__xludf.DUMMYFUNCTION("IF(SUM(DB49:DS49),ARRAYFORMULA(FILTER(AD49:AU49, DB49:DS49=1)),)"),1.07E13)</f>
        <v>10700000000000</v>
      </c>
      <c r="T49" s="572">
        <f t="shared" si="26"/>
        <v>1.28895E+16</v>
      </c>
      <c r="U49" s="573" t="str">
        <f t="shared" ref="U49:V49" si="163">FORMAT_NUMBER(S49)</f>
        <v>10.7 T</v>
      </c>
      <c r="V49" s="574" t="str">
        <f t="shared" si="163"/>
        <v>12.89 q</v>
      </c>
      <c r="W49" s="677"/>
      <c r="X49" s="709"/>
      <c r="Y49" s="709"/>
      <c r="Z49" s="709"/>
      <c r="AA49" s="709"/>
      <c r="AB49" s="712"/>
      <c r="AC49" s="461"/>
      <c r="AD49" s="580">
        <f t="shared" ref="AD49:AU49" si="164">IFERROR(WSPCOST_SINGLE_ADJUSTED(AD$1,1+AW49),)</f>
        <v>37110000000000</v>
      </c>
      <c r="AE49" s="252">
        <f t="shared" si="164"/>
        <v>82420000000</v>
      </c>
      <c r="AF49" s="252">
        <f t="shared" si="164"/>
        <v>69650000000000</v>
      </c>
      <c r="AG49" s="252">
        <f t="shared" si="164"/>
        <v>21210000000</v>
      </c>
      <c r="AH49" s="252">
        <f t="shared" si="164"/>
        <v>43890000000000</v>
      </c>
      <c r="AI49" s="252">
        <f t="shared" si="164"/>
        <v>47710000000000</v>
      </c>
      <c r="AJ49" s="390">
        <f t="shared" si="164"/>
        <v>92140000000000</v>
      </c>
      <c r="AK49" s="390">
        <f t="shared" si="164"/>
        <v>580270000000000</v>
      </c>
      <c r="AL49" s="390">
        <f t="shared" si="164"/>
        <v>5000000000</v>
      </c>
      <c r="AM49" s="390">
        <f t="shared" si="164"/>
        <v>33950000000</v>
      </c>
      <c r="AN49" s="390">
        <f t="shared" si="164"/>
        <v>60080000000000</v>
      </c>
      <c r="AO49" s="390">
        <f t="shared" si="164"/>
        <v>22020000000000</v>
      </c>
      <c r="AP49" s="469">
        <f t="shared" si="164"/>
        <v>10700000000000</v>
      </c>
      <c r="AQ49" s="469">
        <f t="shared" si="164"/>
        <v>1.3E+15</v>
      </c>
      <c r="AR49" s="469">
        <f t="shared" si="164"/>
        <v>1.3E+15</v>
      </c>
      <c r="AS49" s="469">
        <f t="shared" si="164"/>
        <v>420490000000000</v>
      </c>
      <c r="AT49" s="469">
        <f t="shared" si="164"/>
        <v>3990000000000</v>
      </c>
      <c r="AU49" s="581">
        <f t="shared" si="164"/>
        <v>1.14E+15</v>
      </c>
      <c r="AV49" s="461"/>
      <c r="AW49" s="580">
        <f t="shared" ref="AW49:BN49" si="165">AW48+DB48</f>
        <v>56</v>
      </c>
      <c r="AX49" s="252">
        <f t="shared" si="165"/>
        <v>21</v>
      </c>
      <c r="AY49" s="252">
        <f t="shared" si="165"/>
        <v>60</v>
      </c>
      <c r="AZ49" s="252">
        <f t="shared" si="165"/>
        <v>17</v>
      </c>
      <c r="BA49" s="252">
        <f t="shared" si="165"/>
        <v>57</v>
      </c>
      <c r="BB49" s="252">
        <f t="shared" si="165"/>
        <v>13</v>
      </c>
      <c r="BC49" s="390">
        <f t="shared" si="165"/>
        <v>62</v>
      </c>
      <c r="BD49" s="390">
        <f t="shared" si="165"/>
        <v>79</v>
      </c>
      <c r="BE49" s="390">
        <f t="shared" si="165"/>
        <v>0</v>
      </c>
      <c r="BF49" s="390">
        <f t="shared" si="165"/>
        <v>18</v>
      </c>
      <c r="BG49" s="390">
        <f t="shared" si="165"/>
        <v>59</v>
      </c>
      <c r="BH49" s="390">
        <f t="shared" si="165"/>
        <v>20</v>
      </c>
      <c r="BI49" s="469">
        <f t="shared" si="165"/>
        <v>50</v>
      </c>
      <c r="BJ49" s="469">
        <f t="shared" si="165"/>
        <v>37</v>
      </c>
      <c r="BK49" s="469">
        <f t="shared" si="165"/>
        <v>37</v>
      </c>
      <c r="BL49" s="469">
        <f t="shared" si="165"/>
        <v>18</v>
      </c>
      <c r="BM49" s="469">
        <f t="shared" si="165"/>
        <v>42</v>
      </c>
      <c r="BN49" s="581">
        <f t="shared" si="165"/>
        <v>15</v>
      </c>
      <c r="BO49" s="461"/>
      <c r="BP49" s="580">
        <f t="shared" si="8"/>
        <v>37110000000000</v>
      </c>
      <c r="BQ49" s="252" t="str">
        <f t="shared" si="9"/>
        <v/>
      </c>
      <c r="BR49" s="252">
        <f t="shared" si="10"/>
        <v>69650000000000</v>
      </c>
      <c r="BS49" s="252" t="str">
        <f t="shared" si="11"/>
        <v/>
      </c>
      <c r="BT49" s="252" t="str">
        <f t="shared" si="12"/>
        <v/>
      </c>
      <c r="BU49" s="252">
        <f t="shared" si="13"/>
        <v>47710000000000</v>
      </c>
      <c r="BV49" s="390">
        <f t="shared" si="14"/>
        <v>92140000000000</v>
      </c>
      <c r="BW49" s="390" t="str">
        <f t="shared" si="15"/>
        <v/>
      </c>
      <c r="BX49" s="390" t="str">
        <f t="shared" si="16"/>
        <v/>
      </c>
      <c r="BY49" s="390" t="str">
        <f t="shared" si="17"/>
        <v/>
      </c>
      <c r="BZ49" s="390">
        <f t="shared" si="18"/>
        <v>60080000000000</v>
      </c>
      <c r="CA49" s="390">
        <f t="shared" si="19"/>
        <v>22020000000000</v>
      </c>
      <c r="CB49" s="469">
        <f t="shared" si="20"/>
        <v>10700000000000</v>
      </c>
      <c r="CC49" s="469" t="str">
        <f t="shared" si="21"/>
        <v/>
      </c>
      <c r="CD49" s="469" t="str">
        <f t="shared" si="22"/>
        <v/>
      </c>
      <c r="CE49" s="469" t="str">
        <f t="shared" si="23"/>
        <v/>
      </c>
      <c r="CF49" s="469" t="str">
        <f t="shared" si="24"/>
        <v/>
      </c>
      <c r="CG49" s="581" t="str">
        <f t="shared" si="25"/>
        <v/>
      </c>
      <c r="CH49" s="461"/>
      <c r="CI49" s="580" t="str">
        <f t="array" ref="CI49">LET(
array,SORT({$Y$2:$AB$19,TRANSPOSE($BP49:$CG49)},4,TRUE),
col,CHOOSECOLS(array,5),
row,MATCH(FALSE, ISBLANK(col), 0),
IF(BP49=SWITCH($AA$22,
"minimum cost", MIN($BP49:$CG49),
"maximum cost", MAX($BP49:$CG49), 
"custom order", IF(CI$1=INDEX(array, row,1),INDEX(array, row,5),"x"))
,1,))</f>
        <v/>
      </c>
      <c r="CJ49" s="252" t="str">
        <f t="array" ref="CJ49">LET(
array,SORT({$Y$2:$AB$19,TRANSPOSE($BP49:$CG49)},4,TRUE),
col,CHOOSECOLS(array,5),
row,MATCH(FALSE, ISBLANK(col), 0),
IF(BQ49=SWITCH($AA$22,
"minimum cost", MIN($BP49:$CG49),
"maximum cost", MAX($BP49:$CG49), 
"custom order", IF(CJ$1=INDEX(array, row,1),INDEX(array, row,5),"x"))
,1,))</f>
        <v/>
      </c>
      <c r="CK49" s="252" t="str">
        <f t="array" ref="CK49">LET(
array,SORT({$Y$2:$AB$19,TRANSPOSE($BP49:$CG49)},4,TRUE),
col,CHOOSECOLS(array,5),
row,MATCH(FALSE, ISBLANK(col), 0),
IF(BR49=SWITCH($AA$22,
"minimum cost", MIN($BP49:$CG49),
"maximum cost", MAX($BP49:$CG49), 
"custom order", IF(CK$1=INDEX(array, row,1),INDEX(array, row,5),"x"))
,1,))</f>
        <v/>
      </c>
      <c r="CL49" s="252" t="str">
        <f t="array" ref="CL49">LET(
array,SORT({$Y$2:$AB$19,TRANSPOSE($BP49:$CG49)},4,TRUE),
col,CHOOSECOLS(array,5),
row,MATCH(FALSE, ISBLANK(col), 0),
IF(BS49=SWITCH($AA$22,
"minimum cost", MIN($BP49:$CG49),
"maximum cost", MAX($BP49:$CG49), 
"custom order", IF(CL$1=INDEX(array, row,1),INDEX(array, row,5),"x"))
,1,))</f>
        <v/>
      </c>
      <c r="CM49" s="252" t="str">
        <f t="array" ref="CM49">LET(
array,SORT({$Y$2:$AB$19,TRANSPOSE($BP49:$CG49)},4,TRUE),
col,CHOOSECOLS(array,5),
row,MATCH(FALSE, ISBLANK(col), 0),
IF(BT49=SWITCH($AA$22,
"minimum cost", MIN($BP49:$CG49),
"maximum cost", MAX($BP49:$CG49), 
"custom order", IF(CM$1=INDEX(array, row,1),INDEX(array, row,5),"x"))
,1,))</f>
        <v/>
      </c>
      <c r="CN49" s="252" t="str">
        <f t="array" ref="CN49">LET(
array,SORT({$Y$2:$AB$19,TRANSPOSE($BP49:$CG49)},4,TRUE),
col,CHOOSECOLS(array,5),
row,MATCH(FALSE, ISBLANK(col), 0),
IF(BU49=SWITCH($AA$22,
"minimum cost", MIN($BP49:$CG49),
"maximum cost", MAX($BP49:$CG49), 
"custom order", IF(CN$1=INDEX(array, row,1),INDEX(array, row,5),"x"))
,1,))</f>
        <v/>
      </c>
      <c r="CO49" s="390" t="str">
        <f t="array" ref="CO49">LET(
array,SORT({$Y$2:$AB$19,TRANSPOSE($BP49:$CG49)},4,TRUE),
col,CHOOSECOLS(array,5),
row,MATCH(FALSE, ISBLANK(col), 0),
IF(BV49=SWITCH($AA$22,
"minimum cost", MIN($BP49:$CG49),
"maximum cost", MAX($BP49:$CG49), 
"custom order", IF(CO$1=INDEX(array, row,1),INDEX(array, row,5),"x"))
,1,))</f>
        <v/>
      </c>
      <c r="CP49" s="390" t="str">
        <f t="array" ref="CP49">LET(
array,SORT({$Y$2:$AB$19,TRANSPOSE($BP49:$CG49)},4,TRUE),
col,CHOOSECOLS(array,5),
row,MATCH(FALSE, ISBLANK(col), 0),
IF(BW49=SWITCH($AA$22,
"minimum cost", MIN($BP49:$CG49),
"maximum cost", MAX($BP49:$CG49), 
"custom order", IF(CP$1=INDEX(array, row,1),INDEX(array, row,5),"x"))
,1,))</f>
        <v/>
      </c>
      <c r="CQ49" s="390" t="str">
        <f t="array" ref="CQ49">LET(
array,SORT({$Y$2:$AB$19,TRANSPOSE($BP49:$CG49)},4,TRUE),
col,CHOOSECOLS(array,5),
row,MATCH(FALSE, ISBLANK(col), 0),
IF(BX49=SWITCH($AA$22,
"minimum cost", MIN($BP49:$CG49),
"maximum cost", MAX($BP49:$CG49), 
"custom order", IF(CQ$1=INDEX(array, row,1),INDEX(array, row,5),"x"))
,1,))</f>
        <v/>
      </c>
      <c r="CR49" s="390" t="str">
        <f t="array" ref="CR49">LET(
array,SORT({$Y$2:$AB$19,TRANSPOSE($BP49:$CG49)},4,TRUE),
col,CHOOSECOLS(array,5),
row,MATCH(FALSE, ISBLANK(col), 0),
IF(BY49=SWITCH($AA$22,
"minimum cost", MIN($BP49:$CG49),
"maximum cost", MAX($BP49:$CG49), 
"custom order", IF(CR$1=INDEX(array, row,1),INDEX(array, row,5),"x"))
,1,))</f>
        <v/>
      </c>
      <c r="CS49" s="390" t="str">
        <f t="array" ref="CS49">LET(
array,SORT({$Y$2:$AB$19,TRANSPOSE($BP49:$CG49)},4,TRUE),
col,CHOOSECOLS(array,5),
row,MATCH(FALSE, ISBLANK(col), 0),
IF(BZ49=SWITCH($AA$22,
"minimum cost", MIN($BP49:$CG49),
"maximum cost", MAX($BP49:$CG49), 
"custom order", IF(CS$1=INDEX(array, row,1),INDEX(array, row,5),"x"))
,1,))</f>
        <v/>
      </c>
      <c r="CT49" s="390" t="str">
        <f t="array" ref="CT49">LET(
array,SORT({$Y$2:$AB$19,TRANSPOSE($BP49:$CG49)},4,TRUE),
col,CHOOSECOLS(array,5),
row,MATCH(FALSE, ISBLANK(col), 0),
IF(CA49=SWITCH($AA$22,
"minimum cost", MIN($BP49:$CG49),
"maximum cost", MAX($BP49:$CG49), 
"custom order", IF(CT$1=INDEX(array, row,1),INDEX(array, row,5),"x"))
,1,))</f>
        <v/>
      </c>
      <c r="CU49" s="469">
        <f t="array" ref="CU49">LET(
array,SORT({$Y$2:$AB$19,TRANSPOSE($BP49:$CG49)},4,TRUE),
col,CHOOSECOLS(array,5),
row,MATCH(FALSE, ISBLANK(col), 0),
IF(CB49=SWITCH($AA$22,
"minimum cost", MIN($BP49:$CG49),
"maximum cost", MAX($BP49:$CG49), 
"custom order", IF(CU$1=INDEX(array, row,1),INDEX(array, row,5),"x"))
,1,))</f>
        <v>1</v>
      </c>
      <c r="CV49" s="469" t="str">
        <f t="array" ref="CV49">LET(
array,SORT({$Y$2:$AB$19,TRANSPOSE($BP49:$CG49)},4,TRUE),
col,CHOOSECOLS(array,5),
row,MATCH(FALSE, ISBLANK(col), 0),
IF(CC49=SWITCH($AA$22,
"minimum cost", MIN($BP49:$CG49),
"maximum cost", MAX($BP49:$CG49), 
"custom order", IF(CV$1=INDEX(array, row,1),INDEX(array, row,5),"x"))
,1,))</f>
        <v/>
      </c>
      <c r="CW49" s="469" t="str">
        <f t="array" ref="CW49">LET(
array,SORT({$Y$2:$AB$19,TRANSPOSE($BP49:$CG49)},4,TRUE),
col,CHOOSECOLS(array,5),
row,MATCH(FALSE, ISBLANK(col), 0),
IF(CD49=SWITCH($AA$22,
"minimum cost", MIN($BP49:$CG49),
"maximum cost", MAX($BP49:$CG49), 
"custom order", IF(CW$1=INDEX(array, row,1),INDEX(array, row,5),"x"))
,1,))</f>
        <v/>
      </c>
      <c r="CX49" s="469" t="str">
        <f t="array" ref="CX49">LET(
array,SORT({$Y$2:$AB$19,TRANSPOSE($BP49:$CG49)},4,TRUE),
col,CHOOSECOLS(array,5),
row,MATCH(FALSE, ISBLANK(col), 0),
IF(CE49=SWITCH($AA$22,
"minimum cost", MIN($BP49:$CG49),
"maximum cost", MAX($BP49:$CG49), 
"custom order", IF(CX$1=INDEX(array, row,1),INDEX(array, row,5),"x"))
,1,))</f>
        <v/>
      </c>
      <c r="CY49" s="469" t="str">
        <f t="array" ref="CY49">LET(
array,SORT({$Y$2:$AB$19,TRANSPOSE($BP49:$CG49)},4,TRUE),
col,CHOOSECOLS(array,5),
row,MATCH(FALSE, ISBLANK(col), 0),
IF(CF49=SWITCH($AA$22,
"minimum cost", MIN($BP49:$CG49),
"maximum cost", MAX($BP49:$CG49), 
"custom order", IF(CY$1=INDEX(array, row,1),INDEX(array, row,5),"x"))
,1,))</f>
        <v/>
      </c>
      <c r="CZ49" s="581" t="str">
        <f t="array" ref="CZ49">LET(
array,SORT({$Y$2:$AB$19,TRANSPOSE($BP49:$CG49)},4,TRUE),
col,CHOOSECOLS(array,5),
row,MATCH(FALSE, ISBLANK(col), 0),
IF(CG49=SWITCH($AA$22,
"minimum cost", MIN($BP49:$CG49),
"maximum cost", MAX($BP49:$CG49), 
"custom order", IF(CZ$1=INDEX(array, row,1),INDEX(array, row,5),"x"))
,1,))</f>
        <v/>
      </c>
      <c r="DA49" s="461"/>
      <c r="DB49" s="580" t="str">
        <f t="array" ref="DB49:DS49">IF(MATCH(1, CI49:CZ49, 0)=COLUMN(CI49:CZ49)-COLUMN(CI49)+1, CI49:CZ49, "")</f>
        <v/>
      </c>
      <c r="DC49" s="252" t="s">
        <v>133</v>
      </c>
      <c r="DD49" s="252" t="s">
        <v>133</v>
      </c>
      <c r="DE49" s="252" t="s">
        <v>133</v>
      </c>
      <c r="DF49" s="252" t="s">
        <v>133</v>
      </c>
      <c r="DG49" s="252" t="s">
        <v>133</v>
      </c>
      <c r="DH49" s="390" t="s">
        <v>133</v>
      </c>
      <c r="DI49" s="390" t="s">
        <v>133</v>
      </c>
      <c r="DJ49" s="390" t="s">
        <v>133</v>
      </c>
      <c r="DK49" s="390" t="s">
        <v>133</v>
      </c>
      <c r="DL49" s="390" t="s">
        <v>133</v>
      </c>
      <c r="DM49" s="390" t="s">
        <v>133</v>
      </c>
      <c r="DN49" s="469">
        <v>1.0</v>
      </c>
      <c r="DO49" s="469" t="s">
        <v>133</v>
      </c>
      <c r="DP49" s="469" t="s">
        <v>133</v>
      </c>
      <c r="DQ49" s="469" t="s">
        <v>133</v>
      </c>
      <c r="DR49" s="469" t="s">
        <v>133</v>
      </c>
      <c r="DS49" s="581" t="s">
        <v>133</v>
      </c>
      <c r="DT49" s="563"/>
    </row>
    <row r="50">
      <c r="A50" s="563"/>
      <c r="B50" s="709"/>
      <c r="C50" s="709"/>
      <c r="D50" s="709"/>
      <c r="E50" s="10"/>
      <c r="F50" s="709"/>
      <c r="G50" s="10"/>
      <c r="H50" s="709"/>
      <c r="I50" s="10"/>
      <c r="J50" s="709"/>
      <c r="K50" s="10"/>
      <c r="L50" s="709"/>
      <c r="M50" s="461"/>
      <c r="N50" s="10"/>
      <c r="O50" s="10"/>
      <c r="P50" s="10"/>
      <c r="Q50" s="570" t="str">
        <f>IFERROR(__xludf.DUMMYFUNCTION("IF(SUM(DB50:DS50),ARRAYFORMULA(FILTER(DB$1:DS$1, DB50:DS50=1)),)"),"Cash Bonus")</f>
        <v>Cash Bonus</v>
      </c>
      <c r="R50" s="571">
        <f>IFERROR(__xludf.DUMMYFUNCTION("IF(SUM(DB50:DS50),ARRAYFORMULA(FILTER(AW50:BN50, DB50:DS50=1))+1,)"),52.0)</f>
        <v>52</v>
      </c>
      <c r="S50" s="572">
        <f>IFERROR(__xludf.DUMMYFUNCTION("IF(SUM(DB50:DS50),ARRAYFORMULA(FILTER(AD50:AU50, DB50:DS50=1)),)"),1.37E13)</f>
        <v>13700000000000</v>
      </c>
      <c r="T50" s="572">
        <f t="shared" si="26"/>
        <v>1.29032E+16</v>
      </c>
      <c r="U50" s="573" t="str">
        <f t="shared" ref="U50:V50" si="166">FORMAT_NUMBER(S50)</f>
        <v>13.7 T</v>
      </c>
      <c r="V50" s="574" t="str">
        <f t="shared" si="166"/>
        <v>12.9 q</v>
      </c>
      <c r="W50" s="677"/>
      <c r="X50" s="709"/>
      <c r="Y50" s="709"/>
      <c r="Z50" s="709"/>
      <c r="AA50" s="709"/>
      <c r="AB50" s="712"/>
      <c r="AC50" s="461"/>
      <c r="AD50" s="580">
        <f t="shared" ref="AD50:AU50" si="167">IFERROR(WSPCOST_SINGLE_ADJUSTED(AD$1,1+AW50),)</f>
        <v>37110000000000</v>
      </c>
      <c r="AE50" s="252">
        <f t="shared" si="167"/>
        <v>82420000000</v>
      </c>
      <c r="AF50" s="252">
        <f t="shared" si="167"/>
        <v>69650000000000</v>
      </c>
      <c r="AG50" s="252">
        <f t="shared" si="167"/>
        <v>21210000000</v>
      </c>
      <c r="AH50" s="252">
        <f t="shared" si="167"/>
        <v>43890000000000</v>
      </c>
      <c r="AI50" s="252">
        <f t="shared" si="167"/>
        <v>47710000000000</v>
      </c>
      <c r="AJ50" s="390">
        <f t="shared" si="167"/>
        <v>92140000000000</v>
      </c>
      <c r="AK50" s="390">
        <f t="shared" si="167"/>
        <v>580270000000000</v>
      </c>
      <c r="AL50" s="390">
        <f t="shared" si="167"/>
        <v>5000000000</v>
      </c>
      <c r="AM50" s="390">
        <f t="shared" si="167"/>
        <v>33950000000</v>
      </c>
      <c r="AN50" s="390">
        <f t="shared" si="167"/>
        <v>60080000000000</v>
      </c>
      <c r="AO50" s="390">
        <f t="shared" si="167"/>
        <v>22020000000000</v>
      </c>
      <c r="AP50" s="469">
        <f t="shared" si="167"/>
        <v>13700000000000</v>
      </c>
      <c r="AQ50" s="469">
        <f t="shared" si="167"/>
        <v>1.3E+15</v>
      </c>
      <c r="AR50" s="469">
        <f t="shared" si="167"/>
        <v>1.3E+15</v>
      </c>
      <c r="AS50" s="469">
        <f t="shared" si="167"/>
        <v>420490000000000</v>
      </c>
      <c r="AT50" s="469">
        <f t="shared" si="167"/>
        <v>3990000000000</v>
      </c>
      <c r="AU50" s="581">
        <f t="shared" si="167"/>
        <v>1.14E+15</v>
      </c>
      <c r="AV50" s="461"/>
      <c r="AW50" s="580">
        <f t="shared" ref="AW50:BN50" si="168">AW49+DB49</f>
        <v>56</v>
      </c>
      <c r="AX50" s="252">
        <f t="shared" si="168"/>
        <v>21</v>
      </c>
      <c r="AY50" s="252">
        <f t="shared" si="168"/>
        <v>60</v>
      </c>
      <c r="AZ50" s="252">
        <f t="shared" si="168"/>
        <v>17</v>
      </c>
      <c r="BA50" s="252">
        <f t="shared" si="168"/>
        <v>57</v>
      </c>
      <c r="BB50" s="252">
        <f t="shared" si="168"/>
        <v>13</v>
      </c>
      <c r="BC50" s="390">
        <f t="shared" si="168"/>
        <v>62</v>
      </c>
      <c r="BD50" s="390">
        <f t="shared" si="168"/>
        <v>79</v>
      </c>
      <c r="BE50" s="390">
        <f t="shared" si="168"/>
        <v>0</v>
      </c>
      <c r="BF50" s="390">
        <f t="shared" si="168"/>
        <v>18</v>
      </c>
      <c r="BG50" s="390">
        <f t="shared" si="168"/>
        <v>59</v>
      </c>
      <c r="BH50" s="390">
        <f t="shared" si="168"/>
        <v>20</v>
      </c>
      <c r="BI50" s="469">
        <f t="shared" si="168"/>
        <v>51</v>
      </c>
      <c r="BJ50" s="469">
        <f t="shared" si="168"/>
        <v>37</v>
      </c>
      <c r="BK50" s="469">
        <f t="shared" si="168"/>
        <v>37</v>
      </c>
      <c r="BL50" s="469">
        <f t="shared" si="168"/>
        <v>18</v>
      </c>
      <c r="BM50" s="469">
        <f t="shared" si="168"/>
        <v>42</v>
      </c>
      <c r="BN50" s="581">
        <f t="shared" si="168"/>
        <v>15</v>
      </c>
      <c r="BO50" s="461"/>
      <c r="BP50" s="580">
        <f t="shared" si="8"/>
        <v>37110000000000</v>
      </c>
      <c r="BQ50" s="252" t="str">
        <f t="shared" si="9"/>
        <v/>
      </c>
      <c r="BR50" s="252">
        <f t="shared" si="10"/>
        <v>69650000000000</v>
      </c>
      <c r="BS50" s="252" t="str">
        <f t="shared" si="11"/>
        <v/>
      </c>
      <c r="BT50" s="252" t="str">
        <f t="shared" si="12"/>
        <v/>
      </c>
      <c r="BU50" s="252">
        <f t="shared" si="13"/>
        <v>47710000000000</v>
      </c>
      <c r="BV50" s="390">
        <f t="shared" si="14"/>
        <v>92140000000000</v>
      </c>
      <c r="BW50" s="390" t="str">
        <f t="shared" si="15"/>
        <v/>
      </c>
      <c r="BX50" s="390" t="str">
        <f t="shared" si="16"/>
        <v/>
      </c>
      <c r="BY50" s="390" t="str">
        <f t="shared" si="17"/>
        <v/>
      </c>
      <c r="BZ50" s="390">
        <f t="shared" si="18"/>
        <v>60080000000000</v>
      </c>
      <c r="CA50" s="390">
        <f t="shared" si="19"/>
        <v>22020000000000</v>
      </c>
      <c r="CB50" s="469">
        <f t="shared" si="20"/>
        <v>13700000000000</v>
      </c>
      <c r="CC50" s="469" t="str">
        <f t="shared" si="21"/>
        <v/>
      </c>
      <c r="CD50" s="469" t="str">
        <f t="shared" si="22"/>
        <v/>
      </c>
      <c r="CE50" s="469" t="str">
        <f t="shared" si="23"/>
        <v/>
      </c>
      <c r="CF50" s="469" t="str">
        <f t="shared" si="24"/>
        <v/>
      </c>
      <c r="CG50" s="581" t="str">
        <f t="shared" si="25"/>
        <v/>
      </c>
      <c r="CH50" s="461"/>
      <c r="CI50" s="580" t="str">
        <f t="array" ref="CI50">LET(
array,SORT({$Y$2:$AB$19,TRANSPOSE($BP50:$CG50)},4,TRUE),
col,CHOOSECOLS(array,5),
row,MATCH(FALSE, ISBLANK(col), 0),
IF(BP50=SWITCH($AA$22,
"minimum cost", MIN($BP50:$CG50),
"maximum cost", MAX($BP50:$CG50), 
"custom order", IF(CI$1=INDEX(array, row,1),INDEX(array, row,5),"x"))
,1,))</f>
        <v/>
      </c>
      <c r="CJ50" s="252" t="str">
        <f t="array" ref="CJ50">LET(
array,SORT({$Y$2:$AB$19,TRANSPOSE($BP50:$CG50)},4,TRUE),
col,CHOOSECOLS(array,5),
row,MATCH(FALSE, ISBLANK(col), 0),
IF(BQ50=SWITCH($AA$22,
"minimum cost", MIN($BP50:$CG50),
"maximum cost", MAX($BP50:$CG50), 
"custom order", IF(CJ$1=INDEX(array, row,1),INDEX(array, row,5),"x"))
,1,))</f>
        <v/>
      </c>
      <c r="CK50" s="252" t="str">
        <f t="array" ref="CK50">LET(
array,SORT({$Y$2:$AB$19,TRANSPOSE($BP50:$CG50)},4,TRUE),
col,CHOOSECOLS(array,5),
row,MATCH(FALSE, ISBLANK(col), 0),
IF(BR50=SWITCH($AA$22,
"minimum cost", MIN($BP50:$CG50),
"maximum cost", MAX($BP50:$CG50), 
"custom order", IF(CK$1=INDEX(array, row,1),INDEX(array, row,5),"x"))
,1,))</f>
        <v/>
      </c>
      <c r="CL50" s="252" t="str">
        <f t="array" ref="CL50">LET(
array,SORT({$Y$2:$AB$19,TRANSPOSE($BP50:$CG50)},4,TRUE),
col,CHOOSECOLS(array,5),
row,MATCH(FALSE, ISBLANK(col), 0),
IF(BS50=SWITCH($AA$22,
"minimum cost", MIN($BP50:$CG50),
"maximum cost", MAX($BP50:$CG50), 
"custom order", IF(CL$1=INDEX(array, row,1),INDEX(array, row,5),"x"))
,1,))</f>
        <v/>
      </c>
      <c r="CM50" s="252" t="str">
        <f t="array" ref="CM50">LET(
array,SORT({$Y$2:$AB$19,TRANSPOSE($BP50:$CG50)},4,TRUE),
col,CHOOSECOLS(array,5),
row,MATCH(FALSE, ISBLANK(col), 0),
IF(BT50=SWITCH($AA$22,
"minimum cost", MIN($BP50:$CG50),
"maximum cost", MAX($BP50:$CG50), 
"custom order", IF(CM$1=INDEX(array, row,1),INDEX(array, row,5),"x"))
,1,))</f>
        <v/>
      </c>
      <c r="CN50" s="252" t="str">
        <f t="array" ref="CN50">LET(
array,SORT({$Y$2:$AB$19,TRANSPOSE($BP50:$CG50)},4,TRUE),
col,CHOOSECOLS(array,5),
row,MATCH(FALSE, ISBLANK(col), 0),
IF(BU50=SWITCH($AA$22,
"minimum cost", MIN($BP50:$CG50),
"maximum cost", MAX($BP50:$CG50), 
"custom order", IF(CN$1=INDEX(array, row,1),INDEX(array, row,5),"x"))
,1,))</f>
        <v/>
      </c>
      <c r="CO50" s="390" t="str">
        <f t="array" ref="CO50">LET(
array,SORT({$Y$2:$AB$19,TRANSPOSE($BP50:$CG50)},4,TRUE),
col,CHOOSECOLS(array,5),
row,MATCH(FALSE, ISBLANK(col), 0),
IF(BV50=SWITCH($AA$22,
"minimum cost", MIN($BP50:$CG50),
"maximum cost", MAX($BP50:$CG50), 
"custom order", IF(CO$1=INDEX(array, row,1),INDEX(array, row,5),"x"))
,1,))</f>
        <v/>
      </c>
      <c r="CP50" s="390" t="str">
        <f t="array" ref="CP50">LET(
array,SORT({$Y$2:$AB$19,TRANSPOSE($BP50:$CG50)},4,TRUE),
col,CHOOSECOLS(array,5),
row,MATCH(FALSE, ISBLANK(col), 0),
IF(BW50=SWITCH($AA$22,
"minimum cost", MIN($BP50:$CG50),
"maximum cost", MAX($BP50:$CG50), 
"custom order", IF(CP$1=INDEX(array, row,1),INDEX(array, row,5),"x"))
,1,))</f>
        <v/>
      </c>
      <c r="CQ50" s="390" t="str">
        <f t="array" ref="CQ50">LET(
array,SORT({$Y$2:$AB$19,TRANSPOSE($BP50:$CG50)},4,TRUE),
col,CHOOSECOLS(array,5),
row,MATCH(FALSE, ISBLANK(col), 0),
IF(BX50=SWITCH($AA$22,
"minimum cost", MIN($BP50:$CG50),
"maximum cost", MAX($BP50:$CG50), 
"custom order", IF(CQ$1=INDEX(array, row,1),INDEX(array, row,5),"x"))
,1,))</f>
        <v/>
      </c>
      <c r="CR50" s="390" t="str">
        <f t="array" ref="CR50">LET(
array,SORT({$Y$2:$AB$19,TRANSPOSE($BP50:$CG50)},4,TRUE),
col,CHOOSECOLS(array,5),
row,MATCH(FALSE, ISBLANK(col), 0),
IF(BY50=SWITCH($AA$22,
"minimum cost", MIN($BP50:$CG50),
"maximum cost", MAX($BP50:$CG50), 
"custom order", IF(CR$1=INDEX(array, row,1),INDEX(array, row,5),"x"))
,1,))</f>
        <v/>
      </c>
      <c r="CS50" s="390" t="str">
        <f t="array" ref="CS50">LET(
array,SORT({$Y$2:$AB$19,TRANSPOSE($BP50:$CG50)},4,TRUE),
col,CHOOSECOLS(array,5),
row,MATCH(FALSE, ISBLANK(col), 0),
IF(BZ50=SWITCH($AA$22,
"minimum cost", MIN($BP50:$CG50),
"maximum cost", MAX($BP50:$CG50), 
"custom order", IF(CS$1=INDEX(array, row,1),INDEX(array, row,5),"x"))
,1,))</f>
        <v/>
      </c>
      <c r="CT50" s="390" t="str">
        <f t="array" ref="CT50">LET(
array,SORT({$Y$2:$AB$19,TRANSPOSE($BP50:$CG50)},4,TRUE),
col,CHOOSECOLS(array,5),
row,MATCH(FALSE, ISBLANK(col), 0),
IF(CA50=SWITCH($AA$22,
"minimum cost", MIN($BP50:$CG50),
"maximum cost", MAX($BP50:$CG50), 
"custom order", IF(CT$1=INDEX(array, row,1),INDEX(array, row,5),"x"))
,1,))</f>
        <v/>
      </c>
      <c r="CU50" s="469">
        <f t="array" ref="CU50">LET(
array,SORT({$Y$2:$AB$19,TRANSPOSE($BP50:$CG50)},4,TRUE),
col,CHOOSECOLS(array,5),
row,MATCH(FALSE, ISBLANK(col), 0),
IF(CB50=SWITCH($AA$22,
"minimum cost", MIN($BP50:$CG50),
"maximum cost", MAX($BP50:$CG50), 
"custom order", IF(CU$1=INDEX(array, row,1),INDEX(array, row,5),"x"))
,1,))</f>
        <v>1</v>
      </c>
      <c r="CV50" s="469" t="str">
        <f t="array" ref="CV50">LET(
array,SORT({$Y$2:$AB$19,TRANSPOSE($BP50:$CG50)},4,TRUE),
col,CHOOSECOLS(array,5),
row,MATCH(FALSE, ISBLANK(col), 0),
IF(CC50=SWITCH($AA$22,
"minimum cost", MIN($BP50:$CG50),
"maximum cost", MAX($BP50:$CG50), 
"custom order", IF(CV$1=INDEX(array, row,1),INDEX(array, row,5),"x"))
,1,))</f>
        <v/>
      </c>
      <c r="CW50" s="469" t="str">
        <f t="array" ref="CW50">LET(
array,SORT({$Y$2:$AB$19,TRANSPOSE($BP50:$CG50)},4,TRUE),
col,CHOOSECOLS(array,5),
row,MATCH(FALSE, ISBLANK(col), 0),
IF(CD50=SWITCH($AA$22,
"minimum cost", MIN($BP50:$CG50),
"maximum cost", MAX($BP50:$CG50), 
"custom order", IF(CW$1=INDEX(array, row,1),INDEX(array, row,5),"x"))
,1,))</f>
        <v/>
      </c>
      <c r="CX50" s="469" t="str">
        <f t="array" ref="CX50">LET(
array,SORT({$Y$2:$AB$19,TRANSPOSE($BP50:$CG50)},4,TRUE),
col,CHOOSECOLS(array,5),
row,MATCH(FALSE, ISBLANK(col), 0),
IF(CE50=SWITCH($AA$22,
"minimum cost", MIN($BP50:$CG50),
"maximum cost", MAX($BP50:$CG50), 
"custom order", IF(CX$1=INDEX(array, row,1),INDEX(array, row,5),"x"))
,1,))</f>
        <v/>
      </c>
      <c r="CY50" s="469" t="str">
        <f t="array" ref="CY50">LET(
array,SORT({$Y$2:$AB$19,TRANSPOSE($BP50:$CG50)},4,TRUE),
col,CHOOSECOLS(array,5),
row,MATCH(FALSE, ISBLANK(col), 0),
IF(CF50=SWITCH($AA$22,
"minimum cost", MIN($BP50:$CG50),
"maximum cost", MAX($BP50:$CG50), 
"custom order", IF(CY$1=INDEX(array, row,1),INDEX(array, row,5),"x"))
,1,))</f>
        <v/>
      </c>
      <c r="CZ50" s="581" t="str">
        <f t="array" ref="CZ50">LET(
array,SORT({$Y$2:$AB$19,TRANSPOSE($BP50:$CG50)},4,TRUE),
col,CHOOSECOLS(array,5),
row,MATCH(FALSE, ISBLANK(col), 0),
IF(CG50=SWITCH($AA$22,
"minimum cost", MIN($BP50:$CG50),
"maximum cost", MAX($BP50:$CG50), 
"custom order", IF(CZ$1=INDEX(array, row,1),INDEX(array, row,5),"x"))
,1,))</f>
        <v/>
      </c>
      <c r="DA50" s="461"/>
      <c r="DB50" s="580" t="str">
        <f t="array" ref="DB50:DS50">IF(MATCH(1, CI50:CZ50, 0)=COLUMN(CI50:CZ50)-COLUMN(CI50)+1, CI50:CZ50, "")</f>
        <v/>
      </c>
      <c r="DC50" s="252" t="s">
        <v>133</v>
      </c>
      <c r="DD50" s="252" t="s">
        <v>133</v>
      </c>
      <c r="DE50" s="252" t="s">
        <v>133</v>
      </c>
      <c r="DF50" s="252" t="s">
        <v>133</v>
      </c>
      <c r="DG50" s="252" t="s">
        <v>133</v>
      </c>
      <c r="DH50" s="390" t="s">
        <v>133</v>
      </c>
      <c r="DI50" s="390" t="s">
        <v>133</v>
      </c>
      <c r="DJ50" s="390" t="s">
        <v>133</v>
      </c>
      <c r="DK50" s="390" t="s">
        <v>133</v>
      </c>
      <c r="DL50" s="390" t="s">
        <v>133</v>
      </c>
      <c r="DM50" s="390" t="s">
        <v>133</v>
      </c>
      <c r="DN50" s="469">
        <v>1.0</v>
      </c>
      <c r="DO50" s="469" t="s">
        <v>133</v>
      </c>
      <c r="DP50" s="469" t="s">
        <v>133</v>
      </c>
      <c r="DQ50" s="469" t="s">
        <v>133</v>
      </c>
      <c r="DR50" s="469" t="s">
        <v>133</v>
      </c>
      <c r="DS50" s="581" t="s">
        <v>133</v>
      </c>
      <c r="DT50" s="563"/>
    </row>
    <row r="51">
      <c r="A51" s="563"/>
      <c r="B51" s="709"/>
      <c r="C51" s="709"/>
      <c r="D51" s="709"/>
      <c r="E51" s="10"/>
      <c r="F51" s="709"/>
      <c r="G51" s="10"/>
      <c r="H51" s="709"/>
      <c r="I51" s="10"/>
      <c r="J51" s="709"/>
      <c r="K51" s="10"/>
      <c r="L51" s="709"/>
      <c r="M51" s="461"/>
      <c r="N51" s="10"/>
      <c r="O51" s="10"/>
      <c r="P51" s="10"/>
      <c r="Q51" s="570" t="str">
        <f>IFERROR(__xludf.DUMMYFUNCTION("IF(SUM(DB51:DS51),ARRAYFORMULA(FILTER(DB$1:DS$1, DB51:DS51=1)),)"),"Cash Bonus")</f>
        <v>Cash Bonus</v>
      </c>
      <c r="R51" s="571">
        <f>IFERROR(__xludf.DUMMYFUNCTION("IF(SUM(DB51:DS51),ARRAYFORMULA(FILTER(AW51:BN51, DB51:DS51=1))+1,)"),53.0)</f>
        <v>53</v>
      </c>
      <c r="S51" s="572">
        <f>IFERROR(__xludf.DUMMYFUNCTION("IF(SUM(DB51:DS51),ARRAYFORMULA(FILTER(AD51:AU51, DB51:DS51=1)),)"),1.718E13)</f>
        <v>17180000000000</v>
      </c>
      <c r="T51" s="572">
        <f t="shared" si="26"/>
        <v>1.29204E+16</v>
      </c>
      <c r="U51" s="573" t="str">
        <f t="shared" ref="U51:V51" si="169">FORMAT_NUMBER(S51)</f>
        <v>17.18 T</v>
      </c>
      <c r="V51" s="574" t="str">
        <f t="shared" si="169"/>
        <v>12.92 q</v>
      </c>
      <c r="W51" s="677"/>
      <c r="X51" s="709"/>
      <c r="Y51" s="709"/>
      <c r="Z51" s="709"/>
      <c r="AA51" s="709"/>
      <c r="AB51" s="712"/>
      <c r="AC51" s="461"/>
      <c r="AD51" s="580">
        <f t="shared" ref="AD51:AU51" si="170">IFERROR(WSPCOST_SINGLE_ADJUSTED(AD$1,1+AW51),)</f>
        <v>37110000000000</v>
      </c>
      <c r="AE51" s="252">
        <f t="shared" si="170"/>
        <v>82420000000</v>
      </c>
      <c r="AF51" s="252">
        <f t="shared" si="170"/>
        <v>69650000000000</v>
      </c>
      <c r="AG51" s="252">
        <f t="shared" si="170"/>
        <v>21210000000</v>
      </c>
      <c r="AH51" s="252">
        <f t="shared" si="170"/>
        <v>43890000000000</v>
      </c>
      <c r="AI51" s="252">
        <f t="shared" si="170"/>
        <v>47710000000000</v>
      </c>
      <c r="AJ51" s="390">
        <f t="shared" si="170"/>
        <v>92140000000000</v>
      </c>
      <c r="AK51" s="390">
        <f t="shared" si="170"/>
        <v>580270000000000</v>
      </c>
      <c r="AL51" s="390">
        <f t="shared" si="170"/>
        <v>5000000000</v>
      </c>
      <c r="AM51" s="390">
        <f t="shared" si="170"/>
        <v>33950000000</v>
      </c>
      <c r="AN51" s="390">
        <f t="shared" si="170"/>
        <v>60080000000000</v>
      </c>
      <c r="AO51" s="390">
        <f t="shared" si="170"/>
        <v>22020000000000</v>
      </c>
      <c r="AP51" s="469">
        <f t="shared" si="170"/>
        <v>17180000000000</v>
      </c>
      <c r="AQ51" s="469">
        <f t="shared" si="170"/>
        <v>1.3E+15</v>
      </c>
      <c r="AR51" s="469">
        <f t="shared" si="170"/>
        <v>1.3E+15</v>
      </c>
      <c r="AS51" s="469">
        <f t="shared" si="170"/>
        <v>420490000000000</v>
      </c>
      <c r="AT51" s="469">
        <f t="shared" si="170"/>
        <v>3990000000000</v>
      </c>
      <c r="AU51" s="581">
        <f t="shared" si="170"/>
        <v>1.14E+15</v>
      </c>
      <c r="AV51" s="461"/>
      <c r="AW51" s="580">
        <f t="shared" ref="AW51:BN51" si="171">AW50+DB50</f>
        <v>56</v>
      </c>
      <c r="AX51" s="252">
        <f t="shared" si="171"/>
        <v>21</v>
      </c>
      <c r="AY51" s="252">
        <f t="shared" si="171"/>
        <v>60</v>
      </c>
      <c r="AZ51" s="252">
        <f t="shared" si="171"/>
        <v>17</v>
      </c>
      <c r="BA51" s="252">
        <f t="shared" si="171"/>
        <v>57</v>
      </c>
      <c r="BB51" s="252">
        <f t="shared" si="171"/>
        <v>13</v>
      </c>
      <c r="BC51" s="390">
        <f t="shared" si="171"/>
        <v>62</v>
      </c>
      <c r="BD51" s="390">
        <f t="shared" si="171"/>
        <v>79</v>
      </c>
      <c r="BE51" s="390">
        <f t="shared" si="171"/>
        <v>0</v>
      </c>
      <c r="BF51" s="390">
        <f t="shared" si="171"/>
        <v>18</v>
      </c>
      <c r="BG51" s="390">
        <f t="shared" si="171"/>
        <v>59</v>
      </c>
      <c r="BH51" s="390">
        <f t="shared" si="171"/>
        <v>20</v>
      </c>
      <c r="BI51" s="469">
        <f t="shared" si="171"/>
        <v>52</v>
      </c>
      <c r="BJ51" s="469">
        <f t="shared" si="171"/>
        <v>37</v>
      </c>
      <c r="BK51" s="469">
        <f t="shared" si="171"/>
        <v>37</v>
      </c>
      <c r="BL51" s="469">
        <f t="shared" si="171"/>
        <v>18</v>
      </c>
      <c r="BM51" s="469">
        <f t="shared" si="171"/>
        <v>42</v>
      </c>
      <c r="BN51" s="581">
        <f t="shared" si="171"/>
        <v>15</v>
      </c>
      <c r="BO51" s="461"/>
      <c r="BP51" s="580">
        <f t="shared" si="8"/>
        <v>37110000000000</v>
      </c>
      <c r="BQ51" s="252" t="str">
        <f t="shared" si="9"/>
        <v/>
      </c>
      <c r="BR51" s="252">
        <f t="shared" si="10"/>
        <v>69650000000000</v>
      </c>
      <c r="BS51" s="252" t="str">
        <f t="shared" si="11"/>
        <v/>
      </c>
      <c r="BT51" s="252" t="str">
        <f t="shared" si="12"/>
        <v/>
      </c>
      <c r="BU51" s="252">
        <f t="shared" si="13"/>
        <v>47710000000000</v>
      </c>
      <c r="BV51" s="390">
        <f t="shared" si="14"/>
        <v>92140000000000</v>
      </c>
      <c r="BW51" s="390" t="str">
        <f t="shared" si="15"/>
        <v/>
      </c>
      <c r="BX51" s="390" t="str">
        <f t="shared" si="16"/>
        <v/>
      </c>
      <c r="BY51" s="390" t="str">
        <f t="shared" si="17"/>
        <v/>
      </c>
      <c r="BZ51" s="390">
        <f t="shared" si="18"/>
        <v>60080000000000</v>
      </c>
      <c r="CA51" s="390">
        <f t="shared" si="19"/>
        <v>22020000000000</v>
      </c>
      <c r="CB51" s="469">
        <f t="shared" si="20"/>
        <v>17180000000000</v>
      </c>
      <c r="CC51" s="469" t="str">
        <f t="shared" si="21"/>
        <v/>
      </c>
      <c r="CD51" s="469" t="str">
        <f t="shared" si="22"/>
        <v/>
      </c>
      <c r="CE51" s="469" t="str">
        <f t="shared" si="23"/>
        <v/>
      </c>
      <c r="CF51" s="469" t="str">
        <f t="shared" si="24"/>
        <v/>
      </c>
      <c r="CG51" s="581" t="str">
        <f t="shared" si="25"/>
        <v/>
      </c>
      <c r="CH51" s="461"/>
      <c r="CI51" s="580" t="str">
        <f t="array" ref="CI51">LET(
array,SORT({$Y$2:$AB$19,TRANSPOSE($BP51:$CG51)},4,TRUE),
col,CHOOSECOLS(array,5),
row,MATCH(FALSE, ISBLANK(col), 0),
IF(BP51=SWITCH($AA$22,
"minimum cost", MIN($BP51:$CG51),
"maximum cost", MAX($BP51:$CG51), 
"custom order", IF(CI$1=INDEX(array, row,1),INDEX(array, row,5),"x"))
,1,))</f>
        <v/>
      </c>
      <c r="CJ51" s="252" t="str">
        <f t="array" ref="CJ51">LET(
array,SORT({$Y$2:$AB$19,TRANSPOSE($BP51:$CG51)},4,TRUE),
col,CHOOSECOLS(array,5),
row,MATCH(FALSE, ISBLANK(col), 0),
IF(BQ51=SWITCH($AA$22,
"minimum cost", MIN($BP51:$CG51),
"maximum cost", MAX($BP51:$CG51), 
"custom order", IF(CJ$1=INDEX(array, row,1),INDEX(array, row,5),"x"))
,1,))</f>
        <v/>
      </c>
      <c r="CK51" s="252" t="str">
        <f t="array" ref="CK51">LET(
array,SORT({$Y$2:$AB$19,TRANSPOSE($BP51:$CG51)},4,TRUE),
col,CHOOSECOLS(array,5),
row,MATCH(FALSE, ISBLANK(col), 0),
IF(BR51=SWITCH($AA$22,
"minimum cost", MIN($BP51:$CG51),
"maximum cost", MAX($BP51:$CG51), 
"custom order", IF(CK$1=INDEX(array, row,1),INDEX(array, row,5),"x"))
,1,))</f>
        <v/>
      </c>
      <c r="CL51" s="252" t="str">
        <f t="array" ref="CL51">LET(
array,SORT({$Y$2:$AB$19,TRANSPOSE($BP51:$CG51)},4,TRUE),
col,CHOOSECOLS(array,5),
row,MATCH(FALSE, ISBLANK(col), 0),
IF(BS51=SWITCH($AA$22,
"minimum cost", MIN($BP51:$CG51),
"maximum cost", MAX($BP51:$CG51), 
"custom order", IF(CL$1=INDEX(array, row,1),INDEX(array, row,5),"x"))
,1,))</f>
        <v/>
      </c>
      <c r="CM51" s="252" t="str">
        <f t="array" ref="CM51">LET(
array,SORT({$Y$2:$AB$19,TRANSPOSE($BP51:$CG51)},4,TRUE),
col,CHOOSECOLS(array,5),
row,MATCH(FALSE, ISBLANK(col), 0),
IF(BT51=SWITCH($AA$22,
"minimum cost", MIN($BP51:$CG51),
"maximum cost", MAX($BP51:$CG51), 
"custom order", IF(CM$1=INDEX(array, row,1),INDEX(array, row,5),"x"))
,1,))</f>
        <v/>
      </c>
      <c r="CN51" s="252" t="str">
        <f t="array" ref="CN51">LET(
array,SORT({$Y$2:$AB$19,TRANSPOSE($BP51:$CG51)},4,TRUE),
col,CHOOSECOLS(array,5),
row,MATCH(FALSE, ISBLANK(col), 0),
IF(BU51=SWITCH($AA$22,
"minimum cost", MIN($BP51:$CG51),
"maximum cost", MAX($BP51:$CG51), 
"custom order", IF(CN$1=INDEX(array, row,1),INDEX(array, row,5),"x"))
,1,))</f>
        <v/>
      </c>
      <c r="CO51" s="390" t="str">
        <f t="array" ref="CO51">LET(
array,SORT({$Y$2:$AB$19,TRANSPOSE($BP51:$CG51)},4,TRUE),
col,CHOOSECOLS(array,5),
row,MATCH(FALSE, ISBLANK(col), 0),
IF(BV51=SWITCH($AA$22,
"minimum cost", MIN($BP51:$CG51),
"maximum cost", MAX($BP51:$CG51), 
"custom order", IF(CO$1=INDEX(array, row,1),INDEX(array, row,5),"x"))
,1,))</f>
        <v/>
      </c>
      <c r="CP51" s="390" t="str">
        <f t="array" ref="CP51">LET(
array,SORT({$Y$2:$AB$19,TRANSPOSE($BP51:$CG51)},4,TRUE),
col,CHOOSECOLS(array,5),
row,MATCH(FALSE, ISBLANK(col), 0),
IF(BW51=SWITCH($AA$22,
"minimum cost", MIN($BP51:$CG51),
"maximum cost", MAX($BP51:$CG51), 
"custom order", IF(CP$1=INDEX(array, row,1),INDEX(array, row,5),"x"))
,1,))</f>
        <v/>
      </c>
      <c r="CQ51" s="390" t="str">
        <f t="array" ref="CQ51">LET(
array,SORT({$Y$2:$AB$19,TRANSPOSE($BP51:$CG51)},4,TRUE),
col,CHOOSECOLS(array,5),
row,MATCH(FALSE, ISBLANK(col), 0),
IF(BX51=SWITCH($AA$22,
"minimum cost", MIN($BP51:$CG51),
"maximum cost", MAX($BP51:$CG51), 
"custom order", IF(CQ$1=INDEX(array, row,1),INDEX(array, row,5),"x"))
,1,))</f>
        <v/>
      </c>
      <c r="CR51" s="390" t="str">
        <f t="array" ref="CR51">LET(
array,SORT({$Y$2:$AB$19,TRANSPOSE($BP51:$CG51)},4,TRUE),
col,CHOOSECOLS(array,5),
row,MATCH(FALSE, ISBLANK(col), 0),
IF(BY51=SWITCH($AA$22,
"minimum cost", MIN($BP51:$CG51),
"maximum cost", MAX($BP51:$CG51), 
"custom order", IF(CR$1=INDEX(array, row,1),INDEX(array, row,5),"x"))
,1,))</f>
        <v/>
      </c>
      <c r="CS51" s="390" t="str">
        <f t="array" ref="CS51">LET(
array,SORT({$Y$2:$AB$19,TRANSPOSE($BP51:$CG51)},4,TRUE),
col,CHOOSECOLS(array,5),
row,MATCH(FALSE, ISBLANK(col), 0),
IF(BZ51=SWITCH($AA$22,
"minimum cost", MIN($BP51:$CG51),
"maximum cost", MAX($BP51:$CG51), 
"custom order", IF(CS$1=INDEX(array, row,1),INDEX(array, row,5),"x"))
,1,))</f>
        <v/>
      </c>
      <c r="CT51" s="390" t="str">
        <f t="array" ref="CT51">LET(
array,SORT({$Y$2:$AB$19,TRANSPOSE($BP51:$CG51)},4,TRUE),
col,CHOOSECOLS(array,5),
row,MATCH(FALSE, ISBLANK(col), 0),
IF(CA51=SWITCH($AA$22,
"minimum cost", MIN($BP51:$CG51),
"maximum cost", MAX($BP51:$CG51), 
"custom order", IF(CT$1=INDEX(array, row,1),INDEX(array, row,5),"x"))
,1,))</f>
        <v/>
      </c>
      <c r="CU51" s="469">
        <f t="array" ref="CU51">LET(
array,SORT({$Y$2:$AB$19,TRANSPOSE($BP51:$CG51)},4,TRUE),
col,CHOOSECOLS(array,5),
row,MATCH(FALSE, ISBLANK(col), 0),
IF(CB51=SWITCH($AA$22,
"minimum cost", MIN($BP51:$CG51),
"maximum cost", MAX($BP51:$CG51), 
"custom order", IF(CU$1=INDEX(array, row,1),INDEX(array, row,5),"x"))
,1,))</f>
        <v>1</v>
      </c>
      <c r="CV51" s="469" t="str">
        <f t="array" ref="CV51">LET(
array,SORT({$Y$2:$AB$19,TRANSPOSE($BP51:$CG51)},4,TRUE),
col,CHOOSECOLS(array,5),
row,MATCH(FALSE, ISBLANK(col), 0),
IF(CC51=SWITCH($AA$22,
"minimum cost", MIN($BP51:$CG51),
"maximum cost", MAX($BP51:$CG51), 
"custom order", IF(CV$1=INDEX(array, row,1),INDEX(array, row,5),"x"))
,1,))</f>
        <v/>
      </c>
      <c r="CW51" s="469" t="str">
        <f t="array" ref="CW51">LET(
array,SORT({$Y$2:$AB$19,TRANSPOSE($BP51:$CG51)},4,TRUE),
col,CHOOSECOLS(array,5),
row,MATCH(FALSE, ISBLANK(col), 0),
IF(CD51=SWITCH($AA$22,
"minimum cost", MIN($BP51:$CG51),
"maximum cost", MAX($BP51:$CG51), 
"custom order", IF(CW$1=INDEX(array, row,1),INDEX(array, row,5),"x"))
,1,))</f>
        <v/>
      </c>
      <c r="CX51" s="469" t="str">
        <f t="array" ref="CX51">LET(
array,SORT({$Y$2:$AB$19,TRANSPOSE($BP51:$CG51)},4,TRUE),
col,CHOOSECOLS(array,5),
row,MATCH(FALSE, ISBLANK(col), 0),
IF(CE51=SWITCH($AA$22,
"minimum cost", MIN($BP51:$CG51),
"maximum cost", MAX($BP51:$CG51), 
"custom order", IF(CX$1=INDEX(array, row,1),INDEX(array, row,5),"x"))
,1,))</f>
        <v/>
      </c>
      <c r="CY51" s="469" t="str">
        <f t="array" ref="CY51">LET(
array,SORT({$Y$2:$AB$19,TRANSPOSE($BP51:$CG51)},4,TRUE),
col,CHOOSECOLS(array,5),
row,MATCH(FALSE, ISBLANK(col), 0),
IF(CF51=SWITCH($AA$22,
"minimum cost", MIN($BP51:$CG51),
"maximum cost", MAX($BP51:$CG51), 
"custom order", IF(CY$1=INDEX(array, row,1),INDEX(array, row,5),"x"))
,1,))</f>
        <v/>
      </c>
      <c r="CZ51" s="581" t="str">
        <f t="array" ref="CZ51">LET(
array,SORT({$Y$2:$AB$19,TRANSPOSE($BP51:$CG51)},4,TRUE),
col,CHOOSECOLS(array,5),
row,MATCH(FALSE, ISBLANK(col), 0),
IF(CG51=SWITCH($AA$22,
"minimum cost", MIN($BP51:$CG51),
"maximum cost", MAX($BP51:$CG51), 
"custom order", IF(CZ$1=INDEX(array, row,1),INDEX(array, row,5),"x"))
,1,))</f>
        <v/>
      </c>
      <c r="DA51" s="461"/>
      <c r="DB51" s="580" t="str">
        <f t="array" ref="DB51:DS51">IF(MATCH(1, CI51:CZ51, 0)=COLUMN(CI51:CZ51)-COLUMN(CI51)+1, CI51:CZ51, "")</f>
        <v/>
      </c>
      <c r="DC51" s="252" t="s">
        <v>133</v>
      </c>
      <c r="DD51" s="252" t="s">
        <v>133</v>
      </c>
      <c r="DE51" s="252" t="s">
        <v>133</v>
      </c>
      <c r="DF51" s="252" t="s">
        <v>133</v>
      </c>
      <c r="DG51" s="252" t="s">
        <v>133</v>
      </c>
      <c r="DH51" s="390" t="s">
        <v>133</v>
      </c>
      <c r="DI51" s="390" t="s">
        <v>133</v>
      </c>
      <c r="DJ51" s="390" t="s">
        <v>133</v>
      </c>
      <c r="DK51" s="390" t="s">
        <v>133</v>
      </c>
      <c r="DL51" s="390" t="s">
        <v>133</v>
      </c>
      <c r="DM51" s="390" t="s">
        <v>133</v>
      </c>
      <c r="DN51" s="469">
        <v>1.0</v>
      </c>
      <c r="DO51" s="469" t="s">
        <v>133</v>
      </c>
      <c r="DP51" s="469" t="s">
        <v>133</v>
      </c>
      <c r="DQ51" s="469" t="s">
        <v>133</v>
      </c>
      <c r="DR51" s="469" t="s">
        <v>133</v>
      </c>
      <c r="DS51" s="581" t="s">
        <v>133</v>
      </c>
      <c r="DT51" s="563"/>
    </row>
    <row r="52">
      <c r="A52" s="563"/>
      <c r="B52" s="709"/>
      <c r="C52" s="709"/>
      <c r="D52" s="709"/>
      <c r="E52" s="10"/>
      <c r="F52" s="709"/>
      <c r="G52" s="10"/>
      <c r="H52" s="709"/>
      <c r="I52" s="10"/>
      <c r="J52" s="709"/>
      <c r="K52" s="10"/>
      <c r="L52" s="709"/>
      <c r="M52" s="461"/>
      <c r="N52" s="10"/>
      <c r="O52" s="10"/>
      <c r="P52" s="10"/>
      <c r="Q52" s="570" t="str">
        <f>IFERROR(__xludf.DUMMYFUNCTION("IF(SUM(DB52:DS52),ARRAYFORMULA(FILTER(DB$1:DS$1, DB52:DS52=1)),)"),"Cash Bonus")</f>
        <v>Cash Bonus</v>
      </c>
      <c r="R52" s="571">
        <f>IFERROR(__xludf.DUMMYFUNCTION("IF(SUM(DB52:DS52),ARRAYFORMULA(FILTER(AW52:BN52, DB52:DS52=1))+1,)"),54.0)</f>
        <v>54</v>
      </c>
      <c r="S52" s="572">
        <f>IFERROR(__xludf.DUMMYFUNCTION("IF(SUM(DB52:DS52),ARRAYFORMULA(FILTER(AD52:AU52, DB52:DS52=1)),)"),2.121E13)</f>
        <v>21210000000000</v>
      </c>
      <c r="T52" s="572">
        <f t="shared" si="26"/>
        <v>1.29416E+16</v>
      </c>
      <c r="U52" s="573" t="str">
        <f t="shared" ref="U52:V52" si="172">FORMAT_NUMBER(S52)</f>
        <v>21.21 T</v>
      </c>
      <c r="V52" s="574" t="str">
        <f t="shared" si="172"/>
        <v>12.94 q</v>
      </c>
      <c r="W52" s="677"/>
      <c r="X52" s="709"/>
      <c r="Y52" s="709"/>
      <c r="Z52" s="709"/>
      <c r="AA52" s="709"/>
      <c r="AB52" s="712"/>
      <c r="AC52" s="461"/>
      <c r="AD52" s="580">
        <f t="shared" ref="AD52:AU52" si="173">IFERROR(WSPCOST_SINGLE_ADJUSTED(AD$1,1+AW52),)</f>
        <v>37110000000000</v>
      </c>
      <c r="AE52" s="252">
        <f t="shared" si="173"/>
        <v>82420000000</v>
      </c>
      <c r="AF52" s="252">
        <f t="shared" si="173"/>
        <v>69650000000000</v>
      </c>
      <c r="AG52" s="252">
        <f t="shared" si="173"/>
        <v>21210000000</v>
      </c>
      <c r="AH52" s="252">
        <f t="shared" si="173"/>
        <v>43890000000000</v>
      </c>
      <c r="AI52" s="252">
        <f t="shared" si="173"/>
        <v>47710000000000</v>
      </c>
      <c r="AJ52" s="390">
        <f t="shared" si="173"/>
        <v>92140000000000</v>
      </c>
      <c r="AK52" s="390">
        <f t="shared" si="173"/>
        <v>580270000000000</v>
      </c>
      <c r="AL52" s="390">
        <f t="shared" si="173"/>
        <v>5000000000</v>
      </c>
      <c r="AM52" s="390">
        <f t="shared" si="173"/>
        <v>33950000000</v>
      </c>
      <c r="AN52" s="390">
        <f t="shared" si="173"/>
        <v>60080000000000</v>
      </c>
      <c r="AO52" s="390">
        <f t="shared" si="173"/>
        <v>22020000000000</v>
      </c>
      <c r="AP52" s="469">
        <f t="shared" si="173"/>
        <v>21210000000000</v>
      </c>
      <c r="AQ52" s="469">
        <f t="shared" si="173"/>
        <v>1.3E+15</v>
      </c>
      <c r="AR52" s="469">
        <f t="shared" si="173"/>
        <v>1.3E+15</v>
      </c>
      <c r="AS52" s="469">
        <f t="shared" si="173"/>
        <v>420490000000000</v>
      </c>
      <c r="AT52" s="469">
        <f t="shared" si="173"/>
        <v>3990000000000</v>
      </c>
      <c r="AU52" s="581">
        <f t="shared" si="173"/>
        <v>1.14E+15</v>
      </c>
      <c r="AV52" s="461"/>
      <c r="AW52" s="580">
        <f t="shared" ref="AW52:BN52" si="174">AW51+DB51</f>
        <v>56</v>
      </c>
      <c r="AX52" s="252">
        <f t="shared" si="174"/>
        <v>21</v>
      </c>
      <c r="AY52" s="252">
        <f t="shared" si="174"/>
        <v>60</v>
      </c>
      <c r="AZ52" s="252">
        <f t="shared" si="174"/>
        <v>17</v>
      </c>
      <c r="BA52" s="252">
        <f t="shared" si="174"/>
        <v>57</v>
      </c>
      <c r="BB52" s="252">
        <f t="shared" si="174"/>
        <v>13</v>
      </c>
      <c r="BC52" s="390">
        <f t="shared" si="174"/>
        <v>62</v>
      </c>
      <c r="BD52" s="390">
        <f t="shared" si="174"/>
        <v>79</v>
      </c>
      <c r="BE52" s="390">
        <f t="shared" si="174"/>
        <v>0</v>
      </c>
      <c r="BF52" s="390">
        <f t="shared" si="174"/>
        <v>18</v>
      </c>
      <c r="BG52" s="390">
        <f t="shared" si="174"/>
        <v>59</v>
      </c>
      <c r="BH52" s="390">
        <f t="shared" si="174"/>
        <v>20</v>
      </c>
      <c r="BI52" s="469">
        <f t="shared" si="174"/>
        <v>53</v>
      </c>
      <c r="BJ52" s="469">
        <f t="shared" si="174"/>
        <v>37</v>
      </c>
      <c r="BK52" s="469">
        <f t="shared" si="174"/>
        <v>37</v>
      </c>
      <c r="BL52" s="469">
        <f t="shared" si="174"/>
        <v>18</v>
      </c>
      <c r="BM52" s="469">
        <f t="shared" si="174"/>
        <v>42</v>
      </c>
      <c r="BN52" s="581">
        <f t="shared" si="174"/>
        <v>15</v>
      </c>
      <c r="BO52" s="461"/>
      <c r="BP52" s="580">
        <f t="shared" si="8"/>
        <v>37110000000000</v>
      </c>
      <c r="BQ52" s="252" t="str">
        <f t="shared" si="9"/>
        <v/>
      </c>
      <c r="BR52" s="252">
        <f t="shared" si="10"/>
        <v>69650000000000</v>
      </c>
      <c r="BS52" s="252" t="str">
        <f t="shared" si="11"/>
        <v/>
      </c>
      <c r="BT52" s="252" t="str">
        <f t="shared" si="12"/>
        <v/>
      </c>
      <c r="BU52" s="252">
        <f t="shared" si="13"/>
        <v>47710000000000</v>
      </c>
      <c r="BV52" s="390">
        <f t="shared" si="14"/>
        <v>92140000000000</v>
      </c>
      <c r="BW52" s="390" t="str">
        <f t="shared" si="15"/>
        <v/>
      </c>
      <c r="BX52" s="390" t="str">
        <f t="shared" si="16"/>
        <v/>
      </c>
      <c r="BY52" s="390" t="str">
        <f t="shared" si="17"/>
        <v/>
      </c>
      <c r="BZ52" s="390">
        <f t="shared" si="18"/>
        <v>60080000000000</v>
      </c>
      <c r="CA52" s="390">
        <f t="shared" si="19"/>
        <v>22020000000000</v>
      </c>
      <c r="CB52" s="469">
        <f t="shared" si="20"/>
        <v>21210000000000</v>
      </c>
      <c r="CC52" s="469" t="str">
        <f t="shared" si="21"/>
        <v/>
      </c>
      <c r="CD52" s="469" t="str">
        <f t="shared" si="22"/>
        <v/>
      </c>
      <c r="CE52" s="469" t="str">
        <f t="shared" si="23"/>
        <v/>
      </c>
      <c r="CF52" s="469" t="str">
        <f t="shared" si="24"/>
        <v/>
      </c>
      <c r="CG52" s="581" t="str">
        <f t="shared" si="25"/>
        <v/>
      </c>
      <c r="CH52" s="461"/>
      <c r="CI52" s="580" t="str">
        <f t="array" ref="CI52">LET(
array,SORT({$Y$2:$AB$19,TRANSPOSE($BP52:$CG52)},4,TRUE),
col,CHOOSECOLS(array,5),
row,MATCH(FALSE, ISBLANK(col), 0),
IF(BP52=SWITCH($AA$22,
"minimum cost", MIN($BP52:$CG52),
"maximum cost", MAX($BP52:$CG52), 
"custom order", IF(CI$1=INDEX(array, row,1),INDEX(array, row,5),"x"))
,1,))</f>
        <v/>
      </c>
      <c r="CJ52" s="252" t="str">
        <f t="array" ref="CJ52">LET(
array,SORT({$Y$2:$AB$19,TRANSPOSE($BP52:$CG52)},4,TRUE),
col,CHOOSECOLS(array,5),
row,MATCH(FALSE, ISBLANK(col), 0),
IF(BQ52=SWITCH($AA$22,
"minimum cost", MIN($BP52:$CG52),
"maximum cost", MAX($BP52:$CG52), 
"custom order", IF(CJ$1=INDEX(array, row,1),INDEX(array, row,5),"x"))
,1,))</f>
        <v/>
      </c>
      <c r="CK52" s="252" t="str">
        <f t="array" ref="CK52">LET(
array,SORT({$Y$2:$AB$19,TRANSPOSE($BP52:$CG52)},4,TRUE),
col,CHOOSECOLS(array,5),
row,MATCH(FALSE, ISBLANK(col), 0),
IF(BR52=SWITCH($AA$22,
"minimum cost", MIN($BP52:$CG52),
"maximum cost", MAX($BP52:$CG52), 
"custom order", IF(CK$1=INDEX(array, row,1),INDEX(array, row,5),"x"))
,1,))</f>
        <v/>
      </c>
      <c r="CL52" s="252" t="str">
        <f t="array" ref="CL52">LET(
array,SORT({$Y$2:$AB$19,TRANSPOSE($BP52:$CG52)},4,TRUE),
col,CHOOSECOLS(array,5),
row,MATCH(FALSE, ISBLANK(col), 0),
IF(BS52=SWITCH($AA$22,
"minimum cost", MIN($BP52:$CG52),
"maximum cost", MAX($BP52:$CG52), 
"custom order", IF(CL$1=INDEX(array, row,1),INDEX(array, row,5),"x"))
,1,))</f>
        <v/>
      </c>
      <c r="CM52" s="252" t="str">
        <f t="array" ref="CM52">LET(
array,SORT({$Y$2:$AB$19,TRANSPOSE($BP52:$CG52)},4,TRUE),
col,CHOOSECOLS(array,5),
row,MATCH(FALSE, ISBLANK(col), 0),
IF(BT52=SWITCH($AA$22,
"minimum cost", MIN($BP52:$CG52),
"maximum cost", MAX($BP52:$CG52), 
"custom order", IF(CM$1=INDEX(array, row,1),INDEX(array, row,5),"x"))
,1,))</f>
        <v/>
      </c>
      <c r="CN52" s="252" t="str">
        <f t="array" ref="CN52">LET(
array,SORT({$Y$2:$AB$19,TRANSPOSE($BP52:$CG52)},4,TRUE),
col,CHOOSECOLS(array,5),
row,MATCH(FALSE, ISBLANK(col), 0),
IF(BU52=SWITCH($AA$22,
"minimum cost", MIN($BP52:$CG52),
"maximum cost", MAX($BP52:$CG52), 
"custom order", IF(CN$1=INDEX(array, row,1),INDEX(array, row,5),"x"))
,1,))</f>
        <v/>
      </c>
      <c r="CO52" s="390" t="str">
        <f t="array" ref="CO52">LET(
array,SORT({$Y$2:$AB$19,TRANSPOSE($BP52:$CG52)},4,TRUE),
col,CHOOSECOLS(array,5),
row,MATCH(FALSE, ISBLANK(col), 0),
IF(BV52=SWITCH($AA$22,
"minimum cost", MIN($BP52:$CG52),
"maximum cost", MAX($BP52:$CG52), 
"custom order", IF(CO$1=INDEX(array, row,1),INDEX(array, row,5),"x"))
,1,))</f>
        <v/>
      </c>
      <c r="CP52" s="390" t="str">
        <f t="array" ref="CP52">LET(
array,SORT({$Y$2:$AB$19,TRANSPOSE($BP52:$CG52)},4,TRUE),
col,CHOOSECOLS(array,5),
row,MATCH(FALSE, ISBLANK(col), 0),
IF(BW52=SWITCH($AA$22,
"minimum cost", MIN($BP52:$CG52),
"maximum cost", MAX($BP52:$CG52), 
"custom order", IF(CP$1=INDEX(array, row,1),INDEX(array, row,5),"x"))
,1,))</f>
        <v/>
      </c>
      <c r="CQ52" s="390" t="str">
        <f t="array" ref="CQ52">LET(
array,SORT({$Y$2:$AB$19,TRANSPOSE($BP52:$CG52)},4,TRUE),
col,CHOOSECOLS(array,5),
row,MATCH(FALSE, ISBLANK(col), 0),
IF(BX52=SWITCH($AA$22,
"minimum cost", MIN($BP52:$CG52),
"maximum cost", MAX($BP52:$CG52), 
"custom order", IF(CQ$1=INDEX(array, row,1),INDEX(array, row,5),"x"))
,1,))</f>
        <v/>
      </c>
      <c r="CR52" s="390" t="str">
        <f t="array" ref="CR52">LET(
array,SORT({$Y$2:$AB$19,TRANSPOSE($BP52:$CG52)},4,TRUE),
col,CHOOSECOLS(array,5),
row,MATCH(FALSE, ISBLANK(col), 0),
IF(BY52=SWITCH($AA$22,
"minimum cost", MIN($BP52:$CG52),
"maximum cost", MAX($BP52:$CG52), 
"custom order", IF(CR$1=INDEX(array, row,1),INDEX(array, row,5),"x"))
,1,))</f>
        <v/>
      </c>
      <c r="CS52" s="390" t="str">
        <f t="array" ref="CS52">LET(
array,SORT({$Y$2:$AB$19,TRANSPOSE($BP52:$CG52)},4,TRUE),
col,CHOOSECOLS(array,5),
row,MATCH(FALSE, ISBLANK(col), 0),
IF(BZ52=SWITCH($AA$22,
"minimum cost", MIN($BP52:$CG52),
"maximum cost", MAX($BP52:$CG52), 
"custom order", IF(CS$1=INDEX(array, row,1),INDEX(array, row,5),"x"))
,1,))</f>
        <v/>
      </c>
      <c r="CT52" s="390" t="str">
        <f t="array" ref="CT52">LET(
array,SORT({$Y$2:$AB$19,TRANSPOSE($BP52:$CG52)},4,TRUE),
col,CHOOSECOLS(array,5),
row,MATCH(FALSE, ISBLANK(col), 0),
IF(CA52=SWITCH($AA$22,
"minimum cost", MIN($BP52:$CG52),
"maximum cost", MAX($BP52:$CG52), 
"custom order", IF(CT$1=INDEX(array, row,1),INDEX(array, row,5),"x"))
,1,))</f>
        <v/>
      </c>
      <c r="CU52" s="469">
        <f t="array" ref="CU52">LET(
array,SORT({$Y$2:$AB$19,TRANSPOSE($BP52:$CG52)},4,TRUE),
col,CHOOSECOLS(array,5),
row,MATCH(FALSE, ISBLANK(col), 0),
IF(CB52=SWITCH($AA$22,
"minimum cost", MIN($BP52:$CG52),
"maximum cost", MAX($BP52:$CG52), 
"custom order", IF(CU$1=INDEX(array, row,1),INDEX(array, row,5),"x"))
,1,))</f>
        <v>1</v>
      </c>
      <c r="CV52" s="469" t="str">
        <f t="array" ref="CV52">LET(
array,SORT({$Y$2:$AB$19,TRANSPOSE($BP52:$CG52)},4,TRUE),
col,CHOOSECOLS(array,5),
row,MATCH(FALSE, ISBLANK(col), 0),
IF(CC52=SWITCH($AA$22,
"minimum cost", MIN($BP52:$CG52),
"maximum cost", MAX($BP52:$CG52), 
"custom order", IF(CV$1=INDEX(array, row,1),INDEX(array, row,5),"x"))
,1,))</f>
        <v/>
      </c>
      <c r="CW52" s="469" t="str">
        <f t="array" ref="CW52">LET(
array,SORT({$Y$2:$AB$19,TRANSPOSE($BP52:$CG52)},4,TRUE),
col,CHOOSECOLS(array,5),
row,MATCH(FALSE, ISBLANK(col), 0),
IF(CD52=SWITCH($AA$22,
"minimum cost", MIN($BP52:$CG52),
"maximum cost", MAX($BP52:$CG52), 
"custom order", IF(CW$1=INDEX(array, row,1),INDEX(array, row,5),"x"))
,1,))</f>
        <v/>
      </c>
      <c r="CX52" s="469" t="str">
        <f t="array" ref="CX52">LET(
array,SORT({$Y$2:$AB$19,TRANSPOSE($BP52:$CG52)},4,TRUE),
col,CHOOSECOLS(array,5),
row,MATCH(FALSE, ISBLANK(col), 0),
IF(CE52=SWITCH($AA$22,
"minimum cost", MIN($BP52:$CG52),
"maximum cost", MAX($BP52:$CG52), 
"custom order", IF(CX$1=INDEX(array, row,1),INDEX(array, row,5),"x"))
,1,))</f>
        <v/>
      </c>
      <c r="CY52" s="469" t="str">
        <f t="array" ref="CY52">LET(
array,SORT({$Y$2:$AB$19,TRANSPOSE($BP52:$CG52)},4,TRUE),
col,CHOOSECOLS(array,5),
row,MATCH(FALSE, ISBLANK(col), 0),
IF(CF52=SWITCH($AA$22,
"minimum cost", MIN($BP52:$CG52),
"maximum cost", MAX($BP52:$CG52), 
"custom order", IF(CY$1=INDEX(array, row,1),INDEX(array, row,5),"x"))
,1,))</f>
        <v/>
      </c>
      <c r="CZ52" s="581" t="str">
        <f t="array" ref="CZ52">LET(
array,SORT({$Y$2:$AB$19,TRANSPOSE($BP52:$CG52)},4,TRUE),
col,CHOOSECOLS(array,5),
row,MATCH(FALSE, ISBLANK(col), 0),
IF(CG52=SWITCH($AA$22,
"minimum cost", MIN($BP52:$CG52),
"maximum cost", MAX($BP52:$CG52), 
"custom order", IF(CZ$1=INDEX(array, row,1),INDEX(array, row,5),"x"))
,1,))</f>
        <v/>
      </c>
      <c r="DA52" s="461"/>
      <c r="DB52" s="580" t="str">
        <f t="array" ref="DB52:DS52">IF(MATCH(1, CI52:CZ52, 0)=COLUMN(CI52:CZ52)-COLUMN(CI52)+1, CI52:CZ52, "")</f>
        <v/>
      </c>
      <c r="DC52" s="252" t="s">
        <v>133</v>
      </c>
      <c r="DD52" s="252" t="s">
        <v>133</v>
      </c>
      <c r="DE52" s="252" t="s">
        <v>133</v>
      </c>
      <c r="DF52" s="252" t="s">
        <v>133</v>
      </c>
      <c r="DG52" s="252" t="s">
        <v>133</v>
      </c>
      <c r="DH52" s="390" t="s">
        <v>133</v>
      </c>
      <c r="DI52" s="390" t="s">
        <v>133</v>
      </c>
      <c r="DJ52" s="390" t="s">
        <v>133</v>
      </c>
      <c r="DK52" s="390" t="s">
        <v>133</v>
      </c>
      <c r="DL52" s="390" t="s">
        <v>133</v>
      </c>
      <c r="DM52" s="390" t="s">
        <v>133</v>
      </c>
      <c r="DN52" s="469">
        <v>1.0</v>
      </c>
      <c r="DO52" s="469" t="s">
        <v>133</v>
      </c>
      <c r="DP52" s="469" t="s">
        <v>133</v>
      </c>
      <c r="DQ52" s="469" t="s">
        <v>133</v>
      </c>
      <c r="DR52" s="469" t="s">
        <v>133</v>
      </c>
      <c r="DS52" s="581" t="s">
        <v>133</v>
      </c>
      <c r="DT52" s="563"/>
    </row>
    <row r="53">
      <c r="A53" s="563"/>
      <c r="B53" s="709"/>
      <c r="C53" s="709"/>
      <c r="D53" s="709"/>
      <c r="E53" s="10"/>
      <c r="F53" s="709"/>
      <c r="G53" s="10"/>
      <c r="H53" s="709"/>
      <c r="I53" s="10"/>
      <c r="J53" s="709"/>
      <c r="K53" s="10"/>
      <c r="L53" s="709"/>
      <c r="M53" s="461"/>
      <c r="N53" s="10"/>
      <c r="O53" s="10"/>
      <c r="P53" s="10"/>
      <c r="Q53" s="570" t="str">
        <f>IFERROR(__xludf.DUMMYFUNCTION("IF(SUM(DB53:DS53),ARRAYFORMULA(FILTER(DB$1:DS$1, DB53:DS53=1)),)"),"Cash Bonus")</f>
        <v>Cash Bonus</v>
      </c>
      <c r="R53" s="571">
        <f>IFERROR(__xludf.DUMMYFUNCTION("IF(SUM(DB53:DS53),ARRAYFORMULA(FILTER(AW53:BN53, DB53:DS53=1))+1,)"),55.0)</f>
        <v>55</v>
      </c>
      <c r="S53" s="572">
        <f>IFERROR(__xludf.DUMMYFUNCTION("IF(SUM(DB53:DS53),ARRAYFORMULA(FILTER(AD53:AU53, DB53:DS53=1)),)"),2.583E13)</f>
        <v>25830000000000</v>
      </c>
      <c r="T53" s="572">
        <f t="shared" si="26"/>
        <v>1.29674E+16</v>
      </c>
      <c r="U53" s="573" t="str">
        <f t="shared" ref="U53:V53" si="175">FORMAT_NUMBER(S53)</f>
        <v>25.83 T</v>
      </c>
      <c r="V53" s="574" t="str">
        <f t="shared" si="175"/>
        <v>12.97 q</v>
      </c>
      <c r="W53" s="677"/>
      <c r="X53" s="709"/>
      <c r="Y53" s="709"/>
      <c r="Z53" s="709"/>
      <c r="AA53" s="709"/>
      <c r="AB53" s="712"/>
      <c r="AC53" s="461"/>
      <c r="AD53" s="580">
        <f t="shared" ref="AD53:AU53" si="176">IFERROR(WSPCOST_SINGLE_ADJUSTED(AD$1,1+AW53),)</f>
        <v>37110000000000</v>
      </c>
      <c r="AE53" s="252">
        <f t="shared" si="176"/>
        <v>82420000000</v>
      </c>
      <c r="AF53" s="252">
        <f t="shared" si="176"/>
        <v>69650000000000</v>
      </c>
      <c r="AG53" s="252">
        <f t="shared" si="176"/>
        <v>21210000000</v>
      </c>
      <c r="AH53" s="252">
        <f t="shared" si="176"/>
        <v>43890000000000</v>
      </c>
      <c r="AI53" s="252">
        <f t="shared" si="176"/>
        <v>47710000000000</v>
      </c>
      <c r="AJ53" s="390">
        <f t="shared" si="176"/>
        <v>92140000000000</v>
      </c>
      <c r="AK53" s="390">
        <f t="shared" si="176"/>
        <v>580270000000000</v>
      </c>
      <c r="AL53" s="390">
        <f t="shared" si="176"/>
        <v>5000000000</v>
      </c>
      <c r="AM53" s="390">
        <f t="shared" si="176"/>
        <v>33950000000</v>
      </c>
      <c r="AN53" s="390">
        <f t="shared" si="176"/>
        <v>60080000000000</v>
      </c>
      <c r="AO53" s="390">
        <f t="shared" si="176"/>
        <v>22020000000000</v>
      </c>
      <c r="AP53" s="469">
        <f t="shared" si="176"/>
        <v>25830000000000</v>
      </c>
      <c r="AQ53" s="469">
        <f t="shared" si="176"/>
        <v>1.3E+15</v>
      </c>
      <c r="AR53" s="469">
        <f t="shared" si="176"/>
        <v>1.3E+15</v>
      </c>
      <c r="AS53" s="469">
        <f t="shared" si="176"/>
        <v>420490000000000</v>
      </c>
      <c r="AT53" s="469">
        <f t="shared" si="176"/>
        <v>3990000000000</v>
      </c>
      <c r="AU53" s="581">
        <f t="shared" si="176"/>
        <v>1.14E+15</v>
      </c>
      <c r="AV53" s="461"/>
      <c r="AW53" s="580">
        <f t="shared" ref="AW53:BN53" si="177">AW52+DB52</f>
        <v>56</v>
      </c>
      <c r="AX53" s="252">
        <f t="shared" si="177"/>
        <v>21</v>
      </c>
      <c r="AY53" s="252">
        <f t="shared" si="177"/>
        <v>60</v>
      </c>
      <c r="AZ53" s="252">
        <f t="shared" si="177"/>
        <v>17</v>
      </c>
      <c r="BA53" s="252">
        <f t="shared" si="177"/>
        <v>57</v>
      </c>
      <c r="BB53" s="252">
        <f t="shared" si="177"/>
        <v>13</v>
      </c>
      <c r="BC53" s="390">
        <f t="shared" si="177"/>
        <v>62</v>
      </c>
      <c r="BD53" s="390">
        <f t="shared" si="177"/>
        <v>79</v>
      </c>
      <c r="BE53" s="390">
        <f t="shared" si="177"/>
        <v>0</v>
      </c>
      <c r="BF53" s="390">
        <f t="shared" si="177"/>
        <v>18</v>
      </c>
      <c r="BG53" s="390">
        <f t="shared" si="177"/>
        <v>59</v>
      </c>
      <c r="BH53" s="390">
        <f t="shared" si="177"/>
        <v>20</v>
      </c>
      <c r="BI53" s="469">
        <f t="shared" si="177"/>
        <v>54</v>
      </c>
      <c r="BJ53" s="469">
        <f t="shared" si="177"/>
        <v>37</v>
      </c>
      <c r="BK53" s="469">
        <f t="shared" si="177"/>
        <v>37</v>
      </c>
      <c r="BL53" s="469">
        <f t="shared" si="177"/>
        <v>18</v>
      </c>
      <c r="BM53" s="469">
        <f t="shared" si="177"/>
        <v>42</v>
      </c>
      <c r="BN53" s="581">
        <f t="shared" si="177"/>
        <v>15</v>
      </c>
      <c r="BO53" s="461"/>
      <c r="BP53" s="580">
        <f t="shared" si="8"/>
        <v>37110000000000</v>
      </c>
      <c r="BQ53" s="252" t="str">
        <f t="shared" si="9"/>
        <v/>
      </c>
      <c r="BR53" s="252">
        <f t="shared" si="10"/>
        <v>69650000000000</v>
      </c>
      <c r="BS53" s="252" t="str">
        <f t="shared" si="11"/>
        <v/>
      </c>
      <c r="BT53" s="252" t="str">
        <f t="shared" si="12"/>
        <v/>
      </c>
      <c r="BU53" s="252">
        <f t="shared" si="13"/>
        <v>47710000000000</v>
      </c>
      <c r="BV53" s="390">
        <f t="shared" si="14"/>
        <v>92140000000000</v>
      </c>
      <c r="BW53" s="390" t="str">
        <f t="shared" si="15"/>
        <v/>
      </c>
      <c r="BX53" s="390" t="str">
        <f t="shared" si="16"/>
        <v/>
      </c>
      <c r="BY53" s="390" t="str">
        <f t="shared" si="17"/>
        <v/>
      </c>
      <c r="BZ53" s="390">
        <f t="shared" si="18"/>
        <v>60080000000000</v>
      </c>
      <c r="CA53" s="390">
        <f t="shared" si="19"/>
        <v>22020000000000</v>
      </c>
      <c r="CB53" s="469">
        <f t="shared" si="20"/>
        <v>25830000000000</v>
      </c>
      <c r="CC53" s="469" t="str">
        <f t="shared" si="21"/>
        <v/>
      </c>
      <c r="CD53" s="469" t="str">
        <f t="shared" si="22"/>
        <v/>
      </c>
      <c r="CE53" s="469" t="str">
        <f t="shared" si="23"/>
        <v/>
      </c>
      <c r="CF53" s="469" t="str">
        <f t="shared" si="24"/>
        <v/>
      </c>
      <c r="CG53" s="581" t="str">
        <f t="shared" si="25"/>
        <v/>
      </c>
      <c r="CH53" s="461"/>
      <c r="CI53" s="580" t="str">
        <f t="array" ref="CI53">LET(
array,SORT({$Y$2:$AB$19,TRANSPOSE($BP53:$CG53)},4,TRUE),
col,CHOOSECOLS(array,5),
row,MATCH(FALSE, ISBLANK(col), 0),
IF(BP53=SWITCH($AA$22,
"minimum cost", MIN($BP53:$CG53),
"maximum cost", MAX($BP53:$CG53), 
"custom order", IF(CI$1=INDEX(array, row,1),INDEX(array, row,5),"x"))
,1,))</f>
        <v/>
      </c>
      <c r="CJ53" s="252" t="str">
        <f t="array" ref="CJ53">LET(
array,SORT({$Y$2:$AB$19,TRANSPOSE($BP53:$CG53)},4,TRUE),
col,CHOOSECOLS(array,5),
row,MATCH(FALSE, ISBLANK(col), 0),
IF(BQ53=SWITCH($AA$22,
"minimum cost", MIN($BP53:$CG53),
"maximum cost", MAX($BP53:$CG53), 
"custom order", IF(CJ$1=INDEX(array, row,1),INDEX(array, row,5),"x"))
,1,))</f>
        <v/>
      </c>
      <c r="CK53" s="252" t="str">
        <f t="array" ref="CK53">LET(
array,SORT({$Y$2:$AB$19,TRANSPOSE($BP53:$CG53)},4,TRUE),
col,CHOOSECOLS(array,5),
row,MATCH(FALSE, ISBLANK(col), 0),
IF(BR53=SWITCH($AA$22,
"minimum cost", MIN($BP53:$CG53),
"maximum cost", MAX($BP53:$CG53), 
"custom order", IF(CK$1=INDEX(array, row,1),INDEX(array, row,5),"x"))
,1,))</f>
        <v/>
      </c>
      <c r="CL53" s="252" t="str">
        <f t="array" ref="CL53">LET(
array,SORT({$Y$2:$AB$19,TRANSPOSE($BP53:$CG53)},4,TRUE),
col,CHOOSECOLS(array,5),
row,MATCH(FALSE, ISBLANK(col), 0),
IF(BS53=SWITCH($AA$22,
"minimum cost", MIN($BP53:$CG53),
"maximum cost", MAX($BP53:$CG53), 
"custom order", IF(CL$1=INDEX(array, row,1),INDEX(array, row,5),"x"))
,1,))</f>
        <v/>
      </c>
      <c r="CM53" s="252" t="str">
        <f t="array" ref="CM53">LET(
array,SORT({$Y$2:$AB$19,TRANSPOSE($BP53:$CG53)},4,TRUE),
col,CHOOSECOLS(array,5),
row,MATCH(FALSE, ISBLANK(col), 0),
IF(BT53=SWITCH($AA$22,
"minimum cost", MIN($BP53:$CG53),
"maximum cost", MAX($BP53:$CG53), 
"custom order", IF(CM$1=INDEX(array, row,1),INDEX(array, row,5),"x"))
,1,))</f>
        <v/>
      </c>
      <c r="CN53" s="252" t="str">
        <f t="array" ref="CN53">LET(
array,SORT({$Y$2:$AB$19,TRANSPOSE($BP53:$CG53)},4,TRUE),
col,CHOOSECOLS(array,5),
row,MATCH(FALSE, ISBLANK(col), 0),
IF(BU53=SWITCH($AA$22,
"minimum cost", MIN($BP53:$CG53),
"maximum cost", MAX($BP53:$CG53), 
"custom order", IF(CN$1=INDEX(array, row,1),INDEX(array, row,5),"x"))
,1,))</f>
        <v/>
      </c>
      <c r="CO53" s="390" t="str">
        <f t="array" ref="CO53">LET(
array,SORT({$Y$2:$AB$19,TRANSPOSE($BP53:$CG53)},4,TRUE),
col,CHOOSECOLS(array,5),
row,MATCH(FALSE, ISBLANK(col), 0),
IF(BV53=SWITCH($AA$22,
"minimum cost", MIN($BP53:$CG53),
"maximum cost", MAX($BP53:$CG53), 
"custom order", IF(CO$1=INDEX(array, row,1),INDEX(array, row,5),"x"))
,1,))</f>
        <v/>
      </c>
      <c r="CP53" s="390" t="str">
        <f t="array" ref="CP53">LET(
array,SORT({$Y$2:$AB$19,TRANSPOSE($BP53:$CG53)},4,TRUE),
col,CHOOSECOLS(array,5),
row,MATCH(FALSE, ISBLANK(col), 0),
IF(BW53=SWITCH($AA$22,
"minimum cost", MIN($BP53:$CG53),
"maximum cost", MAX($BP53:$CG53), 
"custom order", IF(CP$1=INDEX(array, row,1),INDEX(array, row,5),"x"))
,1,))</f>
        <v/>
      </c>
      <c r="CQ53" s="390" t="str">
        <f t="array" ref="CQ53">LET(
array,SORT({$Y$2:$AB$19,TRANSPOSE($BP53:$CG53)},4,TRUE),
col,CHOOSECOLS(array,5),
row,MATCH(FALSE, ISBLANK(col), 0),
IF(BX53=SWITCH($AA$22,
"minimum cost", MIN($BP53:$CG53),
"maximum cost", MAX($BP53:$CG53), 
"custom order", IF(CQ$1=INDEX(array, row,1),INDEX(array, row,5),"x"))
,1,))</f>
        <v/>
      </c>
      <c r="CR53" s="390" t="str">
        <f t="array" ref="CR53">LET(
array,SORT({$Y$2:$AB$19,TRANSPOSE($BP53:$CG53)},4,TRUE),
col,CHOOSECOLS(array,5),
row,MATCH(FALSE, ISBLANK(col), 0),
IF(BY53=SWITCH($AA$22,
"minimum cost", MIN($BP53:$CG53),
"maximum cost", MAX($BP53:$CG53), 
"custom order", IF(CR$1=INDEX(array, row,1),INDEX(array, row,5),"x"))
,1,))</f>
        <v/>
      </c>
      <c r="CS53" s="390" t="str">
        <f t="array" ref="CS53">LET(
array,SORT({$Y$2:$AB$19,TRANSPOSE($BP53:$CG53)},4,TRUE),
col,CHOOSECOLS(array,5),
row,MATCH(FALSE, ISBLANK(col), 0),
IF(BZ53=SWITCH($AA$22,
"minimum cost", MIN($BP53:$CG53),
"maximum cost", MAX($BP53:$CG53), 
"custom order", IF(CS$1=INDEX(array, row,1),INDEX(array, row,5),"x"))
,1,))</f>
        <v/>
      </c>
      <c r="CT53" s="390" t="str">
        <f t="array" ref="CT53">LET(
array,SORT({$Y$2:$AB$19,TRANSPOSE($BP53:$CG53)},4,TRUE),
col,CHOOSECOLS(array,5),
row,MATCH(FALSE, ISBLANK(col), 0),
IF(CA53=SWITCH($AA$22,
"minimum cost", MIN($BP53:$CG53),
"maximum cost", MAX($BP53:$CG53), 
"custom order", IF(CT$1=INDEX(array, row,1),INDEX(array, row,5),"x"))
,1,))</f>
        <v/>
      </c>
      <c r="CU53" s="469">
        <f t="array" ref="CU53">LET(
array,SORT({$Y$2:$AB$19,TRANSPOSE($BP53:$CG53)},4,TRUE),
col,CHOOSECOLS(array,5),
row,MATCH(FALSE, ISBLANK(col), 0),
IF(CB53=SWITCH($AA$22,
"minimum cost", MIN($BP53:$CG53),
"maximum cost", MAX($BP53:$CG53), 
"custom order", IF(CU$1=INDEX(array, row,1),INDEX(array, row,5),"x"))
,1,))</f>
        <v>1</v>
      </c>
      <c r="CV53" s="469" t="str">
        <f t="array" ref="CV53">LET(
array,SORT({$Y$2:$AB$19,TRANSPOSE($BP53:$CG53)},4,TRUE),
col,CHOOSECOLS(array,5),
row,MATCH(FALSE, ISBLANK(col), 0),
IF(CC53=SWITCH($AA$22,
"minimum cost", MIN($BP53:$CG53),
"maximum cost", MAX($BP53:$CG53), 
"custom order", IF(CV$1=INDEX(array, row,1),INDEX(array, row,5),"x"))
,1,))</f>
        <v/>
      </c>
      <c r="CW53" s="469" t="str">
        <f t="array" ref="CW53">LET(
array,SORT({$Y$2:$AB$19,TRANSPOSE($BP53:$CG53)},4,TRUE),
col,CHOOSECOLS(array,5),
row,MATCH(FALSE, ISBLANK(col), 0),
IF(CD53=SWITCH($AA$22,
"minimum cost", MIN($BP53:$CG53),
"maximum cost", MAX($BP53:$CG53), 
"custom order", IF(CW$1=INDEX(array, row,1),INDEX(array, row,5),"x"))
,1,))</f>
        <v/>
      </c>
      <c r="CX53" s="469" t="str">
        <f t="array" ref="CX53">LET(
array,SORT({$Y$2:$AB$19,TRANSPOSE($BP53:$CG53)},4,TRUE),
col,CHOOSECOLS(array,5),
row,MATCH(FALSE, ISBLANK(col), 0),
IF(CE53=SWITCH($AA$22,
"minimum cost", MIN($BP53:$CG53),
"maximum cost", MAX($BP53:$CG53), 
"custom order", IF(CX$1=INDEX(array, row,1),INDEX(array, row,5),"x"))
,1,))</f>
        <v/>
      </c>
      <c r="CY53" s="469" t="str">
        <f t="array" ref="CY53">LET(
array,SORT({$Y$2:$AB$19,TRANSPOSE($BP53:$CG53)},4,TRUE),
col,CHOOSECOLS(array,5),
row,MATCH(FALSE, ISBLANK(col), 0),
IF(CF53=SWITCH($AA$22,
"minimum cost", MIN($BP53:$CG53),
"maximum cost", MAX($BP53:$CG53), 
"custom order", IF(CY$1=INDEX(array, row,1),INDEX(array, row,5),"x"))
,1,))</f>
        <v/>
      </c>
      <c r="CZ53" s="581" t="str">
        <f t="array" ref="CZ53">LET(
array,SORT({$Y$2:$AB$19,TRANSPOSE($BP53:$CG53)},4,TRUE),
col,CHOOSECOLS(array,5),
row,MATCH(FALSE, ISBLANK(col), 0),
IF(CG53=SWITCH($AA$22,
"minimum cost", MIN($BP53:$CG53),
"maximum cost", MAX($BP53:$CG53), 
"custom order", IF(CZ$1=INDEX(array, row,1),INDEX(array, row,5),"x"))
,1,))</f>
        <v/>
      </c>
      <c r="DA53" s="461"/>
      <c r="DB53" s="580" t="str">
        <f t="array" ref="DB53:DS53">IF(MATCH(1, CI53:CZ53, 0)=COLUMN(CI53:CZ53)-COLUMN(CI53)+1, CI53:CZ53, "")</f>
        <v/>
      </c>
      <c r="DC53" s="252" t="s">
        <v>133</v>
      </c>
      <c r="DD53" s="252" t="s">
        <v>133</v>
      </c>
      <c r="DE53" s="252" t="s">
        <v>133</v>
      </c>
      <c r="DF53" s="252" t="s">
        <v>133</v>
      </c>
      <c r="DG53" s="252" t="s">
        <v>133</v>
      </c>
      <c r="DH53" s="390" t="s">
        <v>133</v>
      </c>
      <c r="DI53" s="390" t="s">
        <v>133</v>
      </c>
      <c r="DJ53" s="390" t="s">
        <v>133</v>
      </c>
      <c r="DK53" s="390" t="s">
        <v>133</v>
      </c>
      <c r="DL53" s="390" t="s">
        <v>133</v>
      </c>
      <c r="DM53" s="390" t="s">
        <v>133</v>
      </c>
      <c r="DN53" s="469">
        <v>1.0</v>
      </c>
      <c r="DO53" s="469" t="s">
        <v>133</v>
      </c>
      <c r="DP53" s="469" t="s">
        <v>133</v>
      </c>
      <c r="DQ53" s="469" t="s">
        <v>133</v>
      </c>
      <c r="DR53" s="469" t="s">
        <v>133</v>
      </c>
      <c r="DS53" s="581" t="s">
        <v>133</v>
      </c>
      <c r="DT53" s="563"/>
    </row>
    <row r="54">
      <c r="A54" s="563"/>
      <c r="B54" s="709"/>
      <c r="C54" s="709"/>
      <c r="D54" s="709"/>
      <c r="E54" s="10"/>
      <c r="F54" s="709"/>
      <c r="G54" s="10"/>
      <c r="H54" s="709"/>
      <c r="I54" s="10"/>
      <c r="J54" s="709"/>
      <c r="K54" s="10"/>
      <c r="L54" s="709"/>
      <c r="M54" s="461"/>
      <c r="N54" s="10"/>
      <c r="O54" s="10"/>
      <c r="P54" s="10"/>
      <c r="Q54" s="570" t="str">
        <f>IFERROR(__xludf.DUMMYFUNCTION("IF(SUM(DB54:DS54),ARRAYFORMULA(FILTER(DB$1:DS$1, DB54:DS54=1)),)"),"Cash Bonus")</f>
        <v>Cash Bonus</v>
      </c>
      <c r="R54" s="571">
        <f>IFERROR(__xludf.DUMMYFUNCTION("IF(SUM(DB54:DS54),ARRAYFORMULA(FILTER(AW54:BN54, DB54:DS54=1))+1,)"),56.0)</f>
        <v>56</v>
      </c>
      <c r="S54" s="572">
        <f>IFERROR(__xludf.DUMMYFUNCTION("IF(SUM(DB54:DS54),ARRAYFORMULA(FILTER(AD54:AU54, DB54:DS54=1)),)"),3.111E13)</f>
        <v>31110000000000</v>
      </c>
      <c r="T54" s="572">
        <f t="shared" si="26"/>
        <v>1.29985E+16</v>
      </c>
      <c r="U54" s="573" t="str">
        <f t="shared" ref="U54:V54" si="178">FORMAT_NUMBER(S54)</f>
        <v>31.11 T</v>
      </c>
      <c r="V54" s="574" t="str">
        <f t="shared" si="178"/>
        <v>13 q</v>
      </c>
      <c r="W54" s="677"/>
      <c r="X54" s="709"/>
      <c r="Y54" s="709"/>
      <c r="Z54" s="709"/>
      <c r="AA54" s="709"/>
      <c r="AB54" s="712"/>
      <c r="AC54" s="461"/>
      <c r="AD54" s="580">
        <f t="shared" ref="AD54:AU54" si="179">IFERROR(WSPCOST_SINGLE_ADJUSTED(AD$1,1+AW54),)</f>
        <v>37110000000000</v>
      </c>
      <c r="AE54" s="252">
        <f t="shared" si="179"/>
        <v>82420000000</v>
      </c>
      <c r="AF54" s="252">
        <f t="shared" si="179"/>
        <v>69650000000000</v>
      </c>
      <c r="AG54" s="252">
        <f t="shared" si="179"/>
        <v>21210000000</v>
      </c>
      <c r="AH54" s="252">
        <f t="shared" si="179"/>
        <v>43890000000000</v>
      </c>
      <c r="AI54" s="252">
        <f t="shared" si="179"/>
        <v>47710000000000</v>
      </c>
      <c r="AJ54" s="390">
        <f t="shared" si="179"/>
        <v>92140000000000</v>
      </c>
      <c r="AK54" s="390">
        <f t="shared" si="179"/>
        <v>580270000000000</v>
      </c>
      <c r="AL54" s="390">
        <f t="shared" si="179"/>
        <v>5000000000</v>
      </c>
      <c r="AM54" s="390">
        <f t="shared" si="179"/>
        <v>33950000000</v>
      </c>
      <c r="AN54" s="390">
        <f t="shared" si="179"/>
        <v>60080000000000</v>
      </c>
      <c r="AO54" s="390">
        <f t="shared" si="179"/>
        <v>22020000000000</v>
      </c>
      <c r="AP54" s="469">
        <f t="shared" si="179"/>
        <v>31110000000000</v>
      </c>
      <c r="AQ54" s="469">
        <f t="shared" si="179"/>
        <v>1.3E+15</v>
      </c>
      <c r="AR54" s="469">
        <f t="shared" si="179"/>
        <v>1.3E+15</v>
      </c>
      <c r="AS54" s="469">
        <f t="shared" si="179"/>
        <v>420490000000000</v>
      </c>
      <c r="AT54" s="469">
        <f t="shared" si="179"/>
        <v>3990000000000</v>
      </c>
      <c r="AU54" s="581">
        <f t="shared" si="179"/>
        <v>1.14E+15</v>
      </c>
      <c r="AV54" s="461"/>
      <c r="AW54" s="580">
        <f t="shared" ref="AW54:BN54" si="180">AW53+DB53</f>
        <v>56</v>
      </c>
      <c r="AX54" s="252">
        <f t="shared" si="180"/>
        <v>21</v>
      </c>
      <c r="AY54" s="252">
        <f t="shared" si="180"/>
        <v>60</v>
      </c>
      <c r="AZ54" s="252">
        <f t="shared" si="180"/>
        <v>17</v>
      </c>
      <c r="BA54" s="252">
        <f t="shared" si="180"/>
        <v>57</v>
      </c>
      <c r="BB54" s="252">
        <f t="shared" si="180"/>
        <v>13</v>
      </c>
      <c r="BC54" s="390">
        <f t="shared" si="180"/>
        <v>62</v>
      </c>
      <c r="BD54" s="390">
        <f t="shared" si="180"/>
        <v>79</v>
      </c>
      <c r="BE54" s="390">
        <f t="shared" si="180"/>
        <v>0</v>
      </c>
      <c r="BF54" s="390">
        <f t="shared" si="180"/>
        <v>18</v>
      </c>
      <c r="BG54" s="390">
        <f t="shared" si="180"/>
        <v>59</v>
      </c>
      <c r="BH54" s="390">
        <f t="shared" si="180"/>
        <v>20</v>
      </c>
      <c r="BI54" s="469">
        <f t="shared" si="180"/>
        <v>55</v>
      </c>
      <c r="BJ54" s="469">
        <f t="shared" si="180"/>
        <v>37</v>
      </c>
      <c r="BK54" s="469">
        <f t="shared" si="180"/>
        <v>37</v>
      </c>
      <c r="BL54" s="469">
        <f t="shared" si="180"/>
        <v>18</v>
      </c>
      <c r="BM54" s="469">
        <f t="shared" si="180"/>
        <v>42</v>
      </c>
      <c r="BN54" s="581">
        <f t="shared" si="180"/>
        <v>15</v>
      </c>
      <c r="BO54" s="461"/>
      <c r="BP54" s="580">
        <f t="shared" si="8"/>
        <v>37110000000000</v>
      </c>
      <c r="BQ54" s="252" t="str">
        <f t="shared" si="9"/>
        <v/>
      </c>
      <c r="BR54" s="252">
        <f t="shared" si="10"/>
        <v>69650000000000</v>
      </c>
      <c r="BS54" s="252" t="str">
        <f t="shared" si="11"/>
        <v/>
      </c>
      <c r="BT54" s="252" t="str">
        <f t="shared" si="12"/>
        <v/>
      </c>
      <c r="BU54" s="252">
        <f t="shared" si="13"/>
        <v>47710000000000</v>
      </c>
      <c r="BV54" s="390">
        <f t="shared" si="14"/>
        <v>92140000000000</v>
      </c>
      <c r="BW54" s="390" t="str">
        <f t="shared" si="15"/>
        <v/>
      </c>
      <c r="BX54" s="390" t="str">
        <f t="shared" si="16"/>
        <v/>
      </c>
      <c r="BY54" s="390" t="str">
        <f t="shared" si="17"/>
        <v/>
      </c>
      <c r="BZ54" s="390">
        <f t="shared" si="18"/>
        <v>60080000000000</v>
      </c>
      <c r="CA54" s="390">
        <f t="shared" si="19"/>
        <v>22020000000000</v>
      </c>
      <c r="CB54" s="469">
        <f t="shared" si="20"/>
        <v>31110000000000</v>
      </c>
      <c r="CC54" s="469" t="str">
        <f t="shared" si="21"/>
        <v/>
      </c>
      <c r="CD54" s="469" t="str">
        <f t="shared" si="22"/>
        <v/>
      </c>
      <c r="CE54" s="469" t="str">
        <f t="shared" si="23"/>
        <v/>
      </c>
      <c r="CF54" s="469" t="str">
        <f t="shared" si="24"/>
        <v/>
      </c>
      <c r="CG54" s="581" t="str">
        <f t="shared" si="25"/>
        <v/>
      </c>
      <c r="CH54" s="461"/>
      <c r="CI54" s="580" t="str">
        <f t="array" ref="CI54">LET(
array,SORT({$Y$2:$AB$19,TRANSPOSE($BP54:$CG54)},4,TRUE),
col,CHOOSECOLS(array,5),
row,MATCH(FALSE, ISBLANK(col), 0),
IF(BP54=SWITCH($AA$22,
"minimum cost", MIN($BP54:$CG54),
"maximum cost", MAX($BP54:$CG54), 
"custom order", IF(CI$1=INDEX(array, row,1),INDEX(array, row,5),"x"))
,1,))</f>
        <v/>
      </c>
      <c r="CJ54" s="252" t="str">
        <f t="array" ref="CJ54">LET(
array,SORT({$Y$2:$AB$19,TRANSPOSE($BP54:$CG54)},4,TRUE),
col,CHOOSECOLS(array,5),
row,MATCH(FALSE, ISBLANK(col), 0),
IF(BQ54=SWITCH($AA$22,
"minimum cost", MIN($BP54:$CG54),
"maximum cost", MAX($BP54:$CG54), 
"custom order", IF(CJ$1=INDEX(array, row,1),INDEX(array, row,5),"x"))
,1,))</f>
        <v/>
      </c>
      <c r="CK54" s="252" t="str">
        <f t="array" ref="CK54">LET(
array,SORT({$Y$2:$AB$19,TRANSPOSE($BP54:$CG54)},4,TRUE),
col,CHOOSECOLS(array,5),
row,MATCH(FALSE, ISBLANK(col), 0),
IF(BR54=SWITCH($AA$22,
"minimum cost", MIN($BP54:$CG54),
"maximum cost", MAX($BP54:$CG54), 
"custom order", IF(CK$1=INDEX(array, row,1),INDEX(array, row,5),"x"))
,1,))</f>
        <v/>
      </c>
      <c r="CL54" s="252" t="str">
        <f t="array" ref="CL54">LET(
array,SORT({$Y$2:$AB$19,TRANSPOSE($BP54:$CG54)},4,TRUE),
col,CHOOSECOLS(array,5),
row,MATCH(FALSE, ISBLANK(col), 0),
IF(BS54=SWITCH($AA$22,
"minimum cost", MIN($BP54:$CG54),
"maximum cost", MAX($BP54:$CG54), 
"custom order", IF(CL$1=INDEX(array, row,1),INDEX(array, row,5),"x"))
,1,))</f>
        <v/>
      </c>
      <c r="CM54" s="252" t="str">
        <f t="array" ref="CM54">LET(
array,SORT({$Y$2:$AB$19,TRANSPOSE($BP54:$CG54)},4,TRUE),
col,CHOOSECOLS(array,5),
row,MATCH(FALSE, ISBLANK(col), 0),
IF(BT54=SWITCH($AA$22,
"minimum cost", MIN($BP54:$CG54),
"maximum cost", MAX($BP54:$CG54), 
"custom order", IF(CM$1=INDEX(array, row,1),INDEX(array, row,5),"x"))
,1,))</f>
        <v/>
      </c>
      <c r="CN54" s="252" t="str">
        <f t="array" ref="CN54">LET(
array,SORT({$Y$2:$AB$19,TRANSPOSE($BP54:$CG54)},4,TRUE),
col,CHOOSECOLS(array,5),
row,MATCH(FALSE, ISBLANK(col), 0),
IF(BU54=SWITCH($AA$22,
"minimum cost", MIN($BP54:$CG54),
"maximum cost", MAX($BP54:$CG54), 
"custom order", IF(CN$1=INDEX(array, row,1),INDEX(array, row,5),"x"))
,1,))</f>
        <v/>
      </c>
      <c r="CO54" s="390" t="str">
        <f t="array" ref="CO54">LET(
array,SORT({$Y$2:$AB$19,TRANSPOSE($BP54:$CG54)},4,TRUE),
col,CHOOSECOLS(array,5),
row,MATCH(FALSE, ISBLANK(col), 0),
IF(BV54=SWITCH($AA$22,
"minimum cost", MIN($BP54:$CG54),
"maximum cost", MAX($BP54:$CG54), 
"custom order", IF(CO$1=INDEX(array, row,1),INDEX(array, row,5),"x"))
,1,))</f>
        <v/>
      </c>
      <c r="CP54" s="390" t="str">
        <f t="array" ref="CP54">LET(
array,SORT({$Y$2:$AB$19,TRANSPOSE($BP54:$CG54)},4,TRUE),
col,CHOOSECOLS(array,5),
row,MATCH(FALSE, ISBLANK(col), 0),
IF(BW54=SWITCH($AA$22,
"minimum cost", MIN($BP54:$CG54),
"maximum cost", MAX($BP54:$CG54), 
"custom order", IF(CP$1=INDEX(array, row,1),INDEX(array, row,5),"x"))
,1,))</f>
        <v/>
      </c>
      <c r="CQ54" s="390" t="str">
        <f t="array" ref="CQ54">LET(
array,SORT({$Y$2:$AB$19,TRANSPOSE($BP54:$CG54)},4,TRUE),
col,CHOOSECOLS(array,5),
row,MATCH(FALSE, ISBLANK(col), 0),
IF(BX54=SWITCH($AA$22,
"minimum cost", MIN($BP54:$CG54),
"maximum cost", MAX($BP54:$CG54), 
"custom order", IF(CQ$1=INDEX(array, row,1),INDEX(array, row,5),"x"))
,1,))</f>
        <v/>
      </c>
      <c r="CR54" s="390" t="str">
        <f t="array" ref="CR54">LET(
array,SORT({$Y$2:$AB$19,TRANSPOSE($BP54:$CG54)},4,TRUE),
col,CHOOSECOLS(array,5),
row,MATCH(FALSE, ISBLANK(col), 0),
IF(BY54=SWITCH($AA$22,
"minimum cost", MIN($BP54:$CG54),
"maximum cost", MAX($BP54:$CG54), 
"custom order", IF(CR$1=INDEX(array, row,1),INDEX(array, row,5),"x"))
,1,))</f>
        <v/>
      </c>
      <c r="CS54" s="390" t="str">
        <f t="array" ref="CS54">LET(
array,SORT({$Y$2:$AB$19,TRANSPOSE($BP54:$CG54)},4,TRUE),
col,CHOOSECOLS(array,5),
row,MATCH(FALSE, ISBLANK(col), 0),
IF(BZ54=SWITCH($AA$22,
"minimum cost", MIN($BP54:$CG54),
"maximum cost", MAX($BP54:$CG54), 
"custom order", IF(CS$1=INDEX(array, row,1),INDEX(array, row,5),"x"))
,1,))</f>
        <v/>
      </c>
      <c r="CT54" s="390" t="str">
        <f t="array" ref="CT54">LET(
array,SORT({$Y$2:$AB$19,TRANSPOSE($BP54:$CG54)},4,TRUE),
col,CHOOSECOLS(array,5),
row,MATCH(FALSE, ISBLANK(col), 0),
IF(CA54=SWITCH($AA$22,
"minimum cost", MIN($BP54:$CG54),
"maximum cost", MAX($BP54:$CG54), 
"custom order", IF(CT$1=INDEX(array, row,1),INDEX(array, row,5),"x"))
,1,))</f>
        <v/>
      </c>
      <c r="CU54" s="469">
        <f t="array" ref="CU54">LET(
array,SORT({$Y$2:$AB$19,TRANSPOSE($BP54:$CG54)},4,TRUE),
col,CHOOSECOLS(array,5),
row,MATCH(FALSE, ISBLANK(col), 0),
IF(CB54=SWITCH($AA$22,
"minimum cost", MIN($BP54:$CG54),
"maximum cost", MAX($BP54:$CG54), 
"custom order", IF(CU$1=INDEX(array, row,1),INDEX(array, row,5),"x"))
,1,))</f>
        <v>1</v>
      </c>
      <c r="CV54" s="469" t="str">
        <f t="array" ref="CV54">LET(
array,SORT({$Y$2:$AB$19,TRANSPOSE($BP54:$CG54)},4,TRUE),
col,CHOOSECOLS(array,5),
row,MATCH(FALSE, ISBLANK(col), 0),
IF(CC54=SWITCH($AA$22,
"minimum cost", MIN($BP54:$CG54),
"maximum cost", MAX($BP54:$CG54), 
"custom order", IF(CV$1=INDEX(array, row,1),INDEX(array, row,5),"x"))
,1,))</f>
        <v/>
      </c>
      <c r="CW54" s="469" t="str">
        <f t="array" ref="CW54">LET(
array,SORT({$Y$2:$AB$19,TRANSPOSE($BP54:$CG54)},4,TRUE),
col,CHOOSECOLS(array,5),
row,MATCH(FALSE, ISBLANK(col), 0),
IF(CD54=SWITCH($AA$22,
"minimum cost", MIN($BP54:$CG54),
"maximum cost", MAX($BP54:$CG54), 
"custom order", IF(CW$1=INDEX(array, row,1),INDEX(array, row,5),"x"))
,1,))</f>
        <v/>
      </c>
      <c r="CX54" s="469" t="str">
        <f t="array" ref="CX54">LET(
array,SORT({$Y$2:$AB$19,TRANSPOSE($BP54:$CG54)},4,TRUE),
col,CHOOSECOLS(array,5),
row,MATCH(FALSE, ISBLANK(col), 0),
IF(CE54=SWITCH($AA$22,
"minimum cost", MIN($BP54:$CG54),
"maximum cost", MAX($BP54:$CG54), 
"custom order", IF(CX$1=INDEX(array, row,1),INDEX(array, row,5),"x"))
,1,))</f>
        <v/>
      </c>
      <c r="CY54" s="469" t="str">
        <f t="array" ref="CY54">LET(
array,SORT({$Y$2:$AB$19,TRANSPOSE($BP54:$CG54)},4,TRUE),
col,CHOOSECOLS(array,5),
row,MATCH(FALSE, ISBLANK(col), 0),
IF(CF54=SWITCH($AA$22,
"minimum cost", MIN($BP54:$CG54),
"maximum cost", MAX($BP54:$CG54), 
"custom order", IF(CY$1=INDEX(array, row,1),INDEX(array, row,5),"x"))
,1,))</f>
        <v/>
      </c>
      <c r="CZ54" s="581" t="str">
        <f t="array" ref="CZ54">LET(
array,SORT({$Y$2:$AB$19,TRANSPOSE($BP54:$CG54)},4,TRUE),
col,CHOOSECOLS(array,5),
row,MATCH(FALSE, ISBLANK(col), 0),
IF(CG54=SWITCH($AA$22,
"minimum cost", MIN($BP54:$CG54),
"maximum cost", MAX($BP54:$CG54), 
"custom order", IF(CZ$1=INDEX(array, row,1),INDEX(array, row,5),"x"))
,1,))</f>
        <v/>
      </c>
      <c r="DA54" s="461"/>
      <c r="DB54" s="580" t="str">
        <f t="array" ref="DB54:DS54">IF(MATCH(1, CI54:CZ54, 0)=COLUMN(CI54:CZ54)-COLUMN(CI54)+1, CI54:CZ54, "")</f>
        <v/>
      </c>
      <c r="DC54" s="252" t="s">
        <v>133</v>
      </c>
      <c r="DD54" s="252" t="s">
        <v>133</v>
      </c>
      <c r="DE54" s="252" t="s">
        <v>133</v>
      </c>
      <c r="DF54" s="252" t="s">
        <v>133</v>
      </c>
      <c r="DG54" s="252" t="s">
        <v>133</v>
      </c>
      <c r="DH54" s="390" t="s">
        <v>133</v>
      </c>
      <c r="DI54" s="390" t="s">
        <v>133</v>
      </c>
      <c r="DJ54" s="390" t="s">
        <v>133</v>
      </c>
      <c r="DK54" s="390" t="s">
        <v>133</v>
      </c>
      <c r="DL54" s="390" t="s">
        <v>133</v>
      </c>
      <c r="DM54" s="390" t="s">
        <v>133</v>
      </c>
      <c r="DN54" s="469">
        <v>1.0</v>
      </c>
      <c r="DO54" s="469" t="s">
        <v>133</v>
      </c>
      <c r="DP54" s="469" t="s">
        <v>133</v>
      </c>
      <c r="DQ54" s="469" t="s">
        <v>133</v>
      </c>
      <c r="DR54" s="469" t="s">
        <v>133</v>
      </c>
      <c r="DS54" s="581" t="s">
        <v>133</v>
      </c>
      <c r="DT54" s="563"/>
    </row>
    <row r="55">
      <c r="A55" s="563"/>
      <c r="B55" s="709"/>
      <c r="C55" s="709"/>
      <c r="D55" s="709"/>
      <c r="E55" s="10"/>
      <c r="F55" s="709"/>
      <c r="G55" s="10"/>
      <c r="H55" s="709"/>
      <c r="I55" s="10"/>
      <c r="J55" s="709"/>
      <c r="K55" s="10"/>
      <c r="L55" s="709"/>
      <c r="M55" s="461"/>
      <c r="N55" s="10"/>
      <c r="O55" s="10"/>
      <c r="P55" s="10"/>
      <c r="Q55" s="570" t="str">
        <f>IFERROR(__xludf.DUMMYFUNCTION("IF(SUM(DB55:DS55),ARRAYFORMULA(FILTER(DB$1:DS$1, DB55:DS55=1)),)"),"Cash Bonus")</f>
        <v>Cash Bonus</v>
      </c>
      <c r="R55" s="571">
        <f>IFERROR(__xludf.DUMMYFUNCTION("IF(SUM(DB55:DS55),ARRAYFORMULA(FILTER(AW55:BN55, DB55:DS55=1))+1,)"),57.0)</f>
        <v>57</v>
      </c>
      <c r="S55" s="572">
        <f>IFERROR(__xludf.DUMMYFUNCTION("IF(SUM(DB55:DS55),ARRAYFORMULA(FILTER(AD55:AU55, DB55:DS55=1)),)"),3.711E13)</f>
        <v>37110000000000</v>
      </c>
      <c r="T55" s="572">
        <f t="shared" si="26"/>
        <v>1.30356E+16</v>
      </c>
      <c r="U55" s="573" t="str">
        <f t="shared" ref="U55:V55" si="181">FORMAT_NUMBER(S55)</f>
        <v>37.11 T</v>
      </c>
      <c r="V55" s="574" t="str">
        <f t="shared" si="181"/>
        <v>13.04 q</v>
      </c>
      <c r="W55" s="677"/>
      <c r="X55" s="709"/>
      <c r="Y55" s="709"/>
      <c r="Z55" s="709"/>
      <c r="AA55" s="709"/>
      <c r="AB55" s="712"/>
      <c r="AC55" s="461"/>
      <c r="AD55" s="580">
        <f t="shared" ref="AD55:AU55" si="182">IFERROR(WSPCOST_SINGLE_ADJUSTED(AD$1,1+AW55),)</f>
        <v>37110000000000</v>
      </c>
      <c r="AE55" s="252">
        <f t="shared" si="182"/>
        <v>82420000000</v>
      </c>
      <c r="AF55" s="252">
        <f t="shared" si="182"/>
        <v>69650000000000</v>
      </c>
      <c r="AG55" s="252">
        <f t="shared" si="182"/>
        <v>21210000000</v>
      </c>
      <c r="AH55" s="252">
        <f t="shared" si="182"/>
        <v>43890000000000</v>
      </c>
      <c r="AI55" s="252">
        <f t="shared" si="182"/>
        <v>47710000000000</v>
      </c>
      <c r="AJ55" s="390">
        <f t="shared" si="182"/>
        <v>92140000000000</v>
      </c>
      <c r="AK55" s="390">
        <f t="shared" si="182"/>
        <v>580270000000000</v>
      </c>
      <c r="AL55" s="390">
        <f t="shared" si="182"/>
        <v>5000000000</v>
      </c>
      <c r="AM55" s="390">
        <f t="shared" si="182"/>
        <v>33950000000</v>
      </c>
      <c r="AN55" s="390">
        <f t="shared" si="182"/>
        <v>60080000000000</v>
      </c>
      <c r="AO55" s="390">
        <f t="shared" si="182"/>
        <v>22020000000000</v>
      </c>
      <c r="AP55" s="469">
        <f t="shared" si="182"/>
        <v>37110000000000</v>
      </c>
      <c r="AQ55" s="469">
        <f t="shared" si="182"/>
        <v>1.3E+15</v>
      </c>
      <c r="AR55" s="469">
        <f t="shared" si="182"/>
        <v>1.3E+15</v>
      </c>
      <c r="AS55" s="469">
        <f t="shared" si="182"/>
        <v>420490000000000</v>
      </c>
      <c r="AT55" s="469">
        <f t="shared" si="182"/>
        <v>3990000000000</v>
      </c>
      <c r="AU55" s="581">
        <f t="shared" si="182"/>
        <v>1.14E+15</v>
      </c>
      <c r="AV55" s="461"/>
      <c r="AW55" s="580">
        <f t="shared" ref="AW55:BN55" si="183">AW54+DB54</f>
        <v>56</v>
      </c>
      <c r="AX55" s="252">
        <f t="shared" si="183"/>
        <v>21</v>
      </c>
      <c r="AY55" s="252">
        <f t="shared" si="183"/>
        <v>60</v>
      </c>
      <c r="AZ55" s="252">
        <f t="shared" si="183"/>
        <v>17</v>
      </c>
      <c r="BA55" s="252">
        <f t="shared" si="183"/>
        <v>57</v>
      </c>
      <c r="BB55" s="252">
        <f t="shared" si="183"/>
        <v>13</v>
      </c>
      <c r="BC55" s="390">
        <f t="shared" si="183"/>
        <v>62</v>
      </c>
      <c r="BD55" s="390">
        <f t="shared" si="183"/>
        <v>79</v>
      </c>
      <c r="BE55" s="390">
        <f t="shared" si="183"/>
        <v>0</v>
      </c>
      <c r="BF55" s="390">
        <f t="shared" si="183"/>
        <v>18</v>
      </c>
      <c r="BG55" s="390">
        <f t="shared" si="183"/>
        <v>59</v>
      </c>
      <c r="BH55" s="390">
        <f t="shared" si="183"/>
        <v>20</v>
      </c>
      <c r="BI55" s="469">
        <f t="shared" si="183"/>
        <v>56</v>
      </c>
      <c r="BJ55" s="469">
        <f t="shared" si="183"/>
        <v>37</v>
      </c>
      <c r="BK55" s="469">
        <f t="shared" si="183"/>
        <v>37</v>
      </c>
      <c r="BL55" s="469">
        <f t="shared" si="183"/>
        <v>18</v>
      </c>
      <c r="BM55" s="469">
        <f t="shared" si="183"/>
        <v>42</v>
      </c>
      <c r="BN55" s="581">
        <f t="shared" si="183"/>
        <v>15</v>
      </c>
      <c r="BO55" s="461"/>
      <c r="BP55" s="580">
        <f t="shared" si="8"/>
        <v>37110000000000</v>
      </c>
      <c r="BQ55" s="252" t="str">
        <f t="shared" si="9"/>
        <v/>
      </c>
      <c r="BR55" s="252">
        <f t="shared" si="10"/>
        <v>69650000000000</v>
      </c>
      <c r="BS55" s="252" t="str">
        <f t="shared" si="11"/>
        <v/>
      </c>
      <c r="BT55" s="252" t="str">
        <f t="shared" si="12"/>
        <v/>
      </c>
      <c r="BU55" s="252">
        <f t="shared" si="13"/>
        <v>47710000000000</v>
      </c>
      <c r="BV55" s="390">
        <f t="shared" si="14"/>
        <v>92140000000000</v>
      </c>
      <c r="BW55" s="390" t="str">
        <f t="shared" si="15"/>
        <v/>
      </c>
      <c r="BX55" s="390" t="str">
        <f t="shared" si="16"/>
        <v/>
      </c>
      <c r="BY55" s="390" t="str">
        <f t="shared" si="17"/>
        <v/>
      </c>
      <c r="BZ55" s="390">
        <f t="shared" si="18"/>
        <v>60080000000000</v>
      </c>
      <c r="CA55" s="390">
        <f t="shared" si="19"/>
        <v>22020000000000</v>
      </c>
      <c r="CB55" s="469">
        <f t="shared" si="20"/>
        <v>37110000000000</v>
      </c>
      <c r="CC55" s="469" t="str">
        <f t="shared" si="21"/>
        <v/>
      </c>
      <c r="CD55" s="469" t="str">
        <f t="shared" si="22"/>
        <v/>
      </c>
      <c r="CE55" s="469" t="str">
        <f t="shared" si="23"/>
        <v/>
      </c>
      <c r="CF55" s="469" t="str">
        <f t="shared" si="24"/>
        <v/>
      </c>
      <c r="CG55" s="581" t="str">
        <f t="shared" si="25"/>
        <v/>
      </c>
      <c r="CH55" s="461"/>
      <c r="CI55" s="580" t="str">
        <f t="array" ref="CI55">LET(
array,SORT({$Y$2:$AB$19,TRANSPOSE($BP55:$CG55)},4,TRUE),
col,CHOOSECOLS(array,5),
row,MATCH(FALSE, ISBLANK(col), 0),
IF(BP55=SWITCH($AA$22,
"minimum cost", MIN($BP55:$CG55),
"maximum cost", MAX($BP55:$CG55), 
"custom order", IF(CI$1=INDEX(array, row,1),INDEX(array, row,5),"x"))
,1,))</f>
        <v/>
      </c>
      <c r="CJ55" s="252" t="str">
        <f t="array" ref="CJ55">LET(
array,SORT({$Y$2:$AB$19,TRANSPOSE($BP55:$CG55)},4,TRUE),
col,CHOOSECOLS(array,5),
row,MATCH(FALSE, ISBLANK(col), 0),
IF(BQ55=SWITCH($AA$22,
"minimum cost", MIN($BP55:$CG55),
"maximum cost", MAX($BP55:$CG55), 
"custom order", IF(CJ$1=INDEX(array, row,1),INDEX(array, row,5),"x"))
,1,))</f>
        <v/>
      </c>
      <c r="CK55" s="252" t="str">
        <f t="array" ref="CK55">LET(
array,SORT({$Y$2:$AB$19,TRANSPOSE($BP55:$CG55)},4,TRUE),
col,CHOOSECOLS(array,5),
row,MATCH(FALSE, ISBLANK(col), 0),
IF(BR55=SWITCH($AA$22,
"minimum cost", MIN($BP55:$CG55),
"maximum cost", MAX($BP55:$CG55), 
"custom order", IF(CK$1=INDEX(array, row,1),INDEX(array, row,5),"x"))
,1,))</f>
        <v/>
      </c>
      <c r="CL55" s="252" t="str">
        <f t="array" ref="CL55">LET(
array,SORT({$Y$2:$AB$19,TRANSPOSE($BP55:$CG55)},4,TRUE),
col,CHOOSECOLS(array,5),
row,MATCH(FALSE, ISBLANK(col), 0),
IF(BS55=SWITCH($AA$22,
"minimum cost", MIN($BP55:$CG55),
"maximum cost", MAX($BP55:$CG55), 
"custom order", IF(CL$1=INDEX(array, row,1),INDEX(array, row,5),"x"))
,1,))</f>
        <v/>
      </c>
      <c r="CM55" s="252" t="str">
        <f t="array" ref="CM55">LET(
array,SORT({$Y$2:$AB$19,TRANSPOSE($BP55:$CG55)},4,TRUE),
col,CHOOSECOLS(array,5),
row,MATCH(FALSE, ISBLANK(col), 0),
IF(BT55=SWITCH($AA$22,
"minimum cost", MIN($BP55:$CG55),
"maximum cost", MAX($BP55:$CG55), 
"custom order", IF(CM$1=INDEX(array, row,1),INDEX(array, row,5),"x"))
,1,))</f>
        <v/>
      </c>
      <c r="CN55" s="252" t="str">
        <f t="array" ref="CN55">LET(
array,SORT({$Y$2:$AB$19,TRANSPOSE($BP55:$CG55)},4,TRUE),
col,CHOOSECOLS(array,5),
row,MATCH(FALSE, ISBLANK(col), 0),
IF(BU55=SWITCH($AA$22,
"minimum cost", MIN($BP55:$CG55),
"maximum cost", MAX($BP55:$CG55), 
"custom order", IF(CN$1=INDEX(array, row,1),INDEX(array, row,5),"x"))
,1,))</f>
        <v/>
      </c>
      <c r="CO55" s="390" t="str">
        <f t="array" ref="CO55">LET(
array,SORT({$Y$2:$AB$19,TRANSPOSE($BP55:$CG55)},4,TRUE),
col,CHOOSECOLS(array,5),
row,MATCH(FALSE, ISBLANK(col), 0),
IF(BV55=SWITCH($AA$22,
"minimum cost", MIN($BP55:$CG55),
"maximum cost", MAX($BP55:$CG55), 
"custom order", IF(CO$1=INDEX(array, row,1),INDEX(array, row,5),"x"))
,1,))</f>
        <v/>
      </c>
      <c r="CP55" s="390" t="str">
        <f t="array" ref="CP55">LET(
array,SORT({$Y$2:$AB$19,TRANSPOSE($BP55:$CG55)},4,TRUE),
col,CHOOSECOLS(array,5),
row,MATCH(FALSE, ISBLANK(col), 0),
IF(BW55=SWITCH($AA$22,
"minimum cost", MIN($BP55:$CG55),
"maximum cost", MAX($BP55:$CG55), 
"custom order", IF(CP$1=INDEX(array, row,1),INDEX(array, row,5),"x"))
,1,))</f>
        <v/>
      </c>
      <c r="CQ55" s="390" t="str">
        <f t="array" ref="CQ55">LET(
array,SORT({$Y$2:$AB$19,TRANSPOSE($BP55:$CG55)},4,TRUE),
col,CHOOSECOLS(array,5),
row,MATCH(FALSE, ISBLANK(col), 0),
IF(BX55=SWITCH($AA$22,
"minimum cost", MIN($BP55:$CG55),
"maximum cost", MAX($BP55:$CG55), 
"custom order", IF(CQ$1=INDEX(array, row,1),INDEX(array, row,5),"x"))
,1,))</f>
        <v/>
      </c>
      <c r="CR55" s="390" t="str">
        <f t="array" ref="CR55">LET(
array,SORT({$Y$2:$AB$19,TRANSPOSE($BP55:$CG55)},4,TRUE),
col,CHOOSECOLS(array,5),
row,MATCH(FALSE, ISBLANK(col), 0),
IF(BY55=SWITCH($AA$22,
"minimum cost", MIN($BP55:$CG55),
"maximum cost", MAX($BP55:$CG55), 
"custom order", IF(CR$1=INDEX(array, row,1),INDEX(array, row,5),"x"))
,1,))</f>
        <v/>
      </c>
      <c r="CS55" s="390" t="str">
        <f t="array" ref="CS55">LET(
array,SORT({$Y$2:$AB$19,TRANSPOSE($BP55:$CG55)},4,TRUE),
col,CHOOSECOLS(array,5),
row,MATCH(FALSE, ISBLANK(col), 0),
IF(BZ55=SWITCH($AA$22,
"minimum cost", MIN($BP55:$CG55),
"maximum cost", MAX($BP55:$CG55), 
"custom order", IF(CS$1=INDEX(array, row,1),INDEX(array, row,5),"x"))
,1,))</f>
        <v/>
      </c>
      <c r="CT55" s="390" t="str">
        <f t="array" ref="CT55">LET(
array,SORT({$Y$2:$AB$19,TRANSPOSE($BP55:$CG55)},4,TRUE),
col,CHOOSECOLS(array,5),
row,MATCH(FALSE, ISBLANK(col), 0),
IF(CA55=SWITCH($AA$22,
"minimum cost", MIN($BP55:$CG55),
"maximum cost", MAX($BP55:$CG55), 
"custom order", IF(CT$1=INDEX(array, row,1),INDEX(array, row,5),"x"))
,1,))</f>
        <v/>
      </c>
      <c r="CU55" s="469">
        <f t="array" ref="CU55">LET(
array,SORT({$Y$2:$AB$19,TRANSPOSE($BP55:$CG55)},4,TRUE),
col,CHOOSECOLS(array,5),
row,MATCH(FALSE, ISBLANK(col), 0),
IF(CB55=SWITCH($AA$22,
"minimum cost", MIN($BP55:$CG55),
"maximum cost", MAX($BP55:$CG55), 
"custom order", IF(CU$1=INDEX(array, row,1),INDEX(array, row,5),"x"))
,1,))</f>
        <v>1</v>
      </c>
      <c r="CV55" s="469" t="str">
        <f t="array" ref="CV55">LET(
array,SORT({$Y$2:$AB$19,TRANSPOSE($BP55:$CG55)},4,TRUE),
col,CHOOSECOLS(array,5),
row,MATCH(FALSE, ISBLANK(col), 0),
IF(CC55=SWITCH($AA$22,
"minimum cost", MIN($BP55:$CG55),
"maximum cost", MAX($BP55:$CG55), 
"custom order", IF(CV$1=INDEX(array, row,1),INDEX(array, row,5),"x"))
,1,))</f>
        <v/>
      </c>
      <c r="CW55" s="469" t="str">
        <f t="array" ref="CW55">LET(
array,SORT({$Y$2:$AB$19,TRANSPOSE($BP55:$CG55)},4,TRUE),
col,CHOOSECOLS(array,5),
row,MATCH(FALSE, ISBLANK(col), 0),
IF(CD55=SWITCH($AA$22,
"minimum cost", MIN($BP55:$CG55),
"maximum cost", MAX($BP55:$CG55), 
"custom order", IF(CW$1=INDEX(array, row,1),INDEX(array, row,5),"x"))
,1,))</f>
        <v/>
      </c>
      <c r="CX55" s="469" t="str">
        <f t="array" ref="CX55">LET(
array,SORT({$Y$2:$AB$19,TRANSPOSE($BP55:$CG55)},4,TRUE),
col,CHOOSECOLS(array,5),
row,MATCH(FALSE, ISBLANK(col), 0),
IF(CE55=SWITCH($AA$22,
"minimum cost", MIN($BP55:$CG55),
"maximum cost", MAX($BP55:$CG55), 
"custom order", IF(CX$1=INDEX(array, row,1),INDEX(array, row,5),"x"))
,1,))</f>
        <v/>
      </c>
      <c r="CY55" s="469" t="str">
        <f t="array" ref="CY55">LET(
array,SORT({$Y$2:$AB$19,TRANSPOSE($BP55:$CG55)},4,TRUE),
col,CHOOSECOLS(array,5),
row,MATCH(FALSE, ISBLANK(col), 0),
IF(CF55=SWITCH($AA$22,
"minimum cost", MIN($BP55:$CG55),
"maximum cost", MAX($BP55:$CG55), 
"custom order", IF(CY$1=INDEX(array, row,1),INDEX(array, row,5),"x"))
,1,))</f>
        <v/>
      </c>
      <c r="CZ55" s="581" t="str">
        <f t="array" ref="CZ55">LET(
array,SORT({$Y$2:$AB$19,TRANSPOSE($BP55:$CG55)},4,TRUE),
col,CHOOSECOLS(array,5),
row,MATCH(FALSE, ISBLANK(col), 0),
IF(CG55=SWITCH($AA$22,
"minimum cost", MIN($BP55:$CG55),
"maximum cost", MAX($BP55:$CG55), 
"custom order", IF(CZ$1=INDEX(array, row,1),INDEX(array, row,5),"x"))
,1,))</f>
        <v/>
      </c>
      <c r="DA55" s="461"/>
      <c r="DB55" s="580" t="str">
        <f t="array" ref="DB55:DS55">IF(MATCH(1, CI55:CZ55, 0)=COLUMN(CI55:CZ55)-COLUMN(CI55)+1, CI55:CZ55, "")</f>
        <v/>
      </c>
      <c r="DC55" s="252" t="s">
        <v>133</v>
      </c>
      <c r="DD55" s="252" t="s">
        <v>133</v>
      </c>
      <c r="DE55" s="252" t="s">
        <v>133</v>
      </c>
      <c r="DF55" s="252" t="s">
        <v>133</v>
      </c>
      <c r="DG55" s="252" t="s">
        <v>133</v>
      </c>
      <c r="DH55" s="390" t="s">
        <v>133</v>
      </c>
      <c r="DI55" s="390" t="s">
        <v>133</v>
      </c>
      <c r="DJ55" s="390" t="s">
        <v>133</v>
      </c>
      <c r="DK55" s="390" t="s">
        <v>133</v>
      </c>
      <c r="DL55" s="390" t="s">
        <v>133</v>
      </c>
      <c r="DM55" s="390" t="s">
        <v>133</v>
      </c>
      <c r="DN55" s="469">
        <v>1.0</v>
      </c>
      <c r="DO55" s="469" t="s">
        <v>133</v>
      </c>
      <c r="DP55" s="469" t="s">
        <v>133</v>
      </c>
      <c r="DQ55" s="469" t="s">
        <v>133</v>
      </c>
      <c r="DR55" s="469" t="s">
        <v>133</v>
      </c>
      <c r="DS55" s="581" t="s">
        <v>133</v>
      </c>
      <c r="DT55" s="563"/>
    </row>
    <row r="56">
      <c r="A56" s="563"/>
      <c r="B56" s="709"/>
      <c r="C56" s="709"/>
      <c r="D56" s="709"/>
      <c r="E56" s="10"/>
      <c r="F56" s="709"/>
      <c r="G56" s="10"/>
      <c r="H56" s="709"/>
      <c r="I56" s="10"/>
      <c r="J56" s="709"/>
      <c r="K56" s="10"/>
      <c r="L56" s="709"/>
      <c r="M56" s="461"/>
      <c r="N56" s="10"/>
      <c r="O56" s="10"/>
      <c r="P56" s="10"/>
      <c r="Q56" s="570" t="str">
        <f>IFERROR(__xludf.DUMMYFUNCTION("IF(SUM(DB56:DS56),ARRAYFORMULA(FILTER(DB$1:DS$1, DB56:DS56=1)),)"),"Cash Bonus")</f>
        <v>Cash Bonus</v>
      </c>
      <c r="R56" s="571">
        <f>IFERROR(__xludf.DUMMYFUNCTION("IF(SUM(DB56:DS56),ARRAYFORMULA(FILTER(AW56:BN56, DB56:DS56=1))+1,)"),58.0)</f>
        <v>58</v>
      </c>
      <c r="S56" s="572">
        <f>IFERROR(__xludf.DUMMYFUNCTION("IF(SUM(DB56:DS56),ARRAYFORMULA(FILTER(AD56:AU56, DB56:DS56=1)),)"),4.389E13)</f>
        <v>43890000000000</v>
      </c>
      <c r="T56" s="572">
        <f t="shared" si="26"/>
        <v>1.30795E+16</v>
      </c>
      <c r="U56" s="573" t="str">
        <f t="shared" ref="U56:V56" si="184">FORMAT_NUMBER(S56)</f>
        <v>43.89 T</v>
      </c>
      <c r="V56" s="574" t="str">
        <f t="shared" si="184"/>
        <v>13.08 q</v>
      </c>
      <c r="W56" s="677"/>
      <c r="X56" s="709"/>
      <c r="Y56" s="709"/>
      <c r="Z56" s="709"/>
      <c r="AA56" s="709"/>
      <c r="AB56" s="712"/>
      <c r="AC56" s="461"/>
      <c r="AD56" s="580">
        <f t="shared" ref="AD56:AU56" si="185">IFERROR(WSPCOST_SINGLE_ADJUSTED(AD$1,1+AW56),)</f>
        <v>37110000000000</v>
      </c>
      <c r="AE56" s="252">
        <f t="shared" si="185"/>
        <v>82420000000</v>
      </c>
      <c r="AF56" s="252">
        <f t="shared" si="185"/>
        <v>69650000000000</v>
      </c>
      <c r="AG56" s="252">
        <f t="shared" si="185"/>
        <v>21210000000</v>
      </c>
      <c r="AH56" s="252">
        <f t="shared" si="185"/>
        <v>43890000000000</v>
      </c>
      <c r="AI56" s="252">
        <f t="shared" si="185"/>
        <v>47710000000000</v>
      </c>
      <c r="AJ56" s="390">
        <f t="shared" si="185"/>
        <v>92140000000000</v>
      </c>
      <c r="AK56" s="390">
        <f t="shared" si="185"/>
        <v>580270000000000</v>
      </c>
      <c r="AL56" s="390">
        <f t="shared" si="185"/>
        <v>5000000000</v>
      </c>
      <c r="AM56" s="390">
        <f t="shared" si="185"/>
        <v>33950000000</v>
      </c>
      <c r="AN56" s="390">
        <f t="shared" si="185"/>
        <v>60080000000000</v>
      </c>
      <c r="AO56" s="390">
        <f t="shared" si="185"/>
        <v>22020000000000</v>
      </c>
      <c r="AP56" s="469">
        <f t="shared" si="185"/>
        <v>43890000000000</v>
      </c>
      <c r="AQ56" s="469">
        <f t="shared" si="185"/>
        <v>1.3E+15</v>
      </c>
      <c r="AR56" s="469">
        <f t="shared" si="185"/>
        <v>1.3E+15</v>
      </c>
      <c r="AS56" s="469">
        <f t="shared" si="185"/>
        <v>420490000000000</v>
      </c>
      <c r="AT56" s="469">
        <f t="shared" si="185"/>
        <v>3990000000000</v>
      </c>
      <c r="AU56" s="581">
        <f t="shared" si="185"/>
        <v>1.14E+15</v>
      </c>
      <c r="AV56" s="461"/>
      <c r="AW56" s="580">
        <f t="shared" ref="AW56:BN56" si="186">AW55+DB55</f>
        <v>56</v>
      </c>
      <c r="AX56" s="252">
        <f t="shared" si="186"/>
        <v>21</v>
      </c>
      <c r="AY56" s="252">
        <f t="shared" si="186"/>
        <v>60</v>
      </c>
      <c r="AZ56" s="252">
        <f t="shared" si="186"/>
        <v>17</v>
      </c>
      <c r="BA56" s="252">
        <f t="shared" si="186"/>
        <v>57</v>
      </c>
      <c r="BB56" s="252">
        <f t="shared" si="186"/>
        <v>13</v>
      </c>
      <c r="BC56" s="390">
        <f t="shared" si="186"/>
        <v>62</v>
      </c>
      <c r="BD56" s="390">
        <f t="shared" si="186"/>
        <v>79</v>
      </c>
      <c r="BE56" s="390">
        <f t="shared" si="186"/>
        <v>0</v>
      </c>
      <c r="BF56" s="390">
        <f t="shared" si="186"/>
        <v>18</v>
      </c>
      <c r="BG56" s="390">
        <f t="shared" si="186"/>
        <v>59</v>
      </c>
      <c r="BH56" s="390">
        <f t="shared" si="186"/>
        <v>20</v>
      </c>
      <c r="BI56" s="469">
        <f t="shared" si="186"/>
        <v>57</v>
      </c>
      <c r="BJ56" s="469">
        <f t="shared" si="186"/>
        <v>37</v>
      </c>
      <c r="BK56" s="469">
        <f t="shared" si="186"/>
        <v>37</v>
      </c>
      <c r="BL56" s="469">
        <f t="shared" si="186"/>
        <v>18</v>
      </c>
      <c r="BM56" s="469">
        <f t="shared" si="186"/>
        <v>42</v>
      </c>
      <c r="BN56" s="581">
        <f t="shared" si="186"/>
        <v>15</v>
      </c>
      <c r="BO56" s="461"/>
      <c r="BP56" s="580">
        <f t="shared" si="8"/>
        <v>37110000000000</v>
      </c>
      <c r="BQ56" s="252" t="str">
        <f t="shared" si="9"/>
        <v/>
      </c>
      <c r="BR56" s="252">
        <f t="shared" si="10"/>
        <v>69650000000000</v>
      </c>
      <c r="BS56" s="252" t="str">
        <f t="shared" si="11"/>
        <v/>
      </c>
      <c r="BT56" s="252" t="str">
        <f t="shared" si="12"/>
        <v/>
      </c>
      <c r="BU56" s="252">
        <f t="shared" si="13"/>
        <v>47710000000000</v>
      </c>
      <c r="BV56" s="390">
        <f t="shared" si="14"/>
        <v>92140000000000</v>
      </c>
      <c r="BW56" s="390" t="str">
        <f t="shared" si="15"/>
        <v/>
      </c>
      <c r="BX56" s="390" t="str">
        <f t="shared" si="16"/>
        <v/>
      </c>
      <c r="BY56" s="390" t="str">
        <f t="shared" si="17"/>
        <v/>
      </c>
      <c r="BZ56" s="390">
        <f t="shared" si="18"/>
        <v>60080000000000</v>
      </c>
      <c r="CA56" s="390">
        <f t="shared" si="19"/>
        <v>22020000000000</v>
      </c>
      <c r="CB56" s="469">
        <f t="shared" si="20"/>
        <v>43890000000000</v>
      </c>
      <c r="CC56" s="469" t="str">
        <f t="shared" si="21"/>
        <v/>
      </c>
      <c r="CD56" s="469" t="str">
        <f t="shared" si="22"/>
        <v/>
      </c>
      <c r="CE56" s="469" t="str">
        <f t="shared" si="23"/>
        <v/>
      </c>
      <c r="CF56" s="469" t="str">
        <f t="shared" si="24"/>
        <v/>
      </c>
      <c r="CG56" s="581" t="str">
        <f t="shared" si="25"/>
        <v/>
      </c>
      <c r="CH56" s="461"/>
      <c r="CI56" s="580" t="str">
        <f t="array" ref="CI56">LET(
array,SORT({$Y$2:$AB$19,TRANSPOSE($BP56:$CG56)},4,TRUE),
col,CHOOSECOLS(array,5),
row,MATCH(FALSE, ISBLANK(col), 0),
IF(BP56=SWITCH($AA$22,
"minimum cost", MIN($BP56:$CG56),
"maximum cost", MAX($BP56:$CG56), 
"custom order", IF(CI$1=INDEX(array, row,1),INDEX(array, row,5),"x"))
,1,))</f>
        <v/>
      </c>
      <c r="CJ56" s="252" t="str">
        <f t="array" ref="CJ56">LET(
array,SORT({$Y$2:$AB$19,TRANSPOSE($BP56:$CG56)},4,TRUE),
col,CHOOSECOLS(array,5),
row,MATCH(FALSE, ISBLANK(col), 0),
IF(BQ56=SWITCH($AA$22,
"minimum cost", MIN($BP56:$CG56),
"maximum cost", MAX($BP56:$CG56), 
"custom order", IF(CJ$1=INDEX(array, row,1),INDEX(array, row,5),"x"))
,1,))</f>
        <v/>
      </c>
      <c r="CK56" s="252" t="str">
        <f t="array" ref="CK56">LET(
array,SORT({$Y$2:$AB$19,TRANSPOSE($BP56:$CG56)},4,TRUE),
col,CHOOSECOLS(array,5),
row,MATCH(FALSE, ISBLANK(col), 0),
IF(BR56=SWITCH($AA$22,
"minimum cost", MIN($BP56:$CG56),
"maximum cost", MAX($BP56:$CG56), 
"custom order", IF(CK$1=INDEX(array, row,1),INDEX(array, row,5),"x"))
,1,))</f>
        <v/>
      </c>
      <c r="CL56" s="252" t="str">
        <f t="array" ref="CL56">LET(
array,SORT({$Y$2:$AB$19,TRANSPOSE($BP56:$CG56)},4,TRUE),
col,CHOOSECOLS(array,5),
row,MATCH(FALSE, ISBLANK(col), 0),
IF(BS56=SWITCH($AA$22,
"minimum cost", MIN($BP56:$CG56),
"maximum cost", MAX($BP56:$CG56), 
"custom order", IF(CL$1=INDEX(array, row,1),INDEX(array, row,5),"x"))
,1,))</f>
        <v/>
      </c>
      <c r="CM56" s="252" t="str">
        <f t="array" ref="CM56">LET(
array,SORT({$Y$2:$AB$19,TRANSPOSE($BP56:$CG56)},4,TRUE),
col,CHOOSECOLS(array,5),
row,MATCH(FALSE, ISBLANK(col), 0),
IF(BT56=SWITCH($AA$22,
"minimum cost", MIN($BP56:$CG56),
"maximum cost", MAX($BP56:$CG56), 
"custom order", IF(CM$1=INDEX(array, row,1),INDEX(array, row,5),"x"))
,1,))</f>
        <v/>
      </c>
      <c r="CN56" s="252" t="str">
        <f t="array" ref="CN56">LET(
array,SORT({$Y$2:$AB$19,TRANSPOSE($BP56:$CG56)},4,TRUE),
col,CHOOSECOLS(array,5),
row,MATCH(FALSE, ISBLANK(col), 0),
IF(BU56=SWITCH($AA$22,
"minimum cost", MIN($BP56:$CG56),
"maximum cost", MAX($BP56:$CG56), 
"custom order", IF(CN$1=INDEX(array, row,1),INDEX(array, row,5),"x"))
,1,))</f>
        <v/>
      </c>
      <c r="CO56" s="390" t="str">
        <f t="array" ref="CO56">LET(
array,SORT({$Y$2:$AB$19,TRANSPOSE($BP56:$CG56)},4,TRUE),
col,CHOOSECOLS(array,5),
row,MATCH(FALSE, ISBLANK(col), 0),
IF(BV56=SWITCH($AA$22,
"minimum cost", MIN($BP56:$CG56),
"maximum cost", MAX($BP56:$CG56), 
"custom order", IF(CO$1=INDEX(array, row,1),INDEX(array, row,5),"x"))
,1,))</f>
        <v/>
      </c>
      <c r="CP56" s="390" t="str">
        <f t="array" ref="CP56">LET(
array,SORT({$Y$2:$AB$19,TRANSPOSE($BP56:$CG56)},4,TRUE),
col,CHOOSECOLS(array,5),
row,MATCH(FALSE, ISBLANK(col), 0),
IF(BW56=SWITCH($AA$22,
"minimum cost", MIN($BP56:$CG56),
"maximum cost", MAX($BP56:$CG56), 
"custom order", IF(CP$1=INDEX(array, row,1),INDEX(array, row,5),"x"))
,1,))</f>
        <v/>
      </c>
      <c r="CQ56" s="390" t="str">
        <f t="array" ref="CQ56">LET(
array,SORT({$Y$2:$AB$19,TRANSPOSE($BP56:$CG56)},4,TRUE),
col,CHOOSECOLS(array,5),
row,MATCH(FALSE, ISBLANK(col), 0),
IF(BX56=SWITCH($AA$22,
"minimum cost", MIN($BP56:$CG56),
"maximum cost", MAX($BP56:$CG56), 
"custom order", IF(CQ$1=INDEX(array, row,1),INDEX(array, row,5),"x"))
,1,))</f>
        <v/>
      </c>
      <c r="CR56" s="390" t="str">
        <f t="array" ref="CR56">LET(
array,SORT({$Y$2:$AB$19,TRANSPOSE($BP56:$CG56)},4,TRUE),
col,CHOOSECOLS(array,5),
row,MATCH(FALSE, ISBLANK(col), 0),
IF(BY56=SWITCH($AA$22,
"minimum cost", MIN($BP56:$CG56),
"maximum cost", MAX($BP56:$CG56), 
"custom order", IF(CR$1=INDEX(array, row,1),INDEX(array, row,5),"x"))
,1,))</f>
        <v/>
      </c>
      <c r="CS56" s="390" t="str">
        <f t="array" ref="CS56">LET(
array,SORT({$Y$2:$AB$19,TRANSPOSE($BP56:$CG56)},4,TRUE),
col,CHOOSECOLS(array,5),
row,MATCH(FALSE, ISBLANK(col), 0),
IF(BZ56=SWITCH($AA$22,
"minimum cost", MIN($BP56:$CG56),
"maximum cost", MAX($BP56:$CG56), 
"custom order", IF(CS$1=INDEX(array, row,1),INDEX(array, row,5),"x"))
,1,))</f>
        <v/>
      </c>
      <c r="CT56" s="390" t="str">
        <f t="array" ref="CT56">LET(
array,SORT({$Y$2:$AB$19,TRANSPOSE($BP56:$CG56)},4,TRUE),
col,CHOOSECOLS(array,5),
row,MATCH(FALSE, ISBLANK(col), 0),
IF(CA56=SWITCH($AA$22,
"minimum cost", MIN($BP56:$CG56),
"maximum cost", MAX($BP56:$CG56), 
"custom order", IF(CT$1=INDEX(array, row,1),INDEX(array, row,5),"x"))
,1,))</f>
        <v/>
      </c>
      <c r="CU56" s="469">
        <f t="array" ref="CU56">LET(
array,SORT({$Y$2:$AB$19,TRANSPOSE($BP56:$CG56)},4,TRUE),
col,CHOOSECOLS(array,5),
row,MATCH(FALSE, ISBLANK(col), 0),
IF(CB56=SWITCH($AA$22,
"minimum cost", MIN($BP56:$CG56),
"maximum cost", MAX($BP56:$CG56), 
"custom order", IF(CU$1=INDEX(array, row,1),INDEX(array, row,5),"x"))
,1,))</f>
        <v>1</v>
      </c>
      <c r="CV56" s="469" t="str">
        <f t="array" ref="CV56">LET(
array,SORT({$Y$2:$AB$19,TRANSPOSE($BP56:$CG56)},4,TRUE),
col,CHOOSECOLS(array,5),
row,MATCH(FALSE, ISBLANK(col), 0),
IF(CC56=SWITCH($AA$22,
"minimum cost", MIN($BP56:$CG56),
"maximum cost", MAX($BP56:$CG56), 
"custom order", IF(CV$1=INDEX(array, row,1),INDEX(array, row,5),"x"))
,1,))</f>
        <v/>
      </c>
      <c r="CW56" s="469" t="str">
        <f t="array" ref="CW56">LET(
array,SORT({$Y$2:$AB$19,TRANSPOSE($BP56:$CG56)},4,TRUE),
col,CHOOSECOLS(array,5),
row,MATCH(FALSE, ISBLANK(col), 0),
IF(CD56=SWITCH($AA$22,
"minimum cost", MIN($BP56:$CG56),
"maximum cost", MAX($BP56:$CG56), 
"custom order", IF(CW$1=INDEX(array, row,1),INDEX(array, row,5),"x"))
,1,))</f>
        <v/>
      </c>
      <c r="CX56" s="469" t="str">
        <f t="array" ref="CX56">LET(
array,SORT({$Y$2:$AB$19,TRANSPOSE($BP56:$CG56)},4,TRUE),
col,CHOOSECOLS(array,5),
row,MATCH(FALSE, ISBLANK(col), 0),
IF(CE56=SWITCH($AA$22,
"minimum cost", MIN($BP56:$CG56),
"maximum cost", MAX($BP56:$CG56), 
"custom order", IF(CX$1=INDEX(array, row,1),INDEX(array, row,5),"x"))
,1,))</f>
        <v/>
      </c>
      <c r="CY56" s="469" t="str">
        <f t="array" ref="CY56">LET(
array,SORT({$Y$2:$AB$19,TRANSPOSE($BP56:$CG56)},4,TRUE),
col,CHOOSECOLS(array,5),
row,MATCH(FALSE, ISBLANK(col), 0),
IF(CF56=SWITCH($AA$22,
"minimum cost", MIN($BP56:$CG56),
"maximum cost", MAX($BP56:$CG56), 
"custom order", IF(CY$1=INDEX(array, row,1),INDEX(array, row,5),"x"))
,1,))</f>
        <v/>
      </c>
      <c r="CZ56" s="581" t="str">
        <f t="array" ref="CZ56">LET(
array,SORT({$Y$2:$AB$19,TRANSPOSE($BP56:$CG56)},4,TRUE),
col,CHOOSECOLS(array,5),
row,MATCH(FALSE, ISBLANK(col), 0),
IF(CG56=SWITCH($AA$22,
"minimum cost", MIN($BP56:$CG56),
"maximum cost", MAX($BP56:$CG56), 
"custom order", IF(CZ$1=INDEX(array, row,1),INDEX(array, row,5),"x"))
,1,))</f>
        <v/>
      </c>
      <c r="DA56" s="461"/>
      <c r="DB56" s="580" t="str">
        <f t="array" ref="DB56:DS56">IF(MATCH(1, CI56:CZ56, 0)=COLUMN(CI56:CZ56)-COLUMN(CI56)+1, CI56:CZ56, "")</f>
        <v/>
      </c>
      <c r="DC56" s="252" t="s">
        <v>133</v>
      </c>
      <c r="DD56" s="252" t="s">
        <v>133</v>
      </c>
      <c r="DE56" s="252" t="s">
        <v>133</v>
      </c>
      <c r="DF56" s="252" t="s">
        <v>133</v>
      </c>
      <c r="DG56" s="252" t="s">
        <v>133</v>
      </c>
      <c r="DH56" s="390" t="s">
        <v>133</v>
      </c>
      <c r="DI56" s="390" t="s">
        <v>133</v>
      </c>
      <c r="DJ56" s="390" t="s">
        <v>133</v>
      </c>
      <c r="DK56" s="390" t="s">
        <v>133</v>
      </c>
      <c r="DL56" s="390" t="s">
        <v>133</v>
      </c>
      <c r="DM56" s="390" t="s">
        <v>133</v>
      </c>
      <c r="DN56" s="469">
        <v>1.0</v>
      </c>
      <c r="DO56" s="469" t="s">
        <v>133</v>
      </c>
      <c r="DP56" s="469" t="s">
        <v>133</v>
      </c>
      <c r="DQ56" s="469" t="s">
        <v>133</v>
      </c>
      <c r="DR56" s="469" t="s">
        <v>133</v>
      </c>
      <c r="DS56" s="581" t="s">
        <v>133</v>
      </c>
      <c r="DT56" s="563"/>
    </row>
    <row r="57">
      <c r="A57" s="563"/>
      <c r="B57" s="709"/>
      <c r="C57" s="709"/>
      <c r="D57" s="709"/>
      <c r="E57" s="10"/>
      <c r="F57" s="709"/>
      <c r="G57" s="10"/>
      <c r="H57" s="709"/>
      <c r="I57" s="10"/>
      <c r="J57" s="709"/>
      <c r="K57" s="10"/>
      <c r="L57" s="709"/>
      <c r="M57" s="461"/>
      <c r="N57" s="10"/>
      <c r="O57" s="10"/>
      <c r="P57" s="10"/>
      <c r="Q57" s="570" t="str">
        <f>IFERROR(__xludf.DUMMYFUNCTION("IF(SUM(DB57:DS57),ARRAYFORMULA(FILTER(DB$1:DS$1, DB57:DS57=1)),)"),"Cash Bonus")</f>
        <v>Cash Bonus</v>
      </c>
      <c r="R57" s="571">
        <f>IFERROR(__xludf.DUMMYFUNCTION("IF(SUM(DB57:DS57),ARRAYFORMULA(FILTER(AW57:BN57, DB57:DS57=1))+1,)"),59.0)</f>
        <v>59</v>
      </c>
      <c r="S57" s="572">
        <f>IFERROR(__xludf.DUMMYFUNCTION("IF(SUM(DB57:DS57),ARRAYFORMULA(FILTER(AD57:AU57, DB57:DS57=1)),)"),5.152E13)</f>
        <v>51520000000000</v>
      </c>
      <c r="T57" s="572">
        <f t="shared" si="26"/>
        <v>1.3131E+16</v>
      </c>
      <c r="U57" s="573" t="str">
        <f t="shared" ref="U57:V57" si="187">FORMAT_NUMBER(S57)</f>
        <v>51.52 T</v>
      </c>
      <c r="V57" s="574" t="str">
        <f t="shared" si="187"/>
        <v>13.13 q</v>
      </c>
      <c r="W57" s="677"/>
      <c r="X57" s="709"/>
      <c r="Y57" s="709"/>
      <c r="Z57" s="709"/>
      <c r="AA57" s="709"/>
      <c r="AB57" s="712"/>
      <c r="AC57" s="461"/>
      <c r="AD57" s="580">
        <f t="shared" ref="AD57:AU57" si="188">IFERROR(WSPCOST_SINGLE_ADJUSTED(AD$1,1+AW57),)</f>
        <v>37110000000000</v>
      </c>
      <c r="AE57" s="252">
        <f t="shared" si="188"/>
        <v>82420000000</v>
      </c>
      <c r="AF57" s="252">
        <f t="shared" si="188"/>
        <v>69650000000000</v>
      </c>
      <c r="AG57" s="252">
        <f t="shared" si="188"/>
        <v>21210000000</v>
      </c>
      <c r="AH57" s="252">
        <f t="shared" si="188"/>
        <v>43890000000000</v>
      </c>
      <c r="AI57" s="252">
        <f t="shared" si="188"/>
        <v>47710000000000</v>
      </c>
      <c r="AJ57" s="390">
        <f t="shared" si="188"/>
        <v>92140000000000</v>
      </c>
      <c r="AK57" s="390">
        <f t="shared" si="188"/>
        <v>580270000000000</v>
      </c>
      <c r="AL57" s="390">
        <f t="shared" si="188"/>
        <v>5000000000</v>
      </c>
      <c r="AM57" s="390">
        <f t="shared" si="188"/>
        <v>33950000000</v>
      </c>
      <c r="AN57" s="390">
        <f t="shared" si="188"/>
        <v>60080000000000</v>
      </c>
      <c r="AO57" s="390">
        <f t="shared" si="188"/>
        <v>22020000000000</v>
      </c>
      <c r="AP57" s="469">
        <f t="shared" si="188"/>
        <v>51520000000000</v>
      </c>
      <c r="AQ57" s="469">
        <f t="shared" si="188"/>
        <v>1.3E+15</v>
      </c>
      <c r="AR57" s="469">
        <f t="shared" si="188"/>
        <v>1.3E+15</v>
      </c>
      <c r="AS57" s="469">
        <f t="shared" si="188"/>
        <v>420490000000000</v>
      </c>
      <c r="AT57" s="469">
        <f t="shared" si="188"/>
        <v>3990000000000</v>
      </c>
      <c r="AU57" s="581">
        <f t="shared" si="188"/>
        <v>1.14E+15</v>
      </c>
      <c r="AV57" s="461"/>
      <c r="AW57" s="580">
        <f t="shared" ref="AW57:BN57" si="189">AW56+DB56</f>
        <v>56</v>
      </c>
      <c r="AX57" s="252">
        <f t="shared" si="189"/>
        <v>21</v>
      </c>
      <c r="AY57" s="252">
        <f t="shared" si="189"/>
        <v>60</v>
      </c>
      <c r="AZ57" s="252">
        <f t="shared" si="189"/>
        <v>17</v>
      </c>
      <c r="BA57" s="252">
        <f t="shared" si="189"/>
        <v>57</v>
      </c>
      <c r="BB57" s="252">
        <f t="shared" si="189"/>
        <v>13</v>
      </c>
      <c r="BC57" s="390">
        <f t="shared" si="189"/>
        <v>62</v>
      </c>
      <c r="BD57" s="390">
        <f t="shared" si="189"/>
        <v>79</v>
      </c>
      <c r="BE57" s="390">
        <f t="shared" si="189"/>
        <v>0</v>
      </c>
      <c r="BF57" s="390">
        <f t="shared" si="189"/>
        <v>18</v>
      </c>
      <c r="BG57" s="390">
        <f t="shared" si="189"/>
        <v>59</v>
      </c>
      <c r="BH57" s="390">
        <f t="shared" si="189"/>
        <v>20</v>
      </c>
      <c r="BI57" s="469">
        <f t="shared" si="189"/>
        <v>58</v>
      </c>
      <c r="BJ57" s="469">
        <f t="shared" si="189"/>
        <v>37</v>
      </c>
      <c r="BK57" s="469">
        <f t="shared" si="189"/>
        <v>37</v>
      </c>
      <c r="BL57" s="469">
        <f t="shared" si="189"/>
        <v>18</v>
      </c>
      <c r="BM57" s="469">
        <f t="shared" si="189"/>
        <v>42</v>
      </c>
      <c r="BN57" s="581">
        <f t="shared" si="189"/>
        <v>15</v>
      </c>
      <c r="BO57" s="461"/>
      <c r="BP57" s="580">
        <f t="shared" si="8"/>
        <v>37110000000000</v>
      </c>
      <c r="BQ57" s="252" t="str">
        <f t="shared" si="9"/>
        <v/>
      </c>
      <c r="BR57" s="252">
        <f t="shared" si="10"/>
        <v>69650000000000</v>
      </c>
      <c r="BS57" s="252" t="str">
        <f t="shared" si="11"/>
        <v/>
      </c>
      <c r="BT57" s="252" t="str">
        <f t="shared" si="12"/>
        <v/>
      </c>
      <c r="BU57" s="252">
        <f t="shared" si="13"/>
        <v>47710000000000</v>
      </c>
      <c r="BV57" s="390">
        <f t="shared" si="14"/>
        <v>92140000000000</v>
      </c>
      <c r="BW57" s="390" t="str">
        <f t="shared" si="15"/>
        <v/>
      </c>
      <c r="BX57" s="390" t="str">
        <f t="shared" si="16"/>
        <v/>
      </c>
      <c r="BY57" s="390" t="str">
        <f t="shared" si="17"/>
        <v/>
      </c>
      <c r="BZ57" s="390">
        <f t="shared" si="18"/>
        <v>60080000000000</v>
      </c>
      <c r="CA57" s="390">
        <f t="shared" si="19"/>
        <v>22020000000000</v>
      </c>
      <c r="CB57" s="469">
        <f t="shared" si="20"/>
        <v>51520000000000</v>
      </c>
      <c r="CC57" s="469" t="str">
        <f t="shared" si="21"/>
        <v/>
      </c>
      <c r="CD57" s="469" t="str">
        <f t="shared" si="22"/>
        <v/>
      </c>
      <c r="CE57" s="469" t="str">
        <f t="shared" si="23"/>
        <v/>
      </c>
      <c r="CF57" s="469" t="str">
        <f t="shared" si="24"/>
        <v/>
      </c>
      <c r="CG57" s="581" t="str">
        <f t="shared" si="25"/>
        <v/>
      </c>
      <c r="CH57" s="461"/>
      <c r="CI57" s="580" t="str">
        <f t="array" ref="CI57">LET(
array,SORT({$Y$2:$AB$19,TRANSPOSE($BP57:$CG57)},4,TRUE),
col,CHOOSECOLS(array,5),
row,MATCH(FALSE, ISBLANK(col), 0),
IF(BP57=SWITCH($AA$22,
"minimum cost", MIN($BP57:$CG57),
"maximum cost", MAX($BP57:$CG57), 
"custom order", IF(CI$1=INDEX(array, row,1),INDEX(array, row,5),"x"))
,1,))</f>
        <v/>
      </c>
      <c r="CJ57" s="252" t="str">
        <f t="array" ref="CJ57">LET(
array,SORT({$Y$2:$AB$19,TRANSPOSE($BP57:$CG57)},4,TRUE),
col,CHOOSECOLS(array,5),
row,MATCH(FALSE, ISBLANK(col), 0),
IF(BQ57=SWITCH($AA$22,
"minimum cost", MIN($BP57:$CG57),
"maximum cost", MAX($BP57:$CG57), 
"custom order", IF(CJ$1=INDEX(array, row,1),INDEX(array, row,5),"x"))
,1,))</f>
        <v/>
      </c>
      <c r="CK57" s="252" t="str">
        <f t="array" ref="CK57">LET(
array,SORT({$Y$2:$AB$19,TRANSPOSE($BP57:$CG57)},4,TRUE),
col,CHOOSECOLS(array,5),
row,MATCH(FALSE, ISBLANK(col), 0),
IF(BR57=SWITCH($AA$22,
"minimum cost", MIN($BP57:$CG57),
"maximum cost", MAX($BP57:$CG57), 
"custom order", IF(CK$1=INDEX(array, row,1),INDEX(array, row,5),"x"))
,1,))</f>
        <v/>
      </c>
      <c r="CL57" s="252" t="str">
        <f t="array" ref="CL57">LET(
array,SORT({$Y$2:$AB$19,TRANSPOSE($BP57:$CG57)},4,TRUE),
col,CHOOSECOLS(array,5),
row,MATCH(FALSE, ISBLANK(col), 0),
IF(BS57=SWITCH($AA$22,
"minimum cost", MIN($BP57:$CG57),
"maximum cost", MAX($BP57:$CG57), 
"custom order", IF(CL$1=INDEX(array, row,1),INDEX(array, row,5),"x"))
,1,))</f>
        <v/>
      </c>
      <c r="CM57" s="252" t="str">
        <f t="array" ref="CM57">LET(
array,SORT({$Y$2:$AB$19,TRANSPOSE($BP57:$CG57)},4,TRUE),
col,CHOOSECOLS(array,5),
row,MATCH(FALSE, ISBLANK(col), 0),
IF(BT57=SWITCH($AA$22,
"minimum cost", MIN($BP57:$CG57),
"maximum cost", MAX($BP57:$CG57), 
"custom order", IF(CM$1=INDEX(array, row,1),INDEX(array, row,5),"x"))
,1,))</f>
        <v/>
      </c>
      <c r="CN57" s="252" t="str">
        <f t="array" ref="CN57">LET(
array,SORT({$Y$2:$AB$19,TRANSPOSE($BP57:$CG57)},4,TRUE),
col,CHOOSECOLS(array,5),
row,MATCH(FALSE, ISBLANK(col), 0),
IF(BU57=SWITCH($AA$22,
"minimum cost", MIN($BP57:$CG57),
"maximum cost", MAX($BP57:$CG57), 
"custom order", IF(CN$1=INDEX(array, row,1),INDEX(array, row,5),"x"))
,1,))</f>
        <v/>
      </c>
      <c r="CO57" s="390" t="str">
        <f t="array" ref="CO57">LET(
array,SORT({$Y$2:$AB$19,TRANSPOSE($BP57:$CG57)},4,TRUE),
col,CHOOSECOLS(array,5),
row,MATCH(FALSE, ISBLANK(col), 0),
IF(BV57=SWITCH($AA$22,
"minimum cost", MIN($BP57:$CG57),
"maximum cost", MAX($BP57:$CG57), 
"custom order", IF(CO$1=INDEX(array, row,1),INDEX(array, row,5),"x"))
,1,))</f>
        <v/>
      </c>
      <c r="CP57" s="390" t="str">
        <f t="array" ref="CP57">LET(
array,SORT({$Y$2:$AB$19,TRANSPOSE($BP57:$CG57)},4,TRUE),
col,CHOOSECOLS(array,5),
row,MATCH(FALSE, ISBLANK(col), 0),
IF(BW57=SWITCH($AA$22,
"minimum cost", MIN($BP57:$CG57),
"maximum cost", MAX($BP57:$CG57), 
"custom order", IF(CP$1=INDEX(array, row,1),INDEX(array, row,5),"x"))
,1,))</f>
        <v/>
      </c>
      <c r="CQ57" s="390" t="str">
        <f t="array" ref="CQ57">LET(
array,SORT({$Y$2:$AB$19,TRANSPOSE($BP57:$CG57)},4,TRUE),
col,CHOOSECOLS(array,5),
row,MATCH(FALSE, ISBLANK(col), 0),
IF(BX57=SWITCH($AA$22,
"minimum cost", MIN($BP57:$CG57),
"maximum cost", MAX($BP57:$CG57), 
"custom order", IF(CQ$1=INDEX(array, row,1),INDEX(array, row,5),"x"))
,1,))</f>
        <v/>
      </c>
      <c r="CR57" s="390" t="str">
        <f t="array" ref="CR57">LET(
array,SORT({$Y$2:$AB$19,TRANSPOSE($BP57:$CG57)},4,TRUE),
col,CHOOSECOLS(array,5),
row,MATCH(FALSE, ISBLANK(col), 0),
IF(BY57=SWITCH($AA$22,
"minimum cost", MIN($BP57:$CG57),
"maximum cost", MAX($BP57:$CG57), 
"custom order", IF(CR$1=INDEX(array, row,1),INDEX(array, row,5),"x"))
,1,))</f>
        <v/>
      </c>
      <c r="CS57" s="390" t="str">
        <f t="array" ref="CS57">LET(
array,SORT({$Y$2:$AB$19,TRANSPOSE($BP57:$CG57)},4,TRUE),
col,CHOOSECOLS(array,5),
row,MATCH(FALSE, ISBLANK(col), 0),
IF(BZ57=SWITCH($AA$22,
"minimum cost", MIN($BP57:$CG57),
"maximum cost", MAX($BP57:$CG57), 
"custom order", IF(CS$1=INDEX(array, row,1),INDEX(array, row,5),"x"))
,1,))</f>
        <v/>
      </c>
      <c r="CT57" s="390" t="str">
        <f t="array" ref="CT57">LET(
array,SORT({$Y$2:$AB$19,TRANSPOSE($BP57:$CG57)},4,TRUE),
col,CHOOSECOLS(array,5),
row,MATCH(FALSE, ISBLANK(col), 0),
IF(CA57=SWITCH($AA$22,
"minimum cost", MIN($BP57:$CG57),
"maximum cost", MAX($BP57:$CG57), 
"custom order", IF(CT$1=INDEX(array, row,1),INDEX(array, row,5),"x"))
,1,))</f>
        <v/>
      </c>
      <c r="CU57" s="469">
        <f t="array" ref="CU57">LET(
array,SORT({$Y$2:$AB$19,TRANSPOSE($BP57:$CG57)},4,TRUE),
col,CHOOSECOLS(array,5),
row,MATCH(FALSE, ISBLANK(col), 0),
IF(CB57=SWITCH($AA$22,
"minimum cost", MIN($BP57:$CG57),
"maximum cost", MAX($BP57:$CG57), 
"custom order", IF(CU$1=INDEX(array, row,1),INDEX(array, row,5),"x"))
,1,))</f>
        <v>1</v>
      </c>
      <c r="CV57" s="469" t="str">
        <f t="array" ref="CV57">LET(
array,SORT({$Y$2:$AB$19,TRANSPOSE($BP57:$CG57)},4,TRUE),
col,CHOOSECOLS(array,5),
row,MATCH(FALSE, ISBLANK(col), 0),
IF(CC57=SWITCH($AA$22,
"minimum cost", MIN($BP57:$CG57),
"maximum cost", MAX($BP57:$CG57), 
"custom order", IF(CV$1=INDEX(array, row,1),INDEX(array, row,5),"x"))
,1,))</f>
        <v/>
      </c>
      <c r="CW57" s="469" t="str">
        <f t="array" ref="CW57">LET(
array,SORT({$Y$2:$AB$19,TRANSPOSE($BP57:$CG57)},4,TRUE),
col,CHOOSECOLS(array,5),
row,MATCH(FALSE, ISBLANK(col), 0),
IF(CD57=SWITCH($AA$22,
"minimum cost", MIN($BP57:$CG57),
"maximum cost", MAX($BP57:$CG57), 
"custom order", IF(CW$1=INDEX(array, row,1),INDEX(array, row,5),"x"))
,1,))</f>
        <v/>
      </c>
      <c r="CX57" s="469" t="str">
        <f t="array" ref="CX57">LET(
array,SORT({$Y$2:$AB$19,TRANSPOSE($BP57:$CG57)},4,TRUE),
col,CHOOSECOLS(array,5),
row,MATCH(FALSE, ISBLANK(col), 0),
IF(CE57=SWITCH($AA$22,
"minimum cost", MIN($BP57:$CG57),
"maximum cost", MAX($BP57:$CG57), 
"custom order", IF(CX$1=INDEX(array, row,1),INDEX(array, row,5),"x"))
,1,))</f>
        <v/>
      </c>
      <c r="CY57" s="469" t="str">
        <f t="array" ref="CY57">LET(
array,SORT({$Y$2:$AB$19,TRANSPOSE($BP57:$CG57)},4,TRUE),
col,CHOOSECOLS(array,5),
row,MATCH(FALSE, ISBLANK(col), 0),
IF(CF57=SWITCH($AA$22,
"minimum cost", MIN($BP57:$CG57),
"maximum cost", MAX($BP57:$CG57), 
"custom order", IF(CY$1=INDEX(array, row,1),INDEX(array, row,5),"x"))
,1,))</f>
        <v/>
      </c>
      <c r="CZ57" s="581" t="str">
        <f t="array" ref="CZ57">LET(
array,SORT({$Y$2:$AB$19,TRANSPOSE($BP57:$CG57)},4,TRUE),
col,CHOOSECOLS(array,5),
row,MATCH(FALSE, ISBLANK(col), 0),
IF(CG57=SWITCH($AA$22,
"minimum cost", MIN($BP57:$CG57),
"maximum cost", MAX($BP57:$CG57), 
"custom order", IF(CZ$1=INDEX(array, row,1),INDEX(array, row,5),"x"))
,1,))</f>
        <v/>
      </c>
      <c r="DA57" s="461"/>
      <c r="DB57" s="580" t="str">
        <f t="array" ref="DB57:DS57">IF(MATCH(1, CI57:CZ57, 0)=COLUMN(CI57:CZ57)-COLUMN(CI57)+1, CI57:CZ57, "")</f>
        <v/>
      </c>
      <c r="DC57" s="252" t="s">
        <v>133</v>
      </c>
      <c r="DD57" s="252" t="s">
        <v>133</v>
      </c>
      <c r="DE57" s="252" t="s">
        <v>133</v>
      </c>
      <c r="DF57" s="252" t="s">
        <v>133</v>
      </c>
      <c r="DG57" s="252" t="s">
        <v>133</v>
      </c>
      <c r="DH57" s="390" t="s">
        <v>133</v>
      </c>
      <c r="DI57" s="390" t="s">
        <v>133</v>
      </c>
      <c r="DJ57" s="390" t="s">
        <v>133</v>
      </c>
      <c r="DK57" s="390" t="s">
        <v>133</v>
      </c>
      <c r="DL57" s="390" t="s">
        <v>133</v>
      </c>
      <c r="DM57" s="390" t="s">
        <v>133</v>
      </c>
      <c r="DN57" s="469">
        <v>1.0</v>
      </c>
      <c r="DO57" s="469" t="s">
        <v>133</v>
      </c>
      <c r="DP57" s="469" t="s">
        <v>133</v>
      </c>
      <c r="DQ57" s="469" t="s">
        <v>133</v>
      </c>
      <c r="DR57" s="469" t="s">
        <v>133</v>
      </c>
      <c r="DS57" s="581" t="s">
        <v>133</v>
      </c>
      <c r="DT57" s="563"/>
    </row>
    <row r="58">
      <c r="A58" s="563"/>
      <c r="B58" s="709"/>
      <c r="C58" s="709"/>
      <c r="D58" s="709"/>
      <c r="E58" s="10"/>
      <c r="F58" s="709"/>
      <c r="G58" s="10"/>
      <c r="H58" s="709"/>
      <c r="I58" s="10"/>
      <c r="J58" s="709"/>
      <c r="K58" s="10"/>
      <c r="L58" s="709"/>
      <c r="M58" s="461"/>
      <c r="N58" s="10"/>
      <c r="O58" s="10"/>
      <c r="P58" s="10"/>
      <c r="Q58" s="570" t="str">
        <f>IFERROR(__xludf.DUMMYFUNCTION("IF(SUM(DB58:DS58),ARRAYFORMULA(FILTER(DB$1:DS$1, DB58:DS58=1)),)"),"Cash Bonus")</f>
        <v>Cash Bonus</v>
      </c>
      <c r="R58" s="571">
        <f>IFERROR(__xludf.DUMMYFUNCTION("IF(SUM(DB58:DS58),ARRAYFORMULA(FILTER(AW58:BN58, DB58:DS58=1))+1,)"),60.0)</f>
        <v>60</v>
      </c>
      <c r="S58" s="572">
        <f>IFERROR(__xludf.DUMMYFUNCTION("IF(SUM(DB58:DS58),ARRAYFORMULA(FILTER(AD58:AU58, DB58:DS58=1)),)"),6.008E13)</f>
        <v>60080000000000</v>
      </c>
      <c r="T58" s="572">
        <f t="shared" si="26"/>
        <v>1.31911E+16</v>
      </c>
      <c r="U58" s="573" t="str">
        <f t="shared" ref="U58:V58" si="190">FORMAT_NUMBER(S58)</f>
        <v>60.08 T</v>
      </c>
      <c r="V58" s="574" t="str">
        <f t="shared" si="190"/>
        <v>13.19 q</v>
      </c>
      <c r="W58" s="677"/>
      <c r="X58" s="709"/>
      <c r="Y58" s="709"/>
      <c r="Z58" s="709"/>
      <c r="AA58" s="709"/>
      <c r="AB58" s="712"/>
      <c r="AC58" s="461"/>
      <c r="AD58" s="580">
        <f t="shared" ref="AD58:AU58" si="191">IFERROR(WSPCOST_SINGLE_ADJUSTED(AD$1,1+AW58),)</f>
        <v>37110000000000</v>
      </c>
      <c r="AE58" s="252">
        <f t="shared" si="191"/>
        <v>82420000000</v>
      </c>
      <c r="AF58" s="252">
        <f t="shared" si="191"/>
        <v>69650000000000</v>
      </c>
      <c r="AG58" s="252">
        <f t="shared" si="191"/>
        <v>21210000000</v>
      </c>
      <c r="AH58" s="252">
        <f t="shared" si="191"/>
        <v>43890000000000</v>
      </c>
      <c r="AI58" s="252">
        <f t="shared" si="191"/>
        <v>47710000000000</v>
      </c>
      <c r="AJ58" s="390">
        <f t="shared" si="191"/>
        <v>92140000000000</v>
      </c>
      <c r="AK58" s="390">
        <f t="shared" si="191"/>
        <v>580270000000000</v>
      </c>
      <c r="AL58" s="390">
        <f t="shared" si="191"/>
        <v>5000000000</v>
      </c>
      <c r="AM58" s="390">
        <f t="shared" si="191"/>
        <v>33950000000</v>
      </c>
      <c r="AN58" s="390">
        <f t="shared" si="191"/>
        <v>60080000000000</v>
      </c>
      <c r="AO58" s="390">
        <f t="shared" si="191"/>
        <v>22020000000000</v>
      </c>
      <c r="AP58" s="469">
        <f t="shared" si="191"/>
        <v>60080000000000</v>
      </c>
      <c r="AQ58" s="469">
        <f t="shared" si="191"/>
        <v>1.3E+15</v>
      </c>
      <c r="AR58" s="469">
        <f t="shared" si="191"/>
        <v>1.3E+15</v>
      </c>
      <c r="AS58" s="469">
        <f t="shared" si="191"/>
        <v>420490000000000</v>
      </c>
      <c r="AT58" s="469">
        <f t="shared" si="191"/>
        <v>3990000000000</v>
      </c>
      <c r="AU58" s="581">
        <f t="shared" si="191"/>
        <v>1.14E+15</v>
      </c>
      <c r="AV58" s="461"/>
      <c r="AW58" s="580">
        <f t="shared" ref="AW58:BN58" si="192">AW57+DB57</f>
        <v>56</v>
      </c>
      <c r="AX58" s="252">
        <f t="shared" si="192"/>
        <v>21</v>
      </c>
      <c r="AY58" s="252">
        <f t="shared" si="192"/>
        <v>60</v>
      </c>
      <c r="AZ58" s="252">
        <f t="shared" si="192"/>
        <v>17</v>
      </c>
      <c r="BA58" s="252">
        <f t="shared" si="192"/>
        <v>57</v>
      </c>
      <c r="BB58" s="252">
        <f t="shared" si="192"/>
        <v>13</v>
      </c>
      <c r="BC58" s="390">
        <f t="shared" si="192"/>
        <v>62</v>
      </c>
      <c r="BD58" s="390">
        <f t="shared" si="192"/>
        <v>79</v>
      </c>
      <c r="BE58" s="390">
        <f t="shared" si="192"/>
        <v>0</v>
      </c>
      <c r="BF58" s="390">
        <f t="shared" si="192"/>
        <v>18</v>
      </c>
      <c r="BG58" s="390">
        <f t="shared" si="192"/>
        <v>59</v>
      </c>
      <c r="BH58" s="390">
        <f t="shared" si="192"/>
        <v>20</v>
      </c>
      <c r="BI58" s="469">
        <f t="shared" si="192"/>
        <v>59</v>
      </c>
      <c r="BJ58" s="469">
        <f t="shared" si="192"/>
        <v>37</v>
      </c>
      <c r="BK58" s="469">
        <f t="shared" si="192"/>
        <v>37</v>
      </c>
      <c r="BL58" s="469">
        <f t="shared" si="192"/>
        <v>18</v>
      </c>
      <c r="BM58" s="469">
        <f t="shared" si="192"/>
        <v>42</v>
      </c>
      <c r="BN58" s="581">
        <f t="shared" si="192"/>
        <v>15</v>
      </c>
      <c r="BO58" s="461"/>
      <c r="BP58" s="580">
        <f t="shared" si="8"/>
        <v>37110000000000</v>
      </c>
      <c r="BQ58" s="252" t="str">
        <f t="shared" si="9"/>
        <v/>
      </c>
      <c r="BR58" s="252">
        <f t="shared" si="10"/>
        <v>69650000000000</v>
      </c>
      <c r="BS58" s="252" t="str">
        <f t="shared" si="11"/>
        <v/>
      </c>
      <c r="BT58" s="252" t="str">
        <f t="shared" si="12"/>
        <v/>
      </c>
      <c r="BU58" s="252">
        <f t="shared" si="13"/>
        <v>47710000000000</v>
      </c>
      <c r="BV58" s="390">
        <f t="shared" si="14"/>
        <v>92140000000000</v>
      </c>
      <c r="BW58" s="390" t="str">
        <f t="shared" si="15"/>
        <v/>
      </c>
      <c r="BX58" s="390" t="str">
        <f t="shared" si="16"/>
        <v/>
      </c>
      <c r="BY58" s="390" t="str">
        <f t="shared" si="17"/>
        <v/>
      </c>
      <c r="BZ58" s="390">
        <f t="shared" si="18"/>
        <v>60080000000000</v>
      </c>
      <c r="CA58" s="390">
        <f t="shared" si="19"/>
        <v>22020000000000</v>
      </c>
      <c r="CB58" s="469">
        <f t="shared" si="20"/>
        <v>60080000000000</v>
      </c>
      <c r="CC58" s="469" t="str">
        <f t="shared" si="21"/>
        <v/>
      </c>
      <c r="CD58" s="469" t="str">
        <f t="shared" si="22"/>
        <v/>
      </c>
      <c r="CE58" s="469" t="str">
        <f t="shared" si="23"/>
        <v/>
      </c>
      <c r="CF58" s="469" t="str">
        <f t="shared" si="24"/>
        <v/>
      </c>
      <c r="CG58" s="581" t="str">
        <f t="shared" si="25"/>
        <v/>
      </c>
      <c r="CH58" s="461"/>
      <c r="CI58" s="580" t="str">
        <f t="array" ref="CI58">LET(
array,SORT({$Y$2:$AB$19,TRANSPOSE($BP58:$CG58)},4,TRUE),
col,CHOOSECOLS(array,5),
row,MATCH(FALSE, ISBLANK(col), 0),
IF(BP58=SWITCH($AA$22,
"minimum cost", MIN($BP58:$CG58),
"maximum cost", MAX($BP58:$CG58), 
"custom order", IF(CI$1=INDEX(array, row,1),INDEX(array, row,5),"x"))
,1,))</f>
        <v/>
      </c>
      <c r="CJ58" s="252" t="str">
        <f t="array" ref="CJ58">LET(
array,SORT({$Y$2:$AB$19,TRANSPOSE($BP58:$CG58)},4,TRUE),
col,CHOOSECOLS(array,5),
row,MATCH(FALSE, ISBLANK(col), 0),
IF(BQ58=SWITCH($AA$22,
"minimum cost", MIN($BP58:$CG58),
"maximum cost", MAX($BP58:$CG58), 
"custom order", IF(CJ$1=INDEX(array, row,1),INDEX(array, row,5),"x"))
,1,))</f>
        <v/>
      </c>
      <c r="CK58" s="252" t="str">
        <f t="array" ref="CK58">LET(
array,SORT({$Y$2:$AB$19,TRANSPOSE($BP58:$CG58)},4,TRUE),
col,CHOOSECOLS(array,5),
row,MATCH(FALSE, ISBLANK(col), 0),
IF(BR58=SWITCH($AA$22,
"minimum cost", MIN($BP58:$CG58),
"maximum cost", MAX($BP58:$CG58), 
"custom order", IF(CK$1=INDEX(array, row,1),INDEX(array, row,5),"x"))
,1,))</f>
        <v/>
      </c>
      <c r="CL58" s="252" t="str">
        <f t="array" ref="CL58">LET(
array,SORT({$Y$2:$AB$19,TRANSPOSE($BP58:$CG58)},4,TRUE),
col,CHOOSECOLS(array,5),
row,MATCH(FALSE, ISBLANK(col), 0),
IF(BS58=SWITCH($AA$22,
"minimum cost", MIN($BP58:$CG58),
"maximum cost", MAX($BP58:$CG58), 
"custom order", IF(CL$1=INDEX(array, row,1),INDEX(array, row,5),"x"))
,1,))</f>
        <v/>
      </c>
      <c r="CM58" s="252" t="str">
        <f t="array" ref="CM58">LET(
array,SORT({$Y$2:$AB$19,TRANSPOSE($BP58:$CG58)},4,TRUE),
col,CHOOSECOLS(array,5),
row,MATCH(FALSE, ISBLANK(col), 0),
IF(BT58=SWITCH($AA$22,
"minimum cost", MIN($BP58:$CG58),
"maximum cost", MAX($BP58:$CG58), 
"custom order", IF(CM$1=INDEX(array, row,1),INDEX(array, row,5),"x"))
,1,))</f>
        <v/>
      </c>
      <c r="CN58" s="252" t="str">
        <f t="array" ref="CN58">LET(
array,SORT({$Y$2:$AB$19,TRANSPOSE($BP58:$CG58)},4,TRUE),
col,CHOOSECOLS(array,5),
row,MATCH(FALSE, ISBLANK(col), 0),
IF(BU58=SWITCH($AA$22,
"minimum cost", MIN($BP58:$CG58),
"maximum cost", MAX($BP58:$CG58), 
"custom order", IF(CN$1=INDEX(array, row,1),INDEX(array, row,5),"x"))
,1,))</f>
        <v/>
      </c>
      <c r="CO58" s="390" t="str">
        <f t="array" ref="CO58">LET(
array,SORT({$Y$2:$AB$19,TRANSPOSE($BP58:$CG58)},4,TRUE),
col,CHOOSECOLS(array,5),
row,MATCH(FALSE, ISBLANK(col), 0),
IF(BV58=SWITCH($AA$22,
"minimum cost", MIN($BP58:$CG58),
"maximum cost", MAX($BP58:$CG58), 
"custom order", IF(CO$1=INDEX(array, row,1),INDEX(array, row,5),"x"))
,1,))</f>
        <v/>
      </c>
      <c r="CP58" s="390" t="str">
        <f t="array" ref="CP58">LET(
array,SORT({$Y$2:$AB$19,TRANSPOSE($BP58:$CG58)},4,TRUE),
col,CHOOSECOLS(array,5),
row,MATCH(FALSE, ISBLANK(col), 0),
IF(BW58=SWITCH($AA$22,
"minimum cost", MIN($BP58:$CG58),
"maximum cost", MAX($BP58:$CG58), 
"custom order", IF(CP$1=INDEX(array, row,1),INDEX(array, row,5),"x"))
,1,))</f>
        <v/>
      </c>
      <c r="CQ58" s="390" t="str">
        <f t="array" ref="CQ58">LET(
array,SORT({$Y$2:$AB$19,TRANSPOSE($BP58:$CG58)},4,TRUE),
col,CHOOSECOLS(array,5),
row,MATCH(FALSE, ISBLANK(col), 0),
IF(BX58=SWITCH($AA$22,
"minimum cost", MIN($BP58:$CG58),
"maximum cost", MAX($BP58:$CG58), 
"custom order", IF(CQ$1=INDEX(array, row,1),INDEX(array, row,5),"x"))
,1,))</f>
        <v/>
      </c>
      <c r="CR58" s="390" t="str">
        <f t="array" ref="CR58">LET(
array,SORT({$Y$2:$AB$19,TRANSPOSE($BP58:$CG58)},4,TRUE),
col,CHOOSECOLS(array,5),
row,MATCH(FALSE, ISBLANK(col), 0),
IF(BY58=SWITCH($AA$22,
"minimum cost", MIN($BP58:$CG58),
"maximum cost", MAX($BP58:$CG58), 
"custom order", IF(CR$1=INDEX(array, row,1),INDEX(array, row,5),"x"))
,1,))</f>
        <v/>
      </c>
      <c r="CS58" s="390" t="str">
        <f t="array" ref="CS58">LET(
array,SORT({$Y$2:$AB$19,TRANSPOSE($BP58:$CG58)},4,TRUE),
col,CHOOSECOLS(array,5),
row,MATCH(FALSE, ISBLANK(col), 0),
IF(BZ58=SWITCH($AA$22,
"minimum cost", MIN($BP58:$CG58),
"maximum cost", MAX($BP58:$CG58), 
"custom order", IF(CS$1=INDEX(array, row,1),INDEX(array, row,5),"x"))
,1,))</f>
        <v/>
      </c>
      <c r="CT58" s="390" t="str">
        <f t="array" ref="CT58">LET(
array,SORT({$Y$2:$AB$19,TRANSPOSE($BP58:$CG58)},4,TRUE),
col,CHOOSECOLS(array,5),
row,MATCH(FALSE, ISBLANK(col), 0),
IF(CA58=SWITCH($AA$22,
"minimum cost", MIN($BP58:$CG58),
"maximum cost", MAX($BP58:$CG58), 
"custom order", IF(CT$1=INDEX(array, row,1),INDEX(array, row,5),"x"))
,1,))</f>
        <v/>
      </c>
      <c r="CU58" s="469">
        <f t="array" ref="CU58">LET(
array,SORT({$Y$2:$AB$19,TRANSPOSE($BP58:$CG58)},4,TRUE),
col,CHOOSECOLS(array,5),
row,MATCH(FALSE, ISBLANK(col), 0),
IF(CB58=SWITCH($AA$22,
"minimum cost", MIN($BP58:$CG58),
"maximum cost", MAX($BP58:$CG58), 
"custom order", IF(CU$1=INDEX(array, row,1),INDEX(array, row,5),"x"))
,1,))</f>
        <v>1</v>
      </c>
      <c r="CV58" s="469" t="str">
        <f t="array" ref="CV58">LET(
array,SORT({$Y$2:$AB$19,TRANSPOSE($BP58:$CG58)},4,TRUE),
col,CHOOSECOLS(array,5),
row,MATCH(FALSE, ISBLANK(col), 0),
IF(CC58=SWITCH($AA$22,
"minimum cost", MIN($BP58:$CG58),
"maximum cost", MAX($BP58:$CG58), 
"custom order", IF(CV$1=INDEX(array, row,1),INDEX(array, row,5),"x"))
,1,))</f>
        <v/>
      </c>
      <c r="CW58" s="469" t="str">
        <f t="array" ref="CW58">LET(
array,SORT({$Y$2:$AB$19,TRANSPOSE($BP58:$CG58)},4,TRUE),
col,CHOOSECOLS(array,5),
row,MATCH(FALSE, ISBLANK(col), 0),
IF(CD58=SWITCH($AA$22,
"minimum cost", MIN($BP58:$CG58),
"maximum cost", MAX($BP58:$CG58), 
"custom order", IF(CW$1=INDEX(array, row,1),INDEX(array, row,5),"x"))
,1,))</f>
        <v/>
      </c>
      <c r="CX58" s="469" t="str">
        <f t="array" ref="CX58">LET(
array,SORT({$Y$2:$AB$19,TRANSPOSE($BP58:$CG58)},4,TRUE),
col,CHOOSECOLS(array,5),
row,MATCH(FALSE, ISBLANK(col), 0),
IF(CE58=SWITCH($AA$22,
"minimum cost", MIN($BP58:$CG58),
"maximum cost", MAX($BP58:$CG58), 
"custom order", IF(CX$1=INDEX(array, row,1),INDEX(array, row,5),"x"))
,1,))</f>
        <v/>
      </c>
      <c r="CY58" s="469" t="str">
        <f t="array" ref="CY58">LET(
array,SORT({$Y$2:$AB$19,TRANSPOSE($BP58:$CG58)},4,TRUE),
col,CHOOSECOLS(array,5),
row,MATCH(FALSE, ISBLANK(col), 0),
IF(CF58=SWITCH($AA$22,
"minimum cost", MIN($BP58:$CG58),
"maximum cost", MAX($BP58:$CG58), 
"custom order", IF(CY$1=INDEX(array, row,1),INDEX(array, row,5),"x"))
,1,))</f>
        <v/>
      </c>
      <c r="CZ58" s="581" t="str">
        <f t="array" ref="CZ58">LET(
array,SORT({$Y$2:$AB$19,TRANSPOSE($BP58:$CG58)},4,TRUE),
col,CHOOSECOLS(array,5),
row,MATCH(FALSE, ISBLANK(col), 0),
IF(CG58=SWITCH($AA$22,
"minimum cost", MIN($BP58:$CG58),
"maximum cost", MAX($BP58:$CG58), 
"custom order", IF(CZ$1=INDEX(array, row,1),INDEX(array, row,5),"x"))
,1,))</f>
        <v/>
      </c>
      <c r="DA58" s="461"/>
      <c r="DB58" s="580" t="str">
        <f t="array" ref="DB58:DS58">IF(MATCH(1, CI58:CZ58, 0)=COLUMN(CI58:CZ58)-COLUMN(CI58)+1, CI58:CZ58, "")</f>
        <v/>
      </c>
      <c r="DC58" s="252" t="s">
        <v>133</v>
      </c>
      <c r="DD58" s="252" t="s">
        <v>133</v>
      </c>
      <c r="DE58" s="252" t="s">
        <v>133</v>
      </c>
      <c r="DF58" s="252" t="s">
        <v>133</v>
      </c>
      <c r="DG58" s="252" t="s">
        <v>133</v>
      </c>
      <c r="DH58" s="390" t="s">
        <v>133</v>
      </c>
      <c r="DI58" s="390" t="s">
        <v>133</v>
      </c>
      <c r="DJ58" s="390" t="s">
        <v>133</v>
      </c>
      <c r="DK58" s="390" t="s">
        <v>133</v>
      </c>
      <c r="DL58" s="390" t="s">
        <v>133</v>
      </c>
      <c r="DM58" s="390" t="s">
        <v>133</v>
      </c>
      <c r="DN58" s="469">
        <v>1.0</v>
      </c>
      <c r="DO58" s="469" t="s">
        <v>133</v>
      </c>
      <c r="DP58" s="469" t="s">
        <v>133</v>
      </c>
      <c r="DQ58" s="469" t="s">
        <v>133</v>
      </c>
      <c r="DR58" s="469" t="s">
        <v>133</v>
      </c>
      <c r="DS58" s="581" t="s">
        <v>133</v>
      </c>
      <c r="DT58" s="563"/>
    </row>
    <row r="59">
      <c r="A59" s="563"/>
      <c r="B59" s="709"/>
      <c r="C59" s="709"/>
      <c r="D59" s="709"/>
      <c r="E59" s="10"/>
      <c r="F59" s="709"/>
      <c r="G59" s="10"/>
      <c r="H59" s="709"/>
      <c r="I59" s="10"/>
      <c r="J59" s="709"/>
      <c r="K59" s="10"/>
      <c r="L59" s="709"/>
      <c r="M59" s="461"/>
      <c r="N59" s="10"/>
      <c r="O59" s="10"/>
      <c r="P59" s="10"/>
      <c r="Q59" s="570" t="str">
        <f>IFERROR(__xludf.DUMMYFUNCTION("IF(SUM(DB59:DS59),ARRAYFORMULA(FILTER(DB$1:DS$1, DB59:DS59=1)),)"),"Cash Bonus")</f>
        <v>Cash Bonus</v>
      </c>
      <c r="R59" s="571">
        <f>IFERROR(__xludf.DUMMYFUNCTION("IF(SUM(DB59:DS59),ARRAYFORMULA(FILTER(AW59:BN59, DB59:DS59=1))+1,)"),61.0)</f>
        <v>61</v>
      </c>
      <c r="S59" s="572">
        <f>IFERROR(__xludf.DUMMYFUNCTION("IF(SUM(DB59:DS59),ARRAYFORMULA(FILTER(AD59:AU59, DB59:DS59=1)),)"),6.965E13)</f>
        <v>69650000000000</v>
      </c>
      <c r="T59" s="572">
        <f t="shared" si="26"/>
        <v>1.32608E+16</v>
      </c>
      <c r="U59" s="573" t="str">
        <f t="shared" ref="U59:V59" si="193">FORMAT_NUMBER(S59)</f>
        <v>69.65 T</v>
      </c>
      <c r="V59" s="574" t="str">
        <f t="shared" si="193"/>
        <v>13.26 q</v>
      </c>
      <c r="W59" s="677"/>
      <c r="X59" s="709"/>
      <c r="Y59" s="709"/>
      <c r="Z59" s="709"/>
      <c r="AA59" s="709"/>
      <c r="AB59" s="712"/>
      <c r="AC59" s="461"/>
      <c r="AD59" s="580">
        <f t="shared" ref="AD59:AU59" si="194">IFERROR(WSPCOST_SINGLE_ADJUSTED(AD$1,1+AW59),)</f>
        <v>37110000000000</v>
      </c>
      <c r="AE59" s="252">
        <f t="shared" si="194"/>
        <v>82420000000</v>
      </c>
      <c r="AF59" s="252">
        <f t="shared" si="194"/>
        <v>69650000000000</v>
      </c>
      <c r="AG59" s="252">
        <f t="shared" si="194"/>
        <v>21210000000</v>
      </c>
      <c r="AH59" s="252">
        <f t="shared" si="194"/>
        <v>43890000000000</v>
      </c>
      <c r="AI59" s="252">
        <f t="shared" si="194"/>
        <v>47710000000000</v>
      </c>
      <c r="AJ59" s="390">
        <f t="shared" si="194"/>
        <v>92140000000000</v>
      </c>
      <c r="AK59" s="390">
        <f t="shared" si="194"/>
        <v>580270000000000</v>
      </c>
      <c r="AL59" s="390">
        <f t="shared" si="194"/>
        <v>5000000000</v>
      </c>
      <c r="AM59" s="390">
        <f t="shared" si="194"/>
        <v>33950000000</v>
      </c>
      <c r="AN59" s="390">
        <f t="shared" si="194"/>
        <v>60080000000000</v>
      </c>
      <c r="AO59" s="390">
        <f t="shared" si="194"/>
        <v>22020000000000</v>
      </c>
      <c r="AP59" s="469">
        <f t="shared" si="194"/>
        <v>69650000000000</v>
      </c>
      <c r="AQ59" s="469">
        <f t="shared" si="194"/>
        <v>1.3E+15</v>
      </c>
      <c r="AR59" s="469">
        <f t="shared" si="194"/>
        <v>1.3E+15</v>
      </c>
      <c r="AS59" s="469">
        <f t="shared" si="194"/>
        <v>420490000000000</v>
      </c>
      <c r="AT59" s="469">
        <f t="shared" si="194"/>
        <v>3990000000000</v>
      </c>
      <c r="AU59" s="581">
        <f t="shared" si="194"/>
        <v>1.14E+15</v>
      </c>
      <c r="AV59" s="461"/>
      <c r="AW59" s="580">
        <f t="shared" ref="AW59:BN59" si="195">AW58+DB58</f>
        <v>56</v>
      </c>
      <c r="AX59" s="252">
        <f t="shared" si="195"/>
        <v>21</v>
      </c>
      <c r="AY59" s="252">
        <f t="shared" si="195"/>
        <v>60</v>
      </c>
      <c r="AZ59" s="252">
        <f t="shared" si="195"/>
        <v>17</v>
      </c>
      <c r="BA59" s="252">
        <f t="shared" si="195"/>
        <v>57</v>
      </c>
      <c r="BB59" s="252">
        <f t="shared" si="195"/>
        <v>13</v>
      </c>
      <c r="BC59" s="390">
        <f t="shared" si="195"/>
        <v>62</v>
      </c>
      <c r="BD59" s="390">
        <f t="shared" si="195"/>
        <v>79</v>
      </c>
      <c r="BE59" s="390">
        <f t="shared" si="195"/>
        <v>0</v>
      </c>
      <c r="BF59" s="390">
        <f t="shared" si="195"/>
        <v>18</v>
      </c>
      <c r="BG59" s="390">
        <f t="shared" si="195"/>
        <v>59</v>
      </c>
      <c r="BH59" s="390">
        <f t="shared" si="195"/>
        <v>20</v>
      </c>
      <c r="BI59" s="469">
        <f t="shared" si="195"/>
        <v>60</v>
      </c>
      <c r="BJ59" s="469">
        <f t="shared" si="195"/>
        <v>37</v>
      </c>
      <c r="BK59" s="469">
        <f t="shared" si="195"/>
        <v>37</v>
      </c>
      <c r="BL59" s="469">
        <f t="shared" si="195"/>
        <v>18</v>
      </c>
      <c r="BM59" s="469">
        <f t="shared" si="195"/>
        <v>42</v>
      </c>
      <c r="BN59" s="581">
        <f t="shared" si="195"/>
        <v>15</v>
      </c>
      <c r="BO59" s="461"/>
      <c r="BP59" s="580">
        <f t="shared" si="8"/>
        <v>37110000000000</v>
      </c>
      <c r="BQ59" s="252" t="str">
        <f t="shared" si="9"/>
        <v/>
      </c>
      <c r="BR59" s="252">
        <f t="shared" si="10"/>
        <v>69650000000000</v>
      </c>
      <c r="BS59" s="252" t="str">
        <f t="shared" si="11"/>
        <v/>
      </c>
      <c r="BT59" s="252" t="str">
        <f t="shared" si="12"/>
        <v/>
      </c>
      <c r="BU59" s="252">
        <f t="shared" si="13"/>
        <v>47710000000000</v>
      </c>
      <c r="BV59" s="390">
        <f t="shared" si="14"/>
        <v>92140000000000</v>
      </c>
      <c r="BW59" s="390" t="str">
        <f t="shared" si="15"/>
        <v/>
      </c>
      <c r="BX59" s="390" t="str">
        <f t="shared" si="16"/>
        <v/>
      </c>
      <c r="BY59" s="390" t="str">
        <f t="shared" si="17"/>
        <v/>
      </c>
      <c r="BZ59" s="390">
        <f t="shared" si="18"/>
        <v>60080000000000</v>
      </c>
      <c r="CA59" s="390">
        <f t="shared" si="19"/>
        <v>22020000000000</v>
      </c>
      <c r="CB59" s="469">
        <f t="shared" si="20"/>
        <v>69650000000000</v>
      </c>
      <c r="CC59" s="469" t="str">
        <f t="shared" si="21"/>
        <v/>
      </c>
      <c r="CD59" s="469" t="str">
        <f t="shared" si="22"/>
        <v/>
      </c>
      <c r="CE59" s="469" t="str">
        <f t="shared" si="23"/>
        <v/>
      </c>
      <c r="CF59" s="469" t="str">
        <f t="shared" si="24"/>
        <v/>
      </c>
      <c r="CG59" s="581" t="str">
        <f t="shared" si="25"/>
        <v/>
      </c>
      <c r="CH59" s="461"/>
      <c r="CI59" s="580" t="str">
        <f t="array" ref="CI59">LET(
array,SORT({$Y$2:$AB$19,TRANSPOSE($BP59:$CG59)},4,TRUE),
col,CHOOSECOLS(array,5),
row,MATCH(FALSE, ISBLANK(col), 0),
IF(BP59=SWITCH($AA$22,
"minimum cost", MIN($BP59:$CG59),
"maximum cost", MAX($BP59:$CG59), 
"custom order", IF(CI$1=INDEX(array, row,1),INDEX(array, row,5),"x"))
,1,))</f>
        <v/>
      </c>
      <c r="CJ59" s="252" t="str">
        <f t="array" ref="CJ59">LET(
array,SORT({$Y$2:$AB$19,TRANSPOSE($BP59:$CG59)},4,TRUE),
col,CHOOSECOLS(array,5),
row,MATCH(FALSE, ISBLANK(col), 0),
IF(BQ59=SWITCH($AA$22,
"minimum cost", MIN($BP59:$CG59),
"maximum cost", MAX($BP59:$CG59), 
"custom order", IF(CJ$1=INDEX(array, row,1),INDEX(array, row,5),"x"))
,1,))</f>
        <v/>
      </c>
      <c r="CK59" s="252" t="str">
        <f t="array" ref="CK59">LET(
array,SORT({$Y$2:$AB$19,TRANSPOSE($BP59:$CG59)},4,TRUE),
col,CHOOSECOLS(array,5),
row,MATCH(FALSE, ISBLANK(col), 0),
IF(BR59=SWITCH($AA$22,
"minimum cost", MIN($BP59:$CG59),
"maximum cost", MAX($BP59:$CG59), 
"custom order", IF(CK$1=INDEX(array, row,1),INDEX(array, row,5),"x"))
,1,))</f>
        <v/>
      </c>
      <c r="CL59" s="252" t="str">
        <f t="array" ref="CL59">LET(
array,SORT({$Y$2:$AB$19,TRANSPOSE($BP59:$CG59)},4,TRUE),
col,CHOOSECOLS(array,5),
row,MATCH(FALSE, ISBLANK(col), 0),
IF(BS59=SWITCH($AA$22,
"minimum cost", MIN($BP59:$CG59),
"maximum cost", MAX($BP59:$CG59), 
"custom order", IF(CL$1=INDEX(array, row,1),INDEX(array, row,5),"x"))
,1,))</f>
        <v/>
      </c>
      <c r="CM59" s="252" t="str">
        <f t="array" ref="CM59">LET(
array,SORT({$Y$2:$AB$19,TRANSPOSE($BP59:$CG59)},4,TRUE),
col,CHOOSECOLS(array,5),
row,MATCH(FALSE, ISBLANK(col), 0),
IF(BT59=SWITCH($AA$22,
"minimum cost", MIN($BP59:$CG59),
"maximum cost", MAX($BP59:$CG59), 
"custom order", IF(CM$1=INDEX(array, row,1),INDEX(array, row,5),"x"))
,1,))</f>
        <v/>
      </c>
      <c r="CN59" s="252" t="str">
        <f t="array" ref="CN59">LET(
array,SORT({$Y$2:$AB$19,TRANSPOSE($BP59:$CG59)},4,TRUE),
col,CHOOSECOLS(array,5),
row,MATCH(FALSE, ISBLANK(col), 0),
IF(BU59=SWITCH($AA$22,
"minimum cost", MIN($BP59:$CG59),
"maximum cost", MAX($BP59:$CG59), 
"custom order", IF(CN$1=INDEX(array, row,1),INDEX(array, row,5),"x"))
,1,))</f>
        <v/>
      </c>
      <c r="CO59" s="390" t="str">
        <f t="array" ref="CO59">LET(
array,SORT({$Y$2:$AB$19,TRANSPOSE($BP59:$CG59)},4,TRUE),
col,CHOOSECOLS(array,5),
row,MATCH(FALSE, ISBLANK(col), 0),
IF(BV59=SWITCH($AA$22,
"minimum cost", MIN($BP59:$CG59),
"maximum cost", MAX($BP59:$CG59), 
"custom order", IF(CO$1=INDEX(array, row,1),INDEX(array, row,5),"x"))
,1,))</f>
        <v/>
      </c>
      <c r="CP59" s="390" t="str">
        <f t="array" ref="CP59">LET(
array,SORT({$Y$2:$AB$19,TRANSPOSE($BP59:$CG59)},4,TRUE),
col,CHOOSECOLS(array,5),
row,MATCH(FALSE, ISBLANK(col), 0),
IF(BW59=SWITCH($AA$22,
"minimum cost", MIN($BP59:$CG59),
"maximum cost", MAX($BP59:$CG59), 
"custom order", IF(CP$1=INDEX(array, row,1),INDEX(array, row,5),"x"))
,1,))</f>
        <v/>
      </c>
      <c r="CQ59" s="390" t="str">
        <f t="array" ref="CQ59">LET(
array,SORT({$Y$2:$AB$19,TRANSPOSE($BP59:$CG59)},4,TRUE),
col,CHOOSECOLS(array,5),
row,MATCH(FALSE, ISBLANK(col), 0),
IF(BX59=SWITCH($AA$22,
"minimum cost", MIN($BP59:$CG59),
"maximum cost", MAX($BP59:$CG59), 
"custom order", IF(CQ$1=INDEX(array, row,1),INDEX(array, row,5),"x"))
,1,))</f>
        <v/>
      </c>
      <c r="CR59" s="390" t="str">
        <f t="array" ref="CR59">LET(
array,SORT({$Y$2:$AB$19,TRANSPOSE($BP59:$CG59)},4,TRUE),
col,CHOOSECOLS(array,5),
row,MATCH(FALSE, ISBLANK(col), 0),
IF(BY59=SWITCH($AA$22,
"minimum cost", MIN($BP59:$CG59),
"maximum cost", MAX($BP59:$CG59), 
"custom order", IF(CR$1=INDEX(array, row,1),INDEX(array, row,5),"x"))
,1,))</f>
        <v/>
      </c>
      <c r="CS59" s="390" t="str">
        <f t="array" ref="CS59">LET(
array,SORT({$Y$2:$AB$19,TRANSPOSE($BP59:$CG59)},4,TRUE),
col,CHOOSECOLS(array,5),
row,MATCH(FALSE, ISBLANK(col), 0),
IF(BZ59=SWITCH($AA$22,
"minimum cost", MIN($BP59:$CG59),
"maximum cost", MAX($BP59:$CG59), 
"custom order", IF(CS$1=INDEX(array, row,1),INDEX(array, row,5),"x"))
,1,))</f>
        <v/>
      </c>
      <c r="CT59" s="390" t="str">
        <f t="array" ref="CT59">LET(
array,SORT({$Y$2:$AB$19,TRANSPOSE($BP59:$CG59)},4,TRUE),
col,CHOOSECOLS(array,5),
row,MATCH(FALSE, ISBLANK(col), 0),
IF(CA59=SWITCH($AA$22,
"minimum cost", MIN($BP59:$CG59),
"maximum cost", MAX($BP59:$CG59), 
"custom order", IF(CT$1=INDEX(array, row,1),INDEX(array, row,5),"x"))
,1,))</f>
        <v/>
      </c>
      <c r="CU59" s="469">
        <f t="array" ref="CU59">LET(
array,SORT({$Y$2:$AB$19,TRANSPOSE($BP59:$CG59)},4,TRUE),
col,CHOOSECOLS(array,5),
row,MATCH(FALSE, ISBLANK(col), 0),
IF(CB59=SWITCH($AA$22,
"minimum cost", MIN($BP59:$CG59),
"maximum cost", MAX($BP59:$CG59), 
"custom order", IF(CU$1=INDEX(array, row,1),INDEX(array, row,5),"x"))
,1,))</f>
        <v>1</v>
      </c>
      <c r="CV59" s="469" t="str">
        <f t="array" ref="CV59">LET(
array,SORT({$Y$2:$AB$19,TRANSPOSE($BP59:$CG59)},4,TRUE),
col,CHOOSECOLS(array,5),
row,MATCH(FALSE, ISBLANK(col), 0),
IF(CC59=SWITCH($AA$22,
"minimum cost", MIN($BP59:$CG59),
"maximum cost", MAX($BP59:$CG59), 
"custom order", IF(CV$1=INDEX(array, row,1),INDEX(array, row,5),"x"))
,1,))</f>
        <v/>
      </c>
      <c r="CW59" s="469" t="str">
        <f t="array" ref="CW59">LET(
array,SORT({$Y$2:$AB$19,TRANSPOSE($BP59:$CG59)},4,TRUE),
col,CHOOSECOLS(array,5),
row,MATCH(FALSE, ISBLANK(col), 0),
IF(CD59=SWITCH($AA$22,
"minimum cost", MIN($BP59:$CG59),
"maximum cost", MAX($BP59:$CG59), 
"custom order", IF(CW$1=INDEX(array, row,1),INDEX(array, row,5),"x"))
,1,))</f>
        <v/>
      </c>
      <c r="CX59" s="469" t="str">
        <f t="array" ref="CX59">LET(
array,SORT({$Y$2:$AB$19,TRANSPOSE($BP59:$CG59)},4,TRUE),
col,CHOOSECOLS(array,5),
row,MATCH(FALSE, ISBLANK(col), 0),
IF(CE59=SWITCH($AA$22,
"minimum cost", MIN($BP59:$CG59),
"maximum cost", MAX($BP59:$CG59), 
"custom order", IF(CX$1=INDEX(array, row,1),INDEX(array, row,5),"x"))
,1,))</f>
        <v/>
      </c>
      <c r="CY59" s="469" t="str">
        <f t="array" ref="CY59">LET(
array,SORT({$Y$2:$AB$19,TRANSPOSE($BP59:$CG59)},4,TRUE),
col,CHOOSECOLS(array,5),
row,MATCH(FALSE, ISBLANK(col), 0),
IF(CF59=SWITCH($AA$22,
"minimum cost", MIN($BP59:$CG59),
"maximum cost", MAX($BP59:$CG59), 
"custom order", IF(CY$1=INDEX(array, row,1),INDEX(array, row,5),"x"))
,1,))</f>
        <v/>
      </c>
      <c r="CZ59" s="581" t="str">
        <f t="array" ref="CZ59">LET(
array,SORT({$Y$2:$AB$19,TRANSPOSE($BP59:$CG59)},4,TRUE),
col,CHOOSECOLS(array,5),
row,MATCH(FALSE, ISBLANK(col), 0),
IF(CG59=SWITCH($AA$22,
"minimum cost", MIN($BP59:$CG59),
"maximum cost", MAX($BP59:$CG59), 
"custom order", IF(CZ$1=INDEX(array, row,1),INDEX(array, row,5),"x"))
,1,))</f>
        <v/>
      </c>
      <c r="DA59" s="461"/>
      <c r="DB59" s="580" t="str">
        <f t="array" ref="DB59:DS59">IF(MATCH(1, CI59:CZ59, 0)=COLUMN(CI59:CZ59)-COLUMN(CI59)+1, CI59:CZ59, "")</f>
        <v/>
      </c>
      <c r="DC59" s="252" t="s">
        <v>133</v>
      </c>
      <c r="DD59" s="252" t="s">
        <v>133</v>
      </c>
      <c r="DE59" s="252" t="s">
        <v>133</v>
      </c>
      <c r="DF59" s="252" t="s">
        <v>133</v>
      </c>
      <c r="DG59" s="252" t="s">
        <v>133</v>
      </c>
      <c r="DH59" s="390" t="s">
        <v>133</v>
      </c>
      <c r="DI59" s="390" t="s">
        <v>133</v>
      </c>
      <c r="DJ59" s="390" t="s">
        <v>133</v>
      </c>
      <c r="DK59" s="390" t="s">
        <v>133</v>
      </c>
      <c r="DL59" s="390" t="s">
        <v>133</v>
      </c>
      <c r="DM59" s="390" t="s">
        <v>133</v>
      </c>
      <c r="DN59" s="469">
        <v>1.0</v>
      </c>
      <c r="DO59" s="469" t="s">
        <v>133</v>
      </c>
      <c r="DP59" s="469" t="s">
        <v>133</v>
      </c>
      <c r="DQ59" s="469" t="s">
        <v>133</v>
      </c>
      <c r="DR59" s="469" t="s">
        <v>133</v>
      </c>
      <c r="DS59" s="581" t="s">
        <v>133</v>
      </c>
      <c r="DT59" s="563"/>
    </row>
    <row r="60">
      <c r="A60" s="563"/>
      <c r="B60" s="709"/>
      <c r="C60" s="709"/>
      <c r="D60" s="709"/>
      <c r="E60" s="10"/>
      <c r="F60" s="709"/>
      <c r="G60" s="10"/>
      <c r="H60" s="709"/>
      <c r="I60" s="10"/>
      <c r="J60" s="709"/>
      <c r="K60" s="10"/>
      <c r="L60" s="709"/>
      <c r="M60" s="461"/>
      <c r="N60" s="10"/>
      <c r="O60" s="10"/>
      <c r="P60" s="10"/>
      <c r="Q60" s="570" t="str">
        <f>IFERROR(__xludf.DUMMYFUNCTION("IF(SUM(DB60:DS60),ARRAYFORMULA(FILTER(DB$1:DS$1, DB60:DS60=1)),)"),"Cash Bonus")</f>
        <v>Cash Bonus</v>
      </c>
      <c r="R60" s="571">
        <f>IFERROR(__xludf.DUMMYFUNCTION("IF(SUM(DB60:DS60),ARRAYFORMULA(FILTER(AW60:BN60, DB60:DS60=1))+1,)"),62.0)</f>
        <v>62</v>
      </c>
      <c r="S60" s="572">
        <f>IFERROR(__xludf.DUMMYFUNCTION("IF(SUM(DB60:DS60),ARRAYFORMULA(FILTER(AD60:AU60, DB60:DS60=1)),)"),8.031E13)</f>
        <v>80310000000000</v>
      </c>
      <c r="T60" s="572">
        <f t="shared" si="26"/>
        <v>1.33411E+16</v>
      </c>
      <c r="U60" s="573" t="str">
        <f t="shared" ref="U60:V60" si="196">FORMAT_NUMBER(S60)</f>
        <v>80.31 T</v>
      </c>
      <c r="V60" s="574" t="str">
        <f t="shared" si="196"/>
        <v>13.34 q</v>
      </c>
      <c r="W60" s="677"/>
      <c r="X60" s="709"/>
      <c r="Y60" s="709"/>
      <c r="Z60" s="709"/>
      <c r="AA60" s="709"/>
      <c r="AB60" s="712"/>
      <c r="AC60" s="461"/>
      <c r="AD60" s="580">
        <f t="shared" ref="AD60:AU60" si="197">IFERROR(WSPCOST_SINGLE_ADJUSTED(AD$1,1+AW60),)</f>
        <v>37110000000000</v>
      </c>
      <c r="AE60" s="252">
        <f t="shared" si="197"/>
        <v>82420000000</v>
      </c>
      <c r="AF60" s="252">
        <f t="shared" si="197"/>
        <v>69650000000000</v>
      </c>
      <c r="AG60" s="252">
        <f t="shared" si="197"/>
        <v>21210000000</v>
      </c>
      <c r="AH60" s="252">
        <f t="shared" si="197"/>
        <v>43890000000000</v>
      </c>
      <c r="AI60" s="252">
        <f t="shared" si="197"/>
        <v>47710000000000</v>
      </c>
      <c r="AJ60" s="390">
        <f t="shared" si="197"/>
        <v>92140000000000</v>
      </c>
      <c r="AK60" s="390">
        <f t="shared" si="197"/>
        <v>580270000000000</v>
      </c>
      <c r="AL60" s="390">
        <f t="shared" si="197"/>
        <v>5000000000</v>
      </c>
      <c r="AM60" s="390">
        <f t="shared" si="197"/>
        <v>33950000000</v>
      </c>
      <c r="AN60" s="390">
        <f t="shared" si="197"/>
        <v>60080000000000</v>
      </c>
      <c r="AO60" s="390">
        <f t="shared" si="197"/>
        <v>22020000000000</v>
      </c>
      <c r="AP60" s="469">
        <f t="shared" si="197"/>
        <v>80310000000000</v>
      </c>
      <c r="AQ60" s="469">
        <f t="shared" si="197"/>
        <v>1.3E+15</v>
      </c>
      <c r="AR60" s="469">
        <f t="shared" si="197"/>
        <v>1.3E+15</v>
      </c>
      <c r="AS60" s="469">
        <f t="shared" si="197"/>
        <v>420490000000000</v>
      </c>
      <c r="AT60" s="469">
        <f t="shared" si="197"/>
        <v>3990000000000</v>
      </c>
      <c r="AU60" s="581">
        <f t="shared" si="197"/>
        <v>1.14E+15</v>
      </c>
      <c r="AV60" s="461"/>
      <c r="AW60" s="580">
        <f t="shared" ref="AW60:BN60" si="198">AW59+DB59</f>
        <v>56</v>
      </c>
      <c r="AX60" s="252">
        <f t="shared" si="198"/>
        <v>21</v>
      </c>
      <c r="AY60" s="252">
        <f t="shared" si="198"/>
        <v>60</v>
      </c>
      <c r="AZ60" s="252">
        <f t="shared" si="198"/>
        <v>17</v>
      </c>
      <c r="BA60" s="252">
        <f t="shared" si="198"/>
        <v>57</v>
      </c>
      <c r="BB60" s="252">
        <f t="shared" si="198"/>
        <v>13</v>
      </c>
      <c r="BC60" s="390">
        <f t="shared" si="198"/>
        <v>62</v>
      </c>
      <c r="BD60" s="390">
        <f t="shared" si="198"/>
        <v>79</v>
      </c>
      <c r="BE60" s="390">
        <f t="shared" si="198"/>
        <v>0</v>
      </c>
      <c r="BF60" s="390">
        <f t="shared" si="198"/>
        <v>18</v>
      </c>
      <c r="BG60" s="390">
        <f t="shared" si="198"/>
        <v>59</v>
      </c>
      <c r="BH60" s="390">
        <f t="shared" si="198"/>
        <v>20</v>
      </c>
      <c r="BI60" s="469">
        <f t="shared" si="198"/>
        <v>61</v>
      </c>
      <c r="BJ60" s="469">
        <f t="shared" si="198"/>
        <v>37</v>
      </c>
      <c r="BK60" s="469">
        <f t="shared" si="198"/>
        <v>37</v>
      </c>
      <c r="BL60" s="469">
        <f t="shared" si="198"/>
        <v>18</v>
      </c>
      <c r="BM60" s="469">
        <f t="shared" si="198"/>
        <v>42</v>
      </c>
      <c r="BN60" s="581">
        <f t="shared" si="198"/>
        <v>15</v>
      </c>
      <c r="BO60" s="461"/>
      <c r="BP60" s="580">
        <f t="shared" si="8"/>
        <v>37110000000000</v>
      </c>
      <c r="BQ60" s="252" t="str">
        <f t="shared" si="9"/>
        <v/>
      </c>
      <c r="BR60" s="252">
        <f t="shared" si="10"/>
        <v>69650000000000</v>
      </c>
      <c r="BS60" s="252" t="str">
        <f t="shared" si="11"/>
        <v/>
      </c>
      <c r="BT60" s="252" t="str">
        <f t="shared" si="12"/>
        <v/>
      </c>
      <c r="BU60" s="252">
        <f t="shared" si="13"/>
        <v>47710000000000</v>
      </c>
      <c r="BV60" s="390">
        <f t="shared" si="14"/>
        <v>92140000000000</v>
      </c>
      <c r="BW60" s="390" t="str">
        <f t="shared" si="15"/>
        <v/>
      </c>
      <c r="BX60" s="390" t="str">
        <f t="shared" si="16"/>
        <v/>
      </c>
      <c r="BY60" s="390" t="str">
        <f t="shared" si="17"/>
        <v/>
      </c>
      <c r="BZ60" s="390">
        <f t="shared" si="18"/>
        <v>60080000000000</v>
      </c>
      <c r="CA60" s="390">
        <f t="shared" si="19"/>
        <v>22020000000000</v>
      </c>
      <c r="CB60" s="469">
        <f t="shared" si="20"/>
        <v>80310000000000</v>
      </c>
      <c r="CC60" s="469" t="str">
        <f t="shared" si="21"/>
        <v/>
      </c>
      <c r="CD60" s="469" t="str">
        <f t="shared" si="22"/>
        <v/>
      </c>
      <c r="CE60" s="469" t="str">
        <f t="shared" si="23"/>
        <v/>
      </c>
      <c r="CF60" s="469" t="str">
        <f t="shared" si="24"/>
        <v/>
      </c>
      <c r="CG60" s="581" t="str">
        <f t="shared" si="25"/>
        <v/>
      </c>
      <c r="CH60" s="461"/>
      <c r="CI60" s="580" t="str">
        <f t="array" ref="CI60">LET(
array,SORT({$Y$2:$AB$19,TRANSPOSE($BP60:$CG60)},4,TRUE),
col,CHOOSECOLS(array,5),
row,MATCH(FALSE, ISBLANK(col), 0),
IF(BP60=SWITCH($AA$22,
"minimum cost", MIN($BP60:$CG60),
"maximum cost", MAX($BP60:$CG60), 
"custom order", IF(CI$1=INDEX(array, row,1),INDEX(array, row,5),"x"))
,1,))</f>
        <v/>
      </c>
      <c r="CJ60" s="252" t="str">
        <f t="array" ref="CJ60">LET(
array,SORT({$Y$2:$AB$19,TRANSPOSE($BP60:$CG60)},4,TRUE),
col,CHOOSECOLS(array,5),
row,MATCH(FALSE, ISBLANK(col), 0),
IF(BQ60=SWITCH($AA$22,
"minimum cost", MIN($BP60:$CG60),
"maximum cost", MAX($BP60:$CG60), 
"custom order", IF(CJ$1=INDEX(array, row,1),INDEX(array, row,5),"x"))
,1,))</f>
        <v/>
      </c>
      <c r="CK60" s="252" t="str">
        <f t="array" ref="CK60">LET(
array,SORT({$Y$2:$AB$19,TRANSPOSE($BP60:$CG60)},4,TRUE),
col,CHOOSECOLS(array,5),
row,MATCH(FALSE, ISBLANK(col), 0),
IF(BR60=SWITCH($AA$22,
"minimum cost", MIN($BP60:$CG60),
"maximum cost", MAX($BP60:$CG60), 
"custom order", IF(CK$1=INDEX(array, row,1),INDEX(array, row,5),"x"))
,1,))</f>
        <v/>
      </c>
      <c r="CL60" s="252" t="str">
        <f t="array" ref="CL60">LET(
array,SORT({$Y$2:$AB$19,TRANSPOSE($BP60:$CG60)},4,TRUE),
col,CHOOSECOLS(array,5),
row,MATCH(FALSE, ISBLANK(col), 0),
IF(BS60=SWITCH($AA$22,
"minimum cost", MIN($BP60:$CG60),
"maximum cost", MAX($BP60:$CG60), 
"custom order", IF(CL$1=INDEX(array, row,1),INDEX(array, row,5),"x"))
,1,))</f>
        <v/>
      </c>
      <c r="CM60" s="252" t="str">
        <f t="array" ref="CM60">LET(
array,SORT({$Y$2:$AB$19,TRANSPOSE($BP60:$CG60)},4,TRUE),
col,CHOOSECOLS(array,5),
row,MATCH(FALSE, ISBLANK(col), 0),
IF(BT60=SWITCH($AA$22,
"minimum cost", MIN($BP60:$CG60),
"maximum cost", MAX($BP60:$CG60), 
"custom order", IF(CM$1=INDEX(array, row,1),INDEX(array, row,5),"x"))
,1,))</f>
        <v/>
      </c>
      <c r="CN60" s="252" t="str">
        <f t="array" ref="CN60">LET(
array,SORT({$Y$2:$AB$19,TRANSPOSE($BP60:$CG60)},4,TRUE),
col,CHOOSECOLS(array,5),
row,MATCH(FALSE, ISBLANK(col), 0),
IF(BU60=SWITCH($AA$22,
"minimum cost", MIN($BP60:$CG60),
"maximum cost", MAX($BP60:$CG60), 
"custom order", IF(CN$1=INDEX(array, row,1),INDEX(array, row,5),"x"))
,1,))</f>
        <v/>
      </c>
      <c r="CO60" s="390" t="str">
        <f t="array" ref="CO60">LET(
array,SORT({$Y$2:$AB$19,TRANSPOSE($BP60:$CG60)},4,TRUE),
col,CHOOSECOLS(array,5),
row,MATCH(FALSE, ISBLANK(col), 0),
IF(BV60=SWITCH($AA$22,
"minimum cost", MIN($BP60:$CG60),
"maximum cost", MAX($BP60:$CG60), 
"custom order", IF(CO$1=INDEX(array, row,1),INDEX(array, row,5),"x"))
,1,))</f>
        <v/>
      </c>
      <c r="CP60" s="390" t="str">
        <f t="array" ref="CP60">LET(
array,SORT({$Y$2:$AB$19,TRANSPOSE($BP60:$CG60)},4,TRUE),
col,CHOOSECOLS(array,5),
row,MATCH(FALSE, ISBLANK(col), 0),
IF(BW60=SWITCH($AA$22,
"minimum cost", MIN($BP60:$CG60),
"maximum cost", MAX($BP60:$CG60), 
"custom order", IF(CP$1=INDEX(array, row,1),INDEX(array, row,5),"x"))
,1,))</f>
        <v/>
      </c>
      <c r="CQ60" s="390" t="str">
        <f t="array" ref="CQ60">LET(
array,SORT({$Y$2:$AB$19,TRANSPOSE($BP60:$CG60)},4,TRUE),
col,CHOOSECOLS(array,5),
row,MATCH(FALSE, ISBLANK(col), 0),
IF(BX60=SWITCH($AA$22,
"minimum cost", MIN($BP60:$CG60),
"maximum cost", MAX($BP60:$CG60), 
"custom order", IF(CQ$1=INDEX(array, row,1),INDEX(array, row,5),"x"))
,1,))</f>
        <v/>
      </c>
      <c r="CR60" s="390" t="str">
        <f t="array" ref="CR60">LET(
array,SORT({$Y$2:$AB$19,TRANSPOSE($BP60:$CG60)},4,TRUE),
col,CHOOSECOLS(array,5),
row,MATCH(FALSE, ISBLANK(col), 0),
IF(BY60=SWITCH($AA$22,
"minimum cost", MIN($BP60:$CG60),
"maximum cost", MAX($BP60:$CG60), 
"custom order", IF(CR$1=INDEX(array, row,1),INDEX(array, row,5),"x"))
,1,))</f>
        <v/>
      </c>
      <c r="CS60" s="390" t="str">
        <f t="array" ref="CS60">LET(
array,SORT({$Y$2:$AB$19,TRANSPOSE($BP60:$CG60)},4,TRUE),
col,CHOOSECOLS(array,5),
row,MATCH(FALSE, ISBLANK(col), 0),
IF(BZ60=SWITCH($AA$22,
"minimum cost", MIN($BP60:$CG60),
"maximum cost", MAX($BP60:$CG60), 
"custom order", IF(CS$1=INDEX(array, row,1),INDEX(array, row,5),"x"))
,1,))</f>
        <v/>
      </c>
      <c r="CT60" s="390" t="str">
        <f t="array" ref="CT60">LET(
array,SORT({$Y$2:$AB$19,TRANSPOSE($BP60:$CG60)},4,TRUE),
col,CHOOSECOLS(array,5),
row,MATCH(FALSE, ISBLANK(col), 0),
IF(CA60=SWITCH($AA$22,
"minimum cost", MIN($BP60:$CG60),
"maximum cost", MAX($BP60:$CG60), 
"custom order", IF(CT$1=INDEX(array, row,1),INDEX(array, row,5),"x"))
,1,))</f>
        <v/>
      </c>
      <c r="CU60" s="469">
        <f t="array" ref="CU60">LET(
array,SORT({$Y$2:$AB$19,TRANSPOSE($BP60:$CG60)},4,TRUE),
col,CHOOSECOLS(array,5),
row,MATCH(FALSE, ISBLANK(col), 0),
IF(CB60=SWITCH($AA$22,
"minimum cost", MIN($BP60:$CG60),
"maximum cost", MAX($BP60:$CG60), 
"custom order", IF(CU$1=INDEX(array, row,1),INDEX(array, row,5),"x"))
,1,))</f>
        <v>1</v>
      </c>
      <c r="CV60" s="469" t="str">
        <f t="array" ref="CV60">LET(
array,SORT({$Y$2:$AB$19,TRANSPOSE($BP60:$CG60)},4,TRUE),
col,CHOOSECOLS(array,5),
row,MATCH(FALSE, ISBLANK(col), 0),
IF(CC60=SWITCH($AA$22,
"minimum cost", MIN($BP60:$CG60),
"maximum cost", MAX($BP60:$CG60), 
"custom order", IF(CV$1=INDEX(array, row,1),INDEX(array, row,5),"x"))
,1,))</f>
        <v/>
      </c>
      <c r="CW60" s="469" t="str">
        <f t="array" ref="CW60">LET(
array,SORT({$Y$2:$AB$19,TRANSPOSE($BP60:$CG60)},4,TRUE),
col,CHOOSECOLS(array,5),
row,MATCH(FALSE, ISBLANK(col), 0),
IF(CD60=SWITCH($AA$22,
"minimum cost", MIN($BP60:$CG60),
"maximum cost", MAX($BP60:$CG60), 
"custom order", IF(CW$1=INDEX(array, row,1),INDEX(array, row,5),"x"))
,1,))</f>
        <v/>
      </c>
      <c r="CX60" s="469" t="str">
        <f t="array" ref="CX60">LET(
array,SORT({$Y$2:$AB$19,TRANSPOSE($BP60:$CG60)},4,TRUE),
col,CHOOSECOLS(array,5),
row,MATCH(FALSE, ISBLANK(col), 0),
IF(CE60=SWITCH($AA$22,
"minimum cost", MIN($BP60:$CG60),
"maximum cost", MAX($BP60:$CG60), 
"custom order", IF(CX$1=INDEX(array, row,1),INDEX(array, row,5),"x"))
,1,))</f>
        <v/>
      </c>
      <c r="CY60" s="469" t="str">
        <f t="array" ref="CY60">LET(
array,SORT({$Y$2:$AB$19,TRANSPOSE($BP60:$CG60)},4,TRUE),
col,CHOOSECOLS(array,5),
row,MATCH(FALSE, ISBLANK(col), 0),
IF(CF60=SWITCH($AA$22,
"minimum cost", MIN($BP60:$CG60),
"maximum cost", MAX($BP60:$CG60), 
"custom order", IF(CY$1=INDEX(array, row,1),INDEX(array, row,5),"x"))
,1,))</f>
        <v/>
      </c>
      <c r="CZ60" s="581" t="str">
        <f t="array" ref="CZ60">LET(
array,SORT({$Y$2:$AB$19,TRANSPOSE($BP60:$CG60)},4,TRUE),
col,CHOOSECOLS(array,5),
row,MATCH(FALSE, ISBLANK(col), 0),
IF(CG60=SWITCH($AA$22,
"minimum cost", MIN($BP60:$CG60),
"maximum cost", MAX($BP60:$CG60), 
"custom order", IF(CZ$1=INDEX(array, row,1),INDEX(array, row,5),"x"))
,1,))</f>
        <v/>
      </c>
      <c r="DA60" s="461"/>
      <c r="DB60" s="580" t="str">
        <f t="array" ref="DB60:DS60">IF(MATCH(1, CI60:CZ60, 0)=COLUMN(CI60:CZ60)-COLUMN(CI60)+1, CI60:CZ60, "")</f>
        <v/>
      </c>
      <c r="DC60" s="252" t="s">
        <v>133</v>
      </c>
      <c r="DD60" s="252" t="s">
        <v>133</v>
      </c>
      <c r="DE60" s="252" t="s">
        <v>133</v>
      </c>
      <c r="DF60" s="252" t="s">
        <v>133</v>
      </c>
      <c r="DG60" s="252" t="s">
        <v>133</v>
      </c>
      <c r="DH60" s="390" t="s">
        <v>133</v>
      </c>
      <c r="DI60" s="390" t="s">
        <v>133</v>
      </c>
      <c r="DJ60" s="390" t="s">
        <v>133</v>
      </c>
      <c r="DK60" s="390" t="s">
        <v>133</v>
      </c>
      <c r="DL60" s="390" t="s">
        <v>133</v>
      </c>
      <c r="DM60" s="390" t="s">
        <v>133</v>
      </c>
      <c r="DN60" s="469">
        <v>1.0</v>
      </c>
      <c r="DO60" s="469" t="s">
        <v>133</v>
      </c>
      <c r="DP60" s="469" t="s">
        <v>133</v>
      </c>
      <c r="DQ60" s="469" t="s">
        <v>133</v>
      </c>
      <c r="DR60" s="469" t="s">
        <v>133</v>
      </c>
      <c r="DS60" s="581" t="s">
        <v>133</v>
      </c>
      <c r="DT60" s="563"/>
    </row>
    <row r="61">
      <c r="A61" s="563"/>
      <c r="B61" s="709"/>
      <c r="C61" s="709"/>
      <c r="D61" s="709"/>
      <c r="E61" s="10"/>
      <c r="F61" s="709"/>
      <c r="G61" s="10"/>
      <c r="H61" s="709"/>
      <c r="I61" s="10"/>
      <c r="J61" s="709"/>
      <c r="K61" s="10"/>
      <c r="L61" s="709"/>
      <c r="M61" s="461"/>
      <c r="N61" s="10"/>
      <c r="O61" s="10"/>
      <c r="P61" s="10"/>
      <c r="Q61" s="570" t="str">
        <f>IFERROR(__xludf.DUMMYFUNCTION("IF(SUM(DB61:DS61),ARRAYFORMULA(FILTER(DB$1:DS$1, DB61:DS61=1)),)"),"Cash Bonus")</f>
        <v>Cash Bonus</v>
      </c>
      <c r="R61" s="571">
        <f>IFERROR(__xludf.DUMMYFUNCTION("IF(SUM(DB61:DS61),ARRAYFORMULA(FILTER(AW61:BN61, DB61:DS61=1))+1,)"),63.0)</f>
        <v>63</v>
      </c>
      <c r="S61" s="572">
        <f>IFERROR(__xludf.DUMMYFUNCTION("IF(SUM(DB61:DS61),ARRAYFORMULA(FILTER(AD61:AU61, DB61:DS61=1)),)"),9.214E13)</f>
        <v>92140000000000</v>
      </c>
      <c r="T61" s="572">
        <f t="shared" si="26"/>
        <v>1.34332E+16</v>
      </c>
      <c r="U61" s="573" t="str">
        <f t="shared" ref="U61:V61" si="199">FORMAT_NUMBER(S61)</f>
        <v>92.14 T</v>
      </c>
      <c r="V61" s="574" t="str">
        <f t="shared" si="199"/>
        <v>13.43 q</v>
      </c>
      <c r="W61" s="677"/>
      <c r="X61" s="709"/>
      <c r="Y61" s="709"/>
      <c r="Z61" s="709"/>
      <c r="AA61" s="709"/>
      <c r="AB61" s="712"/>
      <c r="AC61" s="461"/>
      <c r="AD61" s="580">
        <f t="shared" ref="AD61:AU61" si="200">IFERROR(WSPCOST_SINGLE_ADJUSTED(AD$1,1+AW61),)</f>
        <v>37110000000000</v>
      </c>
      <c r="AE61" s="252">
        <f t="shared" si="200"/>
        <v>82420000000</v>
      </c>
      <c r="AF61" s="252">
        <f t="shared" si="200"/>
        <v>69650000000000</v>
      </c>
      <c r="AG61" s="252">
        <f t="shared" si="200"/>
        <v>21210000000</v>
      </c>
      <c r="AH61" s="252">
        <f t="shared" si="200"/>
        <v>43890000000000</v>
      </c>
      <c r="AI61" s="252">
        <f t="shared" si="200"/>
        <v>47710000000000</v>
      </c>
      <c r="AJ61" s="390">
        <f t="shared" si="200"/>
        <v>92140000000000</v>
      </c>
      <c r="AK61" s="390">
        <f t="shared" si="200"/>
        <v>580270000000000</v>
      </c>
      <c r="AL61" s="390">
        <f t="shared" si="200"/>
        <v>5000000000</v>
      </c>
      <c r="AM61" s="390">
        <f t="shared" si="200"/>
        <v>33950000000</v>
      </c>
      <c r="AN61" s="390">
        <f t="shared" si="200"/>
        <v>60080000000000</v>
      </c>
      <c r="AO61" s="390">
        <f t="shared" si="200"/>
        <v>22020000000000</v>
      </c>
      <c r="AP61" s="469">
        <f t="shared" si="200"/>
        <v>92140000000000</v>
      </c>
      <c r="AQ61" s="469">
        <f t="shared" si="200"/>
        <v>1.3E+15</v>
      </c>
      <c r="AR61" s="469">
        <f t="shared" si="200"/>
        <v>1.3E+15</v>
      </c>
      <c r="AS61" s="469">
        <f t="shared" si="200"/>
        <v>420490000000000</v>
      </c>
      <c r="AT61" s="469">
        <f t="shared" si="200"/>
        <v>3990000000000</v>
      </c>
      <c r="AU61" s="581">
        <f t="shared" si="200"/>
        <v>1.14E+15</v>
      </c>
      <c r="AV61" s="461"/>
      <c r="AW61" s="580">
        <f t="shared" ref="AW61:BN61" si="201">AW60+DB60</f>
        <v>56</v>
      </c>
      <c r="AX61" s="252">
        <f t="shared" si="201"/>
        <v>21</v>
      </c>
      <c r="AY61" s="252">
        <f t="shared" si="201"/>
        <v>60</v>
      </c>
      <c r="AZ61" s="252">
        <f t="shared" si="201"/>
        <v>17</v>
      </c>
      <c r="BA61" s="252">
        <f t="shared" si="201"/>
        <v>57</v>
      </c>
      <c r="BB61" s="252">
        <f t="shared" si="201"/>
        <v>13</v>
      </c>
      <c r="BC61" s="390">
        <f t="shared" si="201"/>
        <v>62</v>
      </c>
      <c r="BD61" s="390">
        <f t="shared" si="201"/>
        <v>79</v>
      </c>
      <c r="BE61" s="390">
        <f t="shared" si="201"/>
        <v>0</v>
      </c>
      <c r="BF61" s="390">
        <f t="shared" si="201"/>
        <v>18</v>
      </c>
      <c r="BG61" s="390">
        <f t="shared" si="201"/>
        <v>59</v>
      </c>
      <c r="BH61" s="390">
        <f t="shared" si="201"/>
        <v>20</v>
      </c>
      <c r="BI61" s="469">
        <f t="shared" si="201"/>
        <v>62</v>
      </c>
      <c r="BJ61" s="469">
        <f t="shared" si="201"/>
        <v>37</v>
      </c>
      <c r="BK61" s="469">
        <f t="shared" si="201"/>
        <v>37</v>
      </c>
      <c r="BL61" s="469">
        <f t="shared" si="201"/>
        <v>18</v>
      </c>
      <c r="BM61" s="469">
        <f t="shared" si="201"/>
        <v>42</v>
      </c>
      <c r="BN61" s="581">
        <f t="shared" si="201"/>
        <v>15</v>
      </c>
      <c r="BO61" s="461"/>
      <c r="BP61" s="580">
        <f t="shared" si="8"/>
        <v>37110000000000</v>
      </c>
      <c r="BQ61" s="252" t="str">
        <f t="shared" si="9"/>
        <v/>
      </c>
      <c r="BR61" s="252">
        <f t="shared" si="10"/>
        <v>69650000000000</v>
      </c>
      <c r="BS61" s="252" t="str">
        <f t="shared" si="11"/>
        <v/>
      </c>
      <c r="BT61" s="252" t="str">
        <f t="shared" si="12"/>
        <v/>
      </c>
      <c r="BU61" s="252">
        <f t="shared" si="13"/>
        <v>47710000000000</v>
      </c>
      <c r="BV61" s="390">
        <f t="shared" si="14"/>
        <v>92140000000000</v>
      </c>
      <c r="BW61" s="390" t="str">
        <f t="shared" si="15"/>
        <v/>
      </c>
      <c r="BX61" s="390" t="str">
        <f t="shared" si="16"/>
        <v/>
      </c>
      <c r="BY61" s="390" t="str">
        <f t="shared" si="17"/>
        <v/>
      </c>
      <c r="BZ61" s="390">
        <f t="shared" si="18"/>
        <v>60080000000000</v>
      </c>
      <c r="CA61" s="390">
        <f t="shared" si="19"/>
        <v>22020000000000</v>
      </c>
      <c r="CB61" s="469">
        <f t="shared" si="20"/>
        <v>92140000000000</v>
      </c>
      <c r="CC61" s="469" t="str">
        <f t="shared" si="21"/>
        <v/>
      </c>
      <c r="CD61" s="469" t="str">
        <f t="shared" si="22"/>
        <v/>
      </c>
      <c r="CE61" s="469" t="str">
        <f t="shared" si="23"/>
        <v/>
      </c>
      <c r="CF61" s="469" t="str">
        <f t="shared" si="24"/>
        <v/>
      </c>
      <c r="CG61" s="581" t="str">
        <f t="shared" si="25"/>
        <v/>
      </c>
      <c r="CH61" s="461"/>
      <c r="CI61" s="580" t="str">
        <f t="array" ref="CI61">LET(
array,SORT({$Y$2:$AB$19,TRANSPOSE($BP61:$CG61)},4,TRUE),
col,CHOOSECOLS(array,5),
row,MATCH(FALSE, ISBLANK(col), 0),
IF(BP61=SWITCH($AA$22,
"minimum cost", MIN($BP61:$CG61),
"maximum cost", MAX($BP61:$CG61), 
"custom order", IF(CI$1=INDEX(array, row,1),INDEX(array, row,5),"x"))
,1,))</f>
        <v/>
      </c>
      <c r="CJ61" s="252" t="str">
        <f t="array" ref="CJ61">LET(
array,SORT({$Y$2:$AB$19,TRANSPOSE($BP61:$CG61)},4,TRUE),
col,CHOOSECOLS(array,5),
row,MATCH(FALSE, ISBLANK(col), 0),
IF(BQ61=SWITCH($AA$22,
"minimum cost", MIN($BP61:$CG61),
"maximum cost", MAX($BP61:$CG61), 
"custom order", IF(CJ$1=INDEX(array, row,1),INDEX(array, row,5),"x"))
,1,))</f>
        <v/>
      </c>
      <c r="CK61" s="252" t="str">
        <f t="array" ref="CK61">LET(
array,SORT({$Y$2:$AB$19,TRANSPOSE($BP61:$CG61)},4,TRUE),
col,CHOOSECOLS(array,5),
row,MATCH(FALSE, ISBLANK(col), 0),
IF(BR61=SWITCH($AA$22,
"minimum cost", MIN($BP61:$CG61),
"maximum cost", MAX($BP61:$CG61), 
"custom order", IF(CK$1=INDEX(array, row,1),INDEX(array, row,5),"x"))
,1,))</f>
        <v/>
      </c>
      <c r="CL61" s="252" t="str">
        <f t="array" ref="CL61">LET(
array,SORT({$Y$2:$AB$19,TRANSPOSE($BP61:$CG61)},4,TRUE),
col,CHOOSECOLS(array,5),
row,MATCH(FALSE, ISBLANK(col), 0),
IF(BS61=SWITCH($AA$22,
"minimum cost", MIN($BP61:$CG61),
"maximum cost", MAX($BP61:$CG61), 
"custom order", IF(CL$1=INDEX(array, row,1),INDEX(array, row,5),"x"))
,1,))</f>
        <v/>
      </c>
      <c r="CM61" s="252" t="str">
        <f t="array" ref="CM61">LET(
array,SORT({$Y$2:$AB$19,TRANSPOSE($BP61:$CG61)},4,TRUE),
col,CHOOSECOLS(array,5),
row,MATCH(FALSE, ISBLANK(col), 0),
IF(BT61=SWITCH($AA$22,
"minimum cost", MIN($BP61:$CG61),
"maximum cost", MAX($BP61:$CG61), 
"custom order", IF(CM$1=INDEX(array, row,1),INDEX(array, row,5),"x"))
,1,))</f>
        <v/>
      </c>
      <c r="CN61" s="252" t="str">
        <f t="array" ref="CN61">LET(
array,SORT({$Y$2:$AB$19,TRANSPOSE($BP61:$CG61)},4,TRUE),
col,CHOOSECOLS(array,5),
row,MATCH(FALSE, ISBLANK(col), 0),
IF(BU61=SWITCH($AA$22,
"minimum cost", MIN($BP61:$CG61),
"maximum cost", MAX($BP61:$CG61), 
"custom order", IF(CN$1=INDEX(array, row,1),INDEX(array, row,5),"x"))
,1,))</f>
        <v/>
      </c>
      <c r="CO61" s="390" t="str">
        <f t="array" ref="CO61">LET(
array,SORT({$Y$2:$AB$19,TRANSPOSE($BP61:$CG61)},4,TRUE),
col,CHOOSECOLS(array,5),
row,MATCH(FALSE, ISBLANK(col), 0),
IF(BV61=SWITCH($AA$22,
"minimum cost", MIN($BP61:$CG61),
"maximum cost", MAX($BP61:$CG61), 
"custom order", IF(CO$1=INDEX(array, row,1),INDEX(array, row,5),"x"))
,1,))</f>
        <v/>
      </c>
      <c r="CP61" s="390" t="str">
        <f t="array" ref="CP61">LET(
array,SORT({$Y$2:$AB$19,TRANSPOSE($BP61:$CG61)},4,TRUE),
col,CHOOSECOLS(array,5),
row,MATCH(FALSE, ISBLANK(col), 0),
IF(BW61=SWITCH($AA$22,
"minimum cost", MIN($BP61:$CG61),
"maximum cost", MAX($BP61:$CG61), 
"custom order", IF(CP$1=INDEX(array, row,1),INDEX(array, row,5),"x"))
,1,))</f>
        <v/>
      </c>
      <c r="CQ61" s="390" t="str">
        <f t="array" ref="CQ61">LET(
array,SORT({$Y$2:$AB$19,TRANSPOSE($BP61:$CG61)},4,TRUE),
col,CHOOSECOLS(array,5),
row,MATCH(FALSE, ISBLANK(col), 0),
IF(BX61=SWITCH($AA$22,
"minimum cost", MIN($BP61:$CG61),
"maximum cost", MAX($BP61:$CG61), 
"custom order", IF(CQ$1=INDEX(array, row,1),INDEX(array, row,5),"x"))
,1,))</f>
        <v/>
      </c>
      <c r="CR61" s="390" t="str">
        <f t="array" ref="CR61">LET(
array,SORT({$Y$2:$AB$19,TRANSPOSE($BP61:$CG61)},4,TRUE),
col,CHOOSECOLS(array,5),
row,MATCH(FALSE, ISBLANK(col), 0),
IF(BY61=SWITCH($AA$22,
"minimum cost", MIN($BP61:$CG61),
"maximum cost", MAX($BP61:$CG61), 
"custom order", IF(CR$1=INDEX(array, row,1),INDEX(array, row,5),"x"))
,1,))</f>
        <v/>
      </c>
      <c r="CS61" s="390" t="str">
        <f t="array" ref="CS61">LET(
array,SORT({$Y$2:$AB$19,TRANSPOSE($BP61:$CG61)},4,TRUE),
col,CHOOSECOLS(array,5),
row,MATCH(FALSE, ISBLANK(col), 0),
IF(BZ61=SWITCH($AA$22,
"minimum cost", MIN($BP61:$CG61),
"maximum cost", MAX($BP61:$CG61), 
"custom order", IF(CS$1=INDEX(array, row,1),INDEX(array, row,5),"x"))
,1,))</f>
        <v/>
      </c>
      <c r="CT61" s="390" t="str">
        <f t="array" ref="CT61">LET(
array,SORT({$Y$2:$AB$19,TRANSPOSE($BP61:$CG61)},4,TRUE),
col,CHOOSECOLS(array,5),
row,MATCH(FALSE, ISBLANK(col), 0),
IF(CA61=SWITCH($AA$22,
"minimum cost", MIN($BP61:$CG61),
"maximum cost", MAX($BP61:$CG61), 
"custom order", IF(CT$1=INDEX(array, row,1),INDEX(array, row,5),"x"))
,1,))</f>
        <v/>
      </c>
      <c r="CU61" s="469">
        <f t="array" ref="CU61">LET(
array,SORT({$Y$2:$AB$19,TRANSPOSE($BP61:$CG61)},4,TRUE),
col,CHOOSECOLS(array,5),
row,MATCH(FALSE, ISBLANK(col), 0),
IF(CB61=SWITCH($AA$22,
"minimum cost", MIN($BP61:$CG61),
"maximum cost", MAX($BP61:$CG61), 
"custom order", IF(CU$1=INDEX(array, row,1),INDEX(array, row,5),"x"))
,1,))</f>
        <v>1</v>
      </c>
      <c r="CV61" s="469" t="str">
        <f t="array" ref="CV61">LET(
array,SORT({$Y$2:$AB$19,TRANSPOSE($BP61:$CG61)},4,TRUE),
col,CHOOSECOLS(array,5),
row,MATCH(FALSE, ISBLANK(col), 0),
IF(CC61=SWITCH($AA$22,
"minimum cost", MIN($BP61:$CG61),
"maximum cost", MAX($BP61:$CG61), 
"custom order", IF(CV$1=INDEX(array, row,1),INDEX(array, row,5),"x"))
,1,))</f>
        <v/>
      </c>
      <c r="CW61" s="469" t="str">
        <f t="array" ref="CW61">LET(
array,SORT({$Y$2:$AB$19,TRANSPOSE($BP61:$CG61)},4,TRUE),
col,CHOOSECOLS(array,5),
row,MATCH(FALSE, ISBLANK(col), 0),
IF(CD61=SWITCH($AA$22,
"minimum cost", MIN($BP61:$CG61),
"maximum cost", MAX($BP61:$CG61), 
"custom order", IF(CW$1=INDEX(array, row,1),INDEX(array, row,5),"x"))
,1,))</f>
        <v/>
      </c>
      <c r="CX61" s="469" t="str">
        <f t="array" ref="CX61">LET(
array,SORT({$Y$2:$AB$19,TRANSPOSE($BP61:$CG61)},4,TRUE),
col,CHOOSECOLS(array,5),
row,MATCH(FALSE, ISBLANK(col), 0),
IF(CE61=SWITCH($AA$22,
"minimum cost", MIN($BP61:$CG61),
"maximum cost", MAX($BP61:$CG61), 
"custom order", IF(CX$1=INDEX(array, row,1),INDEX(array, row,5),"x"))
,1,))</f>
        <v/>
      </c>
      <c r="CY61" s="469" t="str">
        <f t="array" ref="CY61">LET(
array,SORT({$Y$2:$AB$19,TRANSPOSE($BP61:$CG61)},4,TRUE),
col,CHOOSECOLS(array,5),
row,MATCH(FALSE, ISBLANK(col), 0),
IF(CF61=SWITCH($AA$22,
"minimum cost", MIN($BP61:$CG61),
"maximum cost", MAX($BP61:$CG61), 
"custom order", IF(CY$1=INDEX(array, row,1),INDEX(array, row,5),"x"))
,1,))</f>
        <v/>
      </c>
      <c r="CZ61" s="581" t="str">
        <f t="array" ref="CZ61">LET(
array,SORT({$Y$2:$AB$19,TRANSPOSE($BP61:$CG61)},4,TRUE),
col,CHOOSECOLS(array,5),
row,MATCH(FALSE, ISBLANK(col), 0),
IF(CG61=SWITCH($AA$22,
"minimum cost", MIN($BP61:$CG61),
"maximum cost", MAX($BP61:$CG61), 
"custom order", IF(CZ$1=INDEX(array, row,1),INDEX(array, row,5),"x"))
,1,))</f>
        <v/>
      </c>
      <c r="DA61" s="461"/>
      <c r="DB61" s="580" t="str">
        <f t="array" ref="DB61:DS61">IF(MATCH(1, CI61:CZ61, 0)=COLUMN(CI61:CZ61)-COLUMN(CI61)+1, CI61:CZ61, "")</f>
        <v/>
      </c>
      <c r="DC61" s="252" t="s">
        <v>133</v>
      </c>
      <c r="DD61" s="252" t="s">
        <v>133</v>
      </c>
      <c r="DE61" s="252" t="s">
        <v>133</v>
      </c>
      <c r="DF61" s="252" t="s">
        <v>133</v>
      </c>
      <c r="DG61" s="252" t="s">
        <v>133</v>
      </c>
      <c r="DH61" s="390" t="s">
        <v>133</v>
      </c>
      <c r="DI61" s="390" t="s">
        <v>133</v>
      </c>
      <c r="DJ61" s="390" t="s">
        <v>133</v>
      </c>
      <c r="DK61" s="390" t="s">
        <v>133</v>
      </c>
      <c r="DL61" s="390" t="s">
        <v>133</v>
      </c>
      <c r="DM61" s="390" t="s">
        <v>133</v>
      </c>
      <c r="DN61" s="469">
        <v>1.0</v>
      </c>
      <c r="DO61" s="469" t="s">
        <v>133</v>
      </c>
      <c r="DP61" s="469" t="s">
        <v>133</v>
      </c>
      <c r="DQ61" s="469" t="s">
        <v>133</v>
      </c>
      <c r="DR61" s="469" t="s">
        <v>133</v>
      </c>
      <c r="DS61" s="581" t="s">
        <v>133</v>
      </c>
      <c r="DT61" s="563"/>
    </row>
    <row r="62">
      <c r="A62" s="563"/>
      <c r="B62" s="709"/>
      <c r="C62" s="709"/>
      <c r="D62" s="709"/>
      <c r="E62" s="10"/>
      <c r="F62" s="709"/>
      <c r="G62" s="10"/>
      <c r="H62" s="709"/>
      <c r="I62" s="10"/>
      <c r="J62" s="709"/>
      <c r="K62" s="10"/>
      <c r="L62" s="709"/>
      <c r="M62" s="461"/>
      <c r="N62" s="10"/>
      <c r="O62" s="10"/>
      <c r="P62" s="10"/>
      <c r="Q62" s="570" t="str">
        <f>IFERROR(__xludf.DUMMYFUNCTION("IF(SUM(DB62:DS62),ARRAYFORMULA(FILTER(DB$1:DS$1, DB62:DS62=1)),)"),"Cash Bonus")</f>
        <v>Cash Bonus</v>
      </c>
      <c r="R62" s="571">
        <f>IFERROR(__xludf.DUMMYFUNCTION("IF(SUM(DB62:DS62),ARRAYFORMULA(FILTER(AW62:BN62, DB62:DS62=1))+1,)"),64.0)</f>
        <v>64</v>
      </c>
      <c r="S62" s="572">
        <f>IFERROR(__xludf.DUMMYFUNCTION("IF(SUM(DB62:DS62),ARRAYFORMULA(FILTER(AD62:AU62, DB62:DS62=1)),)"),1.0523E14)</f>
        <v>105230000000000</v>
      </c>
      <c r="T62" s="572">
        <f t="shared" si="26"/>
        <v>1.35385E+16</v>
      </c>
      <c r="U62" s="573" t="str">
        <f t="shared" ref="U62:V62" si="202">FORMAT_NUMBER(S62)</f>
        <v>105.23 T</v>
      </c>
      <c r="V62" s="574" t="str">
        <f t="shared" si="202"/>
        <v>13.54 q</v>
      </c>
      <c r="W62" s="677"/>
      <c r="X62" s="709"/>
      <c r="Y62" s="709"/>
      <c r="Z62" s="709"/>
      <c r="AA62" s="709"/>
      <c r="AB62" s="712"/>
      <c r="AC62" s="461"/>
      <c r="AD62" s="580">
        <f t="shared" ref="AD62:AU62" si="203">IFERROR(WSPCOST_SINGLE_ADJUSTED(AD$1,1+AW62),)</f>
        <v>37110000000000</v>
      </c>
      <c r="AE62" s="252">
        <f t="shared" si="203"/>
        <v>82420000000</v>
      </c>
      <c r="AF62" s="252">
        <f t="shared" si="203"/>
        <v>69650000000000</v>
      </c>
      <c r="AG62" s="252">
        <f t="shared" si="203"/>
        <v>21210000000</v>
      </c>
      <c r="AH62" s="252">
        <f t="shared" si="203"/>
        <v>43890000000000</v>
      </c>
      <c r="AI62" s="252">
        <f t="shared" si="203"/>
        <v>47710000000000</v>
      </c>
      <c r="AJ62" s="390">
        <f t="shared" si="203"/>
        <v>92140000000000</v>
      </c>
      <c r="AK62" s="390">
        <f t="shared" si="203"/>
        <v>580270000000000</v>
      </c>
      <c r="AL62" s="390">
        <f t="shared" si="203"/>
        <v>5000000000</v>
      </c>
      <c r="AM62" s="390">
        <f t="shared" si="203"/>
        <v>33950000000</v>
      </c>
      <c r="AN62" s="390">
        <f t="shared" si="203"/>
        <v>60080000000000</v>
      </c>
      <c r="AO62" s="390">
        <f t="shared" si="203"/>
        <v>22020000000000</v>
      </c>
      <c r="AP62" s="469">
        <f t="shared" si="203"/>
        <v>105230000000000</v>
      </c>
      <c r="AQ62" s="469">
        <f t="shared" si="203"/>
        <v>1.3E+15</v>
      </c>
      <c r="AR62" s="469">
        <f t="shared" si="203"/>
        <v>1.3E+15</v>
      </c>
      <c r="AS62" s="469">
        <f t="shared" si="203"/>
        <v>420490000000000</v>
      </c>
      <c r="AT62" s="469">
        <f t="shared" si="203"/>
        <v>3990000000000</v>
      </c>
      <c r="AU62" s="581">
        <f t="shared" si="203"/>
        <v>1.14E+15</v>
      </c>
      <c r="AV62" s="461"/>
      <c r="AW62" s="580">
        <f t="shared" ref="AW62:BN62" si="204">AW61+DB61</f>
        <v>56</v>
      </c>
      <c r="AX62" s="252">
        <f t="shared" si="204"/>
        <v>21</v>
      </c>
      <c r="AY62" s="252">
        <f t="shared" si="204"/>
        <v>60</v>
      </c>
      <c r="AZ62" s="252">
        <f t="shared" si="204"/>
        <v>17</v>
      </c>
      <c r="BA62" s="252">
        <f t="shared" si="204"/>
        <v>57</v>
      </c>
      <c r="BB62" s="252">
        <f t="shared" si="204"/>
        <v>13</v>
      </c>
      <c r="BC62" s="390">
        <f t="shared" si="204"/>
        <v>62</v>
      </c>
      <c r="BD62" s="390">
        <f t="shared" si="204"/>
        <v>79</v>
      </c>
      <c r="BE62" s="390">
        <f t="shared" si="204"/>
        <v>0</v>
      </c>
      <c r="BF62" s="390">
        <f t="shared" si="204"/>
        <v>18</v>
      </c>
      <c r="BG62" s="390">
        <f t="shared" si="204"/>
        <v>59</v>
      </c>
      <c r="BH62" s="390">
        <f t="shared" si="204"/>
        <v>20</v>
      </c>
      <c r="BI62" s="469">
        <f t="shared" si="204"/>
        <v>63</v>
      </c>
      <c r="BJ62" s="469">
        <f t="shared" si="204"/>
        <v>37</v>
      </c>
      <c r="BK62" s="469">
        <f t="shared" si="204"/>
        <v>37</v>
      </c>
      <c r="BL62" s="469">
        <f t="shared" si="204"/>
        <v>18</v>
      </c>
      <c r="BM62" s="469">
        <f t="shared" si="204"/>
        <v>42</v>
      </c>
      <c r="BN62" s="581">
        <f t="shared" si="204"/>
        <v>15</v>
      </c>
      <c r="BO62" s="461"/>
      <c r="BP62" s="580">
        <f t="shared" si="8"/>
        <v>37110000000000</v>
      </c>
      <c r="BQ62" s="252" t="str">
        <f t="shared" si="9"/>
        <v/>
      </c>
      <c r="BR62" s="252">
        <f t="shared" si="10"/>
        <v>69650000000000</v>
      </c>
      <c r="BS62" s="252" t="str">
        <f t="shared" si="11"/>
        <v/>
      </c>
      <c r="BT62" s="252" t="str">
        <f t="shared" si="12"/>
        <v/>
      </c>
      <c r="BU62" s="252">
        <f t="shared" si="13"/>
        <v>47710000000000</v>
      </c>
      <c r="BV62" s="390">
        <f t="shared" si="14"/>
        <v>92140000000000</v>
      </c>
      <c r="BW62" s="390" t="str">
        <f t="shared" si="15"/>
        <v/>
      </c>
      <c r="BX62" s="390" t="str">
        <f t="shared" si="16"/>
        <v/>
      </c>
      <c r="BY62" s="390" t="str">
        <f t="shared" si="17"/>
        <v/>
      </c>
      <c r="BZ62" s="390">
        <f t="shared" si="18"/>
        <v>60080000000000</v>
      </c>
      <c r="CA62" s="390">
        <f t="shared" si="19"/>
        <v>22020000000000</v>
      </c>
      <c r="CB62" s="469">
        <f t="shared" si="20"/>
        <v>105230000000000</v>
      </c>
      <c r="CC62" s="469" t="str">
        <f t="shared" si="21"/>
        <v/>
      </c>
      <c r="CD62" s="469" t="str">
        <f t="shared" si="22"/>
        <v/>
      </c>
      <c r="CE62" s="469" t="str">
        <f t="shared" si="23"/>
        <v/>
      </c>
      <c r="CF62" s="469" t="str">
        <f t="shared" si="24"/>
        <v/>
      </c>
      <c r="CG62" s="581" t="str">
        <f t="shared" si="25"/>
        <v/>
      </c>
      <c r="CH62" s="461"/>
      <c r="CI62" s="580" t="str">
        <f t="array" ref="CI62">LET(
array,SORT({$Y$2:$AB$19,TRANSPOSE($BP62:$CG62)},4,TRUE),
col,CHOOSECOLS(array,5),
row,MATCH(FALSE, ISBLANK(col), 0),
IF(BP62=SWITCH($AA$22,
"minimum cost", MIN($BP62:$CG62),
"maximum cost", MAX($BP62:$CG62), 
"custom order", IF(CI$1=INDEX(array, row,1),INDEX(array, row,5),"x"))
,1,))</f>
        <v/>
      </c>
      <c r="CJ62" s="252" t="str">
        <f t="array" ref="CJ62">LET(
array,SORT({$Y$2:$AB$19,TRANSPOSE($BP62:$CG62)},4,TRUE),
col,CHOOSECOLS(array,5),
row,MATCH(FALSE, ISBLANK(col), 0),
IF(BQ62=SWITCH($AA$22,
"minimum cost", MIN($BP62:$CG62),
"maximum cost", MAX($BP62:$CG62), 
"custom order", IF(CJ$1=INDEX(array, row,1),INDEX(array, row,5),"x"))
,1,))</f>
        <v/>
      </c>
      <c r="CK62" s="252" t="str">
        <f t="array" ref="CK62">LET(
array,SORT({$Y$2:$AB$19,TRANSPOSE($BP62:$CG62)},4,TRUE),
col,CHOOSECOLS(array,5),
row,MATCH(FALSE, ISBLANK(col), 0),
IF(BR62=SWITCH($AA$22,
"minimum cost", MIN($BP62:$CG62),
"maximum cost", MAX($BP62:$CG62), 
"custom order", IF(CK$1=INDEX(array, row,1),INDEX(array, row,5),"x"))
,1,))</f>
        <v/>
      </c>
      <c r="CL62" s="252" t="str">
        <f t="array" ref="CL62">LET(
array,SORT({$Y$2:$AB$19,TRANSPOSE($BP62:$CG62)},4,TRUE),
col,CHOOSECOLS(array,5),
row,MATCH(FALSE, ISBLANK(col), 0),
IF(BS62=SWITCH($AA$22,
"minimum cost", MIN($BP62:$CG62),
"maximum cost", MAX($BP62:$CG62), 
"custom order", IF(CL$1=INDEX(array, row,1),INDEX(array, row,5),"x"))
,1,))</f>
        <v/>
      </c>
      <c r="CM62" s="252" t="str">
        <f t="array" ref="CM62">LET(
array,SORT({$Y$2:$AB$19,TRANSPOSE($BP62:$CG62)},4,TRUE),
col,CHOOSECOLS(array,5),
row,MATCH(FALSE, ISBLANK(col), 0),
IF(BT62=SWITCH($AA$22,
"minimum cost", MIN($BP62:$CG62),
"maximum cost", MAX($BP62:$CG62), 
"custom order", IF(CM$1=INDEX(array, row,1),INDEX(array, row,5),"x"))
,1,))</f>
        <v/>
      </c>
      <c r="CN62" s="252" t="str">
        <f t="array" ref="CN62">LET(
array,SORT({$Y$2:$AB$19,TRANSPOSE($BP62:$CG62)},4,TRUE),
col,CHOOSECOLS(array,5),
row,MATCH(FALSE, ISBLANK(col), 0),
IF(BU62=SWITCH($AA$22,
"minimum cost", MIN($BP62:$CG62),
"maximum cost", MAX($BP62:$CG62), 
"custom order", IF(CN$1=INDEX(array, row,1),INDEX(array, row,5),"x"))
,1,))</f>
        <v/>
      </c>
      <c r="CO62" s="390" t="str">
        <f t="array" ref="CO62">LET(
array,SORT({$Y$2:$AB$19,TRANSPOSE($BP62:$CG62)},4,TRUE),
col,CHOOSECOLS(array,5),
row,MATCH(FALSE, ISBLANK(col), 0),
IF(BV62=SWITCH($AA$22,
"minimum cost", MIN($BP62:$CG62),
"maximum cost", MAX($BP62:$CG62), 
"custom order", IF(CO$1=INDEX(array, row,1),INDEX(array, row,5),"x"))
,1,))</f>
        <v/>
      </c>
      <c r="CP62" s="390" t="str">
        <f t="array" ref="CP62">LET(
array,SORT({$Y$2:$AB$19,TRANSPOSE($BP62:$CG62)},4,TRUE),
col,CHOOSECOLS(array,5),
row,MATCH(FALSE, ISBLANK(col), 0),
IF(BW62=SWITCH($AA$22,
"minimum cost", MIN($BP62:$CG62),
"maximum cost", MAX($BP62:$CG62), 
"custom order", IF(CP$1=INDEX(array, row,1),INDEX(array, row,5),"x"))
,1,))</f>
        <v/>
      </c>
      <c r="CQ62" s="390" t="str">
        <f t="array" ref="CQ62">LET(
array,SORT({$Y$2:$AB$19,TRANSPOSE($BP62:$CG62)},4,TRUE),
col,CHOOSECOLS(array,5),
row,MATCH(FALSE, ISBLANK(col), 0),
IF(BX62=SWITCH($AA$22,
"minimum cost", MIN($BP62:$CG62),
"maximum cost", MAX($BP62:$CG62), 
"custom order", IF(CQ$1=INDEX(array, row,1),INDEX(array, row,5),"x"))
,1,))</f>
        <v/>
      </c>
      <c r="CR62" s="390" t="str">
        <f t="array" ref="CR62">LET(
array,SORT({$Y$2:$AB$19,TRANSPOSE($BP62:$CG62)},4,TRUE),
col,CHOOSECOLS(array,5),
row,MATCH(FALSE, ISBLANK(col), 0),
IF(BY62=SWITCH($AA$22,
"minimum cost", MIN($BP62:$CG62),
"maximum cost", MAX($BP62:$CG62), 
"custom order", IF(CR$1=INDEX(array, row,1),INDEX(array, row,5),"x"))
,1,))</f>
        <v/>
      </c>
      <c r="CS62" s="390" t="str">
        <f t="array" ref="CS62">LET(
array,SORT({$Y$2:$AB$19,TRANSPOSE($BP62:$CG62)},4,TRUE),
col,CHOOSECOLS(array,5),
row,MATCH(FALSE, ISBLANK(col), 0),
IF(BZ62=SWITCH($AA$22,
"minimum cost", MIN($BP62:$CG62),
"maximum cost", MAX($BP62:$CG62), 
"custom order", IF(CS$1=INDEX(array, row,1),INDEX(array, row,5),"x"))
,1,))</f>
        <v/>
      </c>
      <c r="CT62" s="390" t="str">
        <f t="array" ref="CT62">LET(
array,SORT({$Y$2:$AB$19,TRANSPOSE($BP62:$CG62)},4,TRUE),
col,CHOOSECOLS(array,5),
row,MATCH(FALSE, ISBLANK(col), 0),
IF(CA62=SWITCH($AA$22,
"minimum cost", MIN($BP62:$CG62),
"maximum cost", MAX($BP62:$CG62), 
"custom order", IF(CT$1=INDEX(array, row,1),INDEX(array, row,5),"x"))
,1,))</f>
        <v/>
      </c>
      <c r="CU62" s="469">
        <f t="array" ref="CU62">LET(
array,SORT({$Y$2:$AB$19,TRANSPOSE($BP62:$CG62)},4,TRUE),
col,CHOOSECOLS(array,5),
row,MATCH(FALSE, ISBLANK(col), 0),
IF(CB62=SWITCH($AA$22,
"minimum cost", MIN($BP62:$CG62),
"maximum cost", MAX($BP62:$CG62), 
"custom order", IF(CU$1=INDEX(array, row,1),INDEX(array, row,5),"x"))
,1,))</f>
        <v>1</v>
      </c>
      <c r="CV62" s="469" t="str">
        <f t="array" ref="CV62">LET(
array,SORT({$Y$2:$AB$19,TRANSPOSE($BP62:$CG62)},4,TRUE),
col,CHOOSECOLS(array,5),
row,MATCH(FALSE, ISBLANK(col), 0),
IF(CC62=SWITCH($AA$22,
"minimum cost", MIN($BP62:$CG62),
"maximum cost", MAX($BP62:$CG62), 
"custom order", IF(CV$1=INDEX(array, row,1),INDEX(array, row,5),"x"))
,1,))</f>
        <v/>
      </c>
      <c r="CW62" s="469" t="str">
        <f t="array" ref="CW62">LET(
array,SORT({$Y$2:$AB$19,TRANSPOSE($BP62:$CG62)},4,TRUE),
col,CHOOSECOLS(array,5),
row,MATCH(FALSE, ISBLANK(col), 0),
IF(CD62=SWITCH($AA$22,
"minimum cost", MIN($BP62:$CG62),
"maximum cost", MAX($BP62:$CG62), 
"custom order", IF(CW$1=INDEX(array, row,1),INDEX(array, row,5),"x"))
,1,))</f>
        <v/>
      </c>
      <c r="CX62" s="469" t="str">
        <f t="array" ref="CX62">LET(
array,SORT({$Y$2:$AB$19,TRANSPOSE($BP62:$CG62)},4,TRUE),
col,CHOOSECOLS(array,5),
row,MATCH(FALSE, ISBLANK(col), 0),
IF(CE62=SWITCH($AA$22,
"minimum cost", MIN($BP62:$CG62),
"maximum cost", MAX($BP62:$CG62), 
"custom order", IF(CX$1=INDEX(array, row,1),INDEX(array, row,5),"x"))
,1,))</f>
        <v/>
      </c>
      <c r="CY62" s="469" t="str">
        <f t="array" ref="CY62">LET(
array,SORT({$Y$2:$AB$19,TRANSPOSE($BP62:$CG62)},4,TRUE),
col,CHOOSECOLS(array,5),
row,MATCH(FALSE, ISBLANK(col), 0),
IF(CF62=SWITCH($AA$22,
"minimum cost", MIN($BP62:$CG62),
"maximum cost", MAX($BP62:$CG62), 
"custom order", IF(CY$1=INDEX(array, row,1),INDEX(array, row,5),"x"))
,1,))</f>
        <v/>
      </c>
      <c r="CZ62" s="581" t="str">
        <f t="array" ref="CZ62">LET(
array,SORT({$Y$2:$AB$19,TRANSPOSE($BP62:$CG62)},4,TRUE),
col,CHOOSECOLS(array,5),
row,MATCH(FALSE, ISBLANK(col), 0),
IF(CG62=SWITCH($AA$22,
"minimum cost", MIN($BP62:$CG62),
"maximum cost", MAX($BP62:$CG62), 
"custom order", IF(CZ$1=INDEX(array, row,1),INDEX(array, row,5),"x"))
,1,))</f>
        <v/>
      </c>
      <c r="DA62" s="461"/>
      <c r="DB62" s="580" t="str">
        <f t="array" ref="DB62:DS62">IF(MATCH(1, CI62:CZ62, 0)=COLUMN(CI62:CZ62)-COLUMN(CI62)+1, CI62:CZ62, "")</f>
        <v/>
      </c>
      <c r="DC62" s="252" t="s">
        <v>133</v>
      </c>
      <c r="DD62" s="252" t="s">
        <v>133</v>
      </c>
      <c r="DE62" s="252" t="s">
        <v>133</v>
      </c>
      <c r="DF62" s="252" t="s">
        <v>133</v>
      </c>
      <c r="DG62" s="252" t="s">
        <v>133</v>
      </c>
      <c r="DH62" s="390" t="s">
        <v>133</v>
      </c>
      <c r="DI62" s="390" t="s">
        <v>133</v>
      </c>
      <c r="DJ62" s="390" t="s">
        <v>133</v>
      </c>
      <c r="DK62" s="390" t="s">
        <v>133</v>
      </c>
      <c r="DL62" s="390" t="s">
        <v>133</v>
      </c>
      <c r="DM62" s="390" t="s">
        <v>133</v>
      </c>
      <c r="DN62" s="469">
        <v>1.0</v>
      </c>
      <c r="DO62" s="469" t="s">
        <v>133</v>
      </c>
      <c r="DP62" s="469" t="s">
        <v>133</v>
      </c>
      <c r="DQ62" s="469" t="s">
        <v>133</v>
      </c>
      <c r="DR62" s="469" t="s">
        <v>133</v>
      </c>
      <c r="DS62" s="581" t="s">
        <v>133</v>
      </c>
      <c r="DT62" s="563"/>
    </row>
    <row r="63">
      <c r="A63" s="563"/>
      <c r="B63" s="710"/>
      <c r="C63" s="710"/>
      <c r="D63" s="710"/>
      <c r="E63" s="10"/>
      <c r="F63" s="710"/>
      <c r="G63" s="10"/>
      <c r="H63" s="710"/>
      <c r="I63" s="10"/>
      <c r="J63" s="710"/>
      <c r="K63" s="10"/>
      <c r="L63" s="710"/>
      <c r="M63" s="461"/>
      <c r="N63" s="10"/>
      <c r="O63" s="10"/>
      <c r="P63" s="10"/>
      <c r="Q63" s="570" t="str">
        <f>IFERROR(__xludf.DUMMYFUNCTION("IF(SUM(DB63:DS63),ARRAYFORMULA(FILTER(DB$1:DS$1, DB63:DS63=1)),)"),"Cash Bonus")</f>
        <v>Cash Bonus</v>
      </c>
      <c r="R63" s="571">
        <f>IFERROR(__xludf.DUMMYFUNCTION("IF(SUM(DB63:DS63),ARRAYFORMULA(FILTER(AW63:BN63, DB63:DS63=1))+1,)"),65.0)</f>
        <v>65</v>
      </c>
      <c r="S63" s="572">
        <f>IFERROR(__xludf.DUMMYFUNCTION("IF(SUM(DB63:DS63),ARRAYFORMULA(FILTER(AD63:AU63, DB63:DS63=1)),)"),1.1969E14)</f>
        <v>119690000000000</v>
      </c>
      <c r="T63" s="572">
        <f t="shared" si="26"/>
        <v>1.36581E+16</v>
      </c>
      <c r="U63" s="573" t="str">
        <f t="shared" ref="U63:V63" si="205">FORMAT_NUMBER(S63)</f>
        <v>119.69 T</v>
      </c>
      <c r="V63" s="574" t="str">
        <f t="shared" si="205"/>
        <v>13.66 q</v>
      </c>
      <c r="W63" s="677"/>
      <c r="X63" s="709"/>
      <c r="Y63" s="709"/>
      <c r="Z63" s="709"/>
      <c r="AA63" s="709"/>
      <c r="AB63" s="712"/>
      <c r="AC63" s="461"/>
      <c r="AD63" s="580">
        <f t="shared" ref="AD63:AU63" si="206">IFERROR(WSPCOST_SINGLE_ADJUSTED(AD$1,1+AW63),)</f>
        <v>37110000000000</v>
      </c>
      <c r="AE63" s="252">
        <f t="shared" si="206"/>
        <v>82420000000</v>
      </c>
      <c r="AF63" s="252">
        <f t="shared" si="206"/>
        <v>69650000000000</v>
      </c>
      <c r="AG63" s="252">
        <f t="shared" si="206"/>
        <v>21210000000</v>
      </c>
      <c r="AH63" s="252">
        <f t="shared" si="206"/>
        <v>43890000000000</v>
      </c>
      <c r="AI63" s="252">
        <f t="shared" si="206"/>
        <v>47710000000000</v>
      </c>
      <c r="AJ63" s="390">
        <f t="shared" si="206"/>
        <v>92140000000000</v>
      </c>
      <c r="AK63" s="390">
        <f t="shared" si="206"/>
        <v>580270000000000</v>
      </c>
      <c r="AL63" s="390">
        <f t="shared" si="206"/>
        <v>5000000000</v>
      </c>
      <c r="AM63" s="390">
        <f t="shared" si="206"/>
        <v>33950000000</v>
      </c>
      <c r="AN63" s="390">
        <f t="shared" si="206"/>
        <v>60080000000000</v>
      </c>
      <c r="AO63" s="390">
        <f t="shared" si="206"/>
        <v>22020000000000</v>
      </c>
      <c r="AP63" s="469">
        <f t="shared" si="206"/>
        <v>119690000000000</v>
      </c>
      <c r="AQ63" s="469">
        <f t="shared" si="206"/>
        <v>1.3E+15</v>
      </c>
      <c r="AR63" s="469">
        <f t="shared" si="206"/>
        <v>1.3E+15</v>
      </c>
      <c r="AS63" s="469">
        <f t="shared" si="206"/>
        <v>420490000000000</v>
      </c>
      <c r="AT63" s="469">
        <f t="shared" si="206"/>
        <v>3990000000000</v>
      </c>
      <c r="AU63" s="581">
        <f t="shared" si="206"/>
        <v>1.14E+15</v>
      </c>
      <c r="AV63" s="461"/>
      <c r="AW63" s="580">
        <f t="shared" ref="AW63:BN63" si="207">AW62+DB62</f>
        <v>56</v>
      </c>
      <c r="AX63" s="252">
        <f t="shared" si="207"/>
        <v>21</v>
      </c>
      <c r="AY63" s="252">
        <f t="shared" si="207"/>
        <v>60</v>
      </c>
      <c r="AZ63" s="252">
        <f t="shared" si="207"/>
        <v>17</v>
      </c>
      <c r="BA63" s="252">
        <f t="shared" si="207"/>
        <v>57</v>
      </c>
      <c r="BB63" s="252">
        <f t="shared" si="207"/>
        <v>13</v>
      </c>
      <c r="BC63" s="390">
        <f t="shared" si="207"/>
        <v>62</v>
      </c>
      <c r="BD63" s="390">
        <f t="shared" si="207"/>
        <v>79</v>
      </c>
      <c r="BE63" s="390">
        <f t="shared" si="207"/>
        <v>0</v>
      </c>
      <c r="BF63" s="390">
        <f t="shared" si="207"/>
        <v>18</v>
      </c>
      <c r="BG63" s="390">
        <f t="shared" si="207"/>
        <v>59</v>
      </c>
      <c r="BH63" s="390">
        <f t="shared" si="207"/>
        <v>20</v>
      </c>
      <c r="BI63" s="469">
        <f t="shared" si="207"/>
        <v>64</v>
      </c>
      <c r="BJ63" s="469">
        <f t="shared" si="207"/>
        <v>37</v>
      </c>
      <c r="BK63" s="469">
        <f t="shared" si="207"/>
        <v>37</v>
      </c>
      <c r="BL63" s="469">
        <f t="shared" si="207"/>
        <v>18</v>
      </c>
      <c r="BM63" s="469">
        <f t="shared" si="207"/>
        <v>42</v>
      </c>
      <c r="BN63" s="581">
        <f t="shared" si="207"/>
        <v>15</v>
      </c>
      <c r="BO63" s="461"/>
      <c r="BP63" s="580">
        <f t="shared" si="8"/>
        <v>37110000000000</v>
      </c>
      <c r="BQ63" s="252" t="str">
        <f t="shared" si="9"/>
        <v/>
      </c>
      <c r="BR63" s="252">
        <f t="shared" si="10"/>
        <v>69650000000000</v>
      </c>
      <c r="BS63" s="252" t="str">
        <f t="shared" si="11"/>
        <v/>
      </c>
      <c r="BT63" s="252" t="str">
        <f t="shared" si="12"/>
        <v/>
      </c>
      <c r="BU63" s="252">
        <f t="shared" si="13"/>
        <v>47710000000000</v>
      </c>
      <c r="BV63" s="390">
        <f t="shared" si="14"/>
        <v>92140000000000</v>
      </c>
      <c r="BW63" s="390" t="str">
        <f t="shared" si="15"/>
        <v/>
      </c>
      <c r="BX63" s="390" t="str">
        <f t="shared" si="16"/>
        <v/>
      </c>
      <c r="BY63" s="390" t="str">
        <f t="shared" si="17"/>
        <v/>
      </c>
      <c r="BZ63" s="390">
        <f t="shared" si="18"/>
        <v>60080000000000</v>
      </c>
      <c r="CA63" s="390">
        <f t="shared" si="19"/>
        <v>22020000000000</v>
      </c>
      <c r="CB63" s="469">
        <f t="shared" si="20"/>
        <v>119690000000000</v>
      </c>
      <c r="CC63" s="469" t="str">
        <f t="shared" si="21"/>
        <v/>
      </c>
      <c r="CD63" s="469" t="str">
        <f t="shared" si="22"/>
        <v/>
      </c>
      <c r="CE63" s="469" t="str">
        <f t="shared" si="23"/>
        <v/>
      </c>
      <c r="CF63" s="469" t="str">
        <f t="shared" si="24"/>
        <v/>
      </c>
      <c r="CG63" s="581" t="str">
        <f t="shared" si="25"/>
        <v/>
      </c>
      <c r="CH63" s="461"/>
      <c r="CI63" s="580" t="str">
        <f t="array" ref="CI63">LET(
array,SORT({$Y$2:$AB$19,TRANSPOSE($BP63:$CG63)},4,TRUE),
col,CHOOSECOLS(array,5),
row,MATCH(FALSE, ISBLANK(col), 0),
IF(BP63=SWITCH($AA$22,
"minimum cost", MIN($BP63:$CG63),
"maximum cost", MAX($BP63:$CG63), 
"custom order", IF(CI$1=INDEX(array, row,1),INDEX(array, row,5),"x"))
,1,))</f>
        <v/>
      </c>
      <c r="CJ63" s="252" t="str">
        <f t="array" ref="CJ63">LET(
array,SORT({$Y$2:$AB$19,TRANSPOSE($BP63:$CG63)},4,TRUE),
col,CHOOSECOLS(array,5),
row,MATCH(FALSE, ISBLANK(col), 0),
IF(BQ63=SWITCH($AA$22,
"minimum cost", MIN($BP63:$CG63),
"maximum cost", MAX($BP63:$CG63), 
"custom order", IF(CJ$1=INDEX(array, row,1),INDEX(array, row,5),"x"))
,1,))</f>
        <v/>
      </c>
      <c r="CK63" s="252" t="str">
        <f t="array" ref="CK63">LET(
array,SORT({$Y$2:$AB$19,TRANSPOSE($BP63:$CG63)},4,TRUE),
col,CHOOSECOLS(array,5),
row,MATCH(FALSE, ISBLANK(col), 0),
IF(BR63=SWITCH($AA$22,
"minimum cost", MIN($BP63:$CG63),
"maximum cost", MAX($BP63:$CG63), 
"custom order", IF(CK$1=INDEX(array, row,1),INDEX(array, row,5),"x"))
,1,))</f>
        <v/>
      </c>
      <c r="CL63" s="252" t="str">
        <f t="array" ref="CL63">LET(
array,SORT({$Y$2:$AB$19,TRANSPOSE($BP63:$CG63)},4,TRUE),
col,CHOOSECOLS(array,5),
row,MATCH(FALSE, ISBLANK(col), 0),
IF(BS63=SWITCH($AA$22,
"minimum cost", MIN($BP63:$CG63),
"maximum cost", MAX($BP63:$CG63), 
"custom order", IF(CL$1=INDEX(array, row,1),INDEX(array, row,5),"x"))
,1,))</f>
        <v/>
      </c>
      <c r="CM63" s="252" t="str">
        <f t="array" ref="CM63">LET(
array,SORT({$Y$2:$AB$19,TRANSPOSE($BP63:$CG63)},4,TRUE),
col,CHOOSECOLS(array,5),
row,MATCH(FALSE, ISBLANK(col), 0),
IF(BT63=SWITCH($AA$22,
"minimum cost", MIN($BP63:$CG63),
"maximum cost", MAX($BP63:$CG63), 
"custom order", IF(CM$1=INDEX(array, row,1),INDEX(array, row,5),"x"))
,1,))</f>
        <v/>
      </c>
      <c r="CN63" s="252" t="str">
        <f t="array" ref="CN63">LET(
array,SORT({$Y$2:$AB$19,TRANSPOSE($BP63:$CG63)},4,TRUE),
col,CHOOSECOLS(array,5),
row,MATCH(FALSE, ISBLANK(col), 0),
IF(BU63=SWITCH($AA$22,
"minimum cost", MIN($BP63:$CG63),
"maximum cost", MAX($BP63:$CG63), 
"custom order", IF(CN$1=INDEX(array, row,1),INDEX(array, row,5),"x"))
,1,))</f>
        <v/>
      </c>
      <c r="CO63" s="390" t="str">
        <f t="array" ref="CO63">LET(
array,SORT({$Y$2:$AB$19,TRANSPOSE($BP63:$CG63)},4,TRUE),
col,CHOOSECOLS(array,5),
row,MATCH(FALSE, ISBLANK(col), 0),
IF(BV63=SWITCH($AA$22,
"minimum cost", MIN($BP63:$CG63),
"maximum cost", MAX($BP63:$CG63), 
"custom order", IF(CO$1=INDEX(array, row,1),INDEX(array, row,5),"x"))
,1,))</f>
        <v/>
      </c>
      <c r="CP63" s="390" t="str">
        <f t="array" ref="CP63">LET(
array,SORT({$Y$2:$AB$19,TRANSPOSE($BP63:$CG63)},4,TRUE),
col,CHOOSECOLS(array,5),
row,MATCH(FALSE, ISBLANK(col), 0),
IF(BW63=SWITCH($AA$22,
"minimum cost", MIN($BP63:$CG63),
"maximum cost", MAX($BP63:$CG63), 
"custom order", IF(CP$1=INDEX(array, row,1),INDEX(array, row,5),"x"))
,1,))</f>
        <v/>
      </c>
      <c r="CQ63" s="390" t="str">
        <f t="array" ref="CQ63">LET(
array,SORT({$Y$2:$AB$19,TRANSPOSE($BP63:$CG63)},4,TRUE),
col,CHOOSECOLS(array,5),
row,MATCH(FALSE, ISBLANK(col), 0),
IF(BX63=SWITCH($AA$22,
"minimum cost", MIN($BP63:$CG63),
"maximum cost", MAX($BP63:$CG63), 
"custom order", IF(CQ$1=INDEX(array, row,1),INDEX(array, row,5),"x"))
,1,))</f>
        <v/>
      </c>
      <c r="CR63" s="390" t="str">
        <f t="array" ref="CR63">LET(
array,SORT({$Y$2:$AB$19,TRANSPOSE($BP63:$CG63)},4,TRUE),
col,CHOOSECOLS(array,5),
row,MATCH(FALSE, ISBLANK(col), 0),
IF(BY63=SWITCH($AA$22,
"minimum cost", MIN($BP63:$CG63),
"maximum cost", MAX($BP63:$CG63), 
"custom order", IF(CR$1=INDEX(array, row,1),INDEX(array, row,5),"x"))
,1,))</f>
        <v/>
      </c>
      <c r="CS63" s="390" t="str">
        <f t="array" ref="CS63">LET(
array,SORT({$Y$2:$AB$19,TRANSPOSE($BP63:$CG63)},4,TRUE),
col,CHOOSECOLS(array,5),
row,MATCH(FALSE, ISBLANK(col), 0),
IF(BZ63=SWITCH($AA$22,
"minimum cost", MIN($BP63:$CG63),
"maximum cost", MAX($BP63:$CG63), 
"custom order", IF(CS$1=INDEX(array, row,1),INDEX(array, row,5),"x"))
,1,))</f>
        <v/>
      </c>
      <c r="CT63" s="390" t="str">
        <f t="array" ref="CT63">LET(
array,SORT({$Y$2:$AB$19,TRANSPOSE($BP63:$CG63)},4,TRUE),
col,CHOOSECOLS(array,5),
row,MATCH(FALSE, ISBLANK(col), 0),
IF(CA63=SWITCH($AA$22,
"minimum cost", MIN($BP63:$CG63),
"maximum cost", MAX($BP63:$CG63), 
"custom order", IF(CT$1=INDEX(array, row,1),INDEX(array, row,5),"x"))
,1,))</f>
        <v/>
      </c>
      <c r="CU63" s="469">
        <f t="array" ref="CU63">LET(
array,SORT({$Y$2:$AB$19,TRANSPOSE($BP63:$CG63)},4,TRUE),
col,CHOOSECOLS(array,5),
row,MATCH(FALSE, ISBLANK(col), 0),
IF(CB63=SWITCH($AA$22,
"minimum cost", MIN($BP63:$CG63),
"maximum cost", MAX($BP63:$CG63), 
"custom order", IF(CU$1=INDEX(array, row,1),INDEX(array, row,5),"x"))
,1,))</f>
        <v>1</v>
      </c>
      <c r="CV63" s="469" t="str">
        <f t="array" ref="CV63">LET(
array,SORT({$Y$2:$AB$19,TRANSPOSE($BP63:$CG63)},4,TRUE),
col,CHOOSECOLS(array,5),
row,MATCH(FALSE, ISBLANK(col), 0),
IF(CC63=SWITCH($AA$22,
"minimum cost", MIN($BP63:$CG63),
"maximum cost", MAX($BP63:$CG63), 
"custom order", IF(CV$1=INDEX(array, row,1),INDEX(array, row,5),"x"))
,1,))</f>
        <v/>
      </c>
      <c r="CW63" s="469" t="str">
        <f t="array" ref="CW63">LET(
array,SORT({$Y$2:$AB$19,TRANSPOSE($BP63:$CG63)},4,TRUE),
col,CHOOSECOLS(array,5),
row,MATCH(FALSE, ISBLANK(col), 0),
IF(CD63=SWITCH($AA$22,
"minimum cost", MIN($BP63:$CG63),
"maximum cost", MAX($BP63:$CG63), 
"custom order", IF(CW$1=INDEX(array, row,1),INDEX(array, row,5),"x"))
,1,))</f>
        <v/>
      </c>
      <c r="CX63" s="469" t="str">
        <f t="array" ref="CX63">LET(
array,SORT({$Y$2:$AB$19,TRANSPOSE($BP63:$CG63)},4,TRUE),
col,CHOOSECOLS(array,5),
row,MATCH(FALSE, ISBLANK(col), 0),
IF(CE63=SWITCH($AA$22,
"minimum cost", MIN($BP63:$CG63),
"maximum cost", MAX($BP63:$CG63), 
"custom order", IF(CX$1=INDEX(array, row,1),INDEX(array, row,5),"x"))
,1,))</f>
        <v/>
      </c>
      <c r="CY63" s="469" t="str">
        <f t="array" ref="CY63">LET(
array,SORT({$Y$2:$AB$19,TRANSPOSE($BP63:$CG63)},4,TRUE),
col,CHOOSECOLS(array,5),
row,MATCH(FALSE, ISBLANK(col), 0),
IF(CF63=SWITCH($AA$22,
"minimum cost", MIN($BP63:$CG63),
"maximum cost", MAX($BP63:$CG63), 
"custom order", IF(CY$1=INDEX(array, row,1),INDEX(array, row,5),"x"))
,1,))</f>
        <v/>
      </c>
      <c r="CZ63" s="581" t="str">
        <f t="array" ref="CZ63">LET(
array,SORT({$Y$2:$AB$19,TRANSPOSE($BP63:$CG63)},4,TRUE),
col,CHOOSECOLS(array,5),
row,MATCH(FALSE, ISBLANK(col), 0),
IF(CG63=SWITCH($AA$22,
"minimum cost", MIN($BP63:$CG63),
"maximum cost", MAX($BP63:$CG63), 
"custom order", IF(CZ$1=INDEX(array, row,1),INDEX(array, row,5),"x"))
,1,))</f>
        <v/>
      </c>
      <c r="DA63" s="461"/>
      <c r="DB63" s="580" t="str">
        <f t="array" ref="DB63:DS63">IF(MATCH(1, CI63:CZ63, 0)=COLUMN(CI63:CZ63)-COLUMN(CI63)+1, CI63:CZ63, "")</f>
        <v/>
      </c>
      <c r="DC63" s="252" t="s">
        <v>133</v>
      </c>
      <c r="DD63" s="252" t="s">
        <v>133</v>
      </c>
      <c r="DE63" s="252" t="s">
        <v>133</v>
      </c>
      <c r="DF63" s="252" t="s">
        <v>133</v>
      </c>
      <c r="DG63" s="252" t="s">
        <v>133</v>
      </c>
      <c r="DH63" s="390" t="s">
        <v>133</v>
      </c>
      <c r="DI63" s="390" t="s">
        <v>133</v>
      </c>
      <c r="DJ63" s="390" t="s">
        <v>133</v>
      </c>
      <c r="DK63" s="390" t="s">
        <v>133</v>
      </c>
      <c r="DL63" s="390" t="s">
        <v>133</v>
      </c>
      <c r="DM63" s="390" t="s">
        <v>133</v>
      </c>
      <c r="DN63" s="469">
        <v>1.0</v>
      </c>
      <c r="DO63" s="469" t="s">
        <v>133</v>
      </c>
      <c r="DP63" s="469" t="s">
        <v>133</v>
      </c>
      <c r="DQ63" s="469" t="s">
        <v>133</v>
      </c>
      <c r="DR63" s="469" t="s">
        <v>133</v>
      </c>
      <c r="DS63" s="581" t="s">
        <v>133</v>
      </c>
      <c r="DT63" s="563"/>
    </row>
    <row r="64">
      <c r="A64" s="563"/>
      <c r="B64" s="709"/>
      <c r="C64" s="709"/>
      <c r="D64" s="709"/>
      <c r="E64" s="10"/>
      <c r="F64" s="709"/>
      <c r="G64" s="10"/>
      <c r="H64" s="709"/>
      <c r="I64" s="10"/>
      <c r="J64" s="709"/>
      <c r="K64" s="10"/>
      <c r="L64" s="709"/>
      <c r="M64" s="461"/>
      <c r="N64" s="10"/>
      <c r="O64" s="10"/>
      <c r="P64" s="10"/>
      <c r="Q64" s="570" t="str">
        <f>IFERROR(__xludf.DUMMYFUNCTION("IF(SUM(DB64:DS64),ARRAYFORMULA(FILTER(DB$1:DS$1, DB64:DS64=1)),)"),"Cash Bonus")</f>
        <v>Cash Bonus</v>
      </c>
      <c r="R64" s="571">
        <f>IFERROR(__xludf.DUMMYFUNCTION("IF(SUM(DB64:DS64),ARRAYFORMULA(FILTER(AW64:BN64, DB64:DS64=1))+1,)"),66.0)</f>
        <v>66</v>
      </c>
      <c r="S64" s="572">
        <f>IFERROR(__xludf.DUMMYFUNCTION("IF(SUM(DB64:DS64),ARRAYFORMULA(FILTER(AD64:AU64, DB64:DS64=1)),)"),1.3561E14)</f>
        <v>135610000000000</v>
      </c>
      <c r="T64" s="572">
        <f t="shared" si="26"/>
        <v>1.37938E+16</v>
      </c>
      <c r="U64" s="573" t="str">
        <f t="shared" ref="U64:V64" si="208">FORMAT_NUMBER(S64)</f>
        <v>135.61 T</v>
      </c>
      <c r="V64" s="574" t="str">
        <f t="shared" si="208"/>
        <v>13.79 q</v>
      </c>
      <c r="W64" s="677"/>
      <c r="X64" s="709"/>
      <c r="Y64" s="709"/>
      <c r="Z64" s="709"/>
      <c r="AA64" s="709"/>
      <c r="AB64" s="712"/>
      <c r="AC64" s="461"/>
      <c r="AD64" s="580">
        <f t="shared" ref="AD64:AU64" si="209">IFERROR(WSPCOST_SINGLE_ADJUSTED(AD$1,1+AW64),)</f>
        <v>37110000000000</v>
      </c>
      <c r="AE64" s="252">
        <f t="shared" si="209"/>
        <v>82420000000</v>
      </c>
      <c r="AF64" s="252">
        <f t="shared" si="209"/>
        <v>69650000000000</v>
      </c>
      <c r="AG64" s="252">
        <f t="shared" si="209"/>
        <v>21210000000</v>
      </c>
      <c r="AH64" s="252">
        <f t="shared" si="209"/>
        <v>43890000000000</v>
      </c>
      <c r="AI64" s="252">
        <f t="shared" si="209"/>
        <v>47710000000000</v>
      </c>
      <c r="AJ64" s="390">
        <f t="shared" si="209"/>
        <v>92140000000000</v>
      </c>
      <c r="AK64" s="390">
        <f t="shared" si="209"/>
        <v>580270000000000</v>
      </c>
      <c r="AL64" s="390">
        <f t="shared" si="209"/>
        <v>5000000000</v>
      </c>
      <c r="AM64" s="390">
        <f t="shared" si="209"/>
        <v>33950000000</v>
      </c>
      <c r="AN64" s="390">
        <f t="shared" si="209"/>
        <v>60080000000000</v>
      </c>
      <c r="AO64" s="390">
        <f t="shared" si="209"/>
        <v>22020000000000</v>
      </c>
      <c r="AP64" s="469">
        <f t="shared" si="209"/>
        <v>135610000000000</v>
      </c>
      <c r="AQ64" s="469">
        <f t="shared" si="209"/>
        <v>1.3E+15</v>
      </c>
      <c r="AR64" s="469">
        <f t="shared" si="209"/>
        <v>1.3E+15</v>
      </c>
      <c r="AS64" s="469">
        <f t="shared" si="209"/>
        <v>420490000000000</v>
      </c>
      <c r="AT64" s="469">
        <f t="shared" si="209"/>
        <v>3990000000000</v>
      </c>
      <c r="AU64" s="581">
        <f t="shared" si="209"/>
        <v>1.14E+15</v>
      </c>
      <c r="AV64" s="461"/>
      <c r="AW64" s="580">
        <f t="shared" ref="AW64:BN64" si="210">AW63+DB63</f>
        <v>56</v>
      </c>
      <c r="AX64" s="252">
        <f t="shared" si="210"/>
        <v>21</v>
      </c>
      <c r="AY64" s="252">
        <f t="shared" si="210"/>
        <v>60</v>
      </c>
      <c r="AZ64" s="252">
        <f t="shared" si="210"/>
        <v>17</v>
      </c>
      <c r="BA64" s="252">
        <f t="shared" si="210"/>
        <v>57</v>
      </c>
      <c r="BB64" s="252">
        <f t="shared" si="210"/>
        <v>13</v>
      </c>
      <c r="BC64" s="390">
        <f t="shared" si="210"/>
        <v>62</v>
      </c>
      <c r="BD64" s="390">
        <f t="shared" si="210"/>
        <v>79</v>
      </c>
      <c r="BE64" s="390">
        <f t="shared" si="210"/>
        <v>0</v>
      </c>
      <c r="BF64" s="390">
        <f t="shared" si="210"/>
        <v>18</v>
      </c>
      <c r="BG64" s="390">
        <f t="shared" si="210"/>
        <v>59</v>
      </c>
      <c r="BH64" s="390">
        <f t="shared" si="210"/>
        <v>20</v>
      </c>
      <c r="BI64" s="469">
        <f t="shared" si="210"/>
        <v>65</v>
      </c>
      <c r="BJ64" s="469">
        <f t="shared" si="210"/>
        <v>37</v>
      </c>
      <c r="BK64" s="469">
        <f t="shared" si="210"/>
        <v>37</v>
      </c>
      <c r="BL64" s="469">
        <f t="shared" si="210"/>
        <v>18</v>
      </c>
      <c r="BM64" s="469">
        <f t="shared" si="210"/>
        <v>42</v>
      </c>
      <c r="BN64" s="581">
        <f t="shared" si="210"/>
        <v>15</v>
      </c>
      <c r="BO64" s="461"/>
      <c r="BP64" s="580">
        <f t="shared" si="8"/>
        <v>37110000000000</v>
      </c>
      <c r="BQ64" s="252" t="str">
        <f t="shared" si="9"/>
        <v/>
      </c>
      <c r="BR64" s="252">
        <f t="shared" si="10"/>
        <v>69650000000000</v>
      </c>
      <c r="BS64" s="252" t="str">
        <f t="shared" si="11"/>
        <v/>
      </c>
      <c r="BT64" s="252" t="str">
        <f t="shared" si="12"/>
        <v/>
      </c>
      <c r="BU64" s="252">
        <f t="shared" si="13"/>
        <v>47710000000000</v>
      </c>
      <c r="BV64" s="390">
        <f t="shared" si="14"/>
        <v>92140000000000</v>
      </c>
      <c r="BW64" s="390" t="str">
        <f t="shared" si="15"/>
        <v/>
      </c>
      <c r="BX64" s="390" t="str">
        <f t="shared" si="16"/>
        <v/>
      </c>
      <c r="BY64" s="390" t="str">
        <f t="shared" si="17"/>
        <v/>
      </c>
      <c r="BZ64" s="390">
        <f t="shared" si="18"/>
        <v>60080000000000</v>
      </c>
      <c r="CA64" s="390">
        <f t="shared" si="19"/>
        <v>22020000000000</v>
      </c>
      <c r="CB64" s="469">
        <f t="shared" si="20"/>
        <v>135610000000000</v>
      </c>
      <c r="CC64" s="469" t="str">
        <f t="shared" si="21"/>
        <v/>
      </c>
      <c r="CD64" s="469" t="str">
        <f t="shared" si="22"/>
        <v/>
      </c>
      <c r="CE64" s="469" t="str">
        <f t="shared" si="23"/>
        <v/>
      </c>
      <c r="CF64" s="469" t="str">
        <f t="shared" si="24"/>
        <v/>
      </c>
      <c r="CG64" s="581" t="str">
        <f t="shared" si="25"/>
        <v/>
      </c>
      <c r="CH64" s="461"/>
      <c r="CI64" s="580" t="str">
        <f t="array" ref="CI64">LET(
array,SORT({$Y$2:$AB$19,TRANSPOSE($BP64:$CG64)},4,TRUE),
col,CHOOSECOLS(array,5),
row,MATCH(FALSE, ISBLANK(col), 0),
IF(BP64=SWITCH($AA$22,
"minimum cost", MIN($BP64:$CG64),
"maximum cost", MAX($BP64:$CG64), 
"custom order", IF(CI$1=INDEX(array, row,1),INDEX(array, row,5),"x"))
,1,))</f>
        <v/>
      </c>
      <c r="CJ64" s="252" t="str">
        <f t="array" ref="CJ64">LET(
array,SORT({$Y$2:$AB$19,TRANSPOSE($BP64:$CG64)},4,TRUE),
col,CHOOSECOLS(array,5),
row,MATCH(FALSE, ISBLANK(col), 0),
IF(BQ64=SWITCH($AA$22,
"minimum cost", MIN($BP64:$CG64),
"maximum cost", MAX($BP64:$CG64), 
"custom order", IF(CJ$1=INDEX(array, row,1),INDEX(array, row,5),"x"))
,1,))</f>
        <v/>
      </c>
      <c r="CK64" s="252" t="str">
        <f t="array" ref="CK64">LET(
array,SORT({$Y$2:$AB$19,TRANSPOSE($BP64:$CG64)},4,TRUE),
col,CHOOSECOLS(array,5),
row,MATCH(FALSE, ISBLANK(col), 0),
IF(BR64=SWITCH($AA$22,
"minimum cost", MIN($BP64:$CG64),
"maximum cost", MAX($BP64:$CG64), 
"custom order", IF(CK$1=INDEX(array, row,1),INDEX(array, row,5),"x"))
,1,))</f>
        <v/>
      </c>
      <c r="CL64" s="252" t="str">
        <f t="array" ref="CL64">LET(
array,SORT({$Y$2:$AB$19,TRANSPOSE($BP64:$CG64)},4,TRUE),
col,CHOOSECOLS(array,5),
row,MATCH(FALSE, ISBLANK(col), 0),
IF(BS64=SWITCH($AA$22,
"minimum cost", MIN($BP64:$CG64),
"maximum cost", MAX($BP64:$CG64), 
"custom order", IF(CL$1=INDEX(array, row,1),INDEX(array, row,5),"x"))
,1,))</f>
        <v/>
      </c>
      <c r="CM64" s="252" t="str">
        <f t="array" ref="CM64">LET(
array,SORT({$Y$2:$AB$19,TRANSPOSE($BP64:$CG64)},4,TRUE),
col,CHOOSECOLS(array,5),
row,MATCH(FALSE, ISBLANK(col), 0),
IF(BT64=SWITCH($AA$22,
"minimum cost", MIN($BP64:$CG64),
"maximum cost", MAX($BP64:$CG64), 
"custom order", IF(CM$1=INDEX(array, row,1),INDEX(array, row,5),"x"))
,1,))</f>
        <v/>
      </c>
      <c r="CN64" s="252" t="str">
        <f t="array" ref="CN64">LET(
array,SORT({$Y$2:$AB$19,TRANSPOSE($BP64:$CG64)},4,TRUE),
col,CHOOSECOLS(array,5),
row,MATCH(FALSE, ISBLANK(col), 0),
IF(BU64=SWITCH($AA$22,
"minimum cost", MIN($BP64:$CG64),
"maximum cost", MAX($BP64:$CG64), 
"custom order", IF(CN$1=INDEX(array, row,1),INDEX(array, row,5),"x"))
,1,))</f>
        <v/>
      </c>
      <c r="CO64" s="390" t="str">
        <f t="array" ref="CO64">LET(
array,SORT({$Y$2:$AB$19,TRANSPOSE($BP64:$CG64)},4,TRUE),
col,CHOOSECOLS(array,5),
row,MATCH(FALSE, ISBLANK(col), 0),
IF(BV64=SWITCH($AA$22,
"minimum cost", MIN($BP64:$CG64),
"maximum cost", MAX($BP64:$CG64), 
"custom order", IF(CO$1=INDEX(array, row,1),INDEX(array, row,5),"x"))
,1,))</f>
        <v/>
      </c>
      <c r="CP64" s="390" t="str">
        <f t="array" ref="CP64">LET(
array,SORT({$Y$2:$AB$19,TRANSPOSE($BP64:$CG64)},4,TRUE),
col,CHOOSECOLS(array,5),
row,MATCH(FALSE, ISBLANK(col), 0),
IF(BW64=SWITCH($AA$22,
"minimum cost", MIN($BP64:$CG64),
"maximum cost", MAX($BP64:$CG64), 
"custom order", IF(CP$1=INDEX(array, row,1),INDEX(array, row,5),"x"))
,1,))</f>
        <v/>
      </c>
      <c r="CQ64" s="390" t="str">
        <f t="array" ref="CQ64">LET(
array,SORT({$Y$2:$AB$19,TRANSPOSE($BP64:$CG64)},4,TRUE),
col,CHOOSECOLS(array,5),
row,MATCH(FALSE, ISBLANK(col), 0),
IF(BX64=SWITCH($AA$22,
"minimum cost", MIN($BP64:$CG64),
"maximum cost", MAX($BP64:$CG64), 
"custom order", IF(CQ$1=INDEX(array, row,1),INDEX(array, row,5),"x"))
,1,))</f>
        <v/>
      </c>
      <c r="CR64" s="390" t="str">
        <f t="array" ref="CR64">LET(
array,SORT({$Y$2:$AB$19,TRANSPOSE($BP64:$CG64)},4,TRUE),
col,CHOOSECOLS(array,5),
row,MATCH(FALSE, ISBLANK(col), 0),
IF(BY64=SWITCH($AA$22,
"minimum cost", MIN($BP64:$CG64),
"maximum cost", MAX($BP64:$CG64), 
"custom order", IF(CR$1=INDEX(array, row,1),INDEX(array, row,5),"x"))
,1,))</f>
        <v/>
      </c>
      <c r="CS64" s="390" t="str">
        <f t="array" ref="CS64">LET(
array,SORT({$Y$2:$AB$19,TRANSPOSE($BP64:$CG64)},4,TRUE),
col,CHOOSECOLS(array,5),
row,MATCH(FALSE, ISBLANK(col), 0),
IF(BZ64=SWITCH($AA$22,
"minimum cost", MIN($BP64:$CG64),
"maximum cost", MAX($BP64:$CG64), 
"custom order", IF(CS$1=INDEX(array, row,1),INDEX(array, row,5),"x"))
,1,))</f>
        <v/>
      </c>
      <c r="CT64" s="390" t="str">
        <f t="array" ref="CT64">LET(
array,SORT({$Y$2:$AB$19,TRANSPOSE($BP64:$CG64)},4,TRUE),
col,CHOOSECOLS(array,5),
row,MATCH(FALSE, ISBLANK(col), 0),
IF(CA64=SWITCH($AA$22,
"minimum cost", MIN($BP64:$CG64),
"maximum cost", MAX($BP64:$CG64), 
"custom order", IF(CT$1=INDEX(array, row,1),INDEX(array, row,5),"x"))
,1,))</f>
        <v/>
      </c>
      <c r="CU64" s="469">
        <f t="array" ref="CU64">LET(
array,SORT({$Y$2:$AB$19,TRANSPOSE($BP64:$CG64)},4,TRUE),
col,CHOOSECOLS(array,5),
row,MATCH(FALSE, ISBLANK(col), 0),
IF(CB64=SWITCH($AA$22,
"minimum cost", MIN($BP64:$CG64),
"maximum cost", MAX($BP64:$CG64), 
"custom order", IF(CU$1=INDEX(array, row,1),INDEX(array, row,5),"x"))
,1,))</f>
        <v>1</v>
      </c>
      <c r="CV64" s="469" t="str">
        <f t="array" ref="CV64">LET(
array,SORT({$Y$2:$AB$19,TRANSPOSE($BP64:$CG64)},4,TRUE),
col,CHOOSECOLS(array,5),
row,MATCH(FALSE, ISBLANK(col), 0),
IF(CC64=SWITCH($AA$22,
"minimum cost", MIN($BP64:$CG64),
"maximum cost", MAX($BP64:$CG64), 
"custom order", IF(CV$1=INDEX(array, row,1),INDEX(array, row,5),"x"))
,1,))</f>
        <v/>
      </c>
      <c r="CW64" s="469" t="str">
        <f t="array" ref="CW64">LET(
array,SORT({$Y$2:$AB$19,TRANSPOSE($BP64:$CG64)},4,TRUE),
col,CHOOSECOLS(array,5),
row,MATCH(FALSE, ISBLANK(col), 0),
IF(CD64=SWITCH($AA$22,
"minimum cost", MIN($BP64:$CG64),
"maximum cost", MAX($BP64:$CG64), 
"custom order", IF(CW$1=INDEX(array, row,1),INDEX(array, row,5),"x"))
,1,))</f>
        <v/>
      </c>
      <c r="CX64" s="469" t="str">
        <f t="array" ref="CX64">LET(
array,SORT({$Y$2:$AB$19,TRANSPOSE($BP64:$CG64)},4,TRUE),
col,CHOOSECOLS(array,5),
row,MATCH(FALSE, ISBLANK(col), 0),
IF(CE64=SWITCH($AA$22,
"minimum cost", MIN($BP64:$CG64),
"maximum cost", MAX($BP64:$CG64), 
"custom order", IF(CX$1=INDEX(array, row,1),INDEX(array, row,5),"x"))
,1,))</f>
        <v/>
      </c>
      <c r="CY64" s="469" t="str">
        <f t="array" ref="CY64">LET(
array,SORT({$Y$2:$AB$19,TRANSPOSE($BP64:$CG64)},4,TRUE),
col,CHOOSECOLS(array,5),
row,MATCH(FALSE, ISBLANK(col), 0),
IF(CF64=SWITCH($AA$22,
"minimum cost", MIN($BP64:$CG64),
"maximum cost", MAX($BP64:$CG64), 
"custom order", IF(CY$1=INDEX(array, row,1),INDEX(array, row,5),"x"))
,1,))</f>
        <v/>
      </c>
      <c r="CZ64" s="581" t="str">
        <f t="array" ref="CZ64">LET(
array,SORT({$Y$2:$AB$19,TRANSPOSE($BP64:$CG64)},4,TRUE),
col,CHOOSECOLS(array,5),
row,MATCH(FALSE, ISBLANK(col), 0),
IF(CG64=SWITCH($AA$22,
"minimum cost", MIN($BP64:$CG64),
"maximum cost", MAX($BP64:$CG64), 
"custom order", IF(CZ$1=INDEX(array, row,1),INDEX(array, row,5),"x"))
,1,))</f>
        <v/>
      </c>
      <c r="DA64" s="461"/>
      <c r="DB64" s="580" t="str">
        <f t="array" ref="DB64:DS64">IF(MATCH(1, CI64:CZ64, 0)=COLUMN(CI64:CZ64)-COLUMN(CI64)+1, CI64:CZ64, "")</f>
        <v/>
      </c>
      <c r="DC64" s="252" t="s">
        <v>133</v>
      </c>
      <c r="DD64" s="252" t="s">
        <v>133</v>
      </c>
      <c r="DE64" s="252" t="s">
        <v>133</v>
      </c>
      <c r="DF64" s="252" t="s">
        <v>133</v>
      </c>
      <c r="DG64" s="252" t="s">
        <v>133</v>
      </c>
      <c r="DH64" s="390" t="s">
        <v>133</v>
      </c>
      <c r="DI64" s="390" t="s">
        <v>133</v>
      </c>
      <c r="DJ64" s="390" t="s">
        <v>133</v>
      </c>
      <c r="DK64" s="390" t="s">
        <v>133</v>
      </c>
      <c r="DL64" s="390" t="s">
        <v>133</v>
      </c>
      <c r="DM64" s="390" t="s">
        <v>133</v>
      </c>
      <c r="DN64" s="469">
        <v>1.0</v>
      </c>
      <c r="DO64" s="469" t="s">
        <v>133</v>
      </c>
      <c r="DP64" s="469" t="s">
        <v>133</v>
      </c>
      <c r="DQ64" s="469" t="s">
        <v>133</v>
      </c>
      <c r="DR64" s="469" t="s">
        <v>133</v>
      </c>
      <c r="DS64" s="581" t="s">
        <v>133</v>
      </c>
      <c r="DT64" s="563"/>
    </row>
    <row r="65">
      <c r="A65" s="563"/>
      <c r="B65" s="709"/>
      <c r="C65" s="709"/>
      <c r="D65" s="709"/>
      <c r="E65" s="10"/>
      <c r="F65" s="709"/>
      <c r="G65" s="10"/>
      <c r="H65" s="709"/>
      <c r="I65" s="10"/>
      <c r="J65" s="709"/>
      <c r="K65" s="10"/>
      <c r="L65" s="709"/>
      <c r="M65" s="461"/>
      <c r="N65" s="10"/>
      <c r="O65" s="10"/>
      <c r="P65" s="10"/>
      <c r="Q65" s="570" t="str">
        <f>IFERROR(__xludf.DUMMYFUNCTION("IF(SUM(DB65:DS65),ARRAYFORMULA(FILTER(DB$1:DS$1, DB65:DS65=1)),)"),"Health")</f>
        <v>Health</v>
      </c>
      <c r="R65" s="571">
        <f>IFERROR(__xludf.DUMMYFUNCTION("IF(SUM(DB65:DS65),ARRAYFORMULA(FILTER(AW65:BN65, DB65:DS65=1))+1,)"),63.0)</f>
        <v>63</v>
      </c>
      <c r="S65" s="572">
        <f>IFERROR(__xludf.DUMMYFUNCTION("IF(SUM(DB65:DS65),ARRAYFORMULA(FILTER(AD65:AU65, DB65:DS65=1)),)"),9.214E13)</f>
        <v>92140000000000</v>
      </c>
      <c r="T65" s="572">
        <f t="shared" si="26"/>
        <v>1.38859E+16</v>
      </c>
      <c r="U65" s="573" t="str">
        <f t="shared" ref="U65:V65" si="211">FORMAT_NUMBER(S65)</f>
        <v>92.14 T</v>
      </c>
      <c r="V65" s="574" t="str">
        <f t="shared" si="211"/>
        <v>13.89 q</v>
      </c>
      <c r="W65" s="677"/>
      <c r="X65" s="709"/>
      <c r="Y65" s="709"/>
      <c r="Z65" s="709"/>
      <c r="AA65" s="709"/>
      <c r="AB65" s="712"/>
      <c r="AC65" s="461"/>
      <c r="AD65" s="580">
        <f t="shared" ref="AD65:AU65" si="212">IFERROR(WSPCOST_SINGLE_ADJUSTED(AD$1,1+AW65),)</f>
        <v>37110000000000</v>
      </c>
      <c r="AE65" s="252">
        <f t="shared" si="212"/>
        <v>82420000000</v>
      </c>
      <c r="AF65" s="252">
        <f t="shared" si="212"/>
        <v>69650000000000</v>
      </c>
      <c r="AG65" s="252">
        <f t="shared" si="212"/>
        <v>21210000000</v>
      </c>
      <c r="AH65" s="252">
        <f t="shared" si="212"/>
        <v>43890000000000</v>
      </c>
      <c r="AI65" s="252">
        <f t="shared" si="212"/>
        <v>47710000000000</v>
      </c>
      <c r="AJ65" s="390">
        <f t="shared" si="212"/>
        <v>92140000000000</v>
      </c>
      <c r="AK65" s="390">
        <f t="shared" si="212"/>
        <v>580270000000000</v>
      </c>
      <c r="AL65" s="390">
        <f t="shared" si="212"/>
        <v>5000000000</v>
      </c>
      <c r="AM65" s="390">
        <f t="shared" si="212"/>
        <v>33950000000</v>
      </c>
      <c r="AN65" s="390">
        <f t="shared" si="212"/>
        <v>60080000000000</v>
      </c>
      <c r="AO65" s="390">
        <f t="shared" si="212"/>
        <v>22020000000000</v>
      </c>
      <c r="AP65" s="469">
        <f t="shared" si="212"/>
        <v>153100000000000</v>
      </c>
      <c r="AQ65" s="469">
        <f t="shared" si="212"/>
        <v>1.3E+15</v>
      </c>
      <c r="AR65" s="469">
        <f t="shared" si="212"/>
        <v>1.3E+15</v>
      </c>
      <c r="AS65" s="469">
        <f t="shared" si="212"/>
        <v>420490000000000</v>
      </c>
      <c r="AT65" s="469">
        <f t="shared" si="212"/>
        <v>3990000000000</v>
      </c>
      <c r="AU65" s="581">
        <f t="shared" si="212"/>
        <v>1.14E+15</v>
      </c>
      <c r="AV65" s="461"/>
      <c r="AW65" s="580">
        <f t="shared" ref="AW65:BN65" si="213">AW64+DB64</f>
        <v>56</v>
      </c>
      <c r="AX65" s="252">
        <f t="shared" si="213"/>
        <v>21</v>
      </c>
      <c r="AY65" s="252">
        <f t="shared" si="213"/>
        <v>60</v>
      </c>
      <c r="AZ65" s="252">
        <f t="shared" si="213"/>
        <v>17</v>
      </c>
      <c r="BA65" s="252">
        <f t="shared" si="213"/>
        <v>57</v>
      </c>
      <c r="BB65" s="252">
        <f t="shared" si="213"/>
        <v>13</v>
      </c>
      <c r="BC65" s="390">
        <f t="shared" si="213"/>
        <v>62</v>
      </c>
      <c r="BD65" s="390">
        <f t="shared" si="213"/>
        <v>79</v>
      </c>
      <c r="BE65" s="390">
        <f t="shared" si="213"/>
        <v>0</v>
      </c>
      <c r="BF65" s="390">
        <f t="shared" si="213"/>
        <v>18</v>
      </c>
      <c r="BG65" s="390">
        <f t="shared" si="213"/>
        <v>59</v>
      </c>
      <c r="BH65" s="390">
        <f t="shared" si="213"/>
        <v>20</v>
      </c>
      <c r="BI65" s="469">
        <f t="shared" si="213"/>
        <v>66</v>
      </c>
      <c r="BJ65" s="469">
        <f t="shared" si="213"/>
        <v>37</v>
      </c>
      <c r="BK65" s="469">
        <f t="shared" si="213"/>
        <v>37</v>
      </c>
      <c r="BL65" s="469">
        <f t="shared" si="213"/>
        <v>18</v>
      </c>
      <c r="BM65" s="469">
        <f t="shared" si="213"/>
        <v>42</v>
      </c>
      <c r="BN65" s="581">
        <f t="shared" si="213"/>
        <v>15</v>
      </c>
      <c r="BO65" s="461"/>
      <c r="BP65" s="580">
        <f t="shared" si="8"/>
        <v>37110000000000</v>
      </c>
      <c r="BQ65" s="252" t="str">
        <f t="shared" si="9"/>
        <v/>
      </c>
      <c r="BR65" s="252">
        <f t="shared" si="10"/>
        <v>69650000000000</v>
      </c>
      <c r="BS65" s="252" t="str">
        <f t="shared" si="11"/>
        <v/>
      </c>
      <c r="BT65" s="252" t="str">
        <f t="shared" si="12"/>
        <v/>
      </c>
      <c r="BU65" s="252">
        <f t="shared" si="13"/>
        <v>47710000000000</v>
      </c>
      <c r="BV65" s="390">
        <f t="shared" si="14"/>
        <v>92140000000000</v>
      </c>
      <c r="BW65" s="390" t="str">
        <f t="shared" si="15"/>
        <v/>
      </c>
      <c r="BX65" s="390" t="str">
        <f t="shared" si="16"/>
        <v/>
      </c>
      <c r="BY65" s="390" t="str">
        <f t="shared" si="17"/>
        <v/>
      </c>
      <c r="BZ65" s="390">
        <f t="shared" si="18"/>
        <v>60080000000000</v>
      </c>
      <c r="CA65" s="390">
        <f t="shared" si="19"/>
        <v>22020000000000</v>
      </c>
      <c r="CB65" s="469" t="str">
        <f t="shared" si="20"/>
        <v/>
      </c>
      <c r="CC65" s="469" t="str">
        <f t="shared" si="21"/>
        <v/>
      </c>
      <c r="CD65" s="469" t="str">
        <f t="shared" si="22"/>
        <v/>
      </c>
      <c r="CE65" s="469" t="str">
        <f t="shared" si="23"/>
        <v/>
      </c>
      <c r="CF65" s="469" t="str">
        <f t="shared" si="24"/>
        <v/>
      </c>
      <c r="CG65" s="581" t="str">
        <f t="shared" si="25"/>
        <v/>
      </c>
      <c r="CH65" s="461"/>
      <c r="CI65" s="580" t="str">
        <f t="array" ref="CI65">LET(
array,SORT({$Y$2:$AB$19,TRANSPOSE($BP65:$CG65)},4,TRUE),
col,CHOOSECOLS(array,5),
row,MATCH(FALSE, ISBLANK(col), 0),
IF(BP65=SWITCH($AA$22,
"minimum cost", MIN($BP65:$CG65),
"maximum cost", MAX($BP65:$CG65), 
"custom order", IF(CI$1=INDEX(array, row,1),INDEX(array, row,5),"x"))
,1,))</f>
        <v/>
      </c>
      <c r="CJ65" s="252" t="str">
        <f t="array" ref="CJ65">LET(
array,SORT({$Y$2:$AB$19,TRANSPOSE($BP65:$CG65)},4,TRUE),
col,CHOOSECOLS(array,5),
row,MATCH(FALSE, ISBLANK(col), 0),
IF(BQ65=SWITCH($AA$22,
"minimum cost", MIN($BP65:$CG65),
"maximum cost", MAX($BP65:$CG65), 
"custom order", IF(CJ$1=INDEX(array, row,1),INDEX(array, row,5),"x"))
,1,))</f>
        <v/>
      </c>
      <c r="CK65" s="252" t="str">
        <f t="array" ref="CK65">LET(
array,SORT({$Y$2:$AB$19,TRANSPOSE($BP65:$CG65)},4,TRUE),
col,CHOOSECOLS(array,5),
row,MATCH(FALSE, ISBLANK(col), 0),
IF(BR65=SWITCH($AA$22,
"minimum cost", MIN($BP65:$CG65),
"maximum cost", MAX($BP65:$CG65), 
"custom order", IF(CK$1=INDEX(array, row,1),INDEX(array, row,5),"x"))
,1,))</f>
        <v/>
      </c>
      <c r="CL65" s="252" t="str">
        <f t="array" ref="CL65">LET(
array,SORT({$Y$2:$AB$19,TRANSPOSE($BP65:$CG65)},4,TRUE),
col,CHOOSECOLS(array,5),
row,MATCH(FALSE, ISBLANK(col), 0),
IF(BS65=SWITCH($AA$22,
"minimum cost", MIN($BP65:$CG65),
"maximum cost", MAX($BP65:$CG65), 
"custom order", IF(CL$1=INDEX(array, row,1),INDEX(array, row,5),"x"))
,1,))</f>
        <v/>
      </c>
      <c r="CM65" s="252" t="str">
        <f t="array" ref="CM65">LET(
array,SORT({$Y$2:$AB$19,TRANSPOSE($BP65:$CG65)},4,TRUE),
col,CHOOSECOLS(array,5),
row,MATCH(FALSE, ISBLANK(col), 0),
IF(BT65=SWITCH($AA$22,
"minimum cost", MIN($BP65:$CG65),
"maximum cost", MAX($BP65:$CG65), 
"custom order", IF(CM$1=INDEX(array, row,1),INDEX(array, row,5),"x"))
,1,))</f>
        <v/>
      </c>
      <c r="CN65" s="252" t="str">
        <f t="array" ref="CN65">LET(
array,SORT({$Y$2:$AB$19,TRANSPOSE($BP65:$CG65)},4,TRUE),
col,CHOOSECOLS(array,5),
row,MATCH(FALSE, ISBLANK(col), 0),
IF(BU65=SWITCH($AA$22,
"minimum cost", MIN($BP65:$CG65),
"maximum cost", MAX($BP65:$CG65), 
"custom order", IF(CN$1=INDEX(array, row,1),INDEX(array, row,5),"x"))
,1,))</f>
        <v/>
      </c>
      <c r="CO65" s="390">
        <f t="array" ref="CO65">LET(
array,SORT({$Y$2:$AB$19,TRANSPOSE($BP65:$CG65)},4,TRUE),
col,CHOOSECOLS(array,5),
row,MATCH(FALSE, ISBLANK(col), 0),
IF(BV65=SWITCH($AA$22,
"minimum cost", MIN($BP65:$CG65),
"maximum cost", MAX($BP65:$CG65), 
"custom order", IF(CO$1=INDEX(array, row,1),INDEX(array, row,5),"x"))
,1,))</f>
        <v>1</v>
      </c>
      <c r="CP65" s="390" t="str">
        <f t="array" ref="CP65">LET(
array,SORT({$Y$2:$AB$19,TRANSPOSE($BP65:$CG65)},4,TRUE),
col,CHOOSECOLS(array,5),
row,MATCH(FALSE, ISBLANK(col), 0),
IF(BW65=SWITCH($AA$22,
"minimum cost", MIN($BP65:$CG65),
"maximum cost", MAX($BP65:$CG65), 
"custom order", IF(CP$1=INDEX(array, row,1),INDEX(array, row,5),"x"))
,1,))</f>
        <v/>
      </c>
      <c r="CQ65" s="390" t="str">
        <f t="array" ref="CQ65">LET(
array,SORT({$Y$2:$AB$19,TRANSPOSE($BP65:$CG65)},4,TRUE),
col,CHOOSECOLS(array,5),
row,MATCH(FALSE, ISBLANK(col), 0),
IF(BX65=SWITCH($AA$22,
"minimum cost", MIN($BP65:$CG65),
"maximum cost", MAX($BP65:$CG65), 
"custom order", IF(CQ$1=INDEX(array, row,1),INDEX(array, row,5),"x"))
,1,))</f>
        <v/>
      </c>
      <c r="CR65" s="390" t="str">
        <f t="array" ref="CR65">LET(
array,SORT({$Y$2:$AB$19,TRANSPOSE($BP65:$CG65)},4,TRUE),
col,CHOOSECOLS(array,5),
row,MATCH(FALSE, ISBLANK(col), 0),
IF(BY65=SWITCH($AA$22,
"minimum cost", MIN($BP65:$CG65),
"maximum cost", MAX($BP65:$CG65), 
"custom order", IF(CR$1=INDEX(array, row,1),INDEX(array, row,5),"x"))
,1,))</f>
        <v/>
      </c>
      <c r="CS65" s="390" t="str">
        <f t="array" ref="CS65">LET(
array,SORT({$Y$2:$AB$19,TRANSPOSE($BP65:$CG65)},4,TRUE),
col,CHOOSECOLS(array,5),
row,MATCH(FALSE, ISBLANK(col), 0),
IF(BZ65=SWITCH($AA$22,
"minimum cost", MIN($BP65:$CG65),
"maximum cost", MAX($BP65:$CG65), 
"custom order", IF(CS$1=INDEX(array, row,1),INDEX(array, row,5),"x"))
,1,))</f>
        <v/>
      </c>
      <c r="CT65" s="390" t="str">
        <f t="array" ref="CT65">LET(
array,SORT({$Y$2:$AB$19,TRANSPOSE($BP65:$CG65)},4,TRUE),
col,CHOOSECOLS(array,5),
row,MATCH(FALSE, ISBLANK(col), 0),
IF(CA65=SWITCH($AA$22,
"minimum cost", MIN($BP65:$CG65),
"maximum cost", MAX($BP65:$CG65), 
"custom order", IF(CT$1=INDEX(array, row,1),INDEX(array, row,5),"x"))
,1,))</f>
        <v/>
      </c>
      <c r="CU65" s="469" t="str">
        <f t="array" ref="CU65">LET(
array,SORT({$Y$2:$AB$19,TRANSPOSE($BP65:$CG65)},4,TRUE),
col,CHOOSECOLS(array,5),
row,MATCH(FALSE, ISBLANK(col), 0),
IF(CB65=SWITCH($AA$22,
"minimum cost", MIN($BP65:$CG65),
"maximum cost", MAX($BP65:$CG65), 
"custom order", IF(CU$1=INDEX(array, row,1),INDEX(array, row,5),"x"))
,1,))</f>
        <v/>
      </c>
      <c r="CV65" s="469" t="str">
        <f t="array" ref="CV65">LET(
array,SORT({$Y$2:$AB$19,TRANSPOSE($BP65:$CG65)},4,TRUE),
col,CHOOSECOLS(array,5),
row,MATCH(FALSE, ISBLANK(col), 0),
IF(CC65=SWITCH($AA$22,
"minimum cost", MIN($BP65:$CG65),
"maximum cost", MAX($BP65:$CG65), 
"custom order", IF(CV$1=INDEX(array, row,1),INDEX(array, row,5),"x"))
,1,))</f>
        <v/>
      </c>
      <c r="CW65" s="469" t="str">
        <f t="array" ref="CW65">LET(
array,SORT({$Y$2:$AB$19,TRANSPOSE($BP65:$CG65)},4,TRUE),
col,CHOOSECOLS(array,5),
row,MATCH(FALSE, ISBLANK(col), 0),
IF(CD65=SWITCH($AA$22,
"minimum cost", MIN($BP65:$CG65),
"maximum cost", MAX($BP65:$CG65), 
"custom order", IF(CW$1=INDEX(array, row,1),INDEX(array, row,5),"x"))
,1,))</f>
        <v/>
      </c>
      <c r="CX65" s="469" t="str">
        <f t="array" ref="CX65">LET(
array,SORT({$Y$2:$AB$19,TRANSPOSE($BP65:$CG65)},4,TRUE),
col,CHOOSECOLS(array,5),
row,MATCH(FALSE, ISBLANK(col), 0),
IF(CE65=SWITCH($AA$22,
"minimum cost", MIN($BP65:$CG65),
"maximum cost", MAX($BP65:$CG65), 
"custom order", IF(CX$1=INDEX(array, row,1),INDEX(array, row,5),"x"))
,1,))</f>
        <v/>
      </c>
      <c r="CY65" s="469" t="str">
        <f t="array" ref="CY65">LET(
array,SORT({$Y$2:$AB$19,TRANSPOSE($BP65:$CG65)},4,TRUE),
col,CHOOSECOLS(array,5),
row,MATCH(FALSE, ISBLANK(col), 0),
IF(CF65=SWITCH($AA$22,
"minimum cost", MIN($BP65:$CG65),
"maximum cost", MAX($BP65:$CG65), 
"custom order", IF(CY$1=INDEX(array, row,1),INDEX(array, row,5),"x"))
,1,))</f>
        <v/>
      </c>
      <c r="CZ65" s="581" t="str">
        <f t="array" ref="CZ65">LET(
array,SORT({$Y$2:$AB$19,TRANSPOSE($BP65:$CG65)},4,TRUE),
col,CHOOSECOLS(array,5),
row,MATCH(FALSE, ISBLANK(col), 0),
IF(CG65=SWITCH($AA$22,
"minimum cost", MIN($BP65:$CG65),
"maximum cost", MAX($BP65:$CG65), 
"custom order", IF(CZ$1=INDEX(array, row,1),INDEX(array, row,5),"x"))
,1,))</f>
        <v/>
      </c>
      <c r="DA65" s="461"/>
      <c r="DB65" s="580" t="str">
        <f t="array" ref="DB65:DS65">IF(MATCH(1, CI65:CZ65, 0)=COLUMN(CI65:CZ65)-COLUMN(CI65)+1, CI65:CZ65, "")</f>
        <v/>
      </c>
      <c r="DC65" s="252" t="s">
        <v>133</v>
      </c>
      <c r="DD65" s="252" t="s">
        <v>133</v>
      </c>
      <c r="DE65" s="252" t="s">
        <v>133</v>
      </c>
      <c r="DF65" s="252" t="s">
        <v>133</v>
      </c>
      <c r="DG65" s="252" t="s">
        <v>133</v>
      </c>
      <c r="DH65" s="390">
        <v>1.0</v>
      </c>
      <c r="DI65" s="390" t="s">
        <v>133</v>
      </c>
      <c r="DJ65" s="390" t="s">
        <v>133</v>
      </c>
      <c r="DK65" s="390" t="s">
        <v>133</v>
      </c>
      <c r="DL65" s="390" t="s">
        <v>133</v>
      </c>
      <c r="DM65" s="390" t="s">
        <v>133</v>
      </c>
      <c r="DN65" s="469" t="s">
        <v>133</v>
      </c>
      <c r="DO65" s="469" t="s">
        <v>133</v>
      </c>
      <c r="DP65" s="469" t="s">
        <v>133</v>
      </c>
      <c r="DQ65" s="469" t="s">
        <v>133</v>
      </c>
      <c r="DR65" s="469" t="s">
        <v>133</v>
      </c>
      <c r="DS65" s="581" t="s">
        <v>133</v>
      </c>
      <c r="DT65" s="563"/>
    </row>
    <row r="66">
      <c r="A66" s="563"/>
      <c r="B66" s="709"/>
      <c r="C66" s="709"/>
      <c r="D66" s="709"/>
      <c r="E66" s="10"/>
      <c r="F66" s="709"/>
      <c r="G66" s="10"/>
      <c r="H66" s="709"/>
      <c r="I66" s="10"/>
      <c r="J66" s="709"/>
      <c r="K66" s="10"/>
      <c r="L66" s="709"/>
      <c r="M66" s="461"/>
      <c r="N66" s="10"/>
      <c r="O66" s="10"/>
      <c r="P66" s="10"/>
      <c r="Q66" s="570" t="str">
        <f>IFERROR(__xludf.DUMMYFUNCTION("IF(SUM(DB66:DS66),ARRAYFORMULA(FILTER(DB$1:DS$1, DB66:DS66=1)),)"),"Health")</f>
        <v>Health</v>
      </c>
      <c r="R66" s="571">
        <f>IFERROR(__xludf.DUMMYFUNCTION("IF(SUM(DB66:DS66),ARRAYFORMULA(FILTER(AW66:BN66, DB66:DS66=1))+1,)"),64.0)</f>
        <v>64</v>
      </c>
      <c r="S66" s="572">
        <f>IFERROR(__xludf.DUMMYFUNCTION("IF(SUM(DB66:DS66),ARRAYFORMULA(FILTER(AD66:AU66, DB66:DS66=1)),)"),1.0523E14)</f>
        <v>105230000000000</v>
      </c>
      <c r="T66" s="572">
        <f t="shared" si="26"/>
        <v>1.39911E+16</v>
      </c>
      <c r="U66" s="573" t="str">
        <f t="shared" ref="U66:V66" si="214">FORMAT_NUMBER(S66)</f>
        <v>105.23 T</v>
      </c>
      <c r="V66" s="574" t="str">
        <f t="shared" si="214"/>
        <v>13.99 q</v>
      </c>
      <c r="W66" s="677"/>
      <c r="X66" s="709"/>
      <c r="Y66" s="709"/>
      <c r="Z66" s="709"/>
      <c r="AA66" s="709"/>
      <c r="AB66" s="712"/>
      <c r="AC66" s="461"/>
      <c r="AD66" s="580">
        <f t="shared" ref="AD66:AU66" si="215">IFERROR(WSPCOST_SINGLE_ADJUSTED(AD$1,1+AW66),)</f>
        <v>37110000000000</v>
      </c>
      <c r="AE66" s="252">
        <f t="shared" si="215"/>
        <v>82420000000</v>
      </c>
      <c r="AF66" s="252">
        <f t="shared" si="215"/>
        <v>69650000000000</v>
      </c>
      <c r="AG66" s="252">
        <f t="shared" si="215"/>
        <v>21210000000</v>
      </c>
      <c r="AH66" s="252">
        <f t="shared" si="215"/>
        <v>43890000000000</v>
      </c>
      <c r="AI66" s="252">
        <f t="shared" si="215"/>
        <v>47710000000000</v>
      </c>
      <c r="AJ66" s="390">
        <f t="shared" si="215"/>
        <v>105230000000000</v>
      </c>
      <c r="AK66" s="390">
        <f t="shared" si="215"/>
        <v>580270000000000</v>
      </c>
      <c r="AL66" s="390">
        <f t="shared" si="215"/>
        <v>5000000000</v>
      </c>
      <c r="AM66" s="390">
        <f t="shared" si="215"/>
        <v>33950000000</v>
      </c>
      <c r="AN66" s="390">
        <f t="shared" si="215"/>
        <v>60080000000000</v>
      </c>
      <c r="AO66" s="390">
        <f t="shared" si="215"/>
        <v>22020000000000</v>
      </c>
      <c r="AP66" s="469">
        <f t="shared" si="215"/>
        <v>153100000000000</v>
      </c>
      <c r="AQ66" s="469">
        <f t="shared" si="215"/>
        <v>1.3E+15</v>
      </c>
      <c r="AR66" s="469">
        <f t="shared" si="215"/>
        <v>1.3E+15</v>
      </c>
      <c r="AS66" s="469">
        <f t="shared" si="215"/>
        <v>420490000000000</v>
      </c>
      <c r="AT66" s="469">
        <f t="shared" si="215"/>
        <v>3990000000000</v>
      </c>
      <c r="AU66" s="581">
        <f t="shared" si="215"/>
        <v>1.14E+15</v>
      </c>
      <c r="AV66" s="461"/>
      <c r="AW66" s="580">
        <f t="shared" ref="AW66:BN66" si="216">AW65+DB65</f>
        <v>56</v>
      </c>
      <c r="AX66" s="252">
        <f t="shared" si="216"/>
        <v>21</v>
      </c>
      <c r="AY66" s="252">
        <f t="shared" si="216"/>
        <v>60</v>
      </c>
      <c r="AZ66" s="252">
        <f t="shared" si="216"/>
        <v>17</v>
      </c>
      <c r="BA66" s="252">
        <f t="shared" si="216"/>
        <v>57</v>
      </c>
      <c r="BB66" s="252">
        <f t="shared" si="216"/>
        <v>13</v>
      </c>
      <c r="BC66" s="390">
        <f t="shared" si="216"/>
        <v>63</v>
      </c>
      <c r="BD66" s="390">
        <f t="shared" si="216"/>
        <v>79</v>
      </c>
      <c r="BE66" s="390">
        <f t="shared" si="216"/>
        <v>0</v>
      </c>
      <c r="BF66" s="390">
        <f t="shared" si="216"/>
        <v>18</v>
      </c>
      <c r="BG66" s="390">
        <f t="shared" si="216"/>
        <v>59</v>
      </c>
      <c r="BH66" s="390">
        <f t="shared" si="216"/>
        <v>20</v>
      </c>
      <c r="BI66" s="469">
        <f t="shared" si="216"/>
        <v>66</v>
      </c>
      <c r="BJ66" s="469">
        <f t="shared" si="216"/>
        <v>37</v>
      </c>
      <c r="BK66" s="469">
        <f t="shared" si="216"/>
        <v>37</v>
      </c>
      <c r="BL66" s="469">
        <f t="shared" si="216"/>
        <v>18</v>
      </c>
      <c r="BM66" s="469">
        <f t="shared" si="216"/>
        <v>42</v>
      </c>
      <c r="BN66" s="581">
        <f t="shared" si="216"/>
        <v>15</v>
      </c>
      <c r="BO66" s="461"/>
      <c r="BP66" s="580">
        <f t="shared" si="8"/>
        <v>37110000000000</v>
      </c>
      <c r="BQ66" s="252" t="str">
        <f t="shared" si="9"/>
        <v/>
      </c>
      <c r="BR66" s="252">
        <f t="shared" si="10"/>
        <v>69650000000000</v>
      </c>
      <c r="BS66" s="252" t="str">
        <f t="shared" si="11"/>
        <v/>
      </c>
      <c r="BT66" s="252" t="str">
        <f t="shared" si="12"/>
        <v/>
      </c>
      <c r="BU66" s="252">
        <f t="shared" si="13"/>
        <v>47710000000000</v>
      </c>
      <c r="BV66" s="390">
        <f t="shared" si="14"/>
        <v>105230000000000</v>
      </c>
      <c r="BW66" s="390" t="str">
        <f t="shared" si="15"/>
        <v/>
      </c>
      <c r="BX66" s="390" t="str">
        <f t="shared" si="16"/>
        <v/>
      </c>
      <c r="BY66" s="390" t="str">
        <f t="shared" si="17"/>
        <v/>
      </c>
      <c r="BZ66" s="390">
        <f t="shared" si="18"/>
        <v>60080000000000</v>
      </c>
      <c r="CA66" s="390">
        <f t="shared" si="19"/>
        <v>22020000000000</v>
      </c>
      <c r="CB66" s="469" t="str">
        <f t="shared" si="20"/>
        <v/>
      </c>
      <c r="CC66" s="469" t="str">
        <f t="shared" si="21"/>
        <v/>
      </c>
      <c r="CD66" s="469" t="str">
        <f t="shared" si="22"/>
        <v/>
      </c>
      <c r="CE66" s="469" t="str">
        <f t="shared" si="23"/>
        <v/>
      </c>
      <c r="CF66" s="469" t="str">
        <f t="shared" si="24"/>
        <v/>
      </c>
      <c r="CG66" s="581" t="str">
        <f t="shared" si="25"/>
        <v/>
      </c>
      <c r="CH66" s="461"/>
      <c r="CI66" s="580" t="str">
        <f t="array" ref="CI66">LET(
array,SORT({$Y$2:$AB$19,TRANSPOSE($BP66:$CG66)},4,TRUE),
col,CHOOSECOLS(array,5),
row,MATCH(FALSE, ISBLANK(col), 0),
IF(BP66=SWITCH($AA$22,
"minimum cost", MIN($BP66:$CG66),
"maximum cost", MAX($BP66:$CG66), 
"custom order", IF(CI$1=INDEX(array, row,1),INDEX(array, row,5),"x"))
,1,))</f>
        <v/>
      </c>
      <c r="CJ66" s="252" t="str">
        <f t="array" ref="CJ66">LET(
array,SORT({$Y$2:$AB$19,TRANSPOSE($BP66:$CG66)},4,TRUE),
col,CHOOSECOLS(array,5),
row,MATCH(FALSE, ISBLANK(col), 0),
IF(BQ66=SWITCH($AA$22,
"minimum cost", MIN($BP66:$CG66),
"maximum cost", MAX($BP66:$CG66), 
"custom order", IF(CJ$1=INDEX(array, row,1),INDEX(array, row,5),"x"))
,1,))</f>
        <v/>
      </c>
      <c r="CK66" s="252" t="str">
        <f t="array" ref="CK66">LET(
array,SORT({$Y$2:$AB$19,TRANSPOSE($BP66:$CG66)},4,TRUE),
col,CHOOSECOLS(array,5),
row,MATCH(FALSE, ISBLANK(col), 0),
IF(BR66=SWITCH($AA$22,
"minimum cost", MIN($BP66:$CG66),
"maximum cost", MAX($BP66:$CG66), 
"custom order", IF(CK$1=INDEX(array, row,1),INDEX(array, row,5),"x"))
,1,))</f>
        <v/>
      </c>
      <c r="CL66" s="252" t="str">
        <f t="array" ref="CL66">LET(
array,SORT({$Y$2:$AB$19,TRANSPOSE($BP66:$CG66)},4,TRUE),
col,CHOOSECOLS(array,5),
row,MATCH(FALSE, ISBLANK(col), 0),
IF(BS66=SWITCH($AA$22,
"minimum cost", MIN($BP66:$CG66),
"maximum cost", MAX($BP66:$CG66), 
"custom order", IF(CL$1=INDEX(array, row,1),INDEX(array, row,5),"x"))
,1,))</f>
        <v/>
      </c>
      <c r="CM66" s="252" t="str">
        <f t="array" ref="CM66">LET(
array,SORT({$Y$2:$AB$19,TRANSPOSE($BP66:$CG66)},4,TRUE),
col,CHOOSECOLS(array,5),
row,MATCH(FALSE, ISBLANK(col), 0),
IF(BT66=SWITCH($AA$22,
"minimum cost", MIN($BP66:$CG66),
"maximum cost", MAX($BP66:$CG66), 
"custom order", IF(CM$1=INDEX(array, row,1),INDEX(array, row,5),"x"))
,1,))</f>
        <v/>
      </c>
      <c r="CN66" s="252" t="str">
        <f t="array" ref="CN66">LET(
array,SORT({$Y$2:$AB$19,TRANSPOSE($BP66:$CG66)},4,TRUE),
col,CHOOSECOLS(array,5),
row,MATCH(FALSE, ISBLANK(col), 0),
IF(BU66=SWITCH($AA$22,
"minimum cost", MIN($BP66:$CG66),
"maximum cost", MAX($BP66:$CG66), 
"custom order", IF(CN$1=INDEX(array, row,1),INDEX(array, row,5),"x"))
,1,))</f>
        <v/>
      </c>
      <c r="CO66" s="390">
        <f t="array" ref="CO66">LET(
array,SORT({$Y$2:$AB$19,TRANSPOSE($BP66:$CG66)},4,TRUE),
col,CHOOSECOLS(array,5),
row,MATCH(FALSE, ISBLANK(col), 0),
IF(BV66=SWITCH($AA$22,
"minimum cost", MIN($BP66:$CG66),
"maximum cost", MAX($BP66:$CG66), 
"custom order", IF(CO$1=INDEX(array, row,1),INDEX(array, row,5),"x"))
,1,))</f>
        <v>1</v>
      </c>
      <c r="CP66" s="390" t="str">
        <f t="array" ref="CP66">LET(
array,SORT({$Y$2:$AB$19,TRANSPOSE($BP66:$CG66)},4,TRUE),
col,CHOOSECOLS(array,5),
row,MATCH(FALSE, ISBLANK(col), 0),
IF(BW66=SWITCH($AA$22,
"minimum cost", MIN($BP66:$CG66),
"maximum cost", MAX($BP66:$CG66), 
"custom order", IF(CP$1=INDEX(array, row,1),INDEX(array, row,5),"x"))
,1,))</f>
        <v/>
      </c>
      <c r="CQ66" s="390" t="str">
        <f t="array" ref="CQ66">LET(
array,SORT({$Y$2:$AB$19,TRANSPOSE($BP66:$CG66)},4,TRUE),
col,CHOOSECOLS(array,5),
row,MATCH(FALSE, ISBLANK(col), 0),
IF(BX66=SWITCH($AA$22,
"minimum cost", MIN($BP66:$CG66),
"maximum cost", MAX($BP66:$CG66), 
"custom order", IF(CQ$1=INDEX(array, row,1),INDEX(array, row,5),"x"))
,1,))</f>
        <v/>
      </c>
      <c r="CR66" s="390" t="str">
        <f t="array" ref="CR66">LET(
array,SORT({$Y$2:$AB$19,TRANSPOSE($BP66:$CG66)},4,TRUE),
col,CHOOSECOLS(array,5),
row,MATCH(FALSE, ISBLANK(col), 0),
IF(BY66=SWITCH($AA$22,
"minimum cost", MIN($BP66:$CG66),
"maximum cost", MAX($BP66:$CG66), 
"custom order", IF(CR$1=INDEX(array, row,1),INDEX(array, row,5),"x"))
,1,))</f>
        <v/>
      </c>
      <c r="CS66" s="390" t="str">
        <f t="array" ref="CS66">LET(
array,SORT({$Y$2:$AB$19,TRANSPOSE($BP66:$CG66)},4,TRUE),
col,CHOOSECOLS(array,5),
row,MATCH(FALSE, ISBLANK(col), 0),
IF(BZ66=SWITCH($AA$22,
"minimum cost", MIN($BP66:$CG66),
"maximum cost", MAX($BP66:$CG66), 
"custom order", IF(CS$1=INDEX(array, row,1),INDEX(array, row,5),"x"))
,1,))</f>
        <v/>
      </c>
      <c r="CT66" s="390" t="str">
        <f t="array" ref="CT66">LET(
array,SORT({$Y$2:$AB$19,TRANSPOSE($BP66:$CG66)},4,TRUE),
col,CHOOSECOLS(array,5),
row,MATCH(FALSE, ISBLANK(col), 0),
IF(CA66=SWITCH($AA$22,
"minimum cost", MIN($BP66:$CG66),
"maximum cost", MAX($BP66:$CG66), 
"custom order", IF(CT$1=INDEX(array, row,1),INDEX(array, row,5),"x"))
,1,))</f>
        <v/>
      </c>
      <c r="CU66" s="469" t="str">
        <f t="array" ref="CU66">LET(
array,SORT({$Y$2:$AB$19,TRANSPOSE($BP66:$CG66)},4,TRUE),
col,CHOOSECOLS(array,5),
row,MATCH(FALSE, ISBLANK(col), 0),
IF(CB66=SWITCH($AA$22,
"minimum cost", MIN($BP66:$CG66),
"maximum cost", MAX($BP66:$CG66), 
"custom order", IF(CU$1=INDEX(array, row,1),INDEX(array, row,5),"x"))
,1,))</f>
        <v/>
      </c>
      <c r="CV66" s="469" t="str">
        <f t="array" ref="CV66">LET(
array,SORT({$Y$2:$AB$19,TRANSPOSE($BP66:$CG66)},4,TRUE),
col,CHOOSECOLS(array,5),
row,MATCH(FALSE, ISBLANK(col), 0),
IF(CC66=SWITCH($AA$22,
"minimum cost", MIN($BP66:$CG66),
"maximum cost", MAX($BP66:$CG66), 
"custom order", IF(CV$1=INDEX(array, row,1),INDEX(array, row,5),"x"))
,1,))</f>
        <v/>
      </c>
      <c r="CW66" s="469" t="str">
        <f t="array" ref="CW66">LET(
array,SORT({$Y$2:$AB$19,TRANSPOSE($BP66:$CG66)},4,TRUE),
col,CHOOSECOLS(array,5),
row,MATCH(FALSE, ISBLANK(col), 0),
IF(CD66=SWITCH($AA$22,
"minimum cost", MIN($BP66:$CG66),
"maximum cost", MAX($BP66:$CG66), 
"custom order", IF(CW$1=INDEX(array, row,1),INDEX(array, row,5),"x"))
,1,))</f>
        <v/>
      </c>
      <c r="CX66" s="469" t="str">
        <f t="array" ref="CX66">LET(
array,SORT({$Y$2:$AB$19,TRANSPOSE($BP66:$CG66)},4,TRUE),
col,CHOOSECOLS(array,5),
row,MATCH(FALSE, ISBLANK(col), 0),
IF(CE66=SWITCH($AA$22,
"minimum cost", MIN($BP66:$CG66),
"maximum cost", MAX($BP66:$CG66), 
"custom order", IF(CX$1=INDEX(array, row,1),INDEX(array, row,5),"x"))
,1,))</f>
        <v/>
      </c>
      <c r="CY66" s="469" t="str">
        <f t="array" ref="CY66">LET(
array,SORT({$Y$2:$AB$19,TRANSPOSE($BP66:$CG66)},4,TRUE),
col,CHOOSECOLS(array,5),
row,MATCH(FALSE, ISBLANK(col), 0),
IF(CF66=SWITCH($AA$22,
"minimum cost", MIN($BP66:$CG66),
"maximum cost", MAX($BP66:$CG66), 
"custom order", IF(CY$1=INDEX(array, row,1),INDEX(array, row,5),"x"))
,1,))</f>
        <v/>
      </c>
      <c r="CZ66" s="581" t="str">
        <f t="array" ref="CZ66">LET(
array,SORT({$Y$2:$AB$19,TRANSPOSE($BP66:$CG66)},4,TRUE),
col,CHOOSECOLS(array,5),
row,MATCH(FALSE, ISBLANK(col), 0),
IF(CG66=SWITCH($AA$22,
"minimum cost", MIN($BP66:$CG66),
"maximum cost", MAX($BP66:$CG66), 
"custom order", IF(CZ$1=INDEX(array, row,1),INDEX(array, row,5),"x"))
,1,))</f>
        <v/>
      </c>
      <c r="DA66" s="461"/>
      <c r="DB66" s="580" t="str">
        <f t="array" ref="DB66:DS66">IF(MATCH(1, CI66:CZ66, 0)=COLUMN(CI66:CZ66)-COLUMN(CI66)+1, CI66:CZ66, "")</f>
        <v/>
      </c>
      <c r="DC66" s="252" t="s">
        <v>133</v>
      </c>
      <c r="DD66" s="252" t="s">
        <v>133</v>
      </c>
      <c r="DE66" s="252" t="s">
        <v>133</v>
      </c>
      <c r="DF66" s="252" t="s">
        <v>133</v>
      </c>
      <c r="DG66" s="252" t="s">
        <v>133</v>
      </c>
      <c r="DH66" s="390">
        <v>1.0</v>
      </c>
      <c r="DI66" s="390" t="s">
        <v>133</v>
      </c>
      <c r="DJ66" s="390" t="s">
        <v>133</v>
      </c>
      <c r="DK66" s="390" t="s">
        <v>133</v>
      </c>
      <c r="DL66" s="390" t="s">
        <v>133</v>
      </c>
      <c r="DM66" s="390" t="s">
        <v>133</v>
      </c>
      <c r="DN66" s="469" t="s">
        <v>133</v>
      </c>
      <c r="DO66" s="469" t="s">
        <v>133</v>
      </c>
      <c r="DP66" s="469" t="s">
        <v>133</v>
      </c>
      <c r="DQ66" s="469" t="s">
        <v>133</v>
      </c>
      <c r="DR66" s="469" t="s">
        <v>133</v>
      </c>
      <c r="DS66" s="581" t="s">
        <v>133</v>
      </c>
      <c r="DT66" s="563"/>
    </row>
    <row r="67">
      <c r="A67" s="563"/>
      <c r="B67" s="709"/>
      <c r="C67" s="709"/>
      <c r="D67" s="709"/>
      <c r="E67" s="10"/>
      <c r="F67" s="709"/>
      <c r="G67" s="10"/>
      <c r="H67" s="709"/>
      <c r="I67" s="10"/>
      <c r="J67" s="709"/>
      <c r="K67" s="10"/>
      <c r="L67" s="709"/>
      <c r="M67" s="461"/>
      <c r="N67" s="10"/>
      <c r="O67" s="10"/>
      <c r="P67" s="10"/>
      <c r="Q67" s="570" t="str">
        <f>IFERROR(__xludf.DUMMYFUNCTION("IF(SUM(DB67:DS67),ARRAYFORMULA(FILTER(DB$1:DS$1, DB67:DS67=1)),)"),"Health")</f>
        <v>Health</v>
      </c>
      <c r="R67" s="571">
        <f>IFERROR(__xludf.DUMMYFUNCTION("IF(SUM(DB67:DS67),ARRAYFORMULA(FILTER(AW67:BN67, DB67:DS67=1))+1,)"),65.0)</f>
        <v>65</v>
      </c>
      <c r="S67" s="572">
        <f>IFERROR(__xludf.DUMMYFUNCTION("IF(SUM(DB67:DS67),ARRAYFORMULA(FILTER(AD67:AU67, DB67:DS67=1)),)"),1.1969E14)</f>
        <v>119690000000000</v>
      </c>
      <c r="T67" s="572">
        <f t="shared" si="26"/>
        <v>1.41108E+16</v>
      </c>
      <c r="U67" s="573" t="str">
        <f t="shared" ref="U67:V67" si="217">FORMAT_NUMBER(S67)</f>
        <v>119.69 T</v>
      </c>
      <c r="V67" s="574" t="str">
        <f t="shared" si="217"/>
        <v>14.11 q</v>
      </c>
      <c r="W67" s="677"/>
      <c r="X67" s="709"/>
      <c r="Y67" s="709"/>
      <c r="Z67" s="709"/>
      <c r="AA67" s="709"/>
      <c r="AB67" s="712"/>
      <c r="AC67" s="461"/>
      <c r="AD67" s="580">
        <f t="shared" ref="AD67:AU67" si="218">IFERROR(WSPCOST_SINGLE_ADJUSTED(AD$1,1+AW67),)</f>
        <v>37110000000000</v>
      </c>
      <c r="AE67" s="252">
        <f t="shared" si="218"/>
        <v>82420000000</v>
      </c>
      <c r="AF67" s="252">
        <f t="shared" si="218"/>
        <v>69650000000000</v>
      </c>
      <c r="AG67" s="252">
        <f t="shared" si="218"/>
        <v>21210000000</v>
      </c>
      <c r="AH67" s="252">
        <f t="shared" si="218"/>
        <v>43890000000000</v>
      </c>
      <c r="AI67" s="252">
        <f t="shared" si="218"/>
        <v>47710000000000</v>
      </c>
      <c r="AJ67" s="390">
        <f t="shared" si="218"/>
        <v>119690000000000</v>
      </c>
      <c r="AK67" s="390">
        <f t="shared" si="218"/>
        <v>580270000000000</v>
      </c>
      <c r="AL67" s="390">
        <f t="shared" si="218"/>
        <v>5000000000</v>
      </c>
      <c r="AM67" s="390">
        <f t="shared" si="218"/>
        <v>33950000000</v>
      </c>
      <c r="AN67" s="390">
        <f t="shared" si="218"/>
        <v>60080000000000</v>
      </c>
      <c r="AO67" s="390">
        <f t="shared" si="218"/>
        <v>22020000000000</v>
      </c>
      <c r="AP67" s="469">
        <f t="shared" si="218"/>
        <v>153100000000000</v>
      </c>
      <c r="AQ67" s="469">
        <f t="shared" si="218"/>
        <v>1.3E+15</v>
      </c>
      <c r="AR67" s="469">
        <f t="shared" si="218"/>
        <v>1.3E+15</v>
      </c>
      <c r="AS67" s="469">
        <f t="shared" si="218"/>
        <v>420490000000000</v>
      </c>
      <c r="AT67" s="469">
        <f t="shared" si="218"/>
        <v>3990000000000</v>
      </c>
      <c r="AU67" s="581">
        <f t="shared" si="218"/>
        <v>1.14E+15</v>
      </c>
      <c r="AV67" s="461"/>
      <c r="AW67" s="580">
        <f t="shared" ref="AW67:BN67" si="219">AW66+DB66</f>
        <v>56</v>
      </c>
      <c r="AX67" s="252">
        <f t="shared" si="219"/>
        <v>21</v>
      </c>
      <c r="AY67" s="252">
        <f t="shared" si="219"/>
        <v>60</v>
      </c>
      <c r="AZ67" s="252">
        <f t="shared" si="219"/>
        <v>17</v>
      </c>
      <c r="BA67" s="252">
        <f t="shared" si="219"/>
        <v>57</v>
      </c>
      <c r="BB67" s="252">
        <f t="shared" si="219"/>
        <v>13</v>
      </c>
      <c r="BC67" s="390">
        <f t="shared" si="219"/>
        <v>64</v>
      </c>
      <c r="BD67" s="390">
        <f t="shared" si="219"/>
        <v>79</v>
      </c>
      <c r="BE67" s="390">
        <f t="shared" si="219"/>
        <v>0</v>
      </c>
      <c r="BF67" s="390">
        <f t="shared" si="219"/>
        <v>18</v>
      </c>
      <c r="BG67" s="390">
        <f t="shared" si="219"/>
        <v>59</v>
      </c>
      <c r="BH67" s="390">
        <f t="shared" si="219"/>
        <v>20</v>
      </c>
      <c r="BI67" s="469">
        <f t="shared" si="219"/>
        <v>66</v>
      </c>
      <c r="BJ67" s="469">
        <f t="shared" si="219"/>
        <v>37</v>
      </c>
      <c r="BK67" s="469">
        <f t="shared" si="219"/>
        <v>37</v>
      </c>
      <c r="BL67" s="469">
        <f t="shared" si="219"/>
        <v>18</v>
      </c>
      <c r="BM67" s="469">
        <f t="shared" si="219"/>
        <v>42</v>
      </c>
      <c r="BN67" s="581">
        <f t="shared" si="219"/>
        <v>15</v>
      </c>
      <c r="BO67" s="461"/>
      <c r="BP67" s="580">
        <f t="shared" si="8"/>
        <v>37110000000000</v>
      </c>
      <c r="BQ67" s="252" t="str">
        <f t="shared" si="9"/>
        <v/>
      </c>
      <c r="BR67" s="252">
        <f t="shared" si="10"/>
        <v>69650000000000</v>
      </c>
      <c r="BS67" s="252" t="str">
        <f t="shared" si="11"/>
        <v/>
      </c>
      <c r="BT67" s="252" t="str">
        <f t="shared" si="12"/>
        <v/>
      </c>
      <c r="BU67" s="252">
        <f t="shared" si="13"/>
        <v>47710000000000</v>
      </c>
      <c r="BV67" s="390">
        <f t="shared" si="14"/>
        <v>119690000000000</v>
      </c>
      <c r="BW67" s="390" t="str">
        <f t="shared" si="15"/>
        <v/>
      </c>
      <c r="BX67" s="390" t="str">
        <f t="shared" si="16"/>
        <v/>
      </c>
      <c r="BY67" s="390" t="str">
        <f t="shared" si="17"/>
        <v/>
      </c>
      <c r="BZ67" s="390">
        <f t="shared" si="18"/>
        <v>60080000000000</v>
      </c>
      <c r="CA67" s="390">
        <f t="shared" si="19"/>
        <v>22020000000000</v>
      </c>
      <c r="CB67" s="469" t="str">
        <f t="shared" si="20"/>
        <v/>
      </c>
      <c r="CC67" s="469" t="str">
        <f t="shared" si="21"/>
        <v/>
      </c>
      <c r="CD67" s="469" t="str">
        <f t="shared" si="22"/>
        <v/>
      </c>
      <c r="CE67" s="469" t="str">
        <f t="shared" si="23"/>
        <v/>
      </c>
      <c r="CF67" s="469" t="str">
        <f t="shared" si="24"/>
        <v/>
      </c>
      <c r="CG67" s="581" t="str">
        <f t="shared" si="25"/>
        <v/>
      </c>
      <c r="CH67" s="461"/>
      <c r="CI67" s="580" t="str">
        <f t="array" ref="CI67">LET(
array,SORT({$Y$2:$AB$19,TRANSPOSE($BP67:$CG67)},4,TRUE),
col,CHOOSECOLS(array,5),
row,MATCH(FALSE, ISBLANK(col), 0),
IF(BP67=SWITCH($AA$22,
"minimum cost", MIN($BP67:$CG67),
"maximum cost", MAX($BP67:$CG67), 
"custom order", IF(CI$1=INDEX(array, row,1),INDEX(array, row,5),"x"))
,1,))</f>
        <v/>
      </c>
      <c r="CJ67" s="252" t="str">
        <f t="array" ref="CJ67">LET(
array,SORT({$Y$2:$AB$19,TRANSPOSE($BP67:$CG67)},4,TRUE),
col,CHOOSECOLS(array,5),
row,MATCH(FALSE, ISBLANK(col), 0),
IF(BQ67=SWITCH($AA$22,
"minimum cost", MIN($BP67:$CG67),
"maximum cost", MAX($BP67:$CG67), 
"custom order", IF(CJ$1=INDEX(array, row,1),INDEX(array, row,5),"x"))
,1,))</f>
        <v/>
      </c>
      <c r="CK67" s="252" t="str">
        <f t="array" ref="CK67">LET(
array,SORT({$Y$2:$AB$19,TRANSPOSE($BP67:$CG67)},4,TRUE),
col,CHOOSECOLS(array,5),
row,MATCH(FALSE, ISBLANK(col), 0),
IF(BR67=SWITCH($AA$22,
"minimum cost", MIN($BP67:$CG67),
"maximum cost", MAX($BP67:$CG67), 
"custom order", IF(CK$1=INDEX(array, row,1),INDEX(array, row,5),"x"))
,1,))</f>
        <v/>
      </c>
      <c r="CL67" s="252" t="str">
        <f t="array" ref="CL67">LET(
array,SORT({$Y$2:$AB$19,TRANSPOSE($BP67:$CG67)},4,TRUE),
col,CHOOSECOLS(array,5),
row,MATCH(FALSE, ISBLANK(col), 0),
IF(BS67=SWITCH($AA$22,
"minimum cost", MIN($BP67:$CG67),
"maximum cost", MAX($BP67:$CG67), 
"custom order", IF(CL$1=INDEX(array, row,1),INDEX(array, row,5),"x"))
,1,))</f>
        <v/>
      </c>
      <c r="CM67" s="252" t="str">
        <f t="array" ref="CM67">LET(
array,SORT({$Y$2:$AB$19,TRANSPOSE($BP67:$CG67)},4,TRUE),
col,CHOOSECOLS(array,5),
row,MATCH(FALSE, ISBLANK(col), 0),
IF(BT67=SWITCH($AA$22,
"minimum cost", MIN($BP67:$CG67),
"maximum cost", MAX($BP67:$CG67), 
"custom order", IF(CM$1=INDEX(array, row,1),INDEX(array, row,5),"x"))
,1,))</f>
        <v/>
      </c>
      <c r="CN67" s="252" t="str">
        <f t="array" ref="CN67">LET(
array,SORT({$Y$2:$AB$19,TRANSPOSE($BP67:$CG67)},4,TRUE),
col,CHOOSECOLS(array,5),
row,MATCH(FALSE, ISBLANK(col), 0),
IF(BU67=SWITCH($AA$22,
"minimum cost", MIN($BP67:$CG67),
"maximum cost", MAX($BP67:$CG67), 
"custom order", IF(CN$1=INDEX(array, row,1),INDEX(array, row,5),"x"))
,1,))</f>
        <v/>
      </c>
      <c r="CO67" s="390">
        <f t="array" ref="CO67">LET(
array,SORT({$Y$2:$AB$19,TRANSPOSE($BP67:$CG67)},4,TRUE),
col,CHOOSECOLS(array,5),
row,MATCH(FALSE, ISBLANK(col), 0),
IF(BV67=SWITCH($AA$22,
"minimum cost", MIN($BP67:$CG67),
"maximum cost", MAX($BP67:$CG67), 
"custom order", IF(CO$1=INDEX(array, row,1),INDEX(array, row,5),"x"))
,1,))</f>
        <v>1</v>
      </c>
      <c r="CP67" s="390" t="str">
        <f t="array" ref="CP67">LET(
array,SORT({$Y$2:$AB$19,TRANSPOSE($BP67:$CG67)},4,TRUE),
col,CHOOSECOLS(array,5),
row,MATCH(FALSE, ISBLANK(col), 0),
IF(BW67=SWITCH($AA$22,
"minimum cost", MIN($BP67:$CG67),
"maximum cost", MAX($BP67:$CG67), 
"custom order", IF(CP$1=INDEX(array, row,1),INDEX(array, row,5),"x"))
,1,))</f>
        <v/>
      </c>
      <c r="CQ67" s="390" t="str">
        <f t="array" ref="CQ67">LET(
array,SORT({$Y$2:$AB$19,TRANSPOSE($BP67:$CG67)},4,TRUE),
col,CHOOSECOLS(array,5),
row,MATCH(FALSE, ISBLANK(col), 0),
IF(BX67=SWITCH($AA$22,
"minimum cost", MIN($BP67:$CG67),
"maximum cost", MAX($BP67:$CG67), 
"custom order", IF(CQ$1=INDEX(array, row,1),INDEX(array, row,5),"x"))
,1,))</f>
        <v/>
      </c>
      <c r="CR67" s="390" t="str">
        <f t="array" ref="CR67">LET(
array,SORT({$Y$2:$AB$19,TRANSPOSE($BP67:$CG67)},4,TRUE),
col,CHOOSECOLS(array,5),
row,MATCH(FALSE, ISBLANK(col), 0),
IF(BY67=SWITCH($AA$22,
"minimum cost", MIN($BP67:$CG67),
"maximum cost", MAX($BP67:$CG67), 
"custom order", IF(CR$1=INDEX(array, row,1),INDEX(array, row,5),"x"))
,1,))</f>
        <v/>
      </c>
      <c r="CS67" s="390" t="str">
        <f t="array" ref="CS67">LET(
array,SORT({$Y$2:$AB$19,TRANSPOSE($BP67:$CG67)},4,TRUE),
col,CHOOSECOLS(array,5),
row,MATCH(FALSE, ISBLANK(col), 0),
IF(BZ67=SWITCH($AA$22,
"minimum cost", MIN($BP67:$CG67),
"maximum cost", MAX($BP67:$CG67), 
"custom order", IF(CS$1=INDEX(array, row,1),INDEX(array, row,5),"x"))
,1,))</f>
        <v/>
      </c>
      <c r="CT67" s="390" t="str">
        <f t="array" ref="CT67">LET(
array,SORT({$Y$2:$AB$19,TRANSPOSE($BP67:$CG67)},4,TRUE),
col,CHOOSECOLS(array,5),
row,MATCH(FALSE, ISBLANK(col), 0),
IF(CA67=SWITCH($AA$22,
"minimum cost", MIN($BP67:$CG67),
"maximum cost", MAX($BP67:$CG67), 
"custom order", IF(CT$1=INDEX(array, row,1),INDEX(array, row,5),"x"))
,1,))</f>
        <v/>
      </c>
      <c r="CU67" s="469" t="str">
        <f t="array" ref="CU67">LET(
array,SORT({$Y$2:$AB$19,TRANSPOSE($BP67:$CG67)},4,TRUE),
col,CHOOSECOLS(array,5),
row,MATCH(FALSE, ISBLANK(col), 0),
IF(CB67=SWITCH($AA$22,
"minimum cost", MIN($BP67:$CG67),
"maximum cost", MAX($BP67:$CG67), 
"custom order", IF(CU$1=INDEX(array, row,1),INDEX(array, row,5),"x"))
,1,))</f>
        <v/>
      </c>
      <c r="CV67" s="469" t="str">
        <f t="array" ref="CV67">LET(
array,SORT({$Y$2:$AB$19,TRANSPOSE($BP67:$CG67)},4,TRUE),
col,CHOOSECOLS(array,5),
row,MATCH(FALSE, ISBLANK(col), 0),
IF(CC67=SWITCH($AA$22,
"minimum cost", MIN($BP67:$CG67),
"maximum cost", MAX($BP67:$CG67), 
"custom order", IF(CV$1=INDEX(array, row,1),INDEX(array, row,5),"x"))
,1,))</f>
        <v/>
      </c>
      <c r="CW67" s="469" t="str">
        <f t="array" ref="CW67">LET(
array,SORT({$Y$2:$AB$19,TRANSPOSE($BP67:$CG67)},4,TRUE),
col,CHOOSECOLS(array,5),
row,MATCH(FALSE, ISBLANK(col), 0),
IF(CD67=SWITCH($AA$22,
"minimum cost", MIN($BP67:$CG67),
"maximum cost", MAX($BP67:$CG67), 
"custom order", IF(CW$1=INDEX(array, row,1),INDEX(array, row,5),"x"))
,1,))</f>
        <v/>
      </c>
      <c r="CX67" s="469" t="str">
        <f t="array" ref="CX67">LET(
array,SORT({$Y$2:$AB$19,TRANSPOSE($BP67:$CG67)},4,TRUE),
col,CHOOSECOLS(array,5),
row,MATCH(FALSE, ISBLANK(col), 0),
IF(CE67=SWITCH($AA$22,
"minimum cost", MIN($BP67:$CG67),
"maximum cost", MAX($BP67:$CG67), 
"custom order", IF(CX$1=INDEX(array, row,1),INDEX(array, row,5),"x"))
,1,))</f>
        <v/>
      </c>
      <c r="CY67" s="469" t="str">
        <f t="array" ref="CY67">LET(
array,SORT({$Y$2:$AB$19,TRANSPOSE($BP67:$CG67)},4,TRUE),
col,CHOOSECOLS(array,5),
row,MATCH(FALSE, ISBLANK(col), 0),
IF(CF67=SWITCH($AA$22,
"minimum cost", MIN($BP67:$CG67),
"maximum cost", MAX($BP67:$CG67), 
"custom order", IF(CY$1=INDEX(array, row,1),INDEX(array, row,5),"x"))
,1,))</f>
        <v/>
      </c>
      <c r="CZ67" s="581" t="str">
        <f t="array" ref="CZ67">LET(
array,SORT({$Y$2:$AB$19,TRANSPOSE($BP67:$CG67)},4,TRUE),
col,CHOOSECOLS(array,5),
row,MATCH(FALSE, ISBLANK(col), 0),
IF(CG67=SWITCH($AA$22,
"minimum cost", MIN($BP67:$CG67),
"maximum cost", MAX($BP67:$CG67), 
"custom order", IF(CZ$1=INDEX(array, row,1),INDEX(array, row,5),"x"))
,1,))</f>
        <v/>
      </c>
      <c r="DA67" s="461"/>
      <c r="DB67" s="580" t="str">
        <f t="array" ref="DB67:DS67">IF(MATCH(1, CI67:CZ67, 0)=COLUMN(CI67:CZ67)-COLUMN(CI67)+1, CI67:CZ67, "")</f>
        <v/>
      </c>
      <c r="DC67" s="252" t="s">
        <v>133</v>
      </c>
      <c r="DD67" s="252" t="s">
        <v>133</v>
      </c>
      <c r="DE67" s="252" t="s">
        <v>133</v>
      </c>
      <c r="DF67" s="252" t="s">
        <v>133</v>
      </c>
      <c r="DG67" s="252" t="s">
        <v>133</v>
      </c>
      <c r="DH67" s="390">
        <v>1.0</v>
      </c>
      <c r="DI67" s="390" t="s">
        <v>133</v>
      </c>
      <c r="DJ67" s="390" t="s">
        <v>133</v>
      </c>
      <c r="DK67" s="390" t="s">
        <v>133</v>
      </c>
      <c r="DL67" s="390" t="s">
        <v>133</v>
      </c>
      <c r="DM67" s="390" t="s">
        <v>133</v>
      </c>
      <c r="DN67" s="469" t="s">
        <v>133</v>
      </c>
      <c r="DO67" s="469" t="s">
        <v>133</v>
      </c>
      <c r="DP67" s="469" t="s">
        <v>133</v>
      </c>
      <c r="DQ67" s="469" t="s">
        <v>133</v>
      </c>
      <c r="DR67" s="469" t="s">
        <v>133</v>
      </c>
      <c r="DS67" s="581" t="s">
        <v>133</v>
      </c>
      <c r="DT67" s="563"/>
    </row>
    <row r="68">
      <c r="A68" s="563"/>
      <c r="B68" s="709"/>
      <c r="C68" s="709"/>
      <c r="D68" s="709"/>
      <c r="E68" s="10"/>
      <c r="F68" s="709"/>
      <c r="G68" s="10"/>
      <c r="H68" s="709"/>
      <c r="I68" s="10"/>
      <c r="J68" s="709"/>
      <c r="K68" s="10"/>
      <c r="L68" s="709"/>
      <c r="M68" s="461"/>
      <c r="N68" s="10"/>
      <c r="O68" s="10"/>
      <c r="P68" s="10"/>
      <c r="Q68" s="570" t="str">
        <f>IFERROR(__xludf.DUMMYFUNCTION("IF(SUM(DB68:DS68),ARRAYFORMULA(FILTER(DB$1:DS$1, DB68:DS68=1)),)"),"Health")</f>
        <v>Health</v>
      </c>
      <c r="R68" s="571">
        <f>IFERROR(__xludf.DUMMYFUNCTION("IF(SUM(DB68:DS68),ARRAYFORMULA(FILTER(AW68:BN68, DB68:DS68=1))+1,)"),66.0)</f>
        <v>66</v>
      </c>
      <c r="S68" s="572">
        <f>IFERROR(__xludf.DUMMYFUNCTION("IF(SUM(DB68:DS68),ARRAYFORMULA(FILTER(AD68:AU68, DB68:DS68=1)),)"),1.3561E14)</f>
        <v>135610000000000</v>
      </c>
      <c r="T68" s="572">
        <f t="shared" si="26"/>
        <v>1.42464E+16</v>
      </c>
      <c r="U68" s="573" t="str">
        <f t="shared" ref="U68:V68" si="220">FORMAT_NUMBER(S68)</f>
        <v>135.61 T</v>
      </c>
      <c r="V68" s="574" t="str">
        <f t="shared" si="220"/>
        <v>14.25 q</v>
      </c>
      <c r="W68" s="677"/>
      <c r="X68" s="709"/>
      <c r="Y68" s="709"/>
      <c r="Z68" s="709"/>
      <c r="AA68" s="709"/>
      <c r="AB68" s="712"/>
      <c r="AC68" s="461"/>
      <c r="AD68" s="580">
        <f t="shared" ref="AD68:AU68" si="221">IFERROR(WSPCOST_SINGLE_ADJUSTED(AD$1,1+AW68),)</f>
        <v>37110000000000</v>
      </c>
      <c r="AE68" s="252">
        <f t="shared" si="221"/>
        <v>82420000000</v>
      </c>
      <c r="AF68" s="252">
        <f t="shared" si="221"/>
        <v>69650000000000</v>
      </c>
      <c r="AG68" s="252">
        <f t="shared" si="221"/>
        <v>21210000000</v>
      </c>
      <c r="AH68" s="252">
        <f t="shared" si="221"/>
        <v>43890000000000</v>
      </c>
      <c r="AI68" s="252">
        <f t="shared" si="221"/>
        <v>47710000000000</v>
      </c>
      <c r="AJ68" s="390">
        <f t="shared" si="221"/>
        <v>135610000000000</v>
      </c>
      <c r="AK68" s="390">
        <f t="shared" si="221"/>
        <v>580270000000000</v>
      </c>
      <c r="AL68" s="390">
        <f t="shared" si="221"/>
        <v>5000000000</v>
      </c>
      <c r="AM68" s="390">
        <f t="shared" si="221"/>
        <v>33950000000</v>
      </c>
      <c r="AN68" s="390">
        <f t="shared" si="221"/>
        <v>60080000000000</v>
      </c>
      <c r="AO68" s="390">
        <f t="shared" si="221"/>
        <v>22020000000000</v>
      </c>
      <c r="AP68" s="469">
        <f t="shared" si="221"/>
        <v>153100000000000</v>
      </c>
      <c r="AQ68" s="469">
        <f t="shared" si="221"/>
        <v>1.3E+15</v>
      </c>
      <c r="AR68" s="469">
        <f t="shared" si="221"/>
        <v>1.3E+15</v>
      </c>
      <c r="AS68" s="469">
        <f t="shared" si="221"/>
        <v>420490000000000</v>
      </c>
      <c r="AT68" s="469">
        <f t="shared" si="221"/>
        <v>3990000000000</v>
      </c>
      <c r="AU68" s="581">
        <f t="shared" si="221"/>
        <v>1.14E+15</v>
      </c>
      <c r="AV68" s="461"/>
      <c r="AW68" s="580">
        <f t="shared" ref="AW68:BN68" si="222">AW67+DB67</f>
        <v>56</v>
      </c>
      <c r="AX68" s="252">
        <f t="shared" si="222"/>
        <v>21</v>
      </c>
      <c r="AY68" s="252">
        <f t="shared" si="222"/>
        <v>60</v>
      </c>
      <c r="AZ68" s="252">
        <f t="shared" si="222"/>
        <v>17</v>
      </c>
      <c r="BA68" s="252">
        <f t="shared" si="222"/>
        <v>57</v>
      </c>
      <c r="BB68" s="252">
        <f t="shared" si="222"/>
        <v>13</v>
      </c>
      <c r="BC68" s="390">
        <f t="shared" si="222"/>
        <v>65</v>
      </c>
      <c r="BD68" s="390">
        <f t="shared" si="222"/>
        <v>79</v>
      </c>
      <c r="BE68" s="390">
        <f t="shared" si="222"/>
        <v>0</v>
      </c>
      <c r="BF68" s="390">
        <f t="shared" si="222"/>
        <v>18</v>
      </c>
      <c r="BG68" s="390">
        <f t="shared" si="222"/>
        <v>59</v>
      </c>
      <c r="BH68" s="390">
        <f t="shared" si="222"/>
        <v>20</v>
      </c>
      <c r="BI68" s="469">
        <f t="shared" si="222"/>
        <v>66</v>
      </c>
      <c r="BJ68" s="469">
        <f t="shared" si="222"/>
        <v>37</v>
      </c>
      <c r="BK68" s="469">
        <f t="shared" si="222"/>
        <v>37</v>
      </c>
      <c r="BL68" s="469">
        <f t="shared" si="222"/>
        <v>18</v>
      </c>
      <c r="BM68" s="469">
        <f t="shared" si="222"/>
        <v>42</v>
      </c>
      <c r="BN68" s="581">
        <f t="shared" si="222"/>
        <v>15</v>
      </c>
      <c r="BO68" s="461"/>
      <c r="BP68" s="580">
        <f t="shared" si="8"/>
        <v>37110000000000</v>
      </c>
      <c r="BQ68" s="252" t="str">
        <f t="shared" si="9"/>
        <v/>
      </c>
      <c r="BR68" s="252">
        <f t="shared" si="10"/>
        <v>69650000000000</v>
      </c>
      <c r="BS68" s="252" t="str">
        <f t="shared" si="11"/>
        <v/>
      </c>
      <c r="BT68" s="252" t="str">
        <f t="shared" si="12"/>
        <v/>
      </c>
      <c r="BU68" s="252">
        <f t="shared" si="13"/>
        <v>47710000000000</v>
      </c>
      <c r="BV68" s="390">
        <f t="shared" si="14"/>
        <v>135610000000000</v>
      </c>
      <c r="BW68" s="390" t="str">
        <f t="shared" si="15"/>
        <v/>
      </c>
      <c r="BX68" s="390" t="str">
        <f t="shared" si="16"/>
        <v/>
      </c>
      <c r="BY68" s="390" t="str">
        <f t="shared" si="17"/>
        <v/>
      </c>
      <c r="BZ68" s="390">
        <f t="shared" si="18"/>
        <v>60080000000000</v>
      </c>
      <c r="CA68" s="390">
        <f t="shared" si="19"/>
        <v>22020000000000</v>
      </c>
      <c r="CB68" s="469" t="str">
        <f t="shared" si="20"/>
        <v/>
      </c>
      <c r="CC68" s="469" t="str">
        <f t="shared" si="21"/>
        <v/>
      </c>
      <c r="CD68" s="469" t="str">
        <f t="shared" si="22"/>
        <v/>
      </c>
      <c r="CE68" s="469" t="str">
        <f t="shared" si="23"/>
        <v/>
      </c>
      <c r="CF68" s="469" t="str">
        <f t="shared" si="24"/>
        <v/>
      </c>
      <c r="CG68" s="581" t="str">
        <f t="shared" si="25"/>
        <v/>
      </c>
      <c r="CH68" s="461"/>
      <c r="CI68" s="580" t="str">
        <f t="array" ref="CI68">LET(
array,SORT({$Y$2:$AB$19,TRANSPOSE($BP68:$CG68)},4,TRUE),
col,CHOOSECOLS(array,5),
row,MATCH(FALSE, ISBLANK(col), 0),
IF(BP68=SWITCH($AA$22,
"minimum cost", MIN($BP68:$CG68),
"maximum cost", MAX($BP68:$CG68), 
"custom order", IF(CI$1=INDEX(array, row,1),INDEX(array, row,5),"x"))
,1,))</f>
        <v/>
      </c>
      <c r="CJ68" s="252" t="str">
        <f t="array" ref="CJ68">LET(
array,SORT({$Y$2:$AB$19,TRANSPOSE($BP68:$CG68)},4,TRUE),
col,CHOOSECOLS(array,5),
row,MATCH(FALSE, ISBLANK(col), 0),
IF(BQ68=SWITCH($AA$22,
"minimum cost", MIN($BP68:$CG68),
"maximum cost", MAX($BP68:$CG68), 
"custom order", IF(CJ$1=INDEX(array, row,1),INDEX(array, row,5),"x"))
,1,))</f>
        <v/>
      </c>
      <c r="CK68" s="252" t="str">
        <f t="array" ref="CK68">LET(
array,SORT({$Y$2:$AB$19,TRANSPOSE($BP68:$CG68)},4,TRUE),
col,CHOOSECOLS(array,5),
row,MATCH(FALSE, ISBLANK(col), 0),
IF(BR68=SWITCH($AA$22,
"minimum cost", MIN($BP68:$CG68),
"maximum cost", MAX($BP68:$CG68), 
"custom order", IF(CK$1=INDEX(array, row,1),INDEX(array, row,5),"x"))
,1,))</f>
        <v/>
      </c>
      <c r="CL68" s="252" t="str">
        <f t="array" ref="CL68">LET(
array,SORT({$Y$2:$AB$19,TRANSPOSE($BP68:$CG68)},4,TRUE),
col,CHOOSECOLS(array,5),
row,MATCH(FALSE, ISBLANK(col), 0),
IF(BS68=SWITCH($AA$22,
"minimum cost", MIN($BP68:$CG68),
"maximum cost", MAX($BP68:$CG68), 
"custom order", IF(CL$1=INDEX(array, row,1),INDEX(array, row,5),"x"))
,1,))</f>
        <v/>
      </c>
      <c r="CM68" s="252" t="str">
        <f t="array" ref="CM68">LET(
array,SORT({$Y$2:$AB$19,TRANSPOSE($BP68:$CG68)},4,TRUE),
col,CHOOSECOLS(array,5),
row,MATCH(FALSE, ISBLANK(col), 0),
IF(BT68=SWITCH($AA$22,
"minimum cost", MIN($BP68:$CG68),
"maximum cost", MAX($BP68:$CG68), 
"custom order", IF(CM$1=INDEX(array, row,1),INDEX(array, row,5),"x"))
,1,))</f>
        <v/>
      </c>
      <c r="CN68" s="252" t="str">
        <f t="array" ref="CN68">LET(
array,SORT({$Y$2:$AB$19,TRANSPOSE($BP68:$CG68)},4,TRUE),
col,CHOOSECOLS(array,5),
row,MATCH(FALSE, ISBLANK(col), 0),
IF(BU68=SWITCH($AA$22,
"minimum cost", MIN($BP68:$CG68),
"maximum cost", MAX($BP68:$CG68), 
"custom order", IF(CN$1=INDEX(array, row,1),INDEX(array, row,5),"x"))
,1,))</f>
        <v/>
      </c>
      <c r="CO68" s="390">
        <f t="array" ref="CO68">LET(
array,SORT({$Y$2:$AB$19,TRANSPOSE($BP68:$CG68)},4,TRUE),
col,CHOOSECOLS(array,5),
row,MATCH(FALSE, ISBLANK(col), 0),
IF(BV68=SWITCH($AA$22,
"minimum cost", MIN($BP68:$CG68),
"maximum cost", MAX($BP68:$CG68), 
"custom order", IF(CO$1=INDEX(array, row,1),INDEX(array, row,5),"x"))
,1,))</f>
        <v>1</v>
      </c>
      <c r="CP68" s="390" t="str">
        <f t="array" ref="CP68">LET(
array,SORT({$Y$2:$AB$19,TRANSPOSE($BP68:$CG68)},4,TRUE),
col,CHOOSECOLS(array,5),
row,MATCH(FALSE, ISBLANK(col), 0),
IF(BW68=SWITCH($AA$22,
"minimum cost", MIN($BP68:$CG68),
"maximum cost", MAX($BP68:$CG68), 
"custom order", IF(CP$1=INDEX(array, row,1),INDEX(array, row,5),"x"))
,1,))</f>
        <v/>
      </c>
      <c r="CQ68" s="390" t="str">
        <f t="array" ref="CQ68">LET(
array,SORT({$Y$2:$AB$19,TRANSPOSE($BP68:$CG68)},4,TRUE),
col,CHOOSECOLS(array,5),
row,MATCH(FALSE, ISBLANK(col), 0),
IF(BX68=SWITCH($AA$22,
"minimum cost", MIN($BP68:$CG68),
"maximum cost", MAX($BP68:$CG68), 
"custom order", IF(CQ$1=INDEX(array, row,1),INDEX(array, row,5),"x"))
,1,))</f>
        <v/>
      </c>
      <c r="CR68" s="390" t="str">
        <f t="array" ref="CR68">LET(
array,SORT({$Y$2:$AB$19,TRANSPOSE($BP68:$CG68)},4,TRUE),
col,CHOOSECOLS(array,5),
row,MATCH(FALSE, ISBLANK(col), 0),
IF(BY68=SWITCH($AA$22,
"minimum cost", MIN($BP68:$CG68),
"maximum cost", MAX($BP68:$CG68), 
"custom order", IF(CR$1=INDEX(array, row,1),INDEX(array, row,5),"x"))
,1,))</f>
        <v/>
      </c>
      <c r="CS68" s="390" t="str">
        <f t="array" ref="CS68">LET(
array,SORT({$Y$2:$AB$19,TRANSPOSE($BP68:$CG68)},4,TRUE),
col,CHOOSECOLS(array,5),
row,MATCH(FALSE, ISBLANK(col), 0),
IF(BZ68=SWITCH($AA$22,
"minimum cost", MIN($BP68:$CG68),
"maximum cost", MAX($BP68:$CG68), 
"custom order", IF(CS$1=INDEX(array, row,1),INDEX(array, row,5),"x"))
,1,))</f>
        <v/>
      </c>
      <c r="CT68" s="390" t="str">
        <f t="array" ref="CT68">LET(
array,SORT({$Y$2:$AB$19,TRANSPOSE($BP68:$CG68)},4,TRUE),
col,CHOOSECOLS(array,5),
row,MATCH(FALSE, ISBLANK(col), 0),
IF(CA68=SWITCH($AA$22,
"minimum cost", MIN($BP68:$CG68),
"maximum cost", MAX($BP68:$CG68), 
"custom order", IF(CT$1=INDEX(array, row,1),INDEX(array, row,5),"x"))
,1,))</f>
        <v/>
      </c>
      <c r="CU68" s="469" t="str">
        <f t="array" ref="CU68">LET(
array,SORT({$Y$2:$AB$19,TRANSPOSE($BP68:$CG68)},4,TRUE),
col,CHOOSECOLS(array,5),
row,MATCH(FALSE, ISBLANK(col), 0),
IF(CB68=SWITCH($AA$22,
"minimum cost", MIN($BP68:$CG68),
"maximum cost", MAX($BP68:$CG68), 
"custom order", IF(CU$1=INDEX(array, row,1),INDEX(array, row,5),"x"))
,1,))</f>
        <v/>
      </c>
      <c r="CV68" s="469" t="str">
        <f t="array" ref="CV68">LET(
array,SORT({$Y$2:$AB$19,TRANSPOSE($BP68:$CG68)},4,TRUE),
col,CHOOSECOLS(array,5),
row,MATCH(FALSE, ISBLANK(col), 0),
IF(CC68=SWITCH($AA$22,
"minimum cost", MIN($BP68:$CG68),
"maximum cost", MAX($BP68:$CG68), 
"custom order", IF(CV$1=INDEX(array, row,1),INDEX(array, row,5),"x"))
,1,))</f>
        <v/>
      </c>
      <c r="CW68" s="469" t="str">
        <f t="array" ref="CW68">LET(
array,SORT({$Y$2:$AB$19,TRANSPOSE($BP68:$CG68)},4,TRUE),
col,CHOOSECOLS(array,5),
row,MATCH(FALSE, ISBLANK(col), 0),
IF(CD68=SWITCH($AA$22,
"minimum cost", MIN($BP68:$CG68),
"maximum cost", MAX($BP68:$CG68), 
"custom order", IF(CW$1=INDEX(array, row,1),INDEX(array, row,5),"x"))
,1,))</f>
        <v/>
      </c>
      <c r="CX68" s="469" t="str">
        <f t="array" ref="CX68">LET(
array,SORT({$Y$2:$AB$19,TRANSPOSE($BP68:$CG68)},4,TRUE),
col,CHOOSECOLS(array,5),
row,MATCH(FALSE, ISBLANK(col), 0),
IF(CE68=SWITCH($AA$22,
"minimum cost", MIN($BP68:$CG68),
"maximum cost", MAX($BP68:$CG68), 
"custom order", IF(CX$1=INDEX(array, row,1),INDEX(array, row,5),"x"))
,1,))</f>
        <v/>
      </c>
      <c r="CY68" s="469" t="str">
        <f t="array" ref="CY68">LET(
array,SORT({$Y$2:$AB$19,TRANSPOSE($BP68:$CG68)},4,TRUE),
col,CHOOSECOLS(array,5),
row,MATCH(FALSE, ISBLANK(col), 0),
IF(CF68=SWITCH($AA$22,
"minimum cost", MIN($BP68:$CG68),
"maximum cost", MAX($BP68:$CG68), 
"custom order", IF(CY$1=INDEX(array, row,1),INDEX(array, row,5),"x"))
,1,))</f>
        <v/>
      </c>
      <c r="CZ68" s="581" t="str">
        <f t="array" ref="CZ68">LET(
array,SORT({$Y$2:$AB$19,TRANSPOSE($BP68:$CG68)},4,TRUE),
col,CHOOSECOLS(array,5),
row,MATCH(FALSE, ISBLANK(col), 0),
IF(CG68=SWITCH($AA$22,
"minimum cost", MIN($BP68:$CG68),
"maximum cost", MAX($BP68:$CG68), 
"custom order", IF(CZ$1=INDEX(array, row,1),INDEX(array, row,5),"x"))
,1,))</f>
        <v/>
      </c>
      <c r="DA68" s="461"/>
      <c r="DB68" s="580" t="str">
        <f t="array" ref="DB68:DS68">IF(MATCH(1, CI68:CZ68, 0)=COLUMN(CI68:CZ68)-COLUMN(CI68)+1, CI68:CZ68, "")</f>
        <v/>
      </c>
      <c r="DC68" s="252" t="s">
        <v>133</v>
      </c>
      <c r="DD68" s="252" t="s">
        <v>133</v>
      </c>
      <c r="DE68" s="252" t="s">
        <v>133</v>
      </c>
      <c r="DF68" s="252" t="s">
        <v>133</v>
      </c>
      <c r="DG68" s="252" t="s">
        <v>133</v>
      </c>
      <c r="DH68" s="390">
        <v>1.0</v>
      </c>
      <c r="DI68" s="390" t="s">
        <v>133</v>
      </c>
      <c r="DJ68" s="390" t="s">
        <v>133</v>
      </c>
      <c r="DK68" s="390" t="s">
        <v>133</v>
      </c>
      <c r="DL68" s="390" t="s">
        <v>133</v>
      </c>
      <c r="DM68" s="390" t="s">
        <v>133</v>
      </c>
      <c r="DN68" s="469" t="s">
        <v>133</v>
      </c>
      <c r="DO68" s="469" t="s">
        <v>133</v>
      </c>
      <c r="DP68" s="469" t="s">
        <v>133</v>
      </c>
      <c r="DQ68" s="469" t="s">
        <v>133</v>
      </c>
      <c r="DR68" s="469" t="s">
        <v>133</v>
      </c>
      <c r="DS68" s="581" t="s">
        <v>133</v>
      </c>
      <c r="DT68" s="563"/>
    </row>
    <row r="69">
      <c r="A69" s="563"/>
      <c r="B69" s="709"/>
      <c r="C69" s="709"/>
      <c r="D69" s="709"/>
      <c r="E69" s="10"/>
      <c r="F69" s="709"/>
      <c r="G69" s="10"/>
      <c r="H69" s="709"/>
      <c r="I69" s="10"/>
      <c r="J69" s="709"/>
      <c r="K69" s="10"/>
      <c r="L69" s="709"/>
      <c r="M69" s="461"/>
      <c r="N69" s="10"/>
      <c r="O69" s="10"/>
      <c r="P69" s="10"/>
      <c r="Q69" s="570" t="str">
        <f>IFERROR(__xludf.DUMMYFUNCTION("IF(SUM(DB69:DS69),ARRAYFORMULA(FILTER(DB$1:DS$1, DB69:DS69=1)),)"),"Health")</f>
        <v>Health</v>
      </c>
      <c r="R69" s="571">
        <f>IFERROR(__xludf.DUMMYFUNCTION("IF(SUM(DB69:DS69),ARRAYFORMULA(FILTER(AW69:BN69, DB69:DS69=1))+1,)"),67.0)</f>
        <v>67</v>
      </c>
      <c r="S69" s="572">
        <f>IFERROR(__xludf.DUMMYFUNCTION("IF(SUM(DB69:DS69),ARRAYFORMULA(FILTER(AD69:AU69, DB69:DS69=1)),)"),1.531E14)</f>
        <v>153100000000000</v>
      </c>
      <c r="T69" s="572">
        <f t="shared" si="26"/>
        <v>1.43995E+16</v>
      </c>
      <c r="U69" s="573" t="str">
        <f t="shared" ref="U69:V69" si="223">FORMAT_NUMBER(S69)</f>
        <v>153.1 T</v>
      </c>
      <c r="V69" s="574" t="str">
        <f t="shared" si="223"/>
        <v>14.4 q</v>
      </c>
      <c r="W69" s="677"/>
      <c r="X69" s="709"/>
      <c r="Y69" s="709"/>
      <c r="Z69" s="709"/>
      <c r="AA69" s="709"/>
      <c r="AB69" s="712"/>
      <c r="AC69" s="461"/>
      <c r="AD69" s="580">
        <f t="shared" ref="AD69:AU69" si="224">IFERROR(WSPCOST_SINGLE_ADJUSTED(AD$1,1+AW69),)</f>
        <v>37110000000000</v>
      </c>
      <c r="AE69" s="252">
        <f t="shared" si="224"/>
        <v>82420000000</v>
      </c>
      <c r="AF69" s="252">
        <f t="shared" si="224"/>
        <v>69650000000000</v>
      </c>
      <c r="AG69" s="252">
        <f t="shared" si="224"/>
        <v>21210000000</v>
      </c>
      <c r="AH69" s="252">
        <f t="shared" si="224"/>
        <v>43890000000000</v>
      </c>
      <c r="AI69" s="252">
        <f t="shared" si="224"/>
        <v>47710000000000</v>
      </c>
      <c r="AJ69" s="390">
        <f t="shared" si="224"/>
        <v>153100000000000</v>
      </c>
      <c r="AK69" s="390">
        <f t="shared" si="224"/>
        <v>580270000000000</v>
      </c>
      <c r="AL69" s="390">
        <f t="shared" si="224"/>
        <v>5000000000</v>
      </c>
      <c r="AM69" s="390">
        <f t="shared" si="224"/>
        <v>33950000000</v>
      </c>
      <c r="AN69" s="390">
        <f t="shared" si="224"/>
        <v>60080000000000</v>
      </c>
      <c r="AO69" s="390">
        <f t="shared" si="224"/>
        <v>22020000000000</v>
      </c>
      <c r="AP69" s="469">
        <f t="shared" si="224"/>
        <v>153100000000000</v>
      </c>
      <c r="AQ69" s="469">
        <f t="shared" si="224"/>
        <v>1.3E+15</v>
      </c>
      <c r="AR69" s="469">
        <f t="shared" si="224"/>
        <v>1.3E+15</v>
      </c>
      <c r="AS69" s="469">
        <f t="shared" si="224"/>
        <v>420490000000000</v>
      </c>
      <c r="AT69" s="469">
        <f t="shared" si="224"/>
        <v>3990000000000</v>
      </c>
      <c r="AU69" s="581">
        <f t="shared" si="224"/>
        <v>1.14E+15</v>
      </c>
      <c r="AV69" s="461"/>
      <c r="AW69" s="580">
        <f t="shared" ref="AW69:BN69" si="225">AW68+DB68</f>
        <v>56</v>
      </c>
      <c r="AX69" s="252">
        <f t="shared" si="225"/>
        <v>21</v>
      </c>
      <c r="AY69" s="252">
        <f t="shared" si="225"/>
        <v>60</v>
      </c>
      <c r="AZ69" s="252">
        <f t="shared" si="225"/>
        <v>17</v>
      </c>
      <c r="BA69" s="252">
        <f t="shared" si="225"/>
        <v>57</v>
      </c>
      <c r="BB69" s="252">
        <f t="shared" si="225"/>
        <v>13</v>
      </c>
      <c r="BC69" s="390">
        <f t="shared" si="225"/>
        <v>66</v>
      </c>
      <c r="BD69" s="390">
        <f t="shared" si="225"/>
        <v>79</v>
      </c>
      <c r="BE69" s="390">
        <f t="shared" si="225"/>
        <v>0</v>
      </c>
      <c r="BF69" s="390">
        <f t="shared" si="225"/>
        <v>18</v>
      </c>
      <c r="BG69" s="390">
        <f t="shared" si="225"/>
        <v>59</v>
      </c>
      <c r="BH69" s="390">
        <f t="shared" si="225"/>
        <v>20</v>
      </c>
      <c r="BI69" s="469">
        <f t="shared" si="225"/>
        <v>66</v>
      </c>
      <c r="BJ69" s="469">
        <f t="shared" si="225"/>
        <v>37</v>
      </c>
      <c r="BK69" s="469">
        <f t="shared" si="225"/>
        <v>37</v>
      </c>
      <c r="BL69" s="469">
        <f t="shared" si="225"/>
        <v>18</v>
      </c>
      <c r="BM69" s="469">
        <f t="shared" si="225"/>
        <v>42</v>
      </c>
      <c r="BN69" s="581">
        <f t="shared" si="225"/>
        <v>15</v>
      </c>
      <c r="BO69" s="461"/>
      <c r="BP69" s="580">
        <f t="shared" si="8"/>
        <v>37110000000000</v>
      </c>
      <c r="BQ69" s="252" t="str">
        <f t="shared" si="9"/>
        <v/>
      </c>
      <c r="BR69" s="252">
        <f t="shared" si="10"/>
        <v>69650000000000</v>
      </c>
      <c r="BS69" s="252" t="str">
        <f t="shared" si="11"/>
        <v/>
      </c>
      <c r="BT69" s="252" t="str">
        <f t="shared" si="12"/>
        <v/>
      </c>
      <c r="BU69" s="252">
        <f t="shared" si="13"/>
        <v>47710000000000</v>
      </c>
      <c r="BV69" s="390">
        <f t="shared" si="14"/>
        <v>153100000000000</v>
      </c>
      <c r="BW69" s="390" t="str">
        <f t="shared" si="15"/>
        <v/>
      </c>
      <c r="BX69" s="390" t="str">
        <f t="shared" si="16"/>
        <v/>
      </c>
      <c r="BY69" s="390" t="str">
        <f t="shared" si="17"/>
        <v/>
      </c>
      <c r="BZ69" s="390">
        <f t="shared" si="18"/>
        <v>60080000000000</v>
      </c>
      <c r="CA69" s="390">
        <f t="shared" si="19"/>
        <v>22020000000000</v>
      </c>
      <c r="CB69" s="469" t="str">
        <f t="shared" si="20"/>
        <v/>
      </c>
      <c r="CC69" s="469" t="str">
        <f t="shared" si="21"/>
        <v/>
      </c>
      <c r="CD69" s="469" t="str">
        <f t="shared" si="22"/>
        <v/>
      </c>
      <c r="CE69" s="469" t="str">
        <f t="shared" si="23"/>
        <v/>
      </c>
      <c r="CF69" s="469" t="str">
        <f t="shared" si="24"/>
        <v/>
      </c>
      <c r="CG69" s="581" t="str">
        <f t="shared" si="25"/>
        <v/>
      </c>
      <c r="CH69" s="461"/>
      <c r="CI69" s="580" t="str">
        <f t="array" ref="CI69">LET(
array,SORT({$Y$2:$AB$19,TRANSPOSE($BP69:$CG69)},4,TRUE),
col,CHOOSECOLS(array,5),
row,MATCH(FALSE, ISBLANK(col), 0),
IF(BP69=SWITCH($AA$22,
"minimum cost", MIN($BP69:$CG69),
"maximum cost", MAX($BP69:$CG69), 
"custom order", IF(CI$1=INDEX(array, row,1),INDEX(array, row,5),"x"))
,1,))</f>
        <v/>
      </c>
      <c r="CJ69" s="252" t="str">
        <f t="array" ref="CJ69">LET(
array,SORT({$Y$2:$AB$19,TRANSPOSE($BP69:$CG69)},4,TRUE),
col,CHOOSECOLS(array,5),
row,MATCH(FALSE, ISBLANK(col), 0),
IF(BQ69=SWITCH($AA$22,
"minimum cost", MIN($BP69:$CG69),
"maximum cost", MAX($BP69:$CG69), 
"custom order", IF(CJ$1=INDEX(array, row,1),INDEX(array, row,5),"x"))
,1,))</f>
        <v/>
      </c>
      <c r="CK69" s="252" t="str">
        <f t="array" ref="CK69">LET(
array,SORT({$Y$2:$AB$19,TRANSPOSE($BP69:$CG69)},4,TRUE),
col,CHOOSECOLS(array,5),
row,MATCH(FALSE, ISBLANK(col), 0),
IF(BR69=SWITCH($AA$22,
"minimum cost", MIN($BP69:$CG69),
"maximum cost", MAX($BP69:$CG69), 
"custom order", IF(CK$1=INDEX(array, row,1),INDEX(array, row,5),"x"))
,1,))</f>
        <v/>
      </c>
      <c r="CL69" s="252" t="str">
        <f t="array" ref="CL69">LET(
array,SORT({$Y$2:$AB$19,TRANSPOSE($BP69:$CG69)},4,TRUE),
col,CHOOSECOLS(array,5),
row,MATCH(FALSE, ISBLANK(col), 0),
IF(BS69=SWITCH($AA$22,
"minimum cost", MIN($BP69:$CG69),
"maximum cost", MAX($BP69:$CG69), 
"custom order", IF(CL$1=INDEX(array, row,1),INDEX(array, row,5),"x"))
,1,))</f>
        <v/>
      </c>
      <c r="CM69" s="252" t="str">
        <f t="array" ref="CM69">LET(
array,SORT({$Y$2:$AB$19,TRANSPOSE($BP69:$CG69)},4,TRUE),
col,CHOOSECOLS(array,5),
row,MATCH(FALSE, ISBLANK(col), 0),
IF(BT69=SWITCH($AA$22,
"minimum cost", MIN($BP69:$CG69),
"maximum cost", MAX($BP69:$CG69), 
"custom order", IF(CM$1=INDEX(array, row,1),INDEX(array, row,5),"x"))
,1,))</f>
        <v/>
      </c>
      <c r="CN69" s="252" t="str">
        <f t="array" ref="CN69">LET(
array,SORT({$Y$2:$AB$19,TRANSPOSE($BP69:$CG69)},4,TRUE),
col,CHOOSECOLS(array,5),
row,MATCH(FALSE, ISBLANK(col), 0),
IF(BU69=SWITCH($AA$22,
"minimum cost", MIN($BP69:$CG69),
"maximum cost", MAX($BP69:$CG69), 
"custom order", IF(CN$1=INDEX(array, row,1),INDEX(array, row,5),"x"))
,1,))</f>
        <v/>
      </c>
      <c r="CO69" s="390">
        <f t="array" ref="CO69">LET(
array,SORT({$Y$2:$AB$19,TRANSPOSE($BP69:$CG69)},4,TRUE),
col,CHOOSECOLS(array,5),
row,MATCH(FALSE, ISBLANK(col), 0),
IF(BV69=SWITCH($AA$22,
"minimum cost", MIN($BP69:$CG69),
"maximum cost", MAX($BP69:$CG69), 
"custom order", IF(CO$1=INDEX(array, row,1),INDEX(array, row,5),"x"))
,1,))</f>
        <v>1</v>
      </c>
      <c r="CP69" s="390" t="str">
        <f t="array" ref="CP69">LET(
array,SORT({$Y$2:$AB$19,TRANSPOSE($BP69:$CG69)},4,TRUE),
col,CHOOSECOLS(array,5),
row,MATCH(FALSE, ISBLANK(col), 0),
IF(BW69=SWITCH($AA$22,
"minimum cost", MIN($BP69:$CG69),
"maximum cost", MAX($BP69:$CG69), 
"custom order", IF(CP$1=INDEX(array, row,1),INDEX(array, row,5),"x"))
,1,))</f>
        <v/>
      </c>
      <c r="CQ69" s="390" t="str">
        <f t="array" ref="CQ69">LET(
array,SORT({$Y$2:$AB$19,TRANSPOSE($BP69:$CG69)},4,TRUE),
col,CHOOSECOLS(array,5),
row,MATCH(FALSE, ISBLANK(col), 0),
IF(BX69=SWITCH($AA$22,
"minimum cost", MIN($BP69:$CG69),
"maximum cost", MAX($BP69:$CG69), 
"custom order", IF(CQ$1=INDEX(array, row,1),INDEX(array, row,5),"x"))
,1,))</f>
        <v/>
      </c>
      <c r="CR69" s="390" t="str">
        <f t="array" ref="CR69">LET(
array,SORT({$Y$2:$AB$19,TRANSPOSE($BP69:$CG69)},4,TRUE),
col,CHOOSECOLS(array,5),
row,MATCH(FALSE, ISBLANK(col), 0),
IF(BY69=SWITCH($AA$22,
"minimum cost", MIN($BP69:$CG69),
"maximum cost", MAX($BP69:$CG69), 
"custom order", IF(CR$1=INDEX(array, row,1),INDEX(array, row,5),"x"))
,1,))</f>
        <v/>
      </c>
      <c r="CS69" s="390" t="str">
        <f t="array" ref="CS69">LET(
array,SORT({$Y$2:$AB$19,TRANSPOSE($BP69:$CG69)},4,TRUE),
col,CHOOSECOLS(array,5),
row,MATCH(FALSE, ISBLANK(col), 0),
IF(BZ69=SWITCH($AA$22,
"minimum cost", MIN($BP69:$CG69),
"maximum cost", MAX($BP69:$CG69), 
"custom order", IF(CS$1=INDEX(array, row,1),INDEX(array, row,5),"x"))
,1,))</f>
        <v/>
      </c>
      <c r="CT69" s="390" t="str">
        <f t="array" ref="CT69">LET(
array,SORT({$Y$2:$AB$19,TRANSPOSE($BP69:$CG69)},4,TRUE),
col,CHOOSECOLS(array,5),
row,MATCH(FALSE, ISBLANK(col), 0),
IF(CA69=SWITCH($AA$22,
"minimum cost", MIN($BP69:$CG69),
"maximum cost", MAX($BP69:$CG69), 
"custom order", IF(CT$1=INDEX(array, row,1),INDEX(array, row,5),"x"))
,1,))</f>
        <v/>
      </c>
      <c r="CU69" s="469" t="str">
        <f t="array" ref="CU69">LET(
array,SORT({$Y$2:$AB$19,TRANSPOSE($BP69:$CG69)},4,TRUE),
col,CHOOSECOLS(array,5),
row,MATCH(FALSE, ISBLANK(col), 0),
IF(CB69=SWITCH($AA$22,
"minimum cost", MIN($BP69:$CG69),
"maximum cost", MAX($BP69:$CG69), 
"custom order", IF(CU$1=INDEX(array, row,1),INDEX(array, row,5),"x"))
,1,))</f>
        <v/>
      </c>
      <c r="CV69" s="469" t="str">
        <f t="array" ref="CV69">LET(
array,SORT({$Y$2:$AB$19,TRANSPOSE($BP69:$CG69)},4,TRUE),
col,CHOOSECOLS(array,5),
row,MATCH(FALSE, ISBLANK(col), 0),
IF(CC69=SWITCH($AA$22,
"minimum cost", MIN($BP69:$CG69),
"maximum cost", MAX($BP69:$CG69), 
"custom order", IF(CV$1=INDEX(array, row,1),INDEX(array, row,5),"x"))
,1,))</f>
        <v/>
      </c>
      <c r="CW69" s="469" t="str">
        <f t="array" ref="CW69">LET(
array,SORT({$Y$2:$AB$19,TRANSPOSE($BP69:$CG69)},4,TRUE),
col,CHOOSECOLS(array,5),
row,MATCH(FALSE, ISBLANK(col), 0),
IF(CD69=SWITCH($AA$22,
"minimum cost", MIN($BP69:$CG69),
"maximum cost", MAX($BP69:$CG69), 
"custom order", IF(CW$1=INDEX(array, row,1),INDEX(array, row,5),"x"))
,1,))</f>
        <v/>
      </c>
      <c r="CX69" s="469" t="str">
        <f t="array" ref="CX69">LET(
array,SORT({$Y$2:$AB$19,TRANSPOSE($BP69:$CG69)},4,TRUE),
col,CHOOSECOLS(array,5),
row,MATCH(FALSE, ISBLANK(col), 0),
IF(CE69=SWITCH($AA$22,
"minimum cost", MIN($BP69:$CG69),
"maximum cost", MAX($BP69:$CG69), 
"custom order", IF(CX$1=INDEX(array, row,1),INDEX(array, row,5),"x"))
,1,))</f>
        <v/>
      </c>
      <c r="CY69" s="469" t="str">
        <f t="array" ref="CY69">LET(
array,SORT({$Y$2:$AB$19,TRANSPOSE($BP69:$CG69)},4,TRUE),
col,CHOOSECOLS(array,5),
row,MATCH(FALSE, ISBLANK(col), 0),
IF(CF69=SWITCH($AA$22,
"minimum cost", MIN($BP69:$CG69),
"maximum cost", MAX($BP69:$CG69), 
"custom order", IF(CY$1=INDEX(array, row,1),INDEX(array, row,5),"x"))
,1,))</f>
        <v/>
      </c>
      <c r="CZ69" s="581" t="str">
        <f t="array" ref="CZ69">LET(
array,SORT({$Y$2:$AB$19,TRANSPOSE($BP69:$CG69)},4,TRUE),
col,CHOOSECOLS(array,5),
row,MATCH(FALSE, ISBLANK(col), 0),
IF(CG69=SWITCH($AA$22,
"minimum cost", MIN($BP69:$CG69),
"maximum cost", MAX($BP69:$CG69), 
"custom order", IF(CZ$1=INDEX(array, row,1),INDEX(array, row,5),"x"))
,1,))</f>
        <v/>
      </c>
      <c r="DA69" s="461"/>
      <c r="DB69" s="580" t="str">
        <f t="array" ref="DB69:DS69">IF(MATCH(1, CI69:CZ69, 0)=COLUMN(CI69:CZ69)-COLUMN(CI69)+1, CI69:CZ69, "")</f>
        <v/>
      </c>
      <c r="DC69" s="252" t="s">
        <v>133</v>
      </c>
      <c r="DD69" s="252" t="s">
        <v>133</v>
      </c>
      <c r="DE69" s="252" t="s">
        <v>133</v>
      </c>
      <c r="DF69" s="252" t="s">
        <v>133</v>
      </c>
      <c r="DG69" s="252" t="s">
        <v>133</v>
      </c>
      <c r="DH69" s="390">
        <v>1.0</v>
      </c>
      <c r="DI69" s="390" t="s">
        <v>133</v>
      </c>
      <c r="DJ69" s="390" t="s">
        <v>133</v>
      </c>
      <c r="DK69" s="390" t="s">
        <v>133</v>
      </c>
      <c r="DL69" s="390" t="s">
        <v>133</v>
      </c>
      <c r="DM69" s="390" t="s">
        <v>133</v>
      </c>
      <c r="DN69" s="469" t="s">
        <v>133</v>
      </c>
      <c r="DO69" s="469" t="s">
        <v>133</v>
      </c>
      <c r="DP69" s="469" t="s">
        <v>133</v>
      </c>
      <c r="DQ69" s="469" t="s">
        <v>133</v>
      </c>
      <c r="DR69" s="469" t="s">
        <v>133</v>
      </c>
      <c r="DS69" s="581" t="s">
        <v>133</v>
      </c>
      <c r="DT69" s="563"/>
    </row>
    <row r="70">
      <c r="A70" s="563"/>
      <c r="B70" s="709"/>
      <c r="C70" s="709"/>
      <c r="D70" s="709"/>
      <c r="E70" s="10"/>
      <c r="F70" s="709"/>
      <c r="G70" s="10"/>
      <c r="H70" s="709"/>
      <c r="I70" s="10"/>
      <c r="J70" s="709"/>
      <c r="K70" s="10"/>
      <c r="L70" s="709"/>
      <c r="M70" s="461"/>
      <c r="N70" s="10"/>
      <c r="O70" s="10"/>
      <c r="P70" s="10"/>
      <c r="Q70" s="570" t="str">
        <f>IFERROR(__xludf.DUMMYFUNCTION("IF(SUM(DB70:DS70),ARRAYFORMULA(FILTER(DB$1:DS$1, DB70:DS70=1)),)"),"Health")</f>
        <v>Health</v>
      </c>
      <c r="R70" s="571">
        <f>IFERROR(__xludf.DUMMYFUNCTION("IF(SUM(DB70:DS70),ARRAYFORMULA(FILTER(AW70:BN70, DB70:DS70=1))+1,)"),68.0)</f>
        <v>68</v>
      </c>
      <c r="S70" s="572">
        <f>IFERROR(__xludf.DUMMYFUNCTION("IF(SUM(DB70:DS70),ARRAYFORMULA(FILTER(AD70:AU70, DB70:DS70=1)),)"),1.7226E14)</f>
        <v>172260000000000</v>
      </c>
      <c r="T70" s="572">
        <f t="shared" si="26"/>
        <v>1.45718E+16</v>
      </c>
      <c r="U70" s="573" t="str">
        <f t="shared" ref="U70:V70" si="226">FORMAT_NUMBER(S70)</f>
        <v>172.26 T</v>
      </c>
      <c r="V70" s="574" t="str">
        <f t="shared" si="226"/>
        <v>14.57 q</v>
      </c>
      <c r="W70" s="677"/>
      <c r="X70" s="709"/>
      <c r="Y70" s="709"/>
      <c r="Z70" s="709"/>
      <c r="AA70" s="709"/>
      <c r="AB70" s="712"/>
      <c r="AC70" s="461"/>
      <c r="AD70" s="580">
        <f t="shared" ref="AD70:AU70" si="227">IFERROR(WSPCOST_SINGLE_ADJUSTED(AD$1,1+AW70),)</f>
        <v>37110000000000</v>
      </c>
      <c r="AE70" s="252">
        <f t="shared" si="227"/>
        <v>82420000000</v>
      </c>
      <c r="AF70" s="252">
        <f t="shared" si="227"/>
        <v>69650000000000</v>
      </c>
      <c r="AG70" s="252">
        <f t="shared" si="227"/>
        <v>21210000000</v>
      </c>
      <c r="AH70" s="252">
        <f t="shared" si="227"/>
        <v>43890000000000</v>
      </c>
      <c r="AI70" s="252">
        <f t="shared" si="227"/>
        <v>47710000000000</v>
      </c>
      <c r="AJ70" s="390">
        <f t="shared" si="227"/>
        <v>172260000000000</v>
      </c>
      <c r="AK70" s="390">
        <f t="shared" si="227"/>
        <v>580270000000000</v>
      </c>
      <c r="AL70" s="390">
        <f t="shared" si="227"/>
        <v>5000000000</v>
      </c>
      <c r="AM70" s="390">
        <f t="shared" si="227"/>
        <v>33950000000</v>
      </c>
      <c r="AN70" s="390">
        <f t="shared" si="227"/>
        <v>60080000000000</v>
      </c>
      <c r="AO70" s="390">
        <f t="shared" si="227"/>
        <v>22020000000000</v>
      </c>
      <c r="AP70" s="469">
        <f t="shared" si="227"/>
        <v>153100000000000</v>
      </c>
      <c r="AQ70" s="469">
        <f t="shared" si="227"/>
        <v>1.3E+15</v>
      </c>
      <c r="AR70" s="469">
        <f t="shared" si="227"/>
        <v>1.3E+15</v>
      </c>
      <c r="AS70" s="469">
        <f t="shared" si="227"/>
        <v>420490000000000</v>
      </c>
      <c r="AT70" s="469">
        <f t="shared" si="227"/>
        <v>3990000000000</v>
      </c>
      <c r="AU70" s="581">
        <f t="shared" si="227"/>
        <v>1.14E+15</v>
      </c>
      <c r="AV70" s="461"/>
      <c r="AW70" s="580">
        <f t="shared" ref="AW70:BN70" si="228">AW69+DB69</f>
        <v>56</v>
      </c>
      <c r="AX70" s="252">
        <f t="shared" si="228"/>
        <v>21</v>
      </c>
      <c r="AY70" s="252">
        <f t="shared" si="228"/>
        <v>60</v>
      </c>
      <c r="AZ70" s="252">
        <f t="shared" si="228"/>
        <v>17</v>
      </c>
      <c r="BA70" s="252">
        <f t="shared" si="228"/>
        <v>57</v>
      </c>
      <c r="BB70" s="252">
        <f t="shared" si="228"/>
        <v>13</v>
      </c>
      <c r="BC70" s="390">
        <f t="shared" si="228"/>
        <v>67</v>
      </c>
      <c r="BD70" s="390">
        <f t="shared" si="228"/>
        <v>79</v>
      </c>
      <c r="BE70" s="390">
        <f t="shared" si="228"/>
        <v>0</v>
      </c>
      <c r="BF70" s="390">
        <f t="shared" si="228"/>
        <v>18</v>
      </c>
      <c r="BG70" s="390">
        <f t="shared" si="228"/>
        <v>59</v>
      </c>
      <c r="BH70" s="390">
        <f t="shared" si="228"/>
        <v>20</v>
      </c>
      <c r="BI70" s="469">
        <f t="shared" si="228"/>
        <v>66</v>
      </c>
      <c r="BJ70" s="469">
        <f t="shared" si="228"/>
        <v>37</v>
      </c>
      <c r="BK70" s="469">
        <f t="shared" si="228"/>
        <v>37</v>
      </c>
      <c r="BL70" s="469">
        <f t="shared" si="228"/>
        <v>18</v>
      </c>
      <c r="BM70" s="469">
        <f t="shared" si="228"/>
        <v>42</v>
      </c>
      <c r="BN70" s="581">
        <f t="shared" si="228"/>
        <v>15</v>
      </c>
      <c r="BO70" s="461"/>
      <c r="BP70" s="580">
        <f t="shared" si="8"/>
        <v>37110000000000</v>
      </c>
      <c r="BQ70" s="252" t="str">
        <f t="shared" si="9"/>
        <v/>
      </c>
      <c r="BR70" s="252">
        <f t="shared" si="10"/>
        <v>69650000000000</v>
      </c>
      <c r="BS70" s="252" t="str">
        <f t="shared" si="11"/>
        <v/>
      </c>
      <c r="BT70" s="252" t="str">
        <f t="shared" si="12"/>
        <v/>
      </c>
      <c r="BU70" s="252">
        <f t="shared" si="13"/>
        <v>47710000000000</v>
      </c>
      <c r="BV70" s="390">
        <f t="shared" si="14"/>
        <v>172260000000000</v>
      </c>
      <c r="BW70" s="390" t="str">
        <f t="shared" si="15"/>
        <v/>
      </c>
      <c r="BX70" s="390" t="str">
        <f t="shared" si="16"/>
        <v/>
      </c>
      <c r="BY70" s="390" t="str">
        <f t="shared" si="17"/>
        <v/>
      </c>
      <c r="BZ70" s="390">
        <f t="shared" si="18"/>
        <v>60080000000000</v>
      </c>
      <c r="CA70" s="390">
        <f t="shared" si="19"/>
        <v>22020000000000</v>
      </c>
      <c r="CB70" s="469" t="str">
        <f t="shared" si="20"/>
        <v/>
      </c>
      <c r="CC70" s="469" t="str">
        <f t="shared" si="21"/>
        <v/>
      </c>
      <c r="CD70" s="469" t="str">
        <f t="shared" si="22"/>
        <v/>
      </c>
      <c r="CE70" s="469" t="str">
        <f t="shared" si="23"/>
        <v/>
      </c>
      <c r="CF70" s="469" t="str">
        <f t="shared" si="24"/>
        <v/>
      </c>
      <c r="CG70" s="581" t="str">
        <f t="shared" si="25"/>
        <v/>
      </c>
      <c r="CH70" s="461"/>
      <c r="CI70" s="580" t="str">
        <f t="array" ref="CI70">LET(
array,SORT({$Y$2:$AB$19,TRANSPOSE($BP70:$CG70)},4,TRUE),
col,CHOOSECOLS(array,5),
row,MATCH(FALSE, ISBLANK(col), 0),
IF(BP70=SWITCH($AA$22,
"minimum cost", MIN($BP70:$CG70),
"maximum cost", MAX($BP70:$CG70), 
"custom order", IF(CI$1=INDEX(array, row,1),INDEX(array, row,5),"x"))
,1,))</f>
        <v/>
      </c>
      <c r="CJ70" s="252" t="str">
        <f t="array" ref="CJ70">LET(
array,SORT({$Y$2:$AB$19,TRANSPOSE($BP70:$CG70)},4,TRUE),
col,CHOOSECOLS(array,5),
row,MATCH(FALSE, ISBLANK(col), 0),
IF(BQ70=SWITCH($AA$22,
"minimum cost", MIN($BP70:$CG70),
"maximum cost", MAX($BP70:$CG70), 
"custom order", IF(CJ$1=INDEX(array, row,1),INDEX(array, row,5),"x"))
,1,))</f>
        <v/>
      </c>
      <c r="CK70" s="252" t="str">
        <f t="array" ref="CK70">LET(
array,SORT({$Y$2:$AB$19,TRANSPOSE($BP70:$CG70)},4,TRUE),
col,CHOOSECOLS(array,5),
row,MATCH(FALSE, ISBLANK(col), 0),
IF(BR70=SWITCH($AA$22,
"minimum cost", MIN($BP70:$CG70),
"maximum cost", MAX($BP70:$CG70), 
"custom order", IF(CK$1=INDEX(array, row,1),INDEX(array, row,5),"x"))
,1,))</f>
        <v/>
      </c>
      <c r="CL70" s="252" t="str">
        <f t="array" ref="CL70">LET(
array,SORT({$Y$2:$AB$19,TRANSPOSE($BP70:$CG70)},4,TRUE),
col,CHOOSECOLS(array,5),
row,MATCH(FALSE, ISBLANK(col), 0),
IF(BS70=SWITCH($AA$22,
"minimum cost", MIN($BP70:$CG70),
"maximum cost", MAX($BP70:$CG70), 
"custom order", IF(CL$1=INDEX(array, row,1),INDEX(array, row,5),"x"))
,1,))</f>
        <v/>
      </c>
      <c r="CM70" s="252" t="str">
        <f t="array" ref="CM70">LET(
array,SORT({$Y$2:$AB$19,TRANSPOSE($BP70:$CG70)},4,TRUE),
col,CHOOSECOLS(array,5),
row,MATCH(FALSE, ISBLANK(col), 0),
IF(BT70=SWITCH($AA$22,
"minimum cost", MIN($BP70:$CG70),
"maximum cost", MAX($BP70:$CG70), 
"custom order", IF(CM$1=INDEX(array, row,1),INDEX(array, row,5),"x"))
,1,))</f>
        <v/>
      </c>
      <c r="CN70" s="252" t="str">
        <f t="array" ref="CN70">LET(
array,SORT({$Y$2:$AB$19,TRANSPOSE($BP70:$CG70)},4,TRUE),
col,CHOOSECOLS(array,5),
row,MATCH(FALSE, ISBLANK(col), 0),
IF(BU70=SWITCH($AA$22,
"minimum cost", MIN($BP70:$CG70),
"maximum cost", MAX($BP70:$CG70), 
"custom order", IF(CN$1=INDEX(array, row,1),INDEX(array, row,5),"x"))
,1,))</f>
        <v/>
      </c>
      <c r="CO70" s="390">
        <f t="array" ref="CO70">LET(
array,SORT({$Y$2:$AB$19,TRANSPOSE($BP70:$CG70)},4,TRUE),
col,CHOOSECOLS(array,5),
row,MATCH(FALSE, ISBLANK(col), 0),
IF(BV70=SWITCH($AA$22,
"minimum cost", MIN($BP70:$CG70),
"maximum cost", MAX($BP70:$CG70), 
"custom order", IF(CO$1=INDEX(array, row,1),INDEX(array, row,5),"x"))
,1,))</f>
        <v>1</v>
      </c>
      <c r="CP70" s="390" t="str">
        <f t="array" ref="CP70">LET(
array,SORT({$Y$2:$AB$19,TRANSPOSE($BP70:$CG70)},4,TRUE),
col,CHOOSECOLS(array,5),
row,MATCH(FALSE, ISBLANK(col), 0),
IF(BW70=SWITCH($AA$22,
"minimum cost", MIN($BP70:$CG70),
"maximum cost", MAX($BP70:$CG70), 
"custom order", IF(CP$1=INDEX(array, row,1),INDEX(array, row,5),"x"))
,1,))</f>
        <v/>
      </c>
      <c r="CQ70" s="390" t="str">
        <f t="array" ref="CQ70">LET(
array,SORT({$Y$2:$AB$19,TRANSPOSE($BP70:$CG70)},4,TRUE),
col,CHOOSECOLS(array,5),
row,MATCH(FALSE, ISBLANK(col), 0),
IF(BX70=SWITCH($AA$22,
"minimum cost", MIN($BP70:$CG70),
"maximum cost", MAX($BP70:$CG70), 
"custom order", IF(CQ$1=INDEX(array, row,1),INDEX(array, row,5),"x"))
,1,))</f>
        <v/>
      </c>
      <c r="CR70" s="390" t="str">
        <f t="array" ref="CR70">LET(
array,SORT({$Y$2:$AB$19,TRANSPOSE($BP70:$CG70)},4,TRUE),
col,CHOOSECOLS(array,5),
row,MATCH(FALSE, ISBLANK(col), 0),
IF(BY70=SWITCH($AA$22,
"minimum cost", MIN($BP70:$CG70),
"maximum cost", MAX($BP70:$CG70), 
"custom order", IF(CR$1=INDEX(array, row,1),INDEX(array, row,5),"x"))
,1,))</f>
        <v/>
      </c>
      <c r="CS70" s="390" t="str">
        <f t="array" ref="CS70">LET(
array,SORT({$Y$2:$AB$19,TRANSPOSE($BP70:$CG70)},4,TRUE),
col,CHOOSECOLS(array,5),
row,MATCH(FALSE, ISBLANK(col), 0),
IF(BZ70=SWITCH($AA$22,
"minimum cost", MIN($BP70:$CG70),
"maximum cost", MAX($BP70:$CG70), 
"custom order", IF(CS$1=INDEX(array, row,1),INDEX(array, row,5),"x"))
,1,))</f>
        <v/>
      </c>
      <c r="CT70" s="390" t="str">
        <f t="array" ref="CT70">LET(
array,SORT({$Y$2:$AB$19,TRANSPOSE($BP70:$CG70)},4,TRUE),
col,CHOOSECOLS(array,5),
row,MATCH(FALSE, ISBLANK(col), 0),
IF(CA70=SWITCH($AA$22,
"minimum cost", MIN($BP70:$CG70),
"maximum cost", MAX($BP70:$CG70), 
"custom order", IF(CT$1=INDEX(array, row,1),INDEX(array, row,5),"x"))
,1,))</f>
        <v/>
      </c>
      <c r="CU70" s="469" t="str">
        <f t="array" ref="CU70">LET(
array,SORT({$Y$2:$AB$19,TRANSPOSE($BP70:$CG70)},4,TRUE),
col,CHOOSECOLS(array,5),
row,MATCH(FALSE, ISBLANK(col), 0),
IF(CB70=SWITCH($AA$22,
"minimum cost", MIN($BP70:$CG70),
"maximum cost", MAX($BP70:$CG70), 
"custom order", IF(CU$1=INDEX(array, row,1),INDEX(array, row,5),"x"))
,1,))</f>
        <v/>
      </c>
      <c r="CV70" s="469" t="str">
        <f t="array" ref="CV70">LET(
array,SORT({$Y$2:$AB$19,TRANSPOSE($BP70:$CG70)},4,TRUE),
col,CHOOSECOLS(array,5),
row,MATCH(FALSE, ISBLANK(col), 0),
IF(CC70=SWITCH($AA$22,
"minimum cost", MIN($BP70:$CG70),
"maximum cost", MAX($BP70:$CG70), 
"custom order", IF(CV$1=INDEX(array, row,1),INDEX(array, row,5),"x"))
,1,))</f>
        <v/>
      </c>
      <c r="CW70" s="469" t="str">
        <f t="array" ref="CW70">LET(
array,SORT({$Y$2:$AB$19,TRANSPOSE($BP70:$CG70)},4,TRUE),
col,CHOOSECOLS(array,5),
row,MATCH(FALSE, ISBLANK(col), 0),
IF(CD70=SWITCH($AA$22,
"minimum cost", MIN($BP70:$CG70),
"maximum cost", MAX($BP70:$CG70), 
"custom order", IF(CW$1=INDEX(array, row,1),INDEX(array, row,5),"x"))
,1,))</f>
        <v/>
      </c>
      <c r="CX70" s="469" t="str">
        <f t="array" ref="CX70">LET(
array,SORT({$Y$2:$AB$19,TRANSPOSE($BP70:$CG70)},4,TRUE),
col,CHOOSECOLS(array,5),
row,MATCH(FALSE, ISBLANK(col), 0),
IF(CE70=SWITCH($AA$22,
"minimum cost", MIN($BP70:$CG70),
"maximum cost", MAX($BP70:$CG70), 
"custom order", IF(CX$1=INDEX(array, row,1),INDEX(array, row,5),"x"))
,1,))</f>
        <v/>
      </c>
      <c r="CY70" s="469" t="str">
        <f t="array" ref="CY70">LET(
array,SORT({$Y$2:$AB$19,TRANSPOSE($BP70:$CG70)},4,TRUE),
col,CHOOSECOLS(array,5),
row,MATCH(FALSE, ISBLANK(col), 0),
IF(CF70=SWITCH($AA$22,
"minimum cost", MIN($BP70:$CG70),
"maximum cost", MAX($BP70:$CG70), 
"custom order", IF(CY$1=INDEX(array, row,1),INDEX(array, row,5),"x"))
,1,))</f>
        <v/>
      </c>
      <c r="CZ70" s="581" t="str">
        <f t="array" ref="CZ70">LET(
array,SORT({$Y$2:$AB$19,TRANSPOSE($BP70:$CG70)},4,TRUE),
col,CHOOSECOLS(array,5),
row,MATCH(FALSE, ISBLANK(col), 0),
IF(CG70=SWITCH($AA$22,
"minimum cost", MIN($BP70:$CG70),
"maximum cost", MAX($BP70:$CG70), 
"custom order", IF(CZ$1=INDEX(array, row,1),INDEX(array, row,5),"x"))
,1,))</f>
        <v/>
      </c>
      <c r="DA70" s="461"/>
      <c r="DB70" s="580" t="str">
        <f t="array" ref="DB70:DS70">IF(MATCH(1, CI70:CZ70, 0)=COLUMN(CI70:CZ70)-COLUMN(CI70)+1, CI70:CZ70, "")</f>
        <v/>
      </c>
      <c r="DC70" s="252" t="s">
        <v>133</v>
      </c>
      <c r="DD70" s="252" t="s">
        <v>133</v>
      </c>
      <c r="DE70" s="252" t="s">
        <v>133</v>
      </c>
      <c r="DF70" s="252" t="s">
        <v>133</v>
      </c>
      <c r="DG70" s="252" t="s">
        <v>133</v>
      </c>
      <c r="DH70" s="390">
        <v>1.0</v>
      </c>
      <c r="DI70" s="390" t="s">
        <v>133</v>
      </c>
      <c r="DJ70" s="390" t="s">
        <v>133</v>
      </c>
      <c r="DK70" s="390" t="s">
        <v>133</v>
      </c>
      <c r="DL70" s="390" t="s">
        <v>133</v>
      </c>
      <c r="DM70" s="390" t="s">
        <v>133</v>
      </c>
      <c r="DN70" s="469" t="s">
        <v>133</v>
      </c>
      <c r="DO70" s="469" t="s">
        <v>133</v>
      </c>
      <c r="DP70" s="469" t="s">
        <v>133</v>
      </c>
      <c r="DQ70" s="469" t="s">
        <v>133</v>
      </c>
      <c r="DR70" s="469" t="s">
        <v>133</v>
      </c>
      <c r="DS70" s="581" t="s">
        <v>133</v>
      </c>
      <c r="DT70" s="563"/>
    </row>
    <row r="71">
      <c r="A71" s="563"/>
      <c r="B71" s="709"/>
      <c r="C71" s="709"/>
      <c r="D71" s="709"/>
      <c r="E71" s="10"/>
      <c r="F71" s="709"/>
      <c r="G71" s="10"/>
      <c r="H71" s="709"/>
      <c r="I71" s="10"/>
      <c r="J71" s="709"/>
      <c r="K71" s="10"/>
      <c r="L71" s="709"/>
      <c r="M71" s="461"/>
      <c r="N71" s="10"/>
      <c r="O71" s="10"/>
      <c r="P71" s="10"/>
      <c r="Q71" s="570" t="str">
        <f>IFERROR(__xludf.DUMMYFUNCTION("IF(SUM(DB71:DS71),ARRAYFORMULA(FILTER(DB$1:DS$1, DB71:DS71=1)),)"),"Health")</f>
        <v>Health</v>
      </c>
      <c r="R71" s="571">
        <f>IFERROR(__xludf.DUMMYFUNCTION("IF(SUM(DB71:DS71),ARRAYFORMULA(FILTER(AW71:BN71, DB71:DS71=1))+1,)"),69.0)</f>
        <v>69</v>
      </c>
      <c r="S71" s="572">
        <f>IFERROR(__xludf.DUMMYFUNCTION("IF(SUM(DB71:DS71),ARRAYFORMULA(FILTER(AD71:AU71, DB71:DS71=1)),)"),1.9321E14)</f>
        <v>193210000000000</v>
      </c>
      <c r="T71" s="572">
        <f t="shared" si="26"/>
        <v>1.4765E+16</v>
      </c>
      <c r="U71" s="573" t="str">
        <f t="shared" ref="U71:V71" si="229">FORMAT_NUMBER(S71)</f>
        <v>193.21 T</v>
      </c>
      <c r="V71" s="574" t="str">
        <f t="shared" si="229"/>
        <v>14.76 q</v>
      </c>
      <c r="W71" s="677"/>
      <c r="X71" s="709"/>
      <c r="Y71" s="709"/>
      <c r="Z71" s="709"/>
      <c r="AA71" s="709"/>
      <c r="AB71" s="712"/>
      <c r="AC71" s="461"/>
      <c r="AD71" s="580">
        <f t="shared" ref="AD71:AU71" si="230">IFERROR(WSPCOST_SINGLE_ADJUSTED(AD$1,1+AW71),)</f>
        <v>37110000000000</v>
      </c>
      <c r="AE71" s="252">
        <f t="shared" si="230"/>
        <v>82420000000</v>
      </c>
      <c r="AF71" s="252">
        <f t="shared" si="230"/>
        <v>69650000000000</v>
      </c>
      <c r="AG71" s="252">
        <f t="shared" si="230"/>
        <v>21210000000</v>
      </c>
      <c r="AH71" s="252">
        <f t="shared" si="230"/>
        <v>43890000000000</v>
      </c>
      <c r="AI71" s="252">
        <f t="shared" si="230"/>
        <v>47710000000000</v>
      </c>
      <c r="AJ71" s="390">
        <f t="shared" si="230"/>
        <v>193210000000000</v>
      </c>
      <c r="AK71" s="390">
        <f t="shared" si="230"/>
        <v>580270000000000</v>
      </c>
      <c r="AL71" s="390">
        <f t="shared" si="230"/>
        <v>5000000000</v>
      </c>
      <c r="AM71" s="390">
        <f t="shared" si="230"/>
        <v>33950000000</v>
      </c>
      <c r="AN71" s="390">
        <f t="shared" si="230"/>
        <v>60080000000000</v>
      </c>
      <c r="AO71" s="390">
        <f t="shared" si="230"/>
        <v>22020000000000</v>
      </c>
      <c r="AP71" s="469">
        <f t="shared" si="230"/>
        <v>153100000000000</v>
      </c>
      <c r="AQ71" s="469">
        <f t="shared" si="230"/>
        <v>1.3E+15</v>
      </c>
      <c r="AR71" s="469">
        <f t="shared" si="230"/>
        <v>1.3E+15</v>
      </c>
      <c r="AS71" s="469">
        <f t="shared" si="230"/>
        <v>420490000000000</v>
      </c>
      <c r="AT71" s="469">
        <f t="shared" si="230"/>
        <v>3990000000000</v>
      </c>
      <c r="AU71" s="581">
        <f t="shared" si="230"/>
        <v>1.14E+15</v>
      </c>
      <c r="AV71" s="461"/>
      <c r="AW71" s="580">
        <f t="shared" ref="AW71:BN71" si="231">AW70+DB70</f>
        <v>56</v>
      </c>
      <c r="AX71" s="252">
        <f t="shared" si="231"/>
        <v>21</v>
      </c>
      <c r="AY71" s="252">
        <f t="shared" si="231"/>
        <v>60</v>
      </c>
      <c r="AZ71" s="252">
        <f t="shared" si="231"/>
        <v>17</v>
      </c>
      <c r="BA71" s="252">
        <f t="shared" si="231"/>
        <v>57</v>
      </c>
      <c r="BB71" s="252">
        <f t="shared" si="231"/>
        <v>13</v>
      </c>
      <c r="BC71" s="390">
        <f t="shared" si="231"/>
        <v>68</v>
      </c>
      <c r="BD71" s="390">
        <f t="shared" si="231"/>
        <v>79</v>
      </c>
      <c r="BE71" s="390">
        <f t="shared" si="231"/>
        <v>0</v>
      </c>
      <c r="BF71" s="390">
        <f t="shared" si="231"/>
        <v>18</v>
      </c>
      <c r="BG71" s="390">
        <f t="shared" si="231"/>
        <v>59</v>
      </c>
      <c r="BH71" s="390">
        <f t="shared" si="231"/>
        <v>20</v>
      </c>
      <c r="BI71" s="469">
        <f t="shared" si="231"/>
        <v>66</v>
      </c>
      <c r="BJ71" s="469">
        <f t="shared" si="231"/>
        <v>37</v>
      </c>
      <c r="BK71" s="469">
        <f t="shared" si="231"/>
        <v>37</v>
      </c>
      <c r="BL71" s="469">
        <f t="shared" si="231"/>
        <v>18</v>
      </c>
      <c r="BM71" s="469">
        <f t="shared" si="231"/>
        <v>42</v>
      </c>
      <c r="BN71" s="581">
        <f t="shared" si="231"/>
        <v>15</v>
      </c>
      <c r="BO71" s="461"/>
      <c r="BP71" s="580">
        <f t="shared" si="8"/>
        <v>37110000000000</v>
      </c>
      <c r="BQ71" s="252" t="str">
        <f t="shared" si="9"/>
        <v/>
      </c>
      <c r="BR71" s="252">
        <f t="shared" si="10"/>
        <v>69650000000000</v>
      </c>
      <c r="BS71" s="252" t="str">
        <f t="shared" si="11"/>
        <v/>
      </c>
      <c r="BT71" s="252" t="str">
        <f t="shared" si="12"/>
        <v/>
      </c>
      <c r="BU71" s="252">
        <f t="shared" si="13"/>
        <v>47710000000000</v>
      </c>
      <c r="BV71" s="390">
        <f t="shared" si="14"/>
        <v>193210000000000</v>
      </c>
      <c r="BW71" s="390" t="str">
        <f t="shared" si="15"/>
        <v/>
      </c>
      <c r="BX71" s="390" t="str">
        <f t="shared" si="16"/>
        <v/>
      </c>
      <c r="BY71" s="390" t="str">
        <f t="shared" si="17"/>
        <v/>
      </c>
      <c r="BZ71" s="390">
        <f t="shared" si="18"/>
        <v>60080000000000</v>
      </c>
      <c r="CA71" s="390">
        <f t="shared" si="19"/>
        <v>22020000000000</v>
      </c>
      <c r="CB71" s="469" t="str">
        <f t="shared" si="20"/>
        <v/>
      </c>
      <c r="CC71" s="469" t="str">
        <f t="shared" si="21"/>
        <v/>
      </c>
      <c r="CD71" s="469" t="str">
        <f t="shared" si="22"/>
        <v/>
      </c>
      <c r="CE71" s="469" t="str">
        <f t="shared" si="23"/>
        <v/>
      </c>
      <c r="CF71" s="469" t="str">
        <f t="shared" si="24"/>
        <v/>
      </c>
      <c r="CG71" s="581" t="str">
        <f t="shared" si="25"/>
        <v/>
      </c>
      <c r="CH71" s="461"/>
      <c r="CI71" s="580" t="str">
        <f t="array" ref="CI71">LET(
array,SORT({$Y$2:$AB$19,TRANSPOSE($BP71:$CG71)},4,TRUE),
col,CHOOSECOLS(array,5),
row,MATCH(FALSE, ISBLANK(col), 0),
IF(BP71=SWITCH($AA$22,
"minimum cost", MIN($BP71:$CG71),
"maximum cost", MAX($BP71:$CG71), 
"custom order", IF(CI$1=INDEX(array, row,1),INDEX(array, row,5),"x"))
,1,))</f>
        <v/>
      </c>
      <c r="CJ71" s="252" t="str">
        <f t="array" ref="CJ71">LET(
array,SORT({$Y$2:$AB$19,TRANSPOSE($BP71:$CG71)},4,TRUE),
col,CHOOSECOLS(array,5),
row,MATCH(FALSE, ISBLANK(col), 0),
IF(BQ71=SWITCH($AA$22,
"minimum cost", MIN($BP71:$CG71),
"maximum cost", MAX($BP71:$CG71), 
"custom order", IF(CJ$1=INDEX(array, row,1),INDEX(array, row,5),"x"))
,1,))</f>
        <v/>
      </c>
      <c r="CK71" s="252" t="str">
        <f t="array" ref="CK71">LET(
array,SORT({$Y$2:$AB$19,TRANSPOSE($BP71:$CG71)},4,TRUE),
col,CHOOSECOLS(array,5),
row,MATCH(FALSE, ISBLANK(col), 0),
IF(BR71=SWITCH($AA$22,
"minimum cost", MIN($BP71:$CG71),
"maximum cost", MAX($BP71:$CG71), 
"custom order", IF(CK$1=INDEX(array, row,1),INDEX(array, row,5),"x"))
,1,))</f>
        <v/>
      </c>
      <c r="CL71" s="252" t="str">
        <f t="array" ref="CL71">LET(
array,SORT({$Y$2:$AB$19,TRANSPOSE($BP71:$CG71)},4,TRUE),
col,CHOOSECOLS(array,5),
row,MATCH(FALSE, ISBLANK(col), 0),
IF(BS71=SWITCH($AA$22,
"minimum cost", MIN($BP71:$CG71),
"maximum cost", MAX($BP71:$CG71), 
"custom order", IF(CL$1=INDEX(array, row,1),INDEX(array, row,5),"x"))
,1,))</f>
        <v/>
      </c>
      <c r="CM71" s="252" t="str">
        <f t="array" ref="CM71">LET(
array,SORT({$Y$2:$AB$19,TRANSPOSE($BP71:$CG71)},4,TRUE),
col,CHOOSECOLS(array,5),
row,MATCH(FALSE, ISBLANK(col), 0),
IF(BT71=SWITCH($AA$22,
"minimum cost", MIN($BP71:$CG71),
"maximum cost", MAX($BP71:$CG71), 
"custom order", IF(CM$1=INDEX(array, row,1),INDEX(array, row,5),"x"))
,1,))</f>
        <v/>
      </c>
      <c r="CN71" s="252" t="str">
        <f t="array" ref="CN71">LET(
array,SORT({$Y$2:$AB$19,TRANSPOSE($BP71:$CG71)},4,TRUE),
col,CHOOSECOLS(array,5),
row,MATCH(FALSE, ISBLANK(col), 0),
IF(BU71=SWITCH($AA$22,
"minimum cost", MIN($BP71:$CG71),
"maximum cost", MAX($BP71:$CG71), 
"custom order", IF(CN$1=INDEX(array, row,1),INDEX(array, row,5),"x"))
,1,))</f>
        <v/>
      </c>
      <c r="CO71" s="390">
        <f t="array" ref="CO71">LET(
array,SORT({$Y$2:$AB$19,TRANSPOSE($BP71:$CG71)},4,TRUE),
col,CHOOSECOLS(array,5),
row,MATCH(FALSE, ISBLANK(col), 0),
IF(BV71=SWITCH($AA$22,
"minimum cost", MIN($BP71:$CG71),
"maximum cost", MAX($BP71:$CG71), 
"custom order", IF(CO$1=INDEX(array, row,1),INDEX(array, row,5),"x"))
,1,))</f>
        <v>1</v>
      </c>
      <c r="CP71" s="390" t="str">
        <f t="array" ref="CP71">LET(
array,SORT({$Y$2:$AB$19,TRANSPOSE($BP71:$CG71)},4,TRUE),
col,CHOOSECOLS(array,5),
row,MATCH(FALSE, ISBLANK(col), 0),
IF(BW71=SWITCH($AA$22,
"minimum cost", MIN($BP71:$CG71),
"maximum cost", MAX($BP71:$CG71), 
"custom order", IF(CP$1=INDEX(array, row,1),INDEX(array, row,5),"x"))
,1,))</f>
        <v/>
      </c>
      <c r="CQ71" s="390" t="str">
        <f t="array" ref="CQ71">LET(
array,SORT({$Y$2:$AB$19,TRANSPOSE($BP71:$CG71)},4,TRUE),
col,CHOOSECOLS(array,5),
row,MATCH(FALSE, ISBLANK(col), 0),
IF(BX71=SWITCH($AA$22,
"minimum cost", MIN($BP71:$CG71),
"maximum cost", MAX($BP71:$CG71), 
"custom order", IF(CQ$1=INDEX(array, row,1),INDEX(array, row,5),"x"))
,1,))</f>
        <v/>
      </c>
      <c r="CR71" s="390" t="str">
        <f t="array" ref="CR71">LET(
array,SORT({$Y$2:$AB$19,TRANSPOSE($BP71:$CG71)},4,TRUE),
col,CHOOSECOLS(array,5),
row,MATCH(FALSE, ISBLANK(col), 0),
IF(BY71=SWITCH($AA$22,
"minimum cost", MIN($BP71:$CG71),
"maximum cost", MAX($BP71:$CG71), 
"custom order", IF(CR$1=INDEX(array, row,1),INDEX(array, row,5),"x"))
,1,))</f>
        <v/>
      </c>
      <c r="CS71" s="390" t="str">
        <f t="array" ref="CS71">LET(
array,SORT({$Y$2:$AB$19,TRANSPOSE($BP71:$CG71)},4,TRUE),
col,CHOOSECOLS(array,5),
row,MATCH(FALSE, ISBLANK(col), 0),
IF(BZ71=SWITCH($AA$22,
"minimum cost", MIN($BP71:$CG71),
"maximum cost", MAX($BP71:$CG71), 
"custom order", IF(CS$1=INDEX(array, row,1),INDEX(array, row,5),"x"))
,1,))</f>
        <v/>
      </c>
      <c r="CT71" s="390" t="str">
        <f t="array" ref="CT71">LET(
array,SORT({$Y$2:$AB$19,TRANSPOSE($BP71:$CG71)},4,TRUE),
col,CHOOSECOLS(array,5),
row,MATCH(FALSE, ISBLANK(col), 0),
IF(CA71=SWITCH($AA$22,
"minimum cost", MIN($BP71:$CG71),
"maximum cost", MAX($BP71:$CG71), 
"custom order", IF(CT$1=INDEX(array, row,1),INDEX(array, row,5),"x"))
,1,))</f>
        <v/>
      </c>
      <c r="CU71" s="469" t="str">
        <f t="array" ref="CU71">LET(
array,SORT({$Y$2:$AB$19,TRANSPOSE($BP71:$CG71)},4,TRUE),
col,CHOOSECOLS(array,5),
row,MATCH(FALSE, ISBLANK(col), 0),
IF(CB71=SWITCH($AA$22,
"minimum cost", MIN($BP71:$CG71),
"maximum cost", MAX($BP71:$CG71), 
"custom order", IF(CU$1=INDEX(array, row,1),INDEX(array, row,5),"x"))
,1,))</f>
        <v/>
      </c>
      <c r="CV71" s="469" t="str">
        <f t="array" ref="CV71">LET(
array,SORT({$Y$2:$AB$19,TRANSPOSE($BP71:$CG71)},4,TRUE),
col,CHOOSECOLS(array,5),
row,MATCH(FALSE, ISBLANK(col), 0),
IF(CC71=SWITCH($AA$22,
"minimum cost", MIN($BP71:$CG71),
"maximum cost", MAX($BP71:$CG71), 
"custom order", IF(CV$1=INDEX(array, row,1),INDEX(array, row,5),"x"))
,1,))</f>
        <v/>
      </c>
      <c r="CW71" s="469" t="str">
        <f t="array" ref="CW71">LET(
array,SORT({$Y$2:$AB$19,TRANSPOSE($BP71:$CG71)},4,TRUE),
col,CHOOSECOLS(array,5),
row,MATCH(FALSE, ISBLANK(col), 0),
IF(CD71=SWITCH($AA$22,
"minimum cost", MIN($BP71:$CG71),
"maximum cost", MAX($BP71:$CG71), 
"custom order", IF(CW$1=INDEX(array, row,1),INDEX(array, row,5),"x"))
,1,))</f>
        <v/>
      </c>
      <c r="CX71" s="469" t="str">
        <f t="array" ref="CX71">LET(
array,SORT({$Y$2:$AB$19,TRANSPOSE($BP71:$CG71)},4,TRUE),
col,CHOOSECOLS(array,5),
row,MATCH(FALSE, ISBLANK(col), 0),
IF(CE71=SWITCH($AA$22,
"minimum cost", MIN($BP71:$CG71),
"maximum cost", MAX($BP71:$CG71), 
"custom order", IF(CX$1=INDEX(array, row,1),INDEX(array, row,5),"x"))
,1,))</f>
        <v/>
      </c>
      <c r="CY71" s="469" t="str">
        <f t="array" ref="CY71">LET(
array,SORT({$Y$2:$AB$19,TRANSPOSE($BP71:$CG71)},4,TRUE),
col,CHOOSECOLS(array,5),
row,MATCH(FALSE, ISBLANK(col), 0),
IF(CF71=SWITCH($AA$22,
"minimum cost", MIN($BP71:$CG71),
"maximum cost", MAX($BP71:$CG71), 
"custom order", IF(CY$1=INDEX(array, row,1),INDEX(array, row,5),"x"))
,1,))</f>
        <v/>
      </c>
      <c r="CZ71" s="581" t="str">
        <f t="array" ref="CZ71">LET(
array,SORT({$Y$2:$AB$19,TRANSPOSE($BP71:$CG71)},4,TRUE),
col,CHOOSECOLS(array,5),
row,MATCH(FALSE, ISBLANK(col), 0),
IF(CG71=SWITCH($AA$22,
"minimum cost", MIN($BP71:$CG71),
"maximum cost", MAX($BP71:$CG71), 
"custom order", IF(CZ$1=INDEX(array, row,1),INDEX(array, row,5),"x"))
,1,))</f>
        <v/>
      </c>
      <c r="DA71" s="461"/>
      <c r="DB71" s="580" t="str">
        <f t="array" ref="DB71:DS71">IF(MATCH(1, CI71:CZ71, 0)=COLUMN(CI71:CZ71)-COLUMN(CI71)+1, CI71:CZ71, "")</f>
        <v/>
      </c>
      <c r="DC71" s="252" t="s">
        <v>133</v>
      </c>
      <c r="DD71" s="252" t="s">
        <v>133</v>
      </c>
      <c r="DE71" s="252" t="s">
        <v>133</v>
      </c>
      <c r="DF71" s="252" t="s">
        <v>133</v>
      </c>
      <c r="DG71" s="252" t="s">
        <v>133</v>
      </c>
      <c r="DH71" s="390">
        <v>1.0</v>
      </c>
      <c r="DI71" s="390" t="s">
        <v>133</v>
      </c>
      <c r="DJ71" s="390" t="s">
        <v>133</v>
      </c>
      <c r="DK71" s="390" t="s">
        <v>133</v>
      </c>
      <c r="DL71" s="390" t="s">
        <v>133</v>
      </c>
      <c r="DM71" s="390" t="s">
        <v>133</v>
      </c>
      <c r="DN71" s="469" t="s">
        <v>133</v>
      </c>
      <c r="DO71" s="469" t="s">
        <v>133</v>
      </c>
      <c r="DP71" s="469" t="s">
        <v>133</v>
      </c>
      <c r="DQ71" s="469" t="s">
        <v>133</v>
      </c>
      <c r="DR71" s="469" t="s">
        <v>133</v>
      </c>
      <c r="DS71" s="581" t="s">
        <v>133</v>
      </c>
      <c r="DT71" s="563"/>
    </row>
    <row r="72">
      <c r="A72" s="563"/>
      <c r="B72" s="709"/>
      <c r="C72" s="709"/>
      <c r="D72" s="709"/>
      <c r="E72" s="10"/>
      <c r="F72" s="709"/>
      <c r="G72" s="10"/>
      <c r="H72" s="709"/>
      <c r="I72" s="10"/>
      <c r="J72" s="709"/>
      <c r="K72" s="10"/>
      <c r="L72" s="709"/>
      <c r="M72" s="461"/>
      <c r="N72" s="10"/>
      <c r="O72" s="10"/>
      <c r="P72" s="10"/>
      <c r="Q72" s="570" t="str">
        <f>IFERROR(__xludf.DUMMYFUNCTION("IF(SUM(DB72:DS72),ARRAYFORMULA(FILTER(DB$1:DS$1, DB72:DS72=1)),)"),"Health")</f>
        <v>Health</v>
      </c>
      <c r="R72" s="571">
        <f>IFERROR(__xludf.DUMMYFUNCTION("IF(SUM(DB72:DS72),ARRAYFORMULA(FILTER(AW72:BN72, DB72:DS72=1))+1,)"),70.0)</f>
        <v>70</v>
      </c>
      <c r="S72" s="572">
        <f>IFERROR(__xludf.DUMMYFUNCTION("IF(SUM(DB72:DS72),ARRAYFORMULA(FILTER(AD72:AU72, DB72:DS72=1)),)"),2.1608E14)</f>
        <v>216080000000000</v>
      </c>
      <c r="T72" s="572">
        <f t="shared" si="26"/>
        <v>1.49811E+16</v>
      </c>
      <c r="U72" s="573" t="str">
        <f t="shared" ref="U72:V72" si="232">FORMAT_NUMBER(S72)</f>
        <v>216.08 T</v>
      </c>
      <c r="V72" s="574" t="str">
        <f t="shared" si="232"/>
        <v>14.98 q</v>
      </c>
      <c r="W72" s="677"/>
      <c r="X72" s="709"/>
      <c r="Y72" s="709"/>
      <c r="Z72" s="709"/>
      <c r="AA72" s="709"/>
      <c r="AB72" s="712"/>
      <c r="AC72" s="461"/>
      <c r="AD72" s="580">
        <f t="shared" ref="AD72:AU72" si="233">IFERROR(WSPCOST_SINGLE_ADJUSTED(AD$1,1+AW72),)</f>
        <v>37110000000000</v>
      </c>
      <c r="AE72" s="252">
        <f t="shared" si="233"/>
        <v>82420000000</v>
      </c>
      <c r="AF72" s="252">
        <f t="shared" si="233"/>
        <v>69650000000000</v>
      </c>
      <c r="AG72" s="252">
        <f t="shared" si="233"/>
        <v>21210000000</v>
      </c>
      <c r="AH72" s="252">
        <f t="shared" si="233"/>
        <v>43890000000000</v>
      </c>
      <c r="AI72" s="252">
        <f t="shared" si="233"/>
        <v>47710000000000</v>
      </c>
      <c r="AJ72" s="390">
        <f t="shared" si="233"/>
        <v>216080000000000</v>
      </c>
      <c r="AK72" s="390">
        <f t="shared" si="233"/>
        <v>580270000000000</v>
      </c>
      <c r="AL72" s="390">
        <f t="shared" si="233"/>
        <v>5000000000</v>
      </c>
      <c r="AM72" s="390">
        <f t="shared" si="233"/>
        <v>33950000000</v>
      </c>
      <c r="AN72" s="390">
        <f t="shared" si="233"/>
        <v>60080000000000</v>
      </c>
      <c r="AO72" s="390">
        <f t="shared" si="233"/>
        <v>22020000000000</v>
      </c>
      <c r="AP72" s="469">
        <f t="shared" si="233"/>
        <v>153100000000000</v>
      </c>
      <c r="AQ72" s="469">
        <f t="shared" si="233"/>
        <v>1.3E+15</v>
      </c>
      <c r="AR72" s="469">
        <f t="shared" si="233"/>
        <v>1.3E+15</v>
      </c>
      <c r="AS72" s="469">
        <f t="shared" si="233"/>
        <v>420490000000000</v>
      </c>
      <c r="AT72" s="469">
        <f t="shared" si="233"/>
        <v>3990000000000</v>
      </c>
      <c r="AU72" s="581">
        <f t="shared" si="233"/>
        <v>1.14E+15</v>
      </c>
      <c r="AV72" s="461"/>
      <c r="AW72" s="580">
        <f t="shared" ref="AW72:BN72" si="234">AW71+DB71</f>
        <v>56</v>
      </c>
      <c r="AX72" s="252">
        <f t="shared" si="234"/>
        <v>21</v>
      </c>
      <c r="AY72" s="252">
        <f t="shared" si="234"/>
        <v>60</v>
      </c>
      <c r="AZ72" s="252">
        <f t="shared" si="234"/>
        <v>17</v>
      </c>
      <c r="BA72" s="252">
        <f t="shared" si="234"/>
        <v>57</v>
      </c>
      <c r="BB72" s="252">
        <f t="shared" si="234"/>
        <v>13</v>
      </c>
      <c r="BC72" s="390">
        <f t="shared" si="234"/>
        <v>69</v>
      </c>
      <c r="BD72" s="390">
        <f t="shared" si="234"/>
        <v>79</v>
      </c>
      <c r="BE72" s="390">
        <f t="shared" si="234"/>
        <v>0</v>
      </c>
      <c r="BF72" s="390">
        <f t="shared" si="234"/>
        <v>18</v>
      </c>
      <c r="BG72" s="390">
        <f t="shared" si="234"/>
        <v>59</v>
      </c>
      <c r="BH72" s="390">
        <f t="shared" si="234"/>
        <v>20</v>
      </c>
      <c r="BI72" s="469">
        <f t="shared" si="234"/>
        <v>66</v>
      </c>
      <c r="BJ72" s="469">
        <f t="shared" si="234"/>
        <v>37</v>
      </c>
      <c r="BK72" s="469">
        <f t="shared" si="234"/>
        <v>37</v>
      </c>
      <c r="BL72" s="469">
        <f t="shared" si="234"/>
        <v>18</v>
      </c>
      <c r="BM72" s="469">
        <f t="shared" si="234"/>
        <v>42</v>
      </c>
      <c r="BN72" s="581">
        <f t="shared" si="234"/>
        <v>15</v>
      </c>
      <c r="BO72" s="461"/>
      <c r="BP72" s="580">
        <f t="shared" si="8"/>
        <v>37110000000000</v>
      </c>
      <c r="BQ72" s="252" t="str">
        <f t="shared" si="9"/>
        <v/>
      </c>
      <c r="BR72" s="252">
        <f t="shared" si="10"/>
        <v>69650000000000</v>
      </c>
      <c r="BS72" s="252" t="str">
        <f t="shared" si="11"/>
        <v/>
      </c>
      <c r="BT72" s="252" t="str">
        <f t="shared" si="12"/>
        <v/>
      </c>
      <c r="BU72" s="252">
        <f t="shared" si="13"/>
        <v>47710000000000</v>
      </c>
      <c r="BV72" s="390">
        <f t="shared" si="14"/>
        <v>216080000000000</v>
      </c>
      <c r="BW72" s="390" t="str">
        <f t="shared" si="15"/>
        <v/>
      </c>
      <c r="BX72" s="390" t="str">
        <f t="shared" si="16"/>
        <v/>
      </c>
      <c r="BY72" s="390" t="str">
        <f t="shared" si="17"/>
        <v/>
      </c>
      <c r="BZ72" s="390">
        <f t="shared" si="18"/>
        <v>60080000000000</v>
      </c>
      <c r="CA72" s="390">
        <f t="shared" si="19"/>
        <v>22020000000000</v>
      </c>
      <c r="CB72" s="469" t="str">
        <f t="shared" si="20"/>
        <v/>
      </c>
      <c r="CC72" s="469" t="str">
        <f t="shared" si="21"/>
        <v/>
      </c>
      <c r="CD72" s="469" t="str">
        <f t="shared" si="22"/>
        <v/>
      </c>
      <c r="CE72" s="469" t="str">
        <f t="shared" si="23"/>
        <v/>
      </c>
      <c r="CF72" s="469" t="str">
        <f t="shared" si="24"/>
        <v/>
      </c>
      <c r="CG72" s="581" t="str">
        <f t="shared" si="25"/>
        <v/>
      </c>
      <c r="CH72" s="461"/>
      <c r="CI72" s="580" t="str">
        <f t="array" ref="CI72">LET(
array,SORT({$Y$2:$AB$19,TRANSPOSE($BP72:$CG72)},4,TRUE),
col,CHOOSECOLS(array,5),
row,MATCH(FALSE, ISBLANK(col), 0),
IF(BP72=SWITCH($AA$22,
"minimum cost", MIN($BP72:$CG72),
"maximum cost", MAX($BP72:$CG72), 
"custom order", IF(CI$1=INDEX(array, row,1),INDEX(array, row,5),"x"))
,1,))</f>
        <v/>
      </c>
      <c r="CJ72" s="252" t="str">
        <f t="array" ref="CJ72">LET(
array,SORT({$Y$2:$AB$19,TRANSPOSE($BP72:$CG72)},4,TRUE),
col,CHOOSECOLS(array,5),
row,MATCH(FALSE, ISBLANK(col), 0),
IF(BQ72=SWITCH($AA$22,
"minimum cost", MIN($BP72:$CG72),
"maximum cost", MAX($BP72:$CG72), 
"custom order", IF(CJ$1=INDEX(array, row,1),INDEX(array, row,5),"x"))
,1,))</f>
        <v/>
      </c>
      <c r="CK72" s="252" t="str">
        <f t="array" ref="CK72">LET(
array,SORT({$Y$2:$AB$19,TRANSPOSE($BP72:$CG72)},4,TRUE),
col,CHOOSECOLS(array,5),
row,MATCH(FALSE, ISBLANK(col), 0),
IF(BR72=SWITCH($AA$22,
"minimum cost", MIN($BP72:$CG72),
"maximum cost", MAX($BP72:$CG72), 
"custom order", IF(CK$1=INDEX(array, row,1),INDEX(array, row,5),"x"))
,1,))</f>
        <v/>
      </c>
      <c r="CL72" s="252" t="str">
        <f t="array" ref="CL72">LET(
array,SORT({$Y$2:$AB$19,TRANSPOSE($BP72:$CG72)},4,TRUE),
col,CHOOSECOLS(array,5),
row,MATCH(FALSE, ISBLANK(col), 0),
IF(BS72=SWITCH($AA$22,
"minimum cost", MIN($BP72:$CG72),
"maximum cost", MAX($BP72:$CG72), 
"custom order", IF(CL$1=INDEX(array, row,1),INDEX(array, row,5),"x"))
,1,))</f>
        <v/>
      </c>
      <c r="CM72" s="252" t="str">
        <f t="array" ref="CM72">LET(
array,SORT({$Y$2:$AB$19,TRANSPOSE($BP72:$CG72)},4,TRUE),
col,CHOOSECOLS(array,5),
row,MATCH(FALSE, ISBLANK(col), 0),
IF(BT72=SWITCH($AA$22,
"minimum cost", MIN($BP72:$CG72),
"maximum cost", MAX($BP72:$CG72), 
"custom order", IF(CM$1=INDEX(array, row,1),INDEX(array, row,5),"x"))
,1,))</f>
        <v/>
      </c>
      <c r="CN72" s="252" t="str">
        <f t="array" ref="CN72">LET(
array,SORT({$Y$2:$AB$19,TRANSPOSE($BP72:$CG72)},4,TRUE),
col,CHOOSECOLS(array,5),
row,MATCH(FALSE, ISBLANK(col), 0),
IF(BU72=SWITCH($AA$22,
"minimum cost", MIN($BP72:$CG72),
"maximum cost", MAX($BP72:$CG72), 
"custom order", IF(CN$1=INDEX(array, row,1),INDEX(array, row,5),"x"))
,1,))</f>
        <v/>
      </c>
      <c r="CO72" s="390">
        <f t="array" ref="CO72">LET(
array,SORT({$Y$2:$AB$19,TRANSPOSE($BP72:$CG72)},4,TRUE),
col,CHOOSECOLS(array,5),
row,MATCH(FALSE, ISBLANK(col), 0),
IF(BV72=SWITCH($AA$22,
"minimum cost", MIN($BP72:$CG72),
"maximum cost", MAX($BP72:$CG72), 
"custom order", IF(CO$1=INDEX(array, row,1),INDEX(array, row,5),"x"))
,1,))</f>
        <v>1</v>
      </c>
      <c r="CP72" s="390" t="str">
        <f t="array" ref="CP72">LET(
array,SORT({$Y$2:$AB$19,TRANSPOSE($BP72:$CG72)},4,TRUE),
col,CHOOSECOLS(array,5),
row,MATCH(FALSE, ISBLANK(col), 0),
IF(BW72=SWITCH($AA$22,
"minimum cost", MIN($BP72:$CG72),
"maximum cost", MAX($BP72:$CG72), 
"custom order", IF(CP$1=INDEX(array, row,1),INDEX(array, row,5),"x"))
,1,))</f>
        <v/>
      </c>
      <c r="CQ72" s="390" t="str">
        <f t="array" ref="CQ72">LET(
array,SORT({$Y$2:$AB$19,TRANSPOSE($BP72:$CG72)},4,TRUE),
col,CHOOSECOLS(array,5),
row,MATCH(FALSE, ISBLANK(col), 0),
IF(BX72=SWITCH($AA$22,
"minimum cost", MIN($BP72:$CG72),
"maximum cost", MAX($BP72:$CG72), 
"custom order", IF(CQ$1=INDEX(array, row,1),INDEX(array, row,5),"x"))
,1,))</f>
        <v/>
      </c>
      <c r="CR72" s="390" t="str">
        <f t="array" ref="CR72">LET(
array,SORT({$Y$2:$AB$19,TRANSPOSE($BP72:$CG72)},4,TRUE),
col,CHOOSECOLS(array,5),
row,MATCH(FALSE, ISBLANK(col), 0),
IF(BY72=SWITCH($AA$22,
"minimum cost", MIN($BP72:$CG72),
"maximum cost", MAX($BP72:$CG72), 
"custom order", IF(CR$1=INDEX(array, row,1),INDEX(array, row,5),"x"))
,1,))</f>
        <v/>
      </c>
      <c r="CS72" s="390" t="str">
        <f t="array" ref="CS72">LET(
array,SORT({$Y$2:$AB$19,TRANSPOSE($BP72:$CG72)},4,TRUE),
col,CHOOSECOLS(array,5),
row,MATCH(FALSE, ISBLANK(col), 0),
IF(BZ72=SWITCH($AA$22,
"minimum cost", MIN($BP72:$CG72),
"maximum cost", MAX($BP72:$CG72), 
"custom order", IF(CS$1=INDEX(array, row,1),INDEX(array, row,5),"x"))
,1,))</f>
        <v/>
      </c>
      <c r="CT72" s="390" t="str">
        <f t="array" ref="CT72">LET(
array,SORT({$Y$2:$AB$19,TRANSPOSE($BP72:$CG72)},4,TRUE),
col,CHOOSECOLS(array,5),
row,MATCH(FALSE, ISBLANK(col), 0),
IF(CA72=SWITCH($AA$22,
"minimum cost", MIN($BP72:$CG72),
"maximum cost", MAX($BP72:$CG72), 
"custom order", IF(CT$1=INDEX(array, row,1),INDEX(array, row,5),"x"))
,1,))</f>
        <v/>
      </c>
      <c r="CU72" s="469" t="str">
        <f t="array" ref="CU72">LET(
array,SORT({$Y$2:$AB$19,TRANSPOSE($BP72:$CG72)},4,TRUE),
col,CHOOSECOLS(array,5),
row,MATCH(FALSE, ISBLANK(col), 0),
IF(CB72=SWITCH($AA$22,
"minimum cost", MIN($BP72:$CG72),
"maximum cost", MAX($BP72:$CG72), 
"custom order", IF(CU$1=INDEX(array, row,1),INDEX(array, row,5),"x"))
,1,))</f>
        <v/>
      </c>
      <c r="CV72" s="469" t="str">
        <f t="array" ref="CV72">LET(
array,SORT({$Y$2:$AB$19,TRANSPOSE($BP72:$CG72)},4,TRUE),
col,CHOOSECOLS(array,5),
row,MATCH(FALSE, ISBLANK(col), 0),
IF(CC72=SWITCH($AA$22,
"minimum cost", MIN($BP72:$CG72),
"maximum cost", MAX($BP72:$CG72), 
"custom order", IF(CV$1=INDEX(array, row,1),INDEX(array, row,5),"x"))
,1,))</f>
        <v/>
      </c>
      <c r="CW72" s="469" t="str">
        <f t="array" ref="CW72">LET(
array,SORT({$Y$2:$AB$19,TRANSPOSE($BP72:$CG72)},4,TRUE),
col,CHOOSECOLS(array,5),
row,MATCH(FALSE, ISBLANK(col), 0),
IF(CD72=SWITCH($AA$22,
"minimum cost", MIN($BP72:$CG72),
"maximum cost", MAX($BP72:$CG72), 
"custom order", IF(CW$1=INDEX(array, row,1),INDEX(array, row,5),"x"))
,1,))</f>
        <v/>
      </c>
      <c r="CX72" s="469" t="str">
        <f t="array" ref="CX72">LET(
array,SORT({$Y$2:$AB$19,TRANSPOSE($BP72:$CG72)},4,TRUE),
col,CHOOSECOLS(array,5),
row,MATCH(FALSE, ISBLANK(col), 0),
IF(CE72=SWITCH($AA$22,
"minimum cost", MIN($BP72:$CG72),
"maximum cost", MAX($BP72:$CG72), 
"custom order", IF(CX$1=INDEX(array, row,1),INDEX(array, row,5),"x"))
,1,))</f>
        <v/>
      </c>
      <c r="CY72" s="469" t="str">
        <f t="array" ref="CY72">LET(
array,SORT({$Y$2:$AB$19,TRANSPOSE($BP72:$CG72)},4,TRUE),
col,CHOOSECOLS(array,5),
row,MATCH(FALSE, ISBLANK(col), 0),
IF(CF72=SWITCH($AA$22,
"minimum cost", MIN($BP72:$CG72),
"maximum cost", MAX($BP72:$CG72), 
"custom order", IF(CY$1=INDEX(array, row,1),INDEX(array, row,5),"x"))
,1,))</f>
        <v/>
      </c>
      <c r="CZ72" s="581" t="str">
        <f t="array" ref="CZ72">LET(
array,SORT({$Y$2:$AB$19,TRANSPOSE($BP72:$CG72)},4,TRUE),
col,CHOOSECOLS(array,5),
row,MATCH(FALSE, ISBLANK(col), 0),
IF(CG72=SWITCH($AA$22,
"minimum cost", MIN($BP72:$CG72),
"maximum cost", MAX($BP72:$CG72), 
"custom order", IF(CZ$1=INDEX(array, row,1),INDEX(array, row,5),"x"))
,1,))</f>
        <v/>
      </c>
      <c r="DA72" s="461"/>
      <c r="DB72" s="580" t="str">
        <f t="array" ref="DB72:DS72">IF(MATCH(1, CI72:CZ72, 0)=COLUMN(CI72:CZ72)-COLUMN(CI72)+1, CI72:CZ72, "")</f>
        <v/>
      </c>
      <c r="DC72" s="252" t="s">
        <v>133</v>
      </c>
      <c r="DD72" s="252" t="s">
        <v>133</v>
      </c>
      <c r="DE72" s="252" t="s">
        <v>133</v>
      </c>
      <c r="DF72" s="252" t="s">
        <v>133</v>
      </c>
      <c r="DG72" s="252" t="s">
        <v>133</v>
      </c>
      <c r="DH72" s="390">
        <v>1.0</v>
      </c>
      <c r="DI72" s="390" t="s">
        <v>133</v>
      </c>
      <c r="DJ72" s="390" t="s">
        <v>133</v>
      </c>
      <c r="DK72" s="390" t="s">
        <v>133</v>
      </c>
      <c r="DL72" s="390" t="s">
        <v>133</v>
      </c>
      <c r="DM72" s="390" t="s">
        <v>133</v>
      </c>
      <c r="DN72" s="469" t="s">
        <v>133</v>
      </c>
      <c r="DO72" s="469" t="s">
        <v>133</v>
      </c>
      <c r="DP72" s="469" t="s">
        <v>133</v>
      </c>
      <c r="DQ72" s="469" t="s">
        <v>133</v>
      </c>
      <c r="DR72" s="469" t="s">
        <v>133</v>
      </c>
      <c r="DS72" s="581" t="s">
        <v>133</v>
      </c>
      <c r="DT72" s="563"/>
    </row>
    <row r="73">
      <c r="A73" s="563"/>
      <c r="B73" s="709"/>
      <c r="C73" s="709"/>
      <c r="D73" s="709"/>
      <c r="E73" s="10"/>
      <c r="F73" s="709"/>
      <c r="G73" s="10"/>
      <c r="H73" s="709"/>
      <c r="I73" s="10"/>
      <c r="J73" s="709"/>
      <c r="K73" s="10"/>
      <c r="L73" s="709"/>
      <c r="M73" s="461"/>
      <c r="N73" s="10"/>
      <c r="O73" s="10"/>
      <c r="P73" s="10"/>
      <c r="Q73" s="570" t="str">
        <f>IFERROR(__xludf.DUMMYFUNCTION("IF(SUM(DB73:DS73),ARRAYFORMULA(FILTER(DB$1:DS$1, DB73:DS73=1)),)"),"Health")</f>
        <v>Health</v>
      </c>
      <c r="R73" s="571">
        <f>IFERROR(__xludf.DUMMYFUNCTION("IF(SUM(DB73:DS73),ARRAYFORMULA(FILTER(AW73:BN73, DB73:DS73=1))+1,)"),71.0)</f>
        <v>71</v>
      </c>
      <c r="S73" s="572">
        <f>IFERROR(__xludf.DUMMYFUNCTION("IF(SUM(DB73:DS73),ARRAYFORMULA(FILTER(AD73:AU73, DB73:DS73=1)),)"),2.4098E14)</f>
        <v>240980000000000</v>
      </c>
      <c r="T73" s="572">
        <f t="shared" si="26"/>
        <v>1.52221E+16</v>
      </c>
      <c r="U73" s="573" t="str">
        <f t="shared" ref="U73:V73" si="235">FORMAT_NUMBER(S73)</f>
        <v>240.98 T</v>
      </c>
      <c r="V73" s="574" t="str">
        <f t="shared" si="235"/>
        <v>15.22 q</v>
      </c>
      <c r="W73" s="677"/>
      <c r="X73" s="709"/>
      <c r="Y73" s="709"/>
      <c r="Z73" s="709"/>
      <c r="AA73" s="709"/>
      <c r="AB73" s="712"/>
      <c r="AC73" s="461"/>
      <c r="AD73" s="580">
        <f t="shared" ref="AD73:AU73" si="236">IFERROR(WSPCOST_SINGLE_ADJUSTED(AD$1,1+AW73),)</f>
        <v>37110000000000</v>
      </c>
      <c r="AE73" s="252">
        <f t="shared" si="236"/>
        <v>82420000000</v>
      </c>
      <c r="AF73" s="252">
        <f t="shared" si="236"/>
        <v>69650000000000</v>
      </c>
      <c r="AG73" s="252">
        <f t="shared" si="236"/>
        <v>21210000000</v>
      </c>
      <c r="AH73" s="252">
        <f t="shared" si="236"/>
        <v>43890000000000</v>
      </c>
      <c r="AI73" s="252">
        <f t="shared" si="236"/>
        <v>47710000000000</v>
      </c>
      <c r="AJ73" s="390">
        <f t="shared" si="236"/>
        <v>240980000000000</v>
      </c>
      <c r="AK73" s="390">
        <f t="shared" si="236"/>
        <v>580270000000000</v>
      </c>
      <c r="AL73" s="390">
        <f t="shared" si="236"/>
        <v>5000000000</v>
      </c>
      <c r="AM73" s="390">
        <f t="shared" si="236"/>
        <v>33950000000</v>
      </c>
      <c r="AN73" s="390">
        <f t="shared" si="236"/>
        <v>60080000000000</v>
      </c>
      <c r="AO73" s="390">
        <f t="shared" si="236"/>
        <v>22020000000000</v>
      </c>
      <c r="AP73" s="469">
        <f t="shared" si="236"/>
        <v>153100000000000</v>
      </c>
      <c r="AQ73" s="469">
        <f t="shared" si="236"/>
        <v>1.3E+15</v>
      </c>
      <c r="AR73" s="469">
        <f t="shared" si="236"/>
        <v>1.3E+15</v>
      </c>
      <c r="AS73" s="469">
        <f t="shared" si="236"/>
        <v>420490000000000</v>
      </c>
      <c r="AT73" s="469">
        <f t="shared" si="236"/>
        <v>3990000000000</v>
      </c>
      <c r="AU73" s="581">
        <f t="shared" si="236"/>
        <v>1.14E+15</v>
      </c>
      <c r="AV73" s="461"/>
      <c r="AW73" s="580">
        <f t="shared" ref="AW73:BN73" si="237">AW72+DB72</f>
        <v>56</v>
      </c>
      <c r="AX73" s="252">
        <f t="shared" si="237"/>
        <v>21</v>
      </c>
      <c r="AY73" s="252">
        <f t="shared" si="237"/>
        <v>60</v>
      </c>
      <c r="AZ73" s="252">
        <f t="shared" si="237"/>
        <v>17</v>
      </c>
      <c r="BA73" s="252">
        <f t="shared" si="237"/>
        <v>57</v>
      </c>
      <c r="BB73" s="252">
        <f t="shared" si="237"/>
        <v>13</v>
      </c>
      <c r="BC73" s="390">
        <f t="shared" si="237"/>
        <v>70</v>
      </c>
      <c r="BD73" s="390">
        <f t="shared" si="237"/>
        <v>79</v>
      </c>
      <c r="BE73" s="390">
        <f t="shared" si="237"/>
        <v>0</v>
      </c>
      <c r="BF73" s="390">
        <f t="shared" si="237"/>
        <v>18</v>
      </c>
      <c r="BG73" s="390">
        <f t="shared" si="237"/>
        <v>59</v>
      </c>
      <c r="BH73" s="390">
        <f t="shared" si="237"/>
        <v>20</v>
      </c>
      <c r="BI73" s="469">
        <f t="shared" si="237"/>
        <v>66</v>
      </c>
      <c r="BJ73" s="469">
        <f t="shared" si="237"/>
        <v>37</v>
      </c>
      <c r="BK73" s="469">
        <f t="shared" si="237"/>
        <v>37</v>
      </c>
      <c r="BL73" s="469">
        <f t="shared" si="237"/>
        <v>18</v>
      </c>
      <c r="BM73" s="469">
        <f t="shared" si="237"/>
        <v>42</v>
      </c>
      <c r="BN73" s="581">
        <f t="shared" si="237"/>
        <v>15</v>
      </c>
      <c r="BO73" s="461"/>
      <c r="BP73" s="580">
        <f t="shared" si="8"/>
        <v>37110000000000</v>
      </c>
      <c r="BQ73" s="252" t="str">
        <f t="shared" si="9"/>
        <v/>
      </c>
      <c r="BR73" s="252">
        <f t="shared" si="10"/>
        <v>69650000000000</v>
      </c>
      <c r="BS73" s="252" t="str">
        <f t="shared" si="11"/>
        <v/>
      </c>
      <c r="BT73" s="252" t="str">
        <f t="shared" si="12"/>
        <v/>
      </c>
      <c r="BU73" s="252">
        <f t="shared" si="13"/>
        <v>47710000000000</v>
      </c>
      <c r="BV73" s="390">
        <f t="shared" si="14"/>
        <v>240980000000000</v>
      </c>
      <c r="BW73" s="390" t="str">
        <f t="shared" si="15"/>
        <v/>
      </c>
      <c r="BX73" s="390" t="str">
        <f t="shared" si="16"/>
        <v/>
      </c>
      <c r="BY73" s="390" t="str">
        <f t="shared" si="17"/>
        <v/>
      </c>
      <c r="BZ73" s="390">
        <f t="shared" si="18"/>
        <v>60080000000000</v>
      </c>
      <c r="CA73" s="390">
        <f t="shared" si="19"/>
        <v>22020000000000</v>
      </c>
      <c r="CB73" s="469" t="str">
        <f t="shared" si="20"/>
        <v/>
      </c>
      <c r="CC73" s="469" t="str">
        <f t="shared" si="21"/>
        <v/>
      </c>
      <c r="CD73" s="469" t="str">
        <f t="shared" si="22"/>
        <v/>
      </c>
      <c r="CE73" s="469" t="str">
        <f t="shared" si="23"/>
        <v/>
      </c>
      <c r="CF73" s="469" t="str">
        <f t="shared" si="24"/>
        <v/>
      </c>
      <c r="CG73" s="581" t="str">
        <f t="shared" si="25"/>
        <v/>
      </c>
      <c r="CH73" s="461"/>
      <c r="CI73" s="580" t="str">
        <f t="array" ref="CI73">LET(
array,SORT({$Y$2:$AB$19,TRANSPOSE($BP73:$CG73)},4,TRUE),
col,CHOOSECOLS(array,5),
row,MATCH(FALSE, ISBLANK(col), 0),
IF(BP73=SWITCH($AA$22,
"minimum cost", MIN($BP73:$CG73),
"maximum cost", MAX($BP73:$CG73), 
"custom order", IF(CI$1=INDEX(array, row,1),INDEX(array, row,5),"x"))
,1,))</f>
        <v/>
      </c>
      <c r="CJ73" s="252" t="str">
        <f t="array" ref="CJ73">LET(
array,SORT({$Y$2:$AB$19,TRANSPOSE($BP73:$CG73)},4,TRUE),
col,CHOOSECOLS(array,5),
row,MATCH(FALSE, ISBLANK(col), 0),
IF(BQ73=SWITCH($AA$22,
"minimum cost", MIN($BP73:$CG73),
"maximum cost", MAX($BP73:$CG73), 
"custom order", IF(CJ$1=INDEX(array, row,1),INDEX(array, row,5),"x"))
,1,))</f>
        <v/>
      </c>
      <c r="CK73" s="252" t="str">
        <f t="array" ref="CK73">LET(
array,SORT({$Y$2:$AB$19,TRANSPOSE($BP73:$CG73)},4,TRUE),
col,CHOOSECOLS(array,5),
row,MATCH(FALSE, ISBLANK(col), 0),
IF(BR73=SWITCH($AA$22,
"minimum cost", MIN($BP73:$CG73),
"maximum cost", MAX($BP73:$CG73), 
"custom order", IF(CK$1=INDEX(array, row,1),INDEX(array, row,5),"x"))
,1,))</f>
        <v/>
      </c>
      <c r="CL73" s="252" t="str">
        <f t="array" ref="CL73">LET(
array,SORT({$Y$2:$AB$19,TRANSPOSE($BP73:$CG73)},4,TRUE),
col,CHOOSECOLS(array,5),
row,MATCH(FALSE, ISBLANK(col), 0),
IF(BS73=SWITCH($AA$22,
"minimum cost", MIN($BP73:$CG73),
"maximum cost", MAX($BP73:$CG73), 
"custom order", IF(CL$1=INDEX(array, row,1),INDEX(array, row,5),"x"))
,1,))</f>
        <v/>
      </c>
      <c r="CM73" s="252" t="str">
        <f t="array" ref="CM73">LET(
array,SORT({$Y$2:$AB$19,TRANSPOSE($BP73:$CG73)},4,TRUE),
col,CHOOSECOLS(array,5),
row,MATCH(FALSE, ISBLANK(col), 0),
IF(BT73=SWITCH($AA$22,
"minimum cost", MIN($BP73:$CG73),
"maximum cost", MAX($BP73:$CG73), 
"custom order", IF(CM$1=INDEX(array, row,1),INDEX(array, row,5),"x"))
,1,))</f>
        <v/>
      </c>
      <c r="CN73" s="252" t="str">
        <f t="array" ref="CN73">LET(
array,SORT({$Y$2:$AB$19,TRANSPOSE($BP73:$CG73)},4,TRUE),
col,CHOOSECOLS(array,5),
row,MATCH(FALSE, ISBLANK(col), 0),
IF(BU73=SWITCH($AA$22,
"minimum cost", MIN($BP73:$CG73),
"maximum cost", MAX($BP73:$CG73), 
"custom order", IF(CN$1=INDEX(array, row,1),INDEX(array, row,5),"x"))
,1,))</f>
        <v/>
      </c>
      <c r="CO73" s="390">
        <f t="array" ref="CO73">LET(
array,SORT({$Y$2:$AB$19,TRANSPOSE($BP73:$CG73)},4,TRUE),
col,CHOOSECOLS(array,5),
row,MATCH(FALSE, ISBLANK(col), 0),
IF(BV73=SWITCH($AA$22,
"minimum cost", MIN($BP73:$CG73),
"maximum cost", MAX($BP73:$CG73), 
"custom order", IF(CO$1=INDEX(array, row,1),INDEX(array, row,5),"x"))
,1,))</f>
        <v>1</v>
      </c>
      <c r="CP73" s="390" t="str">
        <f t="array" ref="CP73">LET(
array,SORT({$Y$2:$AB$19,TRANSPOSE($BP73:$CG73)},4,TRUE),
col,CHOOSECOLS(array,5),
row,MATCH(FALSE, ISBLANK(col), 0),
IF(BW73=SWITCH($AA$22,
"minimum cost", MIN($BP73:$CG73),
"maximum cost", MAX($BP73:$CG73), 
"custom order", IF(CP$1=INDEX(array, row,1),INDEX(array, row,5),"x"))
,1,))</f>
        <v/>
      </c>
      <c r="CQ73" s="390" t="str">
        <f t="array" ref="CQ73">LET(
array,SORT({$Y$2:$AB$19,TRANSPOSE($BP73:$CG73)},4,TRUE),
col,CHOOSECOLS(array,5),
row,MATCH(FALSE, ISBLANK(col), 0),
IF(BX73=SWITCH($AA$22,
"minimum cost", MIN($BP73:$CG73),
"maximum cost", MAX($BP73:$CG73), 
"custom order", IF(CQ$1=INDEX(array, row,1),INDEX(array, row,5),"x"))
,1,))</f>
        <v/>
      </c>
      <c r="CR73" s="390" t="str">
        <f t="array" ref="CR73">LET(
array,SORT({$Y$2:$AB$19,TRANSPOSE($BP73:$CG73)},4,TRUE),
col,CHOOSECOLS(array,5),
row,MATCH(FALSE, ISBLANK(col), 0),
IF(BY73=SWITCH($AA$22,
"minimum cost", MIN($BP73:$CG73),
"maximum cost", MAX($BP73:$CG73), 
"custom order", IF(CR$1=INDEX(array, row,1),INDEX(array, row,5),"x"))
,1,))</f>
        <v/>
      </c>
      <c r="CS73" s="390" t="str">
        <f t="array" ref="CS73">LET(
array,SORT({$Y$2:$AB$19,TRANSPOSE($BP73:$CG73)},4,TRUE),
col,CHOOSECOLS(array,5),
row,MATCH(FALSE, ISBLANK(col), 0),
IF(BZ73=SWITCH($AA$22,
"minimum cost", MIN($BP73:$CG73),
"maximum cost", MAX($BP73:$CG73), 
"custom order", IF(CS$1=INDEX(array, row,1),INDEX(array, row,5),"x"))
,1,))</f>
        <v/>
      </c>
      <c r="CT73" s="390" t="str">
        <f t="array" ref="CT73">LET(
array,SORT({$Y$2:$AB$19,TRANSPOSE($BP73:$CG73)},4,TRUE),
col,CHOOSECOLS(array,5),
row,MATCH(FALSE, ISBLANK(col), 0),
IF(CA73=SWITCH($AA$22,
"minimum cost", MIN($BP73:$CG73),
"maximum cost", MAX($BP73:$CG73), 
"custom order", IF(CT$1=INDEX(array, row,1),INDEX(array, row,5),"x"))
,1,))</f>
        <v/>
      </c>
      <c r="CU73" s="469" t="str">
        <f t="array" ref="CU73">LET(
array,SORT({$Y$2:$AB$19,TRANSPOSE($BP73:$CG73)},4,TRUE),
col,CHOOSECOLS(array,5),
row,MATCH(FALSE, ISBLANK(col), 0),
IF(CB73=SWITCH($AA$22,
"minimum cost", MIN($BP73:$CG73),
"maximum cost", MAX($BP73:$CG73), 
"custom order", IF(CU$1=INDEX(array, row,1),INDEX(array, row,5),"x"))
,1,))</f>
        <v/>
      </c>
      <c r="CV73" s="469" t="str">
        <f t="array" ref="CV73">LET(
array,SORT({$Y$2:$AB$19,TRANSPOSE($BP73:$CG73)},4,TRUE),
col,CHOOSECOLS(array,5),
row,MATCH(FALSE, ISBLANK(col), 0),
IF(CC73=SWITCH($AA$22,
"minimum cost", MIN($BP73:$CG73),
"maximum cost", MAX($BP73:$CG73), 
"custom order", IF(CV$1=INDEX(array, row,1),INDEX(array, row,5),"x"))
,1,))</f>
        <v/>
      </c>
      <c r="CW73" s="469" t="str">
        <f t="array" ref="CW73">LET(
array,SORT({$Y$2:$AB$19,TRANSPOSE($BP73:$CG73)},4,TRUE),
col,CHOOSECOLS(array,5),
row,MATCH(FALSE, ISBLANK(col), 0),
IF(CD73=SWITCH($AA$22,
"minimum cost", MIN($BP73:$CG73),
"maximum cost", MAX($BP73:$CG73), 
"custom order", IF(CW$1=INDEX(array, row,1),INDEX(array, row,5),"x"))
,1,))</f>
        <v/>
      </c>
      <c r="CX73" s="469" t="str">
        <f t="array" ref="CX73">LET(
array,SORT({$Y$2:$AB$19,TRANSPOSE($BP73:$CG73)},4,TRUE),
col,CHOOSECOLS(array,5),
row,MATCH(FALSE, ISBLANK(col), 0),
IF(CE73=SWITCH($AA$22,
"minimum cost", MIN($BP73:$CG73),
"maximum cost", MAX($BP73:$CG73), 
"custom order", IF(CX$1=INDEX(array, row,1),INDEX(array, row,5),"x"))
,1,))</f>
        <v/>
      </c>
      <c r="CY73" s="469" t="str">
        <f t="array" ref="CY73">LET(
array,SORT({$Y$2:$AB$19,TRANSPOSE($BP73:$CG73)},4,TRUE),
col,CHOOSECOLS(array,5),
row,MATCH(FALSE, ISBLANK(col), 0),
IF(CF73=SWITCH($AA$22,
"minimum cost", MIN($BP73:$CG73),
"maximum cost", MAX($BP73:$CG73), 
"custom order", IF(CY$1=INDEX(array, row,1),INDEX(array, row,5),"x"))
,1,))</f>
        <v/>
      </c>
      <c r="CZ73" s="581" t="str">
        <f t="array" ref="CZ73">LET(
array,SORT({$Y$2:$AB$19,TRANSPOSE($BP73:$CG73)},4,TRUE),
col,CHOOSECOLS(array,5),
row,MATCH(FALSE, ISBLANK(col), 0),
IF(CG73=SWITCH($AA$22,
"minimum cost", MIN($BP73:$CG73),
"maximum cost", MAX($BP73:$CG73), 
"custom order", IF(CZ$1=INDEX(array, row,1),INDEX(array, row,5),"x"))
,1,))</f>
        <v/>
      </c>
      <c r="DA73" s="461"/>
      <c r="DB73" s="580" t="str">
        <f t="array" ref="DB73:DS73">IF(MATCH(1, CI73:CZ73, 0)=COLUMN(CI73:CZ73)-COLUMN(CI73)+1, CI73:CZ73, "")</f>
        <v/>
      </c>
      <c r="DC73" s="252" t="s">
        <v>133</v>
      </c>
      <c r="DD73" s="252" t="s">
        <v>133</v>
      </c>
      <c r="DE73" s="252" t="s">
        <v>133</v>
      </c>
      <c r="DF73" s="252" t="s">
        <v>133</v>
      </c>
      <c r="DG73" s="252" t="s">
        <v>133</v>
      </c>
      <c r="DH73" s="390">
        <v>1.0</v>
      </c>
      <c r="DI73" s="390" t="s">
        <v>133</v>
      </c>
      <c r="DJ73" s="390" t="s">
        <v>133</v>
      </c>
      <c r="DK73" s="390" t="s">
        <v>133</v>
      </c>
      <c r="DL73" s="390" t="s">
        <v>133</v>
      </c>
      <c r="DM73" s="390" t="s">
        <v>133</v>
      </c>
      <c r="DN73" s="469" t="s">
        <v>133</v>
      </c>
      <c r="DO73" s="469" t="s">
        <v>133</v>
      </c>
      <c r="DP73" s="469" t="s">
        <v>133</v>
      </c>
      <c r="DQ73" s="469" t="s">
        <v>133</v>
      </c>
      <c r="DR73" s="469" t="s">
        <v>133</v>
      </c>
      <c r="DS73" s="581" t="s">
        <v>133</v>
      </c>
      <c r="DT73" s="563"/>
    </row>
    <row r="74">
      <c r="A74" s="563"/>
      <c r="B74" s="709"/>
      <c r="C74" s="709"/>
      <c r="D74" s="709"/>
      <c r="E74" s="10"/>
      <c r="F74" s="709"/>
      <c r="G74" s="10"/>
      <c r="H74" s="709"/>
      <c r="I74" s="10"/>
      <c r="J74" s="709"/>
      <c r="K74" s="10"/>
      <c r="L74" s="709"/>
      <c r="M74" s="461"/>
      <c r="N74" s="10"/>
      <c r="O74" s="10"/>
      <c r="P74" s="10"/>
      <c r="Q74" s="570" t="str">
        <f>IFERROR(__xludf.DUMMYFUNCTION("IF(SUM(DB74:DS74),ARRAYFORMULA(FILTER(DB$1:DS$1, DB74:DS74=1)),)"),"Health")</f>
        <v>Health</v>
      </c>
      <c r="R74" s="571">
        <f>IFERROR(__xludf.DUMMYFUNCTION("IF(SUM(DB74:DS74),ARRAYFORMULA(FILTER(AW74:BN74, DB74:DS74=1))+1,)"),72.0)</f>
        <v>72</v>
      </c>
      <c r="S74" s="572">
        <f>IFERROR(__xludf.DUMMYFUNCTION("IF(SUM(DB74:DS74),ARRAYFORMULA(FILTER(AD74:AU74, DB74:DS74=1)),)"),2.6805E14)</f>
        <v>268050000000000</v>
      </c>
      <c r="T74" s="572">
        <f t="shared" si="26"/>
        <v>1.54901E+16</v>
      </c>
      <c r="U74" s="573" t="str">
        <f t="shared" ref="U74:V74" si="238">FORMAT_NUMBER(S74)</f>
        <v>268.05 T</v>
      </c>
      <c r="V74" s="574" t="str">
        <f t="shared" si="238"/>
        <v>15.49 q</v>
      </c>
      <c r="W74" s="677"/>
      <c r="X74" s="709"/>
      <c r="Y74" s="709"/>
      <c r="Z74" s="709"/>
      <c r="AA74" s="709"/>
      <c r="AB74" s="712"/>
      <c r="AC74" s="461"/>
      <c r="AD74" s="580">
        <f t="shared" ref="AD74:AU74" si="239">IFERROR(WSPCOST_SINGLE_ADJUSTED(AD$1,1+AW74),)</f>
        <v>37110000000000</v>
      </c>
      <c r="AE74" s="252">
        <f t="shared" si="239"/>
        <v>82420000000</v>
      </c>
      <c r="AF74" s="252">
        <f t="shared" si="239"/>
        <v>69650000000000</v>
      </c>
      <c r="AG74" s="252">
        <f t="shared" si="239"/>
        <v>21210000000</v>
      </c>
      <c r="AH74" s="252">
        <f t="shared" si="239"/>
        <v>43890000000000</v>
      </c>
      <c r="AI74" s="252">
        <f t="shared" si="239"/>
        <v>47710000000000</v>
      </c>
      <c r="AJ74" s="390">
        <f t="shared" si="239"/>
        <v>268050000000000</v>
      </c>
      <c r="AK74" s="390">
        <f t="shared" si="239"/>
        <v>580270000000000</v>
      </c>
      <c r="AL74" s="390">
        <f t="shared" si="239"/>
        <v>5000000000</v>
      </c>
      <c r="AM74" s="390">
        <f t="shared" si="239"/>
        <v>33950000000</v>
      </c>
      <c r="AN74" s="390">
        <f t="shared" si="239"/>
        <v>60080000000000</v>
      </c>
      <c r="AO74" s="390">
        <f t="shared" si="239"/>
        <v>22020000000000</v>
      </c>
      <c r="AP74" s="469">
        <f t="shared" si="239"/>
        <v>153100000000000</v>
      </c>
      <c r="AQ74" s="469">
        <f t="shared" si="239"/>
        <v>1.3E+15</v>
      </c>
      <c r="AR74" s="469">
        <f t="shared" si="239"/>
        <v>1.3E+15</v>
      </c>
      <c r="AS74" s="469">
        <f t="shared" si="239"/>
        <v>420490000000000</v>
      </c>
      <c r="AT74" s="469">
        <f t="shared" si="239"/>
        <v>3990000000000</v>
      </c>
      <c r="AU74" s="581">
        <f t="shared" si="239"/>
        <v>1.14E+15</v>
      </c>
      <c r="AV74" s="461"/>
      <c r="AW74" s="580">
        <f t="shared" ref="AW74:BN74" si="240">AW73+DB73</f>
        <v>56</v>
      </c>
      <c r="AX74" s="252">
        <f t="shared" si="240"/>
        <v>21</v>
      </c>
      <c r="AY74" s="252">
        <f t="shared" si="240"/>
        <v>60</v>
      </c>
      <c r="AZ74" s="252">
        <f t="shared" si="240"/>
        <v>17</v>
      </c>
      <c r="BA74" s="252">
        <f t="shared" si="240"/>
        <v>57</v>
      </c>
      <c r="BB74" s="252">
        <f t="shared" si="240"/>
        <v>13</v>
      </c>
      <c r="BC74" s="390">
        <f t="shared" si="240"/>
        <v>71</v>
      </c>
      <c r="BD74" s="390">
        <f t="shared" si="240"/>
        <v>79</v>
      </c>
      <c r="BE74" s="390">
        <f t="shared" si="240"/>
        <v>0</v>
      </c>
      <c r="BF74" s="390">
        <f t="shared" si="240"/>
        <v>18</v>
      </c>
      <c r="BG74" s="390">
        <f t="shared" si="240"/>
        <v>59</v>
      </c>
      <c r="BH74" s="390">
        <f t="shared" si="240"/>
        <v>20</v>
      </c>
      <c r="BI74" s="469">
        <f t="shared" si="240"/>
        <v>66</v>
      </c>
      <c r="BJ74" s="469">
        <f t="shared" si="240"/>
        <v>37</v>
      </c>
      <c r="BK74" s="469">
        <f t="shared" si="240"/>
        <v>37</v>
      </c>
      <c r="BL74" s="469">
        <f t="shared" si="240"/>
        <v>18</v>
      </c>
      <c r="BM74" s="469">
        <f t="shared" si="240"/>
        <v>42</v>
      </c>
      <c r="BN74" s="581">
        <f t="shared" si="240"/>
        <v>15</v>
      </c>
      <c r="BO74" s="461"/>
      <c r="BP74" s="580">
        <f t="shared" si="8"/>
        <v>37110000000000</v>
      </c>
      <c r="BQ74" s="252" t="str">
        <f t="shared" si="9"/>
        <v/>
      </c>
      <c r="BR74" s="252">
        <f t="shared" si="10"/>
        <v>69650000000000</v>
      </c>
      <c r="BS74" s="252" t="str">
        <f t="shared" si="11"/>
        <v/>
      </c>
      <c r="BT74" s="252" t="str">
        <f t="shared" si="12"/>
        <v/>
      </c>
      <c r="BU74" s="252">
        <f t="shared" si="13"/>
        <v>47710000000000</v>
      </c>
      <c r="BV74" s="390">
        <f t="shared" si="14"/>
        <v>268050000000000</v>
      </c>
      <c r="BW74" s="390" t="str">
        <f t="shared" si="15"/>
        <v/>
      </c>
      <c r="BX74" s="390" t="str">
        <f t="shared" si="16"/>
        <v/>
      </c>
      <c r="BY74" s="390" t="str">
        <f t="shared" si="17"/>
        <v/>
      </c>
      <c r="BZ74" s="390">
        <f t="shared" si="18"/>
        <v>60080000000000</v>
      </c>
      <c r="CA74" s="390">
        <f t="shared" si="19"/>
        <v>22020000000000</v>
      </c>
      <c r="CB74" s="469" t="str">
        <f t="shared" si="20"/>
        <v/>
      </c>
      <c r="CC74" s="469" t="str">
        <f t="shared" si="21"/>
        <v/>
      </c>
      <c r="CD74" s="469" t="str">
        <f t="shared" si="22"/>
        <v/>
      </c>
      <c r="CE74" s="469" t="str">
        <f t="shared" si="23"/>
        <v/>
      </c>
      <c r="CF74" s="469" t="str">
        <f t="shared" si="24"/>
        <v/>
      </c>
      <c r="CG74" s="581" t="str">
        <f t="shared" si="25"/>
        <v/>
      </c>
      <c r="CH74" s="461"/>
      <c r="CI74" s="580" t="str">
        <f t="array" ref="CI74">LET(
array,SORT({$Y$2:$AB$19,TRANSPOSE($BP74:$CG74)},4,TRUE),
col,CHOOSECOLS(array,5),
row,MATCH(FALSE, ISBLANK(col), 0),
IF(BP74=SWITCH($AA$22,
"minimum cost", MIN($BP74:$CG74),
"maximum cost", MAX($BP74:$CG74), 
"custom order", IF(CI$1=INDEX(array, row,1),INDEX(array, row,5),"x"))
,1,))</f>
        <v/>
      </c>
      <c r="CJ74" s="252" t="str">
        <f t="array" ref="CJ74">LET(
array,SORT({$Y$2:$AB$19,TRANSPOSE($BP74:$CG74)},4,TRUE),
col,CHOOSECOLS(array,5),
row,MATCH(FALSE, ISBLANK(col), 0),
IF(BQ74=SWITCH($AA$22,
"minimum cost", MIN($BP74:$CG74),
"maximum cost", MAX($BP74:$CG74), 
"custom order", IF(CJ$1=INDEX(array, row,1),INDEX(array, row,5),"x"))
,1,))</f>
        <v/>
      </c>
      <c r="CK74" s="252" t="str">
        <f t="array" ref="CK74">LET(
array,SORT({$Y$2:$AB$19,TRANSPOSE($BP74:$CG74)},4,TRUE),
col,CHOOSECOLS(array,5),
row,MATCH(FALSE, ISBLANK(col), 0),
IF(BR74=SWITCH($AA$22,
"minimum cost", MIN($BP74:$CG74),
"maximum cost", MAX($BP74:$CG74), 
"custom order", IF(CK$1=INDEX(array, row,1),INDEX(array, row,5),"x"))
,1,))</f>
        <v/>
      </c>
      <c r="CL74" s="252" t="str">
        <f t="array" ref="CL74">LET(
array,SORT({$Y$2:$AB$19,TRANSPOSE($BP74:$CG74)},4,TRUE),
col,CHOOSECOLS(array,5),
row,MATCH(FALSE, ISBLANK(col), 0),
IF(BS74=SWITCH($AA$22,
"minimum cost", MIN($BP74:$CG74),
"maximum cost", MAX($BP74:$CG74), 
"custom order", IF(CL$1=INDEX(array, row,1),INDEX(array, row,5),"x"))
,1,))</f>
        <v/>
      </c>
      <c r="CM74" s="252" t="str">
        <f t="array" ref="CM74">LET(
array,SORT({$Y$2:$AB$19,TRANSPOSE($BP74:$CG74)},4,TRUE),
col,CHOOSECOLS(array,5),
row,MATCH(FALSE, ISBLANK(col), 0),
IF(BT74=SWITCH($AA$22,
"minimum cost", MIN($BP74:$CG74),
"maximum cost", MAX($BP74:$CG74), 
"custom order", IF(CM$1=INDEX(array, row,1),INDEX(array, row,5),"x"))
,1,))</f>
        <v/>
      </c>
      <c r="CN74" s="252" t="str">
        <f t="array" ref="CN74">LET(
array,SORT({$Y$2:$AB$19,TRANSPOSE($BP74:$CG74)},4,TRUE),
col,CHOOSECOLS(array,5),
row,MATCH(FALSE, ISBLANK(col), 0),
IF(BU74=SWITCH($AA$22,
"minimum cost", MIN($BP74:$CG74),
"maximum cost", MAX($BP74:$CG74), 
"custom order", IF(CN$1=INDEX(array, row,1),INDEX(array, row,5),"x"))
,1,))</f>
        <v/>
      </c>
      <c r="CO74" s="390">
        <f t="array" ref="CO74">LET(
array,SORT({$Y$2:$AB$19,TRANSPOSE($BP74:$CG74)},4,TRUE),
col,CHOOSECOLS(array,5),
row,MATCH(FALSE, ISBLANK(col), 0),
IF(BV74=SWITCH($AA$22,
"minimum cost", MIN($BP74:$CG74),
"maximum cost", MAX($BP74:$CG74), 
"custom order", IF(CO$1=INDEX(array, row,1),INDEX(array, row,5),"x"))
,1,))</f>
        <v>1</v>
      </c>
      <c r="CP74" s="390" t="str">
        <f t="array" ref="CP74">LET(
array,SORT({$Y$2:$AB$19,TRANSPOSE($BP74:$CG74)},4,TRUE),
col,CHOOSECOLS(array,5),
row,MATCH(FALSE, ISBLANK(col), 0),
IF(BW74=SWITCH($AA$22,
"minimum cost", MIN($BP74:$CG74),
"maximum cost", MAX($BP74:$CG74), 
"custom order", IF(CP$1=INDEX(array, row,1),INDEX(array, row,5),"x"))
,1,))</f>
        <v/>
      </c>
      <c r="CQ74" s="390" t="str">
        <f t="array" ref="CQ74">LET(
array,SORT({$Y$2:$AB$19,TRANSPOSE($BP74:$CG74)},4,TRUE),
col,CHOOSECOLS(array,5),
row,MATCH(FALSE, ISBLANK(col), 0),
IF(BX74=SWITCH($AA$22,
"minimum cost", MIN($BP74:$CG74),
"maximum cost", MAX($BP74:$CG74), 
"custom order", IF(CQ$1=INDEX(array, row,1),INDEX(array, row,5),"x"))
,1,))</f>
        <v/>
      </c>
      <c r="CR74" s="390" t="str">
        <f t="array" ref="CR74">LET(
array,SORT({$Y$2:$AB$19,TRANSPOSE($BP74:$CG74)},4,TRUE),
col,CHOOSECOLS(array,5),
row,MATCH(FALSE, ISBLANK(col), 0),
IF(BY74=SWITCH($AA$22,
"minimum cost", MIN($BP74:$CG74),
"maximum cost", MAX($BP74:$CG74), 
"custom order", IF(CR$1=INDEX(array, row,1),INDEX(array, row,5),"x"))
,1,))</f>
        <v/>
      </c>
      <c r="CS74" s="390" t="str">
        <f t="array" ref="CS74">LET(
array,SORT({$Y$2:$AB$19,TRANSPOSE($BP74:$CG74)},4,TRUE),
col,CHOOSECOLS(array,5),
row,MATCH(FALSE, ISBLANK(col), 0),
IF(BZ74=SWITCH($AA$22,
"minimum cost", MIN($BP74:$CG74),
"maximum cost", MAX($BP74:$CG74), 
"custom order", IF(CS$1=INDEX(array, row,1),INDEX(array, row,5),"x"))
,1,))</f>
        <v/>
      </c>
      <c r="CT74" s="390" t="str">
        <f t="array" ref="CT74">LET(
array,SORT({$Y$2:$AB$19,TRANSPOSE($BP74:$CG74)},4,TRUE),
col,CHOOSECOLS(array,5),
row,MATCH(FALSE, ISBLANK(col), 0),
IF(CA74=SWITCH($AA$22,
"minimum cost", MIN($BP74:$CG74),
"maximum cost", MAX($BP74:$CG74), 
"custom order", IF(CT$1=INDEX(array, row,1),INDEX(array, row,5),"x"))
,1,))</f>
        <v/>
      </c>
      <c r="CU74" s="469" t="str">
        <f t="array" ref="CU74">LET(
array,SORT({$Y$2:$AB$19,TRANSPOSE($BP74:$CG74)},4,TRUE),
col,CHOOSECOLS(array,5),
row,MATCH(FALSE, ISBLANK(col), 0),
IF(CB74=SWITCH($AA$22,
"minimum cost", MIN($BP74:$CG74),
"maximum cost", MAX($BP74:$CG74), 
"custom order", IF(CU$1=INDEX(array, row,1),INDEX(array, row,5),"x"))
,1,))</f>
        <v/>
      </c>
      <c r="CV74" s="469" t="str">
        <f t="array" ref="CV74">LET(
array,SORT({$Y$2:$AB$19,TRANSPOSE($BP74:$CG74)},4,TRUE),
col,CHOOSECOLS(array,5),
row,MATCH(FALSE, ISBLANK(col), 0),
IF(CC74=SWITCH($AA$22,
"minimum cost", MIN($BP74:$CG74),
"maximum cost", MAX($BP74:$CG74), 
"custom order", IF(CV$1=INDEX(array, row,1),INDEX(array, row,5),"x"))
,1,))</f>
        <v/>
      </c>
      <c r="CW74" s="469" t="str">
        <f t="array" ref="CW74">LET(
array,SORT({$Y$2:$AB$19,TRANSPOSE($BP74:$CG74)},4,TRUE),
col,CHOOSECOLS(array,5),
row,MATCH(FALSE, ISBLANK(col), 0),
IF(CD74=SWITCH($AA$22,
"minimum cost", MIN($BP74:$CG74),
"maximum cost", MAX($BP74:$CG74), 
"custom order", IF(CW$1=INDEX(array, row,1),INDEX(array, row,5),"x"))
,1,))</f>
        <v/>
      </c>
      <c r="CX74" s="469" t="str">
        <f t="array" ref="CX74">LET(
array,SORT({$Y$2:$AB$19,TRANSPOSE($BP74:$CG74)},4,TRUE),
col,CHOOSECOLS(array,5),
row,MATCH(FALSE, ISBLANK(col), 0),
IF(CE74=SWITCH($AA$22,
"minimum cost", MIN($BP74:$CG74),
"maximum cost", MAX($BP74:$CG74), 
"custom order", IF(CX$1=INDEX(array, row,1),INDEX(array, row,5),"x"))
,1,))</f>
        <v/>
      </c>
      <c r="CY74" s="469" t="str">
        <f t="array" ref="CY74">LET(
array,SORT({$Y$2:$AB$19,TRANSPOSE($BP74:$CG74)},4,TRUE),
col,CHOOSECOLS(array,5),
row,MATCH(FALSE, ISBLANK(col), 0),
IF(CF74=SWITCH($AA$22,
"minimum cost", MIN($BP74:$CG74),
"maximum cost", MAX($BP74:$CG74), 
"custom order", IF(CY$1=INDEX(array, row,1),INDEX(array, row,5),"x"))
,1,))</f>
        <v/>
      </c>
      <c r="CZ74" s="581" t="str">
        <f t="array" ref="CZ74">LET(
array,SORT({$Y$2:$AB$19,TRANSPOSE($BP74:$CG74)},4,TRUE),
col,CHOOSECOLS(array,5),
row,MATCH(FALSE, ISBLANK(col), 0),
IF(CG74=SWITCH($AA$22,
"minimum cost", MIN($BP74:$CG74),
"maximum cost", MAX($BP74:$CG74), 
"custom order", IF(CZ$1=INDEX(array, row,1),INDEX(array, row,5),"x"))
,1,))</f>
        <v/>
      </c>
      <c r="DA74" s="461"/>
      <c r="DB74" s="580" t="str">
        <f t="array" ref="DB74:DS74">IF(MATCH(1, CI74:CZ74, 0)=COLUMN(CI74:CZ74)-COLUMN(CI74)+1, CI74:CZ74, "")</f>
        <v/>
      </c>
      <c r="DC74" s="252" t="s">
        <v>133</v>
      </c>
      <c r="DD74" s="252" t="s">
        <v>133</v>
      </c>
      <c r="DE74" s="252" t="s">
        <v>133</v>
      </c>
      <c r="DF74" s="252" t="s">
        <v>133</v>
      </c>
      <c r="DG74" s="252" t="s">
        <v>133</v>
      </c>
      <c r="DH74" s="390">
        <v>1.0</v>
      </c>
      <c r="DI74" s="390" t="s">
        <v>133</v>
      </c>
      <c r="DJ74" s="390" t="s">
        <v>133</v>
      </c>
      <c r="DK74" s="390" t="s">
        <v>133</v>
      </c>
      <c r="DL74" s="390" t="s">
        <v>133</v>
      </c>
      <c r="DM74" s="390" t="s">
        <v>133</v>
      </c>
      <c r="DN74" s="469" t="s">
        <v>133</v>
      </c>
      <c r="DO74" s="469" t="s">
        <v>133</v>
      </c>
      <c r="DP74" s="469" t="s">
        <v>133</v>
      </c>
      <c r="DQ74" s="469" t="s">
        <v>133</v>
      </c>
      <c r="DR74" s="469" t="s">
        <v>133</v>
      </c>
      <c r="DS74" s="581" t="s">
        <v>133</v>
      </c>
      <c r="DT74" s="563"/>
    </row>
    <row r="75">
      <c r="A75" s="563"/>
      <c r="B75" s="709"/>
      <c r="C75" s="709"/>
      <c r="D75" s="709"/>
      <c r="E75" s="10"/>
      <c r="F75" s="709"/>
      <c r="G75" s="10"/>
      <c r="H75" s="709"/>
      <c r="I75" s="10"/>
      <c r="J75" s="709"/>
      <c r="K75" s="10"/>
      <c r="L75" s="709"/>
      <c r="M75" s="461"/>
      <c r="N75" s="10"/>
      <c r="O75" s="10"/>
      <c r="P75" s="10"/>
      <c r="Q75" s="570" t="str">
        <f>IFERROR(__xludf.DUMMYFUNCTION("IF(SUM(DB75:DS75),ARRAYFORMULA(FILTER(DB$1:DS$1, DB75:DS75=1)),)"),"Wall Health")</f>
        <v>Wall Health</v>
      </c>
      <c r="R75" s="571">
        <f>IFERROR(__xludf.DUMMYFUNCTION("IF(SUM(DB75:DS75),ARRAYFORMULA(FILTER(AW75:BN75, DB75:DS75=1))+1,)"),60.0)</f>
        <v>60</v>
      </c>
      <c r="S75" s="572">
        <f>IFERROR(__xludf.DUMMYFUNCTION("IF(SUM(DB75:DS75),ARRAYFORMULA(FILTER(AD75:AU75, DB75:DS75=1)),)"),6.008E13)</f>
        <v>60080000000000</v>
      </c>
      <c r="T75" s="572">
        <f t="shared" si="26"/>
        <v>1.55502E+16</v>
      </c>
      <c r="U75" s="573" t="str">
        <f t="shared" ref="U75:V75" si="241">FORMAT_NUMBER(S75)</f>
        <v>60.08 T</v>
      </c>
      <c r="V75" s="574" t="str">
        <f t="shared" si="241"/>
        <v>15.55 q</v>
      </c>
      <c r="W75" s="677"/>
      <c r="X75" s="709"/>
      <c r="Y75" s="709"/>
      <c r="Z75" s="709"/>
      <c r="AA75" s="709"/>
      <c r="AB75" s="712"/>
      <c r="AC75" s="461"/>
      <c r="AD75" s="580">
        <f t="shared" ref="AD75:AU75" si="242">IFERROR(WSPCOST_SINGLE_ADJUSTED(AD$1,1+AW75),)</f>
        <v>37110000000000</v>
      </c>
      <c r="AE75" s="252">
        <f t="shared" si="242"/>
        <v>82420000000</v>
      </c>
      <c r="AF75" s="252">
        <f t="shared" si="242"/>
        <v>69650000000000</v>
      </c>
      <c r="AG75" s="252">
        <f t="shared" si="242"/>
        <v>21210000000</v>
      </c>
      <c r="AH75" s="252">
        <f t="shared" si="242"/>
        <v>43890000000000</v>
      </c>
      <c r="AI75" s="252">
        <f t="shared" si="242"/>
        <v>47710000000000</v>
      </c>
      <c r="AJ75" s="390">
        <f t="shared" si="242"/>
        <v>297430000000000</v>
      </c>
      <c r="AK75" s="390">
        <f t="shared" si="242"/>
        <v>580270000000000</v>
      </c>
      <c r="AL75" s="390">
        <f t="shared" si="242"/>
        <v>5000000000</v>
      </c>
      <c r="AM75" s="390">
        <f t="shared" si="242"/>
        <v>33950000000</v>
      </c>
      <c r="AN75" s="390">
        <f t="shared" si="242"/>
        <v>60080000000000</v>
      </c>
      <c r="AO75" s="390">
        <f t="shared" si="242"/>
        <v>22020000000000</v>
      </c>
      <c r="AP75" s="469">
        <f t="shared" si="242"/>
        <v>153100000000000</v>
      </c>
      <c r="AQ75" s="469">
        <f t="shared" si="242"/>
        <v>1.3E+15</v>
      </c>
      <c r="AR75" s="469">
        <f t="shared" si="242"/>
        <v>1.3E+15</v>
      </c>
      <c r="AS75" s="469">
        <f t="shared" si="242"/>
        <v>420490000000000</v>
      </c>
      <c r="AT75" s="469">
        <f t="shared" si="242"/>
        <v>3990000000000</v>
      </c>
      <c r="AU75" s="581">
        <f t="shared" si="242"/>
        <v>1.14E+15</v>
      </c>
      <c r="AV75" s="461"/>
      <c r="AW75" s="580">
        <f t="shared" ref="AW75:BN75" si="243">AW74+DB74</f>
        <v>56</v>
      </c>
      <c r="AX75" s="252">
        <f t="shared" si="243"/>
        <v>21</v>
      </c>
      <c r="AY75" s="252">
        <f t="shared" si="243"/>
        <v>60</v>
      </c>
      <c r="AZ75" s="252">
        <f t="shared" si="243"/>
        <v>17</v>
      </c>
      <c r="BA75" s="252">
        <f t="shared" si="243"/>
        <v>57</v>
      </c>
      <c r="BB75" s="252">
        <f t="shared" si="243"/>
        <v>13</v>
      </c>
      <c r="BC75" s="390">
        <f t="shared" si="243"/>
        <v>72</v>
      </c>
      <c r="BD75" s="390">
        <f t="shared" si="243"/>
        <v>79</v>
      </c>
      <c r="BE75" s="390">
        <f t="shared" si="243"/>
        <v>0</v>
      </c>
      <c r="BF75" s="390">
        <f t="shared" si="243"/>
        <v>18</v>
      </c>
      <c r="BG75" s="390">
        <f t="shared" si="243"/>
        <v>59</v>
      </c>
      <c r="BH75" s="390">
        <f t="shared" si="243"/>
        <v>20</v>
      </c>
      <c r="BI75" s="469">
        <f t="shared" si="243"/>
        <v>66</v>
      </c>
      <c r="BJ75" s="469">
        <f t="shared" si="243"/>
        <v>37</v>
      </c>
      <c r="BK75" s="469">
        <f t="shared" si="243"/>
        <v>37</v>
      </c>
      <c r="BL75" s="469">
        <f t="shared" si="243"/>
        <v>18</v>
      </c>
      <c r="BM75" s="469">
        <f t="shared" si="243"/>
        <v>42</v>
      </c>
      <c r="BN75" s="581">
        <f t="shared" si="243"/>
        <v>15</v>
      </c>
      <c r="BO75" s="461"/>
      <c r="BP75" s="580">
        <f t="shared" si="8"/>
        <v>37110000000000</v>
      </c>
      <c r="BQ75" s="252" t="str">
        <f t="shared" si="9"/>
        <v/>
      </c>
      <c r="BR75" s="252">
        <f t="shared" si="10"/>
        <v>69650000000000</v>
      </c>
      <c r="BS75" s="252" t="str">
        <f t="shared" si="11"/>
        <v/>
      </c>
      <c r="BT75" s="252" t="str">
        <f t="shared" si="12"/>
        <v/>
      </c>
      <c r="BU75" s="252">
        <f t="shared" si="13"/>
        <v>47710000000000</v>
      </c>
      <c r="BV75" s="390" t="str">
        <f t="shared" si="14"/>
        <v/>
      </c>
      <c r="BW75" s="390" t="str">
        <f t="shared" si="15"/>
        <v/>
      </c>
      <c r="BX75" s="390" t="str">
        <f t="shared" si="16"/>
        <v/>
      </c>
      <c r="BY75" s="390" t="str">
        <f t="shared" si="17"/>
        <v/>
      </c>
      <c r="BZ75" s="390">
        <f t="shared" si="18"/>
        <v>60080000000000</v>
      </c>
      <c r="CA75" s="390">
        <f t="shared" si="19"/>
        <v>22020000000000</v>
      </c>
      <c r="CB75" s="469" t="str">
        <f t="shared" si="20"/>
        <v/>
      </c>
      <c r="CC75" s="469" t="str">
        <f t="shared" si="21"/>
        <v/>
      </c>
      <c r="CD75" s="469" t="str">
        <f t="shared" si="22"/>
        <v/>
      </c>
      <c r="CE75" s="469" t="str">
        <f t="shared" si="23"/>
        <v/>
      </c>
      <c r="CF75" s="469" t="str">
        <f t="shared" si="24"/>
        <v/>
      </c>
      <c r="CG75" s="581" t="str">
        <f t="shared" si="25"/>
        <v/>
      </c>
      <c r="CH75" s="461"/>
      <c r="CI75" s="580" t="str">
        <f t="array" ref="CI75">LET(
array,SORT({$Y$2:$AB$19,TRANSPOSE($BP75:$CG75)},4,TRUE),
col,CHOOSECOLS(array,5),
row,MATCH(FALSE, ISBLANK(col), 0),
IF(BP75=SWITCH($AA$22,
"minimum cost", MIN($BP75:$CG75),
"maximum cost", MAX($BP75:$CG75), 
"custom order", IF(CI$1=INDEX(array, row,1),INDEX(array, row,5),"x"))
,1,))</f>
        <v/>
      </c>
      <c r="CJ75" s="252" t="str">
        <f t="array" ref="CJ75">LET(
array,SORT({$Y$2:$AB$19,TRANSPOSE($BP75:$CG75)},4,TRUE),
col,CHOOSECOLS(array,5),
row,MATCH(FALSE, ISBLANK(col), 0),
IF(BQ75=SWITCH($AA$22,
"minimum cost", MIN($BP75:$CG75),
"maximum cost", MAX($BP75:$CG75), 
"custom order", IF(CJ$1=INDEX(array, row,1),INDEX(array, row,5),"x"))
,1,))</f>
        <v/>
      </c>
      <c r="CK75" s="252" t="str">
        <f t="array" ref="CK75">LET(
array,SORT({$Y$2:$AB$19,TRANSPOSE($BP75:$CG75)},4,TRUE),
col,CHOOSECOLS(array,5),
row,MATCH(FALSE, ISBLANK(col), 0),
IF(BR75=SWITCH($AA$22,
"minimum cost", MIN($BP75:$CG75),
"maximum cost", MAX($BP75:$CG75), 
"custom order", IF(CK$1=INDEX(array, row,1),INDEX(array, row,5),"x"))
,1,))</f>
        <v/>
      </c>
      <c r="CL75" s="252" t="str">
        <f t="array" ref="CL75">LET(
array,SORT({$Y$2:$AB$19,TRANSPOSE($BP75:$CG75)},4,TRUE),
col,CHOOSECOLS(array,5),
row,MATCH(FALSE, ISBLANK(col), 0),
IF(BS75=SWITCH($AA$22,
"minimum cost", MIN($BP75:$CG75),
"maximum cost", MAX($BP75:$CG75), 
"custom order", IF(CL$1=INDEX(array, row,1),INDEX(array, row,5),"x"))
,1,))</f>
        <v/>
      </c>
      <c r="CM75" s="252" t="str">
        <f t="array" ref="CM75">LET(
array,SORT({$Y$2:$AB$19,TRANSPOSE($BP75:$CG75)},4,TRUE),
col,CHOOSECOLS(array,5),
row,MATCH(FALSE, ISBLANK(col), 0),
IF(BT75=SWITCH($AA$22,
"minimum cost", MIN($BP75:$CG75),
"maximum cost", MAX($BP75:$CG75), 
"custom order", IF(CM$1=INDEX(array, row,1),INDEX(array, row,5),"x"))
,1,))</f>
        <v/>
      </c>
      <c r="CN75" s="252" t="str">
        <f t="array" ref="CN75">LET(
array,SORT({$Y$2:$AB$19,TRANSPOSE($BP75:$CG75)},4,TRUE),
col,CHOOSECOLS(array,5),
row,MATCH(FALSE, ISBLANK(col), 0),
IF(BU75=SWITCH($AA$22,
"minimum cost", MIN($BP75:$CG75),
"maximum cost", MAX($BP75:$CG75), 
"custom order", IF(CN$1=INDEX(array, row,1),INDEX(array, row,5),"x"))
,1,))</f>
        <v/>
      </c>
      <c r="CO75" s="390" t="str">
        <f t="array" ref="CO75">LET(
array,SORT({$Y$2:$AB$19,TRANSPOSE($BP75:$CG75)},4,TRUE),
col,CHOOSECOLS(array,5),
row,MATCH(FALSE, ISBLANK(col), 0),
IF(BV75=SWITCH($AA$22,
"minimum cost", MIN($BP75:$CG75),
"maximum cost", MAX($BP75:$CG75), 
"custom order", IF(CO$1=INDEX(array, row,1),INDEX(array, row,5),"x"))
,1,))</f>
        <v/>
      </c>
      <c r="CP75" s="390" t="str">
        <f t="array" ref="CP75">LET(
array,SORT({$Y$2:$AB$19,TRANSPOSE($BP75:$CG75)},4,TRUE),
col,CHOOSECOLS(array,5),
row,MATCH(FALSE, ISBLANK(col), 0),
IF(BW75=SWITCH($AA$22,
"minimum cost", MIN($BP75:$CG75),
"maximum cost", MAX($BP75:$CG75), 
"custom order", IF(CP$1=INDEX(array, row,1),INDEX(array, row,5),"x"))
,1,))</f>
        <v/>
      </c>
      <c r="CQ75" s="390" t="str">
        <f t="array" ref="CQ75">LET(
array,SORT({$Y$2:$AB$19,TRANSPOSE($BP75:$CG75)},4,TRUE),
col,CHOOSECOLS(array,5),
row,MATCH(FALSE, ISBLANK(col), 0),
IF(BX75=SWITCH($AA$22,
"minimum cost", MIN($BP75:$CG75),
"maximum cost", MAX($BP75:$CG75), 
"custom order", IF(CQ$1=INDEX(array, row,1),INDEX(array, row,5),"x"))
,1,))</f>
        <v/>
      </c>
      <c r="CR75" s="390" t="str">
        <f t="array" ref="CR75">LET(
array,SORT({$Y$2:$AB$19,TRANSPOSE($BP75:$CG75)},4,TRUE),
col,CHOOSECOLS(array,5),
row,MATCH(FALSE, ISBLANK(col), 0),
IF(BY75=SWITCH($AA$22,
"minimum cost", MIN($BP75:$CG75),
"maximum cost", MAX($BP75:$CG75), 
"custom order", IF(CR$1=INDEX(array, row,1),INDEX(array, row,5),"x"))
,1,))</f>
        <v/>
      </c>
      <c r="CS75" s="390">
        <f t="array" ref="CS75">LET(
array,SORT({$Y$2:$AB$19,TRANSPOSE($BP75:$CG75)},4,TRUE),
col,CHOOSECOLS(array,5),
row,MATCH(FALSE, ISBLANK(col), 0),
IF(BZ75=SWITCH($AA$22,
"minimum cost", MIN($BP75:$CG75),
"maximum cost", MAX($BP75:$CG75), 
"custom order", IF(CS$1=INDEX(array, row,1),INDEX(array, row,5),"x"))
,1,))</f>
        <v>1</v>
      </c>
      <c r="CT75" s="390" t="str">
        <f t="array" ref="CT75">LET(
array,SORT({$Y$2:$AB$19,TRANSPOSE($BP75:$CG75)},4,TRUE),
col,CHOOSECOLS(array,5),
row,MATCH(FALSE, ISBLANK(col), 0),
IF(CA75=SWITCH($AA$22,
"minimum cost", MIN($BP75:$CG75),
"maximum cost", MAX($BP75:$CG75), 
"custom order", IF(CT$1=INDEX(array, row,1),INDEX(array, row,5),"x"))
,1,))</f>
        <v/>
      </c>
      <c r="CU75" s="469" t="str">
        <f t="array" ref="CU75">LET(
array,SORT({$Y$2:$AB$19,TRANSPOSE($BP75:$CG75)},4,TRUE),
col,CHOOSECOLS(array,5),
row,MATCH(FALSE, ISBLANK(col), 0),
IF(CB75=SWITCH($AA$22,
"minimum cost", MIN($BP75:$CG75),
"maximum cost", MAX($BP75:$CG75), 
"custom order", IF(CU$1=INDEX(array, row,1),INDEX(array, row,5),"x"))
,1,))</f>
        <v/>
      </c>
      <c r="CV75" s="469" t="str">
        <f t="array" ref="CV75">LET(
array,SORT({$Y$2:$AB$19,TRANSPOSE($BP75:$CG75)},4,TRUE),
col,CHOOSECOLS(array,5),
row,MATCH(FALSE, ISBLANK(col), 0),
IF(CC75=SWITCH($AA$22,
"minimum cost", MIN($BP75:$CG75),
"maximum cost", MAX($BP75:$CG75), 
"custom order", IF(CV$1=INDEX(array, row,1),INDEX(array, row,5),"x"))
,1,))</f>
        <v/>
      </c>
      <c r="CW75" s="469" t="str">
        <f t="array" ref="CW75">LET(
array,SORT({$Y$2:$AB$19,TRANSPOSE($BP75:$CG75)},4,TRUE),
col,CHOOSECOLS(array,5),
row,MATCH(FALSE, ISBLANK(col), 0),
IF(CD75=SWITCH($AA$22,
"minimum cost", MIN($BP75:$CG75),
"maximum cost", MAX($BP75:$CG75), 
"custom order", IF(CW$1=INDEX(array, row,1),INDEX(array, row,5),"x"))
,1,))</f>
        <v/>
      </c>
      <c r="CX75" s="469" t="str">
        <f t="array" ref="CX75">LET(
array,SORT({$Y$2:$AB$19,TRANSPOSE($BP75:$CG75)},4,TRUE),
col,CHOOSECOLS(array,5),
row,MATCH(FALSE, ISBLANK(col), 0),
IF(CE75=SWITCH($AA$22,
"minimum cost", MIN($BP75:$CG75),
"maximum cost", MAX($BP75:$CG75), 
"custom order", IF(CX$1=INDEX(array, row,1),INDEX(array, row,5),"x"))
,1,))</f>
        <v/>
      </c>
      <c r="CY75" s="469" t="str">
        <f t="array" ref="CY75">LET(
array,SORT({$Y$2:$AB$19,TRANSPOSE($BP75:$CG75)},4,TRUE),
col,CHOOSECOLS(array,5),
row,MATCH(FALSE, ISBLANK(col), 0),
IF(CF75=SWITCH($AA$22,
"minimum cost", MIN($BP75:$CG75),
"maximum cost", MAX($BP75:$CG75), 
"custom order", IF(CY$1=INDEX(array, row,1),INDEX(array, row,5),"x"))
,1,))</f>
        <v/>
      </c>
      <c r="CZ75" s="581" t="str">
        <f t="array" ref="CZ75">LET(
array,SORT({$Y$2:$AB$19,TRANSPOSE($BP75:$CG75)},4,TRUE),
col,CHOOSECOLS(array,5),
row,MATCH(FALSE, ISBLANK(col), 0),
IF(CG75=SWITCH($AA$22,
"minimum cost", MIN($BP75:$CG75),
"maximum cost", MAX($BP75:$CG75), 
"custom order", IF(CZ$1=INDEX(array, row,1),INDEX(array, row,5),"x"))
,1,))</f>
        <v/>
      </c>
      <c r="DA75" s="461"/>
      <c r="DB75" s="580" t="str">
        <f t="array" ref="DB75:DS75">IF(MATCH(1, CI75:CZ75, 0)=COLUMN(CI75:CZ75)-COLUMN(CI75)+1, CI75:CZ75, "")</f>
        <v/>
      </c>
      <c r="DC75" s="252" t="s">
        <v>133</v>
      </c>
      <c r="DD75" s="252" t="s">
        <v>133</v>
      </c>
      <c r="DE75" s="252" t="s">
        <v>133</v>
      </c>
      <c r="DF75" s="252" t="s">
        <v>133</v>
      </c>
      <c r="DG75" s="252" t="s">
        <v>133</v>
      </c>
      <c r="DH75" s="390" t="s">
        <v>133</v>
      </c>
      <c r="DI75" s="390" t="s">
        <v>133</v>
      </c>
      <c r="DJ75" s="390" t="s">
        <v>133</v>
      </c>
      <c r="DK75" s="390" t="s">
        <v>133</v>
      </c>
      <c r="DL75" s="390">
        <v>1.0</v>
      </c>
      <c r="DM75" s="390" t="s">
        <v>133</v>
      </c>
      <c r="DN75" s="469" t="s">
        <v>133</v>
      </c>
      <c r="DO75" s="469" t="s">
        <v>133</v>
      </c>
      <c r="DP75" s="469" t="s">
        <v>133</v>
      </c>
      <c r="DQ75" s="469" t="s">
        <v>133</v>
      </c>
      <c r="DR75" s="469" t="s">
        <v>133</v>
      </c>
      <c r="DS75" s="581" t="s">
        <v>133</v>
      </c>
      <c r="DT75" s="563"/>
    </row>
    <row r="76">
      <c r="A76" s="563"/>
      <c r="B76" s="709"/>
      <c r="C76" s="709"/>
      <c r="D76" s="709"/>
      <c r="E76" s="10"/>
      <c r="F76" s="709"/>
      <c r="G76" s="10"/>
      <c r="H76" s="709"/>
      <c r="I76" s="10"/>
      <c r="J76" s="709"/>
      <c r="K76" s="10"/>
      <c r="L76" s="709"/>
      <c r="M76" s="461"/>
      <c r="N76" s="10"/>
      <c r="O76" s="10"/>
      <c r="P76" s="10"/>
      <c r="Q76" s="570" t="str">
        <f>IFERROR(__xludf.DUMMYFUNCTION("IF(SUM(DB76:DS76),ARRAYFORMULA(FILTER(DB$1:DS$1, DB76:DS76=1)),)"),"Wall Health")</f>
        <v>Wall Health</v>
      </c>
      <c r="R76" s="571">
        <f>IFERROR(__xludf.DUMMYFUNCTION("IF(SUM(DB76:DS76),ARRAYFORMULA(FILTER(AW76:BN76, DB76:DS76=1))+1,)"),61.0)</f>
        <v>61</v>
      </c>
      <c r="S76" s="572">
        <f>IFERROR(__xludf.DUMMYFUNCTION("IF(SUM(DB76:DS76),ARRAYFORMULA(FILTER(AD76:AU76, DB76:DS76=1)),)"),6.965E13)</f>
        <v>69650000000000</v>
      </c>
      <c r="T76" s="572">
        <f t="shared" si="26"/>
        <v>1.56198E+16</v>
      </c>
      <c r="U76" s="573" t="str">
        <f t="shared" ref="U76:V76" si="244">FORMAT_NUMBER(S76)</f>
        <v>69.65 T</v>
      </c>
      <c r="V76" s="574" t="str">
        <f t="shared" si="244"/>
        <v>15.62 q</v>
      </c>
      <c r="W76" s="677"/>
      <c r="X76" s="709"/>
      <c r="Y76" s="709"/>
      <c r="Z76" s="709"/>
      <c r="AA76" s="709"/>
      <c r="AB76" s="712"/>
      <c r="AC76" s="461"/>
      <c r="AD76" s="580">
        <f t="shared" ref="AD76:AU76" si="245">IFERROR(WSPCOST_SINGLE_ADJUSTED(AD$1,1+AW76),)</f>
        <v>37110000000000</v>
      </c>
      <c r="AE76" s="252">
        <f t="shared" si="245"/>
        <v>82420000000</v>
      </c>
      <c r="AF76" s="252">
        <f t="shared" si="245"/>
        <v>69650000000000</v>
      </c>
      <c r="AG76" s="252">
        <f t="shared" si="245"/>
        <v>21210000000</v>
      </c>
      <c r="AH76" s="252">
        <f t="shared" si="245"/>
        <v>43890000000000</v>
      </c>
      <c r="AI76" s="252">
        <f t="shared" si="245"/>
        <v>47710000000000</v>
      </c>
      <c r="AJ76" s="390">
        <f t="shared" si="245"/>
        <v>297430000000000</v>
      </c>
      <c r="AK76" s="390">
        <f t="shared" si="245"/>
        <v>580270000000000</v>
      </c>
      <c r="AL76" s="390">
        <f t="shared" si="245"/>
        <v>5000000000</v>
      </c>
      <c r="AM76" s="390">
        <f t="shared" si="245"/>
        <v>33950000000</v>
      </c>
      <c r="AN76" s="390">
        <f t="shared" si="245"/>
        <v>69650000000000</v>
      </c>
      <c r="AO76" s="390">
        <f t="shared" si="245"/>
        <v>22020000000000</v>
      </c>
      <c r="AP76" s="469">
        <f t="shared" si="245"/>
        <v>153100000000000</v>
      </c>
      <c r="AQ76" s="469">
        <f t="shared" si="245"/>
        <v>1.3E+15</v>
      </c>
      <c r="AR76" s="469">
        <f t="shared" si="245"/>
        <v>1.3E+15</v>
      </c>
      <c r="AS76" s="469">
        <f t="shared" si="245"/>
        <v>420490000000000</v>
      </c>
      <c r="AT76" s="469">
        <f t="shared" si="245"/>
        <v>3990000000000</v>
      </c>
      <c r="AU76" s="581">
        <f t="shared" si="245"/>
        <v>1.14E+15</v>
      </c>
      <c r="AV76" s="461"/>
      <c r="AW76" s="580">
        <f t="shared" ref="AW76:BN76" si="246">AW75+DB75</f>
        <v>56</v>
      </c>
      <c r="AX76" s="252">
        <f t="shared" si="246"/>
        <v>21</v>
      </c>
      <c r="AY76" s="252">
        <f t="shared" si="246"/>
        <v>60</v>
      </c>
      <c r="AZ76" s="252">
        <f t="shared" si="246"/>
        <v>17</v>
      </c>
      <c r="BA76" s="252">
        <f t="shared" si="246"/>
        <v>57</v>
      </c>
      <c r="BB76" s="252">
        <f t="shared" si="246"/>
        <v>13</v>
      </c>
      <c r="BC76" s="390">
        <f t="shared" si="246"/>
        <v>72</v>
      </c>
      <c r="BD76" s="390">
        <f t="shared" si="246"/>
        <v>79</v>
      </c>
      <c r="BE76" s="390">
        <f t="shared" si="246"/>
        <v>0</v>
      </c>
      <c r="BF76" s="390">
        <f t="shared" si="246"/>
        <v>18</v>
      </c>
      <c r="BG76" s="390">
        <f t="shared" si="246"/>
        <v>60</v>
      </c>
      <c r="BH76" s="390">
        <f t="shared" si="246"/>
        <v>20</v>
      </c>
      <c r="BI76" s="469">
        <f t="shared" si="246"/>
        <v>66</v>
      </c>
      <c r="BJ76" s="469">
        <f t="shared" si="246"/>
        <v>37</v>
      </c>
      <c r="BK76" s="469">
        <f t="shared" si="246"/>
        <v>37</v>
      </c>
      <c r="BL76" s="469">
        <f t="shared" si="246"/>
        <v>18</v>
      </c>
      <c r="BM76" s="469">
        <f t="shared" si="246"/>
        <v>42</v>
      </c>
      <c r="BN76" s="581">
        <f t="shared" si="246"/>
        <v>15</v>
      </c>
      <c r="BO76" s="461"/>
      <c r="BP76" s="580">
        <f t="shared" si="8"/>
        <v>37110000000000</v>
      </c>
      <c r="BQ76" s="252" t="str">
        <f t="shared" si="9"/>
        <v/>
      </c>
      <c r="BR76" s="252">
        <f t="shared" si="10"/>
        <v>69650000000000</v>
      </c>
      <c r="BS76" s="252" t="str">
        <f t="shared" si="11"/>
        <v/>
      </c>
      <c r="BT76" s="252" t="str">
        <f t="shared" si="12"/>
        <v/>
      </c>
      <c r="BU76" s="252">
        <f t="shared" si="13"/>
        <v>47710000000000</v>
      </c>
      <c r="BV76" s="390" t="str">
        <f t="shared" si="14"/>
        <v/>
      </c>
      <c r="BW76" s="390" t="str">
        <f t="shared" si="15"/>
        <v/>
      </c>
      <c r="BX76" s="390" t="str">
        <f t="shared" si="16"/>
        <v/>
      </c>
      <c r="BY76" s="390" t="str">
        <f t="shared" si="17"/>
        <v/>
      </c>
      <c r="BZ76" s="390">
        <f t="shared" si="18"/>
        <v>69650000000000</v>
      </c>
      <c r="CA76" s="390">
        <f t="shared" si="19"/>
        <v>22020000000000</v>
      </c>
      <c r="CB76" s="469" t="str">
        <f t="shared" si="20"/>
        <v/>
      </c>
      <c r="CC76" s="469" t="str">
        <f t="shared" si="21"/>
        <v/>
      </c>
      <c r="CD76" s="469" t="str">
        <f t="shared" si="22"/>
        <v/>
      </c>
      <c r="CE76" s="469" t="str">
        <f t="shared" si="23"/>
        <v/>
      </c>
      <c r="CF76" s="469" t="str">
        <f t="shared" si="24"/>
        <v/>
      </c>
      <c r="CG76" s="581" t="str">
        <f t="shared" si="25"/>
        <v/>
      </c>
      <c r="CH76" s="461"/>
      <c r="CI76" s="580" t="str">
        <f t="array" ref="CI76">LET(
array,SORT({$Y$2:$AB$19,TRANSPOSE($BP76:$CG76)},4,TRUE),
col,CHOOSECOLS(array,5),
row,MATCH(FALSE, ISBLANK(col), 0),
IF(BP76=SWITCH($AA$22,
"minimum cost", MIN($BP76:$CG76),
"maximum cost", MAX($BP76:$CG76), 
"custom order", IF(CI$1=INDEX(array, row,1),INDEX(array, row,5),"x"))
,1,))</f>
        <v/>
      </c>
      <c r="CJ76" s="252" t="str">
        <f t="array" ref="CJ76">LET(
array,SORT({$Y$2:$AB$19,TRANSPOSE($BP76:$CG76)},4,TRUE),
col,CHOOSECOLS(array,5),
row,MATCH(FALSE, ISBLANK(col), 0),
IF(BQ76=SWITCH($AA$22,
"minimum cost", MIN($BP76:$CG76),
"maximum cost", MAX($BP76:$CG76), 
"custom order", IF(CJ$1=INDEX(array, row,1),INDEX(array, row,5),"x"))
,1,))</f>
        <v/>
      </c>
      <c r="CK76" s="252" t="str">
        <f t="array" ref="CK76">LET(
array,SORT({$Y$2:$AB$19,TRANSPOSE($BP76:$CG76)},4,TRUE),
col,CHOOSECOLS(array,5),
row,MATCH(FALSE, ISBLANK(col), 0),
IF(BR76=SWITCH($AA$22,
"minimum cost", MIN($BP76:$CG76),
"maximum cost", MAX($BP76:$CG76), 
"custom order", IF(CK$1=INDEX(array, row,1),INDEX(array, row,5),"x"))
,1,))</f>
        <v/>
      </c>
      <c r="CL76" s="252" t="str">
        <f t="array" ref="CL76">LET(
array,SORT({$Y$2:$AB$19,TRANSPOSE($BP76:$CG76)},4,TRUE),
col,CHOOSECOLS(array,5),
row,MATCH(FALSE, ISBLANK(col), 0),
IF(BS76=SWITCH($AA$22,
"minimum cost", MIN($BP76:$CG76),
"maximum cost", MAX($BP76:$CG76), 
"custom order", IF(CL$1=INDEX(array, row,1),INDEX(array, row,5),"x"))
,1,))</f>
        <v/>
      </c>
      <c r="CM76" s="252" t="str">
        <f t="array" ref="CM76">LET(
array,SORT({$Y$2:$AB$19,TRANSPOSE($BP76:$CG76)},4,TRUE),
col,CHOOSECOLS(array,5),
row,MATCH(FALSE, ISBLANK(col), 0),
IF(BT76=SWITCH($AA$22,
"minimum cost", MIN($BP76:$CG76),
"maximum cost", MAX($BP76:$CG76), 
"custom order", IF(CM$1=INDEX(array, row,1),INDEX(array, row,5),"x"))
,1,))</f>
        <v/>
      </c>
      <c r="CN76" s="252" t="str">
        <f t="array" ref="CN76">LET(
array,SORT({$Y$2:$AB$19,TRANSPOSE($BP76:$CG76)},4,TRUE),
col,CHOOSECOLS(array,5),
row,MATCH(FALSE, ISBLANK(col), 0),
IF(BU76=SWITCH($AA$22,
"minimum cost", MIN($BP76:$CG76),
"maximum cost", MAX($BP76:$CG76), 
"custom order", IF(CN$1=INDEX(array, row,1),INDEX(array, row,5),"x"))
,1,))</f>
        <v/>
      </c>
      <c r="CO76" s="390" t="str">
        <f t="array" ref="CO76">LET(
array,SORT({$Y$2:$AB$19,TRANSPOSE($BP76:$CG76)},4,TRUE),
col,CHOOSECOLS(array,5),
row,MATCH(FALSE, ISBLANK(col), 0),
IF(BV76=SWITCH($AA$22,
"minimum cost", MIN($BP76:$CG76),
"maximum cost", MAX($BP76:$CG76), 
"custom order", IF(CO$1=INDEX(array, row,1),INDEX(array, row,5),"x"))
,1,))</f>
        <v/>
      </c>
      <c r="CP76" s="390" t="str">
        <f t="array" ref="CP76">LET(
array,SORT({$Y$2:$AB$19,TRANSPOSE($BP76:$CG76)},4,TRUE),
col,CHOOSECOLS(array,5),
row,MATCH(FALSE, ISBLANK(col), 0),
IF(BW76=SWITCH($AA$22,
"minimum cost", MIN($BP76:$CG76),
"maximum cost", MAX($BP76:$CG76), 
"custom order", IF(CP$1=INDEX(array, row,1),INDEX(array, row,5),"x"))
,1,))</f>
        <v/>
      </c>
      <c r="CQ76" s="390" t="str">
        <f t="array" ref="CQ76">LET(
array,SORT({$Y$2:$AB$19,TRANSPOSE($BP76:$CG76)},4,TRUE),
col,CHOOSECOLS(array,5),
row,MATCH(FALSE, ISBLANK(col), 0),
IF(BX76=SWITCH($AA$22,
"minimum cost", MIN($BP76:$CG76),
"maximum cost", MAX($BP76:$CG76), 
"custom order", IF(CQ$1=INDEX(array, row,1),INDEX(array, row,5),"x"))
,1,))</f>
        <v/>
      </c>
      <c r="CR76" s="390" t="str">
        <f t="array" ref="CR76">LET(
array,SORT({$Y$2:$AB$19,TRANSPOSE($BP76:$CG76)},4,TRUE),
col,CHOOSECOLS(array,5),
row,MATCH(FALSE, ISBLANK(col), 0),
IF(BY76=SWITCH($AA$22,
"minimum cost", MIN($BP76:$CG76),
"maximum cost", MAX($BP76:$CG76), 
"custom order", IF(CR$1=INDEX(array, row,1),INDEX(array, row,5),"x"))
,1,))</f>
        <v/>
      </c>
      <c r="CS76" s="390">
        <f t="array" ref="CS76">LET(
array,SORT({$Y$2:$AB$19,TRANSPOSE($BP76:$CG76)},4,TRUE),
col,CHOOSECOLS(array,5),
row,MATCH(FALSE, ISBLANK(col), 0),
IF(BZ76=SWITCH($AA$22,
"minimum cost", MIN($BP76:$CG76),
"maximum cost", MAX($BP76:$CG76), 
"custom order", IF(CS$1=INDEX(array, row,1),INDEX(array, row,5),"x"))
,1,))</f>
        <v>1</v>
      </c>
      <c r="CT76" s="390" t="str">
        <f t="array" ref="CT76">LET(
array,SORT({$Y$2:$AB$19,TRANSPOSE($BP76:$CG76)},4,TRUE),
col,CHOOSECOLS(array,5),
row,MATCH(FALSE, ISBLANK(col), 0),
IF(CA76=SWITCH($AA$22,
"minimum cost", MIN($BP76:$CG76),
"maximum cost", MAX($BP76:$CG76), 
"custom order", IF(CT$1=INDEX(array, row,1),INDEX(array, row,5),"x"))
,1,))</f>
        <v/>
      </c>
      <c r="CU76" s="469" t="str">
        <f t="array" ref="CU76">LET(
array,SORT({$Y$2:$AB$19,TRANSPOSE($BP76:$CG76)},4,TRUE),
col,CHOOSECOLS(array,5),
row,MATCH(FALSE, ISBLANK(col), 0),
IF(CB76=SWITCH($AA$22,
"minimum cost", MIN($BP76:$CG76),
"maximum cost", MAX($BP76:$CG76), 
"custom order", IF(CU$1=INDEX(array, row,1),INDEX(array, row,5),"x"))
,1,))</f>
        <v/>
      </c>
      <c r="CV76" s="469" t="str">
        <f t="array" ref="CV76">LET(
array,SORT({$Y$2:$AB$19,TRANSPOSE($BP76:$CG76)},4,TRUE),
col,CHOOSECOLS(array,5),
row,MATCH(FALSE, ISBLANK(col), 0),
IF(CC76=SWITCH($AA$22,
"minimum cost", MIN($BP76:$CG76),
"maximum cost", MAX($BP76:$CG76), 
"custom order", IF(CV$1=INDEX(array, row,1),INDEX(array, row,5),"x"))
,1,))</f>
        <v/>
      </c>
      <c r="CW76" s="469" t="str">
        <f t="array" ref="CW76">LET(
array,SORT({$Y$2:$AB$19,TRANSPOSE($BP76:$CG76)},4,TRUE),
col,CHOOSECOLS(array,5),
row,MATCH(FALSE, ISBLANK(col), 0),
IF(CD76=SWITCH($AA$22,
"minimum cost", MIN($BP76:$CG76),
"maximum cost", MAX($BP76:$CG76), 
"custom order", IF(CW$1=INDEX(array, row,1),INDEX(array, row,5),"x"))
,1,))</f>
        <v/>
      </c>
      <c r="CX76" s="469" t="str">
        <f t="array" ref="CX76">LET(
array,SORT({$Y$2:$AB$19,TRANSPOSE($BP76:$CG76)},4,TRUE),
col,CHOOSECOLS(array,5),
row,MATCH(FALSE, ISBLANK(col), 0),
IF(CE76=SWITCH($AA$22,
"minimum cost", MIN($BP76:$CG76),
"maximum cost", MAX($BP76:$CG76), 
"custom order", IF(CX$1=INDEX(array, row,1),INDEX(array, row,5),"x"))
,1,))</f>
        <v/>
      </c>
      <c r="CY76" s="469" t="str">
        <f t="array" ref="CY76">LET(
array,SORT({$Y$2:$AB$19,TRANSPOSE($BP76:$CG76)},4,TRUE),
col,CHOOSECOLS(array,5),
row,MATCH(FALSE, ISBLANK(col), 0),
IF(CF76=SWITCH($AA$22,
"minimum cost", MIN($BP76:$CG76),
"maximum cost", MAX($BP76:$CG76), 
"custom order", IF(CY$1=INDEX(array, row,1),INDEX(array, row,5),"x"))
,1,))</f>
        <v/>
      </c>
      <c r="CZ76" s="581" t="str">
        <f t="array" ref="CZ76">LET(
array,SORT({$Y$2:$AB$19,TRANSPOSE($BP76:$CG76)},4,TRUE),
col,CHOOSECOLS(array,5),
row,MATCH(FALSE, ISBLANK(col), 0),
IF(CG76=SWITCH($AA$22,
"minimum cost", MIN($BP76:$CG76),
"maximum cost", MAX($BP76:$CG76), 
"custom order", IF(CZ$1=INDEX(array, row,1),INDEX(array, row,5),"x"))
,1,))</f>
        <v/>
      </c>
      <c r="DA76" s="461"/>
      <c r="DB76" s="580" t="str">
        <f t="array" ref="DB76:DS76">IF(MATCH(1, CI76:CZ76, 0)=COLUMN(CI76:CZ76)-COLUMN(CI76)+1, CI76:CZ76, "")</f>
        <v/>
      </c>
      <c r="DC76" s="252" t="s">
        <v>133</v>
      </c>
      <c r="DD76" s="252" t="s">
        <v>133</v>
      </c>
      <c r="DE76" s="252" t="s">
        <v>133</v>
      </c>
      <c r="DF76" s="252" t="s">
        <v>133</v>
      </c>
      <c r="DG76" s="252" t="s">
        <v>133</v>
      </c>
      <c r="DH76" s="390" t="s">
        <v>133</v>
      </c>
      <c r="DI76" s="390" t="s">
        <v>133</v>
      </c>
      <c r="DJ76" s="390" t="s">
        <v>133</v>
      </c>
      <c r="DK76" s="390" t="s">
        <v>133</v>
      </c>
      <c r="DL76" s="390">
        <v>1.0</v>
      </c>
      <c r="DM76" s="390" t="s">
        <v>133</v>
      </c>
      <c r="DN76" s="469" t="s">
        <v>133</v>
      </c>
      <c r="DO76" s="469" t="s">
        <v>133</v>
      </c>
      <c r="DP76" s="469" t="s">
        <v>133</v>
      </c>
      <c r="DQ76" s="469" t="s">
        <v>133</v>
      </c>
      <c r="DR76" s="469" t="s">
        <v>133</v>
      </c>
      <c r="DS76" s="581" t="s">
        <v>133</v>
      </c>
      <c r="DT76" s="563"/>
    </row>
    <row r="77">
      <c r="A77" s="563"/>
      <c r="B77" s="709"/>
      <c r="C77" s="709"/>
      <c r="D77" s="709"/>
      <c r="E77" s="10"/>
      <c r="F77" s="709"/>
      <c r="G77" s="10"/>
      <c r="H77" s="709"/>
      <c r="I77" s="10"/>
      <c r="J77" s="709"/>
      <c r="K77" s="10"/>
      <c r="L77" s="709"/>
      <c r="M77" s="461"/>
      <c r="N77" s="10"/>
      <c r="O77" s="10"/>
      <c r="P77" s="10"/>
      <c r="Q77" s="570" t="str">
        <f>IFERROR(__xludf.DUMMYFUNCTION("IF(SUM(DB77:DS77),ARRAYFORMULA(FILTER(DB$1:DS$1, DB77:DS77=1)),)"),"Wall Health")</f>
        <v>Wall Health</v>
      </c>
      <c r="R77" s="571">
        <f>IFERROR(__xludf.DUMMYFUNCTION("IF(SUM(DB77:DS77),ARRAYFORMULA(FILTER(AW77:BN77, DB77:DS77=1))+1,)"),62.0)</f>
        <v>62</v>
      </c>
      <c r="S77" s="572">
        <f>IFERROR(__xludf.DUMMYFUNCTION("IF(SUM(DB77:DS77),ARRAYFORMULA(FILTER(AD77:AU77, DB77:DS77=1)),)"),8.031E13)</f>
        <v>80310000000000</v>
      </c>
      <c r="T77" s="572">
        <f t="shared" si="26"/>
        <v>1.57001E+16</v>
      </c>
      <c r="U77" s="573" t="str">
        <f t="shared" ref="U77:V77" si="247">FORMAT_NUMBER(S77)</f>
        <v>80.31 T</v>
      </c>
      <c r="V77" s="574" t="str">
        <f t="shared" si="247"/>
        <v>15.7 q</v>
      </c>
      <c r="W77" s="677"/>
      <c r="X77" s="709"/>
      <c r="Y77" s="709"/>
      <c r="Z77" s="709"/>
      <c r="AA77" s="709"/>
      <c r="AB77" s="712"/>
      <c r="AC77" s="461"/>
      <c r="AD77" s="580">
        <f t="shared" ref="AD77:AU77" si="248">IFERROR(WSPCOST_SINGLE_ADJUSTED(AD$1,1+AW77),)</f>
        <v>37110000000000</v>
      </c>
      <c r="AE77" s="252">
        <f t="shared" si="248"/>
        <v>82420000000</v>
      </c>
      <c r="AF77" s="252">
        <f t="shared" si="248"/>
        <v>69650000000000</v>
      </c>
      <c r="AG77" s="252">
        <f t="shared" si="248"/>
        <v>21210000000</v>
      </c>
      <c r="AH77" s="252">
        <f t="shared" si="248"/>
        <v>43890000000000</v>
      </c>
      <c r="AI77" s="252">
        <f t="shared" si="248"/>
        <v>47710000000000</v>
      </c>
      <c r="AJ77" s="390">
        <f t="shared" si="248"/>
        <v>297430000000000</v>
      </c>
      <c r="AK77" s="390">
        <f t="shared" si="248"/>
        <v>580270000000000</v>
      </c>
      <c r="AL77" s="390">
        <f t="shared" si="248"/>
        <v>5000000000</v>
      </c>
      <c r="AM77" s="390">
        <f t="shared" si="248"/>
        <v>33950000000</v>
      </c>
      <c r="AN77" s="390">
        <f t="shared" si="248"/>
        <v>80310000000000</v>
      </c>
      <c r="AO77" s="390">
        <f t="shared" si="248"/>
        <v>22020000000000</v>
      </c>
      <c r="AP77" s="469">
        <f t="shared" si="248"/>
        <v>153100000000000</v>
      </c>
      <c r="AQ77" s="469">
        <f t="shared" si="248"/>
        <v>1.3E+15</v>
      </c>
      <c r="AR77" s="469">
        <f t="shared" si="248"/>
        <v>1.3E+15</v>
      </c>
      <c r="AS77" s="469">
        <f t="shared" si="248"/>
        <v>420490000000000</v>
      </c>
      <c r="AT77" s="469">
        <f t="shared" si="248"/>
        <v>3990000000000</v>
      </c>
      <c r="AU77" s="581">
        <f t="shared" si="248"/>
        <v>1.14E+15</v>
      </c>
      <c r="AV77" s="461"/>
      <c r="AW77" s="580">
        <f t="shared" ref="AW77:BN77" si="249">AW76+DB76</f>
        <v>56</v>
      </c>
      <c r="AX77" s="252">
        <f t="shared" si="249"/>
        <v>21</v>
      </c>
      <c r="AY77" s="252">
        <f t="shared" si="249"/>
        <v>60</v>
      </c>
      <c r="AZ77" s="252">
        <f t="shared" si="249"/>
        <v>17</v>
      </c>
      <c r="BA77" s="252">
        <f t="shared" si="249"/>
        <v>57</v>
      </c>
      <c r="BB77" s="252">
        <f t="shared" si="249"/>
        <v>13</v>
      </c>
      <c r="BC77" s="390">
        <f t="shared" si="249"/>
        <v>72</v>
      </c>
      <c r="BD77" s="390">
        <f t="shared" si="249"/>
        <v>79</v>
      </c>
      <c r="BE77" s="390">
        <f t="shared" si="249"/>
        <v>0</v>
      </c>
      <c r="BF77" s="390">
        <f t="shared" si="249"/>
        <v>18</v>
      </c>
      <c r="BG77" s="390">
        <f t="shared" si="249"/>
        <v>61</v>
      </c>
      <c r="BH77" s="390">
        <f t="shared" si="249"/>
        <v>20</v>
      </c>
      <c r="BI77" s="469">
        <f t="shared" si="249"/>
        <v>66</v>
      </c>
      <c r="BJ77" s="469">
        <f t="shared" si="249"/>
        <v>37</v>
      </c>
      <c r="BK77" s="469">
        <f t="shared" si="249"/>
        <v>37</v>
      </c>
      <c r="BL77" s="469">
        <f t="shared" si="249"/>
        <v>18</v>
      </c>
      <c r="BM77" s="469">
        <f t="shared" si="249"/>
        <v>42</v>
      </c>
      <c r="BN77" s="581">
        <f t="shared" si="249"/>
        <v>15</v>
      </c>
      <c r="BO77" s="461"/>
      <c r="BP77" s="580">
        <f t="shared" si="8"/>
        <v>37110000000000</v>
      </c>
      <c r="BQ77" s="252" t="str">
        <f t="shared" si="9"/>
        <v/>
      </c>
      <c r="BR77" s="252">
        <f t="shared" si="10"/>
        <v>69650000000000</v>
      </c>
      <c r="BS77" s="252" t="str">
        <f t="shared" si="11"/>
        <v/>
      </c>
      <c r="BT77" s="252" t="str">
        <f t="shared" si="12"/>
        <v/>
      </c>
      <c r="BU77" s="252">
        <f t="shared" si="13"/>
        <v>47710000000000</v>
      </c>
      <c r="BV77" s="390" t="str">
        <f t="shared" si="14"/>
        <v/>
      </c>
      <c r="BW77" s="390" t="str">
        <f t="shared" si="15"/>
        <v/>
      </c>
      <c r="BX77" s="390" t="str">
        <f t="shared" si="16"/>
        <v/>
      </c>
      <c r="BY77" s="390" t="str">
        <f t="shared" si="17"/>
        <v/>
      </c>
      <c r="BZ77" s="390">
        <f t="shared" si="18"/>
        <v>80310000000000</v>
      </c>
      <c r="CA77" s="390">
        <f t="shared" si="19"/>
        <v>22020000000000</v>
      </c>
      <c r="CB77" s="469" t="str">
        <f t="shared" si="20"/>
        <v/>
      </c>
      <c r="CC77" s="469" t="str">
        <f t="shared" si="21"/>
        <v/>
      </c>
      <c r="CD77" s="469" t="str">
        <f t="shared" si="22"/>
        <v/>
      </c>
      <c r="CE77" s="469" t="str">
        <f t="shared" si="23"/>
        <v/>
      </c>
      <c r="CF77" s="469" t="str">
        <f t="shared" si="24"/>
        <v/>
      </c>
      <c r="CG77" s="581" t="str">
        <f t="shared" si="25"/>
        <v/>
      </c>
      <c r="CH77" s="461"/>
      <c r="CI77" s="580" t="str">
        <f t="array" ref="CI77">LET(
array,SORT({$Y$2:$AB$19,TRANSPOSE($BP77:$CG77)},4,TRUE),
col,CHOOSECOLS(array,5),
row,MATCH(FALSE, ISBLANK(col), 0),
IF(BP77=SWITCH($AA$22,
"minimum cost", MIN($BP77:$CG77),
"maximum cost", MAX($BP77:$CG77), 
"custom order", IF(CI$1=INDEX(array, row,1),INDEX(array, row,5),"x"))
,1,))</f>
        <v/>
      </c>
      <c r="CJ77" s="252" t="str">
        <f t="array" ref="CJ77">LET(
array,SORT({$Y$2:$AB$19,TRANSPOSE($BP77:$CG77)},4,TRUE),
col,CHOOSECOLS(array,5),
row,MATCH(FALSE, ISBLANK(col), 0),
IF(BQ77=SWITCH($AA$22,
"minimum cost", MIN($BP77:$CG77),
"maximum cost", MAX($BP77:$CG77), 
"custom order", IF(CJ$1=INDEX(array, row,1),INDEX(array, row,5),"x"))
,1,))</f>
        <v/>
      </c>
      <c r="CK77" s="252" t="str">
        <f t="array" ref="CK77">LET(
array,SORT({$Y$2:$AB$19,TRANSPOSE($BP77:$CG77)},4,TRUE),
col,CHOOSECOLS(array,5),
row,MATCH(FALSE, ISBLANK(col), 0),
IF(BR77=SWITCH($AA$22,
"minimum cost", MIN($BP77:$CG77),
"maximum cost", MAX($BP77:$CG77), 
"custom order", IF(CK$1=INDEX(array, row,1),INDEX(array, row,5),"x"))
,1,))</f>
        <v/>
      </c>
      <c r="CL77" s="252" t="str">
        <f t="array" ref="CL77">LET(
array,SORT({$Y$2:$AB$19,TRANSPOSE($BP77:$CG77)},4,TRUE),
col,CHOOSECOLS(array,5),
row,MATCH(FALSE, ISBLANK(col), 0),
IF(BS77=SWITCH($AA$22,
"minimum cost", MIN($BP77:$CG77),
"maximum cost", MAX($BP77:$CG77), 
"custom order", IF(CL$1=INDEX(array, row,1),INDEX(array, row,5),"x"))
,1,))</f>
        <v/>
      </c>
      <c r="CM77" s="252" t="str">
        <f t="array" ref="CM77">LET(
array,SORT({$Y$2:$AB$19,TRANSPOSE($BP77:$CG77)},4,TRUE),
col,CHOOSECOLS(array,5),
row,MATCH(FALSE, ISBLANK(col), 0),
IF(BT77=SWITCH($AA$22,
"minimum cost", MIN($BP77:$CG77),
"maximum cost", MAX($BP77:$CG77), 
"custom order", IF(CM$1=INDEX(array, row,1),INDEX(array, row,5),"x"))
,1,))</f>
        <v/>
      </c>
      <c r="CN77" s="252" t="str">
        <f t="array" ref="CN77">LET(
array,SORT({$Y$2:$AB$19,TRANSPOSE($BP77:$CG77)},4,TRUE),
col,CHOOSECOLS(array,5),
row,MATCH(FALSE, ISBLANK(col), 0),
IF(BU77=SWITCH($AA$22,
"minimum cost", MIN($BP77:$CG77),
"maximum cost", MAX($BP77:$CG77), 
"custom order", IF(CN$1=INDEX(array, row,1),INDEX(array, row,5),"x"))
,1,))</f>
        <v/>
      </c>
      <c r="CO77" s="390" t="str">
        <f t="array" ref="CO77">LET(
array,SORT({$Y$2:$AB$19,TRANSPOSE($BP77:$CG77)},4,TRUE),
col,CHOOSECOLS(array,5),
row,MATCH(FALSE, ISBLANK(col), 0),
IF(BV77=SWITCH($AA$22,
"minimum cost", MIN($BP77:$CG77),
"maximum cost", MAX($BP77:$CG77), 
"custom order", IF(CO$1=INDEX(array, row,1),INDEX(array, row,5),"x"))
,1,))</f>
        <v/>
      </c>
      <c r="CP77" s="390" t="str">
        <f t="array" ref="CP77">LET(
array,SORT({$Y$2:$AB$19,TRANSPOSE($BP77:$CG77)},4,TRUE),
col,CHOOSECOLS(array,5),
row,MATCH(FALSE, ISBLANK(col), 0),
IF(BW77=SWITCH($AA$22,
"minimum cost", MIN($BP77:$CG77),
"maximum cost", MAX($BP77:$CG77), 
"custom order", IF(CP$1=INDEX(array, row,1),INDEX(array, row,5),"x"))
,1,))</f>
        <v/>
      </c>
      <c r="CQ77" s="390" t="str">
        <f t="array" ref="CQ77">LET(
array,SORT({$Y$2:$AB$19,TRANSPOSE($BP77:$CG77)},4,TRUE),
col,CHOOSECOLS(array,5),
row,MATCH(FALSE, ISBLANK(col), 0),
IF(BX77=SWITCH($AA$22,
"minimum cost", MIN($BP77:$CG77),
"maximum cost", MAX($BP77:$CG77), 
"custom order", IF(CQ$1=INDEX(array, row,1),INDEX(array, row,5),"x"))
,1,))</f>
        <v/>
      </c>
      <c r="CR77" s="390" t="str">
        <f t="array" ref="CR77">LET(
array,SORT({$Y$2:$AB$19,TRANSPOSE($BP77:$CG77)},4,TRUE),
col,CHOOSECOLS(array,5),
row,MATCH(FALSE, ISBLANK(col), 0),
IF(BY77=SWITCH($AA$22,
"minimum cost", MIN($BP77:$CG77),
"maximum cost", MAX($BP77:$CG77), 
"custom order", IF(CR$1=INDEX(array, row,1),INDEX(array, row,5),"x"))
,1,))</f>
        <v/>
      </c>
      <c r="CS77" s="390">
        <f t="array" ref="CS77">LET(
array,SORT({$Y$2:$AB$19,TRANSPOSE($BP77:$CG77)},4,TRUE),
col,CHOOSECOLS(array,5),
row,MATCH(FALSE, ISBLANK(col), 0),
IF(BZ77=SWITCH($AA$22,
"minimum cost", MIN($BP77:$CG77),
"maximum cost", MAX($BP77:$CG77), 
"custom order", IF(CS$1=INDEX(array, row,1),INDEX(array, row,5),"x"))
,1,))</f>
        <v>1</v>
      </c>
      <c r="CT77" s="390" t="str">
        <f t="array" ref="CT77">LET(
array,SORT({$Y$2:$AB$19,TRANSPOSE($BP77:$CG77)},4,TRUE),
col,CHOOSECOLS(array,5),
row,MATCH(FALSE, ISBLANK(col), 0),
IF(CA77=SWITCH($AA$22,
"minimum cost", MIN($BP77:$CG77),
"maximum cost", MAX($BP77:$CG77), 
"custom order", IF(CT$1=INDEX(array, row,1),INDEX(array, row,5),"x"))
,1,))</f>
        <v/>
      </c>
      <c r="CU77" s="469" t="str">
        <f t="array" ref="CU77">LET(
array,SORT({$Y$2:$AB$19,TRANSPOSE($BP77:$CG77)},4,TRUE),
col,CHOOSECOLS(array,5),
row,MATCH(FALSE, ISBLANK(col), 0),
IF(CB77=SWITCH($AA$22,
"minimum cost", MIN($BP77:$CG77),
"maximum cost", MAX($BP77:$CG77), 
"custom order", IF(CU$1=INDEX(array, row,1),INDEX(array, row,5),"x"))
,1,))</f>
        <v/>
      </c>
      <c r="CV77" s="469" t="str">
        <f t="array" ref="CV77">LET(
array,SORT({$Y$2:$AB$19,TRANSPOSE($BP77:$CG77)},4,TRUE),
col,CHOOSECOLS(array,5),
row,MATCH(FALSE, ISBLANK(col), 0),
IF(CC77=SWITCH($AA$22,
"minimum cost", MIN($BP77:$CG77),
"maximum cost", MAX($BP77:$CG77), 
"custom order", IF(CV$1=INDEX(array, row,1),INDEX(array, row,5),"x"))
,1,))</f>
        <v/>
      </c>
      <c r="CW77" s="469" t="str">
        <f t="array" ref="CW77">LET(
array,SORT({$Y$2:$AB$19,TRANSPOSE($BP77:$CG77)},4,TRUE),
col,CHOOSECOLS(array,5),
row,MATCH(FALSE, ISBLANK(col), 0),
IF(CD77=SWITCH($AA$22,
"minimum cost", MIN($BP77:$CG77),
"maximum cost", MAX($BP77:$CG77), 
"custom order", IF(CW$1=INDEX(array, row,1),INDEX(array, row,5),"x"))
,1,))</f>
        <v/>
      </c>
      <c r="CX77" s="469" t="str">
        <f t="array" ref="CX77">LET(
array,SORT({$Y$2:$AB$19,TRANSPOSE($BP77:$CG77)},4,TRUE),
col,CHOOSECOLS(array,5),
row,MATCH(FALSE, ISBLANK(col), 0),
IF(CE77=SWITCH($AA$22,
"minimum cost", MIN($BP77:$CG77),
"maximum cost", MAX($BP77:$CG77), 
"custom order", IF(CX$1=INDEX(array, row,1),INDEX(array, row,5),"x"))
,1,))</f>
        <v/>
      </c>
      <c r="CY77" s="469" t="str">
        <f t="array" ref="CY77">LET(
array,SORT({$Y$2:$AB$19,TRANSPOSE($BP77:$CG77)},4,TRUE),
col,CHOOSECOLS(array,5),
row,MATCH(FALSE, ISBLANK(col), 0),
IF(CF77=SWITCH($AA$22,
"minimum cost", MIN($BP77:$CG77),
"maximum cost", MAX($BP77:$CG77), 
"custom order", IF(CY$1=INDEX(array, row,1),INDEX(array, row,5),"x"))
,1,))</f>
        <v/>
      </c>
      <c r="CZ77" s="581" t="str">
        <f t="array" ref="CZ77">LET(
array,SORT({$Y$2:$AB$19,TRANSPOSE($BP77:$CG77)},4,TRUE),
col,CHOOSECOLS(array,5),
row,MATCH(FALSE, ISBLANK(col), 0),
IF(CG77=SWITCH($AA$22,
"minimum cost", MIN($BP77:$CG77),
"maximum cost", MAX($BP77:$CG77), 
"custom order", IF(CZ$1=INDEX(array, row,1),INDEX(array, row,5),"x"))
,1,))</f>
        <v/>
      </c>
      <c r="DA77" s="461"/>
      <c r="DB77" s="580" t="str">
        <f t="array" ref="DB77:DS77">IF(MATCH(1, CI77:CZ77, 0)=COLUMN(CI77:CZ77)-COLUMN(CI77)+1, CI77:CZ77, "")</f>
        <v/>
      </c>
      <c r="DC77" s="252" t="s">
        <v>133</v>
      </c>
      <c r="DD77" s="252" t="s">
        <v>133</v>
      </c>
      <c r="DE77" s="252" t="s">
        <v>133</v>
      </c>
      <c r="DF77" s="252" t="s">
        <v>133</v>
      </c>
      <c r="DG77" s="252" t="s">
        <v>133</v>
      </c>
      <c r="DH77" s="390" t="s">
        <v>133</v>
      </c>
      <c r="DI77" s="390" t="s">
        <v>133</v>
      </c>
      <c r="DJ77" s="390" t="s">
        <v>133</v>
      </c>
      <c r="DK77" s="390" t="s">
        <v>133</v>
      </c>
      <c r="DL77" s="390">
        <v>1.0</v>
      </c>
      <c r="DM77" s="390" t="s">
        <v>133</v>
      </c>
      <c r="DN77" s="469" t="s">
        <v>133</v>
      </c>
      <c r="DO77" s="469" t="s">
        <v>133</v>
      </c>
      <c r="DP77" s="469" t="s">
        <v>133</v>
      </c>
      <c r="DQ77" s="469" t="s">
        <v>133</v>
      </c>
      <c r="DR77" s="469" t="s">
        <v>133</v>
      </c>
      <c r="DS77" s="581" t="s">
        <v>133</v>
      </c>
      <c r="DT77" s="563"/>
    </row>
    <row r="78">
      <c r="A78" s="563"/>
      <c r="B78" s="709"/>
      <c r="C78" s="709"/>
      <c r="D78" s="709"/>
      <c r="E78" s="10"/>
      <c r="F78" s="709"/>
      <c r="G78" s="10"/>
      <c r="H78" s="709"/>
      <c r="I78" s="10"/>
      <c r="J78" s="709"/>
      <c r="K78" s="10"/>
      <c r="L78" s="709"/>
      <c r="M78" s="461"/>
      <c r="N78" s="10"/>
      <c r="O78" s="10"/>
      <c r="P78" s="10"/>
      <c r="Q78" s="570" t="str">
        <f>IFERROR(__xludf.DUMMYFUNCTION("IF(SUM(DB78:DS78),ARRAYFORMULA(FILTER(DB$1:DS$1, DB78:DS78=1)),)"),"Wall Health")</f>
        <v>Wall Health</v>
      </c>
      <c r="R78" s="571">
        <f>IFERROR(__xludf.DUMMYFUNCTION("IF(SUM(DB78:DS78),ARRAYFORMULA(FILTER(AW78:BN78, DB78:DS78=1))+1,)"),63.0)</f>
        <v>63</v>
      </c>
      <c r="S78" s="572">
        <f>IFERROR(__xludf.DUMMYFUNCTION("IF(SUM(DB78:DS78),ARRAYFORMULA(FILTER(AD78:AU78, DB78:DS78=1)),)"),9.214E13)</f>
        <v>92140000000000</v>
      </c>
      <c r="T78" s="572">
        <f t="shared" si="26"/>
        <v>1.57923E+16</v>
      </c>
      <c r="U78" s="573" t="str">
        <f t="shared" ref="U78:V78" si="250">FORMAT_NUMBER(S78)</f>
        <v>92.14 T</v>
      </c>
      <c r="V78" s="574" t="str">
        <f t="shared" si="250"/>
        <v>15.79 q</v>
      </c>
      <c r="W78" s="677"/>
      <c r="X78" s="709"/>
      <c r="Y78" s="709"/>
      <c r="Z78" s="709"/>
      <c r="AA78" s="709"/>
      <c r="AB78" s="712"/>
      <c r="AC78" s="461"/>
      <c r="AD78" s="580">
        <f t="shared" ref="AD78:AU78" si="251">IFERROR(WSPCOST_SINGLE_ADJUSTED(AD$1,1+AW78),)</f>
        <v>37110000000000</v>
      </c>
      <c r="AE78" s="252">
        <f t="shared" si="251"/>
        <v>82420000000</v>
      </c>
      <c r="AF78" s="252">
        <f t="shared" si="251"/>
        <v>69650000000000</v>
      </c>
      <c r="AG78" s="252">
        <f t="shared" si="251"/>
        <v>21210000000</v>
      </c>
      <c r="AH78" s="252">
        <f t="shared" si="251"/>
        <v>43890000000000</v>
      </c>
      <c r="AI78" s="252">
        <f t="shared" si="251"/>
        <v>47710000000000</v>
      </c>
      <c r="AJ78" s="390">
        <f t="shared" si="251"/>
        <v>297430000000000</v>
      </c>
      <c r="AK78" s="390">
        <f t="shared" si="251"/>
        <v>580270000000000</v>
      </c>
      <c r="AL78" s="390">
        <f t="shared" si="251"/>
        <v>5000000000</v>
      </c>
      <c r="AM78" s="390">
        <f t="shared" si="251"/>
        <v>33950000000</v>
      </c>
      <c r="AN78" s="390">
        <f t="shared" si="251"/>
        <v>92140000000000</v>
      </c>
      <c r="AO78" s="390">
        <f t="shared" si="251"/>
        <v>22020000000000</v>
      </c>
      <c r="AP78" s="469">
        <f t="shared" si="251"/>
        <v>153100000000000</v>
      </c>
      <c r="AQ78" s="469">
        <f t="shared" si="251"/>
        <v>1.3E+15</v>
      </c>
      <c r="AR78" s="469">
        <f t="shared" si="251"/>
        <v>1.3E+15</v>
      </c>
      <c r="AS78" s="469">
        <f t="shared" si="251"/>
        <v>420490000000000</v>
      </c>
      <c r="AT78" s="469">
        <f t="shared" si="251"/>
        <v>3990000000000</v>
      </c>
      <c r="AU78" s="581">
        <f t="shared" si="251"/>
        <v>1.14E+15</v>
      </c>
      <c r="AV78" s="461"/>
      <c r="AW78" s="580">
        <f t="shared" ref="AW78:BN78" si="252">AW77+DB77</f>
        <v>56</v>
      </c>
      <c r="AX78" s="252">
        <f t="shared" si="252"/>
        <v>21</v>
      </c>
      <c r="AY78" s="252">
        <f t="shared" si="252"/>
        <v>60</v>
      </c>
      <c r="AZ78" s="252">
        <f t="shared" si="252"/>
        <v>17</v>
      </c>
      <c r="BA78" s="252">
        <f t="shared" si="252"/>
        <v>57</v>
      </c>
      <c r="BB78" s="252">
        <f t="shared" si="252"/>
        <v>13</v>
      </c>
      <c r="BC78" s="390">
        <f t="shared" si="252"/>
        <v>72</v>
      </c>
      <c r="BD78" s="390">
        <f t="shared" si="252"/>
        <v>79</v>
      </c>
      <c r="BE78" s="390">
        <f t="shared" si="252"/>
        <v>0</v>
      </c>
      <c r="BF78" s="390">
        <f t="shared" si="252"/>
        <v>18</v>
      </c>
      <c r="BG78" s="390">
        <f t="shared" si="252"/>
        <v>62</v>
      </c>
      <c r="BH78" s="390">
        <f t="shared" si="252"/>
        <v>20</v>
      </c>
      <c r="BI78" s="469">
        <f t="shared" si="252"/>
        <v>66</v>
      </c>
      <c r="BJ78" s="469">
        <f t="shared" si="252"/>
        <v>37</v>
      </c>
      <c r="BK78" s="469">
        <f t="shared" si="252"/>
        <v>37</v>
      </c>
      <c r="BL78" s="469">
        <f t="shared" si="252"/>
        <v>18</v>
      </c>
      <c r="BM78" s="469">
        <f t="shared" si="252"/>
        <v>42</v>
      </c>
      <c r="BN78" s="581">
        <f t="shared" si="252"/>
        <v>15</v>
      </c>
      <c r="BO78" s="461"/>
      <c r="BP78" s="580">
        <f t="shared" si="8"/>
        <v>37110000000000</v>
      </c>
      <c r="BQ78" s="252" t="str">
        <f t="shared" si="9"/>
        <v/>
      </c>
      <c r="BR78" s="252">
        <f t="shared" si="10"/>
        <v>69650000000000</v>
      </c>
      <c r="BS78" s="252" t="str">
        <f t="shared" si="11"/>
        <v/>
      </c>
      <c r="BT78" s="252" t="str">
        <f t="shared" si="12"/>
        <v/>
      </c>
      <c r="BU78" s="252">
        <f t="shared" si="13"/>
        <v>47710000000000</v>
      </c>
      <c r="BV78" s="390" t="str">
        <f t="shared" si="14"/>
        <v/>
      </c>
      <c r="BW78" s="390" t="str">
        <f t="shared" si="15"/>
        <v/>
      </c>
      <c r="BX78" s="390" t="str">
        <f t="shared" si="16"/>
        <v/>
      </c>
      <c r="BY78" s="390" t="str">
        <f t="shared" si="17"/>
        <v/>
      </c>
      <c r="BZ78" s="390">
        <f t="shared" si="18"/>
        <v>92140000000000</v>
      </c>
      <c r="CA78" s="390">
        <f t="shared" si="19"/>
        <v>22020000000000</v>
      </c>
      <c r="CB78" s="469" t="str">
        <f t="shared" si="20"/>
        <v/>
      </c>
      <c r="CC78" s="469" t="str">
        <f t="shared" si="21"/>
        <v/>
      </c>
      <c r="CD78" s="469" t="str">
        <f t="shared" si="22"/>
        <v/>
      </c>
      <c r="CE78" s="469" t="str">
        <f t="shared" si="23"/>
        <v/>
      </c>
      <c r="CF78" s="469" t="str">
        <f t="shared" si="24"/>
        <v/>
      </c>
      <c r="CG78" s="581" t="str">
        <f t="shared" si="25"/>
        <v/>
      </c>
      <c r="CH78" s="461"/>
      <c r="CI78" s="580" t="str">
        <f t="array" ref="CI78">LET(
array,SORT({$Y$2:$AB$19,TRANSPOSE($BP78:$CG78)},4,TRUE),
col,CHOOSECOLS(array,5),
row,MATCH(FALSE, ISBLANK(col), 0),
IF(BP78=SWITCH($AA$22,
"minimum cost", MIN($BP78:$CG78),
"maximum cost", MAX($BP78:$CG78), 
"custom order", IF(CI$1=INDEX(array, row,1),INDEX(array, row,5),"x"))
,1,))</f>
        <v/>
      </c>
      <c r="CJ78" s="252" t="str">
        <f t="array" ref="CJ78">LET(
array,SORT({$Y$2:$AB$19,TRANSPOSE($BP78:$CG78)},4,TRUE),
col,CHOOSECOLS(array,5),
row,MATCH(FALSE, ISBLANK(col), 0),
IF(BQ78=SWITCH($AA$22,
"minimum cost", MIN($BP78:$CG78),
"maximum cost", MAX($BP78:$CG78), 
"custom order", IF(CJ$1=INDEX(array, row,1),INDEX(array, row,5),"x"))
,1,))</f>
        <v/>
      </c>
      <c r="CK78" s="252" t="str">
        <f t="array" ref="CK78">LET(
array,SORT({$Y$2:$AB$19,TRANSPOSE($BP78:$CG78)},4,TRUE),
col,CHOOSECOLS(array,5),
row,MATCH(FALSE, ISBLANK(col), 0),
IF(BR78=SWITCH($AA$22,
"minimum cost", MIN($BP78:$CG78),
"maximum cost", MAX($BP78:$CG78), 
"custom order", IF(CK$1=INDEX(array, row,1),INDEX(array, row,5),"x"))
,1,))</f>
        <v/>
      </c>
      <c r="CL78" s="252" t="str">
        <f t="array" ref="CL78">LET(
array,SORT({$Y$2:$AB$19,TRANSPOSE($BP78:$CG78)},4,TRUE),
col,CHOOSECOLS(array,5),
row,MATCH(FALSE, ISBLANK(col), 0),
IF(BS78=SWITCH($AA$22,
"minimum cost", MIN($BP78:$CG78),
"maximum cost", MAX($BP78:$CG78), 
"custom order", IF(CL$1=INDEX(array, row,1),INDEX(array, row,5),"x"))
,1,))</f>
        <v/>
      </c>
      <c r="CM78" s="252" t="str">
        <f t="array" ref="CM78">LET(
array,SORT({$Y$2:$AB$19,TRANSPOSE($BP78:$CG78)},4,TRUE),
col,CHOOSECOLS(array,5),
row,MATCH(FALSE, ISBLANK(col), 0),
IF(BT78=SWITCH($AA$22,
"minimum cost", MIN($BP78:$CG78),
"maximum cost", MAX($BP78:$CG78), 
"custom order", IF(CM$1=INDEX(array, row,1),INDEX(array, row,5),"x"))
,1,))</f>
        <v/>
      </c>
      <c r="CN78" s="252" t="str">
        <f t="array" ref="CN78">LET(
array,SORT({$Y$2:$AB$19,TRANSPOSE($BP78:$CG78)},4,TRUE),
col,CHOOSECOLS(array,5),
row,MATCH(FALSE, ISBLANK(col), 0),
IF(BU78=SWITCH($AA$22,
"minimum cost", MIN($BP78:$CG78),
"maximum cost", MAX($BP78:$CG78), 
"custom order", IF(CN$1=INDEX(array, row,1),INDEX(array, row,5),"x"))
,1,))</f>
        <v/>
      </c>
      <c r="CO78" s="390" t="str">
        <f t="array" ref="CO78">LET(
array,SORT({$Y$2:$AB$19,TRANSPOSE($BP78:$CG78)},4,TRUE),
col,CHOOSECOLS(array,5),
row,MATCH(FALSE, ISBLANK(col), 0),
IF(BV78=SWITCH($AA$22,
"minimum cost", MIN($BP78:$CG78),
"maximum cost", MAX($BP78:$CG78), 
"custom order", IF(CO$1=INDEX(array, row,1),INDEX(array, row,5),"x"))
,1,))</f>
        <v/>
      </c>
      <c r="CP78" s="390" t="str">
        <f t="array" ref="CP78">LET(
array,SORT({$Y$2:$AB$19,TRANSPOSE($BP78:$CG78)},4,TRUE),
col,CHOOSECOLS(array,5),
row,MATCH(FALSE, ISBLANK(col), 0),
IF(BW78=SWITCH($AA$22,
"minimum cost", MIN($BP78:$CG78),
"maximum cost", MAX($BP78:$CG78), 
"custom order", IF(CP$1=INDEX(array, row,1),INDEX(array, row,5),"x"))
,1,))</f>
        <v/>
      </c>
      <c r="CQ78" s="390" t="str">
        <f t="array" ref="CQ78">LET(
array,SORT({$Y$2:$AB$19,TRANSPOSE($BP78:$CG78)},4,TRUE),
col,CHOOSECOLS(array,5),
row,MATCH(FALSE, ISBLANK(col), 0),
IF(BX78=SWITCH($AA$22,
"minimum cost", MIN($BP78:$CG78),
"maximum cost", MAX($BP78:$CG78), 
"custom order", IF(CQ$1=INDEX(array, row,1),INDEX(array, row,5),"x"))
,1,))</f>
        <v/>
      </c>
      <c r="CR78" s="390" t="str">
        <f t="array" ref="CR78">LET(
array,SORT({$Y$2:$AB$19,TRANSPOSE($BP78:$CG78)},4,TRUE),
col,CHOOSECOLS(array,5),
row,MATCH(FALSE, ISBLANK(col), 0),
IF(BY78=SWITCH($AA$22,
"minimum cost", MIN($BP78:$CG78),
"maximum cost", MAX($BP78:$CG78), 
"custom order", IF(CR$1=INDEX(array, row,1),INDEX(array, row,5),"x"))
,1,))</f>
        <v/>
      </c>
      <c r="CS78" s="390">
        <f t="array" ref="CS78">LET(
array,SORT({$Y$2:$AB$19,TRANSPOSE($BP78:$CG78)},4,TRUE),
col,CHOOSECOLS(array,5),
row,MATCH(FALSE, ISBLANK(col), 0),
IF(BZ78=SWITCH($AA$22,
"minimum cost", MIN($BP78:$CG78),
"maximum cost", MAX($BP78:$CG78), 
"custom order", IF(CS$1=INDEX(array, row,1),INDEX(array, row,5),"x"))
,1,))</f>
        <v>1</v>
      </c>
      <c r="CT78" s="390" t="str">
        <f t="array" ref="CT78">LET(
array,SORT({$Y$2:$AB$19,TRANSPOSE($BP78:$CG78)},4,TRUE),
col,CHOOSECOLS(array,5),
row,MATCH(FALSE, ISBLANK(col), 0),
IF(CA78=SWITCH($AA$22,
"minimum cost", MIN($BP78:$CG78),
"maximum cost", MAX($BP78:$CG78), 
"custom order", IF(CT$1=INDEX(array, row,1),INDEX(array, row,5),"x"))
,1,))</f>
        <v/>
      </c>
      <c r="CU78" s="469" t="str">
        <f t="array" ref="CU78">LET(
array,SORT({$Y$2:$AB$19,TRANSPOSE($BP78:$CG78)},4,TRUE),
col,CHOOSECOLS(array,5),
row,MATCH(FALSE, ISBLANK(col), 0),
IF(CB78=SWITCH($AA$22,
"minimum cost", MIN($BP78:$CG78),
"maximum cost", MAX($BP78:$CG78), 
"custom order", IF(CU$1=INDEX(array, row,1),INDEX(array, row,5),"x"))
,1,))</f>
        <v/>
      </c>
      <c r="CV78" s="469" t="str">
        <f t="array" ref="CV78">LET(
array,SORT({$Y$2:$AB$19,TRANSPOSE($BP78:$CG78)},4,TRUE),
col,CHOOSECOLS(array,5),
row,MATCH(FALSE, ISBLANK(col), 0),
IF(CC78=SWITCH($AA$22,
"minimum cost", MIN($BP78:$CG78),
"maximum cost", MAX($BP78:$CG78), 
"custom order", IF(CV$1=INDEX(array, row,1),INDEX(array, row,5),"x"))
,1,))</f>
        <v/>
      </c>
      <c r="CW78" s="469" t="str">
        <f t="array" ref="CW78">LET(
array,SORT({$Y$2:$AB$19,TRANSPOSE($BP78:$CG78)},4,TRUE),
col,CHOOSECOLS(array,5),
row,MATCH(FALSE, ISBLANK(col), 0),
IF(CD78=SWITCH($AA$22,
"minimum cost", MIN($BP78:$CG78),
"maximum cost", MAX($BP78:$CG78), 
"custom order", IF(CW$1=INDEX(array, row,1),INDEX(array, row,5),"x"))
,1,))</f>
        <v/>
      </c>
      <c r="CX78" s="469" t="str">
        <f t="array" ref="CX78">LET(
array,SORT({$Y$2:$AB$19,TRANSPOSE($BP78:$CG78)},4,TRUE),
col,CHOOSECOLS(array,5),
row,MATCH(FALSE, ISBLANK(col), 0),
IF(CE78=SWITCH($AA$22,
"minimum cost", MIN($BP78:$CG78),
"maximum cost", MAX($BP78:$CG78), 
"custom order", IF(CX$1=INDEX(array, row,1),INDEX(array, row,5),"x"))
,1,))</f>
        <v/>
      </c>
      <c r="CY78" s="469" t="str">
        <f t="array" ref="CY78">LET(
array,SORT({$Y$2:$AB$19,TRANSPOSE($BP78:$CG78)},4,TRUE),
col,CHOOSECOLS(array,5),
row,MATCH(FALSE, ISBLANK(col), 0),
IF(CF78=SWITCH($AA$22,
"minimum cost", MIN($BP78:$CG78),
"maximum cost", MAX($BP78:$CG78), 
"custom order", IF(CY$1=INDEX(array, row,1),INDEX(array, row,5),"x"))
,1,))</f>
        <v/>
      </c>
      <c r="CZ78" s="581" t="str">
        <f t="array" ref="CZ78">LET(
array,SORT({$Y$2:$AB$19,TRANSPOSE($BP78:$CG78)},4,TRUE),
col,CHOOSECOLS(array,5),
row,MATCH(FALSE, ISBLANK(col), 0),
IF(CG78=SWITCH($AA$22,
"minimum cost", MIN($BP78:$CG78),
"maximum cost", MAX($BP78:$CG78), 
"custom order", IF(CZ$1=INDEX(array, row,1),INDEX(array, row,5),"x"))
,1,))</f>
        <v/>
      </c>
      <c r="DA78" s="461"/>
      <c r="DB78" s="580" t="str">
        <f t="array" ref="DB78:DS78">IF(MATCH(1, CI78:CZ78, 0)=COLUMN(CI78:CZ78)-COLUMN(CI78)+1, CI78:CZ78, "")</f>
        <v/>
      </c>
      <c r="DC78" s="252" t="s">
        <v>133</v>
      </c>
      <c r="DD78" s="252" t="s">
        <v>133</v>
      </c>
      <c r="DE78" s="252" t="s">
        <v>133</v>
      </c>
      <c r="DF78" s="252" t="s">
        <v>133</v>
      </c>
      <c r="DG78" s="252" t="s">
        <v>133</v>
      </c>
      <c r="DH78" s="390" t="s">
        <v>133</v>
      </c>
      <c r="DI78" s="390" t="s">
        <v>133</v>
      </c>
      <c r="DJ78" s="390" t="s">
        <v>133</v>
      </c>
      <c r="DK78" s="390" t="s">
        <v>133</v>
      </c>
      <c r="DL78" s="390">
        <v>1.0</v>
      </c>
      <c r="DM78" s="390" t="s">
        <v>133</v>
      </c>
      <c r="DN78" s="469" t="s">
        <v>133</v>
      </c>
      <c r="DO78" s="469" t="s">
        <v>133</v>
      </c>
      <c r="DP78" s="469" t="s">
        <v>133</v>
      </c>
      <c r="DQ78" s="469" t="s">
        <v>133</v>
      </c>
      <c r="DR78" s="469" t="s">
        <v>133</v>
      </c>
      <c r="DS78" s="581" t="s">
        <v>133</v>
      </c>
      <c r="DT78" s="563"/>
    </row>
    <row r="79">
      <c r="A79" s="563"/>
      <c r="B79" s="709"/>
      <c r="C79" s="709"/>
      <c r="D79" s="709"/>
      <c r="E79" s="10"/>
      <c r="F79" s="709"/>
      <c r="G79" s="10"/>
      <c r="H79" s="709"/>
      <c r="I79" s="10"/>
      <c r="J79" s="709"/>
      <c r="K79" s="10"/>
      <c r="L79" s="709"/>
      <c r="M79" s="461"/>
      <c r="N79" s="10"/>
      <c r="O79" s="10"/>
      <c r="P79" s="10"/>
      <c r="Q79" s="570" t="str">
        <f>IFERROR(__xludf.DUMMYFUNCTION("IF(SUM(DB79:DS79),ARRAYFORMULA(FILTER(DB$1:DS$1, DB79:DS79=1)),)"),"Wall Health")</f>
        <v>Wall Health</v>
      </c>
      <c r="R79" s="571">
        <f>IFERROR(__xludf.DUMMYFUNCTION("IF(SUM(DB79:DS79),ARRAYFORMULA(FILTER(AW79:BN79, DB79:DS79=1))+1,)"),64.0)</f>
        <v>64</v>
      </c>
      <c r="S79" s="572">
        <f>IFERROR(__xludf.DUMMYFUNCTION("IF(SUM(DB79:DS79),ARRAYFORMULA(FILTER(AD79:AU79, DB79:DS79=1)),)"),1.0523E14)</f>
        <v>105230000000000</v>
      </c>
      <c r="T79" s="572">
        <f t="shared" si="26"/>
        <v>1.58975E+16</v>
      </c>
      <c r="U79" s="573" t="str">
        <f t="shared" ref="U79:V79" si="253">FORMAT_NUMBER(S79)</f>
        <v>105.23 T</v>
      </c>
      <c r="V79" s="574" t="str">
        <f t="shared" si="253"/>
        <v>15.9 q</v>
      </c>
      <c r="W79" s="677"/>
      <c r="X79" s="709"/>
      <c r="Y79" s="709"/>
      <c r="Z79" s="709"/>
      <c r="AA79" s="709"/>
      <c r="AB79" s="712"/>
      <c r="AC79" s="461"/>
      <c r="AD79" s="580">
        <f t="shared" ref="AD79:AU79" si="254">IFERROR(WSPCOST_SINGLE_ADJUSTED(AD$1,1+AW79),)</f>
        <v>37110000000000</v>
      </c>
      <c r="AE79" s="252">
        <f t="shared" si="254"/>
        <v>82420000000</v>
      </c>
      <c r="AF79" s="252">
        <f t="shared" si="254"/>
        <v>69650000000000</v>
      </c>
      <c r="AG79" s="252">
        <f t="shared" si="254"/>
        <v>21210000000</v>
      </c>
      <c r="AH79" s="252">
        <f t="shared" si="254"/>
        <v>43890000000000</v>
      </c>
      <c r="AI79" s="252">
        <f t="shared" si="254"/>
        <v>47710000000000</v>
      </c>
      <c r="AJ79" s="390">
        <f t="shared" si="254"/>
        <v>297430000000000</v>
      </c>
      <c r="AK79" s="390">
        <f t="shared" si="254"/>
        <v>580270000000000</v>
      </c>
      <c r="AL79" s="390">
        <f t="shared" si="254"/>
        <v>5000000000</v>
      </c>
      <c r="AM79" s="390">
        <f t="shared" si="254"/>
        <v>33950000000</v>
      </c>
      <c r="AN79" s="390">
        <f t="shared" si="254"/>
        <v>105230000000000</v>
      </c>
      <c r="AO79" s="390">
        <f t="shared" si="254"/>
        <v>22020000000000</v>
      </c>
      <c r="AP79" s="469">
        <f t="shared" si="254"/>
        <v>153100000000000</v>
      </c>
      <c r="AQ79" s="469">
        <f t="shared" si="254"/>
        <v>1.3E+15</v>
      </c>
      <c r="AR79" s="469">
        <f t="shared" si="254"/>
        <v>1.3E+15</v>
      </c>
      <c r="AS79" s="469">
        <f t="shared" si="254"/>
        <v>420490000000000</v>
      </c>
      <c r="AT79" s="469">
        <f t="shared" si="254"/>
        <v>3990000000000</v>
      </c>
      <c r="AU79" s="581">
        <f t="shared" si="254"/>
        <v>1.14E+15</v>
      </c>
      <c r="AV79" s="461"/>
      <c r="AW79" s="580">
        <f t="shared" ref="AW79:BN79" si="255">AW78+DB78</f>
        <v>56</v>
      </c>
      <c r="AX79" s="252">
        <f t="shared" si="255"/>
        <v>21</v>
      </c>
      <c r="AY79" s="252">
        <f t="shared" si="255"/>
        <v>60</v>
      </c>
      <c r="AZ79" s="252">
        <f t="shared" si="255"/>
        <v>17</v>
      </c>
      <c r="BA79" s="252">
        <f t="shared" si="255"/>
        <v>57</v>
      </c>
      <c r="BB79" s="252">
        <f t="shared" si="255"/>
        <v>13</v>
      </c>
      <c r="BC79" s="390">
        <f t="shared" si="255"/>
        <v>72</v>
      </c>
      <c r="BD79" s="390">
        <f t="shared" si="255"/>
        <v>79</v>
      </c>
      <c r="BE79" s="390">
        <f t="shared" si="255"/>
        <v>0</v>
      </c>
      <c r="BF79" s="390">
        <f t="shared" si="255"/>
        <v>18</v>
      </c>
      <c r="BG79" s="390">
        <f t="shared" si="255"/>
        <v>63</v>
      </c>
      <c r="BH79" s="390">
        <f t="shared" si="255"/>
        <v>20</v>
      </c>
      <c r="BI79" s="469">
        <f t="shared" si="255"/>
        <v>66</v>
      </c>
      <c r="BJ79" s="469">
        <f t="shared" si="255"/>
        <v>37</v>
      </c>
      <c r="BK79" s="469">
        <f t="shared" si="255"/>
        <v>37</v>
      </c>
      <c r="BL79" s="469">
        <f t="shared" si="255"/>
        <v>18</v>
      </c>
      <c r="BM79" s="469">
        <f t="shared" si="255"/>
        <v>42</v>
      </c>
      <c r="BN79" s="581">
        <f t="shared" si="255"/>
        <v>15</v>
      </c>
      <c r="BO79" s="461"/>
      <c r="BP79" s="580">
        <f t="shared" si="8"/>
        <v>37110000000000</v>
      </c>
      <c r="BQ79" s="252" t="str">
        <f t="shared" si="9"/>
        <v/>
      </c>
      <c r="BR79" s="252">
        <f t="shared" si="10"/>
        <v>69650000000000</v>
      </c>
      <c r="BS79" s="252" t="str">
        <f t="shared" si="11"/>
        <v/>
      </c>
      <c r="BT79" s="252" t="str">
        <f t="shared" si="12"/>
        <v/>
      </c>
      <c r="BU79" s="252">
        <f t="shared" si="13"/>
        <v>47710000000000</v>
      </c>
      <c r="BV79" s="390" t="str">
        <f t="shared" si="14"/>
        <v/>
      </c>
      <c r="BW79" s="390" t="str">
        <f t="shared" si="15"/>
        <v/>
      </c>
      <c r="BX79" s="390" t="str">
        <f t="shared" si="16"/>
        <v/>
      </c>
      <c r="BY79" s="390" t="str">
        <f t="shared" si="17"/>
        <v/>
      </c>
      <c r="BZ79" s="390">
        <f t="shared" si="18"/>
        <v>105230000000000</v>
      </c>
      <c r="CA79" s="390">
        <f t="shared" si="19"/>
        <v>22020000000000</v>
      </c>
      <c r="CB79" s="469" t="str">
        <f t="shared" si="20"/>
        <v/>
      </c>
      <c r="CC79" s="469" t="str">
        <f t="shared" si="21"/>
        <v/>
      </c>
      <c r="CD79" s="469" t="str">
        <f t="shared" si="22"/>
        <v/>
      </c>
      <c r="CE79" s="469" t="str">
        <f t="shared" si="23"/>
        <v/>
      </c>
      <c r="CF79" s="469" t="str">
        <f t="shared" si="24"/>
        <v/>
      </c>
      <c r="CG79" s="581" t="str">
        <f t="shared" si="25"/>
        <v/>
      </c>
      <c r="CH79" s="461"/>
      <c r="CI79" s="580" t="str">
        <f t="array" ref="CI79">LET(
array,SORT({$Y$2:$AB$19,TRANSPOSE($BP79:$CG79)},4,TRUE),
col,CHOOSECOLS(array,5),
row,MATCH(FALSE, ISBLANK(col), 0),
IF(BP79=SWITCH($AA$22,
"minimum cost", MIN($BP79:$CG79),
"maximum cost", MAX($BP79:$CG79), 
"custom order", IF(CI$1=INDEX(array, row,1),INDEX(array, row,5),"x"))
,1,))</f>
        <v/>
      </c>
      <c r="CJ79" s="252" t="str">
        <f t="array" ref="CJ79">LET(
array,SORT({$Y$2:$AB$19,TRANSPOSE($BP79:$CG79)},4,TRUE),
col,CHOOSECOLS(array,5),
row,MATCH(FALSE, ISBLANK(col), 0),
IF(BQ79=SWITCH($AA$22,
"minimum cost", MIN($BP79:$CG79),
"maximum cost", MAX($BP79:$CG79), 
"custom order", IF(CJ$1=INDEX(array, row,1),INDEX(array, row,5),"x"))
,1,))</f>
        <v/>
      </c>
      <c r="CK79" s="252" t="str">
        <f t="array" ref="CK79">LET(
array,SORT({$Y$2:$AB$19,TRANSPOSE($BP79:$CG79)},4,TRUE),
col,CHOOSECOLS(array,5),
row,MATCH(FALSE, ISBLANK(col), 0),
IF(BR79=SWITCH($AA$22,
"minimum cost", MIN($BP79:$CG79),
"maximum cost", MAX($BP79:$CG79), 
"custom order", IF(CK$1=INDEX(array, row,1),INDEX(array, row,5),"x"))
,1,))</f>
        <v/>
      </c>
      <c r="CL79" s="252" t="str">
        <f t="array" ref="CL79">LET(
array,SORT({$Y$2:$AB$19,TRANSPOSE($BP79:$CG79)},4,TRUE),
col,CHOOSECOLS(array,5),
row,MATCH(FALSE, ISBLANK(col), 0),
IF(BS79=SWITCH($AA$22,
"minimum cost", MIN($BP79:$CG79),
"maximum cost", MAX($BP79:$CG79), 
"custom order", IF(CL$1=INDEX(array, row,1),INDEX(array, row,5),"x"))
,1,))</f>
        <v/>
      </c>
      <c r="CM79" s="252" t="str">
        <f t="array" ref="CM79">LET(
array,SORT({$Y$2:$AB$19,TRANSPOSE($BP79:$CG79)},4,TRUE),
col,CHOOSECOLS(array,5),
row,MATCH(FALSE, ISBLANK(col), 0),
IF(BT79=SWITCH($AA$22,
"minimum cost", MIN($BP79:$CG79),
"maximum cost", MAX($BP79:$CG79), 
"custom order", IF(CM$1=INDEX(array, row,1),INDEX(array, row,5),"x"))
,1,))</f>
        <v/>
      </c>
      <c r="CN79" s="252" t="str">
        <f t="array" ref="CN79">LET(
array,SORT({$Y$2:$AB$19,TRANSPOSE($BP79:$CG79)},4,TRUE),
col,CHOOSECOLS(array,5),
row,MATCH(FALSE, ISBLANK(col), 0),
IF(BU79=SWITCH($AA$22,
"minimum cost", MIN($BP79:$CG79),
"maximum cost", MAX($BP79:$CG79), 
"custom order", IF(CN$1=INDEX(array, row,1),INDEX(array, row,5),"x"))
,1,))</f>
        <v/>
      </c>
      <c r="CO79" s="390" t="str">
        <f t="array" ref="CO79">LET(
array,SORT({$Y$2:$AB$19,TRANSPOSE($BP79:$CG79)},4,TRUE),
col,CHOOSECOLS(array,5),
row,MATCH(FALSE, ISBLANK(col), 0),
IF(BV79=SWITCH($AA$22,
"minimum cost", MIN($BP79:$CG79),
"maximum cost", MAX($BP79:$CG79), 
"custom order", IF(CO$1=INDEX(array, row,1),INDEX(array, row,5),"x"))
,1,))</f>
        <v/>
      </c>
      <c r="CP79" s="390" t="str">
        <f t="array" ref="CP79">LET(
array,SORT({$Y$2:$AB$19,TRANSPOSE($BP79:$CG79)},4,TRUE),
col,CHOOSECOLS(array,5),
row,MATCH(FALSE, ISBLANK(col), 0),
IF(BW79=SWITCH($AA$22,
"minimum cost", MIN($BP79:$CG79),
"maximum cost", MAX($BP79:$CG79), 
"custom order", IF(CP$1=INDEX(array, row,1),INDEX(array, row,5),"x"))
,1,))</f>
        <v/>
      </c>
      <c r="CQ79" s="390" t="str">
        <f t="array" ref="CQ79">LET(
array,SORT({$Y$2:$AB$19,TRANSPOSE($BP79:$CG79)},4,TRUE),
col,CHOOSECOLS(array,5),
row,MATCH(FALSE, ISBLANK(col), 0),
IF(BX79=SWITCH($AA$22,
"minimum cost", MIN($BP79:$CG79),
"maximum cost", MAX($BP79:$CG79), 
"custom order", IF(CQ$1=INDEX(array, row,1),INDEX(array, row,5),"x"))
,1,))</f>
        <v/>
      </c>
      <c r="CR79" s="390" t="str">
        <f t="array" ref="CR79">LET(
array,SORT({$Y$2:$AB$19,TRANSPOSE($BP79:$CG79)},4,TRUE),
col,CHOOSECOLS(array,5),
row,MATCH(FALSE, ISBLANK(col), 0),
IF(BY79=SWITCH($AA$22,
"minimum cost", MIN($BP79:$CG79),
"maximum cost", MAX($BP79:$CG79), 
"custom order", IF(CR$1=INDEX(array, row,1),INDEX(array, row,5),"x"))
,1,))</f>
        <v/>
      </c>
      <c r="CS79" s="390">
        <f t="array" ref="CS79">LET(
array,SORT({$Y$2:$AB$19,TRANSPOSE($BP79:$CG79)},4,TRUE),
col,CHOOSECOLS(array,5),
row,MATCH(FALSE, ISBLANK(col), 0),
IF(BZ79=SWITCH($AA$22,
"minimum cost", MIN($BP79:$CG79),
"maximum cost", MAX($BP79:$CG79), 
"custom order", IF(CS$1=INDEX(array, row,1),INDEX(array, row,5),"x"))
,1,))</f>
        <v>1</v>
      </c>
      <c r="CT79" s="390" t="str">
        <f t="array" ref="CT79">LET(
array,SORT({$Y$2:$AB$19,TRANSPOSE($BP79:$CG79)},4,TRUE),
col,CHOOSECOLS(array,5),
row,MATCH(FALSE, ISBLANK(col), 0),
IF(CA79=SWITCH($AA$22,
"minimum cost", MIN($BP79:$CG79),
"maximum cost", MAX($BP79:$CG79), 
"custom order", IF(CT$1=INDEX(array, row,1),INDEX(array, row,5),"x"))
,1,))</f>
        <v/>
      </c>
      <c r="CU79" s="469" t="str">
        <f t="array" ref="CU79">LET(
array,SORT({$Y$2:$AB$19,TRANSPOSE($BP79:$CG79)},4,TRUE),
col,CHOOSECOLS(array,5),
row,MATCH(FALSE, ISBLANK(col), 0),
IF(CB79=SWITCH($AA$22,
"minimum cost", MIN($BP79:$CG79),
"maximum cost", MAX($BP79:$CG79), 
"custom order", IF(CU$1=INDEX(array, row,1),INDEX(array, row,5),"x"))
,1,))</f>
        <v/>
      </c>
      <c r="CV79" s="469" t="str">
        <f t="array" ref="CV79">LET(
array,SORT({$Y$2:$AB$19,TRANSPOSE($BP79:$CG79)},4,TRUE),
col,CHOOSECOLS(array,5),
row,MATCH(FALSE, ISBLANK(col), 0),
IF(CC79=SWITCH($AA$22,
"minimum cost", MIN($BP79:$CG79),
"maximum cost", MAX($BP79:$CG79), 
"custom order", IF(CV$1=INDEX(array, row,1),INDEX(array, row,5),"x"))
,1,))</f>
        <v/>
      </c>
      <c r="CW79" s="469" t="str">
        <f t="array" ref="CW79">LET(
array,SORT({$Y$2:$AB$19,TRANSPOSE($BP79:$CG79)},4,TRUE),
col,CHOOSECOLS(array,5),
row,MATCH(FALSE, ISBLANK(col), 0),
IF(CD79=SWITCH($AA$22,
"minimum cost", MIN($BP79:$CG79),
"maximum cost", MAX($BP79:$CG79), 
"custom order", IF(CW$1=INDEX(array, row,1),INDEX(array, row,5),"x"))
,1,))</f>
        <v/>
      </c>
      <c r="CX79" s="469" t="str">
        <f t="array" ref="CX79">LET(
array,SORT({$Y$2:$AB$19,TRANSPOSE($BP79:$CG79)},4,TRUE),
col,CHOOSECOLS(array,5),
row,MATCH(FALSE, ISBLANK(col), 0),
IF(CE79=SWITCH($AA$22,
"minimum cost", MIN($BP79:$CG79),
"maximum cost", MAX($BP79:$CG79), 
"custom order", IF(CX$1=INDEX(array, row,1),INDEX(array, row,5),"x"))
,1,))</f>
        <v/>
      </c>
      <c r="CY79" s="469" t="str">
        <f t="array" ref="CY79">LET(
array,SORT({$Y$2:$AB$19,TRANSPOSE($BP79:$CG79)},4,TRUE),
col,CHOOSECOLS(array,5),
row,MATCH(FALSE, ISBLANK(col), 0),
IF(CF79=SWITCH($AA$22,
"minimum cost", MIN($BP79:$CG79),
"maximum cost", MAX($BP79:$CG79), 
"custom order", IF(CY$1=INDEX(array, row,1),INDEX(array, row,5),"x"))
,1,))</f>
        <v/>
      </c>
      <c r="CZ79" s="581" t="str">
        <f t="array" ref="CZ79">LET(
array,SORT({$Y$2:$AB$19,TRANSPOSE($BP79:$CG79)},4,TRUE),
col,CHOOSECOLS(array,5),
row,MATCH(FALSE, ISBLANK(col), 0),
IF(CG79=SWITCH($AA$22,
"minimum cost", MIN($BP79:$CG79),
"maximum cost", MAX($BP79:$CG79), 
"custom order", IF(CZ$1=INDEX(array, row,1),INDEX(array, row,5),"x"))
,1,))</f>
        <v/>
      </c>
      <c r="DA79" s="461"/>
      <c r="DB79" s="580" t="str">
        <f t="array" ref="DB79:DS79">IF(MATCH(1, CI79:CZ79, 0)=COLUMN(CI79:CZ79)-COLUMN(CI79)+1, CI79:CZ79, "")</f>
        <v/>
      </c>
      <c r="DC79" s="252" t="s">
        <v>133</v>
      </c>
      <c r="DD79" s="252" t="s">
        <v>133</v>
      </c>
      <c r="DE79" s="252" t="s">
        <v>133</v>
      </c>
      <c r="DF79" s="252" t="s">
        <v>133</v>
      </c>
      <c r="DG79" s="252" t="s">
        <v>133</v>
      </c>
      <c r="DH79" s="390" t="s">
        <v>133</v>
      </c>
      <c r="DI79" s="390" t="s">
        <v>133</v>
      </c>
      <c r="DJ79" s="390" t="s">
        <v>133</v>
      </c>
      <c r="DK79" s="390" t="s">
        <v>133</v>
      </c>
      <c r="DL79" s="390">
        <v>1.0</v>
      </c>
      <c r="DM79" s="390" t="s">
        <v>133</v>
      </c>
      <c r="DN79" s="469" t="s">
        <v>133</v>
      </c>
      <c r="DO79" s="469" t="s">
        <v>133</v>
      </c>
      <c r="DP79" s="469" t="s">
        <v>133</v>
      </c>
      <c r="DQ79" s="469" t="s">
        <v>133</v>
      </c>
      <c r="DR79" s="469" t="s">
        <v>133</v>
      </c>
      <c r="DS79" s="581" t="s">
        <v>133</v>
      </c>
      <c r="DT79" s="563"/>
    </row>
    <row r="80">
      <c r="A80" s="563"/>
      <c r="B80" s="709"/>
      <c r="C80" s="709"/>
      <c r="D80" s="709"/>
      <c r="E80" s="10"/>
      <c r="F80" s="709"/>
      <c r="G80" s="10"/>
      <c r="H80" s="709"/>
      <c r="I80" s="10"/>
      <c r="J80" s="709"/>
      <c r="K80" s="10"/>
      <c r="L80" s="709"/>
      <c r="M80" s="461"/>
      <c r="N80" s="10"/>
      <c r="O80" s="10"/>
      <c r="P80" s="10"/>
      <c r="Q80" s="570" t="str">
        <f>IFERROR(__xludf.DUMMYFUNCTION("IF(SUM(DB80:DS80),ARRAYFORMULA(FILTER(DB$1:DS$1, DB80:DS80=1)),)"),"Wall Health")</f>
        <v>Wall Health</v>
      </c>
      <c r="R80" s="571">
        <f>IFERROR(__xludf.DUMMYFUNCTION("IF(SUM(DB80:DS80),ARRAYFORMULA(FILTER(AW80:BN80, DB80:DS80=1))+1,)"),65.0)</f>
        <v>65</v>
      </c>
      <c r="S80" s="572">
        <f>IFERROR(__xludf.DUMMYFUNCTION("IF(SUM(DB80:DS80),ARRAYFORMULA(FILTER(AD80:AU80, DB80:DS80=1)),)"),1.1969E14)</f>
        <v>119690000000000</v>
      </c>
      <c r="T80" s="572">
        <f t="shared" si="26"/>
        <v>1.60172E+16</v>
      </c>
      <c r="U80" s="573" t="str">
        <f t="shared" ref="U80:V80" si="256">FORMAT_NUMBER(S80)</f>
        <v>119.69 T</v>
      </c>
      <c r="V80" s="574" t="str">
        <f t="shared" si="256"/>
        <v>16.02 q</v>
      </c>
      <c r="W80" s="677"/>
      <c r="X80" s="709"/>
      <c r="Y80" s="709"/>
      <c r="Z80" s="709"/>
      <c r="AA80" s="709"/>
      <c r="AB80" s="712"/>
      <c r="AC80" s="461"/>
      <c r="AD80" s="580">
        <f t="shared" ref="AD80:AU80" si="257">IFERROR(WSPCOST_SINGLE_ADJUSTED(AD$1,1+AW80),)</f>
        <v>37110000000000</v>
      </c>
      <c r="AE80" s="252">
        <f t="shared" si="257"/>
        <v>82420000000</v>
      </c>
      <c r="AF80" s="252">
        <f t="shared" si="257"/>
        <v>69650000000000</v>
      </c>
      <c r="AG80" s="252">
        <f t="shared" si="257"/>
        <v>21210000000</v>
      </c>
      <c r="AH80" s="252">
        <f t="shared" si="257"/>
        <v>43890000000000</v>
      </c>
      <c r="AI80" s="252">
        <f t="shared" si="257"/>
        <v>47710000000000</v>
      </c>
      <c r="AJ80" s="390">
        <f t="shared" si="257"/>
        <v>297430000000000</v>
      </c>
      <c r="AK80" s="390">
        <f t="shared" si="257"/>
        <v>580270000000000</v>
      </c>
      <c r="AL80" s="390">
        <f t="shared" si="257"/>
        <v>5000000000</v>
      </c>
      <c r="AM80" s="390">
        <f t="shared" si="257"/>
        <v>33950000000</v>
      </c>
      <c r="AN80" s="390">
        <f t="shared" si="257"/>
        <v>119690000000000</v>
      </c>
      <c r="AO80" s="390">
        <f t="shared" si="257"/>
        <v>22020000000000</v>
      </c>
      <c r="AP80" s="469">
        <f t="shared" si="257"/>
        <v>153100000000000</v>
      </c>
      <c r="AQ80" s="469">
        <f t="shared" si="257"/>
        <v>1.3E+15</v>
      </c>
      <c r="AR80" s="469">
        <f t="shared" si="257"/>
        <v>1.3E+15</v>
      </c>
      <c r="AS80" s="469">
        <f t="shared" si="257"/>
        <v>420490000000000</v>
      </c>
      <c r="AT80" s="469">
        <f t="shared" si="257"/>
        <v>3990000000000</v>
      </c>
      <c r="AU80" s="581">
        <f t="shared" si="257"/>
        <v>1.14E+15</v>
      </c>
      <c r="AV80" s="461"/>
      <c r="AW80" s="580">
        <f t="shared" ref="AW80:BN80" si="258">AW79+DB79</f>
        <v>56</v>
      </c>
      <c r="AX80" s="252">
        <f t="shared" si="258"/>
        <v>21</v>
      </c>
      <c r="AY80" s="252">
        <f t="shared" si="258"/>
        <v>60</v>
      </c>
      <c r="AZ80" s="252">
        <f t="shared" si="258"/>
        <v>17</v>
      </c>
      <c r="BA80" s="252">
        <f t="shared" si="258"/>
        <v>57</v>
      </c>
      <c r="BB80" s="252">
        <f t="shared" si="258"/>
        <v>13</v>
      </c>
      <c r="BC80" s="390">
        <f t="shared" si="258"/>
        <v>72</v>
      </c>
      <c r="BD80" s="390">
        <f t="shared" si="258"/>
        <v>79</v>
      </c>
      <c r="BE80" s="390">
        <f t="shared" si="258"/>
        <v>0</v>
      </c>
      <c r="BF80" s="390">
        <f t="shared" si="258"/>
        <v>18</v>
      </c>
      <c r="BG80" s="390">
        <f t="shared" si="258"/>
        <v>64</v>
      </c>
      <c r="BH80" s="390">
        <f t="shared" si="258"/>
        <v>20</v>
      </c>
      <c r="BI80" s="469">
        <f t="shared" si="258"/>
        <v>66</v>
      </c>
      <c r="BJ80" s="469">
        <f t="shared" si="258"/>
        <v>37</v>
      </c>
      <c r="BK80" s="469">
        <f t="shared" si="258"/>
        <v>37</v>
      </c>
      <c r="BL80" s="469">
        <f t="shared" si="258"/>
        <v>18</v>
      </c>
      <c r="BM80" s="469">
        <f t="shared" si="258"/>
        <v>42</v>
      </c>
      <c r="BN80" s="581">
        <f t="shared" si="258"/>
        <v>15</v>
      </c>
      <c r="BO80" s="461"/>
      <c r="BP80" s="580">
        <f t="shared" si="8"/>
        <v>37110000000000</v>
      </c>
      <c r="BQ80" s="252" t="str">
        <f t="shared" si="9"/>
        <v/>
      </c>
      <c r="BR80" s="252">
        <f t="shared" si="10"/>
        <v>69650000000000</v>
      </c>
      <c r="BS80" s="252" t="str">
        <f t="shared" si="11"/>
        <v/>
      </c>
      <c r="BT80" s="252" t="str">
        <f t="shared" si="12"/>
        <v/>
      </c>
      <c r="BU80" s="252">
        <f t="shared" si="13"/>
        <v>47710000000000</v>
      </c>
      <c r="BV80" s="390" t="str">
        <f t="shared" si="14"/>
        <v/>
      </c>
      <c r="BW80" s="390" t="str">
        <f t="shared" si="15"/>
        <v/>
      </c>
      <c r="BX80" s="390" t="str">
        <f t="shared" si="16"/>
        <v/>
      </c>
      <c r="BY80" s="390" t="str">
        <f t="shared" si="17"/>
        <v/>
      </c>
      <c r="BZ80" s="390">
        <f t="shared" si="18"/>
        <v>119690000000000</v>
      </c>
      <c r="CA80" s="390">
        <f t="shared" si="19"/>
        <v>22020000000000</v>
      </c>
      <c r="CB80" s="469" t="str">
        <f t="shared" si="20"/>
        <v/>
      </c>
      <c r="CC80" s="469" t="str">
        <f t="shared" si="21"/>
        <v/>
      </c>
      <c r="CD80" s="469" t="str">
        <f t="shared" si="22"/>
        <v/>
      </c>
      <c r="CE80" s="469" t="str">
        <f t="shared" si="23"/>
        <v/>
      </c>
      <c r="CF80" s="469" t="str">
        <f t="shared" si="24"/>
        <v/>
      </c>
      <c r="CG80" s="581" t="str">
        <f t="shared" si="25"/>
        <v/>
      </c>
      <c r="CH80" s="461"/>
      <c r="CI80" s="580" t="str">
        <f t="array" ref="CI80">LET(
array,SORT({$Y$2:$AB$19,TRANSPOSE($BP80:$CG80)},4,TRUE),
col,CHOOSECOLS(array,5),
row,MATCH(FALSE, ISBLANK(col), 0),
IF(BP80=SWITCH($AA$22,
"minimum cost", MIN($BP80:$CG80),
"maximum cost", MAX($BP80:$CG80), 
"custom order", IF(CI$1=INDEX(array, row,1),INDEX(array, row,5),"x"))
,1,))</f>
        <v/>
      </c>
      <c r="CJ80" s="252" t="str">
        <f t="array" ref="CJ80">LET(
array,SORT({$Y$2:$AB$19,TRANSPOSE($BP80:$CG80)},4,TRUE),
col,CHOOSECOLS(array,5),
row,MATCH(FALSE, ISBLANK(col), 0),
IF(BQ80=SWITCH($AA$22,
"minimum cost", MIN($BP80:$CG80),
"maximum cost", MAX($BP80:$CG80), 
"custom order", IF(CJ$1=INDEX(array, row,1),INDEX(array, row,5),"x"))
,1,))</f>
        <v/>
      </c>
      <c r="CK80" s="252" t="str">
        <f t="array" ref="CK80">LET(
array,SORT({$Y$2:$AB$19,TRANSPOSE($BP80:$CG80)},4,TRUE),
col,CHOOSECOLS(array,5),
row,MATCH(FALSE, ISBLANK(col), 0),
IF(BR80=SWITCH($AA$22,
"minimum cost", MIN($BP80:$CG80),
"maximum cost", MAX($BP80:$CG80), 
"custom order", IF(CK$1=INDEX(array, row,1),INDEX(array, row,5),"x"))
,1,))</f>
        <v/>
      </c>
      <c r="CL80" s="252" t="str">
        <f t="array" ref="CL80">LET(
array,SORT({$Y$2:$AB$19,TRANSPOSE($BP80:$CG80)},4,TRUE),
col,CHOOSECOLS(array,5),
row,MATCH(FALSE, ISBLANK(col), 0),
IF(BS80=SWITCH($AA$22,
"minimum cost", MIN($BP80:$CG80),
"maximum cost", MAX($BP80:$CG80), 
"custom order", IF(CL$1=INDEX(array, row,1),INDEX(array, row,5),"x"))
,1,))</f>
        <v/>
      </c>
      <c r="CM80" s="252" t="str">
        <f t="array" ref="CM80">LET(
array,SORT({$Y$2:$AB$19,TRANSPOSE($BP80:$CG80)},4,TRUE),
col,CHOOSECOLS(array,5),
row,MATCH(FALSE, ISBLANK(col), 0),
IF(BT80=SWITCH($AA$22,
"minimum cost", MIN($BP80:$CG80),
"maximum cost", MAX($BP80:$CG80), 
"custom order", IF(CM$1=INDEX(array, row,1),INDEX(array, row,5),"x"))
,1,))</f>
        <v/>
      </c>
      <c r="CN80" s="252" t="str">
        <f t="array" ref="CN80">LET(
array,SORT({$Y$2:$AB$19,TRANSPOSE($BP80:$CG80)},4,TRUE),
col,CHOOSECOLS(array,5),
row,MATCH(FALSE, ISBLANK(col), 0),
IF(BU80=SWITCH($AA$22,
"minimum cost", MIN($BP80:$CG80),
"maximum cost", MAX($BP80:$CG80), 
"custom order", IF(CN$1=INDEX(array, row,1),INDEX(array, row,5),"x"))
,1,))</f>
        <v/>
      </c>
      <c r="CO80" s="390" t="str">
        <f t="array" ref="CO80">LET(
array,SORT({$Y$2:$AB$19,TRANSPOSE($BP80:$CG80)},4,TRUE),
col,CHOOSECOLS(array,5),
row,MATCH(FALSE, ISBLANK(col), 0),
IF(BV80=SWITCH($AA$22,
"minimum cost", MIN($BP80:$CG80),
"maximum cost", MAX($BP80:$CG80), 
"custom order", IF(CO$1=INDEX(array, row,1),INDEX(array, row,5),"x"))
,1,))</f>
        <v/>
      </c>
      <c r="CP80" s="390" t="str">
        <f t="array" ref="CP80">LET(
array,SORT({$Y$2:$AB$19,TRANSPOSE($BP80:$CG80)},4,TRUE),
col,CHOOSECOLS(array,5),
row,MATCH(FALSE, ISBLANK(col), 0),
IF(BW80=SWITCH($AA$22,
"minimum cost", MIN($BP80:$CG80),
"maximum cost", MAX($BP80:$CG80), 
"custom order", IF(CP$1=INDEX(array, row,1),INDEX(array, row,5),"x"))
,1,))</f>
        <v/>
      </c>
      <c r="CQ80" s="390" t="str">
        <f t="array" ref="CQ80">LET(
array,SORT({$Y$2:$AB$19,TRANSPOSE($BP80:$CG80)},4,TRUE),
col,CHOOSECOLS(array,5),
row,MATCH(FALSE, ISBLANK(col), 0),
IF(BX80=SWITCH($AA$22,
"minimum cost", MIN($BP80:$CG80),
"maximum cost", MAX($BP80:$CG80), 
"custom order", IF(CQ$1=INDEX(array, row,1),INDEX(array, row,5),"x"))
,1,))</f>
        <v/>
      </c>
      <c r="CR80" s="390" t="str">
        <f t="array" ref="CR80">LET(
array,SORT({$Y$2:$AB$19,TRANSPOSE($BP80:$CG80)},4,TRUE),
col,CHOOSECOLS(array,5),
row,MATCH(FALSE, ISBLANK(col), 0),
IF(BY80=SWITCH($AA$22,
"minimum cost", MIN($BP80:$CG80),
"maximum cost", MAX($BP80:$CG80), 
"custom order", IF(CR$1=INDEX(array, row,1),INDEX(array, row,5),"x"))
,1,))</f>
        <v/>
      </c>
      <c r="CS80" s="390">
        <f t="array" ref="CS80">LET(
array,SORT({$Y$2:$AB$19,TRANSPOSE($BP80:$CG80)},4,TRUE),
col,CHOOSECOLS(array,5),
row,MATCH(FALSE, ISBLANK(col), 0),
IF(BZ80=SWITCH($AA$22,
"minimum cost", MIN($BP80:$CG80),
"maximum cost", MAX($BP80:$CG80), 
"custom order", IF(CS$1=INDEX(array, row,1),INDEX(array, row,5),"x"))
,1,))</f>
        <v>1</v>
      </c>
      <c r="CT80" s="390" t="str">
        <f t="array" ref="CT80">LET(
array,SORT({$Y$2:$AB$19,TRANSPOSE($BP80:$CG80)},4,TRUE),
col,CHOOSECOLS(array,5),
row,MATCH(FALSE, ISBLANK(col), 0),
IF(CA80=SWITCH($AA$22,
"minimum cost", MIN($BP80:$CG80),
"maximum cost", MAX($BP80:$CG80), 
"custom order", IF(CT$1=INDEX(array, row,1),INDEX(array, row,5),"x"))
,1,))</f>
        <v/>
      </c>
      <c r="CU80" s="469" t="str">
        <f t="array" ref="CU80">LET(
array,SORT({$Y$2:$AB$19,TRANSPOSE($BP80:$CG80)},4,TRUE),
col,CHOOSECOLS(array,5),
row,MATCH(FALSE, ISBLANK(col), 0),
IF(CB80=SWITCH($AA$22,
"minimum cost", MIN($BP80:$CG80),
"maximum cost", MAX($BP80:$CG80), 
"custom order", IF(CU$1=INDEX(array, row,1),INDEX(array, row,5),"x"))
,1,))</f>
        <v/>
      </c>
      <c r="CV80" s="469" t="str">
        <f t="array" ref="CV80">LET(
array,SORT({$Y$2:$AB$19,TRANSPOSE($BP80:$CG80)},4,TRUE),
col,CHOOSECOLS(array,5),
row,MATCH(FALSE, ISBLANK(col), 0),
IF(CC80=SWITCH($AA$22,
"minimum cost", MIN($BP80:$CG80),
"maximum cost", MAX($BP80:$CG80), 
"custom order", IF(CV$1=INDEX(array, row,1),INDEX(array, row,5),"x"))
,1,))</f>
        <v/>
      </c>
      <c r="CW80" s="469" t="str">
        <f t="array" ref="CW80">LET(
array,SORT({$Y$2:$AB$19,TRANSPOSE($BP80:$CG80)},4,TRUE),
col,CHOOSECOLS(array,5),
row,MATCH(FALSE, ISBLANK(col), 0),
IF(CD80=SWITCH($AA$22,
"minimum cost", MIN($BP80:$CG80),
"maximum cost", MAX($BP80:$CG80), 
"custom order", IF(CW$1=INDEX(array, row,1),INDEX(array, row,5),"x"))
,1,))</f>
        <v/>
      </c>
      <c r="CX80" s="469" t="str">
        <f t="array" ref="CX80">LET(
array,SORT({$Y$2:$AB$19,TRANSPOSE($BP80:$CG80)},4,TRUE),
col,CHOOSECOLS(array,5),
row,MATCH(FALSE, ISBLANK(col), 0),
IF(CE80=SWITCH($AA$22,
"minimum cost", MIN($BP80:$CG80),
"maximum cost", MAX($BP80:$CG80), 
"custom order", IF(CX$1=INDEX(array, row,1),INDEX(array, row,5),"x"))
,1,))</f>
        <v/>
      </c>
      <c r="CY80" s="469" t="str">
        <f t="array" ref="CY80">LET(
array,SORT({$Y$2:$AB$19,TRANSPOSE($BP80:$CG80)},4,TRUE),
col,CHOOSECOLS(array,5),
row,MATCH(FALSE, ISBLANK(col), 0),
IF(CF80=SWITCH($AA$22,
"minimum cost", MIN($BP80:$CG80),
"maximum cost", MAX($BP80:$CG80), 
"custom order", IF(CY$1=INDEX(array, row,1),INDEX(array, row,5),"x"))
,1,))</f>
        <v/>
      </c>
      <c r="CZ80" s="581" t="str">
        <f t="array" ref="CZ80">LET(
array,SORT({$Y$2:$AB$19,TRANSPOSE($BP80:$CG80)},4,TRUE),
col,CHOOSECOLS(array,5),
row,MATCH(FALSE, ISBLANK(col), 0),
IF(CG80=SWITCH($AA$22,
"minimum cost", MIN($BP80:$CG80),
"maximum cost", MAX($BP80:$CG80), 
"custom order", IF(CZ$1=INDEX(array, row,1),INDEX(array, row,5),"x"))
,1,))</f>
        <v/>
      </c>
      <c r="DA80" s="461"/>
      <c r="DB80" s="580" t="str">
        <f t="array" ref="DB80:DS80">IF(MATCH(1, CI80:CZ80, 0)=COLUMN(CI80:CZ80)-COLUMN(CI80)+1, CI80:CZ80, "")</f>
        <v/>
      </c>
      <c r="DC80" s="252" t="s">
        <v>133</v>
      </c>
      <c r="DD80" s="252" t="s">
        <v>133</v>
      </c>
      <c r="DE80" s="252" t="s">
        <v>133</v>
      </c>
      <c r="DF80" s="252" t="s">
        <v>133</v>
      </c>
      <c r="DG80" s="252" t="s">
        <v>133</v>
      </c>
      <c r="DH80" s="390" t="s">
        <v>133</v>
      </c>
      <c r="DI80" s="390" t="s">
        <v>133</v>
      </c>
      <c r="DJ80" s="390" t="s">
        <v>133</v>
      </c>
      <c r="DK80" s="390" t="s">
        <v>133</v>
      </c>
      <c r="DL80" s="390">
        <v>1.0</v>
      </c>
      <c r="DM80" s="390" t="s">
        <v>133</v>
      </c>
      <c r="DN80" s="469" t="s">
        <v>133</v>
      </c>
      <c r="DO80" s="469" t="s">
        <v>133</v>
      </c>
      <c r="DP80" s="469" t="s">
        <v>133</v>
      </c>
      <c r="DQ80" s="469" t="s">
        <v>133</v>
      </c>
      <c r="DR80" s="469" t="s">
        <v>133</v>
      </c>
      <c r="DS80" s="581" t="s">
        <v>133</v>
      </c>
      <c r="DT80" s="563"/>
    </row>
    <row r="81">
      <c r="A81" s="563"/>
      <c r="B81" s="709"/>
      <c r="C81" s="709"/>
      <c r="D81" s="709"/>
      <c r="E81" s="10"/>
      <c r="F81" s="709"/>
      <c r="G81" s="10"/>
      <c r="H81" s="709"/>
      <c r="I81" s="10"/>
      <c r="J81" s="709"/>
      <c r="K81" s="10"/>
      <c r="L81" s="709"/>
      <c r="M81" s="461"/>
      <c r="N81" s="10"/>
      <c r="O81" s="10"/>
      <c r="P81" s="10"/>
      <c r="Q81" s="570" t="str">
        <f>IFERROR(__xludf.DUMMYFUNCTION("IF(SUM(DB81:DS81),ARRAYFORMULA(FILTER(DB$1:DS$1, DB81:DS81=1)),)"),"Wall Health")</f>
        <v>Wall Health</v>
      </c>
      <c r="R81" s="571">
        <f>IFERROR(__xludf.DUMMYFUNCTION("IF(SUM(DB81:DS81),ARRAYFORMULA(FILTER(AW81:BN81, DB81:DS81=1))+1,)"),66.0)</f>
        <v>66</v>
      </c>
      <c r="S81" s="572">
        <f>IFERROR(__xludf.DUMMYFUNCTION("IF(SUM(DB81:DS81),ARRAYFORMULA(FILTER(AD81:AU81, DB81:DS81=1)),)"),1.3561E14)</f>
        <v>135610000000000</v>
      </c>
      <c r="T81" s="572">
        <f t="shared" si="26"/>
        <v>1.61528E+16</v>
      </c>
      <c r="U81" s="573" t="str">
        <f t="shared" ref="U81:V81" si="259">FORMAT_NUMBER(S81)</f>
        <v>135.61 T</v>
      </c>
      <c r="V81" s="574" t="str">
        <f t="shared" si="259"/>
        <v>16.15 q</v>
      </c>
      <c r="W81" s="677"/>
      <c r="X81" s="709"/>
      <c r="Y81" s="709"/>
      <c r="Z81" s="709"/>
      <c r="AA81" s="709"/>
      <c r="AB81" s="712"/>
      <c r="AC81" s="461"/>
      <c r="AD81" s="580">
        <f t="shared" ref="AD81:AU81" si="260">IFERROR(WSPCOST_SINGLE_ADJUSTED(AD$1,1+AW81),)</f>
        <v>37110000000000</v>
      </c>
      <c r="AE81" s="252">
        <f t="shared" si="260"/>
        <v>82420000000</v>
      </c>
      <c r="AF81" s="252">
        <f t="shared" si="260"/>
        <v>69650000000000</v>
      </c>
      <c r="AG81" s="252">
        <f t="shared" si="260"/>
        <v>21210000000</v>
      </c>
      <c r="AH81" s="252">
        <f t="shared" si="260"/>
        <v>43890000000000</v>
      </c>
      <c r="AI81" s="252">
        <f t="shared" si="260"/>
        <v>47710000000000</v>
      </c>
      <c r="AJ81" s="390">
        <f t="shared" si="260"/>
        <v>297430000000000</v>
      </c>
      <c r="AK81" s="390">
        <f t="shared" si="260"/>
        <v>580270000000000</v>
      </c>
      <c r="AL81" s="390">
        <f t="shared" si="260"/>
        <v>5000000000</v>
      </c>
      <c r="AM81" s="390">
        <f t="shared" si="260"/>
        <v>33950000000</v>
      </c>
      <c r="AN81" s="390">
        <f t="shared" si="260"/>
        <v>135610000000000</v>
      </c>
      <c r="AO81" s="390">
        <f t="shared" si="260"/>
        <v>22020000000000</v>
      </c>
      <c r="AP81" s="469">
        <f t="shared" si="260"/>
        <v>153100000000000</v>
      </c>
      <c r="AQ81" s="469">
        <f t="shared" si="260"/>
        <v>1.3E+15</v>
      </c>
      <c r="AR81" s="469">
        <f t="shared" si="260"/>
        <v>1.3E+15</v>
      </c>
      <c r="AS81" s="469">
        <f t="shared" si="260"/>
        <v>420490000000000</v>
      </c>
      <c r="AT81" s="469">
        <f t="shared" si="260"/>
        <v>3990000000000</v>
      </c>
      <c r="AU81" s="581">
        <f t="shared" si="260"/>
        <v>1.14E+15</v>
      </c>
      <c r="AV81" s="461"/>
      <c r="AW81" s="580">
        <f t="shared" ref="AW81:BN81" si="261">AW80+DB80</f>
        <v>56</v>
      </c>
      <c r="AX81" s="252">
        <f t="shared" si="261"/>
        <v>21</v>
      </c>
      <c r="AY81" s="252">
        <f t="shared" si="261"/>
        <v>60</v>
      </c>
      <c r="AZ81" s="252">
        <f t="shared" si="261"/>
        <v>17</v>
      </c>
      <c r="BA81" s="252">
        <f t="shared" si="261"/>
        <v>57</v>
      </c>
      <c r="BB81" s="252">
        <f t="shared" si="261"/>
        <v>13</v>
      </c>
      <c r="BC81" s="390">
        <f t="shared" si="261"/>
        <v>72</v>
      </c>
      <c r="BD81" s="390">
        <f t="shared" si="261"/>
        <v>79</v>
      </c>
      <c r="BE81" s="390">
        <f t="shared" si="261"/>
        <v>0</v>
      </c>
      <c r="BF81" s="390">
        <f t="shared" si="261"/>
        <v>18</v>
      </c>
      <c r="BG81" s="390">
        <f t="shared" si="261"/>
        <v>65</v>
      </c>
      <c r="BH81" s="390">
        <f t="shared" si="261"/>
        <v>20</v>
      </c>
      <c r="BI81" s="469">
        <f t="shared" si="261"/>
        <v>66</v>
      </c>
      <c r="BJ81" s="469">
        <f t="shared" si="261"/>
        <v>37</v>
      </c>
      <c r="BK81" s="469">
        <f t="shared" si="261"/>
        <v>37</v>
      </c>
      <c r="BL81" s="469">
        <f t="shared" si="261"/>
        <v>18</v>
      </c>
      <c r="BM81" s="469">
        <f t="shared" si="261"/>
        <v>42</v>
      </c>
      <c r="BN81" s="581">
        <f t="shared" si="261"/>
        <v>15</v>
      </c>
      <c r="BO81" s="461"/>
      <c r="BP81" s="580">
        <f t="shared" si="8"/>
        <v>37110000000000</v>
      </c>
      <c r="BQ81" s="252" t="str">
        <f t="shared" si="9"/>
        <v/>
      </c>
      <c r="BR81" s="252">
        <f t="shared" si="10"/>
        <v>69650000000000</v>
      </c>
      <c r="BS81" s="252" t="str">
        <f t="shared" si="11"/>
        <v/>
      </c>
      <c r="BT81" s="252" t="str">
        <f t="shared" si="12"/>
        <v/>
      </c>
      <c r="BU81" s="252">
        <f t="shared" si="13"/>
        <v>47710000000000</v>
      </c>
      <c r="BV81" s="390" t="str">
        <f t="shared" si="14"/>
        <v/>
      </c>
      <c r="BW81" s="390" t="str">
        <f t="shared" si="15"/>
        <v/>
      </c>
      <c r="BX81" s="390" t="str">
        <f t="shared" si="16"/>
        <v/>
      </c>
      <c r="BY81" s="390" t="str">
        <f t="shared" si="17"/>
        <v/>
      </c>
      <c r="BZ81" s="390">
        <f t="shared" si="18"/>
        <v>135610000000000</v>
      </c>
      <c r="CA81" s="390">
        <f t="shared" si="19"/>
        <v>22020000000000</v>
      </c>
      <c r="CB81" s="469" t="str">
        <f t="shared" si="20"/>
        <v/>
      </c>
      <c r="CC81" s="469" t="str">
        <f t="shared" si="21"/>
        <v/>
      </c>
      <c r="CD81" s="469" t="str">
        <f t="shared" si="22"/>
        <v/>
      </c>
      <c r="CE81" s="469" t="str">
        <f t="shared" si="23"/>
        <v/>
      </c>
      <c r="CF81" s="469" t="str">
        <f t="shared" si="24"/>
        <v/>
      </c>
      <c r="CG81" s="581" t="str">
        <f t="shared" si="25"/>
        <v/>
      </c>
      <c r="CH81" s="461"/>
      <c r="CI81" s="580" t="str">
        <f t="array" ref="CI81">LET(
array,SORT({$Y$2:$AB$19,TRANSPOSE($BP81:$CG81)},4,TRUE),
col,CHOOSECOLS(array,5),
row,MATCH(FALSE, ISBLANK(col), 0),
IF(BP81=SWITCH($AA$22,
"minimum cost", MIN($BP81:$CG81),
"maximum cost", MAX($BP81:$CG81), 
"custom order", IF(CI$1=INDEX(array, row,1),INDEX(array, row,5),"x"))
,1,))</f>
        <v/>
      </c>
      <c r="CJ81" s="252" t="str">
        <f t="array" ref="CJ81">LET(
array,SORT({$Y$2:$AB$19,TRANSPOSE($BP81:$CG81)},4,TRUE),
col,CHOOSECOLS(array,5),
row,MATCH(FALSE, ISBLANK(col), 0),
IF(BQ81=SWITCH($AA$22,
"minimum cost", MIN($BP81:$CG81),
"maximum cost", MAX($BP81:$CG81), 
"custom order", IF(CJ$1=INDEX(array, row,1),INDEX(array, row,5),"x"))
,1,))</f>
        <v/>
      </c>
      <c r="CK81" s="252" t="str">
        <f t="array" ref="CK81">LET(
array,SORT({$Y$2:$AB$19,TRANSPOSE($BP81:$CG81)},4,TRUE),
col,CHOOSECOLS(array,5),
row,MATCH(FALSE, ISBLANK(col), 0),
IF(BR81=SWITCH($AA$22,
"minimum cost", MIN($BP81:$CG81),
"maximum cost", MAX($BP81:$CG81), 
"custom order", IF(CK$1=INDEX(array, row,1),INDEX(array, row,5),"x"))
,1,))</f>
        <v/>
      </c>
      <c r="CL81" s="252" t="str">
        <f t="array" ref="CL81">LET(
array,SORT({$Y$2:$AB$19,TRANSPOSE($BP81:$CG81)},4,TRUE),
col,CHOOSECOLS(array,5),
row,MATCH(FALSE, ISBLANK(col), 0),
IF(BS81=SWITCH($AA$22,
"minimum cost", MIN($BP81:$CG81),
"maximum cost", MAX($BP81:$CG81), 
"custom order", IF(CL$1=INDEX(array, row,1),INDEX(array, row,5),"x"))
,1,))</f>
        <v/>
      </c>
      <c r="CM81" s="252" t="str">
        <f t="array" ref="CM81">LET(
array,SORT({$Y$2:$AB$19,TRANSPOSE($BP81:$CG81)},4,TRUE),
col,CHOOSECOLS(array,5),
row,MATCH(FALSE, ISBLANK(col), 0),
IF(BT81=SWITCH($AA$22,
"minimum cost", MIN($BP81:$CG81),
"maximum cost", MAX($BP81:$CG81), 
"custom order", IF(CM$1=INDEX(array, row,1),INDEX(array, row,5),"x"))
,1,))</f>
        <v/>
      </c>
      <c r="CN81" s="252" t="str">
        <f t="array" ref="CN81">LET(
array,SORT({$Y$2:$AB$19,TRANSPOSE($BP81:$CG81)},4,TRUE),
col,CHOOSECOLS(array,5),
row,MATCH(FALSE, ISBLANK(col), 0),
IF(BU81=SWITCH($AA$22,
"minimum cost", MIN($BP81:$CG81),
"maximum cost", MAX($BP81:$CG81), 
"custom order", IF(CN$1=INDEX(array, row,1),INDEX(array, row,5),"x"))
,1,))</f>
        <v/>
      </c>
      <c r="CO81" s="390" t="str">
        <f t="array" ref="CO81">LET(
array,SORT({$Y$2:$AB$19,TRANSPOSE($BP81:$CG81)},4,TRUE),
col,CHOOSECOLS(array,5),
row,MATCH(FALSE, ISBLANK(col), 0),
IF(BV81=SWITCH($AA$22,
"minimum cost", MIN($BP81:$CG81),
"maximum cost", MAX($BP81:$CG81), 
"custom order", IF(CO$1=INDEX(array, row,1),INDEX(array, row,5),"x"))
,1,))</f>
        <v/>
      </c>
      <c r="CP81" s="390" t="str">
        <f t="array" ref="CP81">LET(
array,SORT({$Y$2:$AB$19,TRANSPOSE($BP81:$CG81)},4,TRUE),
col,CHOOSECOLS(array,5),
row,MATCH(FALSE, ISBLANK(col), 0),
IF(BW81=SWITCH($AA$22,
"minimum cost", MIN($BP81:$CG81),
"maximum cost", MAX($BP81:$CG81), 
"custom order", IF(CP$1=INDEX(array, row,1),INDEX(array, row,5),"x"))
,1,))</f>
        <v/>
      </c>
      <c r="CQ81" s="390" t="str">
        <f t="array" ref="CQ81">LET(
array,SORT({$Y$2:$AB$19,TRANSPOSE($BP81:$CG81)},4,TRUE),
col,CHOOSECOLS(array,5),
row,MATCH(FALSE, ISBLANK(col), 0),
IF(BX81=SWITCH($AA$22,
"minimum cost", MIN($BP81:$CG81),
"maximum cost", MAX($BP81:$CG81), 
"custom order", IF(CQ$1=INDEX(array, row,1),INDEX(array, row,5),"x"))
,1,))</f>
        <v/>
      </c>
      <c r="CR81" s="390" t="str">
        <f t="array" ref="CR81">LET(
array,SORT({$Y$2:$AB$19,TRANSPOSE($BP81:$CG81)},4,TRUE),
col,CHOOSECOLS(array,5),
row,MATCH(FALSE, ISBLANK(col), 0),
IF(BY81=SWITCH($AA$22,
"minimum cost", MIN($BP81:$CG81),
"maximum cost", MAX($BP81:$CG81), 
"custom order", IF(CR$1=INDEX(array, row,1),INDEX(array, row,5),"x"))
,1,))</f>
        <v/>
      </c>
      <c r="CS81" s="390">
        <f t="array" ref="CS81">LET(
array,SORT({$Y$2:$AB$19,TRANSPOSE($BP81:$CG81)},4,TRUE),
col,CHOOSECOLS(array,5),
row,MATCH(FALSE, ISBLANK(col), 0),
IF(BZ81=SWITCH($AA$22,
"minimum cost", MIN($BP81:$CG81),
"maximum cost", MAX($BP81:$CG81), 
"custom order", IF(CS$1=INDEX(array, row,1),INDEX(array, row,5),"x"))
,1,))</f>
        <v>1</v>
      </c>
      <c r="CT81" s="390" t="str">
        <f t="array" ref="CT81">LET(
array,SORT({$Y$2:$AB$19,TRANSPOSE($BP81:$CG81)},4,TRUE),
col,CHOOSECOLS(array,5),
row,MATCH(FALSE, ISBLANK(col), 0),
IF(CA81=SWITCH($AA$22,
"minimum cost", MIN($BP81:$CG81),
"maximum cost", MAX($BP81:$CG81), 
"custom order", IF(CT$1=INDEX(array, row,1),INDEX(array, row,5),"x"))
,1,))</f>
        <v/>
      </c>
      <c r="CU81" s="469" t="str">
        <f t="array" ref="CU81">LET(
array,SORT({$Y$2:$AB$19,TRANSPOSE($BP81:$CG81)},4,TRUE),
col,CHOOSECOLS(array,5),
row,MATCH(FALSE, ISBLANK(col), 0),
IF(CB81=SWITCH($AA$22,
"minimum cost", MIN($BP81:$CG81),
"maximum cost", MAX($BP81:$CG81), 
"custom order", IF(CU$1=INDEX(array, row,1),INDEX(array, row,5),"x"))
,1,))</f>
        <v/>
      </c>
      <c r="CV81" s="469" t="str">
        <f t="array" ref="CV81">LET(
array,SORT({$Y$2:$AB$19,TRANSPOSE($BP81:$CG81)},4,TRUE),
col,CHOOSECOLS(array,5),
row,MATCH(FALSE, ISBLANK(col), 0),
IF(CC81=SWITCH($AA$22,
"minimum cost", MIN($BP81:$CG81),
"maximum cost", MAX($BP81:$CG81), 
"custom order", IF(CV$1=INDEX(array, row,1),INDEX(array, row,5),"x"))
,1,))</f>
        <v/>
      </c>
      <c r="CW81" s="469" t="str">
        <f t="array" ref="CW81">LET(
array,SORT({$Y$2:$AB$19,TRANSPOSE($BP81:$CG81)},4,TRUE),
col,CHOOSECOLS(array,5),
row,MATCH(FALSE, ISBLANK(col), 0),
IF(CD81=SWITCH($AA$22,
"minimum cost", MIN($BP81:$CG81),
"maximum cost", MAX($BP81:$CG81), 
"custom order", IF(CW$1=INDEX(array, row,1),INDEX(array, row,5),"x"))
,1,))</f>
        <v/>
      </c>
      <c r="CX81" s="469" t="str">
        <f t="array" ref="CX81">LET(
array,SORT({$Y$2:$AB$19,TRANSPOSE($BP81:$CG81)},4,TRUE),
col,CHOOSECOLS(array,5),
row,MATCH(FALSE, ISBLANK(col), 0),
IF(CE81=SWITCH($AA$22,
"minimum cost", MIN($BP81:$CG81),
"maximum cost", MAX($BP81:$CG81), 
"custom order", IF(CX$1=INDEX(array, row,1),INDEX(array, row,5),"x"))
,1,))</f>
        <v/>
      </c>
      <c r="CY81" s="469" t="str">
        <f t="array" ref="CY81">LET(
array,SORT({$Y$2:$AB$19,TRANSPOSE($BP81:$CG81)},4,TRUE),
col,CHOOSECOLS(array,5),
row,MATCH(FALSE, ISBLANK(col), 0),
IF(CF81=SWITCH($AA$22,
"minimum cost", MIN($BP81:$CG81),
"maximum cost", MAX($BP81:$CG81), 
"custom order", IF(CY$1=INDEX(array, row,1),INDEX(array, row,5),"x"))
,1,))</f>
        <v/>
      </c>
      <c r="CZ81" s="581" t="str">
        <f t="array" ref="CZ81">LET(
array,SORT({$Y$2:$AB$19,TRANSPOSE($BP81:$CG81)},4,TRUE),
col,CHOOSECOLS(array,5),
row,MATCH(FALSE, ISBLANK(col), 0),
IF(CG81=SWITCH($AA$22,
"minimum cost", MIN($BP81:$CG81),
"maximum cost", MAX($BP81:$CG81), 
"custom order", IF(CZ$1=INDEX(array, row,1),INDEX(array, row,5),"x"))
,1,))</f>
        <v/>
      </c>
      <c r="DA81" s="461"/>
      <c r="DB81" s="580" t="str">
        <f t="array" ref="DB81:DS81">IF(MATCH(1, CI81:CZ81, 0)=COLUMN(CI81:CZ81)-COLUMN(CI81)+1, CI81:CZ81, "")</f>
        <v/>
      </c>
      <c r="DC81" s="252" t="s">
        <v>133</v>
      </c>
      <c r="DD81" s="252" t="s">
        <v>133</v>
      </c>
      <c r="DE81" s="252" t="s">
        <v>133</v>
      </c>
      <c r="DF81" s="252" t="s">
        <v>133</v>
      </c>
      <c r="DG81" s="252" t="s">
        <v>133</v>
      </c>
      <c r="DH81" s="390" t="s">
        <v>133</v>
      </c>
      <c r="DI81" s="390" t="s">
        <v>133</v>
      </c>
      <c r="DJ81" s="390" t="s">
        <v>133</v>
      </c>
      <c r="DK81" s="390" t="s">
        <v>133</v>
      </c>
      <c r="DL81" s="390">
        <v>1.0</v>
      </c>
      <c r="DM81" s="390" t="s">
        <v>133</v>
      </c>
      <c r="DN81" s="469" t="s">
        <v>133</v>
      </c>
      <c r="DO81" s="469" t="s">
        <v>133</v>
      </c>
      <c r="DP81" s="469" t="s">
        <v>133</v>
      </c>
      <c r="DQ81" s="469" t="s">
        <v>133</v>
      </c>
      <c r="DR81" s="469" t="s">
        <v>133</v>
      </c>
      <c r="DS81" s="581" t="s">
        <v>133</v>
      </c>
      <c r="DT81" s="563"/>
    </row>
    <row r="82">
      <c r="A82" s="563"/>
      <c r="B82" s="709"/>
      <c r="C82" s="709"/>
      <c r="D82" s="709"/>
      <c r="E82" s="10"/>
      <c r="F82" s="709"/>
      <c r="G82" s="10"/>
      <c r="H82" s="709"/>
      <c r="I82" s="10"/>
      <c r="J82" s="709"/>
      <c r="K82" s="10"/>
      <c r="L82" s="709"/>
      <c r="M82" s="461"/>
      <c r="N82" s="10"/>
      <c r="O82" s="10"/>
      <c r="P82" s="10"/>
      <c r="Q82" s="570" t="str">
        <f>IFERROR(__xludf.DUMMYFUNCTION("IF(SUM(DB82:DS82),ARRAYFORMULA(FILTER(DB$1:DS$1, DB82:DS82=1)),)"),"Wall Health")</f>
        <v>Wall Health</v>
      </c>
      <c r="R82" s="571">
        <f>IFERROR(__xludf.DUMMYFUNCTION("IF(SUM(DB82:DS82),ARRAYFORMULA(FILTER(AW82:BN82, DB82:DS82=1))+1,)"),67.0)</f>
        <v>67</v>
      </c>
      <c r="S82" s="572">
        <f>IFERROR(__xludf.DUMMYFUNCTION("IF(SUM(DB82:DS82),ARRAYFORMULA(FILTER(AD82:AU82, DB82:DS82=1)),)"),1.531E14)</f>
        <v>153100000000000</v>
      </c>
      <c r="T82" s="572">
        <f t="shared" si="26"/>
        <v>1.63059E+16</v>
      </c>
      <c r="U82" s="573" t="str">
        <f t="shared" ref="U82:V82" si="262">FORMAT_NUMBER(S82)</f>
        <v>153.1 T</v>
      </c>
      <c r="V82" s="574" t="str">
        <f t="shared" si="262"/>
        <v>16.31 q</v>
      </c>
      <c r="W82" s="677"/>
      <c r="X82" s="709"/>
      <c r="Y82" s="709"/>
      <c r="Z82" s="709"/>
      <c r="AA82" s="709"/>
      <c r="AB82" s="712"/>
      <c r="AC82" s="461"/>
      <c r="AD82" s="580">
        <f t="shared" ref="AD82:AU82" si="263">IFERROR(WSPCOST_SINGLE_ADJUSTED(AD$1,1+AW82),)</f>
        <v>37110000000000</v>
      </c>
      <c r="AE82" s="252">
        <f t="shared" si="263"/>
        <v>82420000000</v>
      </c>
      <c r="AF82" s="252">
        <f t="shared" si="263"/>
        <v>69650000000000</v>
      </c>
      <c r="AG82" s="252">
        <f t="shared" si="263"/>
        <v>21210000000</v>
      </c>
      <c r="AH82" s="252">
        <f t="shared" si="263"/>
        <v>43890000000000</v>
      </c>
      <c r="AI82" s="252">
        <f t="shared" si="263"/>
        <v>47710000000000</v>
      </c>
      <c r="AJ82" s="390">
        <f t="shared" si="263"/>
        <v>297430000000000</v>
      </c>
      <c r="AK82" s="390">
        <f t="shared" si="263"/>
        <v>580270000000000</v>
      </c>
      <c r="AL82" s="390">
        <f t="shared" si="263"/>
        <v>5000000000</v>
      </c>
      <c r="AM82" s="390">
        <f t="shared" si="263"/>
        <v>33950000000</v>
      </c>
      <c r="AN82" s="390">
        <f t="shared" si="263"/>
        <v>153100000000000</v>
      </c>
      <c r="AO82" s="390">
        <f t="shared" si="263"/>
        <v>22020000000000</v>
      </c>
      <c r="AP82" s="469">
        <f t="shared" si="263"/>
        <v>153100000000000</v>
      </c>
      <c r="AQ82" s="469">
        <f t="shared" si="263"/>
        <v>1.3E+15</v>
      </c>
      <c r="AR82" s="469">
        <f t="shared" si="263"/>
        <v>1.3E+15</v>
      </c>
      <c r="AS82" s="469">
        <f t="shared" si="263"/>
        <v>420490000000000</v>
      </c>
      <c r="AT82" s="469">
        <f t="shared" si="263"/>
        <v>3990000000000</v>
      </c>
      <c r="AU82" s="581">
        <f t="shared" si="263"/>
        <v>1.14E+15</v>
      </c>
      <c r="AV82" s="461"/>
      <c r="AW82" s="580">
        <f t="shared" ref="AW82:BN82" si="264">AW81+DB81</f>
        <v>56</v>
      </c>
      <c r="AX82" s="252">
        <f t="shared" si="264"/>
        <v>21</v>
      </c>
      <c r="AY82" s="252">
        <f t="shared" si="264"/>
        <v>60</v>
      </c>
      <c r="AZ82" s="252">
        <f t="shared" si="264"/>
        <v>17</v>
      </c>
      <c r="BA82" s="252">
        <f t="shared" si="264"/>
        <v>57</v>
      </c>
      <c r="BB82" s="252">
        <f t="shared" si="264"/>
        <v>13</v>
      </c>
      <c r="BC82" s="390">
        <f t="shared" si="264"/>
        <v>72</v>
      </c>
      <c r="BD82" s="390">
        <f t="shared" si="264"/>
        <v>79</v>
      </c>
      <c r="BE82" s="390">
        <f t="shared" si="264"/>
        <v>0</v>
      </c>
      <c r="BF82" s="390">
        <f t="shared" si="264"/>
        <v>18</v>
      </c>
      <c r="BG82" s="390">
        <f t="shared" si="264"/>
        <v>66</v>
      </c>
      <c r="BH82" s="390">
        <f t="shared" si="264"/>
        <v>20</v>
      </c>
      <c r="BI82" s="469">
        <f t="shared" si="264"/>
        <v>66</v>
      </c>
      <c r="BJ82" s="469">
        <f t="shared" si="264"/>
        <v>37</v>
      </c>
      <c r="BK82" s="469">
        <f t="shared" si="264"/>
        <v>37</v>
      </c>
      <c r="BL82" s="469">
        <f t="shared" si="264"/>
        <v>18</v>
      </c>
      <c r="BM82" s="469">
        <f t="shared" si="264"/>
        <v>42</v>
      </c>
      <c r="BN82" s="581">
        <f t="shared" si="264"/>
        <v>15</v>
      </c>
      <c r="BO82" s="461"/>
      <c r="BP82" s="580">
        <f t="shared" si="8"/>
        <v>37110000000000</v>
      </c>
      <c r="BQ82" s="252" t="str">
        <f t="shared" si="9"/>
        <v/>
      </c>
      <c r="BR82" s="252">
        <f t="shared" si="10"/>
        <v>69650000000000</v>
      </c>
      <c r="BS82" s="252" t="str">
        <f t="shared" si="11"/>
        <v/>
      </c>
      <c r="BT82" s="252" t="str">
        <f t="shared" si="12"/>
        <v/>
      </c>
      <c r="BU82" s="252">
        <f t="shared" si="13"/>
        <v>47710000000000</v>
      </c>
      <c r="BV82" s="390" t="str">
        <f t="shared" si="14"/>
        <v/>
      </c>
      <c r="BW82" s="390" t="str">
        <f t="shared" si="15"/>
        <v/>
      </c>
      <c r="BX82" s="390" t="str">
        <f t="shared" si="16"/>
        <v/>
      </c>
      <c r="BY82" s="390" t="str">
        <f t="shared" si="17"/>
        <v/>
      </c>
      <c r="BZ82" s="390">
        <f t="shared" si="18"/>
        <v>153100000000000</v>
      </c>
      <c r="CA82" s="390">
        <f t="shared" si="19"/>
        <v>22020000000000</v>
      </c>
      <c r="CB82" s="469" t="str">
        <f t="shared" si="20"/>
        <v/>
      </c>
      <c r="CC82" s="469" t="str">
        <f t="shared" si="21"/>
        <v/>
      </c>
      <c r="CD82" s="469" t="str">
        <f t="shared" si="22"/>
        <v/>
      </c>
      <c r="CE82" s="469" t="str">
        <f t="shared" si="23"/>
        <v/>
      </c>
      <c r="CF82" s="469" t="str">
        <f t="shared" si="24"/>
        <v/>
      </c>
      <c r="CG82" s="581" t="str">
        <f t="shared" si="25"/>
        <v/>
      </c>
      <c r="CH82" s="461"/>
      <c r="CI82" s="580" t="str">
        <f t="array" ref="CI82">LET(
array,SORT({$Y$2:$AB$19,TRANSPOSE($BP82:$CG82)},4,TRUE),
col,CHOOSECOLS(array,5),
row,MATCH(FALSE, ISBLANK(col), 0),
IF(BP82=SWITCH($AA$22,
"minimum cost", MIN($BP82:$CG82),
"maximum cost", MAX($BP82:$CG82), 
"custom order", IF(CI$1=INDEX(array, row,1),INDEX(array, row,5),"x"))
,1,))</f>
        <v/>
      </c>
      <c r="CJ82" s="252" t="str">
        <f t="array" ref="CJ82">LET(
array,SORT({$Y$2:$AB$19,TRANSPOSE($BP82:$CG82)},4,TRUE),
col,CHOOSECOLS(array,5),
row,MATCH(FALSE, ISBLANK(col), 0),
IF(BQ82=SWITCH($AA$22,
"minimum cost", MIN($BP82:$CG82),
"maximum cost", MAX($BP82:$CG82), 
"custom order", IF(CJ$1=INDEX(array, row,1),INDEX(array, row,5),"x"))
,1,))</f>
        <v/>
      </c>
      <c r="CK82" s="252" t="str">
        <f t="array" ref="CK82">LET(
array,SORT({$Y$2:$AB$19,TRANSPOSE($BP82:$CG82)},4,TRUE),
col,CHOOSECOLS(array,5),
row,MATCH(FALSE, ISBLANK(col), 0),
IF(BR82=SWITCH($AA$22,
"minimum cost", MIN($BP82:$CG82),
"maximum cost", MAX($BP82:$CG82), 
"custom order", IF(CK$1=INDEX(array, row,1),INDEX(array, row,5),"x"))
,1,))</f>
        <v/>
      </c>
      <c r="CL82" s="252" t="str">
        <f t="array" ref="CL82">LET(
array,SORT({$Y$2:$AB$19,TRANSPOSE($BP82:$CG82)},4,TRUE),
col,CHOOSECOLS(array,5),
row,MATCH(FALSE, ISBLANK(col), 0),
IF(BS82=SWITCH($AA$22,
"minimum cost", MIN($BP82:$CG82),
"maximum cost", MAX($BP82:$CG82), 
"custom order", IF(CL$1=INDEX(array, row,1),INDEX(array, row,5),"x"))
,1,))</f>
        <v/>
      </c>
      <c r="CM82" s="252" t="str">
        <f t="array" ref="CM82">LET(
array,SORT({$Y$2:$AB$19,TRANSPOSE($BP82:$CG82)},4,TRUE),
col,CHOOSECOLS(array,5),
row,MATCH(FALSE, ISBLANK(col), 0),
IF(BT82=SWITCH($AA$22,
"minimum cost", MIN($BP82:$CG82),
"maximum cost", MAX($BP82:$CG82), 
"custom order", IF(CM$1=INDEX(array, row,1),INDEX(array, row,5),"x"))
,1,))</f>
        <v/>
      </c>
      <c r="CN82" s="252" t="str">
        <f t="array" ref="CN82">LET(
array,SORT({$Y$2:$AB$19,TRANSPOSE($BP82:$CG82)},4,TRUE),
col,CHOOSECOLS(array,5),
row,MATCH(FALSE, ISBLANK(col), 0),
IF(BU82=SWITCH($AA$22,
"minimum cost", MIN($BP82:$CG82),
"maximum cost", MAX($BP82:$CG82), 
"custom order", IF(CN$1=INDEX(array, row,1),INDEX(array, row,5),"x"))
,1,))</f>
        <v/>
      </c>
      <c r="CO82" s="390" t="str">
        <f t="array" ref="CO82">LET(
array,SORT({$Y$2:$AB$19,TRANSPOSE($BP82:$CG82)},4,TRUE),
col,CHOOSECOLS(array,5),
row,MATCH(FALSE, ISBLANK(col), 0),
IF(BV82=SWITCH($AA$22,
"minimum cost", MIN($BP82:$CG82),
"maximum cost", MAX($BP82:$CG82), 
"custom order", IF(CO$1=INDEX(array, row,1),INDEX(array, row,5),"x"))
,1,))</f>
        <v/>
      </c>
      <c r="CP82" s="390" t="str">
        <f t="array" ref="CP82">LET(
array,SORT({$Y$2:$AB$19,TRANSPOSE($BP82:$CG82)},4,TRUE),
col,CHOOSECOLS(array,5),
row,MATCH(FALSE, ISBLANK(col), 0),
IF(BW82=SWITCH($AA$22,
"minimum cost", MIN($BP82:$CG82),
"maximum cost", MAX($BP82:$CG82), 
"custom order", IF(CP$1=INDEX(array, row,1),INDEX(array, row,5),"x"))
,1,))</f>
        <v/>
      </c>
      <c r="CQ82" s="390" t="str">
        <f t="array" ref="CQ82">LET(
array,SORT({$Y$2:$AB$19,TRANSPOSE($BP82:$CG82)},4,TRUE),
col,CHOOSECOLS(array,5),
row,MATCH(FALSE, ISBLANK(col), 0),
IF(BX82=SWITCH($AA$22,
"minimum cost", MIN($BP82:$CG82),
"maximum cost", MAX($BP82:$CG82), 
"custom order", IF(CQ$1=INDEX(array, row,1),INDEX(array, row,5),"x"))
,1,))</f>
        <v/>
      </c>
      <c r="CR82" s="390" t="str">
        <f t="array" ref="CR82">LET(
array,SORT({$Y$2:$AB$19,TRANSPOSE($BP82:$CG82)},4,TRUE),
col,CHOOSECOLS(array,5),
row,MATCH(FALSE, ISBLANK(col), 0),
IF(BY82=SWITCH($AA$22,
"minimum cost", MIN($BP82:$CG82),
"maximum cost", MAX($BP82:$CG82), 
"custom order", IF(CR$1=INDEX(array, row,1),INDEX(array, row,5),"x"))
,1,))</f>
        <v/>
      </c>
      <c r="CS82" s="390">
        <f t="array" ref="CS82">LET(
array,SORT({$Y$2:$AB$19,TRANSPOSE($BP82:$CG82)},4,TRUE),
col,CHOOSECOLS(array,5),
row,MATCH(FALSE, ISBLANK(col), 0),
IF(BZ82=SWITCH($AA$22,
"minimum cost", MIN($BP82:$CG82),
"maximum cost", MAX($BP82:$CG82), 
"custom order", IF(CS$1=INDEX(array, row,1),INDEX(array, row,5),"x"))
,1,))</f>
        <v>1</v>
      </c>
      <c r="CT82" s="390" t="str">
        <f t="array" ref="CT82">LET(
array,SORT({$Y$2:$AB$19,TRANSPOSE($BP82:$CG82)},4,TRUE),
col,CHOOSECOLS(array,5),
row,MATCH(FALSE, ISBLANK(col), 0),
IF(CA82=SWITCH($AA$22,
"minimum cost", MIN($BP82:$CG82),
"maximum cost", MAX($BP82:$CG82), 
"custom order", IF(CT$1=INDEX(array, row,1),INDEX(array, row,5),"x"))
,1,))</f>
        <v/>
      </c>
      <c r="CU82" s="469" t="str">
        <f t="array" ref="CU82">LET(
array,SORT({$Y$2:$AB$19,TRANSPOSE($BP82:$CG82)},4,TRUE),
col,CHOOSECOLS(array,5),
row,MATCH(FALSE, ISBLANK(col), 0),
IF(CB82=SWITCH($AA$22,
"minimum cost", MIN($BP82:$CG82),
"maximum cost", MAX($BP82:$CG82), 
"custom order", IF(CU$1=INDEX(array, row,1),INDEX(array, row,5),"x"))
,1,))</f>
        <v/>
      </c>
      <c r="CV82" s="469" t="str">
        <f t="array" ref="CV82">LET(
array,SORT({$Y$2:$AB$19,TRANSPOSE($BP82:$CG82)},4,TRUE),
col,CHOOSECOLS(array,5),
row,MATCH(FALSE, ISBLANK(col), 0),
IF(CC82=SWITCH($AA$22,
"minimum cost", MIN($BP82:$CG82),
"maximum cost", MAX($BP82:$CG82), 
"custom order", IF(CV$1=INDEX(array, row,1),INDEX(array, row,5),"x"))
,1,))</f>
        <v/>
      </c>
      <c r="CW82" s="469" t="str">
        <f t="array" ref="CW82">LET(
array,SORT({$Y$2:$AB$19,TRANSPOSE($BP82:$CG82)},4,TRUE),
col,CHOOSECOLS(array,5),
row,MATCH(FALSE, ISBLANK(col), 0),
IF(CD82=SWITCH($AA$22,
"minimum cost", MIN($BP82:$CG82),
"maximum cost", MAX($BP82:$CG82), 
"custom order", IF(CW$1=INDEX(array, row,1),INDEX(array, row,5),"x"))
,1,))</f>
        <v/>
      </c>
      <c r="CX82" s="469" t="str">
        <f t="array" ref="CX82">LET(
array,SORT({$Y$2:$AB$19,TRANSPOSE($BP82:$CG82)},4,TRUE),
col,CHOOSECOLS(array,5),
row,MATCH(FALSE, ISBLANK(col), 0),
IF(CE82=SWITCH($AA$22,
"minimum cost", MIN($BP82:$CG82),
"maximum cost", MAX($BP82:$CG82), 
"custom order", IF(CX$1=INDEX(array, row,1),INDEX(array, row,5),"x"))
,1,))</f>
        <v/>
      </c>
      <c r="CY82" s="469" t="str">
        <f t="array" ref="CY82">LET(
array,SORT({$Y$2:$AB$19,TRANSPOSE($BP82:$CG82)},4,TRUE),
col,CHOOSECOLS(array,5),
row,MATCH(FALSE, ISBLANK(col), 0),
IF(CF82=SWITCH($AA$22,
"minimum cost", MIN($BP82:$CG82),
"maximum cost", MAX($BP82:$CG82), 
"custom order", IF(CY$1=INDEX(array, row,1),INDEX(array, row,5),"x"))
,1,))</f>
        <v/>
      </c>
      <c r="CZ82" s="581" t="str">
        <f t="array" ref="CZ82">LET(
array,SORT({$Y$2:$AB$19,TRANSPOSE($BP82:$CG82)},4,TRUE),
col,CHOOSECOLS(array,5),
row,MATCH(FALSE, ISBLANK(col), 0),
IF(CG82=SWITCH($AA$22,
"minimum cost", MIN($BP82:$CG82),
"maximum cost", MAX($BP82:$CG82), 
"custom order", IF(CZ$1=INDEX(array, row,1),INDEX(array, row,5),"x"))
,1,))</f>
        <v/>
      </c>
      <c r="DA82" s="461"/>
      <c r="DB82" s="580" t="str">
        <f t="array" ref="DB82:DS82">IF(MATCH(1, CI82:CZ82, 0)=COLUMN(CI82:CZ82)-COLUMN(CI82)+1, CI82:CZ82, "")</f>
        <v/>
      </c>
      <c r="DC82" s="252" t="s">
        <v>133</v>
      </c>
      <c r="DD82" s="252" t="s">
        <v>133</v>
      </c>
      <c r="DE82" s="252" t="s">
        <v>133</v>
      </c>
      <c r="DF82" s="252" t="s">
        <v>133</v>
      </c>
      <c r="DG82" s="252" t="s">
        <v>133</v>
      </c>
      <c r="DH82" s="390" t="s">
        <v>133</v>
      </c>
      <c r="DI82" s="390" t="s">
        <v>133</v>
      </c>
      <c r="DJ82" s="390" t="s">
        <v>133</v>
      </c>
      <c r="DK82" s="390" t="s">
        <v>133</v>
      </c>
      <c r="DL82" s="390">
        <v>1.0</v>
      </c>
      <c r="DM82" s="390" t="s">
        <v>133</v>
      </c>
      <c r="DN82" s="469" t="s">
        <v>133</v>
      </c>
      <c r="DO82" s="469" t="s">
        <v>133</v>
      </c>
      <c r="DP82" s="469" t="s">
        <v>133</v>
      </c>
      <c r="DQ82" s="469" t="s">
        <v>133</v>
      </c>
      <c r="DR82" s="469" t="s">
        <v>133</v>
      </c>
      <c r="DS82" s="581" t="s">
        <v>133</v>
      </c>
      <c r="DT82" s="563"/>
    </row>
    <row r="83">
      <c r="A83" s="563"/>
      <c r="B83" s="709"/>
      <c r="C83" s="709"/>
      <c r="D83" s="709"/>
      <c r="E83" s="10"/>
      <c r="F83" s="709"/>
      <c r="G83" s="10"/>
      <c r="H83" s="709"/>
      <c r="I83" s="10"/>
      <c r="J83" s="709"/>
      <c r="K83" s="10"/>
      <c r="L83" s="709"/>
      <c r="M83" s="461"/>
      <c r="N83" s="10"/>
      <c r="O83" s="10"/>
      <c r="P83" s="10"/>
      <c r="Q83" s="570" t="str">
        <f>IFERROR(__xludf.DUMMYFUNCTION("IF(SUM(DB83:DS83),ARRAYFORMULA(FILTER(DB$1:DS$1, DB83:DS83=1)),)"),"Wall Health")</f>
        <v>Wall Health</v>
      </c>
      <c r="R83" s="571">
        <f>IFERROR(__xludf.DUMMYFUNCTION("IF(SUM(DB83:DS83),ARRAYFORMULA(FILTER(AW83:BN83, DB83:DS83=1))+1,)"),68.0)</f>
        <v>68</v>
      </c>
      <c r="S83" s="572">
        <f>IFERROR(__xludf.DUMMYFUNCTION("IF(SUM(DB83:DS83),ARRAYFORMULA(FILTER(AD83:AU83, DB83:DS83=1)),)"),1.7226E14)</f>
        <v>172260000000000</v>
      </c>
      <c r="T83" s="572">
        <f t="shared" si="26"/>
        <v>1.64782E+16</v>
      </c>
      <c r="U83" s="573" t="str">
        <f t="shared" ref="U83:V83" si="265">FORMAT_NUMBER(S83)</f>
        <v>172.26 T</v>
      </c>
      <c r="V83" s="574" t="str">
        <f t="shared" si="265"/>
        <v>16.48 q</v>
      </c>
      <c r="W83" s="677"/>
      <c r="X83" s="709"/>
      <c r="Y83" s="709"/>
      <c r="Z83" s="709"/>
      <c r="AA83" s="709"/>
      <c r="AB83" s="712"/>
      <c r="AC83" s="461"/>
      <c r="AD83" s="580">
        <f t="shared" ref="AD83:AU83" si="266">IFERROR(WSPCOST_SINGLE_ADJUSTED(AD$1,1+AW83),)</f>
        <v>37110000000000</v>
      </c>
      <c r="AE83" s="252">
        <f t="shared" si="266"/>
        <v>82420000000</v>
      </c>
      <c r="AF83" s="252">
        <f t="shared" si="266"/>
        <v>69650000000000</v>
      </c>
      <c r="AG83" s="252">
        <f t="shared" si="266"/>
        <v>21210000000</v>
      </c>
      <c r="AH83" s="252">
        <f t="shared" si="266"/>
        <v>43890000000000</v>
      </c>
      <c r="AI83" s="252">
        <f t="shared" si="266"/>
        <v>47710000000000</v>
      </c>
      <c r="AJ83" s="390">
        <f t="shared" si="266"/>
        <v>297430000000000</v>
      </c>
      <c r="AK83" s="390">
        <f t="shared" si="266"/>
        <v>580270000000000</v>
      </c>
      <c r="AL83" s="390">
        <f t="shared" si="266"/>
        <v>5000000000</v>
      </c>
      <c r="AM83" s="390">
        <f t="shared" si="266"/>
        <v>33950000000</v>
      </c>
      <c r="AN83" s="390">
        <f t="shared" si="266"/>
        <v>172260000000000</v>
      </c>
      <c r="AO83" s="390">
        <f t="shared" si="266"/>
        <v>22020000000000</v>
      </c>
      <c r="AP83" s="469">
        <f t="shared" si="266"/>
        <v>153100000000000</v>
      </c>
      <c r="AQ83" s="469">
        <f t="shared" si="266"/>
        <v>1.3E+15</v>
      </c>
      <c r="AR83" s="469">
        <f t="shared" si="266"/>
        <v>1.3E+15</v>
      </c>
      <c r="AS83" s="469">
        <f t="shared" si="266"/>
        <v>420490000000000</v>
      </c>
      <c r="AT83" s="469">
        <f t="shared" si="266"/>
        <v>3990000000000</v>
      </c>
      <c r="AU83" s="581">
        <f t="shared" si="266"/>
        <v>1.14E+15</v>
      </c>
      <c r="AV83" s="461"/>
      <c r="AW83" s="580">
        <f t="shared" ref="AW83:BN83" si="267">AW82+DB82</f>
        <v>56</v>
      </c>
      <c r="AX83" s="252">
        <f t="shared" si="267"/>
        <v>21</v>
      </c>
      <c r="AY83" s="252">
        <f t="shared" si="267"/>
        <v>60</v>
      </c>
      <c r="AZ83" s="252">
        <f t="shared" si="267"/>
        <v>17</v>
      </c>
      <c r="BA83" s="252">
        <f t="shared" si="267"/>
        <v>57</v>
      </c>
      <c r="BB83" s="252">
        <f t="shared" si="267"/>
        <v>13</v>
      </c>
      <c r="BC83" s="390">
        <f t="shared" si="267"/>
        <v>72</v>
      </c>
      <c r="BD83" s="390">
        <f t="shared" si="267"/>
        <v>79</v>
      </c>
      <c r="BE83" s="390">
        <f t="shared" si="267"/>
        <v>0</v>
      </c>
      <c r="BF83" s="390">
        <f t="shared" si="267"/>
        <v>18</v>
      </c>
      <c r="BG83" s="390">
        <f t="shared" si="267"/>
        <v>67</v>
      </c>
      <c r="BH83" s="390">
        <f t="shared" si="267"/>
        <v>20</v>
      </c>
      <c r="BI83" s="469">
        <f t="shared" si="267"/>
        <v>66</v>
      </c>
      <c r="BJ83" s="469">
        <f t="shared" si="267"/>
        <v>37</v>
      </c>
      <c r="BK83" s="469">
        <f t="shared" si="267"/>
        <v>37</v>
      </c>
      <c r="BL83" s="469">
        <f t="shared" si="267"/>
        <v>18</v>
      </c>
      <c r="BM83" s="469">
        <f t="shared" si="267"/>
        <v>42</v>
      </c>
      <c r="BN83" s="581">
        <f t="shared" si="267"/>
        <v>15</v>
      </c>
      <c r="BO83" s="461"/>
      <c r="BP83" s="580">
        <f t="shared" si="8"/>
        <v>37110000000000</v>
      </c>
      <c r="BQ83" s="252" t="str">
        <f t="shared" si="9"/>
        <v/>
      </c>
      <c r="BR83" s="252">
        <f t="shared" si="10"/>
        <v>69650000000000</v>
      </c>
      <c r="BS83" s="252" t="str">
        <f t="shared" si="11"/>
        <v/>
      </c>
      <c r="BT83" s="252" t="str">
        <f t="shared" si="12"/>
        <v/>
      </c>
      <c r="BU83" s="252">
        <f t="shared" si="13"/>
        <v>47710000000000</v>
      </c>
      <c r="BV83" s="390" t="str">
        <f t="shared" si="14"/>
        <v/>
      </c>
      <c r="BW83" s="390" t="str">
        <f t="shared" si="15"/>
        <v/>
      </c>
      <c r="BX83" s="390" t="str">
        <f t="shared" si="16"/>
        <v/>
      </c>
      <c r="BY83" s="390" t="str">
        <f t="shared" si="17"/>
        <v/>
      </c>
      <c r="BZ83" s="390">
        <f t="shared" si="18"/>
        <v>172260000000000</v>
      </c>
      <c r="CA83" s="390">
        <f t="shared" si="19"/>
        <v>22020000000000</v>
      </c>
      <c r="CB83" s="469" t="str">
        <f t="shared" si="20"/>
        <v/>
      </c>
      <c r="CC83" s="469" t="str">
        <f t="shared" si="21"/>
        <v/>
      </c>
      <c r="CD83" s="469" t="str">
        <f t="shared" si="22"/>
        <v/>
      </c>
      <c r="CE83" s="469" t="str">
        <f t="shared" si="23"/>
        <v/>
      </c>
      <c r="CF83" s="469" t="str">
        <f t="shared" si="24"/>
        <v/>
      </c>
      <c r="CG83" s="581" t="str">
        <f t="shared" si="25"/>
        <v/>
      </c>
      <c r="CH83" s="461"/>
      <c r="CI83" s="580" t="str">
        <f t="array" ref="CI83">LET(
array,SORT({$Y$2:$AB$19,TRANSPOSE($BP83:$CG83)},4,TRUE),
col,CHOOSECOLS(array,5),
row,MATCH(FALSE, ISBLANK(col), 0),
IF(BP83=SWITCH($AA$22,
"minimum cost", MIN($BP83:$CG83),
"maximum cost", MAX($BP83:$CG83), 
"custom order", IF(CI$1=INDEX(array, row,1),INDEX(array, row,5),"x"))
,1,))</f>
        <v/>
      </c>
      <c r="CJ83" s="252" t="str">
        <f t="array" ref="CJ83">LET(
array,SORT({$Y$2:$AB$19,TRANSPOSE($BP83:$CG83)},4,TRUE),
col,CHOOSECOLS(array,5),
row,MATCH(FALSE, ISBLANK(col), 0),
IF(BQ83=SWITCH($AA$22,
"minimum cost", MIN($BP83:$CG83),
"maximum cost", MAX($BP83:$CG83), 
"custom order", IF(CJ$1=INDEX(array, row,1),INDEX(array, row,5),"x"))
,1,))</f>
        <v/>
      </c>
      <c r="CK83" s="252" t="str">
        <f t="array" ref="CK83">LET(
array,SORT({$Y$2:$AB$19,TRANSPOSE($BP83:$CG83)},4,TRUE),
col,CHOOSECOLS(array,5),
row,MATCH(FALSE, ISBLANK(col), 0),
IF(BR83=SWITCH($AA$22,
"minimum cost", MIN($BP83:$CG83),
"maximum cost", MAX($BP83:$CG83), 
"custom order", IF(CK$1=INDEX(array, row,1),INDEX(array, row,5),"x"))
,1,))</f>
        <v/>
      </c>
      <c r="CL83" s="252" t="str">
        <f t="array" ref="CL83">LET(
array,SORT({$Y$2:$AB$19,TRANSPOSE($BP83:$CG83)},4,TRUE),
col,CHOOSECOLS(array,5),
row,MATCH(FALSE, ISBLANK(col), 0),
IF(BS83=SWITCH($AA$22,
"minimum cost", MIN($BP83:$CG83),
"maximum cost", MAX($BP83:$CG83), 
"custom order", IF(CL$1=INDEX(array, row,1),INDEX(array, row,5),"x"))
,1,))</f>
        <v/>
      </c>
      <c r="CM83" s="252" t="str">
        <f t="array" ref="CM83">LET(
array,SORT({$Y$2:$AB$19,TRANSPOSE($BP83:$CG83)},4,TRUE),
col,CHOOSECOLS(array,5),
row,MATCH(FALSE, ISBLANK(col), 0),
IF(BT83=SWITCH($AA$22,
"minimum cost", MIN($BP83:$CG83),
"maximum cost", MAX($BP83:$CG83), 
"custom order", IF(CM$1=INDEX(array, row,1),INDEX(array, row,5),"x"))
,1,))</f>
        <v/>
      </c>
      <c r="CN83" s="252" t="str">
        <f t="array" ref="CN83">LET(
array,SORT({$Y$2:$AB$19,TRANSPOSE($BP83:$CG83)},4,TRUE),
col,CHOOSECOLS(array,5),
row,MATCH(FALSE, ISBLANK(col), 0),
IF(BU83=SWITCH($AA$22,
"minimum cost", MIN($BP83:$CG83),
"maximum cost", MAX($BP83:$CG83), 
"custom order", IF(CN$1=INDEX(array, row,1),INDEX(array, row,5),"x"))
,1,))</f>
        <v/>
      </c>
      <c r="CO83" s="390" t="str">
        <f t="array" ref="CO83">LET(
array,SORT({$Y$2:$AB$19,TRANSPOSE($BP83:$CG83)},4,TRUE),
col,CHOOSECOLS(array,5),
row,MATCH(FALSE, ISBLANK(col), 0),
IF(BV83=SWITCH($AA$22,
"minimum cost", MIN($BP83:$CG83),
"maximum cost", MAX($BP83:$CG83), 
"custom order", IF(CO$1=INDEX(array, row,1),INDEX(array, row,5),"x"))
,1,))</f>
        <v/>
      </c>
      <c r="CP83" s="390" t="str">
        <f t="array" ref="CP83">LET(
array,SORT({$Y$2:$AB$19,TRANSPOSE($BP83:$CG83)},4,TRUE),
col,CHOOSECOLS(array,5),
row,MATCH(FALSE, ISBLANK(col), 0),
IF(BW83=SWITCH($AA$22,
"minimum cost", MIN($BP83:$CG83),
"maximum cost", MAX($BP83:$CG83), 
"custom order", IF(CP$1=INDEX(array, row,1),INDEX(array, row,5),"x"))
,1,))</f>
        <v/>
      </c>
      <c r="CQ83" s="390" t="str">
        <f t="array" ref="CQ83">LET(
array,SORT({$Y$2:$AB$19,TRANSPOSE($BP83:$CG83)},4,TRUE),
col,CHOOSECOLS(array,5),
row,MATCH(FALSE, ISBLANK(col), 0),
IF(BX83=SWITCH($AA$22,
"minimum cost", MIN($BP83:$CG83),
"maximum cost", MAX($BP83:$CG83), 
"custom order", IF(CQ$1=INDEX(array, row,1),INDEX(array, row,5),"x"))
,1,))</f>
        <v/>
      </c>
      <c r="CR83" s="390" t="str">
        <f t="array" ref="CR83">LET(
array,SORT({$Y$2:$AB$19,TRANSPOSE($BP83:$CG83)},4,TRUE),
col,CHOOSECOLS(array,5),
row,MATCH(FALSE, ISBLANK(col), 0),
IF(BY83=SWITCH($AA$22,
"minimum cost", MIN($BP83:$CG83),
"maximum cost", MAX($BP83:$CG83), 
"custom order", IF(CR$1=INDEX(array, row,1),INDEX(array, row,5),"x"))
,1,))</f>
        <v/>
      </c>
      <c r="CS83" s="390">
        <f t="array" ref="CS83">LET(
array,SORT({$Y$2:$AB$19,TRANSPOSE($BP83:$CG83)},4,TRUE),
col,CHOOSECOLS(array,5),
row,MATCH(FALSE, ISBLANK(col), 0),
IF(BZ83=SWITCH($AA$22,
"minimum cost", MIN($BP83:$CG83),
"maximum cost", MAX($BP83:$CG83), 
"custom order", IF(CS$1=INDEX(array, row,1),INDEX(array, row,5),"x"))
,1,))</f>
        <v>1</v>
      </c>
      <c r="CT83" s="390" t="str">
        <f t="array" ref="CT83">LET(
array,SORT({$Y$2:$AB$19,TRANSPOSE($BP83:$CG83)},4,TRUE),
col,CHOOSECOLS(array,5),
row,MATCH(FALSE, ISBLANK(col), 0),
IF(CA83=SWITCH($AA$22,
"minimum cost", MIN($BP83:$CG83),
"maximum cost", MAX($BP83:$CG83), 
"custom order", IF(CT$1=INDEX(array, row,1),INDEX(array, row,5),"x"))
,1,))</f>
        <v/>
      </c>
      <c r="CU83" s="469" t="str">
        <f t="array" ref="CU83">LET(
array,SORT({$Y$2:$AB$19,TRANSPOSE($BP83:$CG83)},4,TRUE),
col,CHOOSECOLS(array,5),
row,MATCH(FALSE, ISBLANK(col), 0),
IF(CB83=SWITCH($AA$22,
"minimum cost", MIN($BP83:$CG83),
"maximum cost", MAX($BP83:$CG83), 
"custom order", IF(CU$1=INDEX(array, row,1),INDEX(array, row,5),"x"))
,1,))</f>
        <v/>
      </c>
      <c r="CV83" s="469" t="str">
        <f t="array" ref="CV83">LET(
array,SORT({$Y$2:$AB$19,TRANSPOSE($BP83:$CG83)},4,TRUE),
col,CHOOSECOLS(array,5),
row,MATCH(FALSE, ISBLANK(col), 0),
IF(CC83=SWITCH($AA$22,
"minimum cost", MIN($BP83:$CG83),
"maximum cost", MAX($BP83:$CG83), 
"custom order", IF(CV$1=INDEX(array, row,1),INDEX(array, row,5),"x"))
,1,))</f>
        <v/>
      </c>
      <c r="CW83" s="469" t="str">
        <f t="array" ref="CW83">LET(
array,SORT({$Y$2:$AB$19,TRANSPOSE($BP83:$CG83)},4,TRUE),
col,CHOOSECOLS(array,5),
row,MATCH(FALSE, ISBLANK(col), 0),
IF(CD83=SWITCH($AA$22,
"minimum cost", MIN($BP83:$CG83),
"maximum cost", MAX($BP83:$CG83), 
"custom order", IF(CW$1=INDEX(array, row,1),INDEX(array, row,5),"x"))
,1,))</f>
        <v/>
      </c>
      <c r="CX83" s="469" t="str">
        <f t="array" ref="CX83">LET(
array,SORT({$Y$2:$AB$19,TRANSPOSE($BP83:$CG83)},4,TRUE),
col,CHOOSECOLS(array,5),
row,MATCH(FALSE, ISBLANK(col), 0),
IF(CE83=SWITCH($AA$22,
"minimum cost", MIN($BP83:$CG83),
"maximum cost", MAX($BP83:$CG83), 
"custom order", IF(CX$1=INDEX(array, row,1),INDEX(array, row,5),"x"))
,1,))</f>
        <v/>
      </c>
      <c r="CY83" s="469" t="str">
        <f t="array" ref="CY83">LET(
array,SORT({$Y$2:$AB$19,TRANSPOSE($BP83:$CG83)},4,TRUE),
col,CHOOSECOLS(array,5),
row,MATCH(FALSE, ISBLANK(col), 0),
IF(CF83=SWITCH($AA$22,
"minimum cost", MIN($BP83:$CG83),
"maximum cost", MAX($BP83:$CG83), 
"custom order", IF(CY$1=INDEX(array, row,1),INDEX(array, row,5),"x"))
,1,))</f>
        <v/>
      </c>
      <c r="CZ83" s="581" t="str">
        <f t="array" ref="CZ83">LET(
array,SORT({$Y$2:$AB$19,TRANSPOSE($BP83:$CG83)},4,TRUE),
col,CHOOSECOLS(array,5),
row,MATCH(FALSE, ISBLANK(col), 0),
IF(CG83=SWITCH($AA$22,
"minimum cost", MIN($BP83:$CG83),
"maximum cost", MAX($BP83:$CG83), 
"custom order", IF(CZ$1=INDEX(array, row,1),INDEX(array, row,5),"x"))
,1,))</f>
        <v/>
      </c>
      <c r="DA83" s="461"/>
      <c r="DB83" s="580" t="str">
        <f t="array" ref="DB83:DS83">IF(MATCH(1, CI83:CZ83, 0)=COLUMN(CI83:CZ83)-COLUMN(CI83)+1, CI83:CZ83, "")</f>
        <v/>
      </c>
      <c r="DC83" s="252" t="s">
        <v>133</v>
      </c>
      <c r="DD83" s="252" t="s">
        <v>133</v>
      </c>
      <c r="DE83" s="252" t="s">
        <v>133</v>
      </c>
      <c r="DF83" s="252" t="s">
        <v>133</v>
      </c>
      <c r="DG83" s="252" t="s">
        <v>133</v>
      </c>
      <c r="DH83" s="390" t="s">
        <v>133</v>
      </c>
      <c r="DI83" s="390" t="s">
        <v>133</v>
      </c>
      <c r="DJ83" s="390" t="s">
        <v>133</v>
      </c>
      <c r="DK83" s="390" t="s">
        <v>133</v>
      </c>
      <c r="DL83" s="390">
        <v>1.0</v>
      </c>
      <c r="DM83" s="390" t="s">
        <v>133</v>
      </c>
      <c r="DN83" s="469" t="s">
        <v>133</v>
      </c>
      <c r="DO83" s="469" t="s">
        <v>133</v>
      </c>
      <c r="DP83" s="469" t="s">
        <v>133</v>
      </c>
      <c r="DQ83" s="469" t="s">
        <v>133</v>
      </c>
      <c r="DR83" s="469" t="s">
        <v>133</v>
      </c>
      <c r="DS83" s="581" t="s">
        <v>133</v>
      </c>
      <c r="DT83" s="563"/>
    </row>
    <row r="84">
      <c r="A84" s="563"/>
      <c r="B84" s="709"/>
      <c r="C84" s="709"/>
      <c r="D84" s="709"/>
      <c r="E84" s="10"/>
      <c r="F84" s="709"/>
      <c r="G84" s="10"/>
      <c r="H84" s="709"/>
      <c r="I84" s="10"/>
      <c r="J84" s="709"/>
      <c r="K84" s="10"/>
      <c r="L84" s="709"/>
      <c r="M84" s="461"/>
      <c r="N84" s="10"/>
      <c r="O84" s="10"/>
      <c r="P84" s="10"/>
      <c r="Q84" s="570" t="str">
        <f>IFERROR(__xludf.DUMMYFUNCTION("IF(SUM(DB84:DS84),ARRAYFORMULA(FILTER(DB$1:DS$1, DB84:DS84=1)),)"),"Wall Health")</f>
        <v>Wall Health</v>
      </c>
      <c r="R84" s="571">
        <f>IFERROR(__xludf.DUMMYFUNCTION("IF(SUM(DB84:DS84),ARRAYFORMULA(FILTER(AW84:BN84, DB84:DS84=1))+1,)"),69.0)</f>
        <v>69</v>
      </c>
      <c r="S84" s="572">
        <f>IFERROR(__xludf.DUMMYFUNCTION("IF(SUM(DB84:DS84),ARRAYFORMULA(FILTER(AD84:AU84, DB84:DS84=1)),)"),1.9321E14)</f>
        <v>193210000000000</v>
      </c>
      <c r="T84" s="572">
        <f t="shared" si="26"/>
        <v>1.66714E+16</v>
      </c>
      <c r="U84" s="573" t="str">
        <f t="shared" ref="U84:V84" si="268">FORMAT_NUMBER(S84)</f>
        <v>193.21 T</v>
      </c>
      <c r="V84" s="574" t="str">
        <f t="shared" si="268"/>
        <v>16.67 q</v>
      </c>
      <c r="W84" s="677"/>
      <c r="X84" s="709"/>
      <c r="Y84" s="709"/>
      <c r="Z84" s="709"/>
      <c r="AA84" s="709"/>
      <c r="AB84" s="712"/>
      <c r="AC84" s="461"/>
      <c r="AD84" s="580">
        <f t="shared" ref="AD84:AU84" si="269">IFERROR(WSPCOST_SINGLE_ADJUSTED(AD$1,1+AW84),)</f>
        <v>37110000000000</v>
      </c>
      <c r="AE84" s="252">
        <f t="shared" si="269"/>
        <v>82420000000</v>
      </c>
      <c r="AF84" s="252">
        <f t="shared" si="269"/>
        <v>69650000000000</v>
      </c>
      <c r="AG84" s="252">
        <f t="shared" si="269"/>
        <v>21210000000</v>
      </c>
      <c r="AH84" s="252">
        <f t="shared" si="269"/>
        <v>43890000000000</v>
      </c>
      <c r="AI84" s="252">
        <f t="shared" si="269"/>
        <v>47710000000000</v>
      </c>
      <c r="AJ84" s="390">
        <f t="shared" si="269"/>
        <v>297430000000000</v>
      </c>
      <c r="AK84" s="390">
        <f t="shared" si="269"/>
        <v>580270000000000</v>
      </c>
      <c r="AL84" s="390">
        <f t="shared" si="269"/>
        <v>5000000000</v>
      </c>
      <c r="AM84" s="390">
        <f t="shared" si="269"/>
        <v>33950000000</v>
      </c>
      <c r="AN84" s="390">
        <f t="shared" si="269"/>
        <v>193210000000000</v>
      </c>
      <c r="AO84" s="390">
        <f t="shared" si="269"/>
        <v>22020000000000</v>
      </c>
      <c r="AP84" s="469">
        <f t="shared" si="269"/>
        <v>153100000000000</v>
      </c>
      <c r="AQ84" s="469">
        <f t="shared" si="269"/>
        <v>1.3E+15</v>
      </c>
      <c r="AR84" s="469">
        <f t="shared" si="269"/>
        <v>1.3E+15</v>
      </c>
      <c r="AS84" s="469">
        <f t="shared" si="269"/>
        <v>420490000000000</v>
      </c>
      <c r="AT84" s="469">
        <f t="shared" si="269"/>
        <v>3990000000000</v>
      </c>
      <c r="AU84" s="581">
        <f t="shared" si="269"/>
        <v>1.14E+15</v>
      </c>
      <c r="AV84" s="461"/>
      <c r="AW84" s="580">
        <f t="shared" ref="AW84:BN84" si="270">AW83+DB83</f>
        <v>56</v>
      </c>
      <c r="AX84" s="252">
        <f t="shared" si="270"/>
        <v>21</v>
      </c>
      <c r="AY84" s="252">
        <f t="shared" si="270"/>
        <v>60</v>
      </c>
      <c r="AZ84" s="252">
        <f t="shared" si="270"/>
        <v>17</v>
      </c>
      <c r="BA84" s="252">
        <f t="shared" si="270"/>
        <v>57</v>
      </c>
      <c r="BB84" s="252">
        <f t="shared" si="270"/>
        <v>13</v>
      </c>
      <c r="BC84" s="390">
        <f t="shared" si="270"/>
        <v>72</v>
      </c>
      <c r="BD84" s="390">
        <f t="shared" si="270"/>
        <v>79</v>
      </c>
      <c r="BE84" s="390">
        <f t="shared" si="270"/>
        <v>0</v>
      </c>
      <c r="BF84" s="390">
        <f t="shared" si="270"/>
        <v>18</v>
      </c>
      <c r="BG84" s="390">
        <f t="shared" si="270"/>
        <v>68</v>
      </c>
      <c r="BH84" s="390">
        <f t="shared" si="270"/>
        <v>20</v>
      </c>
      <c r="BI84" s="469">
        <f t="shared" si="270"/>
        <v>66</v>
      </c>
      <c r="BJ84" s="469">
        <f t="shared" si="270"/>
        <v>37</v>
      </c>
      <c r="BK84" s="469">
        <f t="shared" si="270"/>
        <v>37</v>
      </c>
      <c r="BL84" s="469">
        <f t="shared" si="270"/>
        <v>18</v>
      </c>
      <c r="BM84" s="469">
        <f t="shared" si="270"/>
        <v>42</v>
      </c>
      <c r="BN84" s="581">
        <f t="shared" si="270"/>
        <v>15</v>
      </c>
      <c r="BO84" s="461"/>
      <c r="BP84" s="580">
        <f t="shared" si="8"/>
        <v>37110000000000</v>
      </c>
      <c r="BQ84" s="252" t="str">
        <f t="shared" si="9"/>
        <v/>
      </c>
      <c r="BR84" s="252">
        <f t="shared" si="10"/>
        <v>69650000000000</v>
      </c>
      <c r="BS84" s="252" t="str">
        <f t="shared" si="11"/>
        <v/>
      </c>
      <c r="BT84" s="252" t="str">
        <f t="shared" si="12"/>
        <v/>
      </c>
      <c r="BU84" s="252">
        <f t="shared" si="13"/>
        <v>47710000000000</v>
      </c>
      <c r="BV84" s="390" t="str">
        <f t="shared" si="14"/>
        <v/>
      </c>
      <c r="BW84" s="390" t="str">
        <f t="shared" si="15"/>
        <v/>
      </c>
      <c r="BX84" s="390" t="str">
        <f t="shared" si="16"/>
        <v/>
      </c>
      <c r="BY84" s="390" t="str">
        <f t="shared" si="17"/>
        <v/>
      </c>
      <c r="BZ84" s="390">
        <f t="shared" si="18"/>
        <v>193210000000000</v>
      </c>
      <c r="CA84" s="390">
        <f t="shared" si="19"/>
        <v>22020000000000</v>
      </c>
      <c r="CB84" s="469" t="str">
        <f t="shared" si="20"/>
        <v/>
      </c>
      <c r="CC84" s="469" t="str">
        <f t="shared" si="21"/>
        <v/>
      </c>
      <c r="CD84" s="469" t="str">
        <f t="shared" si="22"/>
        <v/>
      </c>
      <c r="CE84" s="469" t="str">
        <f t="shared" si="23"/>
        <v/>
      </c>
      <c r="CF84" s="469" t="str">
        <f t="shared" si="24"/>
        <v/>
      </c>
      <c r="CG84" s="581" t="str">
        <f t="shared" si="25"/>
        <v/>
      </c>
      <c r="CH84" s="461"/>
      <c r="CI84" s="580" t="str">
        <f t="array" ref="CI84">LET(
array,SORT({$Y$2:$AB$19,TRANSPOSE($BP84:$CG84)},4,TRUE),
col,CHOOSECOLS(array,5),
row,MATCH(FALSE, ISBLANK(col), 0),
IF(BP84=SWITCH($AA$22,
"minimum cost", MIN($BP84:$CG84),
"maximum cost", MAX($BP84:$CG84), 
"custom order", IF(CI$1=INDEX(array, row,1),INDEX(array, row,5),"x"))
,1,))</f>
        <v/>
      </c>
      <c r="CJ84" s="252" t="str">
        <f t="array" ref="CJ84">LET(
array,SORT({$Y$2:$AB$19,TRANSPOSE($BP84:$CG84)},4,TRUE),
col,CHOOSECOLS(array,5),
row,MATCH(FALSE, ISBLANK(col), 0),
IF(BQ84=SWITCH($AA$22,
"minimum cost", MIN($BP84:$CG84),
"maximum cost", MAX($BP84:$CG84), 
"custom order", IF(CJ$1=INDEX(array, row,1),INDEX(array, row,5),"x"))
,1,))</f>
        <v/>
      </c>
      <c r="CK84" s="252" t="str">
        <f t="array" ref="CK84">LET(
array,SORT({$Y$2:$AB$19,TRANSPOSE($BP84:$CG84)},4,TRUE),
col,CHOOSECOLS(array,5),
row,MATCH(FALSE, ISBLANK(col), 0),
IF(BR84=SWITCH($AA$22,
"minimum cost", MIN($BP84:$CG84),
"maximum cost", MAX($BP84:$CG84), 
"custom order", IF(CK$1=INDEX(array, row,1),INDEX(array, row,5),"x"))
,1,))</f>
        <v/>
      </c>
      <c r="CL84" s="252" t="str">
        <f t="array" ref="CL84">LET(
array,SORT({$Y$2:$AB$19,TRANSPOSE($BP84:$CG84)},4,TRUE),
col,CHOOSECOLS(array,5),
row,MATCH(FALSE, ISBLANK(col), 0),
IF(BS84=SWITCH($AA$22,
"minimum cost", MIN($BP84:$CG84),
"maximum cost", MAX($BP84:$CG84), 
"custom order", IF(CL$1=INDEX(array, row,1),INDEX(array, row,5),"x"))
,1,))</f>
        <v/>
      </c>
      <c r="CM84" s="252" t="str">
        <f t="array" ref="CM84">LET(
array,SORT({$Y$2:$AB$19,TRANSPOSE($BP84:$CG84)},4,TRUE),
col,CHOOSECOLS(array,5),
row,MATCH(FALSE, ISBLANK(col), 0),
IF(BT84=SWITCH($AA$22,
"minimum cost", MIN($BP84:$CG84),
"maximum cost", MAX($BP84:$CG84), 
"custom order", IF(CM$1=INDEX(array, row,1),INDEX(array, row,5),"x"))
,1,))</f>
        <v/>
      </c>
      <c r="CN84" s="252" t="str">
        <f t="array" ref="CN84">LET(
array,SORT({$Y$2:$AB$19,TRANSPOSE($BP84:$CG84)},4,TRUE),
col,CHOOSECOLS(array,5),
row,MATCH(FALSE, ISBLANK(col), 0),
IF(BU84=SWITCH($AA$22,
"minimum cost", MIN($BP84:$CG84),
"maximum cost", MAX($BP84:$CG84), 
"custom order", IF(CN$1=INDEX(array, row,1),INDEX(array, row,5),"x"))
,1,))</f>
        <v/>
      </c>
      <c r="CO84" s="390" t="str">
        <f t="array" ref="CO84">LET(
array,SORT({$Y$2:$AB$19,TRANSPOSE($BP84:$CG84)},4,TRUE),
col,CHOOSECOLS(array,5),
row,MATCH(FALSE, ISBLANK(col), 0),
IF(BV84=SWITCH($AA$22,
"minimum cost", MIN($BP84:$CG84),
"maximum cost", MAX($BP84:$CG84), 
"custom order", IF(CO$1=INDEX(array, row,1),INDEX(array, row,5),"x"))
,1,))</f>
        <v/>
      </c>
      <c r="CP84" s="390" t="str">
        <f t="array" ref="CP84">LET(
array,SORT({$Y$2:$AB$19,TRANSPOSE($BP84:$CG84)},4,TRUE),
col,CHOOSECOLS(array,5),
row,MATCH(FALSE, ISBLANK(col), 0),
IF(BW84=SWITCH($AA$22,
"minimum cost", MIN($BP84:$CG84),
"maximum cost", MAX($BP84:$CG84), 
"custom order", IF(CP$1=INDEX(array, row,1),INDEX(array, row,5),"x"))
,1,))</f>
        <v/>
      </c>
      <c r="CQ84" s="390" t="str">
        <f t="array" ref="CQ84">LET(
array,SORT({$Y$2:$AB$19,TRANSPOSE($BP84:$CG84)},4,TRUE),
col,CHOOSECOLS(array,5),
row,MATCH(FALSE, ISBLANK(col), 0),
IF(BX84=SWITCH($AA$22,
"minimum cost", MIN($BP84:$CG84),
"maximum cost", MAX($BP84:$CG84), 
"custom order", IF(CQ$1=INDEX(array, row,1),INDEX(array, row,5),"x"))
,1,))</f>
        <v/>
      </c>
      <c r="CR84" s="390" t="str">
        <f t="array" ref="CR84">LET(
array,SORT({$Y$2:$AB$19,TRANSPOSE($BP84:$CG84)},4,TRUE),
col,CHOOSECOLS(array,5),
row,MATCH(FALSE, ISBLANK(col), 0),
IF(BY84=SWITCH($AA$22,
"minimum cost", MIN($BP84:$CG84),
"maximum cost", MAX($BP84:$CG84), 
"custom order", IF(CR$1=INDEX(array, row,1),INDEX(array, row,5),"x"))
,1,))</f>
        <v/>
      </c>
      <c r="CS84" s="390">
        <f t="array" ref="CS84">LET(
array,SORT({$Y$2:$AB$19,TRANSPOSE($BP84:$CG84)},4,TRUE),
col,CHOOSECOLS(array,5),
row,MATCH(FALSE, ISBLANK(col), 0),
IF(BZ84=SWITCH($AA$22,
"minimum cost", MIN($BP84:$CG84),
"maximum cost", MAX($BP84:$CG84), 
"custom order", IF(CS$1=INDEX(array, row,1),INDEX(array, row,5),"x"))
,1,))</f>
        <v>1</v>
      </c>
      <c r="CT84" s="390" t="str">
        <f t="array" ref="CT84">LET(
array,SORT({$Y$2:$AB$19,TRANSPOSE($BP84:$CG84)},4,TRUE),
col,CHOOSECOLS(array,5),
row,MATCH(FALSE, ISBLANK(col), 0),
IF(CA84=SWITCH($AA$22,
"minimum cost", MIN($BP84:$CG84),
"maximum cost", MAX($BP84:$CG84), 
"custom order", IF(CT$1=INDEX(array, row,1),INDEX(array, row,5),"x"))
,1,))</f>
        <v/>
      </c>
      <c r="CU84" s="469" t="str">
        <f t="array" ref="CU84">LET(
array,SORT({$Y$2:$AB$19,TRANSPOSE($BP84:$CG84)},4,TRUE),
col,CHOOSECOLS(array,5),
row,MATCH(FALSE, ISBLANK(col), 0),
IF(CB84=SWITCH($AA$22,
"minimum cost", MIN($BP84:$CG84),
"maximum cost", MAX($BP84:$CG84), 
"custom order", IF(CU$1=INDEX(array, row,1),INDEX(array, row,5),"x"))
,1,))</f>
        <v/>
      </c>
      <c r="CV84" s="469" t="str">
        <f t="array" ref="CV84">LET(
array,SORT({$Y$2:$AB$19,TRANSPOSE($BP84:$CG84)},4,TRUE),
col,CHOOSECOLS(array,5),
row,MATCH(FALSE, ISBLANK(col), 0),
IF(CC84=SWITCH($AA$22,
"minimum cost", MIN($BP84:$CG84),
"maximum cost", MAX($BP84:$CG84), 
"custom order", IF(CV$1=INDEX(array, row,1),INDEX(array, row,5),"x"))
,1,))</f>
        <v/>
      </c>
      <c r="CW84" s="469" t="str">
        <f t="array" ref="CW84">LET(
array,SORT({$Y$2:$AB$19,TRANSPOSE($BP84:$CG84)},4,TRUE),
col,CHOOSECOLS(array,5),
row,MATCH(FALSE, ISBLANK(col), 0),
IF(CD84=SWITCH($AA$22,
"minimum cost", MIN($BP84:$CG84),
"maximum cost", MAX($BP84:$CG84), 
"custom order", IF(CW$1=INDEX(array, row,1),INDEX(array, row,5),"x"))
,1,))</f>
        <v/>
      </c>
      <c r="CX84" s="469" t="str">
        <f t="array" ref="CX84">LET(
array,SORT({$Y$2:$AB$19,TRANSPOSE($BP84:$CG84)},4,TRUE),
col,CHOOSECOLS(array,5),
row,MATCH(FALSE, ISBLANK(col), 0),
IF(CE84=SWITCH($AA$22,
"minimum cost", MIN($BP84:$CG84),
"maximum cost", MAX($BP84:$CG84), 
"custom order", IF(CX$1=INDEX(array, row,1),INDEX(array, row,5),"x"))
,1,))</f>
        <v/>
      </c>
      <c r="CY84" s="469" t="str">
        <f t="array" ref="CY84">LET(
array,SORT({$Y$2:$AB$19,TRANSPOSE($BP84:$CG84)},4,TRUE),
col,CHOOSECOLS(array,5),
row,MATCH(FALSE, ISBLANK(col), 0),
IF(CF84=SWITCH($AA$22,
"minimum cost", MIN($BP84:$CG84),
"maximum cost", MAX($BP84:$CG84), 
"custom order", IF(CY$1=INDEX(array, row,1),INDEX(array, row,5),"x"))
,1,))</f>
        <v/>
      </c>
      <c r="CZ84" s="581" t="str">
        <f t="array" ref="CZ84">LET(
array,SORT({$Y$2:$AB$19,TRANSPOSE($BP84:$CG84)},4,TRUE),
col,CHOOSECOLS(array,5),
row,MATCH(FALSE, ISBLANK(col), 0),
IF(CG84=SWITCH($AA$22,
"minimum cost", MIN($BP84:$CG84),
"maximum cost", MAX($BP84:$CG84), 
"custom order", IF(CZ$1=INDEX(array, row,1),INDEX(array, row,5),"x"))
,1,))</f>
        <v/>
      </c>
      <c r="DA84" s="461"/>
      <c r="DB84" s="580" t="str">
        <f t="array" ref="DB84:DS84">IF(MATCH(1, CI84:CZ84, 0)=COLUMN(CI84:CZ84)-COLUMN(CI84)+1, CI84:CZ84, "")</f>
        <v/>
      </c>
      <c r="DC84" s="252" t="s">
        <v>133</v>
      </c>
      <c r="DD84" s="252" t="s">
        <v>133</v>
      </c>
      <c r="DE84" s="252" t="s">
        <v>133</v>
      </c>
      <c r="DF84" s="252" t="s">
        <v>133</v>
      </c>
      <c r="DG84" s="252" t="s">
        <v>133</v>
      </c>
      <c r="DH84" s="390" t="s">
        <v>133</v>
      </c>
      <c r="DI84" s="390" t="s">
        <v>133</v>
      </c>
      <c r="DJ84" s="390" t="s">
        <v>133</v>
      </c>
      <c r="DK84" s="390" t="s">
        <v>133</v>
      </c>
      <c r="DL84" s="390">
        <v>1.0</v>
      </c>
      <c r="DM84" s="390" t="s">
        <v>133</v>
      </c>
      <c r="DN84" s="469" t="s">
        <v>133</v>
      </c>
      <c r="DO84" s="469" t="s">
        <v>133</v>
      </c>
      <c r="DP84" s="469" t="s">
        <v>133</v>
      </c>
      <c r="DQ84" s="469" t="s">
        <v>133</v>
      </c>
      <c r="DR84" s="469" t="s">
        <v>133</v>
      </c>
      <c r="DS84" s="581" t="s">
        <v>133</v>
      </c>
      <c r="DT84" s="563"/>
    </row>
    <row r="85">
      <c r="A85" s="563"/>
      <c r="B85" s="709"/>
      <c r="C85" s="709"/>
      <c r="D85" s="709"/>
      <c r="E85" s="10"/>
      <c r="F85" s="709"/>
      <c r="G85" s="10"/>
      <c r="H85" s="709"/>
      <c r="I85" s="10"/>
      <c r="J85" s="709"/>
      <c r="K85" s="10"/>
      <c r="L85" s="709"/>
      <c r="M85" s="461"/>
      <c r="N85" s="10"/>
      <c r="O85" s="10"/>
      <c r="P85" s="10"/>
      <c r="Q85" s="570" t="str">
        <f>IFERROR(__xludf.DUMMYFUNCTION("IF(SUM(DB85:DS85),ARRAYFORMULA(FILTER(DB$1:DS$1, DB85:DS85=1)),)"),"Wall Health")</f>
        <v>Wall Health</v>
      </c>
      <c r="R85" s="571">
        <f>IFERROR(__xludf.DUMMYFUNCTION("IF(SUM(DB85:DS85),ARRAYFORMULA(FILTER(AW85:BN85, DB85:DS85=1))+1,)"),70.0)</f>
        <v>70</v>
      </c>
      <c r="S85" s="572">
        <f>IFERROR(__xludf.DUMMYFUNCTION("IF(SUM(DB85:DS85),ARRAYFORMULA(FILTER(AD85:AU85, DB85:DS85=1)),)"),2.1608E14)</f>
        <v>216080000000000</v>
      </c>
      <c r="T85" s="572">
        <f t="shared" si="26"/>
        <v>1.68875E+16</v>
      </c>
      <c r="U85" s="573" t="str">
        <f t="shared" ref="U85:V85" si="271">FORMAT_NUMBER(S85)</f>
        <v>216.08 T</v>
      </c>
      <c r="V85" s="574" t="str">
        <f t="shared" si="271"/>
        <v>16.89 q</v>
      </c>
      <c r="W85" s="677"/>
      <c r="X85" s="709"/>
      <c r="Y85" s="709"/>
      <c r="Z85" s="709"/>
      <c r="AA85" s="709"/>
      <c r="AB85" s="712"/>
      <c r="AC85" s="461"/>
      <c r="AD85" s="580">
        <f t="shared" ref="AD85:AU85" si="272">IFERROR(WSPCOST_SINGLE_ADJUSTED(AD$1,1+AW85),)</f>
        <v>37110000000000</v>
      </c>
      <c r="AE85" s="252">
        <f t="shared" si="272"/>
        <v>82420000000</v>
      </c>
      <c r="AF85" s="252">
        <f t="shared" si="272"/>
        <v>69650000000000</v>
      </c>
      <c r="AG85" s="252">
        <f t="shared" si="272"/>
        <v>21210000000</v>
      </c>
      <c r="AH85" s="252">
        <f t="shared" si="272"/>
        <v>43890000000000</v>
      </c>
      <c r="AI85" s="252">
        <f t="shared" si="272"/>
        <v>47710000000000</v>
      </c>
      <c r="AJ85" s="390">
        <f t="shared" si="272"/>
        <v>297430000000000</v>
      </c>
      <c r="AK85" s="390">
        <f t="shared" si="272"/>
        <v>580270000000000</v>
      </c>
      <c r="AL85" s="390">
        <f t="shared" si="272"/>
        <v>5000000000</v>
      </c>
      <c r="AM85" s="390">
        <f t="shared" si="272"/>
        <v>33950000000</v>
      </c>
      <c r="AN85" s="390">
        <f t="shared" si="272"/>
        <v>216080000000000</v>
      </c>
      <c r="AO85" s="390">
        <f t="shared" si="272"/>
        <v>22020000000000</v>
      </c>
      <c r="AP85" s="469">
        <f t="shared" si="272"/>
        <v>153100000000000</v>
      </c>
      <c r="AQ85" s="469">
        <f t="shared" si="272"/>
        <v>1.3E+15</v>
      </c>
      <c r="AR85" s="469">
        <f t="shared" si="272"/>
        <v>1.3E+15</v>
      </c>
      <c r="AS85" s="469">
        <f t="shared" si="272"/>
        <v>420490000000000</v>
      </c>
      <c r="AT85" s="469">
        <f t="shared" si="272"/>
        <v>3990000000000</v>
      </c>
      <c r="AU85" s="581">
        <f t="shared" si="272"/>
        <v>1.14E+15</v>
      </c>
      <c r="AV85" s="461"/>
      <c r="AW85" s="580">
        <f t="shared" ref="AW85:BN85" si="273">AW84+DB84</f>
        <v>56</v>
      </c>
      <c r="AX85" s="252">
        <f t="shared" si="273"/>
        <v>21</v>
      </c>
      <c r="AY85" s="252">
        <f t="shared" si="273"/>
        <v>60</v>
      </c>
      <c r="AZ85" s="252">
        <f t="shared" si="273"/>
        <v>17</v>
      </c>
      <c r="BA85" s="252">
        <f t="shared" si="273"/>
        <v>57</v>
      </c>
      <c r="BB85" s="252">
        <f t="shared" si="273"/>
        <v>13</v>
      </c>
      <c r="BC85" s="390">
        <f t="shared" si="273"/>
        <v>72</v>
      </c>
      <c r="BD85" s="390">
        <f t="shared" si="273"/>
        <v>79</v>
      </c>
      <c r="BE85" s="390">
        <f t="shared" si="273"/>
        <v>0</v>
      </c>
      <c r="BF85" s="390">
        <f t="shared" si="273"/>
        <v>18</v>
      </c>
      <c r="BG85" s="390">
        <f t="shared" si="273"/>
        <v>69</v>
      </c>
      <c r="BH85" s="390">
        <f t="shared" si="273"/>
        <v>20</v>
      </c>
      <c r="BI85" s="469">
        <f t="shared" si="273"/>
        <v>66</v>
      </c>
      <c r="BJ85" s="469">
        <f t="shared" si="273"/>
        <v>37</v>
      </c>
      <c r="BK85" s="469">
        <f t="shared" si="273"/>
        <v>37</v>
      </c>
      <c r="BL85" s="469">
        <f t="shared" si="273"/>
        <v>18</v>
      </c>
      <c r="BM85" s="469">
        <f t="shared" si="273"/>
        <v>42</v>
      </c>
      <c r="BN85" s="581">
        <f t="shared" si="273"/>
        <v>15</v>
      </c>
      <c r="BO85" s="461"/>
      <c r="BP85" s="580">
        <f t="shared" si="8"/>
        <v>37110000000000</v>
      </c>
      <c r="BQ85" s="252" t="str">
        <f t="shared" si="9"/>
        <v/>
      </c>
      <c r="BR85" s="252">
        <f t="shared" si="10"/>
        <v>69650000000000</v>
      </c>
      <c r="BS85" s="252" t="str">
        <f t="shared" si="11"/>
        <v/>
      </c>
      <c r="BT85" s="252" t="str">
        <f t="shared" si="12"/>
        <v/>
      </c>
      <c r="BU85" s="252">
        <f t="shared" si="13"/>
        <v>47710000000000</v>
      </c>
      <c r="BV85" s="390" t="str">
        <f t="shared" si="14"/>
        <v/>
      </c>
      <c r="BW85" s="390" t="str">
        <f t="shared" si="15"/>
        <v/>
      </c>
      <c r="BX85" s="390" t="str">
        <f t="shared" si="16"/>
        <v/>
      </c>
      <c r="BY85" s="390" t="str">
        <f t="shared" si="17"/>
        <v/>
      </c>
      <c r="BZ85" s="390">
        <f t="shared" si="18"/>
        <v>216080000000000</v>
      </c>
      <c r="CA85" s="390">
        <f t="shared" si="19"/>
        <v>22020000000000</v>
      </c>
      <c r="CB85" s="469" t="str">
        <f t="shared" si="20"/>
        <v/>
      </c>
      <c r="CC85" s="469" t="str">
        <f t="shared" si="21"/>
        <v/>
      </c>
      <c r="CD85" s="469" t="str">
        <f t="shared" si="22"/>
        <v/>
      </c>
      <c r="CE85" s="469" t="str">
        <f t="shared" si="23"/>
        <v/>
      </c>
      <c r="CF85" s="469" t="str">
        <f t="shared" si="24"/>
        <v/>
      </c>
      <c r="CG85" s="581" t="str">
        <f t="shared" si="25"/>
        <v/>
      </c>
      <c r="CH85" s="461"/>
      <c r="CI85" s="580" t="str">
        <f t="array" ref="CI85">LET(
array,SORT({$Y$2:$AB$19,TRANSPOSE($BP85:$CG85)},4,TRUE),
col,CHOOSECOLS(array,5),
row,MATCH(FALSE, ISBLANK(col), 0),
IF(BP85=SWITCH($AA$22,
"minimum cost", MIN($BP85:$CG85),
"maximum cost", MAX($BP85:$CG85), 
"custom order", IF(CI$1=INDEX(array, row,1),INDEX(array, row,5),"x"))
,1,))</f>
        <v/>
      </c>
      <c r="CJ85" s="252" t="str">
        <f t="array" ref="CJ85">LET(
array,SORT({$Y$2:$AB$19,TRANSPOSE($BP85:$CG85)},4,TRUE),
col,CHOOSECOLS(array,5),
row,MATCH(FALSE, ISBLANK(col), 0),
IF(BQ85=SWITCH($AA$22,
"minimum cost", MIN($BP85:$CG85),
"maximum cost", MAX($BP85:$CG85), 
"custom order", IF(CJ$1=INDEX(array, row,1),INDEX(array, row,5),"x"))
,1,))</f>
        <v/>
      </c>
      <c r="CK85" s="252" t="str">
        <f t="array" ref="CK85">LET(
array,SORT({$Y$2:$AB$19,TRANSPOSE($BP85:$CG85)},4,TRUE),
col,CHOOSECOLS(array,5),
row,MATCH(FALSE, ISBLANK(col), 0),
IF(BR85=SWITCH($AA$22,
"minimum cost", MIN($BP85:$CG85),
"maximum cost", MAX($BP85:$CG85), 
"custom order", IF(CK$1=INDEX(array, row,1),INDEX(array, row,5),"x"))
,1,))</f>
        <v/>
      </c>
      <c r="CL85" s="252" t="str">
        <f t="array" ref="CL85">LET(
array,SORT({$Y$2:$AB$19,TRANSPOSE($BP85:$CG85)},4,TRUE),
col,CHOOSECOLS(array,5),
row,MATCH(FALSE, ISBLANK(col), 0),
IF(BS85=SWITCH($AA$22,
"minimum cost", MIN($BP85:$CG85),
"maximum cost", MAX($BP85:$CG85), 
"custom order", IF(CL$1=INDEX(array, row,1),INDEX(array, row,5),"x"))
,1,))</f>
        <v/>
      </c>
      <c r="CM85" s="252" t="str">
        <f t="array" ref="CM85">LET(
array,SORT({$Y$2:$AB$19,TRANSPOSE($BP85:$CG85)},4,TRUE),
col,CHOOSECOLS(array,5),
row,MATCH(FALSE, ISBLANK(col), 0),
IF(BT85=SWITCH($AA$22,
"minimum cost", MIN($BP85:$CG85),
"maximum cost", MAX($BP85:$CG85), 
"custom order", IF(CM$1=INDEX(array, row,1),INDEX(array, row,5),"x"))
,1,))</f>
        <v/>
      </c>
      <c r="CN85" s="252" t="str">
        <f t="array" ref="CN85">LET(
array,SORT({$Y$2:$AB$19,TRANSPOSE($BP85:$CG85)},4,TRUE),
col,CHOOSECOLS(array,5),
row,MATCH(FALSE, ISBLANK(col), 0),
IF(BU85=SWITCH($AA$22,
"minimum cost", MIN($BP85:$CG85),
"maximum cost", MAX($BP85:$CG85), 
"custom order", IF(CN$1=INDEX(array, row,1),INDEX(array, row,5),"x"))
,1,))</f>
        <v/>
      </c>
      <c r="CO85" s="390" t="str">
        <f t="array" ref="CO85">LET(
array,SORT({$Y$2:$AB$19,TRANSPOSE($BP85:$CG85)},4,TRUE),
col,CHOOSECOLS(array,5),
row,MATCH(FALSE, ISBLANK(col), 0),
IF(BV85=SWITCH($AA$22,
"minimum cost", MIN($BP85:$CG85),
"maximum cost", MAX($BP85:$CG85), 
"custom order", IF(CO$1=INDEX(array, row,1),INDEX(array, row,5),"x"))
,1,))</f>
        <v/>
      </c>
      <c r="CP85" s="390" t="str">
        <f t="array" ref="CP85">LET(
array,SORT({$Y$2:$AB$19,TRANSPOSE($BP85:$CG85)},4,TRUE),
col,CHOOSECOLS(array,5),
row,MATCH(FALSE, ISBLANK(col), 0),
IF(BW85=SWITCH($AA$22,
"minimum cost", MIN($BP85:$CG85),
"maximum cost", MAX($BP85:$CG85), 
"custom order", IF(CP$1=INDEX(array, row,1),INDEX(array, row,5),"x"))
,1,))</f>
        <v/>
      </c>
      <c r="CQ85" s="390" t="str">
        <f t="array" ref="CQ85">LET(
array,SORT({$Y$2:$AB$19,TRANSPOSE($BP85:$CG85)},4,TRUE),
col,CHOOSECOLS(array,5),
row,MATCH(FALSE, ISBLANK(col), 0),
IF(BX85=SWITCH($AA$22,
"minimum cost", MIN($BP85:$CG85),
"maximum cost", MAX($BP85:$CG85), 
"custom order", IF(CQ$1=INDEX(array, row,1),INDEX(array, row,5),"x"))
,1,))</f>
        <v/>
      </c>
      <c r="CR85" s="390" t="str">
        <f t="array" ref="CR85">LET(
array,SORT({$Y$2:$AB$19,TRANSPOSE($BP85:$CG85)},4,TRUE),
col,CHOOSECOLS(array,5),
row,MATCH(FALSE, ISBLANK(col), 0),
IF(BY85=SWITCH($AA$22,
"minimum cost", MIN($BP85:$CG85),
"maximum cost", MAX($BP85:$CG85), 
"custom order", IF(CR$1=INDEX(array, row,1),INDEX(array, row,5),"x"))
,1,))</f>
        <v/>
      </c>
      <c r="CS85" s="390">
        <f t="array" ref="CS85">LET(
array,SORT({$Y$2:$AB$19,TRANSPOSE($BP85:$CG85)},4,TRUE),
col,CHOOSECOLS(array,5),
row,MATCH(FALSE, ISBLANK(col), 0),
IF(BZ85=SWITCH($AA$22,
"minimum cost", MIN($BP85:$CG85),
"maximum cost", MAX($BP85:$CG85), 
"custom order", IF(CS$1=INDEX(array, row,1),INDEX(array, row,5),"x"))
,1,))</f>
        <v>1</v>
      </c>
      <c r="CT85" s="390" t="str">
        <f t="array" ref="CT85">LET(
array,SORT({$Y$2:$AB$19,TRANSPOSE($BP85:$CG85)},4,TRUE),
col,CHOOSECOLS(array,5),
row,MATCH(FALSE, ISBLANK(col), 0),
IF(CA85=SWITCH($AA$22,
"minimum cost", MIN($BP85:$CG85),
"maximum cost", MAX($BP85:$CG85), 
"custom order", IF(CT$1=INDEX(array, row,1),INDEX(array, row,5),"x"))
,1,))</f>
        <v/>
      </c>
      <c r="CU85" s="469" t="str">
        <f t="array" ref="CU85">LET(
array,SORT({$Y$2:$AB$19,TRANSPOSE($BP85:$CG85)},4,TRUE),
col,CHOOSECOLS(array,5),
row,MATCH(FALSE, ISBLANK(col), 0),
IF(CB85=SWITCH($AA$22,
"minimum cost", MIN($BP85:$CG85),
"maximum cost", MAX($BP85:$CG85), 
"custom order", IF(CU$1=INDEX(array, row,1),INDEX(array, row,5),"x"))
,1,))</f>
        <v/>
      </c>
      <c r="CV85" s="469" t="str">
        <f t="array" ref="CV85">LET(
array,SORT({$Y$2:$AB$19,TRANSPOSE($BP85:$CG85)},4,TRUE),
col,CHOOSECOLS(array,5),
row,MATCH(FALSE, ISBLANK(col), 0),
IF(CC85=SWITCH($AA$22,
"minimum cost", MIN($BP85:$CG85),
"maximum cost", MAX($BP85:$CG85), 
"custom order", IF(CV$1=INDEX(array, row,1),INDEX(array, row,5),"x"))
,1,))</f>
        <v/>
      </c>
      <c r="CW85" s="469" t="str">
        <f t="array" ref="CW85">LET(
array,SORT({$Y$2:$AB$19,TRANSPOSE($BP85:$CG85)},4,TRUE),
col,CHOOSECOLS(array,5),
row,MATCH(FALSE, ISBLANK(col), 0),
IF(CD85=SWITCH($AA$22,
"minimum cost", MIN($BP85:$CG85),
"maximum cost", MAX($BP85:$CG85), 
"custom order", IF(CW$1=INDEX(array, row,1),INDEX(array, row,5),"x"))
,1,))</f>
        <v/>
      </c>
      <c r="CX85" s="469" t="str">
        <f t="array" ref="CX85">LET(
array,SORT({$Y$2:$AB$19,TRANSPOSE($BP85:$CG85)},4,TRUE),
col,CHOOSECOLS(array,5),
row,MATCH(FALSE, ISBLANK(col), 0),
IF(CE85=SWITCH($AA$22,
"minimum cost", MIN($BP85:$CG85),
"maximum cost", MAX($BP85:$CG85), 
"custom order", IF(CX$1=INDEX(array, row,1),INDEX(array, row,5),"x"))
,1,))</f>
        <v/>
      </c>
      <c r="CY85" s="469" t="str">
        <f t="array" ref="CY85">LET(
array,SORT({$Y$2:$AB$19,TRANSPOSE($BP85:$CG85)},4,TRUE),
col,CHOOSECOLS(array,5),
row,MATCH(FALSE, ISBLANK(col), 0),
IF(CF85=SWITCH($AA$22,
"minimum cost", MIN($BP85:$CG85),
"maximum cost", MAX($BP85:$CG85), 
"custom order", IF(CY$1=INDEX(array, row,1),INDEX(array, row,5),"x"))
,1,))</f>
        <v/>
      </c>
      <c r="CZ85" s="581" t="str">
        <f t="array" ref="CZ85">LET(
array,SORT({$Y$2:$AB$19,TRANSPOSE($BP85:$CG85)},4,TRUE),
col,CHOOSECOLS(array,5),
row,MATCH(FALSE, ISBLANK(col), 0),
IF(CG85=SWITCH($AA$22,
"minimum cost", MIN($BP85:$CG85),
"maximum cost", MAX($BP85:$CG85), 
"custom order", IF(CZ$1=INDEX(array, row,1),INDEX(array, row,5),"x"))
,1,))</f>
        <v/>
      </c>
      <c r="DA85" s="461"/>
      <c r="DB85" s="580" t="str">
        <f t="array" ref="DB85:DS85">IF(MATCH(1, CI85:CZ85, 0)=COLUMN(CI85:CZ85)-COLUMN(CI85)+1, CI85:CZ85, "")</f>
        <v/>
      </c>
      <c r="DC85" s="252" t="s">
        <v>133</v>
      </c>
      <c r="DD85" s="252" t="s">
        <v>133</v>
      </c>
      <c r="DE85" s="252" t="s">
        <v>133</v>
      </c>
      <c r="DF85" s="252" t="s">
        <v>133</v>
      </c>
      <c r="DG85" s="252" t="s">
        <v>133</v>
      </c>
      <c r="DH85" s="390" t="s">
        <v>133</v>
      </c>
      <c r="DI85" s="390" t="s">
        <v>133</v>
      </c>
      <c r="DJ85" s="390" t="s">
        <v>133</v>
      </c>
      <c r="DK85" s="390" t="s">
        <v>133</v>
      </c>
      <c r="DL85" s="390">
        <v>1.0</v>
      </c>
      <c r="DM85" s="390" t="s">
        <v>133</v>
      </c>
      <c r="DN85" s="469" t="s">
        <v>133</v>
      </c>
      <c r="DO85" s="469" t="s">
        <v>133</v>
      </c>
      <c r="DP85" s="469" t="s">
        <v>133</v>
      </c>
      <c r="DQ85" s="469" t="s">
        <v>133</v>
      </c>
      <c r="DR85" s="469" t="s">
        <v>133</v>
      </c>
      <c r="DS85" s="581" t="s">
        <v>133</v>
      </c>
      <c r="DT85" s="563"/>
    </row>
    <row r="86">
      <c r="A86" s="563"/>
      <c r="B86" s="709"/>
      <c r="C86" s="709"/>
      <c r="D86" s="709"/>
      <c r="E86" s="10"/>
      <c r="F86" s="709"/>
      <c r="G86" s="10"/>
      <c r="H86" s="709"/>
      <c r="I86" s="10"/>
      <c r="J86" s="709"/>
      <c r="K86" s="10"/>
      <c r="L86" s="709"/>
      <c r="M86" s="461"/>
      <c r="N86" s="10"/>
      <c r="O86" s="10"/>
      <c r="P86" s="10"/>
      <c r="Q86" s="570" t="str">
        <f>IFERROR(__xludf.DUMMYFUNCTION("IF(SUM(DB86:DS86),ARRAYFORMULA(FILTER(DB$1:DS$1, DB86:DS86=1)),)"),"Wall Health")</f>
        <v>Wall Health</v>
      </c>
      <c r="R86" s="571">
        <f>IFERROR(__xludf.DUMMYFUNCTION("IF(SUM(DB86:DS86),ARRAYFORMULA(FILTER(AW86:BN86, DB86:DS86=1))+1,)"),71.0)</f>
        <v>71</v>
      </c>
      <c r="S86" s="572">
        <f>IFERROR(__xludf.DUMMYFUNCTION("IF(SUM(DB86:DS86),ARRAYFORMULA(FILTER(AD86:AU86, DB86:DS86=1)),)"),2.4098E14)</f>
        <v>240980000000000</v>
      </c>
      <c r="T86" s="572">
        <f t="shared" si="26"/>
        <v>1.71284E+16</v>
      </c>
      <c r="U86" s="573" t="str">
        <f t="shared" ref="U86:V86" si="274">FORMAT_NUMBER(S86)</f>
        <v>240.98 T</v>
      </c>
      <c r="V86" s="574" t="str">
        <f t="shared" si="274"/>
        <v>17.13 q</v>
      </c>
      <c r="W86" s="677"/>
      <c r="X86" s="709"/>
      <c r="Y86" s="709"/>
      <c r="Z86" s="709"/>
      <c r="AA86" s="709"/>
      <c r="AB86" s="712"/>
      <c r="AC86" s="461"/>
      <c r="AD86" s="580">
        <f t="shared" ref="AD86:AU86" si="275">IFERROR(WSPCOST_SINGLE_ADJUSTED(AD$1,1+AW86),)</f>
        <v>37110000000000</v>
      </c>
      <c r="AE86" s="252">
        <f t="shared" si="275"/>
        <v>82420000000</v>
      </c>
      <c r="AF86" s="252">
        <f t="shared" si="275"/>
        <v>69650000000000</v>
      </c>
      <c r="AG86" s="252">
        <f t="shared" si="275"/>
        <v>21210000000</v>
      </c>
      <c r="AH86" s="252">
        <f t="shared" si="275"/>
        <v>43890000000000</v>
      </c>
      <c r="AI86" s="252">
        <f t="shared" si="275"/>
        <v>47710000000000</v>
      </c>
      <c r="AJ86" s="390">
        <f t="shared" si="275"/>
        <v>297430000000000</v>
      </c>
      <c r="AK86" s="390">
        <f t="shared" si="275"/>
        <v>580270000000000</v>
      </c>
      <c r="AL86" s="390">
        <f t="shared" si="275"/>
        <v>5000000000</v>
      </c>
      <c r="AM86" s="390">
        <f t="shared" si="275"/>
        <v>33950000000</v>
      </c>
      <c r="AN86" s="390">
        <f t="shared" si="275"/>
        <v>240980000000000</v>
      </c>
      <c r="AO86" s="390">
        <f t="shared" si="275"/>
        <v>22020000000000</v>
      </c>
      <c r="AP86" s="469">
        <f t="shared" si="275"/>
        <v>153100000000000</v>
      </c>
      <c r="AQ86" s="469">
        <f t="shared" si="275"/>
        <v>1.3E+15</v>
      </c>
      <c r="AR86" s="469">
        <f t="shared" si="275"/>
        <v>1.3E+15</v>
      </c>
      <c r="AS86" s="469">
        <f t="shared" si="275"/>
        <v>420490000000000</v>
      </c>
      <c r="AT86" s="469">
        <f t="shared" si="275"/>
        <v>3990000000000</v>
      </c>
      <c r="AU86" s="581">
        <f t="shared" si="275"/>
        <v>1.14E+15</v>
      </c>
      <c r="AV86" s="461"/>
      <c r="AW86" s="580">
        <f t="shared" ref="AW86:BN86" si="276">AW85+DB85</f>
        <v>56</v>
      </c>
      <c r="AX86" s="252">
        <f t="shared" si="276"/>
        <v>21</v>
      </c>
      <c r="AY86" s="252">
        <f t="shared" si="276"/>
        <v>60</v>
      </c>
      <c r="AZ86" s="252">
        <f t="shared" si="276"/>
        <v>17</v>
      </c>
      <c r="BA86" s="252">
        <f t="shared" si="276"/>
        <v>57</v>
      </c>
      <c r="BB86" s="252">
        <f t="shared" si="276"/>
        <v>13</v>
      </c>
      <c r="BC86" s="390">
        <f t="shared" si="276"/>
        <v>72</v>
      </c>
      <c r="BD86" s="390">
        <f t="shared" si="276"/>
        <v>79</v>
      </c>
      <c r="BE86" s="390">
        <f t="shared" si="276"/>
        <v>0</v>
      </c>
      <c r="BF86" s="390">
        <f t="shared" si="276"/>
        <v>18</v>
      </c>
      <c r="BG86" s="390">
        <f t="shared" si="276"/>
        <v>70</v>
      </c>
      <c r="BH86" s="390">
        <f t="shared" si="276"/>
        <v>20</v>
      </c>
      <c r="BI86" s="469">
        <f t="shared" si="276"/>
        <v>66</v>
      </c>
      <c r="BJ86" s="469">
        <f t="shared" si="276"/>
        <v>37</v>
      </c>
      <c r="BK86" s="469">
        <f t="shared" si="276"/>
        <v>37</v>
      </c>
      <c r="BL86" s="469">
        <f t="shared" si="276"/>
        <v>18</v>
      </c>
      <c r="BM86" s="469">
        <f t="shared" si="276"/>
        <v>42</v>
      </c>
      <c r="BN86" s="581">
        <f t="shared" si="276"/>
        <v>15</v>
      </c>
      <c r="BO86" s="461"/>
      <c r="BP86" s="580">
        <f t="shared" si="8"/>
        <v>37110000000000</v>
      </c>
      <c r="BQ86" s="252" t="str">
        <f t="shared" si="9"/>
        <v/>
      </c>
      <c r="BR86" s="252">
        <f t="shared" si="10"/>
        <v>69650000000000</v>
      </c>
      <c r="BS86" s="252" t="str">
        <f t="shared" si="11"/>
        <v/>
      </c>
      <c r="BT86" s="252" t="str">
        <f t="shared" si="12"/>
        <v/>
      </c>
      <c r="BU86" s="252">
        <f t="shared" si="13"/>
        <v>47710000000000</v>
      </c>
      <c r="BV86" s="390" t="str">
        <f t="shared" si="14"/>
        <v/>
      </c>
      <c r="BW86" s="390" t="str">
        <f t="shared" si="15"/>
        <v/>
      </c>
      <c r="BX86" s="390" t="str">
        <f t="shared" si="16"/>
        <v/>
      </c>
      <c r="BY86" s="390" t="str">
        <f t="shared" si="17"/>
        <v/>
      </c>
      <c r="BZ86" s="390">
        <f t="shared" si="18"/>
        <v>240980000000000</v>
      </c>
      <c r="CA86" s="390">
        <f t="shared" si="19"/>
        <v>22020000000000</v>
      </c>
      <c r="CB86" s="469" t="str">
        <f t="shared" si="20"/>
        <v/>
      </c>
      <c r="CC86" s="469" t="str">
        <f t="shared" si="21"/>
        <v/>
      </c>
      <c r="CD86" s="469" t="str">
        <f t="shared" si="22"/>
        <v/>
      </c>
      <c r="CE86" s="469" t="str">
        <f t="shared" si="23"/>
        <v/>
      </c>
      <c r="CF86" s="469" t="str">
        <f t="shared" si="24"/>
        <v/>
      </c>
      <c r="CG86" s="581" t="str">
        <f t="shared" si="25"/>
        <v/>
      </c>
      <c r="CH86" s="461"/>
      <c r="CI86" s="580" t="str">
        <f t="array" ref="CI86">LET(
array,SORT({$Y$2:$AB$19,TRANSPOSE($BP86:$CG86)},4,TRUE),
col,CHOOSECOLS(array,5),
row,MATCH(FALSE, ISBLANK(col), 0),
IF(BP86=SWITCH($AA$22,
"minimum cost", MIN($BP86:$CG86),
"maximum cost", MAX($BP86:$CG86), 
"custom order", IF(CI$1=INDEX(array, row,1),INDEX(array, row,5),"x"))
,1,))</f>
        <v/>
      </c>
      <c r="CJ86" s="252" t="str">
        <f t="array" ref="CJ86">LET(
array,SORT({$Y$2:$AB$19,TRANSPOSE($BP86:$CG86)},4,TRUE),
col,CHOOSECOLS(array,5),
row,MATCH(FALSE, ISBLANK(col), 0),
IF(BQ86=SWITCH($AA$22,
"minimum cost", MIN($BP86:$CG86),
"maximum cost", MAX($BP86:$CG86), 
"custom order", IF(CJ$1=INDEX(array, row,1),INDEX(array, row,5),"x"))
,1,))</f>
        <v/>
      </c>
      <c r="CK86" s="252" t="str">
        <f t="array" ref="CK86">LET(
array,SORT({$Y$2:$AB$19,TRANSPOSE($BP86:$CG86)},4,TRUE),
col,CHOOSECOLS(array,5),
row,MATCH(FALSE, ISBLANK(col), 0),
IF(BR86=SWITCH($AA$22,
"minimum cost", MIN($BP86:$CG86),
"maximum cost", MAX($BP86:$CG86), 
"custom order", IF(CK$1=INDEX(array, row,1),INDEX(array, row,5),"x"))
,1,))</f>
        <v/>
      </c>
      <c r="CL86" s="252" t="str">
        <f t="array" ref="CL86">LET(
array,SORT({$Y$2:$AB$19,TRANSPOSE($BP86:$CG86)},4,TRUE),
col,CHOOSECOLS(array,5),
row,MATCH(FALSE, ISBLANK(col), 0),
IF(BS86=SWITCH($AA$22,
"minimum cost", MIN($BP86:$CG86),
"maximum cost", MAX($BP86:$CG86), 
"custom order", IF(CL$1=INDEX(array, row,1),INDEX(array, row,5),"x"))
,1,))</f>
        <v/>
      </c>
      <c r="CM86" s="252" t="str">
        <f t="array" ref="CM86">LET(
array,SORT({$Y$2:$AB$19,TRANSPOSE($BP86:$CG86)},4,TRUE),
col,CHOOSECOLS(array,5),
row,MATCH(FALSE, ISBLANK(col), 0),
IF(BT86=SWITCH($AA$22,
"minimum cost", MIN($BP86:$CG86),
"maximum cost", MAX($BP86:$CG86), 
"custom order", IF(CM$1=INDEX(array, row,1),INDEX(array, row,5),"x"))
,1,))</f>
        <v/>
      </c>
      <c r="CN86" s="252" t="str">
        <f t="array" ref="CN86">LET(
array,SORT({$Y$2:$AB$19,TRANSPOSE($BP86:$CG86)},4,TRUE),
col,CHOOSECOLS(array,5),
row,MATCH(FALSE, ISBLANK(col), 0),
IF(BU86=SWITCH($AA$22,
"minimum cost", MIN($BP86:$CG86),
"maximum cost", MAX($BP86:$CG86), 
"custom order", IF(CN$1=INDEX(array, row,1),INDEX(array, row,5),"x"))
,1,))</f>
        <v/>
      </c>
      <c r="CO86" s="390" t="str">
        <f t="array" ref="CO86">LET(
array,SORT({$Y$2:$AB$19,TRANSPOSE($BP86:$CG86)},4,TRUE),
col,CHOOSECOLS(array,5),
row,MATCH(FALSE, ISBLANK(col), 0),
IF(BV86=SWITCH($AA$22,
"minimum cost", MIN($BP86:$CG86),
"maximum cost", MAX($BP86:$CG86), 
"custom order", IF(CO$1=INDEX(array, row,1),INDEX(array, row,5),"x"))
,1,))</f>
        <v/>
      </c>
      <c r="CP86" s="390" t="str">
        <f t="array" ref="CP86">LET(
array,SORT({$Y$2:$AB$19,TRANSPOSE($BP86:$CG86)},4,TRUE),
col,CHOOSECOLS(array,5),
row,MATCH(FALSE, ISBLANK(col), 0),
IF(BW86=SWITCH($AA$22,
"minimum cost", MIN($BP86:$CG86),
"maximum cost", MAX($BP86:$CG86), 
"custom order", IF(CP$1=INDEX(array, row,1),INDEX(array, row,5),"x"))
,1,))</f>
        <v/>
      </c>
      <c r="CQ86" s="390" t="str">
        <f t="array" ref="CQ86">LET(
array,SORT({$Y$2:$AB$19,TRANSPOSE($BP86:$CG86)},4,TRUE),
col,CHOOSECOLS(array,5),
row,MATCH(FALSE, ISBLANK(col), 0),
IF(BX86=SWITCH($AA$22,
"minimum cost", MIN($BP86:$CG86),
"maximum cost", MAX($BP86:$CG86), 
"custom order", IF(CQ$1=INDEX(array, row,1),INDEX(array, row,5),"x"))
,1,))</f>
        <v/>
      </c>
      <c r="CR86" s="390" t="str">
        <f t="array" ref="CR86">LET(
array,SORT({$Y$2:$AB$19,TRANSPOSE($BP86:$CG86)},4,TRUE),
col,CHOOSECOLS(array,5),
row,MATCH(FALSE, ISBLANK(col), 0),
IF(BY86=SWITCH($AA$22,
"minimum cost", MIN($BP86:$CG86),
"maximum cost", MAX($BP86:$CG86), 
"custom order", IF(CR$1=INDEX(array, row,1),INDEX(array, row,5),"x"))
,1,))</f>
        <v/>
      </c>
      <c r="CS86" s="390">
        <f t="array" ref="CS86">LET(
array,SORT({$Y$2:$AB$19,TRANSPOSE($BP86:$CG86)},4,TRUE),
col,CHOOSECOLS(array,5),
row,MATCH(FALSE, ISBLANK(col), 0),
IF(BZ86=SWITCH($AA$22,
"minimum cost", MIN($BP86:$CG86),
"maximum cost", MAX($BP86:$CG86), 
"custom order", IF(CS$1=INDEX(array, row,1),INDEX(array, row,5),"x"))
,1,))</f>
        <v>1</v>
      </c>
      <c r="CT86" s="390" t="str">
        <f t="array" ref="CT86">LET(
array,SORT({$Y$2:$AB$19,TRANSPOSE($BP86:$CG86)},4,TRUE),
col,CHOOSECOLS(array,5),
row,MATCH(FALSE, ISBLANK(col), 0),
IF(CA86=SWITCH($AA$22,
"minimum cost", MIN($BP86:$CG86),
"maximum cost", MAX($BP86:$CG86), 
"custom order", IF(CT$1=INDEX(array, row,1),INDEX(array, row,5),"x"))
,1,))</f>
        <v/>
      </c>
      <c r="CU86" s="469" t="str">
        <f t="array" ref="CU86">LET(
array,SORT({$Y$2:$AB$19,TRANSPOSE($BP86:$CG86)},4,TRUE),
col,CHOOSECOLS(array,5),
row,MATCH(FALSE, ISBLANK(col), 0),
IF(CB86=SWITCH($AA$22,
"minimum cost", MIN($BP86:$CG86),
"maximum cost", MAX($BP86:$CG86), 
"custom order", IF(CU$1=INDEX(array, row,1),INDEX(array, row,5),"x"))
,1,))</f>
        <v/>
      </c>
      <c r="CV86" s="469" t="str">
        <f t="array" ref="CV86">LET(
array,SORT({$Y$2:$AB$19,TRANSPOSE($BP86:$CG86)},4,TRUE),
col,CHOOSECOLS(array,5),
row,MATCH(FALSE, ISBLANK(col), 0),
IF(CC86=SWITCH($AA$22,
"minimum cost", MIN($BP86:$CG86),
"maximum cost", MAX($BP86:$CG86), 
"custom order", IF(CV$1=INDEX(array, row,1),INDEX(array, row,5),"x"))
,1,))</f>
        <v/>
      </c>
      <c r="CW86" s="469" t="str">
        <f t="array" ref="CW86">LET(
array,SORT({$Y$2:$AB$19,TRANSPOSE($BP86:$CG86)},4,TRUE),
col,CHOOSECOLS(array,5),
row,MATCH(FALSE, ISBLANK(col), 0),
IF(CD86=SWITCH($AA$22,
"minimum cost", MIN($BP86:$CG86),
"maximum cost", MAX($BP86:$CG86), 
"custom order", IF(CW$1=INDEX(array, row,1),INDEX(array, row,5),"x"))
,1,))</f>
        <v/>
      </c>
      <c r="CX86" s="469" t="str">
        <f t="array" ref="CX86">LET(
array,SORT({$Y$2:$AB$19,TRANSPOSE($BP86:$CG86)},4,TRUE),
col,CHOOSECOLS(array,5),
row,MATCH(FALSE, ISBLANK(col), 0),
IF(CE86=SWITCH($AA$22,
"minimum cost", MIN($BP86:$CG86),
"maximum cost", MAX($BP86:$CG86), 
"custom order", IF(CX$1=INDEX(array, row,1),INDEX(array, row,5),"x"))
,1,))</f>
        <v/>
      </c>
      <c r="CY86" s="469" t="str">
        <f t="array" ref="CY86">LET(
array,SORT({$Y$2:$AB$19,TRANSPOSE($BP86:$CG86)},4,TRUE),
col,CHOOSECOLS(array,5),
row,MATCH(FALSE, ISBLANK(col), 0),
IF(CF86=SWITCH($AA$22,
"minimum cost", MIN($BP86:$CG86),
"maximum cost", MAX($BP86:$CG86), 
"custom order", IF(CY$1=INDEX(array, row,1),INDEX(array, row,5),"x"))
,1,))</f>
        <v/>
      </c>
      <c r="CZ86" s="581" t="str">
        <f t="array" ref="CZ86">LET(
array,SORT({$Y$2:$AB$19,TRANSPOSE($BP86:$CG86)},4,TRUE),
col,CHOOSECOLS(array,5),
row,MATCH(FALSE, ISBLANK(col), 0),
IF(CG86=SWITCH($AA$22,
"minimum cost", MIN($BP86:$CG86),
"maximum cost", MAX($BP86:$CG86), 
"custom order", IF(CZ$1=INDEX(array, row,1),INDEX(array, row,5),"x"))
,1,))</f>
        <v/>
      </c>
      <c r="DA86" s="461"/>
      <c r="DB86" s="580" t="str">
        <f t="array" ref="DB86:DS86">IF(MATCH(1, CI86:CZ86, 0)=COLUMN(CI86:CZ86)-COLUMN(CI86)+1, CI86:CZ86, "")</f>
        <v/>
      </c>
      <c r="DC86" s="252" t="s">
        <v>133</v>
      </c>
      <c r="DD86" s="252" t="s">
        <v>133</v>
      </c>
      <c r="DE86" s="252" t="s">
        <v>133</v>
      </c>
      <c r="DF86" s="252" t="s">
        <v>133</v>
      </c>
      <c r="DG86" s="252" t="s">
        <v>133</v>
      </c>
      <c r="DH86" s="390" t="s">
        <v>133</v>
      </c>
      <c r="DI86" s="390" t="s">
        <v>133</v>
      </c>
      <c r="DJ86" s="390" t="s">
        <v>133</v>
      </c>
      <c r="DK86" s="390" t="s">
        <v>133</v>
      </c>
      <c r="DL86" s="390">
        <v>1.0</v>
      </c>
      <c r="DM86" s="390" t="s">
        <v>133</v>
      </c>
      <c r="DN86" s="469" t="s">
        <v>133</v>
      </c>
      <c r="DO86" s="469" t="s">
        <v>133</v>
      </c>
      <c r="DP86" s="469" t="s">
        <v>133</v>
      </c>
      <c r="DQ86" s="469" t="s">
        <v>133</v>
      </c>
      <c r="DR86" s="469" t="s">
        <v>133</v>
      </c>
      <c r="DS86" s="581" t="s">
        <v>133</v>
      </c>
      <c r="DT86" s="563"/>
    </row>
    <row r="87">
      <c r="A87" s="563"/>
      <c r="B87" s="709"/>
      <c r="C87" s="709"/>
      <c r="D87" s="709"/>
      <c r="E87" s="10"/>
      <c r="F87" s="709"/>
      <c r="G87" s="10"/>
      <c r="H87" s="709"/>
      <c r="I87" s="10"/>
      <c r="J87" s="709"/>
      <c r="K87" s="10"/>
      <c r="L87" s="709"/>
      <c r="M87" s="461"/>
      <c r="N87" s="10"/>
      <c r="O87" s="10"/>
      <c r="P87" s="10"/>
      <c r="Q87" s="570" t="str">
        <f>IFERROR(__xludf.DUMMYFUNCTION("IF(SUM(DB87:DS87),ARRAYFORMULA(FILTER(DB$1:DS$1, DB87:DS87=1)),)"),"Wall Health")</f>
        <v>Wall Health</v>
      </c>
      <c r="R87" s="571">
        <f>IFERROR(__xludf.DUMMYFUNCTION("IF(SUM(DB87:DS87),ARRAYFORMULA(FILTER(AW87:BN87, DB87:DS87=1))+1,)"),72.0)</f>
        <v>72</v>
      </c>
      <c r="S87" s="572">
        <f>IFERROR(__xludf.DUMMYFUNCTION("IF(SUM(DB87:DS87),ARRAYFORMULA(FILTER(AD87:AU87, DB87:DS87=1)),)"),2.6805E14)</f>
        <v>268050000000000</v>
      </c>
      <c r="T87" s="572">
        <f t="shared" si="26"/>
        <v>1.73965E+16</v>
      </c>
      <c r="U87" s="573" t="str">
        <f t="shared" ref="U87:V87" si="277">FORMAT_NUMBER(S87)</f>
        <v>268.05 T</v>
      </c>
      <c r="V87" s="574" t="str">
        <f t="shared" si="277"/>
        <v>17.4 q</v>
      </c>
      <c r="W87" s="677"/>
      <c r="X87" s="709"/>
      <c r="Y87" s="709"/>
      <c r="Z87" s="709"/>
      <c r="AA87" s="709"/>
      <c r="AB87" s="712"/>
      <c r="AC87" s="461"/>
      <c r="AD87" s="580">
        <f t="shared" ref="AD87:AU87" si="278">IFERROR(WSPCOST_SINGLE_ADJUSTED(AD$1,1+AW87),)</f>
        <v>37110000000000</v>
      </c>
      <c r="AE87" s="252">
        <f t="shared" si="278"/>
        <v>82420000000</v>
      </c>
      <c r="AF87" s="252">
        <f t="shared" si="278"/>
        <v>69650000000000</v>
      </c>
      <c r="AG87" s="252">
        <f t="shared" si="278"/>
        <v>21210000000</v>
      </c>
      <c r="AH87" s="252">
        <f t="shared" si="278"/>
        <v>43890000000000</v>
      </c>
      <c r="AI87" s="252">
        <f t="shared" si="278"/>
        <v>47710000000000</v>
      </c>
      <c r="AJ87" s="390">
        <f t="shared" si="278"/>
        <v>297430000000000</v>
      </c>
      <c r="AK87" s="390">
        <f t="shared" si="278"/>
        <v>580270000000000</v>
      </c>
      <c r="AL87" s="390">
        <f t="shared" si="278"/>
        <v>5000000000</v>
      </c>
      <c r="AM87" s="390">
        <f t="shared" si="278"/>
        <v>33950000000</v>
      </c>
      <c r="AN87" s="390">
        <f t="shared" si="278"/>
        <v>268050000000000</v>
      </c>
      <c r="AO87" s="390">
        <f t="shared" si="278"/>
        <v>22020000000000</v>
      </c>
      <c r="AP87" s="469">
        <f t="shared" si="278"/>
        <v>153100000000000</v>
      </c>
      <c r="AQ87" s="469">
        <f t="shared" si="278"/>
        <v>1.3E+15</v>
      </c>
      <c r="AR87" s="469">
        <f t="shared" si="278"/>
        <v>1.3E+15</v>
      </c>
      <c r="AS87" s="469">
        <f t="shared" si="278"/>
        <v>420490000000000</v>
      </c>
      <c r="AT87" s="469">
        <f t="shared" si="278"/>
        <v>3990000000000</v>
      </c>
      <c r="AU87" s="581">
        <f t="shared" si="278"/>
        <v>1.14E+15</v>
      </c>
      <c r="AV87" s="461"/>
      <c r="AW87" s="580">
        <f t="shared" ref="AW87:BN87" si="279">AW86+DB86</f>
        <v>56</v>
      </c>
      <c r="AX87" s="252">
        <f t="shared" si="279"/>
        <v>21</v>
      </c>
      <c r="AY87" s="252">
        <f t="shared" si="279"/>
        <v>60</v>
      </c>
      <c r="AZ87" s="252">
        <f t="shared" si="279"/>
        <v>17</v>
      </c>
      <c r="BA87" s="252">
        <f t="shared" si="279"/>
        <v>57</v>
      </c>
      <c r="BB87" s="252">
        <f t="shared" si="279"/>
        <v>13</v>
      </c>
      <c r="BC87" s="390">
        <f t="shared" si="279"/>
        <v>72</v>
      </c>
      <c r="BD87" s="390">
        <f t="shared" si="279"/>
        <v>79</v>
      </c>
      <c r="BE87" s="390">
        <f t="shared" si="279"/>
        <v>0</v>
      </c>
      <c r="BF87" s="390">
        <f t="shared" si="279"/>
        <v>18</v>
      </c>
      <c r="BG87" s="390">
        <f t="shared" si="279"/>
        <v>71</v>
      </c>
      <c r="BH87" s="390">
        <f t="shared" si="279"/>
        <v>20</v>
      </c>
      <c r="BI87" s="469">
        <f t="shared" si="279"/>
        <v>66</v>
      </c>
      <c r="BJ87" s="469">
        <f t="shared" si="279"/>
        <v>37</v>
      </c>
      <c r="BK87" s="469">
        <f t="shared" si="279"/>
        <v>37</v>
      </c>
      <c r="BL87" s="469">
        <f t="shared" si="279"/>
        <v>18</v>
      </c>
      <c r="BM87" s="469">
        <f t="shared" si="279"/>
        <v>42</v>
      </c>
      <c r="BN87" s="581">
        <f t="shared" si="279"/>
        <v>15</v>
      </c>
      <c r="BO87" s="461"/>
      <c r="BP87" s="580">
        <f t="shared" si="8"/>
        <v>37110000000000</v>
      </c>
      <c r="BQ87" s="252" t="str">
        <f t="shared" si="9"/>
        <v/>
      </c>
      <c r="BR87" s="252">
        <f t="shared" si="10"/>
        <v>69650000000000</v>
      </c>
      <c r="BS87" s="252" t="str">
        <f t="shared" si="11"/>
        <v/>
      </c>
      <c r="BT87" s="252" t="str">
        <f t="shared" si="12"/>
        <v/>
      </c>
      <c r="BU87" s="252">
        <f t="shared" si="13"/>
        <v>47710000000000</v>
      </c>
      <c r="BV87" s="390" t="str">
        <f t="shared" si="14"/>
        <v/>
      </c>
      <c r="BW87" s="390" t="str">
        <f t="shared" si="15"/>
        <v/>
      </c>
      <c r="BX87" s="390" t="str">
        <f t="shared" si="16"/>
        <v/>
      </c>
      <c r="BY87" s="390" t="str">
        <f t="shared" si="17"/>
        <v/>
      </c>
      <c r="BZ87" s="390">
        <f t="shared" si="18"/>
        <v>268050000000000</v>
      </c>
      <c r="CA87" s="390">
        <f t="shared" si="19"/>
        <v>22020000000000</v>
      </c>
      <c r="CB87" s="469" t="str">
        <f t="shared" si="20"/>
        <v/>
      </c>
      <c r="CC87" s="469" t="str">
        <f t="shared" si="21"/>
        <v/>
      </c>
      <c r="CD87" s="469" t="str">
        <f t="shared" si="22"/>
        <v/>
      </c>
      <c r="CE87" s="469" t="str">
        <f t="shared" si="23"/>
        <v/>
      </c>
      <c r="CF87" s="469" t="str">
        <f t="shared" si="24"/>
        <v/>
      </c>
      <c r="CG87" s="581" t="str">
        <f t="shared" si="25"/>
        <v/>
      </c>
      <c r="CH87" s="461"/>
      <c r="CI87" s="580" t="str">
        <f t="array" ref="CI87">LET(
array,SORT({$Y$2:$AB$19,TRANSPOSE($BP87:$CG87)},4,TRUE),
col,CHOOSECOLS(array,5),
row,MATCH(FALSE, ISBLANK(col), 0),
IF(BP87=SWITCH($AA$22,
"minimum cost", MIN($BP87:$CG87),
"maximum cost", MAX($BP87:$CG87), 
"custom order", IF(CI$1=INDEX(array, row,1),INDEX(array, row,5),"x"))
,1,))</f>
        <v/>
      </c>
      <c r="CJ87" s="252" t="str">
        <f t="array" ref="CJ87">LET(
array,SORT({$Y$2:$AB$19,TRANSPOSE($BP87:$CG87)},4,TRUE),
col,CHOOSECOLS(array,5),
row,MATCH(FALSE, ISBLANK(col), 0),
IF(BQ87=SWITCH($AA$22,
"minimum cost", MIN($BP87:$CG87),
"maximum cost", MAX($BP87:$CG87), 
"custom order", IF(CJ$1=INDEX(array, row,1),INDEX(array, row,5),"x"))
,1,))</f>
        <v/>
      </c>
      <c r="CK87" s="252" t="str">
        <f t="array" ref="CK87">LET(
array,SORT({$Y$2:$AB$19,TRANSPOSE($BP87:$CG87)},4,TRUE),
col,CHOOSECOLS(array,5),
row,MATCH(FALSE, ISBLANK(col), 0),
IF(BR87=SWITCH($AA$22,
"minimum cost", MIN($BP87:$CG87),
"maximum cost", MAX($BP87:$CG87), 
"custom order", IF(CK$1=INDEX(array, row,1),INDEX(array, row,5),"x"))
,1,))</f>
        <v/>
      </c>
      <c r="CL87" s="252" t="str">
        <f t="array" ref="CL87">LET(
array,SORT({$Y$2:$AB$19,TRANSPOSE($BP87:$CG87)},4,TRUE),
col,CHOOSECOLS(array,5),
row,MATCH(FALSE, ISBLANK(col), 0),
IF(BS87=SWITCH($AA$22,
"minimum cost", MIN($BP87:$CG87),
"maximum cost", MAX($BP87:$CG87), 
"custom order", IF(CL$1=INDEX(array, row,1),INDEX(array, row,5),"x"))
,1,))</f>
        <v/>
      </c>
      <c r="CM87" s="252" t="str">
        <f t="array" ref="CM87">LET(
array,SORT({$Y$2:$AB$19,TRANSPOSE($BP87:$CG87)},4,TRUE),
col,CHOOSECOLS(array,5),
row,MATCH(FALSE, ISBLANK(col), 0),
IF(BT87=SWITCH($AA$22,
"minimum cost", MIN($BP87:$CG87),
"maximum cost", MAX($BP87:$CG87), 
"custom order", IF(CM$1=INDEX(array, row,1),INDEX(array, row,5),"x"))
,1,))</f>
        <v/>
      </c>
      <c r="CN87" s="252" t="str">
        <f t="array" ref="CN87">LET(
array,SORT({$Y$2:$AB$19,TRANSPOSE($BP87:$CG87)},4,TRUE),
col,CHOOSECOLS(array,5),
row,MATCH(FALSE, ISBLANK(col), 0),
IF(BU87=SWITCH($AA$22,
"minimum cost", MIN($BP87:$CG87),
"maximum cost", MAX($BP87:$CG87), 
"custom order", IF(CN$1=INDEX(array, row,1),INDEX(array, row,5),"x"))
,1,))</f>
        <v/>
      </c>
      <c r="CO87" s="390" t="str">
        <f t="array" ref="CO87">LET(
array,SORT({$Y$2:$AB$19,TRANSPOSE($BP87:$CG87)},4,TRUE),
col,CHOOSECOLS(array,5),
row,MATCH(FALSE, ISBLANK(col), 0),
IF(BV87=SWITCH($AA$22,
"minimum cost", MIN($BP87:$CG87),
"maximum cost", MAX($BP87:$CG87), 
"custom order", IF(CO$1=INDEX(array, row,1),INDEX(array, row,5),"x"))
,1,))</f>
        <v/>
      </c>
      <c r="CP87" s="390" t="str">
        <f t="array" ref="CP87">LET(
array,SORT({$Y$2:$AB$19,TRANSPOSE($BP87:$CG87)},4,TRUE),
col,CHOOSECOLS(array,5),
row,MATCH(FALSE, ISBLANK(col), 0),
IF(BW87=SWITCH($AA$22,
"minimum cost", MIN($BP87:$CG87),
"maximum cost", MAX($BP87:$CG87), 
"custom order", IF(CP$1=INDEX(array, row,1),INDEX(array, row,5),"x"))
,1,))</f>
        <v/>
      </c>
      <c r="CQ87" s="390" t="str">
        <f t="array" ref="CQ87">LET(
array,SORT({$Y$2:$AB$19,TRANSPOSE($BP87:$CG87)},4,TRUE),
col,CHOOSECOLS(array,5),
row,MATCH(FALSE, ISBLANK(col), 0),
IF(BX87=SWITCH($AA$22,
"minimum cost", MIN($BP87:$CG87),
"maximum cost", MAX($BP87:$CG87), 
"custom order", IF(CQ$1=INDEX(array, row,1),INDEX(array, row,5),"x"))
,1,))</f>
        <v/>
      </c>
      <c r="CR87" s="390" t="str">
        <f t="array" ref="CR87">LET(
array,SORT({$Y$2:$AB$19,TRANSPOSE($BP87:$CG87)},4,TRUE),
col,CHOOSECOLS(array,5),
row,MATCH(FALSE, ISBLANK(col), 0),
IF(BY87=SWITCH($AA$22,
"minimum cost", MIN($BP87:$CG87),
"maximum cost", MAX($BP87:$CG87), 
"custom order", IF(CR$1=INDEX(array, row,1),INDEX(array, row,5),"x"))
,1,))</f>
        <v/>
      </c>
      <c r="CS87" s="390">
        <f t="array" ref="CS87">LET(
array,SORT({$Y$2:$AB$19,TRANSPOSE($BP87:$CG87)},4,TRUE),
col,CHOOSECOLS(array,5),
row,MATCH(FALSE, ISBLANK(col), 0),
IF(BZ87=SWITCH($AA$22,
"minimum cost", MIN($BP87:$CG87),
"maximum cost", MAX($BP87:$CG87), 
"custom order", IF(CS$1=INDEX(array, row,1),INDEX(array, row,5),"x"))
,1,))</f>
        <v>1</v>
      </c>
      <c r="CT87" s="390" t="str">
        <f t="array" ref="CT87">LET(
array,SORT({$Y$2:$AB$19,TRANSPOSE($BP87:$CG87)},4,TRUE),
col,CHOOSECOLS(array,5),
row,MATCH(FALSE, ISBLANK(col), 0),
IF(CA87=SWITCH($AA$22,
"minimum cost", MIN($BP87:$CG87),
"maximum cost", MAX($BP87:$CG87), 
"custom order", IF(CT$1=INDEX(array, row,1),INDEX(array, row,5),"x"))
,1,))</f>
        <v/>
      </c>
      <c r="CU87" s="469" t="str">
        <f t="array" ref="CU87">LET(
array,SORT({$Y$2:$AB$19,TRANSPOSE($BP87:$CG87)},4,TRUE),
col,CHOOSECOLS(array,5),
row,MATCH(FALSE, ISBLANK(col), 0),
IF(CB87=SWITCH($AA$22,
"minimum cost", MIN($BP87:$CG87),
"maximum cost", MAX($BP87:$CG87), 
"custom order", IF(CU$1=INDEX(array, row,1),INDEX(array, row,5),"x"))
,1,))</f>
        <v/>
      </c>
      <c r="CV87" s="469" t="str">
        <f t="array" ref="CV87">LET(
array,SORT({$Y$2:$AB$19,TRANSPOSE($BP87:$CG87)},4,TRUE),
col,CHOOSECOLS(array,5),
row,MATCH(FALSE, ISBLANK(col), 0),
IF(CC87=SWITCH($AA$22,
"minimum cost", MIN($BP87:$CG87),
"maximum cost", MAX($BP87:$CG87), 
"custom order", IF(CV$1=INDEX(array, row,1),INDEX(array, row,5),"x"))
,1,))</f>
        <v/>
      </c>
      <c r="CW87" s="469" t="str">
        <f t="array" ref="CW87">LET(
array,SORT({$Y$2:$AB$19,TRANSPOSE($BP87:$CG87)},4,TRUE),
col,CHOOSECOLS(array,5),
row,MATCH(FALSE, ISBLANK(col), 0),
IF(CD87=SWITCH($AA$22,
"minimum cost", MIN($BP87:$CG87),
"maximum cost", MAX($BP87:$CG87), 
"custom order", IF(CW$1=INDEX(array, row,1),INDEX(array, row,5),"x"))
,1,))</f>
        <v/>
      </c>
      <c r="CX87" s="469" t="str">
        <f t="array" ref="CX87">LET(
array,SORT({$Y$2:$AB$19,TRANSPOSE($BP87:$CG87)},4,TRUE),
col,CHOOSECOLS(array,5),
row,MATCH(FALSE, ISBLANK(col), 0),
IF(CE87=SWITCH($AA$22,
"minimum cost", MIN($BP87:$CG87),
"maximum cost", MAX($BP87:$CG87), 
"custom order", IF(CX$1=INDEX(array, row,1),INDEX(array, row,5),"x"))
,1,))</f>
        <v/>
      </c>
      <c r="CY87" s="469" t="str">
        <f t="array" ref="CY87">LET(
array,SORT({$Y$2:$AB$19,TRANSPOSE($BP87:$CG87)},4,TRUE),
col,CHOOSECOLS(array,5),
row,MATCH(FALSE, ISBLANK(col), 0),
IF(CF87=SWITCH($AA$22,
"minimum cost", MIN($BP87:$CG87),
"maximum cost", MAX($BP87:$CG87), 
"custom order", IF(CY$1=INDEX(array, row,1),INDEX(array, row,5),"x"))
,1,))</f>
        <v/>
      </c>
      <c r="CZ87" s="581" t="str">
        <f t="array" ref="CZ87">LET(
array,SORT({$Y$2:$AB$19,TRANSPOSE($BP87:$CG87)},4,TRUE),
col,CHOOSECOLS(array,5),
row,MATCH(FALSE, ISBLANK(col), 0),
IF(CG87=SWITCH($AA$22,
"minimum cost", MIN($BP87:$CG87),
"maximum cost", MAX($BP87:$CG87), 
"custom order", IF(CZ$1=INDEX(array, row,1),INDEX(array, row,5),"x"))
,1,))</f>
        <v/>
      </c>
      <c r="DA87" s="461"/>
      <c r="DB87" s="580" t="str">
        <f t="array" ref="DB87:DS87">IF(MATCH(1, CI87:CZ87, 0)=COLUMN(CI87:CZ87)-COLUMN(CI87)+1, CI87:CZ87, "")</f>
        <v/>
      </c>
      <c r="DC87" s="252" t="s">
        <v>133</v>
      </c>
      <c r="DD87" s="252" t="s">
        <v>133</v>
      </c>
      <c r="DE87" s="252" t="s">
        <v>133</v>
      </c>
      <c r="DF87" s="252" t="s">
        <v>133</v>
      </c>
      <c r="DG87" s="252" t="s">
        <v>133</v>
      </c>
      <c r="DH87" s="390" t="s">
        <v>133</v>
      </c>
      <c r="DI87" s="390" t="s">
        <v>133</v>
      </c>
      <c r="DJ87" s="390" t="s">
        <v>133</v>
      </c>
      <c r="DK87" s="390" t="s">
        <v>133</v>
      </c>
      <c r="DL87" s="390">
        <v>1.0</v>
      </c>
      <c r="DM87" s="390" t="s">
        <v>133</v>
      </c>
      <c r="DN87" s="469" t="s">
        <v>133</v>
      </c>
      <c r="DO87" s="469" t="s">
        <v>133</v>
      </c>
      <c r="DP87" s="469" t="s">
        <v>133</v>
      </c>
      <c r="DQ87" s="469" t="s">
        <v>133</v>
      </c>
      <c r="DR87" s="469" t="s">
        <v>133</v>
      </c>
      <c r="DS87" s="581" t="s">
        <v>133</v>
      </c>
      <c r="DT87" s="563"/>
    </row>
    <row r="88">
      <c r="A88" s="563"/>
      <c r="B88" s="709"/>
      <c r="C88" s="709"/>
      <c r="D88" s="709"/>
      <c r="E88" s="10"/>
      <c r="F88" s="709"/>
      <c r="G88" s="10"/>
      <c r="H88" s="709"/>
      <c r="I88" s="10"/>
      <c r="J88" s="709"/>
      <c r="K88" s="10"/>
      <c r="L88" s="709"/>
      <c r="M88" s="461"/>
      <c r="N88" s="10"/>
      <c r="O88" s="10"/>
      <c r="P88" s="10"/>
      <c r="Q88" s="570" t="str">
        <f>IFERROR(__xludf.DUMMYFUNCTION("IF(SUM(DB88:DS88),ARRAYFORMULA(FILTER(DB$1:DS$1, DB88:DS88=1)),)"),"Orb Size")</f>
        <v>Orb Size</v>
      </c>
      <c r="R88" s="571">
        <f>IFERROR(__xludf.DUMMYFUNCTION("IF(SUM(DB88:DS88),ARRAYFORMULA(FILTER(AW88:BN88, DB88:DS88=1))+1,)"),21.0)</f>
        <v>21</v>
      </c>
      <c r="S88" s="572">
        <f>IFERROR(__xludf.DUMMYFUNCTION("IF(SUM(DB88:DS88),ARRAYFORMULA(FILTER(AD88:AU88, DB88:DS88=1)),)"),2.202E13)</f>
        <v>22020000000000</v>
      </c>
      <c r="T88" s="572">
        <f t="shared" si="26"/>
        <v>1.74185E+16</v>
      </c>
      <c r="U88" s="573" t="str">
        <f t="shared" ref="U88:V88" si="280">FORMAT_NUMBER(S88)</f>
        <v>22.02 T</v>
      </c>
      <c r="V88" s="574" t="str">
        <f t="shared" si="280"/>
        <v>17.42 q</v>
      </c>
      <c r="W88" s="677"/>
      <c r="X88" s="709"/>
      <c r="Y88" s="709"/>
      <c r="Z88" s="709"/>
      <c r="AA88" s="709"/>
      <c r="AB88" s="712"/>
      <c r="AC88" s="461"/>
      <c r="AD88" s="580">
        <f t="shared" ref="AD88:AU88" si="281">IFERROR(WSPCOST_SINGLE_ADJUSTED(AD$1,1+AW88),)</f>
        <v>37110000000000</v>
      </c>
      <c r="AE88" s="252">
        <f t="shared" si="281"/>
        <v>82420000000</v>
      </c>
      <c r="AF88" s="252">
        <f t="shared" si="281"/>
        <v>69650000000000</v>
      </c>
      <c r="AG88" s="252">
        <f t="shared" si="281"/>
        <v>21210000000</v>
      </c>
      <c r="AH88" s="252">
        <f t="shared" si="281"/>
        <v>43890000000000</v>
      </c>
      <c r="AI88" s="252">
        <f t="shared" si="281"/>
        <v>47710000000000</v>
      </c>
      <c r="AJ88" s="390">
        <f t="shared" si="281"/>
        <v>297430000000000</v>
      </c>
      <c r="AK88" s="390">
        <f t="shared" si="281"/>
        <v>580270000000000</v>
      </c>
      <c r="AL88" s="390">
        <f t="shared" si="281"/>
        <v>5000000000</v>
      </c>
      <c r="AM88" s="390">
        <f t="shared" si="281"/>
        <v>33950000000</v>
      </c>
      <c r="AN88" s="390">
        <f t="shared" si="281"/>
        <v>297430000000000</v>
      </c>
      <c r="AO88" s="390">
        <f t="shared" si="281"/>
        <v>22020000000000</v>
      </c>
      <c r="AP88" s="469">
        <f t="shared" si="281"/>
        <v>153100000000000</v>
      </c>
      <c r="AQ88" s="469">
        <f t="shared" si="281"/>
        <v>1.3E+15</v>
      </c>
      <c r="AR88" s="469">
        <f t="shared" si="281"/>
        <v>1.3E+15</v>
      </c>
      <c r="AS88" s="469">
        <f t="shared" si="281"/>
        <v>420490000000000</v>
      </c>
      <c r="AT88" s="469">
        <f t="shared" si="281"/>
        <v>3990000000000</v>
      </c>
      <c r="AU88" s="581">
        <f t="shared" si="281"/>
        <v>1.14E+15</v>
      </c>
      <c r="AV88" s="461"/>
      <c r="AW88" s="580">
        <f t="shared" ref="AW88:BN88" si="282">AW87+DB87</f>
        <v>56</v>
      </c>
      <c r="AX88" s="252">
        <f t="shared" si="282"/>
        <v>21</v>
      </c>
      <c r="AY88" s="252">
        <f t="shared" si="282"/>
        <v>60</v>
      </c>
      <c r="AZ88" s="252">
        <f t="shared" si="282"/>
        <v>17</v>
      </c>
      <c r="BA88" s="252">
        <f t="shared" si="282"/>
        <v>57</v>
      </c>
      <c r="BB88" s="252">
        <f t="shared" si="282"/>
        <v>13</v>
      </c>
      <c r="BC88" s="390">
        <f t="shared" si="282"/>
        <v>72</v>
      </c>
      <c r="BD88" s="390">
        <f t="shared" si="282"/>
        <v>79</v>
      </c>
      <c r="BE88" s="390">
        <f t="shared" si="282"/>
        <v>0</v>
      </c>
      <c r="BF88" s="390">
        <f t="shared" si="282"/>
        <v>18</v>
      </c>
      <c r="BG88" s="390">
        <f t="shared" si="282"/>
        <v>72</v>
      </c>
      <c r="BH88" s="390">
        <f t="shared" si="282"/>
        <v>20</v>
      </c>
      <c r="BI88" s="469">
        <f t="shared" si="282"/>
        <v>66</v>
      </c>
      <c r="BJ88" s="469">
        <f t="shared" si="282"/>
        <v>37</v>
      </c>
      <c r="BK88" s="469">
        <f t="shared" si="282"/>
        <v>37</v>
      </c>
      <c r="BL88" s="469">
        <f t="shared" si="282"/>
        <v>18</v>
      </c>
      <c r="BM88" s="469">
        <f t="shared" si="282"/>
        <v>42</v>
      </c>
      <c r="BN88" s="581">
        <f t="shared" si="282"/>
        <v>15</v>
      </c>
      <c r="BO88" s="461"/>
      <c r="BP88" s="580">
        <f t="shared" si="8"/>
        <v>37110000000000</v>
      </c>
      <c r="BQ88" s="252" t="str">
        <f t="shared" si="9"/>
        <v/>
      </c>
      <c r="BR88" s="252">
        <f t="shared" si="10"/>
        <v>69650000000000</v>
      </c>
      <c r="BS88" s="252" t="str">
        <f t="shared" si="11"/>
        <v/>
      </c>
      <c r="BT88" s="252" t="str">
        <f t="shared" si="12"/>
        <v/>
      </c>
      <c r="BU88" s="252">
        <f t="shared" si="13"/>
        <v>47710000000000</v>
      </c>
      <c r="BV88" s="390" t="str">
        <f t="shared" si="14"/>
        <v/>
      </c>
      <c r="BW88" s="390" t="str">
        <f t="shared" si="15"/>
        <v/>
      </c>
      <c r="BX88" s="390" t="str">
        <f t="shared" si="16"/>
        <v/>
      </c>
      <c r="BY88" s="390" t="str">
        <f t="shared" si="17"/>
        <v/>
      </c>
      <c r="BZ88" s="390" t="str">
        <f t="shared" si="18"/>
        <v/>
      </c>
      <c r="CA88" s="390">
        <f t="shared" si="19"/>
        <v>22020000000000</v>
      </c>
      <c r="CB88" s="469" t="str">
        <f t="shared" si="20"/>
        <v/>
      </c>
      <c r="CC88" s="469" t="str">
        <f t="shared" si="21"/>
        <v/>
      </c>
      <c r="CD88" s="469" t="str">
        <f t="shared" si="22"/>
        <v/>
      </c>
      <c r="CE88" s="469" t="str">
        <f t="shared" si="23"/>
        <v/>
      </c>
      <c r="CF88" s="469" t="str">
        <f t="shared" si="24"/>
        <v/>
      </c>
      <c r="CG88" s="581" t="str">
        <f t="shared" si="25"/>
        <v/>
      </c>
      <c r="CH88" s="461"/>
      <c r="CI88" s="580" t="str">
        <f t="array" ref="CI88">LET(
array,SORT({$Y$2:$AB$19,TRANSPOSE($BP88:$CG88)},4,TRUE),
col,CHOOSECOLS(array,5),
row,MATCH(FALSE, ISBLANK(col), 0),
IF(BP88=SWITCH($AA$22,
"minimum cost", MIN($BP88:$CG88),
"maximum cost", MAX($BP88:$CG88), 
"custom order", IF(CI$1=INDEX(array, row,1),INDEX(array, row,5),"x"))
,1,))</f>
        <v/>
      </c>
      <c r="CJ88" s="252" t="str">
        <f t="array" ref="CJ88">LET(
array,SORT({$Y$2:$AB$19,TRANSPOSE($BP88:$CG88)},4,TRUE),
col,CHOOSECOLS(array,5),
row,MATCH(FALSE, ISBLANK(col), 0),
IF(BQ88=SWITCH($AA$22,
"minimum cost", MIN($BP88:$CG88),
"maximum cost", MAX($BP88:$CG88), 
"custom order", IF(CJ$1=INDEX(array, row,1),INDEX(array, row,5),"x"))
,1,))</f>
        <v/>
      </c>
      <c r="CK88" s="252" t="str">
        <f t="array" ref="CK88">LET(
array,SORT({$Y$2:$AB$19,TRANSPOSE($BP88:$CG88)},4,TRUE),
col,CHOOSECOLS(array,5),
row,MATCH(FALSE, ISBLANK(col), 0),
IF(BR88=SWITCH($AA$22,
"minimum cost", MIN($BP88:$CG88),
"maximum cost", MAX($BP88:$CG88), 
"custom order", IF(CK$1=INDEX(array, row,1),INDEX(array, row,5),"x"))
,1,))</f>
        <v/>
      </c>
      <c r="CL88" s="252" t="str">
        <f t="array" ref="CL88">LET(
array,SORT({$Y$2:$AB$19,TRANSPOSE($BP88:$CG88)},4,TRUE),
col,CHOOSECOLS(array,5),
row,MATCH(FALSE, ISBLANK(col), 0),
IF(BS88=SWITCH($AA$22,
"minimum cost", MIN($BP88:$CG88),
"maximum cost", MAX($BP88:$CG88), 
"custom order", IF(CL$1=INDEX(array, row,1),INDEX(array, row,5),"x"))
,1,))</f>
        <v/>
      </c>
      <c r="CM88" s="252" t="str">
        <f t="array" ref="CM88">LET(
array,SORT({$Y$2:$AB$19,TRANSPOSE($BP88:$CG88)},4,TRUE),
col,CHOOSECOLS(array,5),
row,MATCH(FALSE, ISBLANK(col), 0),
IF(BT88=SWITCH($AA$22,
"minimum cost", MIN($BP88:$CG88),
"maximum cost", MAX($BP88:$CG88), 
"custom order", IF(CM$1=INDEX(array, row,1),INDEX(array, row,5),"x"))
,1,))</f>
        <v/>
      </c>
      <c r="CN88" s="252" t="str">
        <f t="array" ref="CN88">LET(
array,SORT({$Y$2:$AB$19,TRANSPOSE($BP88:$CG88)},4,TRUE),
col,CHOOSECOLS(array,5),
row,MATCH(FALSE, ISBLANK(col), 0),
IF(BU88=SWITCH($AA$22,
"minimum cost", MIN($BP88:$CG88),
"maximum cost", MAX($BP88:$CG88), 
"custom order", IF(CN$1=INDEX(array, row,1),INDEX(array, row,5),"x"))
,1,))</f>
        <v/>
      </c>
      <c r="CO88" s="390" t="str">
        <f t="array" ref="CO88">LET(
array,SORT({$Y$2:$AB$19,TRANSPOSE($BP88:$CG88)},4,TRUE),
col,CHOOSECOLS(array,5),
row,MATCH(FALSE, ISBLANK(col), 0),
IF(BV88=SWITCH($AA$22,
"minimum cost", MIN($BP88:$CG88),
"maximum cost", MAX($BP88:$CG88), 
"custom order", IF(CO$1=INDEX(array, row,1),INDEX(array, row,5),"x"))
,1,))</f>
        <v/>
      </c>
      <c r="CP88" s="390" t="str">
        <f t="array" ref="CP88">LET(
array,SORT({$Y$2:$AB$19,TRANSPOSE($BP88:$CG88)},4,TRUE),
col,CHOOSECOLS(array,5),
row,MATCH(FALSE, ISBLANK(col), 0),
IF(BW88=SWITCH($AA$22,
"minimum cost", MIN($BP88:$CG88),
"maximum cost", MAX($BP88:$CG88), 
"custom order", IF(CP$1=INDEX(array, row,1),INDEX(array, row,5),"x"))
,1,))</f>
        <v/>
      </c>
      <c r="CQ88" s="390" t="str">
        <f t="array" ref="CQ88">LET(
array,SORT({$Y$2:$AB$19,TRANSPOSE($BP88:$CG88)},4,TRUE),
col,CHOOSECOLS(array,5),
row,MATCH(FALSE, ISBLANK(col), 0),
IF(BX88=SWITCH($AA$22,
"minimum cost", MIN($BP88:$CG88),
"maximum cost", MAX($BP88:$CG88), 
"custom order", IF(CQ$1=INDEX(array, row,1),INDEX(array, row,5),"x"))
,1,))</f>
        <v/>
      </c>
      <c r="CR88" s="390" t="str">
        <f t="array" ref="CR88">LET(
array,SORT({$Y$2:$AB$19,TRANSPOSE($BP88:$CG88)},4,TRUE),
col,CHOOSECOLS(array,5),
row,MATCH(FALSE, ISBLANK(col), 0),
IF(BY88=SWITCH($AA$22,
"minimum cost", MIN($BP88:$CG88),
"maximum cost", MAX($BP88:$CG88), 
"custom order", IF(CR$1=INDEX(array, row,1),INDEX(array, row,5),"x"))
,1,))</f>
        <v/>
      </c>
      <c r="CS88" s="390" t="str">
        <f t="array" ref="CS88">LET(
array,SORT({$Y$2:$AB$19,TRANSPOSE($BP88:$CG88)},4,TRUE),
col,CHOOSECOLS(array,5),
row,MATCH(FALSE, ISBLANK(col), 0),
IF(BZ88=SWITCH($AA$22,
"minimum cost", MIN($BP88:$CG88),
"maximum cost", MAX($BP88:$CG88), 
"custom order", IF(CS$1=INDEX(array, row,1),INDEX(array, row,5),"x"))
,1,))</f>
        <v/>
      </c>
      <c r="CT88" s="390">
        <f t="array" ref="CT88">LET(
array,SORT({$Y$2:$AB$19,TRANSPOSE($BP88:$CG88)},4,TRUE),
col,CHOOSECOLS(array,5),
row,MATCH(FALSE, ISBLANK(col), 0),
IF(CA88=SWITCH($AA$22,
"minimum cost", MIN($BP88:$CG88),
"maximum cost", MAX($BP88:$CG88), 
"custom order", IF(CT$1=INDEX(array, row,1),INDEX(array, row,5),"x"))
,1,))</f>
        <v>1</v>
      </c>
      <c r="CU88" s="469" t="str">
        <f t="array" ref="CU88">LET(
array,SORT({$Y$2:$AB$19,TRANSPOSE($BP88:$CG88)},4,TRUE),
col,CHOOSECOLS(array,5),
row,MATCH(FALSE, ISBLANK(col), 0),
IF(CB88=SWITCH($AA$22,
"minimum cost", MIN($BP88:$CG88),
"maximum cost", MAX($BP88:$CG88), 
"custom order", IF(CU$1=INDEX(array, row,1),INDEX(array, row,5),"x"))
,1,))</f>
        <v/>
      </c>
      <c r="CV88" s="469" t="str">
        <f t="array" ref="CV88">LET(
array,SORT({$Y$2:$AB$19,TRANSPOSE($BP88:$CG88)},4,TRUE),
col,CHOOSECOLS(array,5),
row,MATCH(FALSE, ISBLANK(col), 0),
IF(CC88=SWITCH($AA$22,
"minimum cost", MIN($BP88:$CG88),
"maximum cost", MAX($BP88:$CG88), 
"custom order", IF(CV$1=INDEX(array, row,1),INDEX(array, row,5),"x"))
,1,))</f>
        <v/>
      </c>
      <c r="CW88" s="469" t="str">
        <f t="array" ref="CW88">LET(
array,SORT({$Y$2:$AB$19,TRANSPOSE($BP88:$CG88)},4,TRUE),
col,CHOOSECOLS(array,5),
row,MATCH(FALSE, ISBLANK(col), 0),
IF(CD88=SWITCH($AA$22,
"minimum cost", MIN($BP88:$CG88),
"maximum cost", MAX($BP88:$CG88), 
"custom order", IF(CW$1=INDEX(array, row,1),INDEX(array, row,5),"x"))
,1,))</f>
        <v/>
      </c>
      <c r="CX88" s="469" t="str">
        <f t="array" ref="CX88">LET(
array,SORT({$Y$2:$AB$19,TRANSPOSE($BP88:$CG88)},4,TRUE),
col,CHOOSECOLS(array,5),
row,MATCH(FALSE, ISBLANK(col), 0),
IF(CE88=SWITCH($AA$22,
"minimum cost", MIN($BP88:$CG88),
"maximum cost", MAX($BP88:$CG88), 
"custom order", IF(CX$1=INDEX(array, row,1),INDEX(array, row,5),"x"))
,1,))</f>
        <v/>
      </c>
      <c r="CY88" s="469" t="str">
        <f t="array" ref="CY88">LET(
array,SORT({$Y$2:$AB$19,TRANSPOSE($BP88:$CG88)},4,TRUE),
col,CHOOSECOLS(array,5),
row,MATCH(FALSE, ISBLANK(col), 0),
IF(CF88=SWITCH($AA$22,
"minimum cost", MIN($BP88:$CG88),
"maximum cost", MAX($BP88:$CG88), 
"custom order", IF(CY$1=INDEX(array, row,1),INDEX(array, row,5),"x"))
,1,))</f>
        <v/>
      </c>
      <c r="CZ88" s="581" t="str">
        <f t="array" ref="CZ88">LET(
array,SORT({$Y$2:$AB$19,TRANSPOSE($BP88:$CG88)},4,TRUE),
col,CHOOSECOLS(array,5),
row,MATCH(FALSE, ISBLANK(col), 0),
IF(CG88=SWITCH($AA$22,
"minimum cost", MIN($BP88:$CG88),
"maximum cost", MAX($BP88:$CG88), 
"custom order", IF(CZ$1=INDEX(array, row,1),INDEX(array, row,5),"x"))
,1,))</f>
        <v/>
      </c>
      <c r="DA88" s="461"/>
      <c r="DB88" s="580" t="str">
        <f t="array" ref="DB88:DS88">IF(MATCH(1, CI88:CZ88, 0)=COLUMN(CI88:CZ88)-COLUMN(CI88)+1, CI88:CZ88, "")</f>
        <v/>
      </c>
      <c r="DC88" s="252" t="s">
        <v>133</v>
      </c>
      <c r="DD88" s="252" t="s">
        <v>133</v>
      </c>
      <c r="DE88" s="252" t="s">
        <v>133</v>
      </c>
      <c r="DF88" s="252" t="s">
        <v>133</v>
      </c>
      <c r="DG88" s="252" t="s">
        <v>133</v>
      </c>
      <c r="DH88" s="390" t="s">
        <v>133</v>
      </c>
      <c r="DI88" s="390" t="s">
        <v>133</v>
      </c>
      <c r="DJ88" s="390" t="s">
        <v>133</v>
      </c>
      <c r="DK88" s="390" t="s">
        <v>133</v>
      </c>
      <c r="DL88" s="390" t="s">
        <v>133</v>
      </c>
      <c r="DM88" s="390">
        <v>1.0</v>
      </c>
      <c r="DN88" s="469" t="s">
        <v>133</v>
      </c>
      <c r="DO88" s="469" t="s">
        <v>133</v>
      </c>
      <c r="DP88" s="469" t="s">
        <v>133</v>
      </c>
      <c r="DQ88" s="469" t="s">
        <v>133</v>
      </c>
      <c r="DR88" s="469" t="s">
        <v>133</v>
      </c>
      <c r="DS88" s="581" t="s">
        <v>133</v>
      </c>
      <c r="DT88" s="563"/>
    </row>
    <row r="89">
      <c r="A89" s="563"/>
      <c r="B89" s="709"/>
      <c r="C89" s="709"/>
      <c r="D89" s="709"/>
      <c r="E89" s="10"/>
      <c r="F89" s="709"/>
      <c r="G89" s="10"/>
      <c r="H89" s="709"/>
      <c r="I89" s="10"/>
      <c r="J89" s="709"/>
      <c r="K89" s="10"/>
      <c r="L89" s="709"/>
      <c r="M89" s="461"/>
      <c r="N89" s="10"/>
      <c r="O89" s="10"/>
      <c r="P89" s="10"/>
      <c r="Q89" s="570" t="str">
        <f>IFERROR(__xludf.DUMMYFUNCTION("IF(SUM(DB89:DS89),ARRAYFORMULA(FILTER(DB$1:DS$1, DB89:DS89=1)),)"),"Orb Size")</f>
        <v>Orb Size</v>
      </c>
      <c r="R89" s="571">
        <f>IFERROR(__xludf.DUMMYFUNCTION("IF(SUM(DB89:DS89),ARRAYFORMULA(FILTER(AW89:BN89, DB89:DS89=1))+1,)"),22.0)</f>
        <v>22</v>
      </c>
      <c r="S89" s="572">
        <f>IFERROR(__xludf.DUMMYFUNCTION("IF(SUM(DB89:DS89),ARRAYFORMULA(FILTER(AD89:AU89, DB89:DS89=1)),)"),3.029E13)</f>
        <v>30290000000000</v>
      </c>
      <c r="T89" s="572">
        <f t="shared" si="26"/>
        <v>1.74488E+16</v>
      </c>
      <c r="U89" s="573" t="str">
        <f t="shared" ref="U89:V89" si="283">FORMAT_NUMBER(S89)</f>
        <v>30.29 T</v>
      </c>
      <c r="V89" s="574" t="str">
        <f t="shared" si="283"/>
        <v>17.45 q</v>
      </c>
      <c r="W89" s="677"/>
      <c r="X89" s="709"/>
      <c r="Y89" s="709"/>
      <c r="Z89" s="709"/>
      <c r="AA89" s="709"/>
      <c r="AB89" s="712"/>
      <c r="AC89" s="461"/>
      <c r="AD89" s="580">
        <f t="shared" ref="AD89:AU89" si="284">IFERROR(WSPCOST_SINGLE_ADJUSTED(AD$1,1+AW89),)</f>
        <v>37110000000000</v>
      </c>
      <c r="AE89" s="252">
        <f t="shared" si="284"/>
        <v>82420000000</v>
      </c>
      <c r="AF89" s="252">
        <f t="shared" si="284"/>
        <v>69650000000000</v>
      </c>
      <c r="AG89" s="252">
        <f t="shared" si="284"/>
        <v>21210000000</v>
      </c>
      <c r="AH89" s="252">
        <f t="shared" si="284"/>
        <v>43890000000000</v>
      </c>
      <c r="AI89" s="252">
        <f t="shared" si="284"/>
        <v>47710000000000</v>
      </c>
      <c r="AJ89" s="390">
        <f t="shared" si="284"/>
        <v>297430000000000</v>
      </c>
      <c r="AK89" s="390">
        <f t="shared" si="284"/>
        <v>580270000000000</v>
      </c>
      <c r="AL89" s="390">
        <f t="shared" si="284"/>
        <v>5000000000</v>
      </c>
      <c r="AM89" s="390">
        <f t="shared" si="284"/>
        <v>33950000000</v>
      </c>
      <c r="AN89" s="390">
        <f t="shared" si="284"/>
        <v>297430000000000</v>
      </c>
      <c r="AO89" s="390">
        <f t="shared" si="284"/>
        <v>30290000000000</v>
      </c>
      <c r="AP89" s="469">
        <f t="shared" si="284"/>
        <v>153100000000000</v>
      </c>
      <c r="AQ89" s="469">
        <f t="shared" si="284"/>
        <v>1.3E+15</v>
      </c>
      <c r="AR89" s="469">
        <f t="shared" si="284"/>
        <v>1.3E+15</v>
      </c>
      <c r="AS89" s="469">
        <f t="shared" si="284"/>
        <v>420490000000000</v>
      </c>
      <c r="AT89" s="469">
        <f t="shared" si="284"/>
        <v>3990000000000</v>
      </c>
      <c r="AU89" s="581">
        <f t="shared" si="284"/>
        <v>1.14E+15</v>
      </c>
      <c r="AV89" s="461"/>
      <c r="AW89" s="580">
        <f t="shared" ref="AW89:BN89" si="285">AW88+DB88</f>
        <v>56</v>
      </c>
      <c r="AX89" s="252">
        <f t="shared" si="285"/>
        <v>21</v>
      </c>
      <c r="AY89" s="252">
        <f t="shared" si="285"/>
        <v>60</v>
      </c>
      <c r="AZ89" s="252">
        <f t="shared" si="285"/>
        <v>17</v>
      </c>
      <c r="BA89" s="252">
        <f t="shared" si="285"/>
        <v>57</v>
      </c>
      <c r="BB89" s="252">
        <f t="shared" si="285"/>
        <v>13</v>
      </c>
      <c r="BC89" s="390">
        <f t="shared" si="285"/>
        <v>72</v>
      </c>
      <c r="BD89" s="390">
        <f t="shared" si="285"/>
        <v>79</v>
      </c>
      <c r="BE89" s="390">
        <f t="shared" si="285"/>
        <v>0</v>
      </c>
      <c r="BF89" s="390">
        <f t="shared" si="285"/>
        <v>18</v>
      </c>
      <c r="BG89" s="390">
        <f t="shared" si="285"/>
        <v>72</v>
      </c>
      <c r="BH89" s="390">
        <f t="shared" si="285"/>
        <v>21</v>
      </c>
      <c r="BI89" s="469">
        <f t="shared" si="285"/>
        <v>66</v>
      </c>
      <c r="BJ89" s="469">
        <f t="shared" si="285"/>
        <v>37</v>
      </c>
      <c r="BK89" s="469">
        <f t="shared" si="285"/>
        <v>37</v>
      </c>
      <c r="BL89" s="469">
        <f t="shared" si="285"/>
        <v>18</v>
      </c>
      <c r="BM89" s="469">
        <f t="shared" si="285"/>
        <v>42</v>
      </c>
      <c r="BN89" s="581">
        <f t="shared" si="285"/>
        <v>15</v>
      </c>
      <c r="BO89" s="461"/>
      <c r="BP89" s="580">
        <f t="shared" si="8"/>
        <v>37110000000000</v>
      </c>
      <c r="BQ89" s="252" t="str">
        <f t="shared" si="9"/>
        <v/>
      </c>
      <c r="BR89" s="252">
        <f t="shared" si="10"/>
        <v>69650000000000</v>
      </c>
      <c r="BS89" s="252" t="str">
        <f t="shared" si="11"/>
        <v/>
      </c>
      <c r="BT89" s="252" t="str">
        <f t="shared" si="12"/>
        <v/>
      </c>
      <c r="BU89" s="252">
        <f t="shared" si="13"/>
        <v>47710000000000</v>
      </c>
      <c r="BV89" s="390" t="str">
        <f t="shared" si="14"/>
        <v/>
      </c>
      <c r="BW89" s="390" t="str">
        <f t="shared" si="15"/>
        <v/>
      </c>
      <c r="BX89" s="390" t="str">
        <f t="shared" si="16"/>
        <v/>
      </c>
      <c r="BY89" s="390" t="str">
        <f t="shared" si="17"/>
        <v/>
      </c>
      <c r="BZ89" s="390" t="str">
        <f t="shared" si="18"/>
        <v/>
      </c>
      <c r="CA89" s="390">
        <f t="shared" si="19"/>
        <v>30290000000000</v>
      </c>
      <c r="CB89" s="469" t="str">
        <f t="shared" si="20"/>
        <v/>
      </c>
      <c r="CC89" s="469" t="str">
        <f t="shared" si="21"/>
        <v/>
      </c>
      <c r="CD89" s="469" t="str">
        <f t="shared" si="22"/>
        <v/>
      </c>
      <c r="CE89" s="469" t="str">
        <f t="shared" si="23"/>
        <v/>
      </c>
      <c r="CF89" s="469" t="str">
        <f t="shared" si="24"/>
        <v/>
      </c>
      <c r="CG89" s="581" t="str">
        <f t="shared" si="25"/>
        <v/>
      </c>
      <c r="CH89" s="461"/>
      <c r="CI89" s="580" t="str">
        <f t="array" ref="CI89">LET(
array,SORT({$Y$2:$AB$19,TRANSPOSE($BP89:$CG89)},4,TRUE),
col,CHOOSECOLS(array,5),
row,MATCH(FALSE, ISBLANK(col), 0),
IF(BP89=SWITCH($AA$22,
"minimum cost", MIN($BP89:$CG89),
"maximum cost", MAX($BP89:$CG89), 
"custom order", IF(CI$1=INDEX(array, row,1),INDEX(array, row,5),"x"))
,1,))</f>
        <v/>
      </c>
      <c r="CJ89" s="252" t="str">
        <f t="array" ref="CJ89">LET(
array,SORT({$Y$2:$AB$19,TRANSPOSE($BP89:$CG89)},4,TRUE),
col,CHOOSECOLS(array,5),
row,MATCH(FALSE, ISBLANK(col), 0),
IF(BQ89=SWITCH($AA$22,
"minimum cost", MIN($BP89:$CG89),
"maximum cost", MAX($BP89:$CG89), 
"custom order", IF(CJ$1=INDEX(array, row,1),INDEX(array, row,5),"x"))
,1,))</f>
        <v/>
      </c>
      <c r="CK89" s="252" t="str">
        <f t="array" ref="CK89">LET(
array,SORT({$Y$2:$AB$19,TRANSPOSE($BP89:$CG89)},4,TRUE),
col,CHOOSECOLS(array,5),
row,MATCH(FALSE, ISBLANK(col), 0),
IF(BR89=SWITCH($AA$22,
"minimum cost", MIN($BP89:$CG89),
"maximum cost", MAX($BP89:$CG89), 
"custom order", IF(CK$1=INDEX(array, row,1),INDEX(array, row,5),"x"))
,1,))</f>
        <v/>
      </c>
      <c r="CL89" s="252" t="str">
        <f t="array" ref="CL89">LET(
array,SORT({$Y$2:$AB$19,TRANSPOSE($BP89:$CG89)},4,TRUE),
col,CHOOSECOLS(array,5),
row,MATCH(FALSE, ISBLANK(col), 0),
IF(BS89=SWITCH($AA$22,
"minimum cost", MIN($BP89:$CG89),
"maximum cost", MAX($BP89:$CG89), 
"custom order", IF(CL$1=INDEX(array, row,1),INDEX(array, row,5),"x"))
,1,))</f>
        <v/>
      </c>
      <c r="CM89" s="252" t="str">
        <f t="array" ref="CM89">LET(
array,SORT({$Y$2:$AB$19,TRANSPOSE($BP89:$CG89)},4,TRUE),
col,CHOOSECOLS(array,5),
row,MATCH(FALSE, ISBLANK(col), 0),
IF(BT89=SWITCH($AA$22,
"minimum cost", MIN($BP89:$CG89),
"maximum cost", MAX($BP89:$CG89), 
"custom order", IF(CM$1=INDEX(array, row,1),INDEX(array, row,5),"x"))
,1,))</f>
        <v/>
      </c>
      <c r="CN89" s="252" t="str">
        <f t="array" ref="CN89">LET(
array,SORT({$Y$2:$AB$19,TRANSPOSE($BP89:$CG89)},4,TRUE),
col,CHOOSECOLS(array,5),
row,MATCH(FALSE, ISBLANK(col), 0),
IF(BU89=SWITCH($AA$22,
"minimum cost", MIN($BP89:$CG89),
"maximum cost", MAX($BP89:$CG89), 
"custom order", IF(CN$1=INDEX(array, row,1),INDEX(array, row,5),"x"))
,1,))</f>
        <v/>
      </c>
      <c r="CO89" s="390" t="str">
        <f t="array" ref="CO89">LET(
array,SORT({$Y$2:$AB$19,TRANSPOSE($BP89:$CG89)},4,TRUE),
col,CHOOSECOLS(array,5),
row,MATCH(FALSE, ISBLANK(col), 0),
IF(BV89=SWITCH($AA$22,
"minimum cost", MIN($BP89:$CG89),
"maximum cost", MAX($BP89:$CG89), 
"custom order", IF(CO$1=INDEX(array, row,1),INDEX(array, row,5),"x"))
,1,))</f>
        <v/>
      </c>
      <c r="CP89" s="390" t="str">
        <f t="array" ref="CP89">LET(
array,SORT({$Y$2:$AB$19,TRANSPOSE($BP89:$CG89)},4,TRUE),
col,CHOOSECOLS(array,5),
row,MATCH(FALSE, ISBLANK(col), 0),
IF(BW89=SWITCH($AA$22,
"minimum cost", MIN($BP89:$CG89),
"maximum cost", MAX($BP89:$CG89), 
"custom order", IF(CP$1=INDEX(array, row,1),INDEX(array, row,5),"x"))
,1,))</f>
        <v/>
      </c>
      <c r="CQ89" s="390" t="str">
        <f t="array" ref="CQ89">LET(
array,SORT({$Y$2:$AB$19,TRANSPOSE($BP89:$CG89)},4,TRUE),
col,CHOOSECOLS(array,5),
row,MATCH(FALSE, ISBLANK(col), 0),
IF(BX89=SWITCH($AA$22,
"minimum cost", MIN($BP89:$CG89),
"maximum cost", MAX($BP89:$CG89), 
"custom order", IF(CQ$1=INDEX(array, row,1),INDEX(array, row,5),"x"))
,1,))</f>
        <v/>
      </c>
      <c r="CR89" s="390" t="str">
        <f t="array" ref="CR89">LET(
array,SORT({$Y$2:$AB$19,TRANSPOSE($BP89:$CG89)},4,TRUE),
col,CHOOSECOLS(array,5),
row,MATCH(FALSE, ISBLANK(col), 0),
IF(BY89=SWITCH($AA$22,
"minimum cost", MIN($BP89:$CG89),
"maximum cost", MAX($BP89:$CG89), 
"custom order", IF(CR$1=INDEX(array, row,1),INDEX(array, row,5),"x"))
,1,))</f>
        <v/>
      </c>
      <c r="CS89" s="390" t="str">
        <f t="array" ref="CS89">LET(
array,SORT({$Y$2:$AB$19,TRANSPOSE($BP89:$CG89)},4,TRUE),
col,CHOOSECOLS(array,5),
row,MATCH(FALSE, ISBLANK(col), 0),
IF(BZ89=SWITCH($AA$22,
"minimum cost", MIN($BP89:$CG89),
"maximum cost", MAX($BP89:$CG89), 
"custom order", IF(CS$1=INDEX(array, row,1),INDEX(array, row,5),"x"))
,1,))</f>
        <v/>
      </c>
      <c r="CT89" s="390">
        <f t="array" ref="CT89">LET(
array,SORT({$Y$2:$AB$19,TRANSPOSE($BP89:$CG89)},4,TRUE),
col,CHOOSECOLS(array,5),
row,MATCH(FALSE, ISBLANK(col), 0),
IF(CA89=SWITCH($AA$22,
"minimum cost", MIN($BP89:$CG89),
"maximum cost", MAX($BP89:$CG89), 
"custom order", IF(CT$1=INDEX(array, row,1),INDEX(array, row,5),"x"))
,1,))</f>
        <v>1</v>
      </c>
      <c r="CU89" s="469" t="str">
        <f t="array" ref="CU89">LET(
array,SORT({$Y$2:$AB$19,TRANSPOSE($BP89:$CG89)},4,TRUE),
col,CHOOSECOLS(array,5),
row,MATCH(FALSE, ISBLANK(col), 0),
IF(CB89=SWITCH($AA$22,
"minimum cost", MIN($BP89:$CG89),
"maximum cost", MAX($BP89:$CG89), 
"custom order", IF(CU$1=INDEX(array, row,1),INDEX(array, row,5),"x"))
,1,))</f>
        <v/>
      </c>
      <c r="CV89" s="469" t="str">
        <f t="array" ref="CV89">LET(
array,SORT({$Y$2:$AB$19,TRANSPOSE($BP89:$CG89)},4,TRUE),
col,CHOOSECOLS(array,5),
row,MATCH(FALSE, ISBLANK(col), 0),
IF(CC89=SWITCH($AA$22,
"minimum cost", MIN($BP89:$CG89),
"maximum cost", MAX($BP89:$CG89), 
"custom order", IF(CV$1=INDEX(array, row,1),INDEX(array, row,5),"x"))
,1,))</f>
        <v/>
      </c>
      <c r="CW89" s="469" t="str">
        <f t="array" ref="CW89">LET(
array,SORT({$Y$2:$AB$19,TRANSPOSE($BP89:$CG89)},4,TRUE),
col,CHOOSECOLS(array,5),
row,MATCH(FALSE, ISBLANK(col), 0),
IF(CD89=SWITCH($AA$22,
"minimum cost", MIN($BP89:$CG89),
"maximum cost", MAX($BP89:$CG89), 
"custom order", IF(CW$1=INDEX(array, row,1),INDEX(array, row,5),"x"))
,1,))</f>
        <v/>
      </c>
      <c r="CX89" s="469" t="str">
        <f t="array" ref="CX89">LET(
array,SORT({$Y$2:$AB$19,TRANSPOSE($BP89:$CG89)},4,TRUE),
col,CHOOSECOLS(array,5),
row,MATCH(FALSE, ISBLANK(col), 0),
IF(CE89=SWITCH($AA$22,
"minimum cost", MIN($BP89:$CG89),
"maximum cost", MAX($BP89:$CG89), 
"custom order", IF(CX$1=INDEX(array, row,1),INDEX(array, row,5),"x"))
,1,))</f>
        <v/>
      </c>
      <c r="CY89" s="469" t="str">
        <f t="array" ref="CY89">LET(
array,SORT({$Y$2:$AB$19,TRANSPOSE($BP89:$CG89)},4,TRUE),
col,CHOOSECOLS(array,5),
row,MATCH(FALSE, ISBLANK(col), 0),
IF(CF89=SWITCH($AA$22,
"minimum cost", MIN($BP89:$CG89),
"maximum cost", MAX($BP89:$CG89), 
"custom order", IF(CY$1=INDEX(array, row,1),INDEX(array, row,5),"x"))
,1,))</f>
        <v/>
      </c>
      <c r="CZ89" s="581" t="str">
        <f t="array" ref="CZ89">LET(
array,SORT({$Y$2:$AB$19,TRANSPOSE($BP89:$CG89)},4,TRUE),
col,CHOOSECOLS(array,5),
row,MATCH(FALSE, ISBLANK(col), 0),
IF(CG89=SWITCH($AA$22,
"minimum cost", MIN($BP89:$CG89),
"maximum cost", MAX($BP89:$CG89), 
"custom order", IF(CZ$1=INDEX(array, row,1),INDEX(array, row,5),"x"))
,1,))</f>
        <v/>
      </c>
      <c r="DA89" s="461"/>
      <c r="DB89" s="580" t="str">
        <f t="array" ref="DB89:DS89">IF(MATCH(1, CI89:CZ89, 0)=COLUMN(CI89:CZ89)-COLUMN(CI89)+1, CI89:CZ89, "")</f>
        <v/>
      </c>
      <c r="DC89" s="252" t="s">
        <v>133</v>
      </c>
      <c r="DD89" s="252" t="s">
        <v>133</v>
      </c>
      <c r="DE89" s="252" t="s">
        <v>133</v>
      </c>
      <c r="DF89" s="252" t="s">
        <v>133</v>
      </c>
      <c r="DG89" s="252" t="s">
        <v>133</v>
      </c>
      <c r="DH89" s="390" t="s">
        <v>133</v>
      </c>
      <c r="DI89" s="390" t="s">
        <v>133</v>
      </c>
      <c r="DJ89" s="390" t="s">
        <v>133</v>
      </c>
      <c r="DK89" s="390" t="s">
        <v>133</v>
      </c>
      <c r="DL89" s="390" t="s">
        <v>133</v>
      </c>
      <c r="DM89" s="390">
        <v>1.0</v>
      </c>
      <c r="DN89" s="469" t="s">
        <v>133</v>
      </c>
      <c r="DO89" s="469" t="s">
        <v>133</v>
      </c>
      <c r="DP89" s="469" t="s">
        <v>133</v>
      </c>
      <c r="DQ89" s="469" t="s">
        <v>133</v>
      </c>
      <c r="DR89" s="469" t="s">
        <v>133</v>
      </c>
      <c r="DS89" s="581" t="s">
        <v>133</v>
      </c>
      <c r="DT89" s="563"/>
    </row>
    <row r="90">
      <c r="A90" s="563"/>
      <c r="B90" s="709"/>
      <c r="C90" s="709"/>
      <c r="D90" s="709"/>
      <c r="E90" s="10"/>
      <c r="F90" s="709"/>
      <c r="G90" s="10"/>
      <c r="H90" s="709"/>
      <c r="I90" s="10"/>
      <c r="J90" s="709"/>
      <c r="K90" s="10"/>
      <c r="L90" s="709"/>
      <c r="M90" s="461"/>
      <c r="N90" s="10"/>
      <c r="O90" s="10"/>
      <c r="P90" s="10"/>
      <c r="Q90" s="570" t="str">
        <f>IFERROR(__xludf.DUMMYFUNCTION("IF(SUM(DB90:DS90),ARRAYFORMULA(FILTER(DB$1:DS$1, DB90:DS90=1)),)"),"Orb Size")</f>
        <v>Orb Size</v>
      </c>
      <c r="R90" s="571">
        <f>IFERROR(__xludf.DUMMYFUNCTION("IF(SUM(DB90:DS90),ARRAYFORMULA(FILTER(AW90:BN90, DB90:DS90=1))+1,)"),23.0)</f>
        <v>23</v>
      </c>
      <c r="S90" s="572">
        <f>IFERROR(__xludf.DUMMYFUNCTION("IF(SUM(DB90:DS90),ARRAYFORMULA(FILTER(AD90:AU90, DB90:DS90=1)),)"),4.024E13)</f>
        <v>40240000000000</v>
      </c>
      <c r="T90" s="572">
        <f t="shared" si="26"/>
        <v>1.7489E+16</v>
      </c>
      <c r="U90" s="573" t="str">
        <f t="shared" ref="U90:V90" si="286">FORMAT_NUMBER(S90)</f>
        <v>40.24 T</v>
      </c>
      <c r="V90" s="574" t="str">
        <f t="shared" si="286"/>
        <v>17.49 q</v>
      </c>
      <c r="W90" s="677"/>
      <c r="X90" s="709"/>
      <c r="Y90" s="709"/>
      <c r="Z90" s="709"/>
      <c r="AA90" s="709"/>
      <c r="AB90" s="712"/>
      <c r="AC90" s="461"/>
      <c r="AD90" s="580">
        <f t="shared" ref="AD90:AU90" si="287">IFERROR(WSPCOST_SINGLE_ADJUSTED(AD$1,1+AW90),)</f>
        <v>37110000000000</v>
      </c>
      <c r="AE90" s="252">
        <f t="shared" si="287"/>
        <v>82420000000</v>
      </c>
      <c r="AF90" s="252">
        <f t="shared" si="287"/>
        <v>69650000000000</v>
      </c>
      <c r="AG90" s="252">
        <f t="shared" si="287"/>
        <v>21210000000</v>
      </c>
      <c r="AH90" s="252">
        <f t="shared" si="287"/>
        <v>43890000000000</v>
      </c>
      <c r="AI90" s="252">
        <f t="shared" si="287"/>
        <v>47710000000000</v>
      </c>
      <c r="AJ90" s="390">
        <f t="shared" si="287"/>
        <v>297430000000000</v>
      </c>
      <c r="AK90" s="390">
        <f t="shared" si="287"/>
        <v>580270000000000</v>
      </c>
      <c r="AL90" s="390">
        <f t="shared" si="287"/>
        <v>5000000000</v>
      </c>
      <c r="AM90" s="390">
        <f t="shared" si="287"/>
        <v>33950000000</v>
      </c>
      <c r="AN90" s="390">
        <f t="shared" si="287"/>
        <v>297430000000000</v>
      </c>
      <c r="AO90" s="390">
        <f t="shared" si="287"/>
        <v>40240000000000</v>
      </c>
      <c r="AP90" s="469">
        <f t="shared" si="287"/>
        <v>153100000000000</v>
      </c>
      <c r="AQ90" s="469">
        <f t="shared" si="287"/>
        <v>1.3E+15</v>
      </c>
      <c r="AR90" s="469">
        <f t="shared" si="287"/>
        <v>1.3E+15</v>
      </c>
      <c r="AS90" s="469">
        <f t="shared" si="287"/>
        <v>420490000000000</v>
      </c>
      <c r="AT90" s="469">
        <f t="shared" si="287"/>
        <v>3990000000000</v>
      </c>
      <c r="AU90" s="581">
        <f t="shared" si="287"/>
        <v>1.14E+15</v>
      </c>
      <c r="AV90" s="461"/>
      <c r="AW90" s="580">
        <f t="shared" ref="AW90:BN90" si="288">AW89+DB89</f>
        <v>56</v>
      </c>
      <c r="AX90" s="252">
        <f t="shared" si="288"/>
        <v>21</v>
      </c>
      <c r="AY90" s="252">
        <f t="shared" si="288"/>
        <v>60</v>
      </c>
      <c r="AZ90" s="252">
        <f t="shared" si="288"/>
        <v>17</v>
      </c>
      <c r="BA90" s="252">
        <f t="shared" si="288"/>
        <v>57</v>
      </c>
      <c r="BB90" s="252">
        <f t="shared" si="288"/>
        <v>13</v>
      </c>
      <c r="BC90" s="390">
        <f t="shared" si="288"/>
        <v>72</v>
      </c>
      <c r="BD90" s="390">
        <f t="shared" si="288"/>
        <v>79</v>
      </c>
      <c r="BE90" s="390">
        <f t="shared" si="288"/>
        <v>0</v>
      </c>
      <c r="BF90" s="390">
        <f t="shared" si="288"/>
        <v>18</v>
      </c>
      <c r="BG90" s="390">
        <f t="shared" si="288"/>
        <v>72</v>
      </c>
      <c r="BH90" s="390">
        <f t="shared" si="288"/>
        <v>22</v>
      </c>
      <c r="BI90" s="469">
        <f t="shared" si="288"/>
        <v>66</v>
      </c>
      <c r="BJ90" s="469">
        <f t="shared" si="288"/>
        <v>37</v>
      </c>
      <c r="BK90" s="469">
        <f t="shared" si="288"/>
        <v>37</v>
      </c>
      <c r="BL90" s="469">
        <f t="shared" si="288"/>
        <v>18</v>
      </c>
      <c r="BM90" s="469">
        <f t="shared" si="288"/>
        <v>42</v>
      </c>
      <c r="BN90" s="581">
        <f t="shared" si="288"/>
        <v>15</v>
      </c>
      <c r="BO90" s="461"/>
      <c r="BP90" s="580">
        <f t="shared" si="8"/>
        <v>37110000000000</v>
      </c>
      <c r="BQ90" s="252" t="str">
        <f t="shared" si="9"/>
        <v/>
      </c>
      <c r="BR90" s="252">
        <f t="shared" si="10"/>
        <v>69650000000000</v>
      </c>
      <c r="BS90" s="252" t="str">
        <f t="shared" si="11"/>
        <v/>
      </c>
      <c r="BT90" s="252" t="str">
        <f t="shared" si="12"/>
        <v/>
      </c>
      <c r="BU90" s="252">
        <f t="shared" si="13"/>
        <v>47710000000000</v>
      </c>
      <c r="BV90" s="390" t="str">
        <f t="shared" si="14"/>
        <v/>
      </c>
      <c r="BW90" s="390" t="str">
        <f t="shared" si="15"/>
        <v/>
      </c>
      <c r="BX90" s="390" t="str">
        <f t="shared" si="16"/>
        <v/>
      </c>
      <c r="BY90" s="390" t="str">
        <f t="shared" si="17"/>
        <v/>
      </c>
      <c r="BZ90" s="390" t="str">
        <f t="shared" si="18"/>
        <v/>
      </c>
      <c r="CA90" s="390">
        <f t="shared" si="19"/>
        <v>40240000000000</v>
      </c>
      <c r="CB90" s="469" t="str">
        <f t="shared" si="20"/>
        <v/>
      </c>
      <c r="CC90" s="469" t="str">
        <f t="shared" si="21"/>
        <v/>
      </c>
      <c r="CD90" s="469" t="str">
        <f t="shared" si="22"/>
        <v/>
      </c>
      <c r="CE90" s="469" t="str">
        <f t="shared" si="23"/>
        <v/>
      </c>
      <c r="CF90" s="469" t="str">
        <f t="shared" si="24"/>
        <v/>
      </c>
      <c r="CG90" s="581" t="str">
        <f t="shared" si="25"/>
        <v/>
      </c>
      <c r="CH90" s="461"/>
      <c r="CI90" s="580" t="str">
        <f t="array" ref="CI90">LET(
array,SORT({$Y$2:$AB$19,TRANSPOSE($BP90:$CG90)},4,TRUE),
col,CHOOSECOLS(array,5),
row,MATCH(FALSE, ISBLANK(col), 0),
IF(BP90=SWITCH($AA$22,
"minimum cost", MIN($BP90:$CG90),
"maximum cost", MAX($BP90:$CG90), 
"custom order", IF(CI$1=INDEX(array, row,1),INDEX(array, row,5),"x"))
,1,))</f>
        <v/>
      </c>
      <c r="CJ90" s="252" t="str">
        <f t="array" ref="CJ90">LET(
array,SORT({$Y$2:$AB$19,TRANSPOSE($BP90:$CG90)},4,TRUE),
col,CHOOSECOLS(array,5),
row,MATCH(FALSE, ISBLANK(col), 0),
IF(BQ90=SWITCH($AA$22,
"minimum cost", MIN($BP90:$CG90),
"maximum cost", MAX($BP90:$CG90), 
"custom order", IF(CJ$1=INDEX(array, row,1),INDEX(array, row,5),"x"))
,1,))</f>
        <v/>
      </c>
      <c r="CK90" s="252" t="str">
        <f t="array" ref="CK90">LET(
array,SORT({$Y$2:$AB$19,TRANSPOSE($BP90:$CG90)},4,TRUE),
col,CHOOSECOLS(array,5),
row,MATCH(FALSE, ISBLANK(col), 0),
IF(BR90=SWITCH($AA$22,
"minimum cost", MIN($BP90:$CG90),
"maximum cost", MAX($BP90:$CG90), 
"custom order", IF(CK$1=INDEX(array, row,1),INDEX(array, row,5),"x"))
,1,))</f>
        <v/>
      </c>
      <c r="CL90" s="252" t="str">
        <f t="array" ref="CL90">LET(
array,SORT({$Y$2:$AB$19,TRANSPOSE($BP90:$CG90)},4,TRUE),
col,CHOOSECOLS(array,5),
row,MATCH(FALSE, ISBLANK(col), 0),
IF(BS90=SWITCH($AA$22,
"minimum cost", MIN($BP90:$CG90),
"maximum cost", MAX($BP90:$CG90), 
"custom order", IF(CL$1=INDEX(array, row,1),INDEX(array, row,5),"x"))
,1,))</f>
        <v/>
      </c>
      <c r="CM90" s="252" t="str">
        <f t="array" ref="CM90">LET(
array,SORT({$Y$2:$AB$19,TRANSPOSE($BP90:$CG90)},4,TRUE),
col,CHOOSECOLS(array,5),
row,MATCH(FALSE, ISBLANK(col), 0),
IF(BT90=SWITCH($AA$22,
"minimum cost", MIN($BP90:$CG90),
"maximum cost", MAX($BP90:$CG90), 
"custom order", IF(CM$1=INDEX(array, row,1),INDEX(array, row,5),"x"))
,1,))</f>
        <v/>
      </c>
      <c r="CN90" s="252" t="str">
        <f t="array" ref="CN90">LET(
array,SORT({$Y$2:$AB$19,TRANSPOSE($BP90:$CG90)},4,TRUE),
col,CHOOSECOLS(array,5),
row,MATCH(FALSE, ISBLANK(col), 0),
IF(BU90=SWITCH($AA$22,
"minimum cost", MIN($BP90:$CG90),
"maximum cost", MAX($BP90:$CG90), 
"custom order", IF(CN$1=INDEX(array, row,1),INDEX(array, row,5),"x"))
,1,))</f>
        <v/>
      </c>
      <c r="CO90" s="390" t="str">
        <f t="array" ref="CO90">LET(
array,SORT({$Y$2:$AB$19,TRANSPOSE($BP90:$CG90)},4,TRUE),
col,CHOOSECOLS(array,5),
row,MATCH(FALSE, ISBLANK(col), 0),
IF(BV90=SWITCH($AA$22,
"minimum cost", MIN($BP90:$CG90),
"maximum cost", MAX($BP90:$CG90), 
"custom order", IF(CO$1=INDEX(array, row,1),INDEX(array, row,5),"x"))
,1,))</f>
        <v/>
      </c>
      <c r="CP90" s="390" t="str">
        <f t="array" ref="CP90">LET(
array,SORT({$Y$2:$AB$19,TRANSPOSE($BP90:$CG90)},4,TRUE),
col,CHOOSECOLS(array,5),
row,MATCH(FALSE, ISBLANK(col), 0),
IF(BW90=SWITCH($AA$22,
"minimum cost", MIN($BP90:$CG90),
"maximum cost", MAX($BP90:$CG90), 
"custom order", IF(CP$1=INDEX(array, row,1),INDEX(array, row,5),"x"))
,1,))</f>
        <v/>
      </c>
      <c r="CQ90" s="390" t="str">
        <f t="array" ref="CQ90">LET(
array,SORT({$Y$2:$AB$19,TRANSPOSE($BP90:$CG90)},4,TRUE),
col,CHOOSECOLS(array,5),
row,MATCH(FALSE, ISBLANK(col), 0),
IF(BX90=SWITCH($AA$22,
"minimum cost", MIN($BP90:$CG90),
"maximum cost", MAX($BP90:$CG90), 
"custom order", IF(CQ$1=INDEX(array, row,1),INDEX(array, row,5),"x"))
,1,))</f>
        <v/>
      </c>
      <c r="CR90" s="390" t="str">
        <f t="array" ref="CR90">LET(
array,SORT({$Y$2:$AB$19,TRANSPOSE($BP90:$CG90)},4,TRUE),
col,CHOOSECOLS(array,5),
row,MATCH(FALSE, ISBLANK(col), 0),
IF(BY90=SWITCH($AA$22,
"minimum cost", MIN($BP90:$CG90),
"maximum cost", MAX($BP90:$CG90), 
"custom order", IF(CR$1=INDEX(array, row,1),INDEX(array, row,5),"x"))
,1,))</f>
        <v/>
      </c>
      <c r="CS90" s="390" t="str">
        <f t="array" ref="CS90">LET(
array,SORT({$Y$2:$AB$19,TRANSPOSE($BP90:$CG90)},4,TRUE),
col,CHOOSECOLS(array,5),
row,MATCH(FALSE, ISBLANK(col), 0),
IF(BZ90=SWITCH($AA$22,
"minimum cost", MIN($BP90:$CG90),
"maximum cost", MAX($BP90:$CG90), 
"custom order", IF(CS$1=INDEX(array, row,1),INDEX(array, row,5),"x"))
,1,))</f>
        <v/>
      </c>
      <c r="CT90" s="390">
        <f t="array" ref="CT90">LET(
array,SORT({$Y$2:$AB$19,TRANSPOSE($BP90:$CG90)},4,TRUE),
col,CHOOSECOLS(array,5),
row,MATCH(FALSE, ISBLANK(col), 0),
IF(CA90=SWITCH($AA$22,
"minimum cost", MIN($BP90:$CG90),
"maximum cost", MAX($BP90:$CG90), 
"custom order", IF(CT$1=INDEX(array, row,1),INDEX(array, row,5),"x"))
,1,))</f>
        <v>1</v>
      </c>
      <c r="CU90" s="469" t="str">
        <f t="array" ref="CU90">LET(
array,SORT({$Y$2:$AB$19,TRANSPOSE($BP90:$CG90)},4,TRUE),
col,CHOOSECOLS(array,5),
row,MATCH(FALSE, ISBLANK(col), 0),
IF(CB90=SWITCH($AA$22,
"minimum cost", MIN($BP90:$CG90),
"maximum cost", MAX($BP90:$CG90), 
"custom order", IF(CU$1=INDEX(array, row,1),INDEX(array, row,5),"x"))
,1,))</f>
        <v/>
      </c>
      <c r="CV90" s="469" t="str">
        <f t="array" ref="CV90">LET(
array,SORT({$Y$2:$AB$19,TRANSPOSE($BP90:$CG90)},4,TRUE),
col,CHOOSECOLS(array,5),
row,MATCH(FALSE, ISBLANK(col), 0),
IF(CC90=SWITCH($AA$22,
"minimum cost", MIN($BP90:$CG90),
"maximum cost", MAX($BP90:$CG90), 
"custom order", IF(CV$1=INDEX(array, row,1),INDEX(array, row,5),"x"))
,1,))</f>
        <v/>
      </c>
      <c r="CW90" s="469" t="str">
        <f t="array" ref="CW90">LET(
array,SORT({$Y$2:$AB$19,TRANSPOSE($BP90:$CG90)},4,TRUE),
col,CHOOSECOLS(array,5),
row,MATCH(FALSE, ISBLANK(col), 0),
IF(CD90=SWITCH($AA$22,
"minimum cost", MIN($BP90:$CG90),
"maximum cost", MAX($BP90:$CG90), 
"custom order", IF(CW$1=INDEX(array, row,1),INDEX(array, row,5),"x"))
,1,))</f>
        <v/>
      </c>
      <c r="CX90" s="469" t="str">
        <f t="array" ref="CX90">LET(
array,SORT({$Y$2:$AB$19,TRANSPOSE($BP90:$CG90)},4,TRUE),
col,CHOOSECOLS(array,5),
row,MATCH(FALSE, ISBLANK(col), 0),
IF(CE90=SWITCH($AA$22,
"minimum cost", MIN($BP90:$CG90),
"maximum cost", MAX($BP90:$CG90), 
"custom order", IF(CX$1=INDEX(array, row,1),INDEX(array, row,5),"x"))
,1,))</f>
        <v/>
      </c>
      <c r="CY90" s="469" t="str">
        <f t="array" ref="CY90">LET(
array,SORT({$Y$2:$AB$19,TRANSPOSE($BP90:$CG90)},4,TRUE),
col,CHOOSECOLS(array,5),
row,MATCH(FALSE, ISBLANK(col), 0),
IF(CF90=SWITCH($AA$22,
"minimum cost", MIN($BP90:$CG90),
"maximum cost", MAX($BP90:$CG90), 
"custom order", IF(CY$1=INDEX(array, row,1),INDEX(array, row,5),"x"))
,1,))</f>
        <v/>
      </c>
      <c r="CZ90" s="581" t="str">
        <f t="array" ref="CZ90">LET(
array,SORT({$Y$2:$AB$19,TRANSPOSE($BP90:$CG90)},4,TRUE),
col,CHOOSECOLS(array,5),
row,MATCH(FALSE, ISBLANK(col), 0),
IF(CG90=SWITCH($AA$22,
"minimum cost", MIN($BP90:$CG90),
"maximum cost", MAX($BP90:$CG90), 
"custom order", IF(CZ$1=INDEX(array, row,1),INDEX(array, row,5),"x"))
,1,))</f>
        <v/>
      </c>
      <c r="DA90" s="461"/>
      <c r="DB90" s="580" t="str">
        <f t="array" ref="DB90:DS90">IF(MATCH(1, CI90:CZ90, 0)=COLUMN(CI90:CZ90)-COLUMN(CI90)+1, CI90:CZ90, "")</f>
        <v/>
      </c>
      <c r="DC90" s="252" t="s">
        <v>133</v>
      </c>
      <c r="DD90" s="252" t="s">
        <v>133</v>
      </c>
      <c r="DE90" s="252" t="s">
        <v>133</v>
      </c>
      <c r="DF90" s="252" t="s">
        <v>133</v>
      </c>
      <c r="DG90" s="252" t="s">
        <v>133</v>
      </c>
      <c r="DH90" s="390" t="s">
        <v>133</v>
      </c>
      <c r="DI90" s="390" t="s">
        <v>133</v>
      </c>
      <c r="DJ90" s="390" t="s">
        <v>133</v>
      </c>
      <c r="DK90" s="390" t="s">
        <v>133</v>
      </c>
      <c r="DL90" s="390" t="s">
        <v>133</v>
      </c>
      <c r="DM90" s="390">
        <v>1.0</v>
      </c>
      <c r="DN90" s="469" t="s">
        <v>133</v>
      </c>
      <c r="DO90" s="469" t="s">
        <v>133</v>
      </c>
      <c r="DP90" s="469" t="s">
        <v>133</v>
      </c>
      <c r="DQ90" s="469" t="s">
        <v>133</v>
      </c>
      <c r="DR90" s="469" t="s">
        <v>133</v>
      </c>
      <c r="DS90" s="581" t="s">
        <v>133</v>
      </c>
      <c r="DT90" s="563"/>
    </row>
    <row r="91">
      <c r="A91" s="563"/>
      <c r="B91" s="709"/>
      <c r="C91" s="709"/>
      <c r="D91" s="709"/>
      <c r="E91" s="10"/>
      <c r="F91" s="709"/>
      <c r="G91" s="10"/>
      <c r="H91" s="709"/>
      <c r="I91" s="10"/>
      <c r="J91" s="709"/>
      <c r="K91" s="10"/>
      <c r="L91" s="709"/>
      <c r="M91" s="461"/>
      <c r="N91" s="10"/>
      <c r="O91" s="10"/>
      <c r="P91" s="10"/>
      <c r="Q91" s="570" t="str">
        <f>IFERROR(__xludf.DUMMYFUNCTION("IF(SUM(DB91:DS91),ARRAYFORMULA(FILTER(DB$1:DS$1, DB91:DS91=1)),)"),"Orb Size")</f>
        <v>Orb Size</v>
      </c>
      <c r="R91" s="571">
        <f>IFERROR(__xludf.DUMMYFUNCTION("IF(SUM(DB91:DS91),ARRAYFORMULA(FILTER(AW91:BN91, DB91:DS91=1))+1,)"),24.0)</f>
        <v>24</v>
      </c>
      <c r="S91" s="572">
        <f>IFERROR(__xludf.DUMMYFUNCTION("IF(SUM(DB91:DS91),ARRAYFORMULA(FILTER(AD91:AU91, DB91:DS91=1)),)"),5.208E13)</f>
        <v>52080000000000</v>
      </c>
      <c r="T91" s="572">
        <f t="shared" si="26"/>
        <v>1.75411E+16</v>
      </c>
      <c r="U91" s="573" t="str">
        <f t="shared" ref="U91:V91" si="289">FORMAT_NUMBER(S91)</f>
        <v>52.08 T</v>
      </c>
      <c r="V91" s="574" t="str">
        <f t="shared" si="289"/>
        <v>17.54 q</v>
      </c>
      <c r="W91" s="677"/>
      <c r="X91" s="709"/>
      <c r="Y91" s="709"/>
      <c r="Z91" s="709"/>
      <c r="AA91" s="709"/>
      <c r="AB91" s="712"/>
      <c r="AC91" s="461"/>
      <c r="AD91" s="580">
        <f t="shared" ref="AD91:AU91" si="290">IFERROR(WSPCOST_SINGLE_ADJUSTED(AD$1,1+AW91),)</f>
        <v>37110000000000</v>
      </c>
      <c r="AE91" s="252">
        <f t="shared" si="290"/>
        <v>82420000000</v>
      </c>
      <c r="AF91" s="252">
        <f t="shared" si="290"/>
        <v>69650000000000</v>
      </c>
      <c r="AG91" s="252">
        <f t="shared" si="290"/>
        <v>21210000000</v>
      </c>
      <c r="AH91" s="252">
        <f t="shared" si="290"/>
        <v>43890000000000</v>
      </c>
      <c r="AI91" s="252">
        <f t="shared" si="290"/>
        <v>47710000000000</v>
      </c>
      <c r="AJ91" s="390">
        <f t="shared" si="290"/>
        <v>297430000000000</v>
      </c>
      <c r="AK91" s="390">
        <f t="shared" si="290"/>
        <v>580270000000000</v>
      </c>
      <c r="AL91" s="390">
        <f t="shared" si="290"/>
        <v>5000000000</v>
      </c>
      <c r="AM91" s="390">
        <f t="shared" si="290"/>
        <v>33950000000</v>
      </c>
      <c r="AN91" s="390">
        <f t="shared" si="290"/>
        <v>297430000000000</v>
      </c>
      <c r="AO91" s="390">
        <f t="shared" si="290"/>
        <v>52080000000000</v>
      </c>
      <c r="AP91" s="469">
        <f t="shared" si="290"/>
        <v>153100000000000</v>
      </c>
      <c r="AQ91" s="469">
        <f t="shared" si="290"/>
        <v>1.3E+15</v>
      </c>
      <c r="AR91" s="469">
        <f t="shared" si="290"/>
        <v>1.3E+15</v>
      </c>
      <c r="AS91" s="469">
        <f t="shared" si="290"/>
        <v>420490000000000</v>
      </c>
      <c r="AT91" s="469">
        <f t="shared" si="290"/>
        <v>3990000000000</v>
      </c>
      <c r="AU91" s="581">
        <f t="shared" si="290"/>
        <v>1.14E+15</v>
      </c>
      <c r="AV91" s="461"/>
      <c r="AW91" s="580">
        <f t="shared" ref="AW91:BN91" si="291">AW90+DB90</f>
        <v>56</v>
      </c>
      <c r="AX91" s="252">
        <f t="shared" si="291"/>
        <v>21</v>
      </c>
      <c r="AY91" s="252">
        <f t="shared" si="291"/>
        <v>60</v>
      </c>
      <c r="AZ91" s="252">
        <f t="shared" si="291"/>
        <v>17</v>
      </c>
      <c r="BA91" s="252">
        <f t="shared" si="291"/>
        <v>57</v>
      </c>
      <c r="BB91" s="252">
        <f t="shared" si="291"/>
        <v>13</v>
      </c>
      <c r="BC91" s="390">
        <f t="shared" si="291"/>
        <v>72</v>
      </c>
      <c r="BD91" s="390">
        <f t="shared" si="291"/>
        <v>79</v>
      </c>
      <c r="BE91" s="390">
        <f t="shared" si="291"/>
        <v>0</v>
      </c>
      <c r="BF91" s="390">
        <f t="shared" si="291"/>
        <v>18</v>
      </c>
      <c r="BG91" s="390">
        <f t="shared" si="291"/>
        <v>72</v>
      </c>
      <c r="BH91" s="390">
        <f t="shared" si="291"/>
        <v>23</v>
      </c>
      <c r="BI91" s="469">
        <f t="shared" si="291"/>
        <v>66</v>
      </c>
      <c r="BJ91" s="469">
        <f t="shared" si="291"/>
        <v>37</v>
      </c>
      <c r="BK91" s="469">
        <f t="shared" si="291"/>
        <v>37</v>
      </c>
      <c r="BL91" s="469">
        <f t="shared" si="291"/>
        <v>18</v>
      </c>
      <c r="BM91" s="469">
        <f t="shared" si="291"/>
        <v>42</v>
      </c>
      <c r="BN91" s="581">
        <f t="shared" si="291"/>
        <v>15</v>
      </c>
      <c r="BO91" s="461"/>
      <c r="BP91" s="580">
        <f t="shared" si="8"/>
        <v>37110000000000</v>
      </c>
      <c r="BQ91" s="252" t="str">
        <f t="shared" si="9"/>
        <v/>
      </c>
      <c r="BR91" s="252">
        <f t="shared" si="10"/>
        <v>69650000000000</v>
      </c>
      <c r="BS91" s="252" t="str">
        <f t="shared" si="11"/>
        <v/>
      </c>
      <c r="BT91" s="252" t="str">
        <f t="shared" si="12"/>
        <v/>
      </c>
      <c r="BU91" s="252">
        <f t="shared" si="13"/>
        <v>47710000000000</v>
      </c>
      <c r="BV91" s="390" t="str">
        <f t="shared" si="14"/>
        <v/>
      </c>
      <c r="BW91" s="390" t="str">
        <f t="shared" si="15"/>
        <v/>
      </c>
      <c r="BX91" s="390" t="str">
        <f t="shared" si="16"/>
        <v/>
      </c>
      <c r="BY91" s="390" t="str">
        <f t="shared" si="17"/>
        <v/>
      </c>
      <c r="BZ91" s="390" t="str">
        <f t="shared" si="18"/>
        <v/>
      </c>
      <c r="CA91" s="390">
        <f t="shared" si="19"/>
        <v>52080000000000</v>
      </c>
      <c r="CB91" s="469" t="str">
        <f t="shared" si="20"/>
        <v/>
      </c>
      <c r="CC91" s="469" t="str">
        <f t="shared" si="21"/>
        <v/>
      </c>
      <c r="CD91" s="469" t="str">
        <f t="shared" si="22"/>
        <v/>
      </c>
      <c r="CE91" s="469" t="str">
        <f t="shared" si="23"/>
        <v/>
      </c>
      <c r="CF91" s="469" t="str">
        <f t="shared" si="24"/>
        <v/>
      </c>
      <c r="CG91" s="581" t="str">
        <f t="shared" si="25"/>
        <v/>
      </c>
      <c r="CH91" s="461"/>
      <c r="CI91" s="580" t="str">
        <f t="array" ref="CI91">LET(
array,SORT({$Y$2:$AB$19,TRANSPOSE($BP91:$CG91)},4,TRUE),
col,CHOOSECOLS(array,5),
row,MATCH(FALSE, ISBLANK(col), 0),
IF(BP91=SWITCH($AA$22,
"minimum cost", MIN($BP91:$CG91),
"maximum cost", MAX($BP91:$CG91), 
"custom order", IF(CI$1=INDEX(array, row,1),INDEX(array, row,5),"x"))
,1,))</f>
        <v/>
      </c>
      <c r="CJ91" s="252" t="str">
        <f t="array" ref="CJ91">LET(
array,SORT({$Y$2:$AB$19,TRANSPOSE($BP91:$CG91)},4,TRUE),
col,CHOOSECOLS(array,5),
row,MATCH(FALSE, ISBLANK(col), 0),
IF(BQ91=SWITCH($AA$22,
"minimum cost", MIN($BP91:$CG91),
"maximum cost", MAX($BP91:$CG91), 
"custom order", IF(CJ$1=INDEX(array, row,1),INDEX(array, row,5),"x"))
,1,))</f>
        <v/>
      </c>
      <c r="CK91" s="252" t="str">
        <f t="array" ref="CK91">LET(
array,SORT({$Y$2:$AB$19,TRANSPOSE($BP91:$CG91)},4,TRUE),
col,CHOOSECOLS(array,5),
row,MATCH(FALSE, ISBLANK(col), 0),
IF(BR91=SWITCH($AA$22,
"minimum cost", MIN($BP91:$CG91),
"maximum cost", MAX($BP91:$CG91), 
"custom order", IF(CK$1=INDEX(array, row,1),INDEX(array, row,5),"x"))
,1,))</f>
        <v/>
      </c>
      <c r="CL91" s="252" t="str">
        <f t="array" ref="CL91">LET(
array,SORT({$Y$2:$AB$19,TRANSPOSE($BP91:$CG91)},4,TRUE),
col,CHOOSECOLS(array,5),
row,MATCH(FALSE, ISBLANK(col), 0),
IF(BS91=SWITCH($AA$22,
"minimum cost", MIN($BP91:$CG91),
"maximum cost", MAX($BP91:$CG91), 
"custom order", IF(CL$1=INDEX(array, row,1),INDEX(array, row,5),"x"))
,1,))</f>
        <v/>
      </c>
      <c r="CM91" s="252" t="str">
        <f t="array" ref="CM91">LET(
array,SORT({$Y$2:$AB$19,TRANSPOSE($BP91:$CG91)},4,TRUE),
col,CHOOSECOLS(array,5),
row,MATCH(FALSE, ISBLANK(col), 0),
IF(BT91=SWITCH($AA$22,
"minimum cost", MIN($BP91:$CG91),
"maximum cost", MAX($BP91:$CG91), 
"custom order", IF(CM$1=INDEX(array, row,1),INDEX(array, row,5),"x"))
,1,))</f>
        <v/>
      </c>
      <c r="CN91" s="252" t="str">
        <f t="array" ref="CN91">LET(
array,SORT({$Y$2:$AB$19,TRANSPOSE($BP91:$CG91)},4,TRUE),
col,CHOOSECOLS(array,5),
row,MATCH(FALSE, ISBLANK(col), 0),
IF(BU91=SWITCH($AA$22,
"minimum cost", MIN($BP91:$CG91),
"maximum cost", MAX($BP91:$CG91), 
"custom order", IF(CN$1=INDEX(array, row,1),INDEX(array, row,5),"x"))
,1,))</f>
        <v/>
      </c>
      <c r="CO91" s="390" t="str">
        <f t="array" ref="CO91">LET(
array,SORT({$Y$2:$AB$19,TRANSPOSE($BP91:$CG91)},4,TRUE),
col,CHOOSECOLS(array,5),
row,MATCH(FALSE, ISBLANK(col), 0),
IF(BV91=SWITCH($AA$22,
"minimum cost", MIN($BP91:$CG91),
"maximum cost", MAX($BP91:$CG91), 
"custom order", IF(CO$1=INDEX(array, row,1),INDEX(array, row,5),"x"))
,1,))</f>
        <v/>
      </c>
      <c r="CP91" s="390" t="str">
        <f t="array" ref="CP91">LET(
array,SORT({$Y$2:$AB$19,TRANSPOSE($BP91:$CG91)},4,TRUE),
col,CHOOSECOLS(array,5),
row,MATCH(FALSE, ISBLANK(col), 0),
IF(BW91=SWITCH($AA$22,
"minimum cost", MIN($BP91:$CG91),
"maximum cost", MAX($BP91:$CG91), 
"custom order", IF(CP$1=INDEX(array, row,1),INDEX(array, row,5),"x"))
,1,))</f>
        <v/>
      </c>
      <c r="CQ91" s="390" t="str">
        <f t="array" ref="CQ91">LET(
array,SORT({$Y$2:$AB$19,TRANSPOSE($BP91:$CG91)},4,TRUE),
col,CHOOSECOLS(array,5),
row,MATCH(FALSE, ISBLANK(col), 0),
IF(BX91=SWITCH($AA$22,
"minimum cost", MIN($BP91:$CG91),
"maximum cost", MAX($BP91:$CG91), 
"custom order", IF(CQ$1=INDEX(array, row,1),INDEX(array, row,5),"x"))
,1,))</f>
        <v/>
      </c>
      <c r="CR91" s="390" t="str">
        <f t="array" ref="CR91">LET(
array,SORT({$Y$2:$AB$19,TRANSPOSE($BP91:$CG91)},4,TRUE),
col,CHOOSECOLS(array,5),
row,MATCH(FALSE, ISBLANK(col), 0),
IF(BY91=SWITCH($AA$22,
"minimum cost", MIN($BP91:$CG91),
"maximum cost", MAX($BP91:$CG91), 
"custom order", IF(CR$1=INDEX(array, row,1),INDEX(array, row,5),"x"))
,1,))</f>
        <v/>
      </c>
      <c r="CS91" s="390" t="str">
        <f t="array" ref="CS91">LET(
array,SORT({$Y$2:$AB$19,TRANSPOSE($BP91:$CG91)},4,TRUE),
col,CHOOSECOLS(array,5),
row,MATCH(FALSE, ISBLANK(col), 0),
IF(BZ91=SWITCH($AA$22,
"minimum cost", MIN($BP91:$CG91),
"maximum cost", MAX($BP91:$CG91), 
"custom order", IF(CS$1=INDEX(array, row,1),INDEX(array, row,5),"x"))
,1,))</f>
        <v/>
      </c>
      <c r="CT91" s="390">
        <f t="array" ref="CT91">LET(
array,SORT({$Y$2:$AB$19,TRANSPOSE($BP91:$CG91)},4,TRUE),
col,CHOOSECOLS(array,5),
row,MATCH(FALSE, ISBLANK(col), 0),
IF(CA91=SWITCH($AA$22,
"minimum cost", MIN($BP91:$CG91),
"maximum cost", MAX($BP91:$CG91), 
"custom order", IF(CT$1=INDEX(array, row,1),INDEX(array, row,5),"x"))
,1,))</f>
        <v>1</v>
      </c>
      <c r="CU91" s="469" t="str">
        <f t="array" ref="CU91">LET(
array,SORT({$Y$2:$AB$19,TRANSPOSE($BP91:$CG91)},4,TRUE),
col,CHOOSECOLS(array,5),
row,MATCH(FALSE, ISBLANK(col), 0),
IF(CB91=SWITCH($AA$22,
"minimum cost", MIN($BP91:$CG91),
"maximum cost", MAX($BP91:$CG91), 
"custom order", IF(CU$1=INDEX(array, row,1),INDEX(array, row,5),"x"))
,1,))</f>
        <v/>
      </c>
      <c r="CV91" s="469" t="str">
        <f t="array" ref="CV91">LET(
array,SORT({$Y$2:$AB$19,TRANSPOSE($BP91:$CG91)},4,TRUE),
col,CHOOSECOLS(array,5),
row,MATCH(FALSE, ISBLANK(col), 0),
IF(CC91=SWITCH($AA$22,
"minimum cost", MIN($BP91:$CG91),
"maximum cost", MAX($BP91:$CG91), 
"custom order", IF(CV$1=INDEX(array, row,1),INDEX(array, row,5),"x"))
,1,))</f>
        <v/>
      </c>
      <c r="CW91" s="469" t="str">
        <f t="array" ref="CW91">LET(
array,SORT({$Y$2:$AB$19,TRANSPOSE($BP91:$CG91)},4,TRUE),
col,CHOOSECOLS(array,5),
row,MATCH(FALSE, ISBLANK(col), 0),
IF(CD91=SWITCH($AA$22,
"minimum cost", MIN($BP91:$CG91),
"maximum cost", MAX($BP91:$CG91), 
"custom order", IF(CW$1=INDEX(array, row,1),INDEX(array, row,5),"x"))
,1,))</f>
        <v/>
      </c>
      <c r="CX91" s="469" t="str">
        <f t="array" ref="CX91">LET(
array,SORT({$Y$2:$AB$19,TRANSPOSE($BP91:$CG91)},4,TRUE),
col,CHOOSECOLS(array,5),
row,MATCH(FALSE, ISBLANK(col), 0),
IF(CE91=SWITCH($AA$22,
"minimum cost", MIN($BP91:$CG91),
"maximum cost", MAX($BP91:$CG91), 
"custom order", IF(CX$1=INDEX(array, row,1),INDEX(array, row,5),"x"))
,1,))</f>
        <v/>
      </c>
      <c r="CY91" s="469" t="str">
        <f t="array" ref="CY91">LET(
array,SORT({$Y$2:$AB$19,TRANSPOSE($BP91:$CG91)},4,TRUE),
col,CHOOSECOLS(array,5),
row,MATCH(FALSE, ISBLANK(col), 0),
IF(CF91=SWITCH($AA$22,
"minimum cost", MIN($BP91:$CG91),
"maximum cost", MAX($BP91:$CG91), 
"custom order", IF(CY$1=INDEX(array, row,1),INDEX(array, row,5),"x"))
,1,))</f>
        <v/>
      </c>
      <c r="CZ91" s="581" t="str">
        <f t="array" ref="CZ91">LET(
array,SORT({$Y$2:$AB$19,TRANSPOSE($BP91:$CG91)},4,TRUE),
col,CHOOSECOLS(array,5),
row,MATCH(FALSE, ISBLANK(col), 0),
IF(CG91=SWITCH($AA$22,
"minimum cost", MIN($BP91:$CG91),
"maximum cost", MAX($BP91:$CG91), 
"custom order", IF(CZ$1=INDEX(array, row,1),INDEX(array, row,5),"x"))
,1,))</f>
        <v/>
      </c>
      <c r="DA91" s="461"/>
      <c r="DB91" s="580" t="str">
        <f t="array" ref="DB91:DS91">IF(MATCH(1, CI91:CZ91, 0)=COLUMN(CI91:CZ91)-COLUMN(CI91)+1, CI91:CZ91, "")</f>
        <v/>
      </c>
      <c r="DC91" s="252" t="s">
        <v>133</v>
      </c>
      <c r="DD91" s="252" t="s">
        <v>133</v>
      </c>
      <c r="DE91" s="252" t="s">
        <v>133</v>
      </c>
      <c r="DF91" s="252" t="s">
        <v>133</v>
      </c>
      <c r="DG91" s="252" t="s">
        <v>133</v>
      </c>
      <c r="DH91" s="390" t="s">
        <v>133</v>
      </c>
      <c r="DI91" s="390" t="s">
        <v>133</v>
      </c>
      <c r="DJ91" s="390" t="s">
        <v>133</v>
      </c>
      <c r="DK91" s="390" t="s">
        <v>133</v>
      </c>
      <c r="DL91" s="390" t="s">
        <v>133</v>
      </c>
      <c r="DM91" s="390">
        <v>1.0</v>
      </c>
      <c r="DN91" s="469" t="s">
        <v>133</v>
      </c>
      <c r="DO91" s="469" t="s">
        <v>133</v>
      </c>
      <c r="DP91" s="469" t="s">
        <v>133</v>
      </c>
      <c r="DQ91" s="469" t="s">
        <v>133</v>
      </c>
      <c r="DR91" s="469" t="s">
        <v>133</v>
      </c>
      <c r="DS91" s="581" t="s">
        <v>133</v>
      </c>
      <c r="DT91" s="563"/>
    </row>
    <row r="92">
      <c r="A92" s="563"/>
      <c r="B92" s="709"/>
      <c r="C92" s="709"/>
      <c r="D92" s="709"/>
      <c r="E92" s="10"/>
      <c r="F92" s="709"/>
      <c r="G92" s="10"/>
      <c r="H92" s="709"/>
      <c r="I92" s="10"/>
      <c r="J92" s="709"/>
      <c r="K92" s="10"/>
      <c r="L92" s="709"/>
      <c r="M92" s="461"/>
      <c r="N92" s="10"/>
      <c r="O92" s="10"/>
      <c r="P92" s="10"/>
      <c r="Q92" s="570" t="str">
        <f>IFERROR(__xludf.DUMMYFUNCTION("IF(SUM(DB92:DS92),ARRAYFORMULA(FILTER(DB$1:DS$1, DB92:DS92=1)),)"),"Orb Size")</f>
        <v>Orb Size</v>
      </c>
      <c r="R92" s="571">
        <f>IFERROR(__xludf.DUMMYFUNCTION("IF(SUM(DB92:DS92),ARRAYFORMULA(FILTER(AW92:BN92, DB92:DS92=1))+1,)"),25.0)</f>
        <v>25</v>
      </c>
      <c r="S92" s="572">
        <f>IFERROR(__xludf.DUMMYFUNCTION("IF(SUM(DB92:DS92),ARRAYFORMULA(FILTER(AD92:AU92, DB92:DS92=1)),)"),6.599E13)</f>
        <v>65990000000000</v>
      </c>
      <c r="T92" s="572">
        <f t="shared" si="26"/>
        <v>1.76071E+16</v>
      </c>
      <c r="U92" s="573" t="str">
        <f t="shared" ref="U92:V92" si="292">FORMAT_NUMBER(S92)</f>
        <v>65.99 T</v>
      </c>
      <c r="V92" s="574" t="str">
        <f t="shared" si="292"/>
        <v>17.61 q</v>
      </c>
      <c r="W92" s="677"/>
      <c r="X92" s="709"/>
      <c r="Y92" s="709"/>
      <c r="Z92" s="709"/>
      <c r="AA92" s="709"/>
      <c r="AB92" s="712"/>
      <c r="AC92" s="461"/>
      <c r="AD92" s="580">
        <f t="shared" ref="AD92:AU92" si="293">IFERROR(WSPCOST_SINGLE_ADJUSTED(AD$1,1+AW92),)</f>
        <v>37110000000000</v>
      </c>
      <c r="AE92" s="252">
        <f t="shared" si="293"/>
        <v>82420000000</v>
      </c>
      <c r="AF92" s="252">
        <f t="shared" si="293"/>
        <v>69650000000000</v>
      </c>
      <c r="AG92" s="252">
        <f t="shared" si="293"/>
        <v>21210000000</v>
      </c>
      <c r="AH92" s="252">
        <f t="shared" si="293"/>
        <v>43890000000000</v>
      </c>
      <c r="AI92" s="252">
        <f t="shared" si="293"/>
        <v>47710000000000</v>
      </c>
      <c r="AJ92" s="390">
        <f t="shared" si="293"/>
        <v>297430000000000</v>
      </c>
      <c r="AK92" s="390">
        <f t="shared" si="293"/>
        <v>580270000000000</v>
      </c>
      <c r="AL92" s="390">
        <f t="shared" si="293"/>
        <v>5000000000</v>
      </c>
      <c r="AM92" s="390">
        <f t="shared" si="293"/>
        <v>33950000000</v>
      </c>
      <c r="AN92" s="390">
        <f t="shared" si="293"/>
        <v>297430000000000</v>
      </c>
      <c r="AO92" s="390">
        <f t="shared" si="293"/>
        <v>65990000000000</v>
      </c>
      <c r="AP92" s="469">
        <f t="shared" si="293"/>
        <v>153100000000000</v>
      </c>
      <c r="AQ92" s="469">
        <f t="shared" si="293"/>
        <v>1.3E+15</v>
      </c>
      <c r="AR92" s="469">
        <f t="shared" si="293"/>
        <v>1.3E+15</v>
      </c>
      <c r="AS92" s="469">
        <f t="shared" si="293"/>
        <v>420490000000000</v>
      </c>
      <c r="AT92" s="469">
        <f t="shared" si="293"/>
        <v>3990000000000</v>
      </c>
      <c r="AU92" s="581">
        <f t="shared" si="293"/>
        <v>1.14E+15</v>
      </c>
      <c r="AV92" s="461"/>
      <c r="AW92" s="580">
        <f t="shared" ref="AW92:BN92" si="294">AW91+DB91</f>
        <v>56</v>
      </c>
      <c r="AX92" s="252">
        <f t="shared" si="294"/>
        <v>21</v>
      </c>
      <c r="AY92" s="252">
        <f t="shared" si="294"/>
        <v>60</v>
      </c>
      <c r="AZ92" s="252">
        <f t="shared" si="294"/>
        <v>17</v>
      </c>
      <c r="BA92" s="252">
        <f t="shared" si="294"/>
        <v>57</v>
      </c>
      <c r="BB92" s="252">
        <f t="shared" si="294"/>
        <v>13</v>
      </c>
      <c r="BC92" s="390">
        <f t="shared" si="294"/>
        <v>72</v>
      </c>
      <c r="BD92" s="390">
        <f t="shared" si="294"/>
        <v>79</v>
      </c>
      <c r="BE92" s="390">
        <f t="shared" si="294"/>
        <v>0</v>
      </c>
      <c r="BF92" s="390">
        <f t="shared" si="294"/>
        <v>18</v>
      </c>
      <c r="BG92" s="390">
        <f t="shared" si="294"/>
        <v>72</v>
      </c>
      <c r="BH92" s="390">
        <f t="shared" si="294"/>
        <v>24</v>
      </c>
      <c r="BI92" s="469">
        <f t="shared" si="294"/>
        <v>66</v>
      </c>
      <c r="BJ92" s="469">
        <f t="shared" si="294"/>
        <v>37</v>
      </c>
      <c r="BK92" s="469">
        <f t="shared" si="294"/>
        <v>37</v>
      </c>
      <c r="BL92" s="469">
        <f t="shared" si="294"/>
        <v>18</v>
      </c>
      <c r="BM92" s="469">
        <f t="shared" si="294"/>
        <v>42</v>
      </c>
      <c r="BN92" s="581">
        <f t="shared" si="294"/>
        <v>15</v>
      </c>
      <c r="BO92" s="461"/>
      <c r="BP92" s="580">
        <f t="shared" si="8"/>
        <v>37110000000000</v>
      </c>
      <c r="BQ92" s="252" t="str">
        <f t="shared" si="9"/>
        <v/>
      </c>
      <c r="BR92" s="252">
        <f t="shared" si="10"/>
        <v>69650000000000</v>
      </c>
      <c r="BS92" s="252" t="str">
        <f t="shared" si="11"/>
        <v/>
      </c>
      <c r="BT92" s="252" t="str">
        <f t="shared" si="12"/>
        <v/>
      </c>
      <c r="BU92" s="252">
        <f t="shared" si="13"/>
        <v>47710000000000</v>
      </c>
      <c r="BV92" s="390" t="str">
        <f t="shared" si="14"/>
        <v/>
      </c>
      <c r="BW92" s="390" t="str">
        <f t="shared" si="15"/>
        <v/>
      </c>
      <c r="BX92" s="390" t="str">
        <f t="shared" si="16"/>
        <v/>
      </c>
      <c r="BY92" s="390" t="str">
        <f t="shared" si="17"/>
        <v/>
      </c>
      <c r="BZ92" s="390" t="str">
        <f t="shared" si="18"/>
        <v/>
      </c>
      <c r="CA92" s="390">
        <f t="shared" si="19"/>
        <v>65990000000000</v>
      </c>
      <c r="CB92" s="469" t="str">
        <f t="shared" si="20"/>
        <v/>
      </c>
      <c r="CC92" s="469" t="str">
        <f t="shared" si="21"/>
        <v/>
      </c>
      <c r="CD92" s="469" t="str">
        <f t="shared" si="22"/>
        <v/>
      </c>
      <c r="CE92" s="469" t="str">
        <f t="shared" si="23"/>
        <v/>
      </c>
      <c r="CF92" s="469" t="str">
        <f t="shared" si="24"/>
        <v/>
      </c>
      <c r="CG92" s="581" t="str">
        <f t="shared" si="25"/>
        <v/>
      </c>
      <c r="CH92" s="461"/>
      <c r="CI92" s="580" t="str">
        <f t="array" ref="CI92">LET(
array,SORT({$Y$2:$AB$19,TRANSPOSE($BP92:$CG92)},4,TRUE),
col,CHOOSECOLS(array,5),
row,MATCH(FALSE, ISBLANK(col), 0),
IF(BP92=SWITCH($AA$22,
"minimum cost", MIN($BP92:$CG92),
"maximum cost", MAX($BP92:$CG92), 
"custom order", IF(CI$1=INDEX(array, row,1),INDEX(array, row,5),"x"))
,1,))</f>
        <v/>
      </c>
      <c r="CJ92" s="252" t="str">
        <f t="array" ref="CJ92">LET(
array,SORT({$Y$2:$AB$19,TRANSPOSE($BP92:$CG92)},4,TRUE),
col,CHOOSECOLS(array,5),
row,MATCH(FALSE, ISBLANK(col), 0),
IF(BQ92=SWITCH($AA$22,
"minimum cost", MIN($BP92:$CG92),
"maximum cost", MAX($BP92:$CG92), 
"custom order", IF(CJ$1=INDEX(array, row,1),INDEX(array, row,5),"x"))
,1,))</f>
        <v/>
      </c>
      <c r="CK92" s="252" t="str">
        <f t="array" ref="CK92">LET(
array,SORT({$Y$2:$AB$19,TRANSPOSE($BP92:$CG92)},4,TRUE),
col,CHOOSECOLS(array,5),
row,MATCH(FALSE, ISBLANK(col), 0),
IF(BR92=SWITCH($AA$22,
"minimum cost", MIN($BP92:$CG92),
"maximum cost", MAX($BP92:$CG92), 
"custom order", IF(CK$1=INDEX(array, row,1),INDEX(array, row,5),"x"))
,1,))</f>
        <v/>
      </c>
      <c r="CL92" s="252" t="str">
        <f t="array" ref="CL92">LET(
array,SORT({$Y$2:$AB$19,TRANSPOSE($BP92:$CG92)},4,TRUE),
col,CHOOSECOLS(array,5),
row,MATCH(FALSE, ISBLANK(col), 0),
IF(BS92=SWITCH($AA$22,
"minimum cost", MIN($BP92:$CG92),
"maximum cost", MAX($BP92:$CG92), 
"custom order", IF(CL$1=INDEX(array, row,1),INDEX(array, row,5),"x"))
,1,))</f>
        <v/>
      </c>
      <c r="CM92" s="252" t="str">
        <f t="array" ref="CM92">LET(
array,SORT({$Y$2:$AB$19,TRANSPOSE($BP92:$CG92)},4,TRUE),
col,CHOOSECOLS(array,5),
row,MATCH(FALSE, ISBLANK(col), 0),
IF(BT92=SWITCH($AA$22,
"minimum cost", MIN($BP92:$CG92),
"maximum cost", MAX($BP92:$CG92), 
"custom order", IF(CM$1=INDEX(array, row,1),INDEX(array, row,5),"x"))
,1,))</f>
        <v/>
      </c>
      <c r="CN92" s="252" t="str">
        <f t="array" ref="CN92">LET(
array,SORT({$Y$2:$AB$19,TRANSPOSE($BP92:$CG92)},4,TRUE),
col,CHOOSECOLS(array,5),
row,MATCH(FALSE, ISBLANK(col), 0),
IF(BU92=SWITCH($AA$22,
"minimum cost", MIN($BP92:$CG92),
"maximum cost", MAX($BP92:$CG92), 
"custom order", IF(CN$1=INDEX(array, row,1),INDEX(array, row,5),"x"))
,1,))</f>
        <v/>
      </c>
      <c r="CO92" s="390" t="str">
        <f t="array" ref="CO92">LET(
array,SORT({$Y$2:$AB$19,TRANSPOSE($BP92:$CG92)},4,TRUE),
col,CHOOSECOLS(array,5),
row,MATCH(FALSE, ISBLANK(col), 0),
IF(BV92=SWITCH($AA$22,
"minimum cost", MIN($BP92:$CG92),
"maximum cost", MAX($BP92:$CG92), 
"custom order", IF(CO$1=INDEX(array, row,1),INDEX(array, row,5),"x"))
,1,))</f>
        <v/>
      </c>
      <c r="CP92" s="390" t="str">
        <f t="array" ref="CP92">LET(
array,SORT({$Y$2:$AB$19,TRANSPOSE($BP92:$CG92)},4,TRUE),
col,CHOOSECOLS(array,5),
row,MATCH(FALSE, ISBLANK(col), 0),
IF(BW92=SWITCH($AA$22,
"minimum cost", MIN($BP92:$CG92),
"maximum cost", MAX($BP92:$CG92), 
"custom order", IF(CP$1=INDEX(array, row,1),INDEX(array, row,5),"x"))
,1,))</f>
        <v/>
      </c>
      <c r="CQ92" s="390" t="str">
        <f t="array" ref="CQ92">LET(
array,SORT({$Y$2:$AB$19,TRANSPOSE($BP92:$CG92)},4,TRUE),
col,CHOOSECOLS(array,5),
row,MATCH(FALSE, ISBLANK(col), 0),
IF(BX92=SWITCH($AA$22,
"minimum cost", MIN($BP92:$CG92),
"maximum cost", MAX($BP92:$CG92), 
"custom order", IF(CQ$1=INDEX(array, row,1),INDEX(array, row,5),"x"))
,1,))</f>
        <v/>
      </c>
      <c r="CR92" s="390" t="str">
        <f t="array" ref="CR92">LET(
array,SORT({$Y$2:$AB$19,TRANSPOSE($BP92:$CG92)},4,TRUE),
col,CHOOSECOLS(array,5),
row,MATCH(FALSE, ISBLANK(col), 0),
IF(BY92=SWITCH($AA$22,
"minimum cost", MIN($BP92:$CG92),
"maximum cost", MAX($BP92:$CG92), 
"custom order", IF(CR$1=INDEX(array, row,1),INDEX(array, row,5),"x"))
,1,))</f>
        <v/>
      </c>
      <c r="CS92" s="390" t="str">
        <f t="array" ref="CS92">LET(
array,SORT({$Y$2:$AB$19,TRANSPOSE($BP92:$CG92)},4,TRUE),
col,CHOOSECOLS(array,5),
row,MATCH(FALSE, ISBLANK(col), 0),
IF(BZ92=SWITCH($AA$22,
"minimum cost", MIN($BP92:$CG92),
"maximum cost", MAX($BP92:$CG92), 
"custom order", IF(CS$1=INDEX(array, row,1),INDEX(array, row,5),"x"))
,1,))</f>
        <v/>
      </c>
      <c r="CT92" s="390">
        <f t="array" ref="CT92">LET(
array,SORT({$Y$2:$AB$19,TRANSPOSE($BP92:$CG92)},4,TRUE),
col,CHOOSECOLS(array,5),
row,MATCH(FALSE, ISBLANK(col), 0),
IF(CA92=SWITCH($AA$22,
"minimum cost", MIN($BP92:$CG92),
"maximum cost", MAX($BP92:$CG92), 
"custom order", IF(CT$1=INDEX(array, row,1),INDEX(array, row,5),"x"))
,1,))</f>
        <v>1</v>
      </c>
      <c r="CU92" s="469" t="str">
        <f t="array" ref="CU92">LET(
array,SORT({$Y$2:$AB$19,TRANSPOSE($BP92:$CG92)},4,TRUE),
col,CHOOSECOLS(array,5),
row,MATCH(FALSE, ISBLANK(col), 0),
IF(CB92=SWITCH($AA$22,
"minimum cost", MIN($BP92:$CG92),
"maximum cost", MAX($BP92:$CG92), 
"custom order", IF(CU$1=INDEX(array, row,1),INDEX(array, row,5),"x"))
,1,))</f>
        <v/>
      </c>
      <c r="CV92" s="469" t="str">
        <f t="array" ref="CV92">LET(
array,SORT({$Y$2:$AB$19,TRANSPOSE($BP92:$CG92)},4,TRUE),
col,CHOOSECOLS(array,5),
row,MATCH(FALSE, ISBLANK(col), 0),
IF(CC92=SWITCH($AA$22,
"minimum cost", MIN($BP92:$CG92),
"maximum cost", MAX($BP92:$CG92), 
"custom order", IF(CV$1=INDEX(array, row,1),INDEX(array, row,5),"x"))
,1,))</f>
        <v/>
      </c>
      <c r="CW92" s="469" t="str">
        <f t="array" ref="CW92">LET(
array,SORT({$Y$2:$AB$19,TRANSPOSE($BP92:$CG92)},4,TRUE),
col,CHOOSECOLS(array,5),
row,MATCH(FALSE, ISBLANK(col), 0),
IF(CD92=SWITCH($AA$22,
"minimum cost", MIN($BP92:$CG92),
"maximum cost", MAX($BP92:$CG92), 
"custom order", IF(CW$1=INDEX(array, row,1),INDEX(array, row,5),"x"))
,1,))</f>
        <v/>
      </c>
      <c r="CX92" s="469" t="str">
        <f t="array" ref="CX92">LET(
array,SORT({$Y$2:$AB$19,TRANSPOSE($BP92:$CG92)},4,TRUE),
col,CHOOSECOLS(array,5),
row,MATCH(FALSE, ISBLANK(col), 0),
IF(CE92=SWITCH($AA$22,
"minimum cost", MIN($BP92:$CG92),
"maximum cost", MAX($BP92:$CG92), 
"custom order", IF(CX$1=INDEX(array, row,1),INDEX(array, row,5),"x"))
,1,))</f>
        <v/>
      </c>
      <c r="CY92" s="469" t="str">
        <f t="array" ref="CY92">LET(
array,SORT({$Y$2:$AB$19,TRANSPOSE($BP92:$CG92)},4,TRUE),
col,CHOOSECOLS(array,5),
row,MATCH(FALSE, ISBLANK(col), 0),
IF(CF92=SWITCH($AA$22,
"minimum cost", MIN($BP92:$CG92),
"maximum cost", MAX($BP92:$CG92), 
"custom order", IF(CY$1=INDEX(array, row,1),INDEX(array, row,5),"x"))
,1,))</f>
        <v/>
      </c>
      <c r="CZ92" s="581" t="str">
        <f t="array" ref="CZ92">LET(
array,SORT({$Y$2:$AB$19,TRANSPOSE($BP92:$CG92)},4,TRUE),
col,CHOOSECOLS(array,5),
row,MATCH(FALSE, ISBLANK(col), 0),
IF(CG92=SWITCH($AA$22,
"minimum cost", MIN($BP92:$CG92),
"maximum cost", MAX($BP92:$CG92), 
"custom order", IF(CZ$1=INDEX(array, row,1),INDEX(array, row,5),"x"))
,1,))</f>
        <v/>
      </c>
      <c r="DA92" s="461"/>
      <c r="DB92" s="580" t="str">
        <f t="array" ref="DB92:DS92">IF(MATCH(1, CI92:CZ92, 0)=COLUMN(CI92:CZ92)-COLUMN(CI92)+1, CI92:CZ92, "")</f>
        <v/>
      </c>
      <c r="DC92" s="252" t="s">
        <v>133</v>
      </c>
      <c r="DD92" s="252" t="s">
        <v>133</v>
      </c>
      <c r="DE92" s="252" t="s">
        <v>133</v>
      </c>
      <c r="DF92" s="252" t="s">
        <v>133</v>
      </c>
      <c r="DG92" s="252" t="s">
        <v>133</v>
      </c>
      <c r="DH92" s="390" t="s">
        <v>133</v>
      </c>
      <c r="DI92" s="390" t="s">
        <v>133</v>
      </c>
      <c r="DJ92" s="390" t="s">
        <v>133</v>
      </c>
      <c r="DK92" s="390" t="s">
        <v>133</v>
      </c>
      <c r="DL92" s="390" t="s">
        <v>133</v>
      </c>
      <c r="DM92" s="390">
        <v>1.0</v>
      </c>
      <c r="DN92" s="469" t="s">
        <v>133</v>
      </c>
      <c r="DO92" s="469" t="s">
        <v>133</v>
      </c>
      <c r="DP92" s="469" t="s">
        <v>133</v>
      </c>
      <c r="DQ92" s="469" t="s">
        <v>133</v>
      </c>
      <c r="DR92" s="469" t="s">
        <v>133</v>
      </c>
      <c r="DS92" s="581" t="s">
        <v>133</v>
      </c>
      <c r="DT92" s="563"/>
    </row>
    <row r="93">
      <c r="A93" s="563"/>
      <c r="B93" s="709"/>
      <c r="C93" s="709"/>
      <c r="D93" s="709"/>
      <c r="E93" s="10"/>
      <c r="F93" s="709"/>
      <c r="G93" s="10"/>
      <c r="H93" s="709"/>
      <c r="I93" s="10"/>
      <c r="J93" s="709"/>
      <c r="K93" s="10"/>
      <c r="L93" s="709"/>
      <c r="M93" s="461"/>
      <c r="N93" s="10"/>
      <c r="O93" s="10"/>
      <c r="P93" s="10"/>
      <c r="Q93" s="570" t="str">
        <f>IFERROR(__xludf.DUMMYFUNCTION("IF(SUM(DB93:DS93),ARRAYFORMULA(FILTER(DB$1:DS$1, DB93:DS93=1)),)"),"Orb Size")</f>
        <v>Orb Size</v>
      </c>
      <c r="R93" s="571">
        <f>IFERROR(__xludf.DUMMYFUNCTION("IF(SUM(DB93:DS93),ARRAYFORMULA(FILTER(AW93:BN93, DB93:DS93=1))+1,)"),26.0)</f>
        <v>26</v>
      </c>
      <c r="S93" s="572">
        <f>IFERROR(__xludf.DUMMYFUNCTION("IF(SUM(DB93:DS93),ARRAYFORMULA(FILTER(AD93:AU93, DB93:DS93=1)),)"),8.219E13)</f>
        <v>82190000000000</v>
      </c>
      <c r="T93" s="572">
        <f t="shared" si="26"/>
        <v>1.76893E+16</v>
      </c>
      <c r="U93" s="573" t="str">
        <f t="shared" ref="U93:V93" si="295">FORMAT_NUMBER(S93)</f>
        <v>82.19 T</v>
      </c>
      <c r="V93" s="574" t="str">
        <f t="shared" si="295"/>
        <v>17.69 q</v>
      </c>
      <c r="W93" s="677"/>
      <c r="X93" s="709"/>
      <c r="Y93" s="709"/>
      <c r="Z93" s="709"/>
      <c r="AA93" s="709"/>
      <c r="AB93" s="712"/>
      <c r="AC93" s="461"/>
      <c r="AD93" s="580">
        <f t="shared" ref="AD93:AU93" si="296">IFERROR(WSPCOST_SINGLE_ADJUSTED(AD$1,1+AW93),)</f>
        <v>37110000000000</v>
      </c>
      <c r="AE93" s="252">
        <f t="shared" si="296"/>
        <v>82420000000</v>
      </c>
      <c r="AF93" s="252">
        <f t="shared" si="296"/>
        <v>69650000000000</v>
      </c>
      <c r="AG93" s="252">
        <f t="shared" si="296"/>
        <v>21210000000</v>
      </c>
      <c r="AH93" s="252">
        <f t="shared" si="296"/>
        <v>43890000000000</v>
      </c>
      <c r="AI93" s="252">
        <f t="shared" si="296"/>
        <v>47710000000000</v>
      </c>
      <c r="AJ93" s="390">
        <f t="shared" si="296"/>
        <v>297430000000000</v>
      </c>
      <c r="AK93" s="390">
        <f t="shared" si="296"/>
        <v>580270000000000</v>
      </c>
      <c r="AL93" s="390">
        <f t="shared" si="296"/>
        <v>5000000000</v>
      </c>
      <c r="AM93" s="390">
        <f t="shared" si="296"/>
        <v>33950000000</v>
      </c>
      <c r="AN93" s="390">
        <f t="shared" si="296"/>
        <v>297430000000000</v>
      </c>
      <c r="AO93" s="390">
        <f t="shared" si="296"/>
        <v>82190000000000</v>
      </c>
      <c r="AP93" s="469">
        <f t="shared" si="296"/>
        <v>153100000000000</v>
      </c>
      <c r="AQ93" s="469">
        <f t="shared" si="296"/>
        <v>1.3E+15</v>
      </c>
      <c r="AR93" s="469">
        <f t="shared" si="296"/>
        <v>1.3E+15</v>
      </c>
      <c r="AS93" s="469">
        <f t="shared" si="296"/>
        <v>420490000000000</v>
      </c>
      <c r="AT93" s="469">
        <f t="shared" si="296"/>
        <v>3990000000000</v>
      </c>
      <c r="AU93" s="581">
        <f t="shared" si="296"/>
        <v>1.14E+15</v>
      </c>
      <c r="AV93" s="461"/>
      <c r="AW93" s="580">
        <f t="shared" ref="AW93:BN93" si="297">AW92+DB92</f>
        <v>56</v>
      </c>
      <c r="AX93" s="252">
        <f t="shared" si="297"/>
        <v>21</v>
      </c>
      <c r="AY93" s="252">
        <f t="shared" si="297"/>
        <v>60</v>
      </c>
      <c r="AZ93" s="252">
        <f t="shared" si="297"/>
        <v>17</v>
      </c>
      <c r="BA93" s="252">
        <f t="shared" si="297"/>
        <v>57</v>
      </c>
      <c r="BB93" s="252">
        <f t="shared" si="297"/>
        <v>13</v>
      </c>
      <c r="BC93" s="390">
        <f t="shared" si="297"/>
        <v>72</v>
      </c>
      <c r="BD93" s="390">
        <f t="shared" si="297"/>
        <v>79</v>
      </c>
      <c r="BE93" s="390">
        <f t="shared" si="297"/>
        <v>0</v>
      </c>
      <c r="BF93" s="390">
        <f t="shared" si="297"/>
        <v>18</v>
      </c>
      <c r="BG93" s="390">
        <f t="shared" si="297"/>
        <v>72</v>
      </c>
      <c r="BH93" s="390">
        <f t="shared" si="297"/>
        <v>25</v>
      </c>
      <c r="BI93" s="469">
        <f t="shared" si="297"/>
        <v>66</v>
      </c>
      <c r="BJ93" s="469">
        <f t="shared" si="297"/>
        <v>37</v>
      </c>
      <c r="BK93" s="469">
        <f t="shared" si="297"/>
        <v>37</v>
      </c>
      <c r="BL93" s="469">
        <f t="shared" si="297"/>
        <v>18</v>
      </c>
      <c r="BM93" s="469">
        <f t="shared" si="297"/>
        <v>42</v>
      </c>
      <c r="BN93" s="581">
        <f t="shared" si="297"/>
        <v>15</v>
      </c>
      <c r="BO93" s="461"/>
      <c r="BP93" s="580">
        <f t="shared" si="8"/>
        <v>37110000000000</v>
      </c>
      <c r="BQ93" s="252" t="str">
        <f t="shared" si="9"/>
        <v/>
      </c>
      <c r="BR93" s="252">
        <f t="shared" si="10"/>
        <v>69650000000000</v>
      </c>
      <c r="BS93" s="252" t="str">
        <f t="shared" si="11"/>
        <v/>
      </c>
      <c r="BT93" s="252" t="str">
        <f t="shared" si="12"/>
        <v/>
      </c>
      <c r="BU93" s="252">
        <f t="shared" si="13"/>
        <v>47710000000000</v>
      </c>
      <c r="BV93" s="390" t="str">
        <f t="shared" si="14"/>
        <v/>
      </c>
      <c r="BW93" s="390" t="str">
        <f t="shared" si="15"/>
        <v/>
      </c>
      <c r="BX93" s="390" t="str">
        <f t="shared" si="16"/>
        <v/>
      </c>
      <c r="BY93" s="390" t="str">
        <f t="shared" si="17"/>
        <v/>
      </c>
      <c r="BZ93" s="390" t="str">
        <f t="shared" si="18"/>
        <v/>
      </c>
      <c r="CA93" s="390">
        <f t="shared" si="19"/>
        <v>82190000000000</v>
      </c>
      <c r="CB93" s="469" t="str">
        <f t="shared" si="20"/>
        <v/>
      </c>
      <c r="CC93" s="469" t="str">
        <f t="shared" si="21"/>
        <v/>
      </c>
      <c r="CD93" s="469" t="str">
        <f t="shared" si="22"/>
        <v/>
      </c>
      <c r="CE93" s="469" t="str">
        <f t="shared" si="23"/>
        <v/>
      </c>
      <c r="CF93" s="469" t="str">
        <f t="shared" si="24"/>
        <v/>
      </c>
      <c r="CG93" s="581" t="str">
        <f t="shared" si="25"/>
        <v/>
      </c>
      <c r="CH93" s="461"/>
      <c r="CI93" s="580" t="str">
        <f t="array" ref="CI93">LET(
array,SORT({$Y$2:$AB$19,TRANSPOSE($BP93:$CG93)},4,TRUE),
col,CHOOSECOLS(array,5),
row,MATCH(FALSE, ISBLANK(col), 0),
IF(BP93=SWITCH($AA$22,
"minimum cost", MIN($BP93:$CG93),
"maximum cost", MAX($BP93:$CG93), 
"custom order", IF(CI$1=INDEX(array, row,1),INDEX(array, row,5),"x"))
,1,))</f>
        <v/>
      </c>
      <c r="CJ93" s="252" t="str">
        <f t="array" ref="CJ93">LET(
array,SORT({$Y$2:$AB$19,TRANSPOSE($BP93:$CG93)},4,TRUE),
col,CHOOSECOLS(array,5),
row,MATCH(FALSE, ISBLANK(col), 0),
IF(BQ93=SWITCH($AA$22,
"minimum cost", MIN($BP93:$CG93),
"maximum cost", MAX($BP93:$CG93), 
"custom order", IF(CJ$1=INDEX(array, row,1),INDEX(array, row,5),"x"))
,1,))</f>
        <v/>
      </c>
      <c r="CK93" s="252" t="str">
        <f t="array" ref="CK93">LET(
array,SORT({$Y$2:$AB$19,TRANSPOSE($BP93:$CG93)},4,TRUE),
col,CHOOSECOLS(array,5),
row,MATCH(FALSE, ISBLANK(col), 0),
IF(BR93=SWITCH($AA$22,
"minimum cost", MIN($BP93:$CG93),
"maximum cost", MAX($BP93:$CG93), 
"custom order", IF(CK$1=INDEX(array, row,1),INDEX(array, row,5),"x"))
,1,))</f>
        <v/>
      </c>
      <c r="CL93" s="252" t="str">
        <f t="array" ref="CL93">LET(
array,SORT({$Y$2:$AB$19,TRANSPOSE($BP93:$CG93)},4,TRUE),
col,CHOOSECOLS(array,5),
row,MATCH(FALSE, ISBLANK(col), 0),
IF(BS93=SWITCH($AA$22,
"minimum cost", MIN($BP93:$CG93),
"maximum cost", MAX($BP93:$CG93), 
"custom order", IF(CL$1=INDEX(array, row,1),INDEX(array, row,5),"x"))
,1,))</f>
        <v/>
      </c>
      <c r="CM93" s="252" t="str">
        <f t="array" ref="CM93">LET(
array,SORT({$Y$2:$AB$19,TRANSPOSE($BP93:$CG93)},4,TRUE),
col,CHOOSECOLS(array,5),
row,MATCH(FALSE, ISBLANK(col), 0),
IF(BT93=SWITCH($AA$22,
"minimum cost", MIN($BP93:$CG93),
"maximum cost", MAX($BP93:$CG93), 
"custom order", IF(CM$1=INDEX(array, row,1),INDEX(array, row,5),"x"))
,1,))</f>
        <v/>
      </c>
      <c r="CN93" s="252" t="str">
        <f t="array" ref="CN93">LET(
array,SORT({$Y$2:$AB$19,TRANSPOSE($BP93:$CG93)},4,TRUE),
col,CHOOSECOLS(array,5),
row,MATCH(FALSE, ISBLANK(col), 0),
IF(BU93=SWITCH($AA$22,
"minimum cost", MIN($BP93:$CG93),
"maximum cost", MAX($BP93:$CG93), 
"custom order", IF(CN$1=INDEX(array, row,1),INDEX(array, row,5),"x"))
,1,))</f>
        <v/>
      </c>
      <c r="CO93" s="390" t="str">
        <f t="array" ref="CO93">LET(
array,SORT({$Y$2:$AB$19,TRANSPOSE($BP93:$CG93)},4,TRUE),
col,CHOOSECOLS(array,5),
row,MATCH(FALSE, ISBLANK(col), 0),
IF(BV93=SWITCH($AA$22,
"minimum cost", MIN($BP93:$CG93),
"maximum cost", MAX($BP93:$CG93), 
"custom order", IF(CO$1=INDEX(array, row,1),INDEX(array, row,5),"x"))
,1,))</f>
        <v/>
      </c>
      <c r="CP93" s="390" t="str">
        <f t="array" ref="CP93">LET(
array,SORT({$Y$2:$AB$19,TRANSPOSE($BP93:$CG93)},4,TRUE),
col,CHOOSECOLS(array,5),
row,MATCH(FALSE, ISBLANK(col), 0),
IF(BW93=SWITCH($AA$22,
"minimum cost", MIN($BP93:$CG93),
"maximum cost", MAX($BP93:$CG93), 
"custom order", IF(CP$1=INDEX(array, row,1),INDEX(array, row,5),"x"))
,1,))</f>
        <v/>
      </c>
      <c r="CQ93" s="390" t="str">
        <f t="array" ref="CQ93">LET(
array,SORT({$Y$2:$AB$19,TRANSPOSE($BP93:$CG93)},4,TRUE),
col,CHOOSECOLS(array,5),
row,MATCH(FALSE, ISBLANK(col), 0),
IF(BX93=SWITCH($AA$22,
"minimum cost", MIN($BP93:$CG93),
"maximum cost", MAX($BP93:$CG93), 
"custom order", IF(CQ$1=INDEX(array, row,1),INDEX(array, row,5),"x"))
,1,))</f>
        <v/>
      </c>
      <c r="CR93" s="390" t="str">
        <f t="array" ref="CR93">LET(
array,SORT({$Y$2:$AB$19,TRANSPOSE($BP93:$CG93)},4,TRUE),
col,CHOOSECOLS(array,5),
row,MATCH(FALSE, ISBLANK(col), 0),
IF(BY93=SWITCH($AA$22,
"minimum cost", MIN($BP93:$CG93),
"maximum cost", MAX($BP93:$CG93), 
"custom order", IF(CR$1=INDEX(array, row,1),INDEX(array, row,5),"x"))
,1,))</f>
        <v/>
      </c>
      <c r="CS93" s="390" t="str">
        <f t="array" ref="CS93">LET(
array,SORT({$Y$2:$AB$19,TRANSPOSE($BP93:$CG93)},4,TRUE),
col,CHOOSECOLS(array,5),
row,MATCH(FALSE, ISBLANK(col), 0),
IF(BZ93=SWITCH($AA$22,
"minimum cost", MIN($BP93:$CG93),
"maximum cost", MAX($BP93:$CG93), 
"custom order", IF(CS$1=INDEX(array, row,1),INDEX(array, row,5),"x"))
,1,))</f>
        <v/>
      </c>
      <c r="CT93" s="390">
        <f t="array" ref="CT93">LET(
array,SORT({$Y$2:$AB$19,TRANSPOSE($BP93:$CG93)},4,TRUE),
col,CHOOSECOLS(array,5),
row,MATCH(FALSE, ISBLANK(col), 0),
IF(CA93=SWITCH($AA$22,
"minimum cost", MIN($BP93:$CG93),
"maximum cost", MAX($BP93:$CG93), 
"custom order", IF(CT$1=INDEX(array, row,1),INDEX(array, row,5),"x"))
,1,))</f>
        <v>1</v>
      </c>
      <c r="CU93" s="469" t="str">
        <f t="array" ref="CU93">LET(
array,SORT({$Y$2:$AB$19,TRANSPOSE($BP93:$CG93)},4,TRUE),
col,CHOOSECOLS(array,5),
row,MATCH(FALSE, ISBLANK(col), 0),
IF(CB93=SWITCH($AA$22,
"minimum cost", MIN($BP93:$CG93),
"maximum cost", MAX($BP93:$CG93), 
"custom order", IF(CU$1=INDEX(array, row,1),INDEX(array, row,5),"x"))
,1,))</f>
        <v/>
      </c>
      <c r="CV93" s="469" t="str">
        <f t="array" ref="CV93">LET(
array,SORT({$Y$2:$AB$19,TRANSPOSE($BP93:$CG93)},4,TRUE),
col,CHOOSECOLS(array,5),
row,MATCH(FALSE, ISBLANK(col), 0),
IF(CC93=SWITCH($AA$22,
"minimum cost", MIN($BP93:$CG93),
"maximum cost", MAX($BP93:$CG93), 
"custom order", IF(CV$1=INDEX(array, row,1),INDEX(array, row,5),"x"))
,1,))</f>
        <v/>
      </c>
      <c r="CW93" s="469" t="str">
        <f t="array" ref="CW93">LET(
array,SORT({$Y$2:$AB$19,TRANSPOSE($BP93:$CG93)},4,TRUE),
col,CHOOSECOLS(array,5),
row,MATCH(FALSE, ISBLANK(col), 0),
IF(CD93=SWITCH($AA$22,
"minimum cost", MIN($BP93:$CG93),
"maximum cost", MAX($BP93:$CG93), 
"custom order", IF(CW$1=INDEX(array, row,1),INDEX(array, row,5),"x"))
,1,))</f>
        <v/>
      </c>
      <c r="CX93" s="469" t="str">
        <f t="array" ref="CX93">LET(
array,SORT({$Y$2:$AB$19,TRANSPOSE($BP93:$CG93)},4,TRUE),
col,CHOOSECOLS(array,5),
row,MATCH(FALSE, ISBLANK(col), 0),
IF(CE93=SWITCH($AA$22,
"minimum cost", MIN($BP93:$CG93),
"maximum cost", MAX($BP93:$CG93), 
"custom order", IF(CX$1=INDEX(array, row,1),INDEX(array, row,5),"x"))
,1,))</f>
        <v/>
      </c>
      <c r="CY93" s="469" t="str">
        <f t="array" ref="CY93">LET(
array,SORT({$Y$2:$AB$19,TRANSPOSE($BP93:$CG93)},4,TRUE),
col,CHOOSECOLS(array,5),
row,MATCH(FALSE, ISBLANK(col), 0),
IF(CF93=SWITCH($AA$22,
"minimum cost", MIN($BP93:$CG93),
"maximum cost", MAX($BP93:$CG93), 
"custom order", IF(CY$1=INDEX(array, row,1),INDEX(array, row,5),"x"))
,1,))</f>
        <v/>
      </c>
      <c r="CZ93" s="581" t="str">
        <f t="array" ref="CZ93">LET(
array,SORT({$Y$2:$AB$19,TRANSPOSE($BP93:$CG93)},4,TRUE),
col,CHOOSECOLS(array,5),
row,MATCH(FALSE, ISBLANK(col), 0),
IF(CG93=SWITCH($AA$22,
"minimum cost", MIN($BP93:$CG93),
"maximum cost", MAX($BP93:$CG93), 
"custom order", IF(CZ$1=INDEX(array, row,1),INDEX(array, row,5),"x"))
,1,))</f>
        <v/>
      </c>
      <c r="DA93" s="461"/>
      <c r="DB93" s="580" t="str">
        <f t="array" ref="DB93:DS93">IF(MATCH(1, CI93:CZ93, 0)=COLUMN(CI93:CZ93)-COLUMN(CI93)+1, CI93:CZ93, "")</f>
        <v/>
      </c>
      <c r="DC93" s="252" t="s">
        <v>133</v>
      </c>
      <c r="DD93" s="252" t="s">
        <v>133</v>
      </c>
      <c r="DE93" s="252" t="s">
        <v>133</v>
      </c>
      <c r="DF93" s="252" t="s">
        <v>133</v>
      </c>
      <c r="DG93" s="252" t="s">
        <v>133</v>
      </c>
      <c r="DH93" s="390" t="s">
        <v>133</v>
      </c>
      <c r="DI93" s="390" t="s">
        <v>133</v>
      </c>
      <c r="DJ93" s="390" t="s">
        <v>133</v>
      </c>
      <c r="DK93" s="390" t="s">
        <v>133</v>
      </c>
      <c r="DL93" s="390" t="s">
        <v>133</v>
      </c>
      <c r="DM93" s="390">
        <v>1.0</v>
      </c>
      <c r="DN93" s="469" t="s">
        <v>133</v>
      </c>
      <c r="DO93" s="469" t="s">
        <v>133</v>
      </c>
      <c r="DP93" s="469" t="s">
        <v>133</v>
      </c>
      <c r="DQ93" s="469" t="s">
        <v>133</v>
      </c>
      <c r="DR93" s="469" t="s">
        <v>133</v>
      </c>
      <c r="DS93" s="581" t="s">
        <v>133</v>
      </c>
      <c r="DT93" s="563"/>
    </row>
    <row r="94">
      <c r="A94" s="563"/>
      <c r="B94" s="709"/>
      <c r="C94" s="709"/>
      <c r="D94" s="709"/>
      <c r="E94" s="10"/>
      <c r="F94" s="709"/>
      <c r="G94" s="10"/>
      <c r="H94" s="709"/>
      <c r="I94" s="10"/>
      <c r="J94" s="709"/>
      <c r="K94" s="10"/>
      <c r="L94" s="709"/>
      <c r="M94" s="461"/>
      <c r="N94" s="10"/>
      <c r="O94" s="10"/>
      <c r="P94" s="10"/>
      <c r="Q94" s="570" t="str">
        <f>IFERROR(__xludf.DUMMYFUNCTION("IF(SUM(DB94:DS94),ARRAYFORMULA(FILTER(DB$1:DS$1, DB94:DS94=1)),)"),"Orb Size")</f>
        <v>Orb Size</v>
      </c>
      <c r="R94" s="571">
        <f>IFERROR(__xludf.DUMMYFUNCTION("IF(SUM(DB94:DS94),ARRAYFORMULA(FILTER(AW94:BN94, DB94:DS94=1))+1,)"),27.0)</f>
        <v>27</v>
      </c>
      <c r="S94" s="572">
        <f>IFERROR(__xludf.DUMMYFUNCTION("IF(SUM(DB94:DS94),ARRAYFORMULA(FILTER(AD94:AU94, DB94:DS94=1)),)"),1.0089E14)</f>
        <v>100890000000000</v>
      </c>
      <c r="T94" s="572">
        <f t="shared" si="26"/>
        <v>1.77902E+16</v>
      </c>
      <c r="U94" s="573" t="str">
        <f t="shared" ref="U94:V94" si="298">FORMAT_NUMBER(S94)</f>
        <v>100.89 T</v>
      </c>
      <c r="V94" s="574" t="str">
        <f t="shared" si="298"/>
        <v>17.79 q</v>
      </c>
      <c r="W94" s="677"/>
      <c r="X94" s="709"/>
      <c r="Y94" s="709"/>
      <c r="Z94" s="709"/>
      <c r="AA94" s="709"/>
      <c r="AB94" s="712"/>
      <c r="AC94" s="461"/>
      <c r="AD94" s="580">
        <f t="shared" ref="AD94:AU94" si="299">IFERROR(WSPCOST_SINGLE_ADJUSTED(AD$1,1+AW94),)</f>
        <v>37110000000000</v>
      </c>
      <c r="AE94" s="252">
        <f t="shared" si="299"/>
        <v>82420000000</v>
      </c>
      <c r="AF94" s="252">
        <f t="shared" si="299"/>
        <v>69650000000000</v>
      </c>
      <c r="AG94" s="252">
        <f t="shared" si="299"/>
        <v>21210000000</v>
      </c>
      <c r="AH94" s="252">
        <f t="shared" si="299"/>
        <v>43890000000000</v>
      </c>
      <c r="AI94" s="252">
        <f t="shared" si="299"/>
        <v>47710000000000</v>
      </c>
      <c r="AJ94" s="390">
        <f t="shared" si="299"/>
        <v>297430000000000</v>
      </c>
      <c r="AK94" s="390">
        <f t="shared" si="299"/>
        <v>580270000000000</v>
      </c>
      <c r="AL94" s="390">
        <f t="shared" si="299"/>
        <v>5000000000</v>
      </c>
      <c r="AM94" s="390">
        <f t="shared" si="299"/>
        <v>33950000000</v>
      </c>
      <c r="AN94" s="390">
        <f t="shared" si="299"/>
        <v>297430000000000</v>
      </c>
      <c r="AO94" s="390">
        <f t="shared" si="299"/>
        <v>100890000000000</v>
      </c>
      <c r="AP94" s="469">
        <f t="shared" si="299"/>
        <v>153100000000000</v>
      </c>
      <c r="AQ94" s="469">
        <f t="shared" si="299"/>
        <v>1.3E+15</v>
      </c>
      <c r="AR94" s="469">
        <f t="shared" si="299"/>
        <v>1.3E+15</v>
      </c>
      <c r="AS94" s="469">
        <f t="shared" si="299"/>
        <v>420490000000000</v>
      </c>
      <c r="AT94" s="469">
        <f t="shared" si="299"/>
        <v>3990000000000</v>
      </c>
      <c r="AU94" s="581">
        <f t="shared" si="299"/>
        <v>1.14E+15</v>
      </c>
      <c r="AV94" s="461"/>
      <c r="AW94" s="580">
        <f t="shared" ref="AW94:BN94" si="300">AW93+DB93</f>
        <v>56</v>
      </c>
      <c r="AX94" s="252">
        <f t="shared" si="300"/>
        <v>21</v>
      </c>
      <c r="AY94" s="252">
        <f t="shared" si="300"/>
        <v>60</v>
      </c>
      <c r="AZ94" s="252">
        <f t="shared" si="300"/>
        <v>17</v>
      </c>
      <c r="BA94" s="252">
        <f t="shared" si="300"/>
        <v>57</v>
      </c>
      <c r="BB94" s="252">
        <f t="shared" si="300"/>
        <v>13</v>
      </c>
      <c r="BC94" s="390">
        <f t="shared" si="300"/>
        <v>72</v>
      </c>
      <c r="BD94" s="390">
        <f t="shared" si="300"/>
        <v>79</v>
      </c>
      <c r="BE94" s="390">
        <f t="shared" si="300"/>
        <v>0</v>
      </c>
      <c r="BF94" s="390">
        <f t="shared" si="300"/>
        <v>18</v>
      </c>
      <c r="BG94" s="390">
        <f t="shared" si="300"/>
        <v>72</v>
      </c>
      <c r="BH94" s="390">
        <f t="shared" si="300"/>
        <v>26</v>
      </c>
      <c r="BI94" s="469">
        <f t="shared" si="300"/>
        <v>66</v>
      </c>
      <c r="BJ94" s="469">
        <f t="shared" si="300"/>
        <v>37</v>
      </c>
      <c r="BK94" s="469">
        <f t="shared" si="300"/>
        <v>37</v>
      </c>
      <c r="BL94" s="469">
        <f t="shared" si="300"/>
        <v>18</v>
      </c>
      <c r="BM94" s="469">
        <f t="shared" si="300"/>
        <v>42</v>
      </c>
      <c r="BN94" s="581">
        <f t="shared" si="300"/>
        <v>15</v>
      </c>
      <c r="BO94" s="461"/>
      <c r="BP94" s="580">
        <f t="shared" si="8"/>
        <v>37110000000000</v>
      </c>
      <c r="BQ94" s="252" t="str">
        <f t="shared" si="9"/>
        <v/>
      </c>
      <c r="BR94" s="252">
        <f t="shared" si="10"/>
        <v>69650000000000</v>
      </c>
      <c r="BS94" s="252" t="str">
        <f t="shared" si="11"/>
        <v/>
      </c>
      <c r="BT94" s="252" t="str">
        <f t="shared" si="12"/>
        <v/>
      </c>
      <c r="BU94" s="252">
        <f t="shared" si="13"/>
        <v>47710000000000</v>
      </c>
      <c r="BV94" s="390" t="str">
        <f t="shared" si="14"/>
        <v/>
      </c>
      <c r="BW94" s="390" t="str">
        <f t="shared" si="15"/>
        <v/>
      </c>
      <c r="BX94" s="390" t="str">
        <f t="shared" si="16"/>
        <v/>
      </c>
      <c r="BY94" s="390" t="str">
        <f t="shared" si="17"/>
        <v/>
      </c>
      <c r="BZ94" s="390" t="str">
        <f t="shared" si="18"/>
        <v/>
      </c>
      <c r="CA94" s="390">
        <f t="shared" si="19"/>
        <v>100890000000000</v>
      </c>
      <c r="CB94" s="469" t="str">
        <f t="shared" si="20"/>
        <v/>
      </c>
      <c r="CC94" s="469" t="str">
        <f t="shared" si="21"/>
        <v/>
      </c>
      <c r="CD94" s="469" t="str">
        <f t="shared" si="22"/>
        <v/>
      </c>
      <c r="CE94" s="469" t="str">
        <f t="shared" si="23"/>
        <v/>
      </c>
      <c r="CF94" s="469" t="str">
        <f t="shared" si="24"/>
        <v/>
      </c>
      <c r="CG94" s="581" t="str">
        <f t="shared" si="25"/>
        <v/>
      </c>
      <c r="CH94" s="461"/>
      <c r="CI94" s="580" t="str">
        <f t="array" ref="CI94">LET(
array,SORT({$Y$2:$AB$19,TRANSPOSE($BP94:$CG94)},4,TRUE),
col,CHOOSECOLS(array,5),
row,MATCH(FALSE, ISBLANK(col), 0),
IF(BP94=SWITCH($AA$22,
"minimum cost", MIN($BP94:$CG94),
"maximum cost", MAX($BP94:$CG94), 
"custom order", IF(CI$1=INDEX(array, row,1),INDEX(array, row,5),"x"))
,1,))</f>
        <v/>
      </c>
      <c r="CJ94" s="252" t="str">
        <f t="array" ref="CJ94">LET(
array,SORT({$Y$2:$AB$19,TRANSPOSE($BP94:$CG94)},4,TRUE),
col,CHOOSECOLS(array,5),
row,MATCH(FALSE, ISBLANK(col), 0),
IF(BQ94=SWITCH($AA$22,
"minimum cost", MIN($BP94:$CG94),
"maximum cost", MAX($BP94:$CG94), 
"custom order", IF(CJ$1=INDEX(array, row,1),INDEX(array, row,5),"x"))
,1,))</f>
        <v/>
      </c>
      <c r="CK94" s="252" t="str">
        <f t="array" ref="CK94">LET(
array,SORT({$Y$2:$AB$19,TRANSPOSE($BP94:$CG94)},4,TRUE),
col,CHOOSECOLS(array,5),
row,MATCH(FALSE, ISBLANK(col), 0),
IF(BR94=SWITCH($AA$22,
"minimum cost", MIN($BP94:$CG94),
"maximum cost", MAX($BP94:$CG94), 
"custom order", IF(CK$1=INDEX(array, row,1),INDEX(array, row,5),"x"))
,1,))</f>
        <v/>
      </c>
      <c r="CL94" s="252" t="str">
        <f t="array" ref="CL94">LET(
array,SORT({$Y$2:$AB$19,TRANSPOSE($BP94:$CG94)},4,TRUE),
col,CHOOSECOLS(array,5),
row,MATCH(FALSE, ISBLANK(col), 0),
IF(BS94=SWITCH($AA$22,
"minimum cost", MIN($BP94:$CG94),
"maximum cost", MAX($BP94:$CG94), 
"custom order", IF(CL$1=INDEX(array, row,1),INDEX(array, row,5),"x"))
,1,))</f>
        <v/>
      </c>
      <c r="CM94" s="252" t="str">
        <f t="array" ref="CM94">LET(
array,SORT({$Y$2:$AB$19,TRANSPOSE($BP94:$CG94)},4,TRUE),
col,CHOOSECOLS(array,5),
row,MATCH(FALSE, ISBLANK(col), 0),
IF(BT94=SWITCH($AA$22,
"minimum cost", MIN($BP94:$CG94),
"maximum cost", MAX($BP94:$CG94), 
"custom order", IF(CM$1=INDEX(array, row,1),INDEX(array, row,5),"x"))
,1,))</f>
        <v/>
      </c>
      <c r="CN94" s="252" t="str">
        <f t="array" ref="CN94">LET(
array,SORT({$Y$2:$AB$19,TRANSPOSE($BP94:$CG94)},4,TRUE),
col,CHOOSECOLS(array,5),
row,MATCH(FALSE, ISBLANK(col), 0),
IF(BU94=SWITCH($AA$22,
"minimum cost", MIN($BP94:$CG94),
"maximum cost", MAX($BP94:$CG94), 
"custom order", IF(CN$1=INDEX(array, row,1),INDEX(array, row,5),"x"))
,1,))</f>
        <v/>
      </c>
      <c r="CO94" s="390" t="str">
        <f t="array" ref="CO94">LET(
array,SORT({$Y$2:$AB$19,TRANSPOSE($BP94:$CG94)},4,TRUE),
col,CHOOSECOLS(array,5),
row,MATCH(FALSE, ISBLANK(col), 0),
IF(BV94=SWITCH($AA$22,
"minimum cost", MIN($BP94:$CG94),
"maximum cost", MAX($BP94:$CG94), 
"custom order", IF(CO$1=INDEX(array, row,1),INDEX(array, row,5),"x"))
,1,))</f>
        <v/>
      </c>
      <c r="CP94" s="390" t="str">
        <f t="array" ref="CP94">LET(
array,SORT({$Y$2:$AB$19,TRANSPOSE($BP94:$CG94)},4,TRUE),
col,CHOOSECOLS(array,5),
row,MATCH(FALSE, ISBLANK(col), 0),
IF(BW94=SWITCH($AA$22,
"minimum cost", MIN($BP94:$CG94),
"maximum cost", MAX($BP94:$CG94), 
"custom order", IF(CP$1=INDEX(array, row,1),INDEX(array, row,5),"x"))
,1,))</f>
        <v/>
      </c>
      <c r="CQ94" s="390" t="str">
        <f t="array" ref="CQ94">LET(
array,SORT({$Y$2:$AB$19,TRANSPOSE($BP94:$CG94)},4,TRUE),
col,CHOOSECOLS(array,5),
row,MATCH(FALSE, ISBLANK(col), 0),
IF(BX94=SWITCH($AA$22,
"minimum cost", MIN($BP94:$CG94),
"maximum cost", MAX($BP94:$CG94), 
"custom order", IF(CQ$1=INDEX(array, row,1),INDEX(array, row,5),"x"))
,1,))</f>
        <v/>
      </c>
      <c r="CR94" s="390" t="str">
        <f t="array" ref="CR94">LET(
array,SORT({$Y$2:$AB$19,TRANSPOSE($BP94:$CG94)},4,TRUE),
col,CHOOSECOLS(array,5),
row,MATCH(FALSE, ISBLANK(col), 0),
IF(BY94=SWITCH($AA$22,
"minimum cost", MIN($BP94:$CG94),
"maximum cost", MAX($BP94:$CG94), 
"custom order", IF(CR$1=INDEX(array, row,1),INDEX(array, row,5),"x"))
,1,))</f>
        <v/>
      </c>
      <c r="CS94" s="390" t="str">
        <f t="array" ref="CS94">LET(
array,SORT({$Y$2:$AB$19,TRANSPOSE($BP94:$CG94)},4,TRUE),
col,CHOOSECOLS(array,5),
row,MATCH(FALSE, ISBLANK(col), 0),
IF(BZ94=SWITCH($AA$22,
"minimum cost", MIN($BP94:$CG94),
"maximum cost", MAX($BP94:$CG94), 
"custom order", IF(CS$1=INDEX(array, row,1),INDEX(array, row,5),"x"))
,1,))</f>
        <v/>
      </c>
      <c r="CT94" s="390">
        <f t="array" ref="CT94">LET(
array,SORT({$Y$2:$AB$19,TRANSPOSE($BP94:$CG94)},4,TRUE),
col,CHOOSECOLS(array,5),
row,MATCH(FALSE, ISBLANK(col), 0),
IF(CA94=SWITCH($AA$22,
"minimum cost", MIN($BP94:$CG94),
"maximum cost", MAX($BP94:$CG94), 
"custom order", IF(CT$1=INDEX(array, row,1),INDEX(array, row,5),"x"))
,1,))</f>
        <v>1</v>
      </c>
      <c r="CU94" s="469" t="str">
        <f t="array" ref="CU94">LET(
array,SORT({$Y$2:$AB$19,TRANSPOSE($BP94:$CG94)},4,TRUE),
col,CHOOSECOLS(array,5),
row,MATCH(FALSE, ISBLANK(col), 0),
IF(CB94=SWITCH($AA$22,
"minimum cost", MIN($BP94:$CG94),
"maximum cost", MAX($BP94:$CG94), 
"custom order", IF(CU$1=INDEX(array, row,1),INDEX(array, row,5),"x"))
,1,))</f>
        <v/>
      </c>
      <c r="CV94" s="469" t="str">
        <f t="array" ref="CV94">LET(
array,SORT({$Y$2:$AB$19,TRANSPOSE($BP94:$CG94)},4,TRUE),
col,CHOOSECOLS(array,5),
row,MATCH(FALSE, ISBLANK(col), 0),
IF(CC94=SWITCH($AA$22,
"minimum cost", MIN($BP94:$CG94),
"maximum cost", MAX($BP94:$CG94), 
"custom order", IF(CV$1=INDEX(array, row,1),INDEX(array, row,5),"x"))
,1,))</f>
        <v/>
      </c>
      <c r="CW94" s="469" t="str">
        <f t="array" ref="CW94">LET(
array,SORT({$Y$2:$AB$19,TRANSPOSE($BP94:$CG94)},4,TRUE),
col,CHOOSECOLS(array,5),
row,MATCH(FALSE, ISBLANK(col), 0),
IF(CD94=SWITCH($AA$22,
"minimum cost", MIN($BP94:$CG94),
"maximum cost", MAX($BP94:$CG94), 
"custom order", IF(CW$1=INDEX(array, row,1),INDEX(array, row,5),"x"))
,1,))</f>
        <v/>
      </c>
      <c r="CX94" s="469" t="str">
        <f t="array" ref="CX94">LET(
array,SORT({$Y$2:$AB$19,TRANSPOSE($BP94:$CG94)},4,TRUE),
col,CHOOSECOLS(array,5),
row,MATCH(FALSE, ISBLANK(col), 0),
IF(CE94=SWITCH($AA$22,
"minimum cost", MIN($BP94:$CG94),
"maximum cost", MAX($BP94:$CG94), 
"custom order", IF(CX$1=INDEX(array, row,1),INDEX(array, row,5),"x"))
,1,))</f>
        <v/>
      </c>
      <c r="CY94" s="469" t="str">
        <f t="array" ref="CY94">LET(
array,SORT({$Y$2:$AB$19,TRANSPOSE($BP94:$CG94)},4,TRUE),
col,CHOOSECOLS(array,5),
row,MATCH(FALSE, ISBLANK(col), 0),
IF(CF94=SWITCH($AA$22,
"minimum cost", MIN($BP94:$CG94),
"maximum cost", MAX($BP94:$CG94), 
"custom order", IF(CY$1=INDEX(array, row,1),INDEX(array, row,5),"x"))
,1,))</f>
        <v/>
      </c>
      <c r="CZ94" s="581" t="str">
        <f t="array" ref="CZ94">LET(
array,SORT({$Y$2:$AB$19,TRANSPOSE($BP94:$CG94)},4,TRUE),
col,CHOOSECOLS(array,5),
row,MATCH(FALSE, ISBLANK(col), 0),
IF(CG94=SWITCH($AA$22,
"minimum cost", MIN($BP94:$CG94),
"maximum cost", MAX($BP94:$CG94), 
"custom order", IF(CZ$1=INDEX(array, row,1),INDEX(array, row,5),"x"))
,1,))</f>
        <v/>
      </c>
      <c r="DA94" s="461"/>
      <c r="DB94" s="580" t="str">
        <f t="array" ref="DB94:DS94">IF(MATCH(1, CI94:CZ94, 0)=COLUMN(CI94:CZ94)-COLUMN(CI94)+1, CI94:CZ94, "")</f>
        <v/>
      </c>
      <c r="DC94" s="252" t="s">
        <v>133</v>
      </c>
      <c r="DD94" s="252" t="s">
        <v>133</v>
      </c>
      <c r="DE94" s="252" t="s">
        <v>133</v>
      </c>
      <c r="DF94" s="252" t="s">
        <v>133</v>
      </c>
      <c r="DG94" s="252" t="s">
        <v>133</v>
      </c>
      <c r="DH94" s="390" t="s">
        <v>133</v>
      </c>
      <c r="DI94" s="390" t="s">
        <v>133</v>
      </c>
      <c r="DJ94" s="390" t="s">
        <v>133</v>
      </c>
      <c r="DK94" s="390" t="s">
        <v>133</v>
      </c>
      <c r="DL94" s="390" t="s">
        <v>133</v>
      </c>
      <c r="DM94" s="390">
        <v>1.0</v>
      </c>
      <c r="DN94" s="469" t="s">
        <v>133</v>
      </c>
      <c r="DO94" s="469" t="s">
        <v>133</v>
      </c>
      <c r="DP94" s="469" t="s">
        <v>133</v>
      </c>
      <c r="DQ94" s="469" t="s">
        <v>133</v>
      </c>
      <c r="DR94" s="469" t="s">
        <v>133</v>
      </c>
      <c r="DS94" s="581" t="s">
        <v>133</v>
      </c>
      <c r="DT94" s="563"/>
    </row>
    <row r="95">
      <c r="A95" s="563"/>
      <c r="B95" s="709"/>
      <c r="C95" s="709"/>
      <c r="D95" s="709"/>
      <c r="E95" s="10"/>
      <c r="F95" s="709"/>
      <c r="G95" s="10"/>
      <c r="H95" s="709"/>
      <c r="I95" s="10"/>
      <c r="J95" s="709"/>
      <c r="K95" s="10"/>
      <c r="L95" s="709"/>
      <c r="M95" s="461"/>
      <c r="N95" s="10"/>
      <c r="O95" s="10"/>
      <c r="P95" s="10"/>
      <c r="Q95" s="570" t="str">
        <f>IFERROR(__xludf.DUMMYFUNCTION("IF(SUM(DB95:DS95),ARRAYFORMULA(FILTER(DB$1:DS$1, DB95:DS95=1)),)"),"Orb Size")</f>
        <v>Orb Size</v>
      </c>
      <c r="R95" s="571">
        <f>IFERROR(__xludf.DUMMYFUNCTION("IF(SUM(DB95:DS95),ARRAYFORMULA(FILTER(AW95:BN95, DB95:DS95=1))+1,)"),28.0)</f>
        <v>28</v>
      </c>
      <c r="S95" s="572">
        <f>IFERROR(__xludf.DUMMYFUNCTION("IF(SUM(DB95:DS95),ARRAYFORMULA(FILTER(AD95:AU95, DB95:DS95=1)),)"),1.2232E14)</f>
        <v>122320000000000</v>
      </c>
      <c r="T95" s="572">
        <f t="shared" si="26"/>
        <v>1.79125E+16</v>
      </c>
      <c r="U95" s="573" t="str">
        <f t="shared" ref="U95:V95" si="301">FORMAT_NUMBER(S95)</f>
        <v>122.32 T</v>
      </c>
      <c r="V95" s="574" t="str">
        <f t="shared" si="301"/>
        <v>17.91 q</v>
      </c>
      <c r="W95" s="677"/>
      <c r="X95" s="709"/>
      <c r="Y95" s="709"/>
      <c r="Z95" s="709"/>
      <c r="AA95" s="709"/>
      <c r="AB95" s="712"/>
      <c r="AC95" s="461"/>
      <c r="AD95" s="580">
        <f t="shared" ref="AD95:AU95" si="302">IFERROR(WSPCOST_SINGLE_ADJUSTED(AD$1,1+AW95),)</f>
        <v>37110000000000</v>
      </c>
      <c r="AE95" s="252">
        <f t="shared" si="302"/>
        <v>82420000000</v>
      </c>
      <c r="AF95" s="252">
        <f t="shared" si="302"/>
        <v>69650000000000</v>
      </c>
      <c r="AG95" s="252">
        <f t="shared" si="302"/>
        <v>21210000000</v>
      </c>
      <c r="AH95" s="252">
        <f t="shared" si="302"/>
        <v>43890000000000</v>
      </c>
      <c r="AI95" s="252">
        <f t="shared" si="302"/>
        <v>47710000000000</v>
      </c>
      <c r="AJ95" s="390">
        <f t="shared" si="302"/>
        <v>297430000000000</v>
      </c>
      <c r="AK95" s="390">
        <f t="shared" si="302"/>
        <v>580270000000000</v>
      </c>
      <c r="AL95" s="390">
        <f t="shared" si="302"/>
        <v>5000000000</v>
      </c>
      <c r="AM95" s="390">
        <f t="shared" si="302"/>
        <v>33950000000</v>
      </c>
      <c r="AN95" s="390">
        <f t="shared" si="302"/>
        <v>297430000000000</v>
      </c>
      <c r="AO95" s="390">
        <f t="shared" si="302"/>
        <v>122320000000000</v>
      </c>
      <c r="AP95" s="469">
        <f t="shared" si="302"/>
        <v>153100000000000</v>
      </c>
      <c r="AQ95" s="469">
        <f t="shared" si="302"/>
        <v>1.3E+15</v>
      </c>
      <c r="AR95" s="469">
        <f t="shared" si="302"/>
        <v>1.3E+15</v>
      </c>
      <c r="AS95" s="469">
        <f t="shared" si="302"/>
        <v>420490000000000</v>
      </c>
      <c r="AT95" s="469">
        <f t="shared" si="302"/>
        <v>3990000000000</v>
      </c>
      <c r="AU95" s="581">
        <f t="shared" si="302"/>
        <v>1.14E+15</v>
      </c>
      <c r="AV95" s="461"/>
      <c r="AW95" s="580">
        <f t="shared" ref="AW95:BN95" si="303">AW94+DB94</f>
        <v>56</v>
      </c>
      <c r="AX95" s="252">
        <f t="shared" si="303"/>
        <v>21</v>
      </c>
      <c r="AY95" s="252">
        <f t="shared" si="303"/>
        <v>60</v>
      </c>
      <c r="AZ95" s="252">
        <f t="shared" si="303"/>
        <v>17</v>
      </c>
      <c r="BA95" s="252">
        <f t="shared" si="303"/>
        <v>57</v>
      </c>
      <c r="BB95" s="252">
        <f t="shared" si="303"/>
        <v>13</v>
      </c>
      <c r="BC95" s="390">
        <f t="shared" si="303"/>
        <v>72</v>
      </c>
      <c r="BD95" s="390">
        <f t="shared" si="303"/>
        <v>79</v>
      </c>
      <c r="BE95" s="390">
        <f t="shared" si="303"/>
        <v>0</v>
      </c>
      <c r="BF95" s="390">
        <f t="shared" si="303"/>
        <v>18</v>
      </c>
      <c r="BG95" s="390">
        <f t="shared" si="303"/>
        <v>72</v>
      </c>
      <c r="BH95" s="390">
        <f t="shared" si="303"/>
        <v>27</v>
      </c>
      <c r="BI95" s="469">
        <f t="shared" si="303"/>
        <v>66</v>
      </c>
      <c r="BJ95" s="469">
        <f t="shared" si="303"/>
        <v>37</v>
      </c>
      <c r="BK95" s="469">
        <f t="shared" si="303"/>
        <v>37</v>
      </c>
      <c r="BL95" s="469">
        <f t="shared" si="303"/>
        <v>18</v>
      </c>
      <c r="BM95" s="469">
        <f t="shared" si="303"/>
        <v>42</v>
      </c>
      <c r="BN95" s="581">
        <f t="shared" si="303"/>
        <v>15</v>
      </c>
      <c r="BO95" s="461"/>
      <c r="BP95" s="580">
        <f t="shared" si="8"/>
        <v>37110000000000</v>
      </c>
      <c r="BQ95" s="252" t="str">
        <f t="shared" si="9"/>
        <v/>
      </c>
      <c r="BR95" s="252">
        <f t="shared" si="10"/>
        <v>69650000000000</v>
      </c>
      <c r="BS95" s="252" t="str">
        <f t="shared" si="11"/>
        <v/>
      </c>
      <c r="BT95" s="252" t="str">
        <f t="shared" si="12"/>
        <v/>
      </c>
      <c r="BU95" s="252">
        <f t="shared" si="13"/>
        <v>47710000000000</v>
      </c>
      <c r="BV95" s="390" t="str">
        <f t="shared" si="14"/>
        <v/>
      </c>
      <c r="BW95" s="390" t="str">
        <f t="shared" si="15"/>
        <v/>
      </c>
      <c r="BX95" s="390" t="str">
        <f t="shared" si="16"/>
        <v/>
      </c>
      <c r="BY95" s="390" t="str">
        <f t="shared" si="17"/>
        <v/>
      </c>
      <c r="BZ95" s="390" t="str">
        <f t="shared" si="18"/>
        <v/>
      </c>
      <c r="CA95" s="390">
        <f t="shared" si="19"/>
        <v>122320000000000</v>
      </c>
      <c r="CB95" s="469" t="str">
        <f t="shared" si="20"/>
        <v/>
      </c>
      <c r="CC95" s="469" t="str">
        <f t="shared" si="21"/>
        <v/>
      </c>
      <c r="CD95" s="469" t="str">
        <f t="shared" si="22"/>
        <v/>
      </c>
      <c r="CE95" s="469" t="str">
        <f t="shared" si="23"/>
        <v/>
      </c>
      <c r="CF95" s="469" t="str">
        <f t="shared" si="24"/>
        <v/>
      </c>
      <c r="CG95" s="581" t="str">
        <f t="shared" si="25"/>
        <v/>
      </c>
      <c r="CH95" s="461"/>
      <c r="CI95" s="580" t="str">
        <f t="array" ref="CI95">LET(
array,SORT({$Y$2:$AB$19,TRANSPOSE($BP95:$CG95)},4,TRUE),
col,CHOOSECOLS(array,5),
row,MATCH(FALSE, ISBLANK(col), 0),
IF(BP95=SWITCH($AA$22,
"minimum cost", MIN($BP95:$CG95),
"maximum cost", MAX($BP95:$CG95), 
"custom order", IF(CI$1=INDEX(array, row,1),INDEX(array, row,5),"x"))
,1,))</f>
        <v/>
      </c>
      <c r="CJ95" s="252" t="str">
        <f t="array" ref="CJ95">LET(
array,SORT({$Y$2:$AB$19,TRANSPOSE($BP95:$CG95)},4,TRUE),
col,CHOOSECOLS(array,5),
row,MATCH(FALSE, ISBLANK(col), 0),
IF(BQ95=SWITCH($AA$22,
"minimum cost", MIN($BP95:$CG95),
"maximum cost", MAX($BP95:$CG95), 
"custom order", IF(CJ$1=INDEX(array, row,1),INDEX(array, row,5),"x"))
,1,))</f>
        <v/>
      </c>
      <c r="CK95" s="252" t="str">
        <f t="array" ref="CK95">LET(
array,SORT({$Y$2:$AB$19,TRANSPOSE($BP95:$CG95)},4,TRUE),
col,CHOOSECOLS(array,5),
row,MATCH(FALSE, ISBLANK(col), 0),
IF(BR95=SWITCH($AA$22,
"minimum cost", MIN($BP95:$CG95),
"maximum cost", MAX($BP95:$CG95), 
"custom order", IF(CK$1=INDEX(array, row,1),INDEX(array, row,5),"x"))
,1,))</f>
        <v/>
      </c>
      <c r="CL95" s="252" t="str">
        <f t="array" ref="CL95">LET(
array,SORT({$Y$2:$AB$19,TRANSPOSE($BP95:$CG95)},4,TRUE),
col,CHOOSECOLS(array,5),
row,MATCH(FALSE, ISBLANK(col), 0),
IF(BS95=SWITCH($AA$22,
"minimum cost", MIN($BP95:$CG95),
"maximum cost", MAX($BP95:$CG95), 
"custom order", IF(CL$1=INDEX(array, row,1),INDEX(array, row,5),"x"))
,1,))</f>
        <v/>
      </c>
      <c r="CM95" s="252" t="str">
        <f t="array" ref="CM95">LET(
array,SORT({$Y$2:$AB$19,TRANSPOSE($BP95:$CG95)},4,TRUE),
col,CHOOSECOLS(array,5),
row,MATCH(FALSE, ISBLANK(col), 0),
IF(BT95=SWITCH($AA$22,
"minimum cost", MIN($BP95:$CG95),
"maximum cost", MAX($BP95:$CG95), 
"custom order", IF(CM$1=INDEX(array, row,1),INDEX(array, row,5),"x"))
,1,))</f>
        <v/>
      </c>
      <c r="CN95" s="252" t="str">
        <f t="array" ref="CN95">LET(
array,SORT({$Y$2:$AB$19,TRANSPOSE($BP95:$CG95)},4,TRUE),
col,CHOOSECOLS(array,5),
row,MATCH(FALSE, ISBLANK(col), 0),
IF(BU95=SWITCH($AA$22,
"minimum cost", MIN($BP95:$CG95),
"maximum cost", MAX($BP95:$CG95), 
"custom order", IF(CN$1=INDEX(array, row,1),INDEX(array, row,5),"x"))
,1,))</f>
        <v/>
      </c>
      <c r="CO95" s="390" t="str">
        <f t="array" ref="CO95">LET(
array,SORT({$Y$2:$AB$19,TRANSPOSE($BP95:$CG95)},4,TRUE),
col,CHOOSECOLS(array,5),
row,MATCH(FALSE, ISBLANK(col), 0),
IF(BV95=SWITCH($AA$22,
"minimum cost", MIN($BP95:$CG95),
"maximum cost", MAX($BP95:$CG95), 
"custom order", IF(CO$1=INDEX(array, row,1),INDEX(array, row,5),"x"))
,1,))</f>
        <v/>
      </c>
      <c r="CP95" s="390" t="str">
        <f t="array" ref="CP95">LET(
array,SORT({$Y$2:$AB$19,TRANSPOSE($BP95:$CG95)},4,TRUE),
col,CHOOSECOLS(array,5),
row,MATCH(FALSE, ISBLANK(col), 0),
IF(BW95=SWITCH($AA$22,
"minimum cost", MIN($BP95:$CG95),
"maximum cost", MAX($BP95:$CG95), 
"custom order", IF(CP$1=INDEX(array, row,1),INDEX(array, row,5),"x"))
,1,))</f>
        <v/>
      </c>
      <c r="CQ95" s="390" t="str">
        <f t="array" ref="CQ95">LET(
array,SORT({$Y$2:$AB$19,TRANSPOSE($BP95:$CG95)},4,TRUE),
col,CHOOSECOLS(array,5),
row,MATCH(FALSE, ISBLANK(col), 0),
IF(BX95=SWITCH($AA$22,
"minimum cost", MIN($BP95:$CG95),
"maximum cost", MAX($BP95:$CG95), 
"custom order", IF(CQ$1=INDEX(array, row,1),INDEX(array, row,5),"x"))
,1,))</f>
        <v/>
      </c>
      <c r="CR95" s="390" t="str">
        <f t="array" ref="CR95">LET(
array,SORT({$Y$2:$AB$19,TRANSPOSE($BP95:$CG95)},4,TRUE),
col,CHOOSECOLS(array,5),
row,MATCH(FALSE, ISBLANK(col), 0),
IF(BY95=SWITCH($AA$22,
"minimum cost", MIN($BP95:$CG95),
"maximum cost", MAX($BP95:$CG95), 
"custom order", IF(CR$1=INDEX(array, row,1),INDEX(array, row,5),"x"))
,1,))</f>
        <v/>
      </c>
      <c r="CS95" s="390" t="str">
        <f t="array" ref="CS95">LET(
array,SORT({$Y$2:$AB$19,TRANSPOSE($BP95:$CG95)},4,TRUE),
col,CHOOSECOLS(array,5),
row,MATCH(FALSE, ISBLANK(col), 0),
IF(BZ95=SWITCH($AA$22,
"minimum cost", MIN($BP95:$CG95),
"maximum cost", MAX($BP95:$CG95), 
"custom order", IF(CS$1=INDEX(array, row,1),INDEX(array, row,5),"x"))
,1,))</f>
        <v/>
      </c>
      <c r="CT95" s="390">
        <f t="array" ref="CT95">LET(
array,SORT({$Y$2:$AB$19,TRANSPOSE($BP95:$CG95)},4,TRUE),
col,CHOOSECOLS(array,5),
row,MATCH(FALSE, ISBLANK(col), 0),
IF(CA95=SWITCH($AA$22,
"minimum cost", MIN($BP95:$CG95),
"maximum cost", MAX($BP95:$CG95), 
"custom order", IF(CT$1=INDEX(array, row,1),INDEX(array, row,5),"x"))
,1,))</f>
        <v>1</v>
      </c>
      <c r="CU95" s="469" t="str">
        <f t="array" ref="CU95">LET(
array,SORT({$Y$2:$AB$19,TRANSPOSE($BP95:$CG95)},4,TRUE),
col,CHOOSECOLS(array,5),
row,MATCH(FALSE, ISBLANK(col), 0),
IF(CB95=SWITCH($AA$22,
"minimum cost", MIN($BP95:$CG95),
"maximum cost", MAX($BP95:$CG95), 
"custom order", IF(CU$1=INDEX(array, row,1),INDEX(array, row,5),"x"))
,1,))</f>
        <v/>
      </c>
      <c r="CV95" s="469" t="str">
        <f t="array" ref="CV95">LET(
array,SORT({$Y$2:$AB$19,TRANSPOSE($BP95:$CG95)},4,TRUE),
col,CHOOSECOLS(array,5),
row,MATCH(FALSE, ISBLANK(col), 0),
IF(CC95=SWITCH($AA$22,
"minimum cost", MIN($BP95:$CG95),
"maximum cost", MAX($BP95:$CG95), 
"custom order", IF(CV$1=INDEX(array, row,1),INDEX(array, row,5),"x"))
,1,))</f>
        <v/>
      </c>
      <c r="CW95" s="469" t="str">
        <f t="array" ref="CW95">LET(
array,SORT({$Y$2:$AB$19,TRANSPOSE($BP95:$CG95)},4,TRUE),
col,CHOOSECOLS(array,5),
row,MATCH(FALSE, ISBLANK(col), 0),
IF(CD95=SWITCH($AA$22,
"minimum cost", MIN($BP95:$CG95),
"maximum cost", MAX($BP95:$CG95), 
"custom order", IF(CW$1=INDEX(array, row,1),INDEX(array, row,5),"x"))
,1,))</f>
        <v/>
      </c>
      <c r="CX95" s="469" t="str">
        <f t="array" ref="CX95">LET(
array,SORT({$Y$2:$AB$19,TRANSPOSE($BP95:$CG95)},4,TRUE),
col,CHOOSECOLS(array,5),
row,MATCH(FALSE, ISBLANK(col), 0),
IF(CE95=SWITCH($AA$22,
"minimum cost", MIN($BP95:$CG95),
"maximum cost", MAX($BP95:$CG95), 
"custom order", IF(CX$1=INDEX(array, row,1),INDEX(array, row,5),"x"))
,1,))</f>
        <v/>
      </c>
      <c r="CY95" s="469" t="str">
        <f t="array" ref="CY95">LET(
array,SORT({$Y$2:$AB$19,TRANSPOSE($BP95:$CG95)},4,TRUE),
col,CHOOSECOLS(array,5),
row,MATCH(FALSE, ISBLANK(col), 0),
IF(CF95=SWITCH($AA$22,
"minimum cost", MIN($BP95:$CG95),
"maximum cost", MAX($BP95:$CG95), 
"custom order", IF(CY$1=INDEX(array, row,1),INDEX(array, row,5),"x"))
,1,))</f>
        <v/>
      </c>
      <c r="CZ95" s="581" t="str">
        <f t="array" ref="CZ95">LET(
array,SORT({$Y$2:$AB$19,TRANSPOSE($BP95:$CG95)},4,TRUE),
col,CHOOSECOLS(array,5),
row,MATCH(FALSE, ISBLANK(col), 0),
IF(CG95=SWITCH($AA$22,
"minimum cost", MIN($BP95:$CG95),
"maximum cost", MAX($BP95:$CG95), 
"custom order", IF(CZ$1=INDEX(array, row,1),INDEX(array, row,5),"x"))
,1,))</f>
        <v/>
      </c>
      <c r="DA95" s="461"/>
      <c r="DB95" s="580" t="str">
        <f t="array" ref="DB95:DS95">IF(MATCH(1, CI95:CZ95, 0)=COLUMN(CI95:CZ95)-COLUMN(CI95)+1, CI95:CZ95, "")</f>
        <v/>
      </c>
      <c r="DC95" s="252" t="s">
        <v>133</v>
      </c>
      <c r="DD95" s="252" t="s">
        <v>133</v>
      </c>
      <c r="DE95" s="252" t="s">
        <v>133</v>
      </c>
      <c r="DF95" s="252" t="s">
        <v>133</v>
      </c>
      <c r="DG95" s="252" t="s">
        <v>133</v>
      </c>
      <c r="DH95" s="390" t="s">
        <v>133</v>
      </c>
      <c r="DI95" s="390" t="s">
        <v>133</v>
      </c>
      <c r="DJ95" s="390" t="s">
        <v>133</v>
      </c>
      <c r="DK95" s="390" t="s">
        <v>133</v>
      </c>
      <c r="DL95" s="390" t="s">
        <v>133</v>
      </c>
      <c r="DM95" s="390">
        <v>1.0</v>
      </c>
      <c r="DN95" s="469" t="s">
        <v>133</v>
      </c>
      <c r="DO95" s="469" t="s">
        <v>133</v>
      </c>
      <c r="DP95" s="469" t="s">
        <v>133</v>
      </c>
      <c r="DQ95" s="469" t="s">
        <v>133</v>
      </c>
      <c r="DR95" s="469" t="s">
        <v>133</v>
      </c>
      <c r="DS95" s="581" t="s">
        <v>133</v>
      </c>
      <c r="DT95" s="563"/>
    </row>
    <row r="96">
      <c r="A96" s="563"/>
      <c r="B96" s="709"/>
      <c r="C96" s="709"/>
      <c r="D96" s="709"/>
      <c r="E96" s="10"/>
      <c r="F96" s="709"/>
      <c r="G96" s="10"/>
      <c r="H96" s="709"/>
      <c r="I96" s="10"/>
      <c r="J96" s="709"/>
      <c r="K96" s="10"/>
      <c r="L96" s="709"/>
      <c r="M96" s="461"/>
      <c r="N96" s="10"/>
      <c r="O96" s="10"/>
      <c r="P96" s="10"/>
      <c r="Q96" s="570" t="str">
        <f>IFERROR(__xludf.DUMMYFUNCTION("IF(SUM(DB96:DS96),ARRAYFORMULA(FILTER(DB$1:DS$1, DB96:DS96=1)),)"),"Damage")</f>
        <v>Damage</v>
      </c>
      <c r="R96" s="571">
        <f>IFERROR(__xludf.DUMMYFUNCTION("IF(SUM(DB96:DS96),ARRAYFORMULA(FILTER(AW96:BN96, DB96:DS96=1))+1,)"),57.0)</f>
        <v>57</v>
      </c>
      <c r="S96" s="572">
        <f>IFERROR(__xludf.DUMMYFUNCTION("IF(SUM(DB96:DS96),ARRAYFORMULA(FILTER(AD96:AU96, DB96:DS96=1)),)"),3.711E13)</f>
        <v>37110000000000</v>
      </c>
      <c r="T96" s="572">
        <f t="shared" si="26"/>
        <v>1.79496E+16</v>
      </c>
      <c r="U96" s="573" t="str">
        <f t="shared" ref="U96:V96" si="304">FORMAT_NUMBER(S96)</f>
        <v>37.11 T</v>
      </c>
      <c r="V96" s="574" t="str">
        <f t="shared" si="304"/>
        <v>17.95 q</v>
      </c>
      <c r="W96" s="677"/>
      <c r="X96" s="709"/>
      <c r="Y96" s="709"/>
      <c r="Z96" s="709"/>
      <c r="AA96" s="709"/>
      <c r="AB96" s="712"/>
      <c r="AC96" s="461"/>
      <c r="AD96" s="580">
        <f t="shared" ref="AD96:AU96" si="305">IFERROR(WSPCOST_SINGLE_ADJUSTED(AD$1,1+AW96),)</f>
        <v>37110000000000</v>
      </c>
      <c r="AE96" s="252">
        <f t="shared" si="305"/>
        <v>82420000000</v>
      </c>
      <c r="AF96" s="252">
        <f t="shared" si="305"/>
        <v>69650000000000</v>
      </c>
      <c r="AG96" s="252">
        <f t="shared" si="305"/>
        <v>21210000000</v>
      </c>
      <c r="AH96" s="252">
        <f t="shared" si="305"/>
        <v>43890000000000</v>
      </c>
      <c r="AI96" s="252">
        <f t="shared" si="305"/>
        <v>47710000000000</v>
      </c>
      <c r="AJ96" s="390">
        <f t="shared" si="305"/>
        <v>297430000000000</v>
      </c>
      <c r="AK96" s="390">
        <f t="shared" si="305"/>
        <v>580270000000000</v>
      </c>
      <c r="AL96" s="390">
        <f t="shared" si="305"/>
        <v>5000000000</v>
      </c>
      <c r="AM96" s="390">
        <f t="shared" si="305"/>
        <v>33950000000</v>
      </c>
      <c r="AN96" s="390">
        <f t="shared" si="305"/>
        <v>297430000000000</v>
      </c>
      <c r="AO96" s="390">
        <f t="shared" si="305"/>
        <v>146710000000000</v>
      </c>
      <c r="AP96" s="469">
        <f t="shared" si="305"/>
        <v>153100000000000</v>
      </c>
      <c r="AQ96" s="469">
        <f t="shared" si="305"/>
        <v>1.3E+15</v>
      </c>
      <c r="AR96" s="469">
        <f t="shared" si="305"/>
        <v>1.3E+15</v>
      </c>
      <c r="AS96" s="469">
        <f t="shared" si="305"/>
        <v>420490000000000</v>
      </c>
      <c r="AT96" s="469">
        <f t="shared" si="305"/>
        <v>3990000000000</v>
      </c>
      <c r="AU96" s="581">
        <f t="shared" si="305"/>
        <v>1.14E+15</v>
      </c>
      <c r="AV96" s="461"/>
      <c r="AW96" s="580">
        <f t="shared" ref="AW96:BN96" si="306">AW95+DB95</f>
        <v>56</v>
      </c>
      <c r="AX96" s="252">
        <f t="shared" si="306"/>
        <v>21</v>
      </c>
      <c r="AY96" s="252">
        <f t="shared" si="306"/>
        <v>60</v>
      </c>
      <c r="AZ96" s="252">
        <f t="shared" si="306"/>
        <v>17</v>
      </c>
      <c r="BA96" s="252">
        <f t="shared" si="306"/>
        <v>57</v>
      </c>
      <c r="BB96" s="252">
        <f t="shared" si="306"/>
        <v>13</v>
      </c>
      <c r="BC96" s="390">
        <f t="shared" si="306"/>
        <v>72</v>
      </c>
      <c r="BD96" s="390">
        <f t="shared" si="306"/>
        <v>79</v>
      </c>
      <c r="BE96" s="390">
        <f t="shared" si="306"/>
        <v>0</v>
      </c>
      <c r="BF96" s="390">
        <f t="shared" si="306"/>
        <v>18</v>
      </c>
      <c r="BG96" s="390">
        <f t="shared" si="306"/>
        <v>72</v>
      </c>
      <c r="BH96" s="390">
        <f t="shared" si="306"/>
        <v>28</v>
      </c>
      <c r="BI96" s="469">
        <f t="shared" si="306"/>
        <v>66</v>
      </c>
      <c r="BJ96" s="469">
        <f t="shared" si="306"/>
        <v>37</v>
      </c>
      <c r="BK96" s="469">
        <f t="shared" si="306"/>
        <v>37</v>
      </c>
      <c r="BL96" s="469">
        <f t="shared" si="306"/>
        <v>18</v>
      </c>
      <c r="BM96" s="469">
        <f t="shared" si="306"/>
        <v>42</v>
      </c>
      <c r="BN96" s="581">
        <f t="shared" si="306"/>
        <v>15</v>
      </c>
      <c r="BO96" s="461"/>
      <c r="BP96" s="580">
        <f t="shared" si="8"/>
        <v>37110000000000</v>
      </c>
      <c r="BQ96" s="252" t="str">
        <f t="shared" si="9"/>
        <v/>
      </c>
      <c r="BR96" s="252">
        <f t="shared" si="10"/>
        <v>69650000000000</v>
      </c>
      <c r="BS96" s="252" t="str">
        <f t="shared" si="11"/>
        <v/>
      </c>
      <c r="BT96" s="252" t="str">
        <f t="shared" si="12"/>
        <v/>
      </c>
      <c r="BU96" s="252">
        <f t="shared" si="13"/>
        <v>47710000000000</v>
      </c>
      <c r="BV96" s="390" t="str">
        <f t="shared" si="14"/>
        <v/>
      </c>
      <c r="BW96" s="390" t="str">
        <f t="shared" si="15"/>
        <v/>
      </c>
      <c r="BX96" s="390" t="str">
        <f t="shared" si="16"/>
        <v/>
      </c>
      <c r="BY96" s="390" t="str">
        <f t="shared" si="17"/>
        <v/>
      </c>
      <c r="BZ96" s="390" t="str">
        <f t="shared" si="18"/>
        <v/>
      </c>
      <c r="CA96" s="390" t="str">
        <f t="shared" si="19"/>
        <v/>
      </c>
      <c r="CB96" s="469" t="str">
        <f t="shared" si="20"/>
        <v/>
      </c>
      <c r="CC96" s="469" t="str">
        <f t="shared" si="21"/>
        <v/>
      </c>
      <c r="CD96" s="469" t="str">
        <f t="shared" si="22"/>
        <v/>
      </c>
      <c r="CE96" s="469" t="str">
        <f t="shared" si="23"/>
        <v/>
      </c>
      <c r="CF96" s="469" t="str">
        <f t="shared" si="24"/>
        <v/>
      </c>
      <c r="CG96" s="581" t="str">
        <f t="shared" si="25"/>
        <v/>
      </c>
      <c r="CH96" s="461"/>
      <c r="CI96" s="580">
        <f t="array" ref="CI96">LET(
array,SORT({$Y$2:$AB$19,TRANSPOSE($BP96:$CG96)},4,TRUE),
col,CHOOSECOLS(array,5),
row,MATCH(FALSE, ISBLANK(col), 0),
IF(BP96=SWITCH($AA$22,
"minimum cost", MIN($BP96:$CG96),
"maximum cost", MAX($BP96:$CG96), 
"custom order", IF(CI$1=INDEX(array, row,1),INDEX(array, row,5),"x"))
,1,))</f>
        <v>1</v>
      </c>
      <c r="CJ96" s="252" t="str">
        <f t="array" ref="CJ96">LET(
array,SORT({$Y$2:$AB$19,TRANSPOSE($BP96:$CG96)},4,TRUE),
col,CHOOSECOLS(array,5),
row,MATCH(FALSE, ISBLANK(col), 0),
IF(BQ96=SWITCH($AA$22,
"minimum cost", MIN($BP96:$CG96),
"maximum cost", MAX($BP96:$CG96), 
"custom order", IF(CJ$1=INDEX(array, row,1),INDEX(array, row,5),"x"))
,1,))</f>
        <v/>
      </c>
      <c r="CK96" s="252" t="str">
        <f t="array" ref="CK96">LET(
array,SORT({$Y$2:$AB$19,TRANSPOSE($BP96:$CG96)},4,TRUE),
col,CHOOSECOLS(array,5),
row,MATCH(FALSE, ISBLANK(col), 0),
IF(BR96=SWITCH($AA$22,
"minimum cost", MIN($BP96:$CG96),
"maximum cost", MAX($BP96:$CG96), 
"custom order", IF(CK$1=INDEX(array, row,1),INDEX(array, row,5),"x"))
,1,))</f>
        <v/>
      </c>
      <c r="CL96" s="252" t="str">
        <f t="array" ref="CL96">LET(
array,SORT({$Y$2:$AB$19,TRANSPOSE($BP96:$CG96)},4,TRUE),
col,CHOOSECOLS(array,5),
row,MATCH(FALSE, ISBLANK(col), 0),
IF(BS96=SWITCH($AA$22,
"minimum cost", MIN($BP96:$CG96),
"maximum cost", MAX($BP96:$CG96), 
"custom order", IF(CL$1=INDEX(array, row,1),INDEX(array, row,5),"x"))
,1,))</f>
        <v/>
      </c>
      <c r="CM96" s="252" t="str">
        <f t="array" ref="CM96">LET(
array,SORT({$Y$2:$AB$19,TRANSPOSE($BP96:$CG96)},4,TRUE),
col,CHOOSECOLS(array,5),
row,MATCH(FALSE, ISBLANK(col), 0),
IF(BT96=SWITCH($AA$22,
"minimum cost", MIN($BP96:$CG96),
"maximum cost", MAX($BP96:$CG96), 
"custom order", IF(CM$1=INDEX(array, row,1),INDEX(array, row,5),"x"))
,1,))</f>
        <v/>
      </c>
      <c r="CN96" s="252" t="str">
        <f t="array" ref="CN96">LET(
array,SORT({$Y$2:$AB$19,TRANSPOSE($BP96:$CG96)},4,TRUE),
col,CHOOSECOLS(array,5),
row,MATCH(FALSE, ISBLANK(col), 0),
IF(BU96=SWITCH($AA$22,
"minimum cost", MIN($BP96:$CG96),
"maximum cost", MAX($BP96:$CG96), 
"custom order", IF(CN$1=INDEX(array, row,1),INDEX(array, row,5),"x"))
,1,))</f>
        <v/>
      </c>
      <c r="CO96" s="390" t="str">
        <f t="array" ref="CO96">LET(
array,SORT({$Y$2:$AB$19,TRANSPOSE($BP96:$CG96)},4,TRUE),
col,CHOOSECOLS(array,5),
row,MATCH(FALSE, ISBLANK(col), 0),
IF(BV96=SWITCH($AA$22,
"minimum cost", MIN($BP96:$CG96),
"maximum cost", MAX($BP96:$CG96), 
"custom order", IF(CO$1=INDEX(array, row,1),INDEX(array, row,5),"x"))
,1,))</f>
        <v/>
      </c>
      <c r="CP96" s="390" t="str">
        <f t="array" ref="CP96">LET(
array,SORT({$Y$2:$AB$19,TRANSPOSE($BP96:$CG96)},4,TRUE),
col,CHOOSECOLS(array,5),
row,MATCH(FALSE, ISBLANK(col), 0),
IF(BW96=SWITCH($AA$22,
"minimum cost", MIN($BP96:$CG96),
"maximum cost", MAX($BP96:$CG96), 
"custom order", IF(CP$1=INDEX(array, row,1),INDEX(array, row,5),"x"))
,1,))</f>
        <v/>
      </c>
      <c r="CQ96" s="390" t="str">
        <f t="array" ref="CQ96">LET(
array,SORT({$Y$2:$AB$19,TRANSPOSE($BP96:$CG96)},4,TRUE),
col,CHOOSECOLS(array,5),
row,MATCH(FALSE, ISBLANK(col), 0),
IF(BX96=SWITCH($AA$22,
"minimum cost", MIN($BP96:$CG96),
"maximum cost", MAX($BP96:$CG96), 
"custom order", IF(CQ$1=INDEX(array, row,1),INDEX(array, row,5),"x"))
,1,))</f>
        <v/>
      </c>
      <c r="CR96" s="390" t="str">
        <f t="array" ref="CR96">LET(
array,SORT({$Y$2:$AB$19,TRANSPOSE($BP96:$CG96)},4,TRUE),
col,CHOOSECOLS(array,5),
row,MATCH(FALSE, ISBLANK(col), 0),
IF(BY96=SWITCH($AA$22,
"minimum cost", MIN($BP96:$CG96),
"maximum cost", MAX($BP96:$CG96), 
"custom order", IF(CR$1=INDEX(array, row,1),INDEX(array, row,5),"x"))
,1,))</f>
        <v/>
      </c>
      <c r="CS96" s="390" t="str">
        <f t="array" ref="CS96">LET(
array,SORT({$Y$2:$AB$19,TRANSPOSE($BP96:$CG96)},4,TRUE),
col,CHOOSECOLS(array,5),
row,MATCH(FALSE, ISBLANK(col), 0),
IF(BZ96=SWITCH($AA$22,
"minimum cost", MIN($BP96:$CG96),
"maximum cost", MAX($BP96:$CG96), 
"custom order", IF(CS$1=INDEX(array, row,1),INDEX(array, row,5),"x"))
,1,))</f>
        <v/>
      </c>
      <c r="CT96" s="390" t="str">
        <f t="array" ref="CT96">LET(
array,SORT({$Y$2:$AB$19,TRANSPOSE($BP96:$CG96)},4,TRUE),
col,CHOOSECOLS(array,5),
row,MATCH(FALSE, ISBLANK(col), 0),
IF(CA96=SWITCH($AA$22,
"minimum cost", MIN($BP96:$CG96),
"maximum cost", MAX($BP96:$CG96), 
"custom order", IF(CT$1=INDEX(array, row,1),INDEX(array, row,5),"x"))
,1,))</f>
        <v/>
      </c>
      <c r="CU96" s="469" t="str">
        <f t="array" ref="CU96">LET(
array,SORT({$Y$2:$AB$19,TRANSPOSE($BP96:$CG96)},4,TRUE),
col,CHOOSECOLS(array,5),
row,MATCH(FALSE, ISBLANK(col), 0),
IF(CB96=SWITCH($AA$22,
"minimum cost", MIN($BP96:$CG96),
"maximum cost", MAX($BP96:$CG96), 
"custom order", IF(CU$1=INDEX(array, row,1),INDEX(array, row,5),"x"))
,1,))</f>
        <v/>
      </c>
      <c r="CV96" s="469" t="str">
        <f t="array" ref="CV96">LET(
array,SORT({$Y$2:$AB$19,TRANSPOSE($BP96:$CG96)},4,TRUE),
col,CHOOSECOLS(array,5),
row,MATCH(FALSE, ISBLANK(col), 0),
IF(CC96=SWITCH($AA$22,
"minimum cost", MIN($BP96:$CG96),
"maximum cost", MAX($BP96:$CG96), 
"custom order", IF(CV$1=INDEX(array, row,1),INDEX(array, row,5),"x"))
,1,))</f>
        <v/>
      </c>
      <c r="CW96" s="469" t="str">
        <f t="array" ref="CW96">LET(
array,SORT({$Y$2:$AB$19,TRANSPOSE($BP96:$CG96)},4,TRUE),
col,CHOOSECOLS(array,5),
row,MATCH(FALSE, ISBLANK(col), 0),
IF(CD96=SWITCH($AA$22,
"minimum cost", MIN($BP96:$CG96),
"maximum cost", MAX($BP96:$CG96), 
"custom order", IF(CW$1=INDEX(array, row,1),INDEX(array, row,5),"x"))
,1,))</f>
        <v/>
      </c>
      <c r="CX96" s="469" t="str">
        <f t="array" ref="CX96">LET(
array,SORT({$Y$2:$AB$19,TRANSPOSE($BP96:$CG96)},4,TRUE),
col,CHOOSECOLS(array,5),
row,MATCH(FALSE, ISBLANK(col), 0),
IF(CE96=SWITCH($AA$22,
"minimum cost", MIN($BP96:$CG96),
"maximum cost", MAX($BP96:$CG96), 
"custom order", IF(CX$1=INDEX(array, row,1),INDEX(array, row,5),"x"))
,1,))</f>
        <v/>
      </c>
      <c r="CY96" s="469" t="str">
        <f t="array" ref="CY96">LET(
array,SORT({$Y$2:$AB$19,TRANSPOSE($BP96:$CG96)},4,TRUE),
col,CHOOSECOLS(array,5),
row,MATCH(FALSE, ISBLANK(col), 0),
IF(CF96=SWITCH($AA$22,
"minimum cost", MIN($BP96:$CG96),
"maximum cost", MAX($BP96:$CG96), 
"custom order", IF(CY$1=INDEX(array, row,1),INDEX(array, row,5),"x"))
,1,))</f>
        <v/>
      </c>
      <c r="CZ96" s="581" t="str">
        <f t="array" ref="CZ96">LET(
array,SORT({$Y$2:$AB$19,TRANSPOSE($BP96:$CG96)},4,TRUE),
col,CHOOSECOLS(array,5),
row,MATCH(FALSE, ISBLANK(col), 0),
IF(CG96=SWITCH($AA$22,
"minimum cost", MIN($BP96:$CG96),
"maximum cost", MAX($BP96:$CG96), 
"custom order", IF(CZ$1=INDEX(array, row,1),INDEX(array, row,5),"x"))
,1,))</f>
        <v/>
      </c>
      <c r="DA96" s="461"/>
      <c r="DB96" s="580">
        <f t="array" ref="DB96:DS96">IF(MATCH(1, CI96:CZ96, 0)=COLUMN(CI96:CZ96)-COLUMN(CI96)+1, CI96:CZ96, "")</f>
        <v>1</v>
      </c>
      <c r="DC96" s="252" t="s">
        <v>133</v>
      </c>
      <c r="DD96" s="252" t="s">
        <v>133</v>
      </c>
      <c r="DE96" s="252" t="s">
        <v>133</v>
      </c>
      <c r="DF96" s="252" t="s">
        <v>133</v>
      </c>
      <c r="DG96" s="252" t="s">
        <v>133</v>
      </c>
      <c r="DH96" s="390" t="s">
        <v>133</v>
      </c>
      <c r="DI96" s="390" t="s">
        <v>133</v>
      </c>
      <c r="DJ96" s="390" t="s">
        <v>133</v>
      </c>
      <c r="DK96" s="390" t="s">
        <v>133</v>
      </c>
      <c r="DL96" s="390" t="s">
        <v>133</v>
      </c>
      <c r="DM96" s="390" t="s">
        <v>133</v>
      </c>
      <c r="DN96" s="469" t="s">
        <v>133</v>
      </c>
      <c r="DO96" s="469" t="s">
        <v>133</v>
      </c>
      <c r="DP96" s="469" t="s">
        <v>133</v>
      </c>
      <c r="DQ96" s="469" t="s">
        <v>133</v>
      </c>
      <c r="DR96" s="469" t="s">
        <v>133</v>
      </c>
      <c r="DS96" s="581" t="s">
        <v>133</v>
      </c>
      <c r="DT96" s="563"/>
    </row>
    <row r="97">
      <c r="A97" s="563"/>
      <c r="B97" s="709"/>
      <c r="C97" s="709"/>
      <c r="D97" s="709"/>
      <c r="E97" s="10"/>
      <c r="F97" s="709"/>
      <c r="G97" s="10"/>
      <c r="H97" s="709"/>
      <c r="I97" s="10"/>
      <c r="J97" s="709"/>
      <c r="K97" s="10"/>
      <c r="L97" s="709"/>
      <c r="M97" s="461"/>
      <c r="N97" s="10"/>
      <c r="O97" s="10"/>
      <c r="P97" s="10"/>
      <c r="Q97" s="570" t="str">
        <f>IFERROR(__xludf.DUMMYFUNCTION("IF(SUM(DB97:DS97),ARRAYFORMULA(FILTER(DB$1:DS$1, DB97:DS97=1)),)"),"Damage")</f>
        <v>Damage</v>
      </c>
      <c r="R97" s="571">
        <f>IFERROR(__xludf.DUMMYFUNCTION("IF(SUM(DB97:DS97),ARRAYFORMULA(FILTER(AW97:BN97, DB97:DS97=1))+1,)"),58.0)</f>
        <v>58</v>
      </c>
      <c r="S97" s="572">
        <f>IFERROR(__xludf.DUMMYFUNCTION("IF(SUM(DB97:DS97),ARRAYFORMULA(FILTER(AD97:AU97, DB97:DS97=1)),)"),4.389E13)</f>
        <v>43890000000000</v>
      </c>
      <c r="T97" s="572">
        <f t="shared" si="26"/>
        <v>1.79935E+16</v>
      </c>
      <c r="U97" s="573" t="str">
        <f t="shared" ref="U97:V97" si="307">FORMAT_NUMBER(S97)</f>
        <v>43.89 T</v>
      </c>
      <c r="V97" s="574" t="str">
        <f t="shared" si="307"/>
        <v>17.99 q</v>
      </c>
      <c r="W97" s="677"/>
      <c r="X97" s="709"/>
      <c r="Y97" s="709"/>
      <c r="Z97" s="709"/>
      <c r="AA97" s="709"/>
      <c r="AB97" s="712"/>
      <c r="AC97" s="461"/>
      <c r="AD97" s="580">
        <f t="shared" ref="AD97:AU97" si="308">IFERROR(WSPCOST_SINGLE_ADJUSTED(AD$1,1+AW97),)</f>
        <v>43890000000000</v>
      </c>
      <c r="AE97" s="252">
        <f t="shared" si="308"/>
        <v>82420000000</v>
      </c>
      <c r="AF97" s="252">
        <f t="shared" si="308"/>
        <v>69650000000000</v>
      </c>
      <c r="AG97" s="252">
        <f t="shared" si="308"/>
        <v>21210000000</v>
      </c>
      <c r="AH97" s="252">
        <f t="shared" si="308"/>
        <v>43890000000000</v>
      </c>
      <c r="AI97" s="252">
        <f t="shared" si="308"/>
        <v>47710000000000</v>
      </c>
      <c r="AJ97" s="390">
        <f t="shared" si="308"/>
        <v>297430000000000</v>
      </c>
      <c r="AK97" s="390">
        <f t="shared" si="308"/>
        <v>580270000000000</v>
      </c>
      <c r="AL97" s="390">
        <f t="shared" si="308"/>
        <v>5000000000</v>
      </c>
      <c r="AM97" s="390">
        <f t="shared" si="308"/>
        <v>33950000000</v>
      </c>
      <c r="AN97" s="390">
        <f t="shared" si="308"/>
        <v>297430000000000</v>
      </c>
      <c r="AO97" s="390">
        <f t="shared" si="308"/>
        <v>146710000000000</v>
      </c>
      <c r="AP97" s="469">
        <f t="shared" si="308"/>
        <v>153100000000000</v>
      </c>
      <c r="AQ97" s="469">
        <f t="shared" si="308"/>
        <v>1.3E+15</v>
      </c>
      <c r="AR97" s="469">
        <f t="shared" si="308"/>
        <v>1.3E+15</v>
      </c>
      <c r="AS97" s="469">
        <f t="shared" si="308"/>
        <v>420490000000000</v>
      </c>
      <c r="AT97" s="469">
        <f t="shared" si="308"/>
        <v>3990000000000</v>
      </c>
      <c r="AU97" s="581">
        <f t="shared" si="308"/>
        <v>1.14E+15</v>
      </c>
      <c r="AV97" s="461"/>
      <c r="AW97" s="580">
        <f t="shared" ref="AW97:BN97" si="309">AW96+DB96</f>
        <v>57</v>
      </c>
      <c r="AX97" s="252">
        <f t="shared" si="309"/>
        <v>21</v>
      </c>
      <c r="AY97" s="252">
        <f t="shared" si="309"/>
        <v>60</v>
      </c>
      <c r="AZ97" s="252">
        <f t="shared" si="309"/>
        <v>17</v>
      </c>
      <c r="BA97" s="252">
        <f t="shared" si="309"/>
        <v>57</v>
      </c>
      <c r="BB97" s="252">
        <f t="shared" si="309"/>
        <v>13</v>
      </c>
      <c r="BC97" s="390">
        <f t="shared" si="309"/>
        <v>72</v>
      </c>
      <c r="BD97" s="390">
        <f t="shared" si="309"/>
        <v>79</v>
      </c>
      <c r="BE97" s="390">
        <f t="shared" si="309"/>
        <v>0</v>
      </c>
      <c r="BF97" s="390">
        <f t="shared" si="309"/>
        <v>18</v>
      </c>
      <c r="BG97" s="390">
        <f t="shared" si="309"/>
        <v>72</v>
      </c>
      <c r="BH97" s="390">
        <f t="shared" si="309"/>
        <v>28</v>
      </c>
      <c r="BI97" s="469">
        <f t="shared" si="309"/>
        <v>66</v>
      </c>
      <c r="BJ97" s="469">
        <f t="shared" si="309"/>
        <v>37</v>
      </c>
      <c r="BK97" s="469">
        <f t="shared" si="309"/>
        <v>37</v>
      </c>
      <c r="BL97" s="469">
        <f t="shared" si="309"/>
        <v>18</v>
      </c>
      <c r="BM97" s="469">
        <f t="shared" si="309"/>
        <v>42</v>
      </c>
      <c r="BN97" s="581">
        <f t="shared" si="309"/>
        <v>15</v>
      </c>
      <c r="BO97" s="461"/>
      <c r="BP97" s="580">
        <f t="shared" si="8"/>
        <v>43890000000000</v>
      </c>
      <c r="BQ97" s="252" t="str">
        <f t="shared" si="9"/>
        <v/>
      </c>
      <c r="BR97" s="252">
        <f t="shared" si="10"/>
        <v>69650000000000</v>
      </c>
      <c r="BS97" s="252" t="str">
        <f t="shared" si="11"/>
        <v/>
      </c>
      <c r="BT97" s="252" t="str">
        <f t="shared" si="12"/>
        <v/>
      </c>
      <c r="BU97" s="252">
        <f t="shared" si="13"/>
        <v>47710000000000</v>
      </c>
      <c r="BV97" s="390" t="str">
        <f t="shared" si="14"/>
        <v/>
      </c>
      <c r="BW97" s="390" t="str">
        <f t="shared" si="15"/>
        <v/>
      </c>
      <c r="BX97" s="390" t="str">
        <f t="shared" si="16"/>
        <v/>
      </c>
      <c r="BY97" s="390" t="str">
        <f t="shared" si="17"/>
        <v/>
      </c>
      <c r="BZ97" s="390" t="str">
        <f t="shared" si="18"/>
        <v/>
      </c>
      <c r="CA97" s="390" t="str">
        <f t="shared" si="19"/>
        <v/>
      </c>
      <c r="CB97" s="469" t="str">
        <f t="shared" si="20"/>
        <v/>
      </c>
      <c r="CC97" s="469" t="str">
        <f t="shared" si="21"/>
        <v/>
      </c>
      <c r="CD97" s="469" t="str">
        <f t="shared" si="22"/>
        <v/>
      </c>
      <c r="CE97" s="469" t="str">
        <f t="shared" si="23"/>
        <v/>
      </c>
      <c r="CF97" s="469" t="str">
        <f t="shared" si="24"/>
        <v/>
      </c>
      <c r="CG97" s="581" t="str">
        <f t="shared" si="25"/>
        <v/>
      </c>
      <c r="CH97" s="461"/>
      <c r="CI97" s="580">
        <f t="array" ref="CI97">LET(
array,SORT({$Y$2:$AB$19,TRANSPOSE($BP97:$CG97)},4,TRUE),
col,CHOOSECOLS(array,5),
row,MATCH(FALSE, ISBLANK(col), 0),
IF(BP97=SWITCH($AA$22,
"minimum cost", MIN($BP97:$CG97),
"maximum cost", MAX($BP97:$CG97), 
"custom order", IF(CI$1=INDEX(array, row,1),INDEX(array, row,5),"x"))
,1,))</f>
        <v>1</v>
      </c>
      <c r="CJ97" s="252" t="str">
        <f t="array" ref="CJ97">LET(
array,SORT({$Y$2:$AB$19,TRANSPOSE($BP97:$CG97)},4,TRUE),
col,CHOOSECOLS(array,5),
row,MATCH(FALSE, ISBLANK(col), 0),
IF(BQ97=SWITCH($AA$22,
"minimum cost", MIN($BP97:$CG97),
"maximum cost", MAX($BP97:$CG97), 
"custom order", IF(CJ$1=INDEX(array, row,1),INDEX(array, row,5),"x"))
,1,))</f>
        <v/>
      </c>
      <c r="CK97" s="252" t="str">
        <f t="array" ref="CK97">LET(
array,SORT({$Y$2:$AB$19,TRANSPOSE($BP97:$CG97)},4,TRUE),
col,CHOOSECOLS(array,5),
row,MATCH(FALSE, ISBLANK(col), 0),
IF(BR97=SWITCH($AA$22,
"minimum cost", MIN($BP97:$CG97),
"maximum cost", MAX($BP97:$CG97), 
"custom order", IF(CK$1=INDEX(array, row,1),INDEX(array, row,5),"x"))
,1,))</f>
        <v/>
      </c>
      <c r="CL97" s="252" t="str">
        <f t="array" ref="CL97">LET(
array,SORT({$Y$2:$AB$19,TRANSPOSE($BP97:$CG97)},4,TRUE),
col,CHOOSECOLS(array,5),
row,MATCH(FALSE, ISBLANK(col), 0),
IF(BS97=SWITCH($AA$22,
"minimum cost", MIN($BP97:$CG97),
"maximum cost", MAX($BP97:$CG97), 
"custom order", IF(CL$1=INDEX(array, row,1),INDEX(array, row,5),"x"))
,1,))</f>
        <v/>
      </c>
      <c r="CM97" s="252" t="str">
        <f t="array" ref="CM97">LET(
array,SORT({$Y$2:$AB$19,TRANSPOSE($BP97:$CG97)},4,TRUE),
col,CHOOSECOLS(array,5),
row,MATCH(FALSE, ISBLANK(col), 0),
IF(BT97=SWITCH($AA$22,
"minimum cost", MIN($BP97:$CG97),
"maximum cost", MAX($BP97:$CG97), 
"custom order", IF(CM$1=INDEX(array, row,1),INDEX(array, row,5),"x"))
,1,))</f>
        <v/>
      </c>
      <c r="CN97" s="252" t="str">
        <f t="array" ref="CN97">LET(
array,SORT({$Y$2:$AB$19,TRANSPOSE($BP97:$CG97)},4,TRUE),
col,CHOOSECOLS(array,5),
row,MATCH(FALSE, ISBLANK(col), 0),
IF(BU97=SWITCH($AA$22,
"minimum cost", MIN($BP97:$CG97),
"maximum cost", MAX($BP97:$CG97), 
"custom order", IF(CN$1=INDEX(array, row,1),INDEX(array, row,5),"x"))
,1,))</f>
        <v/>
      </c>
      <c r="CO97" s="390" t="str">
        <f t="array" ref="CO97">LET(
array,SORT({$Y$2:$AB$19,TRANSPOSE($BP97:$CG97)},4,TRUE),
col,CHOOSECOLS(array,5),
row,MATCH(FALSE, ISBLANK(col), 0),
IF(BV97=SWITCH($AA$22,
"minimum cost", MIN($BP97:$CG97),
"maximum cost", MAX($BP97:$CG97), 
"custom order", IF(CO$1=INDEX(array, row,1),INDEX(array, row,5),"x"))
,1,))</f>
        <v/>
      </c>
      <c r="CP97" s="390" t="str">
        <f t="array" ref="CP97">LET(
array,SORT({$Y$2:$AB$19,TRANSPOSE($BP97:$CG97)},4,TRUE),
col,CHOOSECOLS(array,5),
row,MATCH(FALSE, ISBLANK(col), 0),
IF(BW97=SWITCH($AA$22,
"minimum cost", MIN($BP97:$CG97),
"maximum cost", MAX($BP97:$CG97), 
"custom order", IF(CP$1=INDEX(array, row,1),INDEX(array, row,5),"x"))
,1,))</f>
        <v/>
      </c>
      <c r="CQ97" s="390" t="str">
        <f t="array" ref="CQ97">LET(
array,SORT({$Y$2:$AB$19,TRANSPOSE($BP97:$CG97)},4,TRUE),
col,CHOOSECOLS(array,5),
row,MATCH(FALSE, ISBLANK(col), 0),
IF(BX97=SWITCH($AA$22,
"minimum cost", MIN($BP97:$CG97),
"maximum cost", MAX($BP97:$CG97), 
"custom order", IF(CQ$1=INDEX(array, row,1),INDEX(array, row,5),"x"))
,1,))</f>
        <v/>
      </c>
      <c r="CR97" s="390" t="str">
        <f t="array" ref="CR97">LET(
array,SORT({$Y$2:$AB$19,TRANSPOSE($BP97:$CG97)},4,TRUE),
col,CHOOSECOLS(array,5),
row,MATCH(FALSE, ISBLANK(col), 0),
IF(BY97=SWITCH($AA$22,
"minimum cost", MIN($BP97:$CG97),
"maximum cost", MAX($BP97:$CG97), 
"custom order", IF(CR$1=INDEX(array, row,1),INDEX(array, row,5),"x"))
,1,))</f>
        <v/>
      </c>
      <c r="CS97" s="390" t="str">
        <f t="array" ref="CS97">LET(
array,SORT({$Y$2:$AB$19,TRANSPOSE($BP97:$CG97)},4,TRUE),
col,CHOOSECOLS(array,5),
row,MATCH(FALSE, ISBLANK(col), 0),
IF(BZ97=SWITCH($AA$22,
"minimum cost", MIN($BP97:$CG97),
"maximum cost", MAX($BP97:$CG97), 
"custom order", IF(CS$1=INDEX(array, row,1),INDEX(array, row,5),"x"))
,1,))</f>
        <v/>
      </c>
      <c r="CT97" s="390" t="str">
        <f t="array" ref="CT97">LET(
array,SORT({$Y$2:$AB$19,TRANSPOSE($BP97:$CG97)},4,TRUE),
col,CHOOSECOLS(array,5),
row,MATCH(FALSE, ISBLANK(col), 0),
IF(CA97=SWITCH($AA$22,
"minimum cost", MIN($BP97:$CG97),
"maximum cost", MAX($BP97:$CG97), 
"custom order", IF(CT$1=INDEX(array, row,1),INDEX(array, row,5),"x"))
,1,))</f>
        <v/>
      </c>
      <c r="CU97" s="469" t="str">
        <f t="array" ref="CU97">LET(
array,SORT({$Y$2:$AB$19,TRANSPOSE($BP97:$CG97)},4,TRUE),
col,CHOOSECOLS(array,5),
row,MATCH(FALSE, ISBLANK(col), 0),
IF(CB97=SWITCH($AA$22,
"minimum cost", MIN($BP97:$CG97),
"maximum cost", MAX($BP97:$CG97), 
"custom order", IF(CU$1=INDEX(array, row,1),INDEX(array, row,5),"x"))
,1,))</f>
        <v/>
      </c>
      <c r="CV97" s="469" t="str">
        <f t="array" ref="CV97">LET(
array,SORT({$Y$2:$AB$19,TRANSPOSE($BP97:$CG97)},4,TRUE),
col,CHOOSECOLS(array,5),
row,MATCH(FALSE, ISBLANK(col), 0),
IF(CC97=SWITCH($AA$22,
"minimum cost", MIN($BP97:$CG97),
"maximum cost", MAX($BP97:$CG97), 
"custom order", IF(CV$1=INDEX(array, row,1),INDEX(array, row,5),"x"))
,1,))</f>
        <v/>
      </c>
      <c r="CW97" s="469" t="str">
        <f t="array" ref="CW97">LET(
array,SORT({$Y$2:$AB$19,TRANSPOSE($BP97:$CG97)},4,TRUE),
col,CHOOSECOLS(array,5),
row,MATCH(FALSE, ISBLANK(col), 0),
IF(CD97=SWITCH($AA$22,
"minimum cost", MIN($BP97:$CG97),
"maximum cost", MAX($BP97:$CG97), 
"custom order", IF(CW$1=INDEX(array, row,1),INDEX(array, row,5),"x"))
,1,))</f>
        <v/>
      </c>
      <c r="CX97" s="469" t="str">
        <f t="array" ref="CX97">LET(
array,SORT({$Y$2:$AB$19,TRANSPOSE($BP97:$CG97)},4,TRUE),
col,CHOOSECOLS(array,5),
row,MATCH(FALSE, ISBLANK(col), 0),
IF(CE97=SWITCH($AA$22,
"minimum cost", MIN($BP97:$CG97),
"maximum cost", MAX($BP97:$CG97), 
"custom order", IF(CX$1=INDEX(array, row,1),INDEX(array, row,5),"x"))
,1,))</f>
        <v/>
      </c>
      <c r="CY97" s="469" t="str">
        <f t="array" ref="CY97">LET(
array,SORT({$Y$2:$AB$19,TRANSPOSE($BP97:$CG97)},4,TRUE),
col,CHOOSECOLS(array,5),
row,MATCH(FALSE, ISBLANK(col), 0),
IF(CF97=SWITCH($AA$22,
"minimum cost", MIN($BP97:$CG97),
"maximum cost", MAX($BP97:$CG97), 
"custom order", IF(CY$1=INDEX(array, row,1),INDEX(array, row,5),"x"))
,1,))</f>
        <v/>
      </c>
      <c r="CZ97" s="581" t="str">
        <f t="array" ref="CZ97">LET(
array,SORT({$Y$2:$AB$19,TRANSPOSE($BP97:$CG97)},4,TRUE),
col,CHOOSECOLS(array,5),
row,MATCH(FALSE, ISBLANK(col), 0),
IF(CG97=SWITCH($AA$22,
"minimum cost", MIN($BP97:$CG97),
"maximum cost", MAX($BP97:$CG97), 
"custom order", IF(CZ$1=INDEX(array, row,1),INDEX(array, row,5),"x"))
,1,))</f>
        <v/>
      </c>
      <c r="DA97" s="461"/>
      <c r="DB97" s="580">
        <f t="array" ref="DB97:DS97">IF(MATCH(1, CI97:CZ97, 0)=COLUMN(CI97:CZ97)-COLUMN(CI97)+1, CI97:CZ97, "")</f>
        <v>1</v>
      </c>
      <c r="DC97" s="252" t="s">
        <v>133</v>
      </c>
      <c r="DD97" s="252" t="s">
        <v>133</v>
      </c>
      <c r="DE97" s="252" t="s">
        <v>133</v>
      </c>
      <c r="DF97" s="252" t="s">
        <v>133</v>
      </c>
      <c r="DG97" s="252" t="s">
        <v>133</v>
      </c>
      <c r="DH97" s="390" t="s">
        <v>133</v>
      </c>
      <c r="DI97" s="390" t="s">
        <v>133</v>
      </c>
      <c r="DJ97" s="390" t="s">
        <v>133</v>
      </c>
      <c r="DK97" s="390" t="s">
        <v>133</v>
      </c>
      <c r="DL97" s="390" t="s">
        <v>133</v>
      </c>
      <c r="DM97" s="390" t="s">
        <v>133</v>
      </c>
      <c r="DN97" s="469" t="s">
        <v>133</v>
      </c>
      <c r="DO97" s="469" t="s">
        <v>133</v>
      </c>
      <c r="DP97" s="469" t="s">
        <v>133</v>
      </c>
      <c r="DQ97" s="469" t="s">
        <v>133</v>
      </c>
      <c r="DR97" s="469" t="s">
        <v>133</v>
      </c>
      <c r="DS97" s="581" t="s">
        <v>133</v>
      </c>
      <c r="DT97" s="563"/>
    </row>
    <row r="98">
      <c r="A98" s="563"/>
      <c r="B98" s="709"/>
      <c r="C98" s="709"/>
      <c r="D98" s="709"/>
      <c r="E98" s="10"/>
      <c r="F98" s="709"/>
      <c r="G98" s="10"/>
      <c r="H98" s="709"/>
      <c r="I98" s="10"/>
      <c r="J98" s="709"/>
      <c r="K98" s="10"/>
      <c r="L98" s="709"/>
      <c r="M98" s="461"/>
      <c r="N98" s="10"/>
      <c r="O98" s="10"/>
      <c r="P98" s="10"/>
      <c r="Q98" s="570" t="str">
        <f>IFERROR(__xludf.DUMMYFUNCTION("IF(SUM(DB98:DS98),ARRAYFORMULA(FILTER(DB$1:DS$1, DB98:DS98=1)),)"),"Damage")</f>
        <v>Damage</v>
      </c>
      <c r="R98" s="571">
        <f>IFERROR(__xludf.DUMMYFUNCTION("IF(SUM(DB98:DS98),ARRAYFORMULA(FILTER(AW98:BN98, DB98:DS98=1))+1,)"),59.0)</f>
        <v>59</v>
      </c>
      <c r="S98" s="572">
        <f>IFERROR(__xludf.DUMMYFUNCTION("IF(SUM(DB98:DS98),ARRAYFORMULA(FILTER(AD98:AU98, DB98:DS98=1)),)"),5.152E13)</f>
        <v>51520000000000</v>
      </c>
      <c r="T98" s="572">
        <f t="shared" si="26"/>
        <v>1.8045E+16</v>
      </c>
      <c r="U98" s="573" t="str">
        <f t="shared" ref="U98:V98" si="310">FORMAT_NUMBER(S98)</f>
        <v>51.52 T</v>
      </c>
      <c r="V98" s="574" t="str">
        <f t="shared" si="310"/>
        <v>18.05 q</v>
      </c>
      <c r="W98" s="677"/>
      <c r="X98" s="709"/>
      <c r="Y98" s="709"/>
      <c r="Z98" s="709"/>
      <c r="AA98" s="709"/>
      <c r="AB98" s="712"/>
      <c r="AC98" s="461"/>
      <c r="AD98" s="580">
        <f t="shared" ref="AD98:AU98" si="311">IFERROR(WSPCOST_SINGLE_ADJUSTED(AD$1,1+AW98),)</f>
        <v>51520000000000</v>
      </c>
      <c r="AE98" s="252">
        <f t="shared" si="311"/>
        <v>82420000000</v>
      </c>
      <c r="AF98" s="252">
        <f t="shared" si="311"/>
        <v>69650000000000</v>
      </c>
      <c r="AG98" s="252">
        <f t="shared" si="311"/>
        <v>21210000000</v>
      </c>
      <c r="AH98" s="252">
        <f t="shared" si="311"/>
        <v>43890000000000</v>
      </c>
      <c r="AI98" s="252">
        <f t="shared" si="311"/>
        <v>47710000000000</v>
      </c>
      <c r="AJ98" s="390">
        <f t="shared" si="311"/>
        <v>297430000000000</v>
      </c>
      <c r="AK98" s="390">
        <f t="shared" si="311"/>
        <v>580270000000000</v>
      </c>
      <c r="AL98" s="390">
        <f t="shared" si="311"/>
        <v>5000000000</v>
      </c>
      <c r="AM98" s="390">
        <f t="shared" si="311"/>
        <v>33950000000</v>
      </c>
      <c r="AN98" s="390">
        <f t="shared" si="311"/>
        <v>297430000000000</v>
      </c>
      <c r="AO98" s="390">
        <f t="shared" si="311"/>
        <v>146710000000000</v>
      </c>
      <c r="AP98" s="469">
        <f t="shared" si="311"/>
        <v>153100000000000</v>
      </c>
      <c r="AQ98" s="469">
        <f t="shared" si="311"/>
        <v>1.3E+15</v>
      </c>
      <c r="AR98" s="469">
        <f t="shared" si="311"/>
        <v>1.3E+15</v>
      </c>
      <c r="AS98" s="469">
        <f t="shared" si="311"/>
        <v>420490000000000</v>
      </c>
      <c r="AT98" s="469">
        <f t="shared" si="311"/>
        <v>3990000000000</v>
      </c>
      <c r="AU98" s="581">
        <f t="shared" si="311"/>
        <v>1.14E+15</v>
      </c>
      <c r="AV98" s="461"/>
      <c r="AW98" s="580">
        <f t="shared" ref="AW98:BN98" si="312">AW97+DB97</f>
        <v>58</v>
      </c>
      <c r="AX98" s="252">
        <f t="shared" si="312"/>
        <v>21</v>
      </c>
      <c r="AY98" s="252">
        <f t="shared" si="312"/>
        <v>60</v>
      </c>
      <c r="AZ98" s="252">
        <f t="shared" si="312"/>
        <v>17</v>
      </c>
      <c r="BA98" s="252">
        <f t="shared" si="312"/>
        <v>57</v>
      </c>
      <c r="BB98" s="252">
        <f t="shared" si="312"/>
        <v>13</v>
      </c>
      <c r="BC98" s="390">
        <f t="shared" si="312"/>
        <v>72</v>
      </c>
      <c r="BD98" s="390">
        <f t="shared" si="312"/>
        <v>79</v>
      </c>
      <c r="BE98" s="390">
        <f t="shared" si="312"/>
        <v>0</v>
      </c>
      <c r="BF98" s="390">
        <f t="shared" si="312"/>
        <v>18</v>
      </c>
      <c r="BG98" s="390">
        <f t="shared" si="312"/>
        <v>72</v>
      </c>
      <c r="BH98" s="390">
        <f t="shared" si="312"/>
        <v>28</v>
      </c>
      <c r="BI98" s="469">
        <f t="shared" si="312"/>
        <v>66</v>
      </c>
      <c r="BJ98" s="469">
        <f t="shared" si="312"/>
        <v>37</v>
      </c>
      <c r="BK98" s="469">
        <f t="shared" si="312"/>
        <v>37</v>
      </c>
      <c r="BL98" s="469">
        <f t="shared" si="312"/>
        <v>18</v>
      </c>
      <c r="BM98" s="469">
        <f t="shared" si="312"/>
        <v>42</v>
      </c>
      <c r="BN98" s="581">
        <f t="shared" si="312"/>
        <v>15</v>
      </c>
      <c r="BO98" s="461"/>
      <c r="BP98" s="580">
        <f t="shared" si="8"/>
        <v>51520000000000</v>
      </c>
      <c r="BQ98" s="252" t="str">
        <f t="shared" si="9"/>
        <v/>
      </c>
      <c r="BR98" s="252">
        <f t="shared" si="10"/>
        <v>69650000000000</v>
      </c>
      <c r="BS98" s="252" t="str">
        <f t="shared" si="11"/>
        <v/>
      </c>
      <c r="BT98" s="252" t="str">
        <f t="shared" si="12"/>
        <v/>
      </c>
      <c r="BU98" s="252">
        <f t="shared" si="13"/>
        <v>47710000000000</v>
      </c>
      <c r="BV98" s="390" t="str">
        <f t="shared" si="14"/>
        <v/>
      </c>
      <c r="BW98" s="390" t="str">
        <f t="shared" si="15"/>
        <v/>
      </c>
      <c r="BX98" s="390" t="str">
        <f t="shared" si="16"/>
        <v/>
      </c>
      <c r="BY98" s="390" t="str">
        <f t="shared" si="17"/>
        <v/>
      </c>
      <c r="BZ98" s="390" t="str">
        <f t="shared" si="18"/>
        <v/>
      </c>
      <c r="CA98" s="390" t="str">
        <f t="shared" si="19"/>
        <v/>
      </c>
      <c r="CB98" s="469" t="str">
        <f t="shared" si="20"/>
        <v/>
      </c>
      <c r="CC98" s="469" t="str">
        <f t="shared" si="21"/>
        <v/>
      </c>
      <c r="CD98" s="469" t="str">
        <f t="shared" si="22"/>
        <v/>
      </c>
      <c r="CE98" s="469" t="str">
        <f t="shared" si="23"/>
        <v/>
      </c>
      <c r="CF98" s="469" t="str">
        <f t="shared" si="24"/>
        <v/>
      </c>
      <c r="CG98" s="581" t="str">
        <f t="shared" si="25"/>
        <v/>
      </c>
      <c r="CH98" s="461"/>
      <c r="CI98" s="580">
        <f t="array" ref="CI98">LET(
array,SORT({$Y$2:$AB$19,TRANSPOSE($BP98:$CG98)},4,TRUE),
col,CHOOSECOLS(array,5),
row,MATCH(FALSE, ISBLANK(col), 0),
IF(BP98=SWITCH($AA$22,
"minimum cost", MIN($BP98:$CG98),
"maximum cost", MAX($BP98:$CG98), 
"custom order", IF(CI$1=INDEX(array, row,1),INDEX(array, row,5),"x"))
,1,))</f>
        <v>1</v>
      </c>
      <c r="CJ98" s="252" t="str">
        <f t="array" ref="CJ98">LET(
array,SORT({$Y$2:$AB$19,TRANSPOSE($BP98:$CG98)},4,TRUE),
col,CHOOSECOLS(array,5),
row,MATCH(FALSE, ISBLANK(col), 0),
IF(BQ98=SWITCH($AA$22,
"minimum cost", MIN($BP98:$CG98),
"maximum cost", MAX($BP98:$CG98), 
"custom order", IF(CJ$1=INDEX(array, row,1),INDEX(array, row,5),"x"))
,1,))</f>
        <v/>
      </c>
      <c r="CK98" s="252" t="str">
        <f t="array" ref="CK98">LET(
array,SORT({$Y$2:$AB$19,TRANSPOSE($BP98:$CG98)},4,TRUE),
col,CHOOSECOLS(array,5),
row,MATCH(FALSE, ISBLANK(col), 0),
IF(BR98=SWITCH($AA$22,
"minimum cost", MIN($BP98:$CG98),
"maximum cost", MAX($BP98:$CG98), 
"custom order", IF(CK$1=INDEX(array, row,1),INDEX(array, row,5),"x"))
,1,))</f>
        <v/>
      </c>
      <c r="CL98" s="252" t="str">
        <f t="array" ref="CL98">LET(
array,SORT({$Y$2:$AB$19,TRANSPOSE($BP98:$CG98)},4,TRUE),
col,CHOOSECOLS(array,5),
row,MATCH(FALSE, ISBLANK(col), 0),
IF(BS98=SWITCH($AA$22,
"minimum cost", MIN($BP98:$CG98),
"maximum cost", MAX($BP98:$CG98), 
"custom order", IF(CL$1=INDEX(array, row,1),INDEX(array, row,5),"x"))
,1,))</f>
        <v/>
      </c>
      <c r="CM98" s="252" t="str">
        <f t="array" ref="CM98">LET(
array,SORT({$Y$2:$AB$19,TRANSPOSE($BP98:$CG98)},4,TRUE),
col,CHOOSECOLS(array,5),
row,MATCH(FALSE, ISBLANK(col), 0),
IF(BT98=SWITCH($AA$22,
"minimum cost", MIN($BP98:$CG98),
"maximum cost", MAX($BP98:$CG98), 
"custom order", IF(CM$1=INDEX(array, row,1),INDEX(array, row,5),"x"))
,1,))</f>
        <v/>
      </c>
      <c r="CN98" s="252" t="str">
        <f t="array" ref="CN98">LET(
array,SORT({$Y$2:$AB$19,TRANSPOSE($BP98:$CG98)},4,TRUE),
col,CHOOSECOLS(array,5),
row,MATCH(FALSE, ISBLANK(col), 0),
IF(BU98=SWITCH($AA$22,
"minimum cost", MIN($BP98:$CG98),
"maximum cost", MAX($BP98:$CG98), 
"custom order", IF(CN$1=INDEX(array, row,1),INDEX(array, row,5),"x"))
,1,))</f>
        <v/>
      </c>
      <c r="CO98" s="390" t="str">
        <f t="array" ref="CO98">LET(
array,SORT({$Y$2:$AB$19,TRANSPOSE($BP98:$CG98)},4,TRUE),
col,CHOOSECOLS(array,5),
row,MATCH(FALSE, ISBLANK(col), 0),
IF(BV98=SWITCH($AA$22,
"minimum cost", MIN($BP98:$CG98),
"maximum cost", MAX($BP98:$CG98), 
"custom order", IF(CO$1=INDEX(array, row,1),INDEX(array, row,5),"x"))
,1,))</f>
        <v/>
      </c>
      <c r="CP98" s="390" t="str">
        <f t="array" ref="CP98">LET(
array,SORT({$Y$2:$AB$19,TRANSPOSE($BP98:$CG98)},4,TRUE),
col,CHOOSECOLS(array,5),
row,MATCH(FALSE, ISBLANK(col), 0),
IF(BW98=SWITCH($AA$22,
"minimum cost", MIN($BP98:$CG98),
"maximum cost", MAX($BP98:$CG98), 
"custom order", IF(CP$1=INDEX(array, row,1),INDEX(array, row,5),"x"))
,1,))</f>
        <v/>
      </c>
      <c r="CQ98" s="390" t="str">
        <f t="array" ref="CQ98">LET(
array,SORT({$Y$2:$AB$19,TRANSPOSE($BP98:$CG98)},4,TRUE),
col,CHOOSECOLS(array,5),
row,MATCH(FALSE, ISBLANK(col), 0),
IF(BX98=SWITCH($AA$22,
"minimum cost", MIN($BP98:$CG98),
"maximum cost", MAX($BP98:$CG98), 
"custom order", IF(CQ$1=INDEX(array, row,1),INDEX(array, row,5),"x"))
,1,))</f>
        <v/>
      </c>
      <c r="CR98" s="390" t="str">
        <f t="array" ref="CR98">LET(
array,SORT({$Y$2:$AB$19,TRANSPOSE($BP98:$CG98)},4,TRUE),
col,CHOOSECOLS(array,5),
row,MATCH(FALSE, ISBLANK(col), 0),
IF(BY98=SWITCH($AA$22,
"minimum cost", MIN($BP98:$CG98),
"maximum cost", MAX($BP98:$CG98), 
"custom order", IF(CR$1=INDEX(array, row,1),INDEX(array, row,5),"x"))
,1,))</f>
        <v/>
      </c>
      <c r="CS98" s="390" t="str">
        <f t="array" ref="CS98">LET(
array,SORT({$Y$2:$AB$19,TRANSPOSE($BP98:$CG98)},4,TRUE),
col,CHOOSECOLS(array,5),
row,MATCH(FALSE, ISBLANK(col), 0),
IF(BZ98=SWITCH($AA$22,
"minimum cost", MIN($BP98:$CG98),
"maximum cost", MAX($BP98:$CG98), 
"custom order", IF(CS$1=INDEX(array, row,1),INDEX(array, row,5),"x"))
,1,))</f>
        <v/>
      </c>
      <c r="CT98" s="390" t="str">
        <f t="array" ref="CT98">LET(
array,SORT({$Y$2:$AB$19,TRANSPOSE($BP98:$CG98)},4,TRUE),
col,CHOOSECOLS(array,5),
row,MATCH(FALSE, ISBLANK(col), 0),
IF(CA98=SWITCH($AA$22,
"minimum cost", MIN($BP98:$CG98),
"maximum cost", MAX($BP98:$CG98), 
"custom order", IF(CT$1=INDEX(array, row,1),INDEX(array, row,5),"x"))
,1,))</f>
        <v/>
      </c>
      <c r="CU98" s="469" t="str">
        <f t="array" ref="CU98">LET(
array,SORT({$Y$2:$AB$19,TRANSPOSE($BP98:$CG98)},4,TRUE),
col,CHOOSECOLS(array,5),
row,MATCH(FALSE, ISBLANK(col), 0),
IF(CB98=SWITCH($AA$22,
"minimum cost", MIN($BP98:$CG98),
"maximum cost", MAX($BP98:$CG98), 
"custom order", IF(CU$1=INDEX(array, row,1),INDEX(array, row,5),"x"))
,1,))</f>
        <v/>
      </c>
      <c r="CV98" s="469" t="str">
        <f t="array" ref="CV98">LET(
array,SORT({$Y$2:$AB$19,TRANSPOSE($BP98:$CG98)},4,TRUE),
col,CHOOSECOLS(array,5),
row,MATCH(FALSE, ISBLANK(col), 0),
IF(CC98=SWITCH($AA$22,
"minimum cost", MIN($BP98:$CG98),
"maximum cost", MAX($BP98:$CG98), 
"custom order", IF(CV$1=INDEX(array, row,1),INDEX(array, row,5),"x"))
,1,))</f>
        <v/>
      </c>
      <c r="CW98" s="469" t="str">
        <f t="array" ref="CW98">LET(
array,SORT({$Y$2:$AB$19,TRANSPOSE($BP98:$CG98)},4,TRUE),
col,CHOOSECOLS(array,5),
row,MATCH(FALSE, ISBLANK(col), 0),
IF(CD98=SWITCH($AA$22,
"minimum cost", MIN($BP98:$CG98),
"maximum cost", MAX($BP98:$CG98), 
"custom order", IF(CW$1=INDEX(array, row,1),INDEX(array, row,5),"x"))
,1,))</f>
        <v/>
      </c>
      <c r="CX98" s="469" t="str">
        <f t="array" ref="CX98">LET(
array,SORT({$Y$2:$AB$19,TRANSPOSE($BP98:$CG98)},4,TRUE),
col,CHOOSECOLS(array,5),
row,MATCH(FALSE, ISBLANK(col), 0),
IF(CE98=SWITCH($AA$22,
"minimum cost", MIN($BP98:$CG98),
"maximum cost", MAX($BP98:$CG98), 
"custom order", IF(CX$1=INDEX(array, row,1),INDEX(array, row,5),"x"))
,1,))</f>
        <v/>
      </c>
      <c r="CY98" s="469" t="str">
        <f t="array" ref="CY98">LET(
array,SORT({$Y$2:$AB$19,TRANSPOSE($BP98:$CG98)},4,TRUE),
col,CHOOSECOLS(array,5),
row,MATCH(FALSE, ISBLANK(col), 0),
IF(CF98=SWITCH($AA$22,
"minimum cost", MIN($BP98:$CG98),
"maximum cost", MAX($BP98:$CG98), 
"custom order", IF(CY$1=INDEX(array, row,1),INDEX(array, row,5),"x"))
,1,))</f>
        <v/>
      </c>
      <c r="CZ98" s="581" t="str">
        <f t="array" ref="CZ98">LET(
array,SORT({$Y$2:$AB$19,TRANSPOSE($BP98:$CG98)},4,TRUE),
col,CHOOSECOLS(array,5),
row,MATCH(FALSE, ISBLANK(col), 0),
IF(CG98=SWITCH($AA$22,
"minimum cost", MIN($BP98:$CG98),
"maximum cost", MAX($BP98:$CG98), 
"custom order", IF(CZ$1=INDEX(array, row,1),INDEX(array, row,5),"x"))
,1,))</f>
        <v/>
      </c>
      <c r="DA98" s="461"/>
      <c r="DB98" s="580">
        <f t="array" ref="DB98:DS98">IF(MATCH(1, CI98:CZ98, 0)=COLUMN(CI98:CZ98)-COLUMN(CI98)+1, CI98:CZ98, "")</f>
        <v>1</v>
      </c>
      <c r="DC98" s="252" t="s">
        <v>133</v>
      </c>
      <c r="DD98" s="252" t="s">
        <v>133</v>
      </c>
      <c r="DE98" s="252" t="s">
        <v>133</v>
      </c>
      <c r="DF98" s="252" t="s">
        <v>133</v>
      </c>
      <c r="DG98" s="252" t="s">
        <v>133</v>
      </c>
      <c r="DH98" s="390" t="s">
        <v>133</v>
      </c>
      <c r="DI98" s="390" t="s">
        <v>133</v>
      </c>
      <c r="DJ98" s="390" t="s">
        <v>133</v>
      </c>
      <c r="DK98" s="390" t="s">
        <v>133</v>
      </c>
      <c r="DL98" s="390" t="s">
        <v>133</v>
      </c>
      <c r="DM98" s="390" t="s">
        <v>133</v>
      </c>
      <c r="DN98" s="469" t="s">
        <v>133</v>
      </c>
      <c r="DO98" s="469" t="s">
        <v>133</v>
      </c>
      <c r="DP98" s="469" t="s">
        <v>133</v>
      </c>
      <c r="DQ98" s="469" t="s">
        <v>133</v>
      </c>
      <c r="DR98" s="469" t="s">
        <v>133</v>
      </c>
      <c r="DS98" s="581" t="s">
        <v>133</v>
      </c>
      <c r="DT98" s="563"/>
    </row>
    <row r="99">
      <c r="A99" s="563"/>
      <c r="B99" s="709"/>
      <c r="C99" s="709"/>
      <c r="D99" s="709"/>
      <c r="E99" s="10"/>
      <c r="F99" s="709"/>
      <c r="G99" s="10"/>
      <c r="H99" s="709"/>
      <c r="I99" s="10"/>
      <c r="J99" s="709"/>
      <c r="K99" s="10"/>
      <c r="L99" s="709"/>
      <c r="M99" s="461"/>
      <c r="N99" s="10"/>
      <c r="O99" s="10"/>
      <c r="P99" s="10"/>
      <c r="Q99" s="570" t="str">
        <f>IFERROR(__xludf.DUMMYFUNCTION("IF(SUM(DB99:DS99),ARRAYFORMULA(FILTER(DB$1:DS$1, DB99:DS99=1)),)"),"Damage")</f>
        <v>Damage</v>
      </c>
      <c r="R99" s="571">
        <f>IFERROR(__xludf.DUMMYFUNCTION("IF(SUM(DB99:DS99),ARRAYFORMULA(FILTER(AW99:BN99, DB99:DS99=1))+1,)"),60.0)</f>
        <v>60</v>
      </c>
      <c r="S99" s="572">
        <f>IFERROR(__xludf.DUMMYFUNCTION("IF(SUM(DB99:DS99),ARRAYFORMULA(FILTER(AD99:AU99, DB99:DS99=1)),)"),6.008E13)</f>
        <v>60080000000000</v>
      </c>
      <c r="T99" s="572">
        <f t="shared" si="26"/>
        <v>1.81051E+16</v>
      </c>
      <c r="U99" s="573" t="str">
        <f t="shared" ref="U99:V99" si="313">FORMAT_NUMBER(S99)</f>
        <v>60.08 T</v>
      </c>
      <c r="V99" s="574" t="str">
        <f t="shared" si="313"/>
        <v>18.11 q</v>
      </c>
      <c r="W99" s="677"/>
      <c r="X99" s="709"/>
      <c r="Y99" s="709"/>
      <c r="Z99" s="709"/>
      <c r="AA99" s="709"/>
      <c r="AB99" s="712"/>
      <c r="AC99" s="461"/>
      <c r="AD99" s="580">
        <f t="shared" ref="AD99:AU99" si="314">IFERROR(WSPCOST_SINGLE_ADJUSTED(AD$1,1+AW99),)</f>
        <v>60080000000000</v>
      </c>
      <c r="AE99" s="252">
        <f t="shared" si="314"/>
        <v>82420000000</v>
      </c>
      <c r="AF99" s="252">
        <f t="shared" si="314"/>
        <v>69650000000000</v>
      </c>
      <c r="AG99" s="252">
        <f t="shared" si="314"/>
        <v>21210000000</v>
      </c>
      <c r="AH99" s="252">
        <f t="shared" si="314"/>
        <v>43890000000000</v>
      </c>
      <c r="AI99" s="252">
        <f t="shared" si="314"/>
        <v>47710000000000</v>
      </c>
      <c r="AJ99" s="390">
        <f t="shared" si="314"/>
        <v>297430000000000</v>
      </c>
      <c r="AK99" s="390">
        <f t="shared" si="314"/>
        <v>580270000000000</v>
      </c>
      <c r="AL99" s="390">
        <f t="shared" si="314"/>
        <v>5000000000</v>
      </c>
      <c r="AM99" s="390">
        <f t="shared" si="314"/>
        <v>33950000000</v>
      </c>
      <c r="AN99" s="390">
        <f t="shared" si="314"/>
        <v>297430000000000</v>
      </c>
      <c r="AO99" s="390">
        <f t="shared" si="314"/>
        <v>146710000000000</v>
      </c>
      <c r="AP99" s="469">
        <f t="shared" si="314"/>
        <v>153100000000000</v>
      </c>
      <c r="AQ99" s="469">
        <f t="shared" si="314"/>
        <v>1.3E+15</v>
      </c>
      <c r="AR99" s="469">
        <f t="shared" si="314"/>
        <v>1.3E+15</v>
      </c>
      <c r="AS99" s="469">
        <f t="shared" si="314"/>
        <v>420490000000000</v>
      </c>
      <c r="AT99" s="469">
        <f t="shared" si="314"/>
        <v>3990000000000</v>
      </c>
      <c r="AU99" s="581">
        <f t="shared" si="314"/>
        <v>1.14E+15</v>
      </c>
      <c r="AV99" s="461"/>
      <c r="AW99" s="580">
        <f t="shared" ref="AW99:BN99" si="315">AW98+DB98</f>
        <v>59</v>
      </c>
      <c r="AX99" s="252">
        <f t="shared" si="315"/>
        <v>21</v>
      </c>
      <c r="AY99" s="252">
        <f t="shared" si="315"/>
        <v>60</v>
      </c>
      <c r="AZ99" s="252">
        <f t="shared" si="315"/>
        <v>17</v>
      </c>
      <c r="BA99" s="252">
        <f t="shared" si="315"/>
        <v>57</v>
      </c>
      <c r="BB99" s="252">
        <f t="shared" si="315"/>
        <v>13</v>
      </c>
      <c r="BC99" s="390">
        <f t="shared" si="315"/>
        <v>72</v>
      </c>
      <c r="BD99" s="390">
        <f t="shared" si="315"/>
        <v>79</v>
      </c>
      <c r="BE99" s="390">
        <f t="shared" si="315"/>
        <v>0</v>
      </c>
      <c r="BF99" s="390">
        <f t="shared" si="315"/>
        <v>18</v>
      </c>
      <c r="BG99" s="390">
        <f t="shared" si="315"/>
        <v>72</v>
      </c>
      <c r="BH99" s="390">
        <f t="shared" si="315"/>
        <v>28</v>
      </c>
      <c r="BI99" s="469">
        <f t="shared" si="315"/>
        <v>66</v>
      </c>
      <c r="BJ99" s="469">
        <f t="shared" si="315"/>
        <v>37</v>
      </c>
      <c r="BK99" s="469">
        <f t="shared" si="315"/>
        <v>37</v>
      </c>
      <c r="BL99" s="469">
        <f t="shared" si="315"/>
        <v>18</v>
      </c>
      <c r="BM99" s="469">
        <f t="shared" si="315"/>
        <v>42</v>
      </c>
      <c r="BN99" s="581">
        <f t="shared" si="315"/>
        <v>15</v>
      </c>
      <c r="BO99" s="461"/>
      <c r="BP99" s="580">
        <f t="shared" si="8"/>
        <v>60080000000000</v>
      </c>
      <c r="BQ99" s="252" t="str">
        <f t="shared" si="9"/>
        <v/>
      </c>
      <c r="BR99" s="252">
        <f t="shared" si="10"/>
        <v>69650000000000</v>
      </c>
      <c r="BS99" s="252" t="str">
        <f t="shared" si="11"/>
        <v/>
      </c>
      <c r="BT99" s="252" t="str">
        <f t="shared" si="12"/>
        <v/>
      </c>
      <c r="BU99" s="252">
        <f t="shared" si="13"/>
        <v>47710000000000</v>
      </c>
      <c r="BV99" s="390" t="str">
        <f t="shared" si="14"/>
        <v/>
      </c>
      <c r="BW99" s="390" t="str">
        <f t="shared" si="15"/>
        <v/>
      </c>
      <c r="BX99" s="390" t="str">
        <f t="shared" si="16"/>
        <v/>
      </c>
      <c r="BY99" s="390" t="str">
        <f t="shared" si="17"/>
        <v/>
      </c>
      <c r="BZ99" s="390" t="str">
        <f t="shared" si="18"/>
        <v/>
      </c>
      <c r="CA99" s="390" t="str">
        <f t="shared" si="19"/>
        <v/>
      </c>
      <c r="CB99" s="469" t="str">
        <f t="shared" si="20"/>
        <v/>
      </c>
      <c r="CC99" s="469" t="str">
        <f t="shared" si="21"/>
        <v/>
      </c>
      <c r="CD99" s="469" t="str">
        <f t="shared" si="22"/>
        <v/>
      </c>
      <c r="CE99" s="469" t="str">
        <f t="shared" si="23"/>
        <v/>
      </c>
      <c r="CF99" s="469" t="str">
        <f t="shared" si="24"/>
        <v/>
      </c>
      <c r="CG99" s="581" t="str">
        <f t="shared" si="25"/>
        <v/>
      </c>
      <c r="CH99" s="461"/>
      <c r="CI99" s="580">
        <f t="array" ref="CI99">LET(
array,SORT({$Y$2:$AB$19,TRANSPOSE($BP99:$CG99)},4,TRUE),
col,CHOOSECOLS(array,5),
row,MATCH(FALSE, ISBLANK(col), 0),
IF(BP99=SWITCH($AA$22,
"minimum cost", MIN($BP99:$CG99),
"maximum cost", MAX($BP99:$CG99), 
"custom order", IF(CI$1=INDEX(array, row,1),INDEX(array, row,5),"x"))
,1,))</f>
        <v>1</v>
      </c>
      <c r="CJ99" s="252" t="str">
        <f t="array" ref="CJ99">LET(
array,SORT({$Y$2:$AB$19,TRANSPOSE($BP99:$CG99)},4,TRUE),
col,CHOOSECOLS(array,5),
row,MATCH(FALSE, ISBLANK(col), 0),
IF(BQ99=SWITCH($AA$22,
"minimum cost", MIN($BP99:$CG99),
"maximum cost", MAX($BP99:$CG99), 
"custom order", IF(CJ$1=INDEX(array, row,1),INDEX(array, row,5),"x"))
,1,))</f>
        <v/>
      </c>
      <c r="CK99" s="252" t="str">
        <f t="array" ref="CK99">LET(
array,SORT({$Y$2:$AB$19,TRANSPOSE($BP99:$CG99)},4,TRUE),
col,CHOOSECOLS(array,5),
row,MATCH(FALSE, ISBLANK(col), 0),
IF(BR99=SWITCH($AA$22,
"minimum cost", MIN($BP99:$CG99),
"maximum cost", MAX($BP99:$CG99), 
"custom order", IF(CK$1=INDEX(array, row,1),INDEX(array, row,5),"x"))
,1,))</f>
        <v/>
      </c>
      <c r="CL99" s="252" t="str">
        <f t="array" ref="CL99">LET(
array,SORT({$Y$2:$AB$19,TRANSPOSE($BP99:$CG99)},4,TRUE),
col,CHOOSECOLS(array,5),
row,MATCH(FALSE, ISBLANK(col), 0),
IF(BS99=SWITCH($AA$22,
"minimum cost", MIN($BP99:$CG99),
"maximum cost", MAX($BP99:$CG99), 
"custom order", IF(CL$1=INDEX(array, row,1),INDEX(array, row,5),"x"))
,1,))</f>
        <v/>
      </c>
      <c r="CM99" s="252" t="str">
        <f t="array" ref="CM99">LET(
array,SORT({$Y$2:$AB$19,TRANSPOSE($BP99:$CG99)},4,TRUE),
col,CHOOSECOLS(array,5),
row,MATCH(FALSE, ISBLANK(col), 0),
IF(BT99=SWITCH($AA$22,
"minimum cost", MIN($BP99:$CG99),
"maximum cost", MAX($BP99:$CG99), 
"custom order", IF(CM$1=INDEX(array, row,1),INDEX(array, row,5),"x"))
,1,))</f>
        <v/>
      </c>
      <c r="CN99" s="252" t="str">
        <f t="array" ref="CN99">LET(
array,SORT({$Y$2:$AB$19,TRANSPOSE($BP99:$CG99)},4,TRUE),
col,CHOOSECOLS(array,5),
row,MATCH(FALSE, ISBLANK(col), 0),
IF(BU99=SWITCH($AA$22,
"minimum cost", MIN($BP99:$CG99),
"maximum cost", MAX($BP99:$CG99), 
"custom order", IF(CN$1=INDEX(array, row,1),INDEX(array, row,5),"x"))
,1,))</f>
        <v/>
      </c>
      <c r="CO99" s="390" t="str">
        <f t="array" ref="CO99">LET(
array,SORT({$Y$2:$AB$19,TRANSPOSE($BP99:$CG99)},4,TRUE),
col,CHOOSECOLS(array,5),
row,MATCH(FALSE, ISBLANK(col), 0),
IF(BV99=SWITCH($AA$22,
"minimum cost", MIN($BP99:$CG99),
"maximum cost", MAX($BP99:$CG99), 
"custom order", IF(CO$1=INDEX(array, row,1),INDEX(array, row,5),"x"))
,1,))</f>
        <v/>
      </c>
      <c r="CP99" s="390" t="str">
        <f t="array" ref="CP99">LET(
array,SORT({$Y$2:$AB$19,TRANSPOSE($BP99:$CG99)},4,TRUE),
col,CHOOSECOLS(array,5),
row,MATCH(FALSE, ISBLANK(col), 0),
IF(BW99=SWITCH($AA$22,
"minimum cost", MIN($BP99:$CG99),
"maximum cost", MAX($BP99:$CG99), 
"custom order", IF(CP$1=INDEX(array, row,1),INDEX(array, row,5),"x"))
,1,))</f>
        <v/>
      </c>
      <c r="CQ99" s="390" t="str">
        <f t="array" ref="CQ99">LET(
array,SORT({$Y$2:$AB$19,TRANSPOSE($BP99:$CG99)},4,TRUE),
col,CHOOSECOLS(array,5),
row,MATCH(FALSE, ISBLANK(col), 0),
IF(BX99=SWITCH($AA$22,
"minimum cost", MIN($BP99:$CG99),
"maximum cost", MAX($BP99:$CG99), 
"custom order", IF(CQ$1=INDEX(array, row,1),INDEX(array, row,5),"x"))
,1,))</f>
        <v/>
      </c>
      <c r="CR99" s="390" t="str">
        <f t="array" ref="CR99">LET(
array,SORT({$Y$2:$AB$19,TRANSPOSE($BP99:$CG99)},4,TRUE),
col,CHOOSECOLS(array,5),
row,MATCH(FALSE, ISBLANK(col), 0),
IF(BY99=SWITCH($AA$22,
"minimum cost", MIN($BP99:$CG99),
"maximum cost", MAX($BP99:$CG99), 
"custom order", IF(CR$1=INDEX(array, row,1),INDEX(array, row,5),"x"))
,1,))</f>
        <v/>
      </c>
      <c r="CS99" s="390" t="str">
        <f t="array" ref="CS99">LET(
array,SORT({$Y$2:$AB$19,TRANSPOSE($BP99:$CG99)},4,TRUE),
col,CHOOSECOLS(array,5),
row,MATCH(FALSE, ISBLANK(col), 0),
IF(BZ99=SWITCH($AA$22,
"minimum cost", MIN($BP99:$CG99),
"maximum cost", MAX($BP99:$CG99), 
"custom order", IF(CS$1=INDEX(array, row,1),INDEX(array, row,5),"x"))
,1,))</f>
        <v/>
      </c>
      <c r="CT99" s="390" t="str">
        <f t="array" ref="CT99">LET(
array,SORT({$Y$2:$AB$19,TRANSPOSE($BP99:$CG99)},4,TRUE),
col,CHOOSECOLS(array,5),
row,MATCH(FALSE, ISBLANK(col), 0),
IF(CA99=SWITCH($AA$22,
"minimum cost", MIN($BP99:$CG99),
"maximum cost", MAX($BP99:$CG99), 
"custom order", IF(CT$1=INDEX(array, row,1),INDEX(array, row,5),"x"))
,1,))</f>
        <v/>
      </c>
      <c r="CU99" s="469" t="str">
        <f t="array" ref="CU99">LET(
array,SORT({$Y$2:$AB$19,TRANSPOSE($BP99:$CG99)},4,TRUE),
col,CHOOSECOLS(array,5),
row,MATCH(FALSE, ISBLANK(col), 0),
IF(CB99=SWITCH($AA$22,
"minimum cost", MIN($BP99:$CG99),
"maximum cost", MAX($BP99:$CG99), 
"custom order", IF(CU$1=INDEX(array, row,1),INDEX(array, row,5),"x"))
,1,))</f>
        <v/>
      </c>
      <c r="CV99" s="469" t="str">
        <f t="array" ref="CV99">LET(
array,SORT({$Y$2:$AB$19,TRANSPOSE($BP99:$CG99)},4,TRUE),
col,CHOOSECOLS(array,5),
row,MATCH(FALSE, ISBLANK(col), 0),
IF(CC99=SWITCH($AA$22,
"minimum cost", MIN($BP99:$CG99),
"maximum cost", MAX($BP99:$CG99), 
"custom order", IF(CV$1=INDEX(array, row,1),INDEX(array, row,5),"x"))
,1,))</f>
        <v/>
      </c>
      <c r="CW99" s="469" t="str">
        <f t="array" ref="CW99">LET(
array,SORT({$Y$2:$AB$19,TRANSPOSE($BP99:$CG99)},4,TRUE),
col,CHOOSECOLS(array,5),
row,MATCH(FALSE, ISBLANK(col), 0),
IF(CD99=SWITCH($AA$22,
"minimum cost", MIN($BP99:$CG99),
"maximum cost", MAX($BP99:$CG99), 
"custom order", IF(CW$1=INDEX(array, row,1),INDEX(array, row,5),"x"))
,1,))</f>
        <v/>
      </c>
      <c r="CX99" s="469" t="str">
        <f t="array" ref="CX99">LET(
array,SORT({$Y$2:$AB$19,TRANSPOSE($BP99:$CG99)},4,TRUE),
col,CHOOSECOLS(array,5),
row,MATCH(FALSE, ISBLANK(col), 0),
IF(CE99=SWITCH($AA$22,
"minimum cost", MIN($BP99:$CG99),
"maximum cost", MAX($BP99:$CG99), 
"custom order", IF(CX$1=INDEX(array, row,1),INDEX(array, row,5),"x"))
,1,))</f>
        <v/>
      </c>
      <c r="CY99" s="469" t="str">
        <f t="array" ref="CY99">LET(
array,SORT({$Y$2:$AB$19,TRANSPOSE($BP99:$CG99)},4,TRUE),
col,CHOOSECOLS(array,5),
row,MATCH(FALSE, ISBLANK(col), 0),
IF(CF99=SWITCH($AA$22,
"minimum cost", MIN($BP99:$CG99),
"maximum cost", MAX($BP99:$CG99), 
"custom order", IF(CY$1=INDEX(array, row,1),INDEX(array, row,5),"x"))
,1,))</f>
        <v/>
      </c>
      <c r="CZ99" s="581" t="str">
        <f t="array" ref="CZ99">LET(
array,SORT({$Y$2:$AB$19,TRANSPOSE($BP99:$CG99)},4,TRUE),
col,CHOOSECOLS(array,5),
row,MATCH(FALSE, ISBLANK(col), 0),
IF(CG99=SWITCH($AA$22,
"minimum cost", MIN($BP99:$CG99),
"maximum cost", MAX($BP99:$CG99), 
"custom order", IF(CZ$1=INDEX(array, row,1),INDEX(array, row,5),"x"))
,1,))</f>
        <v/>
      </c>
      <c r="DA99" s="461"/>
      <c r="DB99" s="580">
        <f t="array" ref="DB99:DS99">IF(MATCH(1, CI99:CZ99, 0)=COLUMN(CI99:CZ99)-COLUMN(CI99)+1, CI99:CZ99, "")</f>
        <v>1</v>
      </c>
      <c r="DC99" s="252" t="s">
        <v>133</v>
      </c>
      <c r="DD99" s="252" t="s">
        <v>133</v>
      </c>
      <c r="DE99" s="252" t="s">
        <v>133</v>
      </c>
      <c r="DF99" s="252" t="s">
        <v>133</v>
      </c>
      <c r="DG99" s="252" t="s">
        <v>133</v>
      </c>
      <c r="DH99" s="390" t="s">
        <v>133</v>
      </c>
      <c r="DI99" s="390" t="s">
        <v>133</v>
      </c>
      <c r="DJ99" s="390" t="s">
        <v>133</v>
      </c>
      <c r="DK99" s="390" t="s">
        <v>133</v>
      </c>
      <c r="DL99" s="390" t="s">
        <v>133</v>
      </c>
      <c r="DM99" s="390" t="s">
        <v>133</v>
      </c>
      <c r="DN99" s="469" t="s">
        <v>133</v>
      </c>
      <c r="DO99" s="469" t="s">
        <v>133</v>
      </c>
      <c r="DP99" s="469" t="s">
        <v>133</v>
      </c>
      <c r="DQ99" s="469" t="s">
        <v>133</v>
      </c>
      <c r="DR99" s="469" t="s">
        <v>133</v>
      </c>
      <c r="DS99" s="581" t="s">
        <v>133</v>
      </c>
      <c r="DT99" s="563"/>
    </row>
    <row r="100">
      <c r="A100" s="563"/>
      <c r="B100" s="709"/>
      <c r="C100" s="709"/>
      <c r="D100" s="709"/>
      <c r="E100" s="10"/>
      <c r="F100" s="709"/>
      <c r="G100" s="10"/>
      <c r="H100" s="709"/>
      <c r="I100" s="10"/>
      <c r="J100" s="709"/>
      <c r="K100" s="10"/>
      <c r="L100" s="709"/>
      <c r="M100" s="461"/>
      <c r="N100" s="10"/>
      <c r="O100" s="10"/>
      <c r="P100" s="10"/>
      <c r="Q100" s="570" t="str">
        <f>IFERROR(__xludf.DUMMYFUNCTION("IF(SUM(DB100:DS100),ARRAYFORMULA(FILTER(DB$1:DS$1, DB100:DS100=1)),)"),"Damage")</f>
        <v>Damage</v>
      </c>
      <c r="R100" s="571">
        <f>IFERROR(__xludf.DUMMYFUNCTION("IF(SUM(DB100:DS100),ARRAYFORMULA(FILTER(AW100:BN100, DB100:DS100=1))+1,)"),61.0)</f>
        <v>61</v>
      </c>
      <c r="S100" s="572">
        <f>IFERROR(__xludf.DUMMYFUNCTION("IF(SUM(DB100:DS100),ARRAYFORMULA(FILTER(AD100:AU100, DB100:DS100=1)),)"),6.965E13)</f>
        <v>69650000000000</v>
      </c>
      <c r="T100" s="572">
        <f t="shared" si="26"/>
        <v>1.81748E+16</v>
      </c>
      <c r="U100" s="573" t="str">
        <f t="shared" ref="U100:V100" si="316">FORMAT_NUMBER(S100)</f>
        <v>69.65 T</v>
      </c>
      <c r="V100" s="574" t="str">
        <f t="shared" si="316"/>
        <v>18.17 q</v>
      </c>
      <c r="W100" s="677"/>
      <c r="X100" s="709"/>
      <c r="Y100" s="709"/>
      <c r="Z100" s="709"/>
      <c r="AA100" s="709"/>
      <c r="AB100" s="712"/>
      <c r="AC100" s="461"/>
      <c r="AD100" s="580">
        <f t="shared" ref="AD100:AU100" si="317">IFERROR(WSPCOST_SINGLE_ADJUSTED(AD$1,1+AW100),)</f>
        <v>69650000000000</v>
      </c>
      <c r="AE100" s="252">
        <f t="shared" si="317"/>
        <v>82420000000</v>
      </c>
      <c r="AF100" s="252">
        <f t="shared" si="317"/>
        <v>69650000000000</v>
      </c>
      <c r="AG100" s="252">
        <f t="shared" si="317"/>
        <v>21210000000</v>
      </c>
      <c r="AH100" s="252">
        <f t="shared" si="317"/>
        <v>43890000000000</v>
      </c>
      <c r="AI100" s="252">
        <f t="shared" si="317"/>
        <v>47710000000000</v>
      </c>
      <c r="AJ100" s="390">
        <f t="shared" si="317"/>
        <v>297430000000000</v>
      </c>
      <c r="AK100" s="390">
        <f t="shared" si="317"/>
        <v>580270000000000</v>
      </c>
      <c r="AL100" s="390">
        <f t="shared" si="317"/>
        <v>5000000000</v>
      </c>
      <c r="AM100" s="390">
        <f t="shared" si="317"/>
        <v>33950000000</v>
      </c>
      <c r="AN100" s="390">
        <f t="shared" si="317"/>
        <v>297430000000000</v>
      </c>
      <c r="AO100" s="390">
        <f t="shared" si="317"/>
        <v>146710000000000</v>
      </c>
      <c r="AP100" s="469">
        <f t="shared" si="317"/>
        <v>153100000000000</v>
      </c>
      <c r="AQ100" s="469">
        <f t="shared" si="317"/>
        <v>1.3E+15</v>
      </c>
      <c r="AR100" s="469">
        <f t="shared" si="317"/>
        <v>1.3E+15</v>
      </c>
      <c r="AS100" s="469">
        <f t="shared" si="317"/>
        <v>420490000000000</v>
      </c>
      <c r="AT100" s="469">
        <f t="shared" si="317"/>
        <v>3990000000000</v>
      </c>
      <c r="AU100" s="581">
        <f t="shared" si="317"/>
        <v>1.14E+15</v>
      </c>
      <c r="AV100" s="461"/>
      <c r="AW100" s="580">
        <f t="shared" ref="AW100:BN100" si="318">AW99+DB99</f>
        <v>60</v>
      </c>
      <c r="AX100" s="252">
        <f t="shared" si="318"/>
        <v>21</v>
      </c>
      <c r="AY100" s="252">
        <f t="shared" si="318"/>
        <v>60</v>
      </c>
      <c r="AZ100" s="252">
        <f t="shared" si="318"/>
        <v>17</v>
      </c>
      <c r="BA100" s="252">
        <f t="shared" si="318"/>
        <v>57</v>
      </c>
      <c r="BB100" s="252">
        <f t="shared" si="318"/>
        <v>13</v>
      </c>
      <c r="BC100" s="390">
        <f t="shared" si="318"/>
        <v>72</v>
      </c>
      <c r="BD100" s="390">
        <f t="shared" si="318"/>
        <v>79</v>
      </c>
      <c r="BE100" s="390">
        <f t="shared" si="318"/>
        <v>0</v>
      </c>
      <c r="BF100" s="390">
        <f t="shared" si="318"/>
        <v>18</v>
      </c>
      <c r="BG100" s="390">
        <f t="shared" si="318"/>
        <v>72</v>
      </c>
      <c r="BH100" s="390">
        <f t="shared" si="318"/>
        <v>28</v>
      </c>
      <c r="BI100" s="469">
        <f t="shared" si="318"/>
        <v>66</v>
      </c>
      <c r="BJ100" s="469">
        <f t="shared" si="318"/>
        <v>37</v>
      </c>
      <c r="BK100" s="469">
        <f t="shared" si="318"/>
        <v>37</v>
      </c>
      <c r="BL100" s="469">
        <f t="shared" si="318"/>
        <v>18</v>
      </c>
      <c r="BM100" s="469">
        <f t="shared" si="318"/>
        <v>42</v>
      </c>
      <c r="BN100" s="581">
        <f t="shared" si="318"/>
        <v>15</v>
      </c>
      <c r="BO100" s="461"/>
      <c r="BP100" s="580">
        <f t="shared" si="8"/>
        <v>69650000000000</v>
      </c>
      <c r="BQ100" s="252" t="str">
        <f t="shared" si="9"/>
        <v/>
      </c>
      <c r="BR100" s="252">
        <f t="shared" si="10"/>
        <v>69650000000000</v>
      </c>
      <c r="BS100" s="252" t="str">
        <f t="shared" si="11"/>
        <v/>
      </c>
      <c r="BT100" s="252" t="str">
        <f t="shared" si="12"/>
        <v/>
      </c>
      <c r="BU100" s="252">
        <f t="shared" si="13"/>
        <v>47710000000000</v>
      </c>
      <c r="BV100" s="390" t="str">
        <f t="shared" si="14"/>
        <v/>
      </c>
      <c r="BW100" s="390" t="str">
        <f t="shared" si="15"/>
        <v/>
      </c>
      <c r="BX100" s="390" t="str">
        <f t="shared" si="16"/>
        <v/>
      </c>
      <c r="BY100" s="390" t="str">
        <f t="shared" si="17"/>
        <v/>
      </c>
      <c r="BZ100" s="390" t="str">
        <f t="shared" si="18"/>
        <v/>
      </c>
      <c r="CA100" s="390" t="str">
        <f t="shared" si="19"/>
        <v/>
      </c>
      <c r="CB100" s="469" t="str">
        <f t="shared" si="20"/>
        <v/>
      </c>
      <c r="CC100" s="469" t="str">
        <f t="shared" si="21"/>
        <v/>
      </c>
      <c r="CD100" s="469" t="str">
        <f t="shared" si="22"/>
        <v/>
      </c>
      <c r="CE100" s="469" t="str">
        <f t="shared" si="23"/>
        <v/>
      </c>
      <c r="CF100" s="469" t="str">
        <f t="shared" si="24"/>
        <v/>
      </c>
      <c r="CG100" s="581" t="str">
        <f t="shared" si="25"/>
        <v/>
      </c>
      <c r="CH100" s="461"/>
      <c r="CI100" s="580">
        <f t="array" ref="CI100">LET(
array,SORT({$Y$2:$AB$19,TRANSPOSE($BP100:$CG100)},4,TRUE),
col,CHOOSECOLS(array,5),
row,MATCH(FALSE, ISBLANK(col), 0),
IF(BP100=SWITCH($AA$22,
"minimum cost", MIN($BP100:$CG100),
"maximum cost", MAX($BP100:$CG100), 
"custom order", IF(CI$1=INDEX(array, row,1),INDEX(array, row,5),"x"))
,1,))</f>
        <v>1</v>
      </c>
      <c r="CJ100" s="252" t="str">
        <f t="array" ref="CJ100">LET(
array,SORT({$Y$2:$AB$19,TRANSPOSE($BP100:$CG100)},4,TRUE),
col,CHOOSECOLS(array,5),
row,MATCH(FALSE, ISBLANK(col), 0),
IF(BQ100=SWITCH($AA$22,
"minimum cost", MIN($BP100:$CG100),
"maximum cost", MAX($BP100:$CG100), 
"custom order", IF(CJ$1=INDEX(array, row,1),INDEX(array, row,5),"x"))
,1,))</f>
        <v/>
      </c>
      <c r="CK100" s="252" t="str">
        <f t="array" ref="CK100">LET(
array,SORT({$Y$2:$AB$19,TRANSPOSE($BP100:$CG100)},4,TRUE),
col,CHOOSECOLS(array,5),
row,MATCH(FALSE, ISBLANK(col), 0),
IF(BR100=SWITCH($AA$22,
"minimum cost", MIN($BP100:$CG100),
"maximum cost", MAX($BP100:$CG100), 
"custom order", IF(CK$1=INDEX(array, row,1),INDEX(array, row,5),"x"))
,1,))</f>
        <v/>
      </c>
      <c r="CL100" s="252" t="str">
        <f t="array" ref="CL100">LET(
array,SORT({$Y$2:$AB$19,TRANSPOSE($BP100:$CG100)},4,TRUE),
col,CHOOSECOLS(array,5),
row,MATCH(FALSE, ISBLANK(col), 0),
IF(BS100=SWITCH($AA$22,
"minimum cost", MIN($BP100:$CG100),
"maximum cost", MAX($BP100:$CG100), 
"custom order", IF(CL$1=INDEX(array, row,1),INDEX(array, row,5),"x"))
,1,))</f>
        <v/>
      </c>
      <c r="CM100" s="252" t="str">
        <f t="array" ref="CM100">LET(
array,SORT({$Y$2:$AB$19,TRANSPOSE($BP100:$CG100)},4,TRUE),
col,CHOOSECOLS(array,5),
row,MATCH(FALSE, ISBLANK(col), 0),
IF(BT100=SWITCH($AA$22,
"minimum cost", MIN($BP100:$CG100),
"maximum cost", MAX($BP100:$CG100), 
"custom order", IF(CM$1=INDEX(array, row,1),INDEX(array, row,5),"x"))
,1,))</f>
        <v/>
      </c>
      <c r="CN100" s="252" t="str">
        <f t="array" ref="CN100">LET(
array,SORT({$Y$2:$AB$19,TRANSPOSE($BP100:$CG100)},4,TRUE),
col,CHOOSECOLS(array,5),
row,MATCH(FALSE, ISBLANK(col), 0),
IF(BU100=SWITCH($AA$22,
"minimum cost", MIN($BP100:$CG100),
"maximum cost", MAX($BP100:$CG100), 
"custom order", IF(CN$1=INDEX(array, row,1),INDEX(array, row,5),"x"))
,1,))</f>
        <v/>
      </c>
      <c r="CO100" s="390" t="str">
        <f t="array" ref="CO100">LET(
array,SORT({$Y$2:$AB$19,TRANSPOSE($BP100:$CG100)},4,TRUE),
col,CHOOSECOLS(array,5),
row,MATCH(FALSE, ISBLANK(col), 0),
IF(BV100=SWITCH($AA$22,
"minimum cost", MIN($BP100:$CG100),
"maximum cost", MAX($BP100:$CG100), 
"custom order", IF(CO$1=INDEX(array, row,1),INDEX(array, row,5),"x"))
,1,))</f>
        <v/>
      </c>
      <c r="CP100" s="390" t="str">
        <f t="array" ref="CP100">LET(
array,SORT({$Y$2:$AB$19,TRANSPOSE($BP100:$CG100)},4,TRUE),
col,CHOOSECOLS(array,5),
row,MATCH(FALSE, ISBLANK(col), 0),
IF(BW100=SWITCH($AA$22,
"minimum cost", MIN($BP100:$CG100),
"maximum cost", MAX($BP100:$CG100), 
"custom order", IF(CP$1=INDEX(array, row,1),INDEX(array, row,5),"x"))
,1,))</f>
        <v/>
      </c>
      <c r="CQ100" s="390" t="str">
        <f t="array" ref="CQ100">LET(
array,SORT({$Y$2:$AB$19,TRANSPOSE($BP100:$CG100)},4,TRUE),
col,CHOOSECOLS(array,5),
row,MATCH(FALSE, ISBLANK(col), 0),
IF(BX100=SWITCH($AA$22,
"minimum cost", MIN($BP100:$CG100),
"maximum cost", MAX($BP100:$CG100), 
"custom order", IF(CQ$1=INDEX(array, row,1),INDEX(array, row,5),"x"))
,1,))</f>
        <v/>
      </c>
      <c r="CR100" s="390" t="str">
        <f t="array" ref="CR100">LET(
array,SORT({$Y$2:$AB$19,TRANSPOSE($BP100:$CG100)},4,TRUE),
col,CHOOSECOLS(array,5),
row,MATCH(FALSE, ISBLANK(col), 0),
IF(BY100=SWITCH($AA$22,
"minimum cost", MIN($BP100:$CG100),
"maximum cost", MAX($BP100:$CG100), 
"custom order", IF(CR$1=INDEX(array, row,1),INDEX(array, row,5),"x"))
,1,))</f>
        <v/>
      </c>
      <c r="CS100" s="390" t="str">
        <f t="array" ref="CS100">LET(
array,SORT({$Y$2:$AB$19,TRANSPOSE($BP100:$CG100)},4,TRUE),
col,CHOOSECOLS(array,5),
row,MATCH(FALSE, ISBLANK(col), 0),
IF(BZ100=SWITCH($AA$22,
"minimum cost", MIN($BP100:$CG100),
"maximum cost", MAX($BP100:$CG100), 
"custom order", IF(CS$1=INDEX(array, row,1),INDEX(array, row,5),"x"))
,1,))</f>
        <v/>
      </c>
      <c r="CT100" s="390" t="str">
        <f t="array" ref="CT100">LET(
array,SORT({$Y$2:$AB$19,TRANSPOSE($BP100:$CG100)},4,TRUE),
col,CHOOSECOLS(array,5),
row,MATCH(FALSE, ISBLANK(col), 0),
IF(CA100=SWITCH($AA$22,
"minimum cost", MIN($BP100:$CG100),
"maximum cost", MAX($BP100:$CG100), 
"custom order", IF(CT$1=INDEX(array, row,1),INDEX(array, row,5),"x"))
,1,))</f>
        <v/>
      </c>
      <c r="CU100" s="469" t="str">
        <f t="array" ref="CU100">LET(
array,SORT({$Y$2:$AB$19,TRANSPOSE($BP100:$CG100)},4,TRUE),
col,CHOOSECOLS(array,5),
row,MATCH(FALSE, ISBLANK(col), 0),
IF(CB100=SWITCH($AA$22,
"minimum cost", MIN($BP100:$CG100),
"maximum cost", MAX($BP100:$CG100), 
"custom order", IF(CU$1=INDEX(array, row,1),INDEX(array, row,5),"x"))
,1,))</f>
        <v/>
      </c>
      <c r="CV100" s="469" t="str">
        <f t="array" ref="CV100">LET(
array,SORT({$Y$2:$AB$19,TRANSPOSE($BP100:$CG100)},4,TRUE),
col,CHOOSECOLS(array,5),
row,MATCH(FALSE, ISBLANK(col), 0),
IF(CC100=SWITCH($AA$22,
"minimum cost", MIN($BP100:$CG100),
"maximum cost", MAX($BP100:$CG100), 
"custom order", IF(CV$1=INDEX(array, row,1),INDEX(array, row,5),"x"))
,1,))</f>
        <v/>
      </c>
      <c r="CW100" s="469" t="str">
        <f t="array" ref="CW100">LET(
array,SORT({$Y$2:$AB$19,TRANSPOSE($BP100:$CG100)},4,TRUE),
col,CHOOSECOLS(array,5),
row,MATCH(FALSE, ISBLANK(col), 0),
IF(CD100=SWITCH($AA$22,
"minimum cost", MIN($BP100:$CG100),
"maximum cost", MAX($BP100:$CG100), 
"custom order", IF(CW$1=INDEX(array, row,1),INDEX(array, row,5),"x"))
,1,))</f>
        <v/>
      </c>
      <c r="CX100" s="469" t="str">
        <f t="array" ref="CX100">LET(
array,SORT({$Y$2:$AB$19,TRANSPOSE($BP100:$CG100)},4,TRUE),
col,CHOOSECOLS(array,5),
row,MATCH(FALSE, ISBLANK(col), 0),
IF(CE100=SWITCH($AA$22,
"minimum cost", MIN($BP100:$CG100),
"maximum cost", MAX($BP100:$CG100), 
"custom order", IF(CX$1=INDEX(array, row,1),INDEX(array, row,5),"x"))
,1,))</f>
        <v/>
      </c>
      <c r="CY100" s="469" t="str">
        <f t="array" ref="CY100">LET(
array,SORT({$Y$2:$AB$19,TRANSPOSE($BP100:$CG100)},4,TRUE),
col,CHOOSECOLS(array,5),
row,MATCH(FALSE, ISBLANK(col), 0),
IF(CF100=SWITCH($AA$22,
"minimum cost", MIN($BP100:$CG100),
"maximum cost", MAX($BP100:$CG100), 
"custom order", IF(CY$1=INDEX(array, row,1),INDEX(array, row,5),"x"))
,1,))</f>
        <v/>
      </c>
      <c r="CZ100" s="581" t="str">
        <f t="array" ref="CZ100">LET(
array,SORT({$Y$2:$AB$19,TRANSPOSE($BP100:$CG100)},4,TRUE),
col,CHOOSECOLS(array,5),
row,MATCH(FALSE, ISBLANK(col), 0),
IF(CG100=SWITCH($AA$22,
"minimum cost", MIN($BP100:$CG100),
"maximum cost", MAX($BP100:$CG100), 
"custom order", IF(CZ$1=INDEX(array, row,1),INDEX(array, row,5),"x"))
,1,))</f>
        <v/>
      </c>
      <c r="DA100" s="461"/>
      <c r="DB100" s="580">
        <f t="array" ref="DB100:DS100">IF(MATCH(1, CI100:CZ100, 0)=COLUMN(CI100:CZ100)-COLUMN(CI100)+1, CI100:CZ100, "")</f>
        <v>1</v>
      </c>
      <c r="DC100" s="252" t="s">
        <v>133</v>
      </c>
      <c r="DD100" s="252" t="s">
        <v>133</v>
      </c>
      <c r="DE100" s="252" t="s">
        <v>133</v>
      </c>
      <c r="DF100" s="252" t="s">
        <v>133</v>
      </c>
      <c r="DG100" s="252" t="s">
        <v>133</v>
      </c>
      <c r="DH100" s="390" t="s">
        <v>133</v>
      </c>
      <c r="DI100" s="390" t="s">
        <v>133</v>
      </c>
      <c r="DJ100" s="390" t="s">
        <v>133</v>
      </c>
      <c r="DK100" s="390" t="s">
        <v>133</v>
      </c>
      <c r="DL100" s="390" t="s">
        <v>133</v>
      </c>
      <c r="DM100" s="390" t="s">
        <v>133</v>
      </c>
      <c r="DN100" s="469" t="s">
        <v>133</v>
      </c>
      <c r="DO100" s="469" t="s">
        <v>133</v>
      </c>
      <c r="DP100" s="469" t="s">
        <v>133</v>
      </c>
      <c r="DQ100" s="469" t="s">
        <v>133</v>
      </c>
      <c r="DR100" s="469" t="s">
        <v>133</v>
      </c>
      <c r="DS100" s="581" t="s">
        <v>133</v>
      </c>
      <c r="DT100" s="563"/>
    </row>
    <row r="101">
      <c r="A101" s="563"/>
      <c r="B101" s="709"/>
      <c r="C101" s="709"/>
      <c r="D101" s="709"/>
      <c r="E101" s="10"/>
      <c r="F101" s="709"/>
      <c r="G101" s="10"/>
      <c r="H101" s="709"/>
      <c r="I101" s="10"/>
      <c r="J101" s="709"/>
      <c r="K101" s="10"/>
      <c r="L101" s="709"/>
      <c r="M101" s="461"/>
      <c r="N101" s="10"/>
      <c r="O101" s="10"/>
      <c r="P101" s="10"/>
      <c r="Q101" s="719" t="str">
        <f>IFERROR(__xludf.DUMMYFUNCTION("IF(SUM(DB101:DS101),ARRAYFORMULA(FILTER(DB$1:DS$1, DB101:DS101=1)),)"),"Damage")</f>
        <v>Damage</v>
      </c>
      <c r="R101" s="720">
        <f>IFERROR(__xludf.DUMMYFUNCTION("IF(SUM(DB101:DS101),ARRAYFORMULA(FILTER(AW101:BN101, DB101:DS101=1))+1,)"),62.0)</f>
        <v>62</v>
      </c>
      <c r="S101" s="721">
        <f>IFERROR(__xludf.DUMMYFUNCTION("IF(SUM(DB101:DS101),ARRAYFORMULA(FILTER(AD101:AU101, DB101:DS101=1)),)"),8.031E13)</f>
        <v>80310000000000</v>
      </c>
      <c r="T101" s="721">
        <f t="shared" si="26"/>
        <v>1.82551E+16</v>
      </c>
      <c r="U101" s="722" t="str">
        <f t="shared" ref="U101:V101" si="319">FORMAT_NUMBER(S101)</f>
        <v>80.31 T</v>
      </c>
      <c r="V101" s="574" t="str">
        <f t="shared" si="319"/>
        <v>18.26 q</v>
      </c>
      <c r="W101" s="677"/>
      <c r="X101" s="709"/>
      <c r="Y101" s="709"/>
      <c r="Z101" s="709"/>
      <c r="AA101" s="709"/>
      <c r="AB101" s="712"/>
      <c r="AC101" s="461"/>
      <c r="AD101" s="580">
        <f t="shared" ref="AD101:AU101" si="320">IFERROR(WSPCOST_SINGLE_ADJUSTED(AD$1,1+AW101),)</f>
        <v>80310000000000</v>
      </c>
      <c r="AE101" s="252">
        <f t="shared" si="320"/>
        <v>82420000000</v>
      </c>
      <c r="AF101" s="252">
        <f t="shared" si="320"/>
        <v>69650000000000</v>
      </c>
      <c r="AG101" s="252">
        <f t="shared" si="320"/>
        <v>21210000000</v>
      </c>
      <c r="AH101" s="252">
        <f t="shared" si="320"/>
        <v>43890000000000</v>
      </c>
      <c r="AI101" s="252">
        <f t="shared" si="320"/>
        <v>47710000000000</v>
      </c>
      <c r="AJ101" s="390">
        <f t="shared" si="320"/>
        <v>297430000000000</v>
      </c>
      <c r="AK101" s="390">
        <f t="shared" si="320"/>
        <v>580270000000000</v>
      </c>
      <c r="AL101" s="390">
        <f t="shared" si="320"/>
        <v>5000000000</v>
      </c>
      <c r="AM101" s="390">
        <f t="shared" si="320"/>
        <v>33950000000</v>
      </c>
      <c r="AN101" s="390">
        <f t="shared" si="320"/>
        <v>297430000000000</v>
      </c>
      <c r="AO101" s="390">
        <f t="shared" si="320"/>
        <v>146710000000000</v>
      </c>
      <c r="AP101" s="469">
        <f t="shared" si="320"/>
        <v>153100000000000</v>
      </c>
      <c r="AQ101" s="469">
        <f t="shared" si="320"/>
        <v>1.3E+15</v>
      </c>
      <c r="AR101" s="469">
        <f t="shared" si="320"/>
        <v>1.3E+15</v>
      </c>
      <c r="AS101" s="469">
        <f t="shared" si="320"/>
        <v>420490000000000</v>
      </c>
      <c r="AT101" s="469">
        <f t="shared" si="320"/>
        <v>3990000000000</v>
      </c>
      <c r="AU101" s="581">
        <f t="shared" si="320"/>
        <v>1.14E+15</v>
      </c>
      <c r="AV101" s="461"/>
      <c r="AW101" s="723">
        <f t="shared" ref="AW101:BN101" si="321">AW100+DB100</f>
        <v>61</v>
      </c>
      <c r="AX101" s="380">
        <f t="shared" si="321"/>
        <v>21</v>
      </c>
      <c r="AY101" s="380">
        <f t="shared" si="321"/>
        <v>60</v>
      </c>
      <c r="AZ101" s="380">
        <f t="shared" si="321"/>
        <v>17</v>
      </c>
      <c r="BA101" s="380">
        <f t="shared" si="321"/>
        <v>57</v>
      </c>
      <c r="BB101" s="380">
        <f t="shared" si="321"/>
        <v>13</v>
      </c>
      <c r="BC101" s="462">
        <f t="shared" si="321"/>
        <v>72</v>
      </c>
      <c r="BD101" s="462">
        <f t="shared" si="321"/>
        <v>79</v>
      </c>
      <c r="BE101" s="462">
        <f t="shared" si="321"/>
        <v>0</v>
      </c>
      <c r="BF101" s="462">
        <f t="shared" si="321"/>
        <v>18</v>
      </c>
      <c r="BG101" s="462">
        <f t="shared" si="321"/>
        <v>72</v>
      </c>
      <c r="BH101" s="462">
        <f t="shared" si="321"/>
        <v>28</v>
      </c>
      <c r="BI101" s="513">
        <f t="shared" si="321"/>
        <v>66</v>
      </c>
      <c r="BJ101" s="513">
        <f t="shared" si="321"/>
        <v>37</v>
      </c>
      <c r="BK101" s="513">
        <f t="shared" si="321"/>
        <v>37</v>
      </c>
      <c r="BL101" s="513">
        <f t="shared" si="321"/>
        <v>18</v>
      </c>
      <c r="BM101" s="513">
        <f t="shared" si="321"/>
        <v>42</v>
      </c>
      <c r="BN101" s="724">
        <f t="shared" si="321"/>
        <v>15</v>
      </c>
      <c r="BO101" s="461"/>
      <c r="BP101" s="723">
        <f t="shared" si="8"/>
        <v>80310000000000</v>
      </c>
      <c r="BQ101" s="380" t="str">
        <f t="shared" si="9"/>
        <v/>
      </c>
      <c r="BR101" s="380">
        <f t="shared" si="10"/>
        <v>69650000000000</v>
      </c>
      <c r="BS101" s="380" t="str">
        <f t="shared" si="11"/>
        <v/>
      </c>
      <c r="BT101" s="380" t="str">
        <f t="shared" si="12"/>
        <v/>
      </c>
      <c r="BU101" s="380">
        <f t="shared" si="13"/>
        <v>47710000000000</v>
      </c>
      <c r="BV101" s="462" t="str">
        <f t="shared" si="14"/>
        <v/>
      </c>
      <c r="BW101" s="462" t="str">
        <f t="shared" si="15"/>
        <v/>
      </c>
      <c r="BX101" s="462" t="str">
        <f t="shared" si="16"/>
        <v/>
      </c>
      <c r="BY101" s="462" t="str">
        <f t="shared" si="17"/>
        <v/>
      </c>
      <c r="BZ101" s="462" t="str">
        <f t="shared" si="18"/>
        <v/>
      </c>
      <c r="CA101" s="462" t="str">
        <f t="shared" si="19"/>
        <v/>
      </c>
      <c r="CB101" s="513" t="str">
        <f t="shared" si="20"/>
        <v/>
      </c>
      <c r="CC101" s="513" t="str">
        <f t="shared" si="21"/>
        <v/>
      </c>
      <c r="CD101" s="513" t="str">
        <f t="shared" si="22"/>
        <v/>
      </c>
      <c r="CE101" s="513" t="str">
        <f t="shared" si="23"/>
        <v/>
      </c>
      <c r="CF101" s="513" t="str">
        <f t="shared" si="24"/>
        <v/>
      </c>
      <c r="CG101" s="724" t="str">
        <f t="shared" si="25"/>
        <v/>
      </c>
      <c r="CH101" s="461"/>
      <c r="CI101" s="580">
        <f t="array" ref="CI101">LET(
array,SORT({$Y$2:$AB$19,TRANSPOSE($BP101:$CG101)},4,TRUE),
col,CHOOSECOLS(array,5),
row,MATCH(FALSE, ISBLANK(col), 0),
IF(BP101=SWITCH($AA$22,
"minimum cost", MIN($BP101:$CG101),
"maximum cost", MAX($BP101:$CG101), 
"custom order", IF(CI$1=INDEX(array, row,1),INDEX(array, row,5),"x"))
,1,))</f>
        <v>1</v>
      </c>
      <c r="CJ101" s="252" t="str">
        <f t="array" ref="CJ101">LET(
array,SORT({$Y$2:$AB$19,TRANSPOSE($BP101:$CG101)},4,TRUE),
col,CHOOSECOLS(array,5),
row,MATCH(FALSE, ISBLANK(col), 0),
IF(BQ101=SWITCH($AA$22,
"minimum cost", MIN($BP101:$CG101),
"maximum cost", MAX($BP101:$CG101), 
"custom order", IF(CJ$1=INDEX(array, row,1),INDEX(array, row,5),"x"))
,1,))</f>
        <v/>
      </c>
      <c r="CK101" s="252" t="str">
        <f t="array" ref="CK101">LET(
array,SORT({$Y$2:$AB$19,TRANSPOSE($BP101:$CG101)},4,TRUE),
col,CHOOSECOLS(array,5),
row,MATCH(FALSE, ISBLANK(col), 0),
IF(BR101=SWITCH($AA$22,
"minimum cost", MIN($BP101:$CG101),
"maximum cost", MAX($BP101:$CG101), 
"custom order", IF(CK$1=INDEX(array, row,1),INDEX(array, row,5),"x"))
,1,))</f>
        <v/>
      </c>
      <c r="CL101" s="252" t="str">
        <f t="array" ref="CL101">LET(
array,SORT({$Y$2:$AB$19,TRANSPOSE($BP101:$CG101)},4,TRUE),
col,CHOOSECOLS(array,5),
row,MATCH(FALSE, ISBLANK(col), 0),
IF(BS101=SWITCH($AA$22,
"minimum cost", MIN($BP101:$CG101),
"maximum cost", MAX($BP101:$CG101), 
"custom order", IF(CL$1=INDEX(array, row,1),INDEX(array, row,5),"x"))
,1,))</f>
        <v/>
      </c>
      <c r="CM101" s="252" t="str">
        <f t="array" ref="CM101">LET(
array,SORT({$Y$2:$AB$19,TRANSPOSE($BP101:$CG101)},4,TRUE),
col,CHOOSECOLS(array,5),
row,MATCH(FALSE, ISBLANK(col), 0),
IF(BT101=SWITCH($AA$22,
"minimum cost", MIN($BP101:$CG101),
"maximum cost", MAX($BP101:$CG101), 
"custom order", IF(CM$1=INDEX(array, row,1),INDEX(array, row,5),"x"))
,1,))</f>
        <v/>
      </c>
      <c r="CN101" s="252" t="str">
        <f t="array" ref="CN101">LET(
array,SORT({$Y$2:$AB$19,TRANSPOSE($BP101:$CG101)},4,TRUE),
col,CHOOSECOLS(array,5),
row,MATCH(FALSE, ISBLANK(col), 0),
IF(BU101=SWITCH($AA$22,
"minimum cost", MIN($BP101:$CG101),
"maximum cost", MAX($BP101:$CG101), 
"custom order", IF(CN$1=INDEX(array, row,1),INDEX(array, row,5),"x"))
,1,))</f>
        <v/>
      </c>
      <c r="CO101" s="390" t="str">
        <f t="array" ref="CO101">LET(
array,SORT({$Y$2:$AB$19,TRANSPOSE($BP101:$CG101)},4,TRUE),
col,CHOOSECOLS(array,5),
row,MATCH(FALSE, ISBLANK(col), 0),
IF(BV101=SWITCH($AA$22,
"minimum cost", MIN($BP101:$CG101),
"maximum cost", MAX($BP101:$CG101), 
"custom order", IF(CO$1=INDEX(array, row,1),INDEX(array, row,5),"x"))
,1,))</f>
        <v/>
      </c>
      <c r="CP101" s="390" t="str">
        <f t="array" ref="CP101">LET(
array,SORT({$Y$2:$AB$19,TRANSPOSE($BP101:$CG101)},4,TRUE),
col,CHOOSECOLS(array,5),
row,MATCH(FALSE, ISBLANK(col), 0),
IF(BW101=SWITCH($AA$22,
"minimum cost", MIN($BP101:$CG101),
"maximum cost", MAX($BP101:$CG101), 
"custom order", IF(CP$1=INDEX(array, row,1),INDEX(array, row,5),"x"))
,1,))</f>
        <v/>
      </c>
      <c r="CQ101" s="390" t="str">
        <f t="array" ref="CQ101">LET(
array,SORT({$Y$2:$AB$19,TRANSPOSE($BP101:$CG101)},4,TRUE),
col,CHOOSECOLS(array,5),
row,MATCH(FALSE, ISBLANK(col), 0),
IF(BX101=SWITCH($AA$22,
"minimum cost", MIN($BP101:$CG101),
"maximum cost", MAX($BP101:$CG101), 
"custom order", IF(CQ$1=INDEX(array, row,1),INDEX(array, row,5),"x"))
,1,))</f>
        <v/>
      </c>
      <c r="CR101" s="390" t="str">
        <f t="array" ref="CR101">LET(
array,SORT({$Y$2:$AB$19,TRANSPOSE($BP101:$CG101)},4,TRUE),
col,CHOOSECOLS(array,5),
row,MATCH(FALSE, ISBLANK(col), 0),
IF(BY101=SWITCH($AA$22,
"minimum cost", MIN($BP101:$CG101),
"maximum cost", MAX($BP101:$CG101), 
"custom order", IF(CR$1=INDEX(array, row,1),INDEX(array, row,5),"x"))
,1,))</f>
        <v/>
      </c>
      <c r="CS101" s="390" t="str">
        <f t="array" ref="CS101">LET(
array,SORT({$Y$2:$AB$19,TRANSPOSE($BP101:$CG101)},4,TRUE),
col,CHOOSECOLS(array,5),
row,MATCH(FALSE, ISBLANK(col), 0),
IF(BZ101=SWITCH($AA$22,
"minimum cost", MIN($BP101:$CG101),
"maximum cost", MAX($BP101:$CG101), 
"custom order", IF(CS$1=INDEX(array, row,1),INDEX(array, row,5),"x"))
,1,))</f>
        <v/>
      </c>
      <c r="CT101" s="390" t="str">
        <f t="array" ref="CT101">LET(
array,SORT({$Y$2:$AB$19,TRANSPOSE($BP101:$CG101)},4,TRUE),
col,CHOOSECOLS(array,5),
row,MATCH(FALSE, ISBLANK(col), 0),
IF(CA101=SWITCH($AA$22,
"minimum cost", MIN($BP101:$CG101),
"maximum cost", MAX($BP101:$CG101), 
"custom order", IF(CT$1=INDEX(array, row,1),INDEX(array, row,5),"x"))
,1,))</f>
        <v/>
      </c>
      <c r="CU101" s="469" t="str">
        <f t="array" ref="CU101">LET(
array,SORT({$Y$2:$AB$19,TRANSPOSE($BP101:$CG101)},4,TRUE),
col,CHOOSECOLS(array,5),
row,MATCH(FALSE, ISBLANK(col), 0),
IF(CB101=SWITCH($AA$22,
"minimum cost", MIN($BP101:$CG101),
"maximum cost", MAX($BP101:$CG101), 
"custom order", IF(CU$1=INDEX(array, row,1),INDEX(array, row,5),"x"))
,1,))</f>
        <v/>
      </c>
      <c r="CV101" s="469" t="str">
        <f t="array" ref="CV101">LET(
array,SORT({$Y$2:$AB$19,TRANSPOSE($BP101:$CG101)},4,TRUE),
col,CHOOSECOLS(array,5),
row,MATCH(FALSE, ISBLANK(col), 0),
IF(CC101=SWITCH($AA$22,
"minimum cost", MIN($BP101:$CG101),
"maximum cost", MAX($BP101:$CG101), 
"custom order", IF(CV$1=INDEX(array, row,1),INDEX(array, row,5),"x"))
,1,))</f>
        <v/>
      </c>
      <c r="CW101" s="469" t="str">
        <f t="array" ref="CW101">LET(
array,SORT({$Y$2:$AB$19,TRANSPOSE($BP101:$CG101)},4,TRUE),
col,CHOOSECOLS(array,5),
row,MATCH(FALSE, ISBLANK(col), 0),
IF(CD101=SWITCH($AA$22,
"minimum cost", MIN($BP101:$CG101),
"maximum cost", MAX($BP101:$CG101), 
"custom order", IF(CW$1=INDEX(array, row,1),INDEX(array, row,5),"x"))
,1,))</f>
        <v/>
      </c>
      <c r="CX101" s="469" t="str">
        <f t="array" ref="CX101">LET(
array,SORT({$Y$2:$AB$19,TRANSPOSE($BP101:$CG101)},4,TRUE),
col,CHOOSECOLS(array,5),
row,MATCH(FALSE, ISBLANK(col), 0),
IF(CE101=SWITCH($AA$22,
"minimum cost", MIN($BP101:$CG101),
"maximum cost", MAX($BP101:$CG101), 
"custom order", IF(CX$1=INDEX(array, row,1),INDEX(array, row,5),"x"))
,1,))</f>
        <v/>
      </c>
      <c r="CY101" s="469" t="str">
        <f t="array" ref="CY101">LET(
array,SORT({$Y$2:$AB$19,TRANSPOSE($BP101:$CG101)},4,TRUE),
col,CHOOSECOLS(array,5),
row,MATCH(FALSE, ISBLANK(col), 0),
IF(CF101=SWITCH($AA$22,
"minimum cost", MIN($BP101:$CG101),
"maximum cost", MAX($BP101:$CG101), 
"custom order", IF(CY$1=INDEX(array, row,1),INDEX(array, row,5),"x"))
,1,))</f>
        <v/>
      </c>
      <c r="CZ101" s="581" t="str">
        <f t="array" ref="CZ101">LET(
array,SORT({$Y$2:$AB$19,TRANSPOSE($BP101:$CG101)},4,TRUE),
col,CHOOSECOLS(array,5),
row,MATCH(FALSE, ISBLANK(col), 0),
IF(CG101=SWITCH($AA$22,
"minimum cost", MIN($BP101:$CG101),
"maximum cost", MAX($BP101:$CG101), 
"custom order", IF(CZ$1=INDEX(array, row,1),INDEX(array, row,5),"x"))
,1,))</f>
        <v/>
      </c>
      <c r="DA101" s="461"/>
      <c r="DB101" s="723">
        <f t="array" ref="DB101:DS101">IF(MATCH(1, CI101:CZ101, 0)=COLUMN(CI101:CZ101)-COLUMN(CI101)+1, CI101:CZ101, "")</f>
        <v>1</v>
      </c>
      <c r="DC101" s="380" t="s">
        <v>133</v>
      </c>
      <c r="DD101" s="380" t="s">
        <v>133</v>
      </c>
      <c r="DE101" s="380" t="s">
        <v>133</v>
      </c>
      <c r="DF101" s="380" t="s">
        <v>133</v>
      </c>
      <c r="DG101" s="380" t="s">
        <v>133</v>
      </c>
      <c r="DH101" s="462" t="s">
        <v>133</v>
      </c>
      <c r="DI101" s="462" t="s">
        <v>133</v>
      </c>
      <c r="DJ101" s="462" t="s">
        <v>133</v>
      </c>
      <c r="DK101" s="462" t="s">
        <v>133</v>
      </c>
      <c r="DL101" s="462" t="s">
        <v>133</v>
      </c>
      <c r="DM101" s="462" t="s">
        <v>133</v>
      </c>
      <c r="DN101" s="513" t="s">
        <v>133</v>
      </c>
      <c r="DO101" s="513" t="s">
        <v>133</v>
      </c>
      <c r="DP101" s="513" t="s">
        <v>133</v>
      </c>
      <c r="DQ101" s="513" t="s">
        <v>133</v>
      </c>
      <c r="DR101" s="513" t="s">
        <v>133</v>
      </c>
      <c r="DS101" s="724" t="s">
        <v>133</v>
      </c>
      <c r="DT101" s="563"/>
    </row>
    <row r="102">
      <c r="A102" s="725"/>
      <c r="B102" s="709"/>
      <c r="C102" s="709"/>
      <c r="D102" s="709"/>
      <c r="E102" s="678"/>
      <c r="F102" s="709"/>
      <c r="G102" s="678"/>
      <c r="H102" s="709"/>
      <c r="I102" s="678"/>
      <c r="J102" s="709"/>
      <c r="K102" s="678"/>
      <c r="L102" s="709"/>
      <c r="M102" s="678"/>
      <c r="N102" s="678"/>
      <c r="O102" s="678"/>
      <c r="P102" s="678"/>
      <c r="Q102" s="678"/>
      <c r="R102" s="726"/>
      <c r="S102" s="678"/>
      <c r="T102" s="678"/>
      <c r="U102" s="727"/>
      <c r="V102" s="728"/>
      <c r="W102" s="678"/>
      <c r="X102" s="679"/>
      <c r="Y102" s="679"/>
      <c r="Z102" s="679"/>
      <c r="AA102" s="679"/>
      <c r="AB102" s="679"/>
      <c r="AC102" s="678"/>
      <c r="AD102" s="678"/>
      <c r="AE102" s="678"/>
      <c r="AF102" s="678"/>
      <c r="AG102" s="678"/>
      <c r="AH102" s="678"/>
      <c r="AI102" s="678"/>
      <c r="AJ102" s="678"/>
      <c r="AK102" s="678"/>
      <c r="AL102" s="678"/>
      <c r="AM102" s="678"/>
      <c r="AN102" s="678"/>
      <c r="AO102" s="678"/>
      <c r="AP102" s="678"/>
      <c r="AQ102" s="678"/>
      <c r="AR102" s="678"/>
      <c r="AS102" s="678"/>
      <c r="AT102" s="678"/>
      <c r="AU102" s="678"/>
      <c r="AV102" s="678"/>
      <c r="AW102" s="678"/>
      <c r="AX102" s="678"/>
      <c r="AY102" s="678"/>
      <c r="AZ102" s="678"/>
      <c r="BA102" s="678"/>
      <c r="BB102" s="678"/>
      <c r="BC102" s="678"/>
      <c r="BD102" s="678"/>
      <c r="BE102" s="678"/>
      <c r="BF102" s="678"/>
      <c r="BG102" s="678"/>
      <c r="BH102" s="678"/>
      <c r="BI102" s="678"/>
      <c r="BJ102" s="678"/>
      <c r="BK102" s="678"/>
      <c r="BL102" s="678"/>
      <c r="BM102" s="678"/>
      <c r="BN102" s="678"/>
      <c r="BO102" s="678"/>
      <c r="BP102" s="678"/>
      <c r="BQ102" s="678"/>
      <c r="BR102" s="678"/>
      <c r="BS102" s="678"/>
      <c r="BT102" s="678"/>
      <c r="BU102" s="678"/>
      <c r="BV102" s="678"/>
      <c r="BW102" s="678"/>
      <c r="BX102" s="678"/>
      <c r="BY102" s="678"/>
      <c r="BZ102" s="678"/>
      <c r="CA102" s="678"/>
      <c r="CB102" s="678"/>
      <c r="CC102" s="678"/>
      <c r="CD102" s="678"/>
      <c r="CE102" s="678"/>
      <c r="CF102" s="678"/>
      <c r="CG102" s="678"/>
      <c r="CH102" s="678"/>
      <c r="CI102" s="678"/>
      <c r="CJ102" s="678"/>
      <c r="CK102" s="678"/>
      <c r="CL102" s="678"/>
      <c r="CM102" s="678"/>
      <c r="CN102" s="678"/>
      <c r="CO102" s="678"/>
      <c r="CP102" s="678"/>
      <c r="CQ102" s="678"/>
      <c r="CR102" s="678"/>
      <c r="CS102" s="678"/>
      <c r="CT102" s="678"/>
      <c r="CU102" s="678"/>
      <c r="CV102" s="678"/>
      <c r="CW102" s="678"/>
      <c r="CX102" s="678"/>
      <c r="CY102" s="678"/>
      <c r="CZ102" s="678"/>
      <c r="DA102" s="678"/>
      <c r="DB102" s="678"/>
      <c r="DC102" s="678"/>
      <c r="DD102" s="678"/>
      <c r="DE102" s="678"/>
      <c r="DF102" s="678"/>
      <c r="DG102" s="678"/>
      <c r="DH102" s="678"/>
      <c r="DI102" s="678"/>
      <c r="DJ102" s="678"/>
      <c r="DK102" s="678"/>
      <c r="DL102" s="678"/>
      <c r="DM102" s="678"/>
      <c r="DN102" s="678"/>
      <c r="DO102" s="678"/>
      <c r="DP102" s="678"/>
      <c r="DQ102" s="678"/>
      <c r="DR102" s="678"/>
      <c r="DS102" s="678"/>
      <c r="DT102" s="729"/>
    </row>
  </sheetData>
  <mergeCells count="24">
    <mergeCell ref="C21:D21"/>
    <mergeCell ref="C22:D22"/>
    <mergeCell ref="E22:F22"/>
    <mergeCell ref="G22:H22"/>
    <mergeCell ref="I22:J22"/>
    <mergeCell ref="K22:L22"/>
    <mergeCell ref="B25:L31"/>
    <mergeCell ref="B33:L37"/>
    <mergeCell ref="B39:L43"/>
    <mergeCell ref="Y22:Z22"/>
    <mergeCell ref="AA22:AB22"/>
    <mergeCell ref="Z24:AB24"/>
    <mergeCell ref="Z25:AB25"/>
    <mergeCell ref="Z26:AB26"/>
    <mergeCell ref="Z27:AB27"/>
    <mergeCell ref="Z28:AB28"/>
    <mergeCell ref="Z29:AB29"/>
    <mergeCell ref="X2:X22"/>
    <mergeCell ref="E21:F21"/>
    <mergeCell ref="G21:H21"/>
    <mergeCell ref="I21:J21"/>
    <mergeCell ref="K21:L21"/>
    <mergeCell ref="Y21:Z21"/>
    <mergeCell ref="AA21:AB21"/>
  </mergeCells>
  <conditionalFormatting sqref="Q2:U101">
    <cfRule type="expression" dxfId="16" priority="1">
      <formula>AND($Q2=$C$21,MATCH($Q2,$B$2:$B$7,FALSE))</formula>
    </cfRule>
  </conditionalFormatting>
  <conditionalFormatting sqref="Q2:U101">
    <cfRule type="expression" dxfId="17" priority="2">
      <formula>MATCH($Q2,$B$2:$B$7,FALSE)</formula>
    </cfRule>
  </conditionalFormatting>
  <conditionalFormatting sqref="Q2:U101">
    <cfRule type="expression" dxfId="18" priority="3">
      <formula>AND($Q2=$C$21,MATCH($Q2,$B$8:$B$13,FALSE))</formula>
    </cfRule>
  </conditionalFormatting>
  <conditionalFormatting sqref="Q2:U101">
    <cfRule type="expression" dxfId="19" priority="4">
      <formula>MATCH($Q2,$B$8:$B$13,FALSE)</formula>
    </cfRule>
  </conditionalFormatting>
  <conditionalFormatting sqref="Q2:U101">
    <cfRule type="expression" dxfId="20" priority="5">
      <formula>AND($Q2=$C$21,MATCH($Q2,$B$14:$B$19,FALSE))</formula>
    </cfRule>
  </conditionalFormatting>
  <conditionalFormatting sqref="Q2:U101">
    <cfRule type="expression" dxfId="21" priority="6">
      <formula>MATCH($Q2,$B$14:$B$19,FALSE)</formula>
    </cfRule>
  </conditionalFormatting>
  <conditionalFormatting sqref="V2:V101">
    <cfRule type="expression" dxfId="22" priority="7">
      <formula>MOD(ROW(V1),10)=0</formula>
    </cfRule>
  </conditionalFormatting>
  <conditionalFormatting sqref="C2:C7 E2:E7 G2:G7 I2:I7 K2:K7">
    <cfRule type="expression" dxfId="23" priority="8">
      <formula>$B2=C$21</formula>
    </cfRule>
  </conditionalFormatting>
  <conditionalFormatting sqref="C8:C13 E8:E13 G8:G13 I8:I13 K8:K13">
    <cfRule type="expression" dxfId="24" priority="9">
      <formula>$B8=C$21</formula>
    </cfRule>
  </conditionalFormatting>
  <conditionalFormatting sqref="C14:C19 E14:E19 G14:G19 I14:I19 K14:K19">
    <cfRule type="expression" dxfId="25" priority="10">
      <formula>$B14=C$21</formula>
    </cfRule>
  </conditionalFormatting>
  <dataValidations>
    <dataValidation type="list" allowBlank="1" showErrorMessage="1" sqref="C21 E21 G21 I21 K21">
      <formula1>DVT_Workshop!$I$1:$Z$1</formula1>
    </dataValidation>
    <dataValidation type="list" allowBlank="1" showErrorMessage="1" sqref="O3">
      <formula1>'Master Sheet'!$R$1:$V$2</formula1>
    </dataValidation>
    <dataValidation type="list" allowBlank="1" sqref="C2:C19 E2:E19 G2:G19 I2:I19 K2:K19">
      <formula1>"1/1,1/2,1/4,1/8,1/3,2/3,3/4,1/16"</formula1>
    </dataValidation>
    <dataValidation type="list" allowBlank="1" showErrorMessage="1" sqref="C22 E22 G22 I22 K22">
      <formula1>"minimum cost,maximum cost,custom order"</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3.5"/>
    <col customWidth="1" min="2" max="2" width="15.13"/>
    <col customWidth="1" min="4" max="4" width="14.75"/>
    <col customWidth="1" min="6" max="6" width="14.75"/>
    <col customWidth="1" min="7" max="7" width="7.13"/>
    <col customWidth="1" min="9" max="9" width="3.5"/>
    <col customWidth="1" min="10" max="10" width="14.0"/>
    <col customWidth="1" min="11" max="11" width="17.75"/>
    <col customWidth="1" min="13" max="13" width="3.5"/>
  </cols>
  <sheetData>
    <row r="1">
      <c r="A1" s="36"/>
      <c r="B1" s="36"/>
      <c r="C1" s="36"/>
      <c r="D1" s="36"/>
      <c r="E1" s="36"/>
      <c r="F1" s="36"/>
      <c r="G1" s="36"/>
      <c r="H1" s="36"/>
      <c r="I1" s="36"/>
      <c r="J1" s="36"/>
      <c r="K1" s="36"/>
      <c r="L1" s="36"/>
      <c r="M1" s="10"/>
    </row>
    <row r="2">
      <c r="A2" s="36"/>
      <c r="B2" s="730" t="s">
        <v>235</v>
      </c>
      <c r="C2" s="211"/>
      <c r="D2" s="211"/>
      <c r="E2" s="211"/>
      <c r="F2" s="211"/>
      <c r="G2" s="211"/>
      <c r="H2" s="204"/>
      <c r="I2" s="36"/>
      <c r="J2" s="730" t="s">
        <v>236</v>
      </c>
      <c r="K2" s="211"/>
      <c r="L2" s="204"/>
      <c r="M2" s="10"/>
    </row>
    <row r="3">
      <c r="A3" s="36"/>
      <c r="B3" s="220"/>
      <c r="C3" s="215"/>
      <c r="D3" s="215"/>
      <c r="E3" s="215"/>
      <c r="F3" s="215"/>
      <c r="G3" s="215"/>
      <c r="H3" s="219"/>
      <c r="I3" s="36"/>
      <c r="J3" s="702"/>
      <c r="L3" s="224"/>
      <c r="M3" s="10"/>
    </row>
    <row r="4">
      <c r="A4" s="36"/>
      <c r="B4" s="731" t="s">
        <v>137</v>
      </c>
      <c r="C4" s="325"/>
      <c r="D4" s="732">
        <f>LET(
  Base,LET(
    WS,0%+'Master Sheet'!D42*0.5%,
    Cards, IF(ISNUMBER(L5), 3% + L5 * 1%, 0),
    Substat, $L9,
    WS + Cards + Substat),
  PerkFreeUP, IF(AND($G$7), 5%*$H$7*(1+1%*L4), 0),
  WSPlus, 1+(0.01*'Master Sheet'!R18),
  Relic, 1+$L6,
  Vault, 1+$L12,
(Base +PerkFreeUP) * WSPlus * Relic * Vault)</f>
        <v>1.077384</v>
      </c>
      <c r="E4" s="731" t="s">
        <v>237</v>
      </c>
      <c r="F4" s="325"/>
      <c r="G4" s="733">
        <f>SUM('Master Sheet'!N3:N6) - SUM('Master Sheet'!D3:D6) + IF('Master Sheet'!B7,SUM('Master Sheet'!N7:N8) - SUM('Master Sheet'!D7:D8)) + IF('Master Sheet'!B9,SUM('Master Sheet'!N9:N10) - SUM('Master Sheet'!D9:D10)) + IF('Master Sheet'!B11,SUM('Master Sheet'!N11:N12) - SUM('Master Sheet'!D11:D12)) + IF('Master Sheet'!B13,SUM('Master Sheet'!N13:N15) - SUM('Master Sheet'!D13:D15)) + IF('Master Sheet'!B16,SUM('Master Sheet'!N16:N17) - SUM('Master Sheet'!D16:D17)) + IF('Master Sheet'!B18,SUM('Master Sheet'!N18:N19) - SUM('Master Sheet'!D18:D19))</f>
        <v>740</v>
      </c>
      <c r="H4" s="734"/>
      <c r="I4" s="36"/>
      <c r="J4" s="735" t="s">
        <v>238</v>
      </c>
      <c r="K4" s="736" t="s">
        <v>127</v>
      </c>
      <c r="L4" s="737">
        <f>'Master Sheet'!Z7</f>
        <v>25</v>
      </c>
      <c r="M4" s="10"/>
    </row>
    <row r="5">
      <c r="A5" s="36"/>
      <c r="B5" s="731" t="s">
        <v>140</v>
      </c>
      <c r="C5" s="325"/>
      <c r="D5" s="732">
        <f>LET(
  Base,LET(
    WS,0%+'Master Sheet'!D42*0.5%,
    Cards, IF(ISNUMBER(L5), 3% + L5 * 1%, 0),
    Substat, $L10,
    WS+Cards+Substat),
  PerkFreeUP, IF(AND($G$7), 5%*$H$7*(1+1%*L4), 0),
  WSPlus, 1+(0.01*'Master Sheet'!R18),
  Relic, 1+$L7,
  Vault, 1+$L13,
(Base +PerkFreeUP) * WSPlus * Relic * Vault)</f>
        <v>1.046892</v>
      </c>
      <c r="E5" s="731" t="s">
        <v>239</v>
      </c>
      <c r="F5" s="325"/>
      <c r="G5" s="738">
        <f>SUM('Master Sheet'!N20:N21)-SUM('Master Sheet'!D20:D21) + IF('Master Sheet'!B22,SUM('Master Sheet'!N22:N23) - SUM('Master Sheet'!D22:D23)) + IF('Master Sheet'!B24,SUM('Master Sheet'!N24) - SUM('Master Sheet'!D24))+ IF('Master Sheet'!B25,SUM('Master Sheet'!N25) - SUM('Master Sheet'!D25))+ IF('Master Sheet'!B26,SUM('Master Sheet'!N26:N27) - SUM('Master Sheet'!D26:D27))+ IF('Master Sheet'!B28,SUM('Master Sheet'!N28:N29) - SUM('Master Sheet'!D28:D29)) + IF('Master Sheet'!B30,SUM('Master Sheet'!N30:N31) - SUM('Master Sheet'!D30:D31)) + IF('Master Sheet'!B32,SUM('Master Sheet'!N32:N34) - SUM('Master Sheet'!D32:D34)) + IF('Master Sheet'!B35,SUM('Master Sheet'!N35) - SUM('Master Sheet'!D35)) + IF('Master Sheet'!B36,SUM('Master Sheet'!N36:N37) - SUM('Master Sheet'!D36:D37))</f>
        <v>850</v>
      </c>
      <c r="H5" s="734"/>
      <c r="I5" s="36"/>
      <c r="J5" s="735" t="s">
        <v>240</v>
      </c>
      <c r="K5" s="739" t="s">
        <v>241</v>
      </c>
      <c r="L5" s="740">
        <f>IF(
  COUNTIF('Master Sheet'!AC4:AC30
, "Free Upgrades") &gt; 0
, 'Master Sheet'!Z26, "No used")</f>
        <v>7</v>
      </c>
      <c r="M5" s="10"/>
    </row>
    <row r="6">
      <c r="A6" s="36"/>
      <c r="B6" s="741" t="s">
        <v>142</v>
      </c>
      <c r="C6" s="204"/>
      <c r="D6" s="732">
        <f>LET(
  Base,LET(
    WS,0%+'Master Sheet'!D42*0.5%,
    Cards, IF(ISNUMBER(L5), 3% + L5 * 1%, 0),
    Substat, $L11,
    WS+Cards+Substat),
  PerkFreeUP, IF(AND($G$7), 5%*$H$7*(1+1%*L4), 0),
  WSPlus, 1+(0.01*'Master Sheet'!R18),
  Relic, 1+$L8,
  Vault, 1+$L14,
(Base +PerkFreeUP) * WSPlus * Relic * Vault)</f>
        <v>1.320515123</v>
      </c>
      <c r="E6" s="731" t="s">
        <v>242</v>
      </c>
      <c r="F6" s="325"/>
      <c r="G6" s="738">
        <f>IF('Master Sheet'!B38,SUM('Master Sheet'!N38:N39) - SUM('Master Sheet'!D38:D39)) + IF('Master Sheet'!B40,SUM('Master Sheet'!N40:N41) - SUM('Master Sheet'!D40:D41)) + IF('Master Sheet'!B42,SUM('Master Sheet'!N42:N44) - SUM('Master Sheet'!D42:D44)) + IF('Master Sheet'!B45,SUM('Master Sheet'!N45) - SUM('Master Sheet'!D45)) + IF('Master Sheet'!B46,SUM('Master Sheet'!N46:N48) - SUM('Master Sheet'!D46:D48)) + IF('Master Sheet'!B49,SUM('Master Sheet'!N49:N50) - SUM('Master Sheet'!D49:D50))</f>
        <v>948</v>
      </c>
      <c r="H6" s="734"/>
      <c r="I6" s="36"/>
      <c r="J6" s="735" t="s">
        <v>243</v>
      </c>
      <c r="K6" s="735" t="s">
        <v>137</v>
      </c>
      <c r="L6" s="742">
        <f>'Master Sheet'!Z11</f>
        <v>0.06</v>
      </c>
      <c r="M6" s="10"/>
    </row>
    <row r="7">
      <c r="A7" s="36"/>
      <c r="B7" s="743" t="s">
        <v>244</v>
      </c>
      <c r="C7" s="744"/>
      <c r="D7" s="745">
        <v>6500.0</v>
      </c>
      <c r="E7" s="731" t="s">
        <v>245</v>
      </c>
      <c r="F7" s="325"/>
      <c r="G7" s="746" t="b">
        <v>1</v>
      </c>
      <c r="H7" s="747">
        <v>5.0</v>
      </c>
      <c r="I7" s="36"/>
      <c r="J7" s="36"/>
      <c r="K7" s="735" t="s">
        <v>140</v>
      </c>
      <c r="L7" s="742">
        <f>'Master Sheet'!Z12</f>
        <v>0.03</v>
      </c>
      <c r="M7" s="10"/>
    </row>
    <row r="8" ht="18.75" customHeight="1">
      <c r="A8" s="36"/>
      <c r="B8" s="748" t="s">
        <v>246</v>
      </c>
      <c r="C8" s="211"/>
      <c r="D8" s="211"/>
      <c r="E8" s="211"/>
      <c r="F8" s="211"/>
      <c r="G8" s="211"/>
      <c r="H8" s="204"/>
      <c r="I8" s="36"/>
      <c r="J8" s="36"/>
      <c r="K8" s="735" t="s">
        <v>142</v>
      </c>
      <c r="L8" s="742">
        <f>'Master Sheet'!Z13</f>
        <v>0.04</v>
      </c>
      <c r="M8" s="10"/>
    </row>
    <row r="9">
      <c r="A9" s="36"/>
      <c r="B9" s="702"/>
      <c r="H9" s="224"/>
      <c r="I9" s="36"/>
      <c r="J9" s="749" t="s">
        <v>247</v>
      </c>
      <c r="K9" s="750" t="s">
        <v>137</v>
      </c>
      <c r="L9" s="751">
        <f t="array" ref="L9">IFERROR(INDEX('Master Sheet'!$AK$35:$AK$42, MATCH(K9,'Master Sheet'!$AH$35:$AH$42, 0)),0)+IFERROR(INDEX('Master Sheet'!$AK$43:$AK$50, MATCH(K9,'Master Sheet'!$AH$43:$AH$50, 0)),0)*'Master Sheet'!$AG$49</f>
        <v>0</v>
      </c>
      <c r="M9" s="10"/>
    </row>
    <row r="10">
      <c r="A10" s="36"/>
      <c r="B10" s="702"/>
      <c r="H10" s="224"/>
      <c r="I10" s="36"/>
      <c r="J10" s="10"/>
      <c r="K10" s="750" t="s">
        <v>140</v>
      </c>
      <c r="L10" s="751">
        <f t="array" ref="L10">IFERROR(INDEX('Master Sheet'!$AK$35:$AK$42, MATCH(K10,'Master Sheet'!$AH$35:$AH$42, 0)),0)+IFERROR(INDEX('Master Sheet'!$AK$43:$AK$50, MATCH(K10,'Master Sheet'!$AH$43:$AH$50, 0)),0)*'Master Sheet'!$AG$49</f>
        <v>0</v>
      </c>
      <c r="M10" s="10"/>
    </row>
    <row r="11">
      <c r="A11" s="36"/>
      <c r="B11" s="752" t="s">
        <v>248</v>
      </c>
      <c r="C11" s="744"/>
      <c r="D11" s="744"/>
      <c r="E11" s="744"/>
      <c r="F11" s="744"/>
      <c r="G11" s="744"/>
      <c r="H11" s="325"/>
      <c r="I11" s="36"/>
      <c r="J11" s="10"/>
      <c r="K11" s="750" t="s">
        <v>142</v>
      </c>
      <c r="L11" s="751">
        <f t="array" ref="L11">IFERROR(INDEX('Master Sheet'!$AK$35:$AK$42, MATCH(K11,'Master Sheet'!$AH$35:$AH$42, 0)),0)+IFERROR(INDEX('Master Sheet'!$AK$43:$AK$50, MATCH(K11,'Master Sheet'!$AH$43:$AH$50, 0)),0)*'Master Sheet'!$AG$49</f>
        <v>0.112</v>
      </c>
      <c r="M11" s="10"/>
    </row>
    <row r="12">
      <c r="A12" s="36"/>
      <c r="B12" s="753" t="s">
        <v>249</v>
      </c>
      <c r="C12" s="219"/>
      <c r="D12" s="754" t="s">
        <v>250</v>
      </c>
      <c r="E12" s="219"/>
      <c r="F12" s="755" t="s">
        <v>251</v>
      </c>
      <c r="G12" s="744"/>
      <c r="H12" s="325"/>
      <c r="I12" s="36"/>
      <c r="J12" s="756" t="s">
        <v>252</v>
      </c>
      <c r="K12" s="735" t="s">
        <v>137</v>
      </c>
      <c r="L12" s="742">
        <f t="array" ref="L12">IFERROR(INDEX('Master Sheet'!$AK$35:$AK$42, MATCH(K12,'Master Sheet'!$AH$35:$AH$42, 0)),0)+IFERROR(INDEX('Master Sheet'!$AK$43:$AK$50, MATCH(K12,'Master Sheet'!$AH$43:$AH$50, 0)),0)*'Master Sheet'!$AG$49</f>
        <v>0</v>
      </c>
      <c r="M12" s="10"/>
    </row>
    <row r="13">
      <c r="A13" s="36"/>
      <c r="B13" s="757" t="s">
        <v>253</v>
      </c>
      <c r="C13" s="758" t="s">
        <v>254</v>
      </c>
      <c r="D13" s="757" t="s">
        <v>253</v>
      </c>
      <c r="E13" s="758" t="s">
        <v>254</v>
      </c>
      <c r="F13" s="757" t="s">
        <v>253</v>
      </c>
      <c r="G13" s="753" t="s">
        <v>254</v>
      </c>
      <c r="H13" s="219"/>
      <c r="I13" s="36"/>
      <c r="J13" s="36"/>
      <c r="K13" s="735" t="s">
        <v>140</v>
      </c>
      <c r="L13" s="742">
        <f t="array" ref="L13">IFERROR(INDEX('Master Sheet'!$AK$35:$AK$42, MATCH(K13,'Master Sheet'!$AH$35:$AH$42, 0)),0)+IFERROR(INDEX('Master Sheet'!$AK$43:$AK$50, MATCH(K13,'Master Sheet'!$AH$43:$AH$50, 0)),0)*'Master Sheet'!$AG$49</f>
        <v>0</v>
      </c>
      <c r="M13" s="10"/>
    </row>
    <row r="14">
      <c r="A14" s="36"/>
      <c r="B14" s="759">
        <f>ROUNDUP($G$4/$D$4,0)</f>
        <v>687</v>
      </c>
      <c r="C14" s="760">
        <f>MAX(ROUNDUP($G$4-$D$7*$D$4,0),0)</f>
        <v>0</v>
      </c>
      <c r="D14" s="759">
        <f>ROUNDUP($G$5/$D$5,0)</f>
        <v>812</v>
      </c>
      <c r="E14" s="760">
        <f>MAX(ROUNDUP($G$5-$D$7*$D$5,0),0)</f>
        <v>0</v>
      </c>
      <c r="F14" s="759">
        <f>ROUNDUP($G$6/$D$6,0)</f>
        <v>718</v>
      </c>
      <c r="G14" s="761">
        <f>MAX(ROUNDUP($G$6-$D$7*$D$6,0),0)</f>
        <v>0</v>
      </c>
      <c r="H14" s="219"/>
      <c r="I14" s="36"/>
      <c r="J14" s="36"/>
      <c r="K14" s="735" t="s">
        <v>142</v>
      </c>
      <c r="L14" s="742">
        <f t="array" ref="L14">IFERROR(INDEX('Master Sheet'!$AK$35:$AK$42, MATCH(K14,'Master Sheet'!$AH$35:$AH$42, 0)),0)+IFERROR(INDEX('Master Sheet'!$AK$43:$AK$50, MATCH(K14,'Master Sheet'!$AH$43:$AH$50, 0)),0)*'Master Sheet'!$AG$49</f>
        <v>0.112</v>
      </c>
      <c r="M14" s="10"/>
    </row>
    <row r="15">
      <c r="A15" s="36"/>
      <c r="B15" s="36"/>
      <c r="C15" s="36"/>
      <c r="D15" s="36"/>
      <c r="E15" s="36"/>
      <c r="F15" s="762" t="s">
        <v>255</v>
      </c>
      <c r="G15" s="211"/>
      <c r="H15" s="204"/>
      <c r="I15" s="36"/>
      <c r="J15" s="36"/>
      <c r="K15" s="36"/>
      <c r="L15" s="36"/>
      <c r="M15" s="10"/>
    </row>
    <row r="16" ht="35.25" customHeight="1">
      <c r="A16" s="36"/>
      <c r="B16" s="36"/>
      <c r="C16" s="36"/>
      <c r="D16" s="36"/>
      <c r="E16" s="36"/>
      <c r="F16" s="220"/>
      <c r="G16" s="215"/>
      <c r="H16" s="219"/>
      <c r="I16" s="36"/>
      <c r="J16" s="36"/>
      <c r="K16" s="36"/>
      <c r="L16" s="36"/>
      <c r="M16" s="10"/>
    </row>
    <row r="17">
      <c r="A17" s="36"/>
      <c r="B17" s="36"/>
      <c r="C17" s="36"/>
      <c r="D17" s="36"/>
      <c r="E17" s="36"/>
      <c r="F17" s="36"/>
      <c r="G17" s="36"/>
      <c r="H17" s="36"/>
      <c r="I17" s="36"/>
      <c r="J17" s="36"/>
      <c r="K17" s="36"/>
      <c r="L17" s="36"/>
      <c r="M17" s="10"/>
    </row>
  </sheetData>
  <mergeCells count="21">
    <mergeCell ref="B2:H3"/>
    <mergeCell ref="J2:L3"/>
    <mergeCell ref="B4:C4"/>
    <mergeCell ref="E4:F4"/>
    <mergeCell ref="G4:H4"/>
    <mergeCell ref="E5:F5"/>
    <mergeCell ref="G5:H5"/>
    <mergeCell ref="B11:H11"/>
    <mergeCell ref="B12:C12"/>
    <mergeCell ref="D12:E12"/>
    <mergeCell ref="F12:H12"/>
    <mergeCell ref="G13:H13"/>
    <mergeCell ref="G14:H14"/>
    <mergeCell ref="F15:H16"/>
    <mergeCell ref="B5:C5"/>
    <mergeCell ref="B6:C6"/>
    <mergeCell ref="E6:F6"/>
    <mergeCell ref="G6:H6"/>
    <mergeCell ref="B7:C7"/>
    <mergeCell ref="E7:F7"/>
    <mergeCell ref="B8:H10"/>
  </mergeCells>
  <conditionalFormatting sqref="L4:L14">
    <cfRule type="expression" dxfId="7" priority="1">
      <formula>NOT(ISFORMULA(L4))</formula>
    </cfRule>
  </conditionalFormatting>
  <dataValidations>
    <dataValidation type="list" allowBlank="1" showErrorMessage="1" sqref="L5">
      <formula1>"No used,1,2,3,4,5,6,7"</formula1>
    </dataValidation>
    <dataValidation type="list" allowBlank="1" showErrorMessage="1" sqref="H7">
      <formula1>"1,2,3,4,5"</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outlineLevelCol="1"/>
  <cols>
    <col customWidth="1" min="1" max="7" width="12.63"/>
    <col collapsed="1" customWidth="1" min="8" max="8" width="12.63"/>
    <col customWidth="1" hidden="1" min="9" max="9" width="6.38" outlineLevel="1"/>
    <col customWidth="1" hidden="1" min="10" max="10" width="14.63" outlineLevel="1"/>
    <col customWidth="1" hidden="1" min="11" max="12" width="6.38" outlineLevel="1"/>
    <col customWidth="1" hidden="1" min="13" max="13" width="8.5" outlineLevel="1"/>
    <col customWidth="1" hidden="1" min="14" max="66" width="6.38" outlineLevel="1"/>
  </cols>
  <sheetData>
    <row r="1">
      <c r="A1" s="36"/>
      <c r="B1" s="36"/>
      <c r="C1" s="36"/>
      <c r="D1" s="36"/>
      <c r="E1" s="36"/>
      <c r="F1" s="36"/>
      <c r="G1" s="36"/>
      <c r="H1" s="36"/>
      <c r="I1" s="763"/>
      <c r="J1" s="763" t="s">
        <v>256</v>
      </c>
      <c r="K1" s="764">
        <f>IFERROR(VLOOKUP("Enemy Attack Level Skip",IDS_MOD_GENERATOR_SUBSTATS('Master Sheet'!AG38),4, FALSE), 0)+IFERROR(VLOOKUP("Enemy Attack Level Skip",IDS_MOD_GENERATOR_SUBSTATS('Master Sheet'!AG44),4, FALSE), 0)*'Master Sheet'!AG49</f>
        <v>0.088</v>
      </c>
      <c r="L1" s="765"/>
      <c r="M1" s="766"/>
      <c r="N1" s="767"/>
      <c r="O1" s="768"/>
      <c r="P1" s="767"/>
      <c r="Q1" s="767"/>
      <c r="R1" s="767"/>
      <c r="S1" s="767"/>
      <c r="T1" s="767"/>
      <c r="U1" s="767"/>
      <c r="V1" s="767"/>
      <c r="W1" s="767"/>
      <c r="X1" s="767"/>
      <c r="Y1" s="767"/>
      <c r="Z1" s="767"/>
      <c r="AA1" s="767"/>
      <c r="AB1" s="767"/>
      <c r="AC1" s="767"/>
      <c r="AD1" s="767"/>
      <c r="AE1" s="767"/>
      <c r="AF1" s="767"/>
      <c r="AG1" s="767"/>
      <c r="AH1" s="767"/>
      <c r="AI1" s="767"/>
      <c r="AJ1" s="767"/>
      <c r="AK1" s="767"/>
      <c r="AL1" s="767"/>
      <c r="AM1" s="767"/>
      <c r="AN1" s="767"/>
      <c r="AO1" s="767"/>
      <c r="AP1" s="767"/>
      <c r="AQ1" s="767"/>
      <c r="AR1" s="767"/>
      <c r="AS1" s="767"/>
      <c r="AT1" s="767"/>
      <c r="AU1" s="767"/>
      <c r="AV1" s="767"/>
      <c r="AW1" s="767"/>
      <c r="AX1" s="767"/>
      <c r="AY1" s="767"/>
      <c r="AZ1" s="767"/>
      <c r="BA1" s="767"/>
      <c r="BB1" s="767"/>
      <c r="BC1" s="767"/>
      <c r="BD1" s="767"/>
      <c r="BE1" s="767"/>
      <c r="BF1" s="767"/>
      <c r="BG1" s="767"/>
      <c r="BH1" s="767"/>
      <c r="BI1" s="767"/>
      <c r="BJ1" s="767"/>
      <c r="BK1" s="767"/>
      <c r="BL1" s="765"/>
      <c r="BM1" s="769"/>
      <c r="BN1" s="769"/>
    </row>
    <row r="2">
      <c r="A2" s="36"/>
      <c r="B2" s="730" t="s">
        <v>257</v>
      </c>
      <c r="C2" s="211"/>
      <c r="D2" s="211"/>
      <c r="E2" s="211"/>
      <c r="F2" s="211"/>
      <c r="G2" s="204"/>
      <c r="H2" s="36"/>
      <c r="I2" s="763"/>
      <c r="J2" s="770">
        <f>AVERAGE(K1:K2)</f>
        <v>0.078</v>
      </c>
      <c r="K2" s="764">
        <f>IFERROR(VLOOKUP("Enemy Health Level Skip",IDS_MOD_GENERATOR_SUBSTATS('Master Sheet'!AG38),4, FALSE), 0)+IFERROR(VLOOKUP("Enemy Health Level Skip",IDS_MOD_GENERATOR_SUBSTATS('Master Sheet'!AG44),4, FALSE), 0)*'Master Sheet'!AG49</f>
        <v>0.068</v>
      </c>
      <c r="L2" s="767"/>
      <c r="M2" s="766"/>
      <c r="N2" s="767"/>
      <c r="O2" s="768"/>
      <c r="P2" s="767"/>
      <c r="Q2" s="767"/>
      <c r="R2" s="767"/>
      <c r="S2" s="767"/>
      <c r="T2" s="767"/>
      <c r="U2" s="767"/>
      <c r="V2" s="767"/>
      <c r="W2" s="767"/>
      <c r="X2" s="767"/>
      <c r="Y2" s="767"/>
      <c r="Z2" s="767"/>
      <c r="AA2" s="767"/>
      <c r="AB2" s="767"/>
      <c r="AC2" s="767"/>
      <c r="AD2" s="767"/>
      <c r="AE2" s="767"/>
      <c r="AF2" s="767"/>
      <c r="AG2" s="767"/>
      <c r="AH2" s="767"/>
      <c r="AI2" s="767"/>
      <c r="AJ2" s="767"/>
      <c r="AK2" s="767"/>
      <c r="AL2" s="767"/>
      <c r="AM2" s="767"/>
      <c r="AN2" s="767"/>
      <c r="AO2" s="767"/>
      <c r="AP2" s="767"/>
      <c r="AQ2" s="767"/>
      <c r="AR2" s="767"/>
      <c r="AS2" s="767"/>
      <c r="AT2" s="767"/>
      <c r="AU2" s="767"/>
      <c r="AV2" s="767"/>
      <c r="AW2" s="767"/>
      <c r="AX2" s="767"/>
      <c r="AY2" s="767"/>
      <c r="AZ2" s="767"/>
      <c r="BA2" s="767"/>
      <c r="BB2" s="767"/>
      <c r="BC2" s="767"/>
      <c r="BD2" s="767"/>
      <c r="BE2" s="767"/>
      <c r="BF2" s="767"/>
      <c r="BG2" s="767"/>
      <c r="BH2" s="767"/>
      <c r="BI2" s="767"/>
      <c r="BJ2" s="767"/>
      <c r="BK2" s="767"/>
      <c r="BL2" s="765"/>
      <c r="BM2" s="769"/>
      <c r="BN2" s="769"/>
    </row>
    <row r="3">
      <c r="A3" s="36"/>
      <c r="B3" s="702"/>
      <c r="G3" s="224"/>
      <c r="H3" s="36"/>
      <c r="I3" s="770"/>
      <c r="J3" s="763" t="s">
        <v>258</v>
      </c>
      <c r="K3" s="771">
        <f>'Master Sheet'!R20</f>
        <v>15</v>
      </c>
      <c r="L3" s="767"/>
      <c r="M3" s="766"/>
      <c r="N3" s="767"/>
      <c r="O3" s="768"/>
      <c r="P3" s="767"/>
      <c r="Q3" s="767"/>
      <c r="R3" s="767"/>
      <c r="S3" s="767"/>
      <c r="T3" s="767"/>
      <c r="U3" s="767"/>
      <c r="V3" s="767"/>
      <c r="W3" s="767"/>
      <c r="X3" s="767"/>
      <c r="Y3" s="767"/>
      <c r="Z3" s="767"/>
      <c r="AA3" s="767"/>
      <c r="AB3" s="767"/>
      <c r="AC3" s="767"/>
      <c r="AD3" s="767"/>
      <c r="AE3" s="767"/>
      <c r="AF3" s="767"/>
      <c r="AG3" s="767"/>
      <c r="AH3" s="767"/>
      <c r="AI3" s="767"/>
      <c r="AJ3" s="767"/>
      <c r="AK3" s="767"/>
      <c r="AL3" s="767"/>
      <c r="AM3" s="767"/>
      <c r="AN3" s="767"/>
      <c r="AO3" s="767"/>
      <c r="AP3" s="767"/>
      <c r="AQ3" s="767"/>
      <c r="AR3" s="767"/>
      <c r="AS3" s="767"/>
      <c r="AT3" s="767"/>
      <c r="AU3" s="767"/>
      <c r="AV3" s="767"/>
      <c r="AW3" s="767"/>
      <c r="AX3" s="767"/>
      <c r="AY3" s="767"/>
      <c r="AZ3" s="767"/>
      <c r="BA3" s="767"/>
      <c r="BB3" s="767"/>
      <c r="BC3" s="767"/>
      <c r="BD3" s="767"/>
      <c r="BE3" s="767"/>
      <c r="BF3" s="767"/>
      <c r="BG3" s="767"/>
      <c r="BH3" s="767"/>
      <c r="BI3" s="767"/>
      <c r="BJ3" s="767"/>
      <c r="BK3" s="767"/>
      <c r="BL3" s="765"/>
      <c r="BM3" s="769"/>
      <c r="BN3" s="769"/>
    </row>
    <row r="4">
      <c r="A4" s="36"/>
      <c r="B4" s="731" t="s">
        <v>259</v>
      </c>
      <c r="C4" s="325"/>
      <c r="D4" s="772">
        <f>'Master Sheet'!Z18</f>
        <v>0</v>
      </c>
      <c r="E4" s="773" t="s">
        <v>260</v>
      </c>
      <c r="F4" s="325"/>
      <c r="G4" s="774">
        <f>'Master Sheet'!Z4</f>
        <v>41</v>
      </c>
      <c r="H4" s="36"/>
      <c r="I4" s="765"/>
      <c r="J4" s="765"/>
      <c r="K4" s="765"/>
      <c r="L4" s="765"/>
      <c r="M4" s="775"/>
      <c r="N4" s="776"/>
      <c r="O4" s="777"/>
      <c r="P4" s="777"/>
      <c r="Q4" s="777"/>
      <c r="R4" s="777"/>
      <c r="S4" s="777"/>
      <c r="T4" s="777"/>
      <c r="U4" s="777"/>
      <c r="V4" s="777"/>
      <c r="W4" s="777"/>
      <c r="X4" s="777"/>
      <c r="Y4" s="777"/>
      <c r="Z4" s="777"/>
      <c r="AA4" s="777"/>
      <c r="AB4" s="777"/>
      <c r="AC4" s="777"/>
      <c r="AD4" s="777"/>
      <c r="AE4" s="777"/>
      <c r="AF4" s="777"/>
      <c r="AG4" s="777"/>
      <c r="AH4" s="777"/>
      <c r="AI4" s="777"/>
      <c r="AJ4" s="777"/>
      <c r="AK4" s="777"/>
      <c r="AL4" s="777"/>
      <c r="AM4" s="777"/>
      <c r="AN4" s="777"/>
      <c r="AO4" s="777"/>
      <c r="AP4" s="777"/>
      <c r="AQ4" s="777"/>
      <c r="AR4" s="777"/>
      <c r="AS4" s="777"/>
      <c r="AT4" s="777"/>
      <c r="AU4" s="777"/>
      <c r="AV4" s="777"/>
      <c r="AW4" s="777"/>
      <c r="AX4" s="777"/>
      <c r="AY4" s="777"/>
      <c r="AZ4" s="777"/>
      <c r="BA4" s="777"/>
      <c r="BB4" s="777"/>
      <c r="BC4" s="777"/>
      <c r="BD4" s="777"/>
      <c r="BE4" s="777"/>
      <c r="BF4" s="777"/>
      <c r="BG4" s="777"/>
      <c r="BH4" s="777"/>
      <c r="BI4" s="777"/>
      <c r="BJ4" s="777"/>
      <c r="BK4" s="777"/>
      <c r="BL4" s="765"/>
      <c r="BM4" s="778"/>
      <c r="BN4" s="778"/>
    </row>
    <row r="5">
      <c r="A5" s="36"/>
      <c r="B5" s="731" t="s">
        <v>261</v>
      </c>
      <c r="C5" s="325"/>
      <c r="D5" s="779">
        <f>AVERAGE('Master Sheet'!Z22:AA23)</f>
        <v>0</v>
      </c>
      <c r="E5" s="780" t="s">
        <v>262</v>
      </c>
      <c r="F5" s="325"/>
      <c r="G5" s="779">
        <f>AVERAGE('Master Sheet'!Z14:AA15)</f>
        <v>0.02</v>
      </c>
      <c r="H5" s="36"/>
      <c r="I5" s="765"/>
      <c r="J5" s="765"/>
      <c r="K5" s="765"/>
      <c r="L5" s="765"/>
      <c r="M5" s="775" t="s">
        <v>263</v>
      </c>
      <c r="N5" s="768">
        <v>5.0E9</v>
      </c>
      <c r="O5" s="768">
        <v>1.5499999744E10</v>
      </c>
      <c r="P5" s="768">
        <v>2.02983125504E11</v>
      </c>
      <c r="Q5" s="768">
        <v>1.132715438592E12</v>
      </c>
      <c r="R5" s="768">
        <v>3.887235461632E12</v>
      </c>
      <c r="S5" s="768">
        <v>1.0136606601728E13</v>
      </c>
      <c r="T5" s="768">
        <v>2.2192547295744E13</v>
      </c>
      <c r="U5" s="768">
        <v>4.3053398487552E13</v>
      </c>
      <c r="V5" s="768">
        <v>7.6443095003648E13</v>
      </c>
      <c r="W5" s="768">
        <v>1.26845626741248E14</v>
      </c>
      <c r="X5" s="768">
        <v>1.99536329224704E14</v>
      </c>
      <c r="Y5" s="768">
        <v>3.00610331472384E14</v>
      </c>
      <c r="Z5" s="768">
        <v>4.37009131106816E14</v>
      </c>
      <c r="AA5" s="768">
        <v>6.16544938095104E14</v>
      </c>
      <c r="AB5" s="768">
        <v>8.47924020244992E14</v>
      </c>
      <c r="AC5" s="768">
        <v>1.14076817804134E15</v>
      </c>
      <c r="AD5" s="768">
        <v>1.50563571616614E15</v>
      </c>
      <c r="AE5" s="768">
        <v>3.9080812732672E15</v>
      </c>
      <c r="AF5" s="768">
        <v>7.49541609975552E15</v>
      </c>
      <c r="AG5" s="768">
        <v>1.26096402541302E16</v>
      </c>
      <c r="AH5" s="768">
        <v>1.96517337621939E16</v>
      </c>
      <c r="AI5" s="768">
        <v>2.90867940690278E16</v>
      </c>
      <c r="AJ5" s="768">
        <v>4.14492788518825E16</v>
      </c>
      <c r="AK5" s="768">
        <v>5.73483503016714E16</v>
      </c>
      <c r="AL5" s="768">
        <v>7.74732798024422E16</v>
      </c>
      <c r="AM5" s="768">
        <v>1.02598980386125E17</v>
      </c>
      <c r="AN5" s="768">
        <v>1.33591550998439E17</v>
      </c>
      <c r="AO5" s="768">
        <v>1.71413991489755E17</v>
      </c>
      <c r="AP5" s="768">
        <v>2.17131904721046E17</v>
      </c>
      <c r="AQ5" s="768">
        <v>2.7191938872215E17</v>
      </c>
      <c r="AR5" s="768">
        <v>3.37064727523438E17</v>
      </c>
      <c r="AS5" s="768">
        <v>4.96772044833386E17</v>
      </c>
      <c r="AT5" s="768">
        <v>7.05866258963535E17</v>
      </c>
      <c r="AU5" s="768">
        <v>9.7499645814572E17</v>
      </c>
      <c r="AV5" s="768">
        <v>1.31639434777446E18</v>
      </c>
      <c r="AW5" s="768">
        <v>1.7440264743235E18</v>
      </c>
      <c r="AX5" s="768">
        <v>2.27375270089153E18</v>
      </c>
      <c r="AY5" s="768">
        <v>2.92349131125079E18</v>
      </c>
      <c r="AZ5" s="768">
        <v>3.71339473247616E18</v>
      </c>
      <c r="BA5" s="768">
        <v>4.66603070792918E18</v>
      </c>
      <c r="BB5" s="768">
        <v>5.8065698144155E18</v>
      </c>
      <c r="BC5" s="768">
        <v>7.16298936401382E18</v>
      </c>
      <c r="BD5" s="768">
        <v>8.76627440653239E18</v>
      </c>
      <c r="BE5" s="768">
        <v>1.06506311822566E19</v>
      </c>
      <c r="BF5" s="768">
        <v>1.28537112201813E19</v>
      </c>
      <c r="BG5" s="768">
        <v>1.54168444641446E19</v>
      </c>
      <c r="BH5" s="768">
        <v>1.83852716137263E19</v>
      </c>
      <c r="BI5" s="768">
        <v>2.18084004574446E19</v>
      </c>
      <c r="BJ5" s="768">
        <v>2.57400585028778E19</v>
      </c>
      <c r="BK5" s="768">
        <v>2.57400585028778E24</v>
      </c>
      <c r="BL5" s="765"/>
      <c r="BM5" s="778"/>
      <c r="BN5" s="778"/>
    </row>
    <row r="6">
      <c r="A6" s="36"/>
      <c r="B6" s="731" t="s">
        <v>264</v>
      </c>
      <c r="C6" s="325"/>
      <c r="D6" s="781">
        <f>ROUND(('Master Sheet'!Z5+'Master Sheet'!Z6)/2,0)</f>
        <v>20</v>
      </c>
      <c r="E6" s="780" t="s">
        <v>265</v>
      </c>
      <c r="F6" s="744"/>
      <c r="G6" s="782" t="b">
        <v>1</v>
      </c>
      <c r="H6" s="36"/>
      <c r="I6" s="765"/>
      <c r="J6" s="765"/>
      <c r="K6" s="765"/>
      <c r="L6" s="765"/>
      <c r="M6" s="775" t="s">
        <v>258</v>
      </c>
      <c r="N6" s="776">
        <v>1.0</v>
      </c>
      <c r="O6" s="777">
        <f t="shared" ref="O6:BK6" si="1">N6 + 1</f>
        <v>2</v>
      </c>
      <c r="P6" s="777">
        <f t="shared" si="1"/>
        <v>3</v>
      </c>
      <c r="Q6" s="777">
        <f t="shared" si="1"/>
        <v>4</v>
      </c>
      <c r="R6" s="777">
        <f t="shared" si="1"/>
        <v>5</v>
      </c>
      <c r="S6" s="777">
        <f t="shared" si="1"/>
        <v>6</v>
      </c>
      <c r="T6" s="777">
        <f t="shared" si="1"/>
        <v>7</v>
      </c>
      <c r="U6" s="777">
        <f t="shared" si="1"/>
        <v>8</v>
      </c>
      <c r="V6" s="777">
        <f t="shared" si="1"/>
        <v>9</v>
      </c>
      <c r="W6" s="777">
        <f t="shared" si="1"/>
        <v>10</v>
      </c>
      <c r="X6" s="777">
        <f t="shared" si="1"/>
        <v>11</v>
      </c>
      <c r="Y6" s="777">
        <f t="shared" si="1"/>
        <v>12</v>
      </c>
      <c r="Z6" s="777">
        <f t="shared" si="1"/>
        <v>13</v>
      </c>
      <c r="AA6" s="777">
        <f t="shared" si="1"/>
        <v>14</v>
      </c>
      <c r="AB6" s="777">
        <f t="shared" si="1"/>
        <v>15</v>
      </c>
      <c r="AC6" s="777">
        <f t="shared" si="1"/>
        <v>16</v>
      </c>
      <c r="AD6" s="777">
        <f t="shared" si="1"/>
        <v>17</v>
      </c>
      <c r="AE6" s="777">
        <f t="shared" si="1"/>
        <v>18</v>
      </c>
      <c r="AF6" s="777">
        <f t="shared" si="1"/>
        <v>19</v>
      </c>
      <c r="AG6" s="777">
        <f t="shared" si="1"/>
        <v>20</v>
      </c>
      <c r="AH6" s="777">
        <f t="shared" si="1"/>
        <v>21</v>
      </c>
      <c r="AI6" s="777">
        <f t="shared" si="1"/>
        <v>22</v>
      </c>
      <c r="AJ6" s="777">
        <f t="shared" si="1"/>
        <v>23</v>
      </c>
      <c r="AK6" s="777">
        <f t="shared" si="1"/>
        <v>24</v>
      </c>
      <c r="AL6" s="777">
        <f t="shared" si="1"/>
        <v>25</v>
      </c>
      <c r="AM6" s="777">
        <f t="shared" si="1"/>
        <v>26</v>
      </c>
      <c r="AN6" s="777">
        <f t="shared" si="1"/>
        <v>27</v>
      </c>
      <c r="AO6" s="777">
        <f t="shared" si="1"/>
        <v>28</v>
      </c>
      <c r="AP6" s="777">
        <f t="shared" si="1"/>
        <v>29</v>
      </c>
      <c r="AQ6" s="777">
        <f t="shared" si="1"/>
        <v>30</v>
      </c>
      <c r="AR6" s="777">
        <f t="shared" si="1"/>
        <v>31</v>
      </c>
      <c r="AS6" s="777">
        <f t="shared" si="1"/>
        <v>32</v>
      </c>
      <c r="AT6" s="777">
        <f t="shared" si="1"/>
        <v>33</v>
      </c>
      <c r="AU6" s="777">
        <f t="shared" si="1"/>
        <v>34</v>
      </c>
      <c r="AV6" s="777">
        <f t="shared" si="1"/>
        <v>35</v>
      </c>
      <c r="AW6" s="777">
        <f t="shared" si="1"/>
        <v>36</v>
      </c>
      <c r="AX6" s="777">
        <f t="shared" si="1"/>
        <v>37</v>
      </c>
      <c r="AY6" s="777">
        <f t="shared" si="1"/>
        <v>38</v>
      </c>
      <c r="AZ6" s="777">
        <f t="shared" si="1"/>
        <v>39</v>
      </c>
      <c r="BA6" s="777">
        <f t="shared" si="1"/>
        <v>40</v>
      </c>
      <c r="BB6" s="777">
        <f t="shared" si="1"/>
        <v>41</v>
      </c>
      <c r="BC6" s="777">
        <f t="shared" si="1"/>
        <v>42</v>
      </c>
      <c r="BD6" s="777">
        <f t="shared" si="1"/>
        <v>43</v>
      </c>
      <c r="BE6" s="777">
        <f t="shared" si="1"/>
        <v>44</v>
      </c>
      <c r="BF6" s="777">
        <f t="shared" si="1"/>
        <v>45</v>
      </c>
      <c r="BG6" s="777">
        <f t="shared" si="1"/>
        <v>46</v>
      </c>
      <c r="BH6" s="777">
        <f t="shared" si="1"/>
        <v>47</v>
      </c>
      <c r="BI6" s="777">
        <f t="shared" si="1"/>
        <v>48</v>
      </c>
      <c r="BJ6" s="777">
        <f t="shared" si="1"/>
        <v>49</v>
      </c>
      <c r="BK6" s="777">
        <f t="shared" si="1"/>
        <v>50</v>
      </c>
      <c r="BL6" s="765"/>
      <c r="BM6" s="778"/>
      <c r="BN6" s="778"/>
    </row>
    <row r="7">
      <c r="A7" s="36"/>
      <c r="B7" s="741" t="s">
        <v>266</v>
      </c>
      <c r="C7" s="204"/>
      <c r="D7" s="779">
        <f>MIN(K1:K2)</f>
        <v>0.068</v>
      </c>
      <c r="E7" s="780" t="s">
        <v>267</v>
      </c>
      <c r="F7" s="744"/>
      <c r="G7" s="782">
        <v>2100.0</v>
      </c>
      <c r="H7" s="36"/>
      <c r="I7" s="765"/>
      <c r="J7" s="765"/>
      <c r="K7" s="765"/>
      <c r="L7" s="765"/>
      <c r="M7" s="783" t="s">
        <v>202</v>
      </c>
      <c r="N7" s="768">
        <f t="shared" ref="N7:BK7" si="2">N5*(1-$D4)</f>
        <v>5000000000</v>
      </c>
      <c r="O7" s="768">
        <f t="shared" si="2"/>
        <v>15499999744</v>
      </c>
      <c r="P7" s="768">
        <f t="shared" si="2"/>
        <v>202983125504</v>
      </c>
      <c r="Q7" s="768">
        <f t="shared" si="2"/>
        <v>1132715438592</v>
      </c>
      <c r="R7" s="768">
        <f t="shared" si="2"/>
        <v>3887235461632</v>
      </c>
      <c r="S7" s="768">
        <f t="shared" si="2"/>
        <v>10136606601728</v>
      </c>
      <c r="T7" s="768">
        <f t="shared" si="2"/>
        <v>22192547295744</v>
      </c>
      <c r="U7" s="768">
        <f t="shared" si="2"/>
        <v>43053398487552</v>
      </c>
      <c r="V7" s="768">
        <f t="shared" si="2"/>
        <v>76443095003648</v>
      </c>
      <c r="W7" s="768">
        <f t="shared" si="2"/>
        <v>126845626741248</v>
      </c>
      <c r="X7" s="768">
        <f t="shared" si="2"/>
        <v>199536329224704</v>
      </c>
      <c r="Y7" s="768">
        <f t="shared" si="2"/>
        <v>300610331472384</v>
      </c>
      <c r="Z7" s="768">
        <f t="shared" si="2"/>
        <v>437009131106816</v>
      </c>
      <c r="AA7" s="768">
        <f t="shared" si="2"/>
        <v>616544938095104</v>
      </c>
      <c r="AB7" s="768">
        <f t="shared" si="2"/>
        <v>847924020244992</v>
      </c>
      <c r="AC7" s="768">
        <f t="shared" si="2"/>
        <v>1.14077E+15</v>
      </c>
      <c r="AD7" s="768">
        <f t="shared" si="2"/>
        <v>1.50564E+15</v>
      </c>
      <c r="AE7" s="768">
        <f t="shared" si="2"/>
        <v>3.90808E+15</v>
      </c>
      <c r="AF7" s="768">
        <f t="shared" si="2"/>
        <v>7.49542E+15</v>
      </c>
      <c r="AG7" s="768">
        <f t="shared" si="2"/>
        <v>1.26096E+16</v>
      </c>
      <c r="AH7" s="768">
        <f t="shared" si="2"/>
        <v>1.96517E+16</v>
      </c>
      <c r="AI7" s="768">
        <f t="shared" si="2"/>
        <v>2.90868E+16</v>
      </c>
      <c r="AJ7" s="768">
        <f t="shared" si="2"/>
        <v>4.14493E+16</v>
      </c>
      <c r="AK7" s="768">
        <f t="shared" si="2"/>
        <v>5.73484E+16</v>
      </c>
      <c r="AL7" s="768">
        <f t="shared" si="2"/>
        <v>7.74733E+16</v>
      </c>
      <c r="AM7" s="768">
        <f t="shared" si="2"/>
        <v>1.02599E+17</v>
      </c>
      <c r="AN7" s="768">
        <f t="shared" si="2"/>
        <v>1.33592E+17</v>
      </c>
      <c r="AO7" s="768">
        <f t="shared" si="2"/>
        <v>1.71414E+17</v>
      </c>
      <c r="AP7" s="768">
        <f t="shared" si="2"/>
        <v>2.17132E+17</v>
      </c>
      <c r="AQ7" s="768">
        <f t="shared" si="2"/>
        <v>2.71919E+17</v>
      </c>
      <c r="AR7" s="768">
        <f t="shared" si="2"/>
        <v>3.37065E+17</v>
      </c>
      <c r="AS7" s="768">
        <f t="shared" si="2"/>
        <v>4.96772E+17</v>
      </c>
      <c r="AT7" s="768">
        <f t="shared" si="2"/>
        <v>7.05866E+17</v>
      </c>
      <c r="AU7" s="768">
        <f t="shared" si="2"/>
        <v>9.74996E+17</v>
      </c>
      <c r="AV7" s="768">
        <f t="shared" si="2"/>
        <v>1.31639E+18</v>
      </c>
      <c r="AW7" s="768">
        <f t="shared" si="2"/>
        <v>1.74403E+18</v>
      </c>
      <c r="AX7" s="768">
        <f t="shared" si="2"/>
        <v>2.27375E+18</v>
      </c>
      <c r="AY7" s="768">
        <f t="shared" si="2"/>
        <v>2.92349E+18</v>
      </c>
      <c r="AZ7" s="768">
        <f t="shared" si="2"/>
        <v>3.71339E+18</v>
      </c>
      <c r="BA7" s="768">
        <f t="shared" si="2"/>
        <v>4.66603E+18</v>
      </c>
      <c r="BB7" s="768">
        <f t="shared" si="2"/>
        <v>5.80657E+18</v>
      </c>
      <c r="BC7" s="768">
        <f t="shared" si="2"/>
        <v>7.16299E+18</v>
      </c>
      <c r="BD7" s="768">
        <f t="shared" si="2"/>
        <v>8.76627E+18</v>
      </c>
      <c r="BE7" s="768">
        <f t="shared" si="2"/>
        <v>1.06506E+19</v>
      </c>
      <c r="BF7" s="768">
        <f t="shared" si="2"/>
        <v>1.28537E+19</v>
      </c>
      <c r="BG7" s="768">
        <f t="shared" si="2"/>
        <v>1.54168E+19</v>
      </c>
      <c r="BH7" s="768">
        <f t="shared" si="2"/>
        <v>1.83853E+19</v>
      </c>
      <c r="BI7" s="768">
        <f t="shared" si="2"/>
        <v>2.18084E+19</v>
      </c>
      <c r="BJ7" s="768">
        <f t="shared" si="2"/>
        <v>2.57401E+19</v>
      </c>
      <c r="BK7" s="768">
        <f t="shared" si="2"/>
        <v>2.57401E+24</v>
      </c>
      <c r="BL7" s="763"/>
      <c r="BM7" s="784" t="s">
        <v>268</v>
      </c>
      <c r="BN7" s="784" t="s">
        <v>269</v>
      </c>
    </row>
    <row r="8" ht="18.75" customHeight="1">
      <c r="A8" s="36"/>
      <c r="B8" s="741" t="s">
        <v>270</v>
      </c>
      <c r="C8" s="204"/>
      <c r="D8" s="785">
        <f>ROUND(('Master Sheet'!D49+'Master Sheet'!D50)/2,0)</f>
        <v>325</v>
      </c>
      <c r="E8" s="786" t="s">
        <v>271</v>
      </c>
      <c r="F8" s="219"/>
      <c r="G8" s="782">
        <v>7500.0</v>
      </c>
      <c r="H8" s="36"/>
      <c r="I8" s="765"/>
      <c r="J8" s="765"/>
      <c r="K8" s="765"/>
      <c r="L8" s="765"/>
      <c r="M8" s="775" t="s">
        <v>272</v>
      </c>
      <c r="N8" s="787">
        <f t="shared" ref="N8:BK8" si="3">1+(0.01*N6)</f>
        <v>1.01</v>
      </c>
      <c r="O8" s="787">
        <f t="shared" si="3"/>
        <v>1.02</v>
      </c>
      <c r="P8" s="787">
        <f t="shared" si="3"/>
        <v>1.03</v>
      </c>
      <c r="Q8" s="787">
        <f t="shared" si="3"/>
        <v>1.04</v>
      </c>
      <c r="R8" s="787">
        <f t="shared" si="3"/>
        <v>1.05</v>
      </c>
      <c r="S8" s="787">
        <f t="shared" si="3"/>
        <v>1.06</v>
      </c>
      <c r="T8" s="787">
        <f t="shared" si="3"/>
        <v>1.07</v>
      </c>
      <c r="U8" s="787">
        <f t="shared" si="3"/>
        <v>1.08</v>
      </c>
      <c r="V8" s="787">
        <f t="shared" si="3"/>
        <v>1.09</v>
      </c>
      <c r="W8" s="787">
        <f t="shared" si="3"/>
        <v>1.1</v>
      </c>
      <c r="X8" s="787">
        <f t="shared" si="3"/>
        <v>1.11</v>
      </c>
      <c r="Y8" s="787">
        <f t="shared" si="3"/>
        <v>1.12</v>
      </c>
      <c r="Z8" s="787">
        <f t="shared" si="3"/>
        <v>1.13</v>
      </c>
      <c r="AA8" s="787">
        <f t="shared" si="3"/>
        <v>1.14</v>
      </c>
      <c r="AB8" s="787">
        <f t="shared" si="3"/>
        <v>1.15</v>
      </c>
      <c r="AC8" s="787">
        <f t="shared" si="3"/>
        <v>1.16</v>
      </c>
      <c r="AD8" s="787">
        <f t="shared" si="3"/>
        <v>1.17</v>
      </c>
      <c r="AE8" s="787">
        <f t="shared" si="3"/>
        <v>1.18</v>
      </c>
      <c r="AF8" s="787">
        <f t="shared" si="3"/>
        <v>1.19</v>
      </c>
      <c r="AG8" s="787">
        <f t="shared" si="3"/>
        <v>1.2</v>
      </c>
      <c r="AH8" s="787">
        <f t="shared" si="3"/>
        <v>1.21</v>
      </c>
      <c r="AI8" s="787">
        <f t="shared" si="3"/>
        <v>1.22</v>
      </c>
      <c r="AJ8" s="787">
        <f t="shared" si="3"/>
        <v>1.23</v>
      </c>
      <c r="AK8" s="787">
        <f t="shared" si="3"/>
        <v>1.24</v>
      </c>
      <c r="AL8" s="787">
        <f t="shared" si="3"/>
        <v>1.25</v>
      </c>
      <c r="AM8" s="787">
        <f t="shared" si="3"/>
        <v>1.26</v>
      </c>
      <c r="AN8" s="787">
        <f t="shared" si="3"/>
        <v>1.27</v>
      </c>
      <c r="AO8" s="787">
        <f t="shared" si="3"/>
        <v>1.28</v>
      </c>
      <c r="AP8" s="787">
        <f t="shared" si="3"/>
        <v>1.29</v>
      </c>
      <c r="AQ8" s="787">
        <f t="shared" si="3"/>
        <v>1.3</v>
      </c>
      <c r="AR8" s="787">
        <f t="shared" si="3"/>
        <v>1.31</v>
      </c>
      <c r="AS8" s="787">
        <f t="shared" si="3"/>
        <v>1.32</v>
      </c>
      <c r="AT8" s="787">
        <f t="shared" si="3"/>
        <v>1.33</v>
      </c>
      <c r="AU8" s="787">
        <f t="shared" si="3"/>
        <v>1.34</v>
      </c>
      <c r="AV8" s="787">
        <f t="shared" si="3"/>
        <v>1.35</v>
      </c>
      <c r="AW8" s="787">
        <f t="shared" si="3"/>
        <v>1.36</v>
      </c>
      <c r="AX8" s="787">
        <f t="shared" si="3"/>
        <v>1.37</v>
      </c>
      <c r="AY8" s="787">
        <f t="shared" si="3"/>
        <v>1.38</v>
      </c>
      <c r="AZ8" s="787">
        <f t="shared" si="3"/>
        <v>1.39</v>
      </c>
      <c r="BA8" s="787">
        <f t="shared" si="3"/>
        <v>1.4</v>
      </c>
      <c r="BB8" s="787">
        <f t="shared" si="3"/>
        <v>1.41</v>
      </c>
      <c r="BC8" s="787">
        <f t="shared" si="3"/>
        <v>1.42</v>
      </c>
      <c r="BD8" s="787">
        <f t="shared" si="3"/>
        <v>1.43</v>
      </c>
      <c r="BE8" s="787">
        <f t="shared" si="3"/>
        <v>1.44</v>
      </c>
      <c r="BF8" s="787">
        <f t="shared" si="3"/>
        <v>1.45</v>
      </c>
      <c r="BG8" s="787">
        <f t="shared" si="3"/>
        <v>1.46</v>
      </c>
      <c r="BH8" s="787">
        <f t="shared" si="3"/>
        <v>1.47</v>
      </c>
      <c r="BI8" s="787">
        <f t="shared" si="3"/>
        <v>1.48</v>
      </c>
      <c r="BJ8" s="787">
        <f t="shared" si="3"/>
        <v>1.49</v>
      </c>
      <c r="BK8" s="787">
        <f t="shared" si="3"/>
        <v>1.5</v>
      </c>
      <c r="BL8" s="765"/>
      <c r="BM8" s="788">
        <v>0.0</v>
      </c>
      <c r="BN8" s="789">
        <v>0.0</v>
      </c>
    </row>
    <row r="9">
      <c r="A9" s="36"/>
      <c r="B9" s="748" t="s">
        <v>273</v>
      </c>
      <c r="C9" s="211"/>
      <c r="D9" s="211"/>
      <c r="E9" s="211"/>
      <c r="F9" s="211"/>
      <c r="G9" s="204"/>
      <c r="H9" s="36"/>
      <c r="I9" s="765"/>
      <c r="J9" s="765"/>
      <c r="K9" s="765"/>
      <c r="L9" s="765"/>
      <c r="M9" s="775"/>
      <c r="N9" s="768">
        <v>1.0</v>
      </c>
      <c r="O9" s="768">
        <f>SUM($O$12:$O$710)</f>
        <v>14</v>
      </c>
      <c r="P9" s="768">
        <f>SUM($P$12:$P$710)</f>
        <v>80</v>
      </c>
      <c r="Q9" s="768">
        <f>SUM($Q$12:$Q$710)</f>
        <v>150</v>
      </c>
      <c r="R9" s="768">
        <f>SUM($R$12:$R$710)</f>
        <v>183</v>
      </c>
      <c r="S9" s="768">
        <f>SUM($S$12:$S$710)</f>
        <v>224</v>
      </c>
      <c r="T9" s="768">
        <f>SUM($T$12:$T$710)</f>
        <v>240</v>
      </c>
      <c r="U9" s="768">
        <f>SUM($U$12:$U$710)</f>
        <v>280</v>
      </c>
      <c r="V9" s="768">
        <f>SUM($V$12:$V$710)</f>
        <v>280</v>
      </c>
      <c r="W9" s="768">
        <f>SUM($W$12:$W$710)</f>
        <v>320</v>
      </c>
      <c r="X9" s="768">
        <f>SUM($X$12:$X$710)</f>
        <v>320</v>
      </c>
      <c r="Y9" s="768">
        <f>SUM($Y$12:$Y$710)</f>
        <v>320</v>
      </c>
      <c r="Z9" s="768">
        <f>SUM($Z$12:$Z$710)</f>
        <v>360</v>
      </c>
      <c r="AA9" s="768">
        <f>SUM($AA$12:$AA$710)</f>
        <v>360</v>
      </c>
      <c r="AB9" s="768">
        <f>SUM($AB$12:$AB$710)</f>
        <v>360</v>
      </c>
      <c r="AC9" s="768">
        <f>SUM($AC$12:$AC$710)</f>
        <v>372</v>
      </c>
      <c r="AD9" s="768">
        <f>SUM($AD$12:$AD$710)</f>
        <v>400</v>
      </c>
      <c r="AE9" s="768">
        <f>SUM($AE$12:$AE$710)</f>
        <v>402</v>
      </c>
      <c r="AF9" s="768">
        <f>SUM($AF$12:$AF$710)</f>
        <v>440</v>
      </c>
      <c r="AG9" s="768">
        <f>SUM($AG$12:$AG$710)</f>
        <v>440</v>
      </c>
      <c r="AH9" s="768">
        <f>SUM($AH$12:$AH$710)</f>
        <v>480</v>
      </c>
      <c r="AI9" s="768">
        <f>SUM($AI$12:$AI$710)</f>
        <v>480</v>
      </c>
      <c r="AJ9" s="768">
        <f>SUM($AJ$12:$AJ$710)</f>
        <v>480</v>
      </c>
      <c r="AK9" s="768">
        <f>SUM($AK$12:$AK$710)</f>
        <v>480</v>
      </c>
      <c r="AL9" s="768">
        <f>SUM($AL$12:$AL$710)</f>
        <v>520</v>
      </c>
      <c r="AM9" s="768">
        <f>SUM($AM$12:$AM$710)</f>
        <v>520</v>
      </c>
      <c r="AN9" s="768">
        <f>SUM($AN$12:$AN$710)</f>
        <v>520</v>
      </c>
      <c r="AO9" s="768">
        <f>SUM($AO$12:$AO$710)</f>
        <v>520</v>
      </c>
      <c r="AP9" s="768">
        <f>SUM($AP$12:$AP$710)</f>
        <v>520</v>
      </c>
      <c r="AQ9" s="768">
        <f>SUM($AQ$12:$AQ$710)</f>
        <v>520</v>
      </c>
      <c r="AR9" s="768">
        <f>SUM($AR$12:$AR$710)</f>
        <v>549</v>
      </c>
      <c r="AS9" s="768">
        <f>SUM($AS$12:$AS$710)</f>
        <v>560</v>
      </c>
      <c r="AT9" s="768">
        <f>SUM($AT$12:$AT$710)</f>
        <v>560</v>
      </c>
      <c r="AU9" s="768">
        <f>SUM($AU$12:$AU$710)</f>
        <v>560</v>
      </c>
      <c r="AV9" s="768">
        <f>SUM($AV$12:$AV$710)</f>
        <v>560</v>
      </c>
      <c r="AW9" s="768">
        <f>SUM($AW$12:$AW$710)</f>
        <v>600</v>
      </c>
      <c r="AX9" s="768">
        <f>SUM($AX$12:$AX$710)</f>
        <v>600</v>
      </c>
      <c r="AY9" s="768">
        <f>SUM($AY$12:$AY$710)</f>
        <v>600</v>
      </c>
      <c r="AZ9" s="768">
        <f>SUM($AZ$12:$AZ$710)</f>
        <v>600</v>
      </c>
      <c r="BA9" s="768">
        <f>SUM($BA$12:$BA$710)</f>
        <v>600</v>
      </c>
      <c r="BB9" s="768">
        <f>SUM($BB$12:$BB$710)</f>
        <v>600</v>
      </c>
      <c r="BC9" s="768">
        <f>SUM($BC$12:$BC$710)</f>
        <v>632</v>
      </c>
      <c r="BD9" s="768">
        <f>SUM($BD$12:$BD$710)</f>
        <v>640</v>
      </c>
      <c r="BE9" s="768">
        <f>SUM($BE$12:$BE$710)</f>
        <v>640</v>
      </c>
      <c r="BF9" s="768">
        <f>SUM($BF$12:$BF$710)</f>
        <v>640</v>
      </c>
      <c r="BG9" s="768">
        <f>SUM($BG$12:$BG$710)</f>
        <v>640</v>
      </c>
      <c r="BH9" s="768">
        <f>SUM($BH$12:$BH$710)</f>
        <v>640</v>
      </c>
      <c r="BI9" s="768">
        <f>SUM($BI$12:$BI$710)</f>
        <v>640</v>
      </c>
      <c r="BJ9" s="768">
        <f>SUM($BJ$12:$BJ$710)</f>
        <v>640</v>
      </c>
      <c r="BK9" s="768">
        <f>SUM($BK$12:$BK$710)</f>
        <v>699</v>
      </c>
      <c r="BM9" s="790">
        <v>1.0</v>
      </c>
      <c r="BN9" s="789">
        <v>0.025</v>
      </c>
    </row>
    <row r="10">
      <c r="A10" s="36"/>
      <c r="B10" s="702"/>
      <c r="G10" s="224"/>
      <c r="H10" s="36"/>
      <c r="I10" s="765"/>
      <c r="J10" s="765"/>
      <c r="K10" s="765"/>
      <c r="L10" s="763"/>
      <c r="M10" s="765"/>
      <c r="N10" s="791"/>
      <c r="O10" s="765"/>
      <c r="P10" s="791"/>
      <c r="Q10" s="765"/>
      <c r="R10" s="765"/>
      <c r="S10" s="791"/>
      <c r="T10" s="791"/>
      <c r="U10" s="791"/>
      <c r="V10" s="791"/>
      <c r="W10" s="791"/>
      <c r="X10" s="791"/>
      <c r="Y10" s="791"/>
      <c r="Z10" s="791"/>
      <c r="AA10" s="791"/>
      <c r="AB10" s="768"/>
      <c r="AC10" s="768"/>
      <c r="AD10" s="768"/>
      <c r="AE10" s="768"/>
      <c r="AF10" s="768"/>
      <c r="AG10" s="768"/>
      <c r="AH10" s="768"/>
      <c r="AI10" s="768"/>
      <c r="AJ10" s="768"/>
      <c r="AK10" s="768"/>
      <c r="AL10" s="768"/>
      <c r="AM10" s="768"/>
      <c r="AN10" s="768"/>
      <c r="AO10" s="768"/>
      <c r="AP10" s="768"/>
      <c r="AQ10" s="768"/>
      <c r="AR10" s="768"/>
      <c r="AS10" s="768"/>
      <c r="AT10" s="768"/>
      <c r="AU10" s="768"/>
      <c r="AV10" s="768"/>
      <c r="AW10" s="768"/>
      <c r="AX10" s="768"/>
      <c r="AY10" s="768"/>
      <c r="AZ10" s="768"/>
      <c r="BA10" s="768"/>
      <c r="BB10" s="768"/>
      <c r="BC10" s="768"/>
      <c r="BD10" s="768"/>
      <c r="BE10" s="768"/>
      <c r="BF10" s="768"/>
      <c r="BG10" s="768"/>
      <c r="BH10" s="768"/>
      <c r="BI10" s="768"/>
      <c r="BJ10" s="768"/>
      <c r="BK10" s="768"/>
      <c r="BL10" s="765"/>
      <c r="BM10" s="790">
        <v>2.0</v>
      </c>
      <c r="BN10" s="789">
        <v>0.05</v>
      </c>
    </row>
    <row r="11">
      <c r="A11" s="36"/>
      <c r="B11" s="702"/>
      <c r="G11" s="224"/>
      <c r="H11" s="36"/>
      <c r="I11" s="763" t="s">
        <v>274</v>
      </c>
      <c r="J11" s="792" t="s">
        <v>275</v>
      </c>
      <c r="K11" s="793" t="s">
        <v>97</v>
      </c>
      <c r="L11" s="793" t="s">
        <v>272</v>
      </c>
      <c r="M11" s="783" t="s">
        <v>202</v>
      </c>
      <c r="N11" s="767"/>
      <c r="O11" s="767"/>
      <c r="P11" s="767"/>
      <c r="Q11" s="767"/>
      <c r="R11" s="767"/>
      <c r="S11" s="767"/>
      <c r="T11" s="767"/>
      <c r="U11" s="767"/>
      <c r="V11" s="767"/>
      <c r="W11" s="767"/>
      <c r="X11" s="767"/>
      <c r="Y11" s="767"/>
      <c r="Z11" s="767"/>
      <c r="AA11" s="767"/>
      <c r="AB11" s="767"/>
      <c r="AC11" s="767"/>
      <c r="AD11" s="767"/>
      <c r="AE11" s="767"/>
      <c r="AF11" s="767"/>
      <c r="AG11" s="767"/>
      <c r="AH11" s="767"/>
      <c r="AI11" s="767"/>
      <c r="AJ11" s="767"/>
      <c r="AK11" s="767"/>
      <c r="AL11" s="767"/>
      <c r="AM11" s="767"/>
      <c r="AN11" s="767"/>
      <c r="AO11" s="767"/>
      <c r="AP11" s="767"/>
      <c r="AQ11" s="767"/>
      <c r="AR11" s="767"/>
      <c r="AS11" s="767"/>
      <c r="AT11" s="767"/>
      <c r="AU11" s="767"/>
      <c r="AV11" s="767"/>
      <c r="AW11" s="767"/>
      <c r="AX11" s="767"/>
      <c r="AY11" s="767"/>
      <c r="AZ11" s="767"/>
      <c r="BA11" s="767"/>
      <c r="BB11" s="767"/>
      <c r="BC11" s="767"/>
      <c r="BD11" s="767"/>
      <c r="BE11" s="767"/>
      <c r="BF11" s="767"/>
      <c r="BG11" s="767"/>
      <c r="BH11" s="767"/>
      <c r="BI11" s="767"/>
      <c r="BJ11" s="767"/>
      <c r="BK11" s="767"/>
      <c r="BL11" s="765"/>
      <c r="BM11" s="790">
        <v>3.0</v>
      </c>
      <c r="BN11" s="789">
        <v>0.075</v>
      </c>
    </row>
    <row r="12">
      <c r="A12" s="36"/>
      <c r="B12" s="752" t="s">
        <v>276</v>
      </c>
      <c r="C12" s="744"/>
      <c r="D12" s="744"/>
      <c r="E12" s="744"/>
      <c r="F12" s="325"/>
      <c r="G12" s="794" t="b">
        <v>1</v>
      </c>
      <c r="H12" s="36"/>
      <c r="I12" s="763">
        <v>1.0</v>
      </c>
      <c r="J12" s="763">
        <f t="shared" ref="J12:J710" si="5">M12*(1-0.003*G$4)</f>
        <v>263100000</v>
      </c>
      <c r="K12" s="795">
        <f>(N("Base Chance Calculation")+0.05%+D$7+D$5+G$5+(D$6*0.1%)) + L$12 + (N("estimates 67% of missing ELS to be upgraded with cash")+(699-D$8)*0.67*0.05%)</f>
        <v>0.23429</v>
      </c>
      <c r="L12" s="796">
        <v>5.0E-4</v>
      </c>
      <c r="M12" s="763">
        <v>3.0E8</v>
      </c>
      <c r="N12" s="797">
        <f>FLOOR(MIN(((($K12-($K12-0.005))*(IF($G$6=TRUE,$G$7,$G$8)/$G$8))/(IF($G$12 = True, 2, 1) * $J12))/(($K12*N$8) / N$7),1),1)</f>
        <v>0</v>
      </c>
      <c r="O12" s="798">
        <f t="shared" ref="O12:BK12" si="4">FLOOR(MIN(((($K12-($K12-0.005))*(IF($G$6=TRUE,$G$7,$G$8)/$G$8))/(IF($G$12 = True, 2, 1) * $J12))/(((($K12-0.005)*O$8)-(($K12-0.005)*N$8)) / O$7),1),1)</f>
        <v>1</v>
      </c>
      <c r="P12" s="798">
        <f t="shared" si="4"/>
        <v>1</v>
      </c>
      <c r="Q12" s="798">
        <f t="shared" si="4"/>
        <v>1</v>
      </c>
      <c r="R12" s="798">
        <f t="shared" si="4"/>
        <v>1</v>
      </c>
      <c r="S12" s="798">
        <f t="shared" si="4"/>
        <v>1</v>
      </c>
      <c r="T12" s="798">
        <f t="shared" si="4"/>
        <v>1</v>
      </c>
      <c r="U12" s="798">
        <f t="shared" si="4"/>
        <v>1</v>
      </c>
      <c r="V12" s="798">
        <f t="shared" si="4"/>
        <v>1</v>
      </c>
      <c r="W12" s="798">
        <f t="shared" si="4"/>
        <v>1</v>
      </c>
      <c r="X12" s="798">
        <f t="shared" si="4"/>
        <v>1</v>
      </c>
      <c r="Y12" s="798">
        <f t="shared" si="4"/>
        <v>1</v>
      </c>
      <c r="Z12" s="798">
        <f t="shared" si="4"/>
        <v>1</v>
      </c>
      <c r="AA12" s="798">
        <f t="shared" si="4"/>
        <v>1</v>
      </c>
      <c r="AB12" s="798">
        <f t="shared" si="4"/>
        <v>1</v>
      </c>
      <c r="AC12" s="798">
        <f t="shared" si="4"/>
        <v>1</v>
      </c>
      <c r="AD12" s="798">
        <f t="shared" si="4"/>
        <v>1</v>
      </c>
      <c r="AE12" s="798">
        <f t="shared" si="4"/>
        <v>1</v>
      </c>
      <c r="AF12" s="798">
        <f t="shared" si="4"/>
        <v>1</v>
      </c>
      <c r="AG12" s="798">
        <f t="shared" si="4"/>
        <v>1</v>
      </c>
      <c r="AH12" s="798">
        <f t="shared" si="4"/>
        <v>1</v>
      </c>
      <c r="AI12" s="798">
        <f t="shared" si="4"/>
        <v>1</v>
      </c>
      <c r="AJ12" s="798">
        <f t="shared" si="4"/>
        <v>1</v>
      </c>
      <c r="AK12" s="798">
        <f t="shared" si="4"/>
        <v>1</v>
      </c>
      <c r="AL12" s="798">
        <f t="shared" si="4"/>
        <v>1</v>
      </c>
      <c r="AM12" s="798">
        <f t="shared" si="4"/>
        <v>1</v>
      </c>
      <c r="AN12" s="798">
        <f t="shared" si="4"/>
        <v>1</v>
      </c>
      <c r="AO12" s="798">
        <f t="shared" si="4"/>
        <v>1</v>
      </c>
      <c r="AP12" s="798">
        <f t="shared" si="4"/>
        <v>1</v>
      </c>
      <c r="AQ12" s="798">
        <f t="shared" si="4"/>
        <v>1</v>
      </c>
      <c r="AR12" s="798">
        <f t="shared" si="4"/>
        <v>1</v>
      </c>
      <c r="AS12" s="798">
        <f t="shared" si="4"/>
        <v>1</v>
      </c>
      <c r="AT12" s="798">
        <f t="shared" si="4"/>
        <v>1</v>
      </c>
      <c r="AU12" s="798">
        <f t="shared" si="4"/>
        <v>1</v>
      </c>
      <c r="AV12" s="798">
        <f t="shared" si="4"/>
        <v>1</v>
      </c>
      <c r="AW12" s="798">
        <f t="shared" si="4"/>
        <v>1</v>
      </c>
      <c r="AX12" s="798">
        <f t="shared" si="4"/>
        <v>1</v>
      </c>
      <c r="AY12" s="798">
        <f t="shared" si="4"/>
        <v>1</v>
      </c>
      <c r="AZ12" s="798">
        <f t="shared" si="4"/>
        <v>1</v>
      </c>
      <c r="BA12" s="798">
        <f t="shared" si="4"/>
        <v>1</v>
      </c>
      <c r="BB12" s="798">
        <f t="shared" si="4"/>
        <v>1</v>
      </c>
      <c r="BC12" s="798">
        <f t="shared" si="4"/>
        <v>1</v>
      </c>
      <c r="BD12" s="798">
        <f t="shared" si="4"/>
        <v>1</v>
      </c>
      <c r="BE12" s="798">
        <f t="shared" si="4"/>
        <v>1</v>
      </c>
      <c r="BF12" s="798">
        <f t="shared" si="4"/>
        <v>1</v>
      </c>
      <c r="BG12" s="798">
        <f t="shared" si="4"/>
        <v>1</v>
      </c>
      <c r="BH12" s="798">
        <f t="shared" si="4"/>
        <v>1</v>
      </c>
      <c r="BI12" s="798">
        <f t="shared" si="4"/>
        <v>1</v>
      </c>
      <c r="BJ12" s="798">
        <f t="shared" si="4"/>
        <v>1</v>
      </c>
      <c r="BK12" s="798">
        <f t="shared" si="4"/>
        <v>1</v>
      </c>
      <c r="BL12" s="765"/>
      <c r="BM12" s="790">
        <v>4.0</v>
      </c>
      <c r="BN12" s="789">
        <v>0.1</v>
      </c>
    </row>
    <row r="13">
      <c r="A13" s="36"/>
      <c r="B13" s="757" t="s">
        <v>277</v>
      </c>
      <c r="C13" s="758" t="s">
        <v>278</v>
      </c>
      <c r="D13" s="799" t="s">
        <v>277</v>
      </c>
      <c r="E13" s="800" t="s">
        <v>278</v>
      </c>
      <c r="F13" s="801" t="s">
        <v>277</v>
      </c>
      <c r="G13" s="802" t="s">
        <v>278</v>
      </c>
      <c r="H13" s="36"/>
      <c r="I13" s="763">
        <v>2.0</v>
      </c>
      <c r="J13" s="763">
        <f t="shared" si="5"/>
        <v>277132003.5</v>
      </c>
      <c r="K13" s="796">
        <f t="shared" ref="K13:K710" si="7">K12+L12</f>
        <v>0.23479</v>
      </c>
      <c r="L13" s="796">
        <v>5.0E-4</v>
      </c>
      <c r="M13" s="763">
        <v>3.16000004E8</v>
      </c>
      <c r="N13" s="797">
        <f t="shared" ref="N13:N710" si="8">FLOOR(MIN(((($K13-$K12)*(IF($G$6=TRUE,$G$7,$G$8)/$G$8))/(IF($G$12 = True, 2, 1) * $J13))/(($K12*N$8) / N$7),1),1)</f>
        <v>0</v>
      </c>
      <c r="O13" s="798">
        <f t="shared" ref="O13:BK13" si="6">FLOOR(MIN((((N("value of ELS upgrade")+N$8*($K13-$K12))*(N("Check checkbox")+(IF($G$6=TRUE,$G$7,$G$8))/$G$8))/(N("ROI of ELS and multiply by 2 if ELS is 1:1")+IF($G$12 = True, 2, 1) * $J13))/((N("difference in ELS+ and the cost of it")+(($K12*O$8)-($K12*N$8)) / O$7)),(N("MIN lets it return 0 or 1 after floored")+1)),1)</f>
        <v>1</v>
      </c>
      <c r="P13" s="798">
        <f t="shared" si="6"/>
        <v>1</v>
      </c>
      <c r="Q13" s="798">
        <f t="shared" si="6"/>
        <v>1</v>
      </c>
      <c r="R13" s="798">
        <f t="shared" si="6"/>
        <v>1</v>
      </c>
      <c r="S13" s="798">
        <f t="shared" si="6"/>
        <v>1</v>
      </c>
      <c r="T13" s="798">
        <f t="shared" si="6"/>
        <v>1</v>
      </c>
      <c r="U13" s="798">
        <f t="shared" si="6"/>
        <v>1</v>
      </c>
      <c r="V13" s="798">
        <f t="shared" si="6"/>
        <v>1</v>
      </c>
      <c r="W13" s="798">
        <f t="shared" si="6"/>
        <v>1</v>
      </c>
      <c r="X13" s="798">
        <f t="shared" si="6"/>
        <v>1</v>
      </c>
      <c r="Y13" s="798">
        <f t="shared" si="6"/>
        <v>1</v>
      </c>
      <c r="Z13" s="798">
        <f t="shared" si="6"/>
        <v>1</v>
      </c>
      <c r="AA13" s="798">
        <f t="shared" si="6"/>
        <v>1</v>
      </c>
      <c r="AB13" s="798">
        <f t="shared" si="6"/>
        <v>1</v>
      </c>
      <c r="AC13" s="798">
        <f t="shared" si="6"/>
        <v>1</v>
      </c>
      <c r="AD13" s="798">
        <f t="shared" si="6"/>
        <v>1</v>
      </c>
      <c r="AE13" s="798">
        <f t="shared" si="6"/>
        <v>1</v>
      </c>
      <c r="AF13" s="798">
        <f t="shared" si="6"/>
        <v>1</v>
      </c>
      <c r="AG13" s="798">
        <f t="shared" si="6"/>
        <v>1</v>
      </c>
      <c r="AH13" s="798">
        <f t="shared" si="6"/>
        <v>1</v>
      </c>
      <c r="AI13" s="798">
        <f t="shared" si="6"/>
        <v>1</v>
      </c>
      <c r="AJ13" s="798">
        <f t="shared" si="6"/>
        <v>1</v>
      </c>
      <c r="AK13" s="798">
        <f t="shared" si="6"/>
        <v>1</v>
      </c>
      <c r="AL13" s="798">
        <f t="shared" si="6"/>
        <v>1</v>
      </c>
      <c r="AM13" s="798">
        <f t="shared" si="6"/>
        <v>1</v>
      </c>
      <c r="AN13" s="798">
        <f t="shared" si="6"/>
        <v>1</v>
      </c>
      <c r="AO13" s="798">
        <f t="shared" si="6"/>
        <v>1</v>
      </c>
      <c r="AP13" s="798">
        <f t="shared" si="6"/>
        <v>1</v>
      </c>
      <c r="AQ13" s="798">
        <f t="shared" si="6"/>
        <v>1</v>
      </c>
      <c r="AR13" s="798">
        <f t="shared" si="6"/>
        <v>1</v>
      </c>
      <c r="AS13" s="798">
        <f t="shared" si="6"/>
        <v>1</v>
      </c>
      <c r="AT13" s="798">
        <f t="shared" si="6"/>
        <v>1</v>
      </c>
      <c r="AU13" s="798">
        <f t="shared" si="6"/>
        <v>1</v>
      </c>
      <c r="AV13" s="798">
        <f t="shared" si="6"/>
        <v>1</v>
      </c>
      <c r="AW13" s="798">
        <f t="shared" si="6"/>
        <v>1</v>
      </c>
      <c r="AX13" s="798">
        <f t="shared" si="6"/>
        <v>1</v>
      </c>
      <c r="AY13" s="798">
        <f t="shared" si="6"/>
        <v>1</v>
      </c>
      <c r="AZ13" s="798">
        <f t="shared" si="6"/>
        <v>1</v>
      </c>
      <c r="BA13" s="798">
        <f t="shared" si="6"/>
        <v>1</v>
      </c>
      <c r="BB13" s="798">
        <f t="shared" si="6"/>
        <v>1</v>
      </c>
      <c r="BC13" s="798">
        <f t="shared" si="6"/>
        <v>1</v>
      </c>
      <c r="BD13" s="798">
        <f t="shared" si="6"/>
        <v>1</v>
      </c>
      <c r="BE13" s="798">
        <f t="shared" si="6"/>
        <v>1</v>
      </c>
      <c r="BF13" s="798">
        <f t="shared" si="6"/>
        <v>1</v>
      </c>
      <c r="BG13" s="798">
        <f t="shared" si="6"/>
        <v>1</v>
      </c>
      <c r="BH13" s="798">
        <f t="shared" si="6"/>
        <v>1</v>
      </c>
      <c r="BI13" s="798">
        <f t="shared" si="6"/>
        <v>1</v>
      </c>
      <c r="BJ13" s="798">
        <f t="shared" si="6"/>
        <v>1</v>
      </c>
      <c r="BK13" s="798">
        <f t="shared" si="6"/>
        <v>1</v>
      </c>
      <c r="BL13" s="765"/>
      <c r="BM13" s="790">
        <v>5.0</v>
      </c>
      <c r="BN13" s="789">
        <v>0.125</v>
      </c>
    </row>
    <row r="14">
      <c r="A14" s="36"/>
      <c r="B14" s="803">
        <v>1.0</v>
      </c>
      <c r="C14" s="804">
        <v>1.0</v>
      </c>
      <c r="D14" s="805">
        <v>21.0</v>
      </c>
      <c r="E14" s="806">
        <f>SUM($AH$12:$AH$710)</f>
        <v>480</v>
      </c>
      <c r="F14" s="805">
        <v>41.0</v>
      </c>
      <c r="G14" s="807">
        <f>SUM($BB$12:$BB$710)</f>
        <v>600</v>
      </c>
      <c r="H14" s="36"/>
      <c r="I14" s="763">
        <v>3.0</v>
      </c>
      <c r="J14" s="763">
        <f t="shared" si="5"/>
        <v>291164036</v>
      </c>
      <c r="K14" s="796">
        <f t="shared" si="7"/>
        <v>0.23529</v>
      </c>
      <c r="L14" s="796">
        <v>5.0E-4</v>
      </c>
      <c r="M14" s="763">
        <v>3.32000041E8</v>
      </c>
      <c r="N14" s="797">
        <f t="shared" si="8"/>
        <v>0</v>
      </c>
      <c r="O14" s="798">
        <f t="shared" ref="O14:BK14" si="9">FLOOR(MIN((((N("value of ELS upgrade")+N$8*($K14-$K13))*(N("Check checkbox")+(IF($G$6=TRUE,$G$7,$G$8))/$G$8))/(N("ROI of ELS and multiply by 2 if ELS is 1:1")+IF($G$12 = True, 2, 1) * $J14))/((N("difference in ELS+ and the cost of it")+(($K13*O$8)-($K13*N$8)) / O$7)),(N("MIN lets it return 0 or 1 after floored")+1)),1)</f>
        <v>1</v>
      </c>
      <c r="P14" s="798">
        <f t="shared" si="9"/>
        <v>1</v>
      </c>
      <c r="Q14" s="798">
        <f t="shared" si="9"/>
        <v>1</v>
      </c>
      <c r="R14" s="798">
        <f t="shared" si="9"/>
        <v>1</v>
      </c>
      <c r="S14" s="798">
        <f t="shared" si="9"/>
        <v>1</v>
      </c>
      <c r="T14" s="798">
        <f t="shared" si="9"/>
        <v>1</v>
      </c>
      <c r="U14" s="798">
        <f t="shared" si="9"/>
        <v>1</v>
      </c>
      <c r="V14" s="798">
        <f t="shared" si="9"/>
        <v>1</v>
      </c>
      <c r="W14" s="798">
        <f t="shared" si="9"/>
        <v>1</v>
      </c>
      <c r="X14" s="798">
        <f t="shared" si="9"/>
        <v>1</v>
      </c>
      <c r="Y14" s="798">
        <f t="shared" si="9"/>
        <v>1</v>
      </c>
      <c r="Z14" s="798">
        <f t="shared" si="9"/>
        <v>1</v>
      </c>
      <c r="AA14" s="798">
        <f t="shared" si="9"/>
        <v>1</v>
      </c>
      <c r="AB14" s="798">
        <f t="shared" si="9"/>
        <v>1</v>
      </c>
      <c r="AC14" s="798">
        <f t="shared" si="9"/>
        <v>1</v>
      </c>
      <c r="AD14" s="798">
        <f t="shared" si="9"/>
        <v>1</v>
      </c>
      <c r="AE14" s="798">
        <f t="shared" si="9"/>
        <v>1</v>
      </c>
      <c r="AF14" s="798">
        <f t="shared" si="9"/>
        <v>1</v>
      </c>
      <c r="AG14" s="798">
        <f t="shared" si="9"/>
        <v>1</v>
      </c>
      <c r="AH14" s="798">
        <f t="shared" si="9"/>
        <v>1</v>
      </c>
      <c r="AI14" s="798">
        <f t="shared" si="9"/>
        <v>1</v>
      </c>
      <c r="AJ14" s="798">
        <f t="shared" si="9"/>
        <v>1</v>
      </c>
      <c r="AK14" s="798">
        <f t="shared" si="9"/>
        <v>1</v>
      </c>
      <c r="AL14" s="798">
        <f t="shared" si="9"/>
        <v>1</v>
      </c>
      <c r="AM14" s="798">
        <f t="shared" si="9"/>
        <v>1</v>
      </c>
      <c r="AN14" s="798">
        <f t="shared" si="9"/>
        <v>1</v>
      </c>
      <c r="AO14" s="798">
        <f t="shared" si="9"/>
        <v>1</v>
      </c>
      <c r="AP14" s="798">
        <f t="shared" si="9"/>
        <v>1</v>
      </c>
      <c r="AQ14" s="798">
        <f t="shared" si="9"/>
        <v>1</v>
      </c>
      <c r="AR14" s="798">
        <f t="shared" si="9"/>
        <v>1</v>
      </c>
      <c r="AS14" s="798">
        <f t="shared" si="9"/>
        <v>1</v>
      </c>
      <c r="AT14" s="798">
        <f t="shared" si="9"/>
        <v>1</v>
      </c>
      <c r="AU14" s="798">
        <f t="shared" si="9"/>
        <v>1</v>
      </c>
      <c r="AV14" s="798">
        <f t="shared" si="9"/>
        <v>1</v>
      </c>
      <c r="AW14" s="798">
        <f t="shared" si="9"/>
        <v>1</v>
      </c>
      <c r="AX14" s="798">
        <f t="shared" si="9"/>
        <v>1</v>
      </c>
      <c r="AY14" s="798">
        <f t="shared" si="9"/>
        <v>1</v>
      </c>
      <c r="AZ14" s="798">
        <f t="shared" si="9"/>
        <v>1</v>
      </c>
      <c r="BA14" s="798">
        <f t="shared" si="9"/>
        <v>1</v>
      </c>
      <c r="BB14" s="798">
        <f t="shared" si="9"/>
        <v>1</v>
      </c>
      <c r="BC14" s="798">
        <f t="shared" si="9"/>
        <v>1</v>
      </c>
      <c r="BD14" s="798">
        <f t="shared" si="9"/>
        <v>1</v>
      </c>
      <c r="BE14" s="798">
        <f t="shared" si="9"/>
        <v>1</v>
      </c>
      <c r="BF14" s="798">
        <f t="shared" si="9"/>
        <v>1</v>
      </c>
      <c r="BG14" s="798">
        <f t="shared" si="9"/>
        <v>1</v>
      </c>
      <c r="BH14" s="798">
        <f t="shared" si="9"/>
        <v>1</v>
      </c>
      <c r="BI14" s="798">
        <f t="shared" si="9"/>
        <v>1</v>
      </c>
      <c r="BJ14" s="798">
        <f t="shared" si="9"/>
        <v>1</v>
      </c>
      <c r="BK14" s="798">
        <f t="shared" si="9"/>
        <v>1</v>
      </c>
      <c r="BL14" s="765"/>
      <c r="BM14" s="790">
        <v>6.0</v>
      </c>
      <c r="BN14" s="789">
        <v>0.15</v>
      </c>
    </row>
    <row r="15">
      <c r="A15" s="36"/>
      <c r="B15" s="803">
        <v>2.0</v>
      </c>
      <c r="C15" s="804">
        <f>SUM($O$12:$O$710)</f>
        <v>14</v>
      </c>
      <c r="D15" s="805">
        <v>22.0</v>
      </c>
      <c r="E15" s="804">
        <f>SUM($AI$12:$AI$710)</f>
        <v>480</v>
      </c>
      <c r="F15" s="805">
        <v>42.0</v>
      </c>
      <c r="G15" s="807">
        <f>SUM($BC$12:$BC$710)</f>
        <v>632</v>
      </c>
      <c r="H15" s="36"/>
      <c r="I15" s="763">
        <v>4.0</v>
      </c>
      <c r="J15" s="763">
        <f t="shared" si="5"/>
        <v>305196139.4</v>
      </c>
      <c r="K15" s="796">
        <f t="shared" si="7"/>
        <v>0.23579</v>
      </c>
      <c r="L15" s="796">
        <v>5.0E-4</v>
      </c>
      <c r="M15" s="763">
        <v>3.48000159E8</v>
      </c>
      <c r="N15" s="797">
        <f t="shared" si="8"/>
        <v>0</v>
      </c>
      <c r="O15" s="798">
        <f t="shared" ref="O15:BK15" si="10">FLOOR(MIN((((N("value of ELS upgrade")+N$8*($K15-$K14))*(N("Check checkbox")+(IF($G$6=TRUE,$G$7,$G$8))/$G$8))/(N("ROI of ELS and multiply by 2 if ELS is 1:1")+IF($G$12 = True, 2, 1) * $J15))/((N("difference in ELS+ and the cost of it")+(($K14*O$8)-($K14*N$8)) / O$7)),(N("MIN lets it return 0 or 1 after floored")+1)),1)</f>
        <v>1</v>
      </c>
      <c r="P15" s="798">
        <f t="shared" si="10"/>
        <v>1</v>
      </c>
      <c r="Q15" s="798">
        <f t="shared" si="10"/>
        <v>1</v>
      </c>
      <c r="R15" s="798">
        <f t="shared" si="10"/>
        <v>1</v>
      </c>
      <c r="S15" s="798">
        <f t="shared" si="10"/>
        <v>1</v>
      </c>
      <c r="T15" s="798">
        <f t="shared" si="10"/>
        <v>1</v>
      </c>
      <c r="U15" s="798">
        <f t="shared" si="10"/>
        <v>1</v>
      </c>
      <c r="V15" s="798">
        <f t="shared" si="10"/>
        <v>1</v>
      </c>
      <c r="W15" s="798">
        <f t="shared" si="10"/>
        <v>1</v>
      </c>
      <c r="X15" s="798">
        <f t="shared" si="10"/>
        <v>1</v>
      </c>
      <c r="Y15" s="798">
        <f t="shared" si="10"/>
        <v>1</v>
      </c>
      <c r="Z15" s="798">
        <f t="shared" si="10"/>
        <v>1</v>
      </c>
      <c r="AA15" s="798">
        <f t="shared" si="10"/>
        <v>1</v>
      </c>
      <c r="AB15" s="798">
        <f t="shared" si="10"/>
        <v>1</v>
      </c>
      <c r="AC15" s="798">
        <f t="shared" si="10"/>
        <v>1</v>
      </c>
      <c r="AD15" s="798">
        <f t="shared" si="10"/>
        <v>1</v>
      </c>
      <c r="AE15" s="798">
        <f t="shared" si="10"/>
        <v>1</v>
      </c>
      <c r="AF15" s="798">
        <f t="shared" si="10"/>
        <v>1</v>
      </c>
      <c r="AG15" s="798">
        <f t="shared" si="10"/>
        <v>1</v>
      </c>
      <c r="AH15" s="798">
        <f t="shared" si="10"/>
        <v>1</v>
      </c>
      <c r="AI15" s="798">
        <f t="shared" si="10"/>
        <v>1</v>
      </c>
      <c r="AJ15" s="798">
        <f t="shared" si="10"/>
        <v>1</v>
      </c>
      <c r="AK15" s="798">
        <f t="shared" si="10"/>
        <v>1</v>
      </c>
      <c r="AL15" s="798">
        <f t="shared" si="10"/>
        <v>1</v>
      </c>
      <c r="AM15" s="798">
        <f t="shared" si="10"/>
        <v>1</v>
      </c>
      <c r="AN15" s="798">
        <f t="shared" si="10"/>
        <v>1</v>
      </c>
      <c r="AO15" s="798">
        <f t="shared" si="10"/>
        <v>1</v>
      </c>
      <c r="AP15" s="798">
        <f t="shared" si="10"/>
        <v>1</v>
      </c>
      <c r="AQ15" s="798">
        <f t="shared" si="10"/>
        <v>1</v>
      </c>
      <c r="AR15" s="798">
        <f t="shared" si="10"/>
        <v>1</v>
      </c>
      <c r="AS15" s="798">
        <f t="shared" si="10"/>
        <v>1</v>
      </c>
      <c r="AT15" s="798">
        <f t="shared" si="10"/>
        <v>1</v>
      </c>
      <c r="AU15" s="798">
        <f t="shared" si="10"/>
        <v>1</v>
      </c>
      <c r="AV15" s="798">
        <f t="shared" si="10"/>
        <v>1</v>
      </c>
      <c r="AW15" s="798">
        <f t="shared" si="10"/>
        <v>1</v>
      </c>
      <c r="AX15" s="798">
        <f t="shared" si="10"/>
        <v>1</v>
      </c>
      <c r="AY15" s="798">
        <f t="shared" si="10"/>
        <v>1</v>
      </c>
      <c r="AZ15" s="798">
        <f t="shared" si="10"/>
        <v>1</v>
      </c>
      <c r="BA15" s="798">
        <f t="shared" si="10"/>
        <v>1</v>
      </c>
      <c r="BB15" s="798">
        <f t="shared" si="10"/>
        <v>1</v>
      </c>
      <c r="BC15" s="798">
        <f t="shared" si="10"/>
        <v>1</v>
      </c>
      <c r="BD15" s="798">
        <f t="shared" si="10"/>
        <v>1</v>
      </c>
      <c r="BE15" s="798">
        <f t="shared" si="10"/>
        <v>1</v>
      </c>
      <c r="BF15" s="798">
        <f t="shared" si="10"/>
        <v>1</v>
      </c>
      <c r="BG15" s="798">
        <f t="shared" si="10"/>
        <v>1</v>
      </c>
      <c r="BH15" s="798">
        <f t="shared" si="10"/>
        <v>1</v>
      </c>
      <c r="BI15" s="798">
        <f t="shared" si="10"/>
        <v>1</v>
      </c>
      <c r="BJ15" s="798">
        <f t="shared" si="10"/>
        <v>1</v>
      </c>
      <c r="BK15" s="798">
        <f t="shared" si="10"/>
        <v>1</v>
      </c>
      <c r="BL15" s="765"/>
      <c r="BM15" s="790">
        <v>7.0</v>
      </c>
      <c r="BN15" s="789">
        <v>0.175</v>
      </c>
    </row>
    <row r="16">
      <c r="A16" s="36"/>
      <c r="B16" s="803">
        <v>3.0</v>
      </c>
      <c r="C16" s="804">
        <f>SUM($P$12:$P$710)</f>
        <v>80</v>
      </c>
      <c r="D16" s="805">
        <v>23.0</v>
      </c>
      <c r="E16" s="804">
        <f>SUM($AJ$12:$AJ$710)</f>
        <v>480</v>
      </c>
      <c r="F16" s="805">
        <v>43.0</v>
      </c>
      <c r="G16" s="807">
        <f>SUM($BD$12:$BD$710)</f>
        <v>640</v>
      </c>
      <c r="H16" s="36"/>
      <c r="I16" s="763">
        <v>5.0</v>
      </c>
      <c r="J16" s="763">
        <f t="shared" si="5"/>
        <v>319228364.8</v>
      </c>
      <c r="K16" s="796">
        <f t="shared" si="7"/>
        <v>0.23629</v>
      </c>
      <c r="L16" s="796">
        <v>5.0E-4</v>
      </c>
      <c r="M16" s="763">
        <v>3.64000416E8</v>
      </c>
      <c r="N16" s="797">
        <f t="shared" si="8"/>
        <v>0</v>
      </c>
      <c r="O16" s="798">
        <f t="shared" ref="O16:BK16" si="11">FLOOR(MIN((((N("value of ELS upgrade")+N$8*($K16-$K15))*(N("Check checkbox")+(IF($G$6=TRUE,$G$7,$G$8))/$G$8))/(N("ROI of ELS and multiply by 2 if ELS is 1:1")+IF($G$12 = True, 2, 1) * $J16))/((N("difference in ELS+ and the cost of it")+(($K15*O$8)-($K15*N$8)) / O$7)),(N("MIN lets it return 0 or 1 after floored")+1)),1)</f>
        <v>1</v>
      </c>
      <c r="P16" s="798">
        <f t="shared" si="11"/>
        <v>1</v>
      </c>
      <c r="Q16" s="798">
        <f t="shared" si="11"/>
        <v>1</v>
      </c>
      <c r="R16" s="798">
        <f t="shared" si="11"/>
        <v>1</v>
      </c>
      <c r="S16" s="798">
        <f t="shared" si="11"/>
        <v>1</v>
      </c>
      <c r="T16" s="798">
        <f t="shared" si="11"/>
        <v>1</v>
      </c>
      <c r="U16" s="798">
        <f t="shared" si="11"/>
        <v>1</v>
      </c>
      <c r="V16" s="798">
        <f t="shared" si="11"/>
        <v>1</v>
      </c>
      <c r="W16" s="798">
        <f t="shared" si="11"/>
        <v>1</v>
      </c>
      <c r="X16" s="798">
        <f t="shared" si="11"/>
        <v>1</v>
      </c>
      <c r="Y16" s="798">
        <f t="shared" si="11"/>
        <v>1</v>
      </c>
      <c r="Z16" s="798">
        <f t="shared" si="11"/>
        <v>1</v>
      </c>
      <c r="AA16" s="798">
        <f t="shared" si="11"/>
        <v>1</v>
      </c>
      <c r="AB16" s="798">
        <f t="shared" si="11"/>
        <v>1</v>
      </c>
      <c r="AC16" s="798">
        <f t="shared" si="11"/>
        <v>1</v>
      </c>
      <c r="AD16" s="798">
        <f t="shared" si="11"/>
        <v>1</v>
      </c>
      <c r="AE16" s="798">
        <f t="shared" si="11"/>
        <v>1</v>
      </c>
      <c r="AF16" s="798">
        <f t="shared" si="11"/>
        <v>1</v>
      </c>
      <c r="AG16" s="798">
        <f t="shared" si="11"/>
        <v>1</v>
      </c>
      <c r="AH16" s="798">
        <f t="shared" si="11"/>
        <v>1</v>
      </c>
      <c r="AI16" s="798">
        <f t="shared" si="11"/>
        <v>1</v>
      </c>
      <c r="AJ16" s="798">
        <f t="shared" si="11"/>
        <v>1</v>
      </c>
      <c r="AK16" s="798">
        <f t="shared" si="11"/>
        <v>1</v>
      </c>
      <c r="AL16" s="798">
        <f t="shared" si="11"/>
        <v>1</v>
      </c>
      <c r="AM16" s="798">
        <f t="shared" si="11"/>
        <v>1</v>
      </c>
      <c r="AN16" s="798">
        <f t="shared" si="11"/>
        <v>1</v>
      </c>
      <c r="AO16" s="798">
        <f t="shared" si="11"/>
        <v>1</v>
      </c>
      <c r="AP16" s="798">
        <f t="shared" si="11"/>
        <v>1</v>
      </c>
      <c r="AQ16" s="798">
        <f t="shared" si="11"/>
        <v>1</v>
      </c>
      <c r="AR16" s="798">
        <f t="shared" si="11"/>
        <v>1</v>
      </c>
      <c r="AS16" s="798">
        <f t="shared" si="11"/>
        <v>1</v>
      </c>
      <c r="AT16" s="798">
        <f t="shared" si="11"/>
        <v>1</v>
      </c>
      <c r="AU16" s="798">
        <f t="shared" si="11"/>
        <v>1</v>
      </c>
      <c r="AV16" s="798">
        <f t="shared" si="11"/>
        <v>1</v>
      </c>
      <c r="AW16" s="798">
        <f t="shared" si="11"/>
        <v>1</v>
      </c>
      <c r="AX16" s="798">
        <f t="shared" si="11"/>
        <v>1</v>
      </c>
      <c r="AY16" s="798">
        <f t="shared" si="11"/>
        <v>1</v>
      </c>
      <c r="AZ16" s="798">
        <f t="shared" si="11"/>
        <v>1</v>
      </c>
      <c r="BA16" s="798">
        <f t="shared" si="11"/>
        <v>1</v>
      </c>
      <c r="BB16" s="798">
        <f t="shared" si="11"/>
        <v>1</v>
      </c>
      <c r="BC16" s="798">
        <f t="shared" si="11"/>
        <v>1</v>
      </c>
      <c r="BD16" s="798">
        <f t="shared" si="11"/>
        <v>1</v>
      </c>
      <c r="BE16" s="798">
        <f t="shared" si="11"/>
        <v>1</v>
      </c>
      <c r="BF16" s="798">
        <f t="shared" si="11"/>
        <v>1</v>
      </c>
      <c r="BG16" s="798">
        <f t="shared" si="11"/>
        <v>1</v>
      </c>
      <c r="BH16" s="798">
        <f t="shared" si="11"/>
        <v>1</v>
      </c>
      <c r="BI16" s="798">
        <f t="shared" si="11"/>
        <v>1</v>
      </c>
      <c r="BJ16" s="798">
        <f t="shared" si="11"/>
        <v>1</v>
      </c>
      <c r="BK16" s="798">
        <f t="shared" si="11"/>
        <v>1</v>
      </c>
      <c r="BL16" s="765"/>
      <c r="BM16" s="790">
        <v>8.0</v>
      </c>
      <c r="BN16" s="789">
        <v>0.2</v>
      </c>
    </row>
    <row r="17">
      <c r="A17" s="36"/>
      <c r="B17" s="803">
        <v>4.0</v>
      </c>
      <c r="C17" s="804">
        <f>SUM($Q$12:$Q$710)</f>
        <v>150</v>
      </c>
      <c r="D17" s="805">
        <v>24.0</v>
      </c>
      <c r="E17" s="804">
        <f>SUM($AK$12:$AK$710)</f>
        <v>480</v>
      </c>
      <c r="F17" s="805">
        <v>44.0</v>
      </c>
      <c r="G17" s="807">
        <f>SUM($BE$12:$BE$710)</f>
        <v>640</v>
      </c>
      <c r="H17" s="36"/>
      <c r="I17" s="763">
        <v>6.0</v>
      </c>
      <c r="J17" s="763">
        <f t="shared" si="5"/>
        <v>333260770</v>
      </c>
      <c r="K17" s="796">
        <f t="shared" si="7"/>
        <v>0.23679</v>
      </c>
      <c r="L17" s="796">
        <v>5.0E-4</v>
      </c>
      <c r="M17" s="763">
        <v>3.80000878E8</v>
      </c>
      <c r="N17" s="797">
        <f t="shared" si="8"/>
        <v>0</v>
      </c>
      <c r="O17" s="798">
        <f t="shared" ref="O17:BK17" si="12">FLOOR(MIN((((N("value of ELS upgrade")+N$8*($K17-$K16))*(N("Check checkbox")+(IF($G$6=TRUE,$G$7,$G$8))/$G$8))/(N("ROI of ELS and multiply by 2 if ELS is 1:1")+IF($G$12 = True, 2, 1) * $J17))/((N("difference in ELS+ and the cost of it")+(($K16*O$8)-($K16*N$8)) / O$7)),(N("MIN lets it return 0 or 1 after floored")+1)),1)</f>
        <v>1</v>
      </c>
      <c r="P17" s="798">
        <f t="shared" si="12"/>
        <v>1</v>
      </c>
      <c r="Q17" s="798">
        <f t="shared" si="12"/>
        <v>1</v>
      </c>
      <c r="R17" s="798">
        <f t="shared" si="12"/>
        <v>1</v>
      </c>
      <c r="S17" s="798">
        <f t="shared" si="12"/>
        <v>1</v>
      </c>
      <c r="T17" s="798">
        <f t="shared" si="12"/>
        <v>1</v>
      </c>
      <c r="U17" s="798">
        <f t="shared" si="12"/>
        <v>1</v>
      </c>
      <c r="V17" s="798">
        <f t="shared" si="12"/>
        <v>1</v>
      </c>
      <c r="W17" s="798">
        <f t="shared" si="12"/>
        <v>1</v>
      </c>
      <c r="X17" s="798">
        <f t="shared" si="12"/>
        <v>1</v>
      </c>
      <c r="Y17" s="798">
        <f t="shared" si="12"/>
        <v>1</v>
      </c>
      <c r="Z17" s="798">
        <f t="shared" si="12"/>
        <v>1</v>
      </c>
      <c r="AA17" s="798">
        <f t="shared" si="12"/>
        <v>1</v>
      </c>
      <c r="AB17" s="798">
        <f t="shared" si="12"/>
        <v>1</v>
      </c>
      <c r="AC17" s="798">
        <f t="shared" si="12"/>
        <v>1</v>
      </c>
      <c r="AD17" s="798">
        <f t="shared" si="12"/>
        <v>1</v>
      </c>
      <c r="AE17" s="798">
        <f t="shared" si="12"/>
        <v>1</v>
      </c>
      <c r="AF17" s="798">
        <f t="shared" si="12"/>
        <v>1</v>
      </c>
      <c r="AG17" s="798">
        <f t="shared" si="12"/>
        <v>1</v>
      </c>
      <c r="AH17" s="798">
        <f t="shared" si="12"/>
        <v>1</v>
      </c>
      <c r="AI17" s="798">
        <f t="shared" si="12"/>
        <v>1</v>
      </c>
      <c r="AJ17" s="798">
        <f t="shared" si="12"/>
        <v>1</v>
      </c>
      <c r="AK17" s="798">
        <f t="shared" si="12"/>
        <v>1</v>
      </c>
      <c r="AL17" s="798">
        <f t="shared" si="12"/>
        <v>1</v>
      </c>
      <c r="AM17" s="798">
        <f t="shared" si="12"/>
        <v>1</v>
      </c>
      <c r="AN17" s="798">
        <f t="shared" si="12"/>
        <v>1</v>
      </c>
      <c r="AO17" s="798">
        <f t="shared" si="12"/>
        <v>1</v>
      </c>
      <c r="AP17" s="798">
        <f t="shared" si="12"/>
        <v>1</v>
      </c>
      <c r="AQ17" s="798">
        <f t="shared" si="12"/>
        <v>1</v>
      </c>
      <c r="AR17" s="798">
        <f t="shared" si="12"/>
        <v>1</v>
      </c>
      <c r="AS17" s="798">
        <f t="shared" si="12"/>
        <v>1</v>
      </c>
      <c r="AT17" s="798">
        <f t="shared" si="12"/>
        <v>1</v>
      </c>
      <c r="AU17" s="798">
        <f t="shared" si="12"/>
        <v>1</v>
      </c>
      <c r="AV17" s="798">
        <f t="shared" si="12"/>
        <v>1</v>
      </c>
      <c r="AW17" s="798">
        <f t="shared" si="12"/>
        <v>1</v>
      </c>
      <c r="AX17" s="798">
        <f t="shared" si="12"/>
        <v>1</v>
      </c>
      <c r="AY17" s="798">
        <f t="shared" si="12"/>
        <v>1</v>
      </c>
      <c r="AZ17" s="798">
        <f t="shared" si="12"/>
        <v>1</v>
      </c>
      <c r="BA17" s="798">
        <f t="shared" si="12"/>
        <v>1</v>
      </c>
      <c r="BB17" s="798">
        <f t="shared" si="12"/>
        <v>1</v>
      </c>
      <c r="BC17" s="798">
        <f t="shared" si="12"/>
        <v>1</v>
      </c>
      <c r="BD17" s="798">
        <f t="shared" si="12"/>
        <v>1</v>
      </c>
      <c r="BE17" s="798">
        <f t="shared" si="12"/>
        <v>1</v>
      </c>
      <c r="BF17" s="798">
        <f t="shared" si="12"/>
        <v>1</v>
      </c>
      <c r="BG17" s="798">
        <f t="shared" si="12"/>
        <v>1</v>
      </c>
      <c r="BH17" s="798">
        <f t="shared" si="12"/>
        <v>1</v>
      </c>
      <c r="BI17" s="798">
        <f t="shared" si="12"/>
        <v>1</v>
      </c>
      <c r="BJ17" s="798">
        <f t="shared" si="12"/>
        <v>1</v>
      </c>
      <c r="BK17" s="798">
        <f t="shared" si="12"/>
        <v>1</v>
      </c>
      <c r="BL17" s="765"/>
      <c r="BM17" s="790">
        <v>9.0</v>
      </c>
      <c r="BN17" s="789">
        <v>0.225</v>
      </c>
    </row>
    <row r="18">
      <c r="A18" s="36"/>
      <c r="B18" s="803">
        <v>5.0</v>
      </c>
      <c r="C18" s="804">
        <f>SUM($R$12:$R$710)</f>
        <v>183</v>
      </c>
      <c r="D18" s="805">
        <v>25.0</v>
      </c>
      <c r="E18" s="804">
        <f>SUM($AL$12:$AL$710)</f>
        <v>520</v>
      </c>
      <c r="F18" s="805">
        <v>45.0</v>
      </c>
      <c r="G18" s="807">
        <f>SUM($BF$12:$BF$710)</f>
        <v>640</v>
      </c>
      <c r="H18" s="36"/>
      <c r="I18" s="763">
        <v>7.0</v>
      </c>
      <c r="J18" s="763">
        <f t="shared" si="5"/>
        <v>347293419</v>
      </c>
      <c r="K18" s="796">
        <f t="shared" si="7"/>
        <v>0.23729</v>
      </c>
      <c r="L18" s="796">
        <v>5.0E-4</v>
      </c>
      <c r="M18" s="763">
        <v>3.96001618E8</v>
      </c>
      <c r="N18" s="797">
        <f t="shared" si="8"/>
        <v>0</v>
      </c>
      <c r="O18" s="798">
        <f t="shared" ref="O18:BK18" si="13">FLOOR(MIN((((N("value of ELS upgrade")+N$8*($K18-$K17))*(N("Check checkbox")+(IF($G$6=TRUE,$G$7,$G$8))/$G$8))/(N("ROI of ELS and multiply by 2 if ELS is 1:1")+IF($G$12 = True, 2, 1) * $J18))/((N("difference in ELS+ and the cost of it")+(($K17*O$8)-($K17*N$8)) / O$7)),(N("MIN lets it return 0 or 1 after floored")+1)),1)</f>
        <v>1</v>
      </c>
      <c r="P18" s="798">
        <f t="shared" si="13"/>
        <v>1</v>
      </c>
      <c r="Q18" s="798">
        <f t="shared" si="13"/>
        <v>1</v>
      </c>
      <c r="R18" s="798">
        <f t="shared" si="13"/>
        <v>1</v>
      </c>
      <c r="S18" s="798">
        <f t="shared" si="13"/>
        <v>1</v>
      </c>
      <c r="T18" s="798">
        <f t="shared" si="13"/>
        <v>1</v>
      </c>
      <c r="U18" s="798">
        <f t="shared" si="13"/>
        <v>1</v>
      </c>
      <c r="V18" s="798">
        <f t="shared" si="13"/>
        <v>1</v>
      </c>
      <c r="W18" s="798">
        <f t="shared" si="13"/>
        <v>1</v>
      </c>
      <c r="X18" s="798">
        <f t="shared" si="13"/>
        <v>1</v>
      </c>
      <c r="Y18" s="798">
        <f t="shared" si="13"/>
        <v>1</v>
      </c>
      <c r="Z18" s="798">
        <f t="shared" si="13"/>
        <v>1</v>
      </c>
      <c r="AA18" s="798">
        <f t="shared" si="13"/>
        <v>1</v>
      </c>
      <c r="AB18" s="798">
        <f t="shared" si="13"/>
        <v>1</v>
      </c>
      <c r="AC18" s="798">
        <f t="shared" si="13"/>
        <v>1</v>
      </c>
      <c r="AD18" s="798">
        <f t="shared" si="13"/>
        <v>1</v>
      </c>
      <c r="AE18" s="798">
        <f t="shared" si="13"/>
        <v>1</v>
      </c>
      <c r="AF18" s="798">
        <f t="shared" si="13"/>
        <v>1</v>
      </c>
      <c r="AG18" s="798">
        <f t="shared" si="13"/>
        <v>1</v>
      </c>
      <c r="AH18" s="798">
        <f t="shared" si="13"/>
        <v>1</v>
      </c>
      <c r="AI18" s="798">
        <f t="shared" si="13"/>
        <v>1</v>
      </c>
      <c r="AJ18" s="798">
        <f t="shared" si="13"/>
        <v>1</v>
      </c>
      <c r="AK18" s="798">
        <f t="shared" si="13"/>
        <v>1</v>
      </c>
      <c r="AL18" s="798">
        <f t="shared" si="13"/>
        <v>1</v>
      </c>
      <c r="AM18" s="798">
        <f t="shared" si="13"/>
        <v>1</v>
      </c>
      <c r="AN18" s="798">
        <f t="shared" si="13"/>
        <v>1</v>
      </c>
      <c r="AO18" s="798">
        <f t="shared" si="13"/>
        <v>1</v>
      </c>
      <c r="AP18" s="798">
        <f t="shared" si="13"/>
        <v>1</v>
      </c>
      <c r="AQ18" s="798">
        <f t="shared" si="13"/>
        <v>1</v>
      </c>
      <c r="AR18" s="798">
        <f t="shared" si="13"/>
        <v>1</v>
      </c>
      <c r="AS18" s="798">
        <f t="shared" si="13"/>
        <v>1</v>
      </c>
      <c r="AT18" s="798">
        <f t="shared" si="13"/>
        <v>1</v>
      </c>
      <c r="AU18" s="798">
        <f t="shared" si="13"/>
        <v>1</v>
      </c>
      <c r="AV18" s="798">
        <f t="shared" si="13"/>
        <v>1</v>
      </c>
      <c r="AW18" s="798">
        <f t="shared" si="13"/>
        <v>1</v>
      </c>
      <c r="AX18" s="798">
        <f t="shared" si="13"/>
        <v>1</v>
      </c>
      <c r="AY18" s="798">
        <f t="shared" si="13"/>
        <v>1</v>
      </c>
      <c r="AZ18" s="798">
        <f t="shared" si="13"/>
        <v>1</v>
      </c>
      <c r="BA18" s="798">
        <f t="shared" si="13"/>
        <v>1</v>
      </c>
      <c r="BB18" s="798">
        <f t="shared" si="13"/>
        <v>1</v>
      </c>
      <c r="BC18" s="798">
        <f t="shared" si="13"/>
        <v>1</v>
      </c>
      <c r="BD18" s="798">
        <f t="shared" si="13"/>
        <v>1</v>
      </c>
      <c r="BE18" s="798">
        <f t="shared" si="13"/>
        <v>1</v>
      </c>
      <c r="BF18" s="798">
        <f t="shared" si="13"/>
        <v>1</v>
      </c>
      <c r="BG18" s="798">
        <f t="shared" si="13"/>
        <v>1</v>
      </c>
      <c r="BH18" s="798">
        <f t="shared" si="13"/>
        <v>1</v>
      </c>
      <c r="BI18" s="798">
        <f t="shared" si="13"/>
        <v>1</v>
      </c>
      <c r="BJ18" s="798">
        <f t="shared" si="13"/>
        <v>1</v>
      </c>
      <c r="BK18" s="798">
        <f t="shared" si="13"/>
        <v>1</v>
      </c>
      <c r="BL18" s="765"/>
      <c r="BM18" s="790">
        <v>10.0</v>
      </c>
      <c r="BN18" s="790"/>
    </row>
    <row r="19">
      <c r="A19" s="36"/>
      <c r="B19" s="803">
        <v>6.0</v>
      </c>
      <c r="C19" s="804">
        <f>SUM($S$12:$S$710)</f>
        <v>224</v>
      </c>
      <c r="D19" s="805">
        <v>26.0</v>
      </c>
      <c r="E19" s="804">
        <f>SUM($AM$12:$AM$710)</f>
        <v>520</v>
      </c>
      <c r="F19" s="805">
        <v>46.0</v>
      </c>
      <c r="G19" s="807">
        <f>SUM($BG$12:$BG$710)</f>
        <v>640</v>
      </c>
      <c r="H19" s="36"/>
      <c r="I19" s="763">
        <v>8.0</v>
      </c>
      <c r="J19" s="763">
        <f t="shared" si="5"/>
        <v>361326377.5</v>
      </c>
      <c r="K19" s="796">
        <f t="shared" si="7"/>
        <v>0.23779</v>
      </c>
      <c r="L19" s="796">
        <v>5.0E-4</v>
      </c>
      <c r="M19" s="763">
        <v>4.12002711E8</v>
      </c>
      <c r="N19" s="797">
        <f t="shared" si="8"/>
        <v>0</v>
      </c>
      <c r="O19" s="798">
        <f t="shared" ref="O19:BK19" si="14">FLOOR(MIN((((N("value of ELS upgrade")+N$8*($K19-$K18))*(N("Check checkbox")+(IF($G$6=TRUE,$G$7,$G$8))/$G$8))/(N("ROI of ELS and multiply by 2 if ELS is 1:1")+IF($G$12 = True, 2, 1) * $J19))/((N("difference in ELS+ and the cost of it")+(($K18*O$8)-($K18*N$8)) / O$7)),(N("MIN lets it return 0 or 1 after floored")+1)),1)</f>
        <v>1</v>
      </c>
      <c r="P19" s="798">
        <f t="shared" si="14"/>
        <v>1</v>
      </c>
      <c r="Q19" s="798">
        <f t="shared" si="14"/>
        <v>1</v>
      </c>
      <c r="R19" s="798">
        <f t="shared" si="14"/>
        <v>1</v>
      </c>
      <c r="S19" s="798">
        <f t="shared" si="14"/>
        <v>1</v>
      </c>
      <c r="T19" s="798">
        <f t="shared" si="14"/>
        <v>1</v>
      </c>
      <c r="U19" s="798">
        <f t="shared" si="14"/>
        <v>1</v>
      </c>
      <c r="V19" s="798">
        <f t="shared" si="14"/>
        <v>1</v>
      </c>
      <c r="W19" s="798">
        <f t="shared" si="14"/>
        <v>1</v>
      </c>
      <c r="X19" s="798">
        <f t="shared" si="14"/>
        <v>1</v>
      </c>
      <c r="Y19" s="798">
        <f t="shared" si="14"/>
        <v>1</v>
      </c>
      <c r="Z19" s="798">
        <f t="shared" si="14"/>
        <v>1</v>
      </c>
      <c r="AA19" s="798">
        <f t="shared" si="14"/>
        <v>1</v>
      </c>
      <c r="AB19" s="798">
        <f t="shared" si="14"/>
        <v>1</v>
      </c>
      <c r="AC19" s="798">
        <f t="shared" si="14"/>
        <v>1</v>
      </c>
      <c r="AD19" s="798">
        <f t="shared" si="14"/>
        <v>1</v>
      </c>
      <c r="AE19" s="798">
        <f t="shared" si="14"/>
        <v>1</v>
      </c>
      <c r="AF19" s="798">
        <f t="shared" si="14"/>
        <v>1</v>
      </c>
      <c r="AG19" s="798">
        <f t="shared" si="14"/>
        <v>1</v>
      </c>
      <c r="AH19" s="798">
        <f t="shared" si="14"/>
        <v>1</v>
      </c>
      <c r="AI19" s="798">
        <f t="shared" si="14"/>
        <v>1</v>
      </c>
      <c r="AJ19" s="798">
        <f t="shared" si="14"/>
        <v>1</v>
      </c>
      <c r="AK19" s="798">
        <f t="shared" si="14"/>
        <v>1</v>
      </c>
      <c r="AL19" s="798">
        <f t="shared" si="14"/>
        <v>1</v>
      </c>
      <c r="AM19" s="798">
        <f t="shared" si="14"/>
        <v>1</v>
      </c>
      <c r="AN19" s="798">
        <f t="shared" si="14"/>
        <v>1</v>
      </c>
      <c r="AO19" s="798">
        <f t="shared" si="14"/>
        <v>1</v>
      </c>
      <c r="AP19" s="798">
        <f t="shared" si="14"/>
        <v>1</v>
      </c>
      <c r="AQ19" s="798">
        <f t="shared" si="14"/>
        <v>1</v>
      </c>
      <c r="AR19" s="798">
        <f t="shared" si="14"/>
        <v>1</v>
      </c>
      <c r="AS19" s="798">
        <f t="shared" si="14"/>
        <v>1</v>
      </c>
      <c r="AT19" s="798">
        <f t="shared" si="14"/>
        <v>1</v>
      </c>
      <c r="AU19" s="798">
        <f t="shared" si="14"/>
        <v>1</v>
      </c>
      <c r="AV19" s="798">
        <f t="shared" si="14"/>
        <v>1</v>
      </c>
      <c r="AW19" s="798">
        <f t="shared" si="14"/>
        <v>1</v>
      </c>
      <c r="AX19" s="798">
        <f t="shared" si="14"/>
        <v>1</v>
      </c>
      <c r="AY19" s="798">
        <f t="shared" si="14"/>
        <v>1</v>
      </c>
      <c r="AZ19" s="798">
        <f t="shared" si="14"/>
        <v>1</v>
      </c>
      <c r="BA19" s="798">
        <f t="shared" si="14"/>
        <v>1</v>
      </c>
      <c r="BB19" s="798">
        <f t="shared" si="14"/>
        <v>1</v>
      </c>
      <c r="BC19" s="798">
        <f t="shared" si="14"/>
        <v>1</v>
      </c>
      <c r="BD19" s="798">
        <f t="shared" si="14"/>
        <v>1</v>
      </c>
      <c r="BE19" s="798">
        <f t="shared" si="14"/>
        <v>1</v>
      </c>
      <c r="BF19" s="798">
        <f t="shared" si="14"/>
        <v>1</v>
      </c>
      <c r="BG19" s="798">
        <f t="shared" si="14"/>
        <v>1</v>
      </c>
      <c r="BH19" s="798">
        <f t="shared" si="14"/>
        <v>1</v>
      </c>
      <c r="BI19" s="798">
        <f t="shared" si="14"/>
        <v>1</v>
      </c>
      <c r="BJ19" s="798">
        <f t="shared" si="14"/>
        <v>1</v>
      </c>
      <c r="BK19" s="798">
        <f t="shared" si="14"/>
        <v>1</v>
      </c>
      <c r="BL19" s="765"/>
      <c r="BM19" s="790">
        <v>11.0</v>
      </c>
      <c r="BN19" s="790"/>
    </row>
    <row r="20">
      <c r="A20" s="36"/>
      <c r="B20" s="803">
        <v>7.0</v>
      </c>
      <c r="C20" s="804">
        <f>SUM($T$12:$T$710)</f>
        <v>240</v>
      </c>
      <c r="D20" s="805">
        <v>27.0</v>
      </c>
      <c r="E20" s="804">
        <f>SUM($AN$12:$AN$710)</f>
        <v>520</v>
      </c>
      <c r="F20" s="805">
        <v>47.0</v>
      </c>
      <c r="G20" s="807">
        <f>SUM($BH$12:$BH$710)</f>
        <v>640</v>
      </c>
      <c r="H20" s="36"/>
      <c r="I20" s="763">
        <v>9.0</v>
      </c>
      <c r="J20" s="763">
        <f t="shared" si="5"/>
        <v>375359718.5</v>
      </c>
      <c r="K20" s="796">
        <f t="shared" si="7"/>
        <v>0.23829</v>
      </c>
      <c r="L20" s="796">
        <v>5.0E-4</v>
      </c>
      <c r="M20" s="763">
        <v>4.2800424E8</v>
      </c>
      <c r="N20" s="797">
        <f t="shared" si="8"/>
        <v>0</v>
      </c>
      <c r="O20" s="798">
        <f t="shared" ref="O20:BK20" si="15">FLOOR(MIN((((N("value of ELS upgrade")+N$8*($K20-$K19))*(N("Check checkbox")+(IF($G$6=TRUE,$G$7,$G$8))/$G$8))/(N("ROI of ELS and multiply by 2 if ELS is 1:1")+IF($G$12 = True, 2, 1) * $J20))/((N("difference in ELS+ and the cost of it")+(($K19*O$8)-($K19*N$8)) / O$7)),(N("MIN lets it return 0 or 1 after floored")+1)),1)</f>
        <v>1</v>
      </c>
      <c r="P20" s="798">
        <f t="shared" si="15"/>
        <v>1</v>
      </c>
      <c r="Q20" s="798">
        <f t="shared" si="15"/>
        <v>1</v>
      </c>
      <c r="R20" s="798">
        <f t="shared" si="15"/>
        <v>1</v>
      </c>
      <c r="S20" s="798">
        <f t="shared" si="15"/>
        <v>1</v>
      </c>
      <c r="T20" s="798">
        <f t="shared" si="15"/>
        <v>1</v>
      </c>
      <c r="U20" s="798">
        <f t="shared" si="15"/>
        <v>1</v>
      </c>
      <c r="V20" s="798">
        <f t="shared" si="15"/>
        <v>1</v>
      </c>
      <c r="W20" s="798">
        <f t="shared" si="15"/>
        <v>1</v>
      </c>
      <c r="X20" s="798">
        <f t="shared" si="15"/>
        <v>1</v>
      </c>
      <c r="Y20" s="798">
        <f t="shared" si="15"/>
        <v>1</v>
      </c>
      <c r="Z20" s="798">
        <f t="shared" si="15"/>
        <v>1</v>
      </c>
      <c r="AA20" s="798">
        <f t="shared" si="15"/>
        <v>1</v>
      </c>
      <c r="AB20" s="798">
        <f t="shared" si="15"/>
        <v>1</v>
      </c>
      <c r="AC20" s="798">
        <f t="shared" si="15"/>
        <v>1</v>
      </c>
      <c r="AD20" s="798">
        <f t="shared" si="15"/>
        <v>1</v>
      </c>
      <c r="AE20" s="798">
        <f t="shared" si="15"/>
        <v>1</v>
      </c>
      <c r="AF20" s="798">
        <f t="shared" si="15"/>
        <v>1</v>
      </c>
      <c r="AG20" s="798">
        <f t="shared" si="15"/>
        <v>1</v>
      </c>
      <c r="AH20" s="798">
        <f t="shared" si="15"/>
        <v>1</v>
      </c>
      <c r="AI20" s="798">
        <f t="shared" si="15"/>
        <v>1</v>
      </c>
      <c r="AJ20" s="798">
        <f t="shared" si="15"/>
        <v>1</v>
      </c>
      <c r="AK20" s="798">
        <f t="shared" si="15"/>
        <v>1</v>
      </c>
      <c r="AL20" s="798">
        <f t="shared" si="15"/>
        <v>1</v>
      </c>
      <c r="AM20" s="798">
        <f t="shared" si="15"/>
        <v>1</v>
      </c>
      <c r="AN20" s="798">
        <f t="shared" si="15"/>
        <v>1</v>
      </c>
      <c r="AO20" s="798">
        <f t="shared" si="15"/>
        <v>1</v>
      </c>
      <c r="AP20" s="798">
        <f t="shared" si="15"/>
        <v>1</v>
      </c>
      <c r="AQ20" s="798">
        <f t="shared" si="15"/>
        <v>1</v>
      </c>
      <c r="AR20" s="798">
        <f t="shared" si="15"/>
        <v>1</v>
      </c>
      <c r="AS20" s="798">
        <f t="shared" si="15"/>
        <v>1</v>
      </c>
      <c r="AT20" s="798">
        <f t="shared" si="15"/>
        <v>1</v>
      </c>
      <c r="AU20" s="798">
        <f t="shared" si="15"/>
        <v>1</v>
      </c>
      <c r="AV20" s="798">
        <f t="shared" si="15"/>
        <v>1</v>
      </c>
      <c r="AW20" s="798">
        <f t="shared" si="15"/>
        <v>1</v>
      </c>
      <c r="AX20" s="798">
        <f t="shared" si="15"/>
        <v>1</v>
      </c>
      <c r="AY20" s="798">
        <f t="shared" si="15"/>
        <v>1</v>
      </c>
      <c r="AZ20" s="798">
        <f t="shared" si="15"/>
        <v>1</v>
      </c>
      <c r="BA20" s="798">
        <f t="shared" si="15"/>
        <v>1</v>
      </c>
      <c r="BB20" s="798">
        <f t="shared" si="15"/>
        <v>1</v>
      </c>
      <c r="BC20" s="798">
        <f t="shared" si="15"/>
        <v>1</v>
      </c>
      <c r="BD20" s="798">
        <f t="shared" si="15"/>
        <v>1</v>
      </c>
      <c r="BE20" s="798">
        <f t="shared" si="15"/>
        <v>1</v>
      </c>
      <c r="BF20" s="798">
        <f t="shared" si="15"/>
        <v>1</v>
      </c>
      <c r="BG20" s="798">
        <f t="shared" si="15"/>
        <v>1</v>
      </c>
      <c r="BH20" s="798">
        <f t="shared" si="15"/>
        <v>1</v>
      </c>
      <c r="BI20" s="798">
        <f t="shared" si="15"/>
        <v>1</v>
      </c>
      <c r="BJ20" s="798">
        <f t="shared" si="15"/>
        <v>1</v>
      </c>
      <c r="BK20" s="798">
        <f t="shared" si="15"/>
        <v>1</v>
      </c>
      <c r="BL20" s="765"/>
      <c r="BM20" s="790">
        <v>12.0</v>
      </c>
      <c r="BN20" s="790"/>
    </row>
    <row r="21">
      <c r="A21" s="36"/>
      <c r="B21" s="803">
        <v>8.0</v>
      </c>
      <c r="C21" s="804">
        <f>SUM($U$12:$U$710)</f>
        <v>280</v>
      </c>
      <c r="D21" s="805">
        <v>28.0</v>
      </c>
      <c r="E21" s="804">
        <f>SUM($AO$12:$AO$710)</f>
        <v>520</v>
      </c>
      <c r="F21" s="805">
        <v>48.0</v>
      </c>
      <c r="G21" s="807">
        <f>SUM($BI$12:$BI$710)</f>
        <v>640</v>
      </c>
      <c r="H21" s="36"/>
      <c r="I21" s="765">
        <f t="shared" ref="I21:I710" si="17">I20 + 1</f>
        <v>10</v>
      </c>
      <c r="J21" s="763">
        <f t="shared" si="5"/>
        <v>389393518.1</v>
      </c>
      <c r="K21" s="796">
        <f t="shared" si="7"/>
        <v>0.23879</v>
      </c>
      <c r="L21" s="796">
        <v>5.0E-4</v>
      </c>
      <c r="M21" s="763">
        <v>4.44006292E8</v>
      </c>
      <c r="N21" s="797">
        <f t="shared" si="8"/>
        <v>0</v>
      </c>
      <c r="O21" s="798">
        <f t="shared" ref="O21:BK21" si="16">FLOOR(MIN((((N("value of ELS upgrade")+N$8*($K21-$K20))*(N("Check checkbox")+(IF($G$6=TRUE,$G$7,$G$8))/$G$8))/(N("ROI of ELS and multiply by 2 if ELS is 1:1")+IF($G$12 = True, 2, 1) * $J21))/((N("difference in ELS+ and the cost of it")+(($K20*O$8)-($K20*N$8)) / O$7)),(N("MIN lets it return 0 or 1 after floored")+1)),1)</f>
        <v>1</v>
      </c>
      <c r="P21" s="798">
        <f t="shared" si="16"/>
        <v>1</v>
      </c>
      <c r="Q21" s="798">
        <f t="shared" si="16"/>
        <v>1</v>
      </c>
      <c r="R21" s="798">
        <f t="shared" si="16"/>
        <v>1</v>
      </c>
      <c r="S21" s="798">
        <f t="shared" si="16"/>
        <v>1</v>
      </c>
      <c r="T21" s="798">
        <f t="shared" si="16"/>
        <v>1</v>
      </c>
      <c r="U21" s="798">
        <f t="shared" si="16"/>
        <v>1</v>
      </c>
      <c r="V21" s="798">
        <f t="shared" si="16"/>
        <v>1</v>
      </c>
      <c r="W21" s="798">
        <f t="shared" si="16"/>
        <v>1</v>
      </c>
      <c r="X21" s="798">
        <f t="shared" si="16"/>
        <v>1</v>
      </c>
      <c r="Y21" s="798">
        <f t="shared" si="16"/>
        <v>1</v>
      </c>
      <c r="Z21" s="798">
        <f t="shared" si="16"/>
        <v>1</v>
      </c>
      <c r="AA21" s="798">
        <f t="shared" si="16"/>
        <v>1</v>
      </c>
      <c r="AB21" s="798">
        <f t="shared" si="16"/>
        <v>1</v>
      </c>
      <c r="AC21" s="798">
        <f t="shared" si="16"/>
        <v>1</v>
      </c>
      <c r="AD21" s="798">
        <f t="shared" si="16"/>
        <v>1</v>
      </c>
      <c r="AE21" s="798">
        <f t="shared" si="16"/>
        <v>1</v>
      </c>
      <c r="AF21" s="798">
        <f t="shared" si="16"/>
        <v>1</v>
      </c>
      <c r="AG21" s="798">
        <f t="shared" si="16"/>
        <v>1</v>
      </c>
      <c r="AH21" s="798">
        <f t="shared" si="16"/>
        <v>1</v>
      </c>
      <c r="AI21" s="798">
        <f t="shared" si="16"/>
        <v>1</v>
      </c>
      <c r="AJ21" s="798">
        <f t="shared" si="16"/>
        <v>1</v>
      </c>
      <c r="AK21" s="798">
        <f t="shared" si="16"/>
        <v>1</v>
      </c>
      <c r="AL21" s="798">
        <f t="shared" si="16"/>
        <v>1</v>
      </c>
      <c r="AM21" s="798">
        <f t="shared" si="16"/>
        <v>1</v>
      </c>
      <c r="AN21" s="798">
        <f t="shared" si="16"/>
        <v>1</v>
      </c>
      <c r="AO21" s="798">
        <f t="shared" si="16"/>
        <v>1</v>
      </c>
      <c r="AP21" s="798">
        <f t="shared" si="16"/>
        <v>1</v>
      </c>
      <c r="AQ21" s="798">
        <f t="shared" si="16"/>
        <v>1</v>
      </c>
      <c r="AR21" s="798">
        <f t="shared" si="16"/>
        <v>1</v>
      </c>
      <c r="AS21" s="798">
        <f t="shared" si="16"/>
        <v>1</v>
      </c>
      <c r="AT21" s="798">
        <f t="shared" si="16"/>
        <v>1</v>
      </c>
      <c r="AU21" s="798">
        <f t="shared" si="16"/>
        <v>1</v>
      </c>
      <c r="AV21" s="798">
        <f t="shared" si="16"/>
        <v>1</v>
      </c>
      <c r="AW21" s="798">
        <f t="shared" si="16"/>
        <v>1</v>
      </c>
      <c r="AX21" s="798">
        <f t="shared" si="16"/>
        <v>1</v>
      </c>
      <c r="AY21" s="798">
        <f t="shared" si="16"/>
        <v>1</v>
      </c>
      <c r="AZ21" s="798">
        <f t="shared" si="16"/>
        <v>1</v>
      </c>
      <c r="BA21" s="798">
        <f t="shared" si="16"/>
        <v>1</v>
      </c>
      <c r="BB21" s="798">
        <f t="shared" si="16"/>
        <v>1</v>
      </c>
      <c r="BC21" s="798">
        <f t="shared" si="16"/>
        <v>1</v>
      </c>
      <c r="BD21" s="798">
        <f t="shared" si="16"/>
        <v>1</v>
      </c>
      <c r="BE21" s="798">
        <f t="shared" si="16"/>
        <v>1</v>
      </c>
      <c r="BF21" s="798">
        <f t="shared" si="16"/>
        <v>1</v>
      </c>
      <c r="BG21" s="798">
        <f t="shared" si="16"/>
        <v>1</v>
      </c>
      <c r="BH21" s="798">
        <f t="shared" si="16"/>
        <v>1</v>
      </c>
      <c r="BI21" s="798">
        <f t="shared" si="16"/>
        <v>1</v>
      </c>
      <c r="BJ21" s="798">
        <f t="shared" si="16"/>
        <v>1</v>
      </c>
      <c r="BK21" s="798">
        <f t="shared" si="16"/>
        <v>1</v>
      </c>
      <c r="BL21" s="765"/>
      <c r="BM21" s="790">
        <v>13.0</v>
      </c>
      <c r="BN21" s="790"/>
    </row>
    <row r="22">
      <c r="A22" s="36"/>
      <c r="B22" s="803">
        <v>9.0</v>
      </c>
      <c r="C22" s="804">
        <f>SUM($V$12:$V$710)</f>
        <v>280</v>
      </c>
      <c r="D22" s="805">
        <v>29.0</v>
      </c>
      <c r="E22" s="804">
        <f>SUM($AP$12:$AP$710)</f>
        <v>520</v>
      </c>
      <c r="F22" s="805">
        <v>49.0</v>
      </c>
      <c r="G22" s="807">
        <f>SUM($BJ$12:$BJ$710)</f>
        <v>640</v>
      </c>
      <c r="H22" s="36"/>
      <c r="I22" s="765">
        <f t="shared" si="17"/>
        <v>11</v>
      </c>
      <c r="J22" s="763">
        <f t="shared" si="5"/>
        <v>403427853.5</v>
      </c>
      <c r="K22" s="796">
        <f t="shared" si="7"/>
        <v>0.23929</v>
      </c>
      <c r="L22" s="796">
        <v>5.0E-4</v>
      </c>
      <c r="M22" s="763">
        <v>4.60008955E8</v>
      </c>
      <c r="N22" s="797">
        <f t="shared" si="8"/>
        <v>0</v>
      </c>
      <c r="O22" s="798">
        <f t="shared" ref="O22:BK22" si="18">FLOOR(MIN((((N("value of ELS upgrade")+N$8*($K22-$K21))*(N("Check checkbox")+(IF($G$6=TRUE,$G$7,$G$8))/$G$8))/(N("ROI of ELS and multiply by 2 if ELS is 1:1")+IF($G$12 = True, 2, 1) * $J22))/((N("difference in ELS+ and the cost of it")+(($K21*O$8)-($K21*N$8)) / O$7)),(N("MIN lets it return 0 or 1 after floored")+1)),1)</f>
        <v>1</v>
      </c>
      <c r="P22" s="798">
        <f t="shared" si="18"/>
        <v>1</v>
      </c>
      <c r="Q22" s="798">
        <f t="shared" si="18"/>
        <v>1</v>
      </c>
      <c r="R22" s="798">
        <f t="shared" si="18"/>
        <v>1</v>
      </c>
      <c r="S22" s="798">
        <f t="shared" si="18"/>
        <v>1</v>
      </c>
      <c r="T22" s="798">
        <f t="shared" si="18"/>
        <v>1</v>
      </c>
      <c r="U22" s="798">
        <f t="shared" si="18"/>
        <v>1</v>
      </c>
      <c r="V22" s="798">
        <f t="shared" si="18"/>
        <v>1</v>
      </c>
      <c r="W22" s="798">
        <f t="shared" si="18"/>
        <v>1</v>
      </c>
      <c r="X22" s="798">
        <f t="shared" si="18"/>
        <v>1</v>
      </c>
      <c r="Y22" s="798">
        <f t="shared" si="18"/>
        <v>1</v>
      </c>
      <c r="Z22" s="798">
        <f t="shared" si="18"/>
        <v>1</v>
      </c>
      <c r="AA22" s="798">
        <f t="shared" si="18"/>
        <v>1</v>
      </c>
      <c r="AB22" s="798">
        <f t="shared" si="18"/>
        <v>1</v>
      </c>
      <c r="AC22" s="798">
        <f t="shared" si="18"/>
        <v>1</v>
      </c>
      <c r="AD22" s="798">
        <f t="shared" si="18"/>
        <v>1</v>
      </c>
      <c r="AE22" s="798">
        <f t="shared" si="18"/>
        <v>1</v>
      </c>
      <c r="AF22" s="798">
        <f t="shared" si="18"/>
        <v>1</v>
      </c>
      <c r="AG22" s="798">
        <f t="shared" si="18"/>
        <v>1</v>
      </c>
      <c r="AH22" s="798">
        <f t="shared" si="18"/>
        <v>1</v>
      </c>
      <c r="AI22" s="798">
        <f t="shared" si="18"/>
        <v>1</v>
      </c>
      <c r="AJ22" s="798">
        <f t="shared" si="18"/>
        <v>1</v>
      </c>
      <c r="AK22" s="798">
        <f t="shared" si="18"/>
        <v>1</v>
      </c>
      <c r="AL22" s="798">
        <f t="shared" si="18"/>
        <v>1</v>
      </c>
      <c r="AM22" s="798">
        <f t="shared" si="18"/>
        <v>1</v>
      </c>
      <c r="AN22" s="798">
        <f t="shared" si="18"/>
        <v>1</v>
      </c>
      <c r="AO22" s="798">
        <f t="shared" si="18"/>
        <v>1</v>
      </c>
      <c r="AP22" s="798">
        <f t="shared" si="18"/>
        <v>1</v>
      </c>
      <c r="AQ22" s="798">
        <f t="shared" si="18"/>
        <v>1</v>
      </c>
      <c r="AR22" s="798">
        <f t="shared" si="18"/>
        <v>1</v>
      </c>
      <c r="AS22" s="798">
        <f t="shared" si="18"/>
        <v>1</v>
      </c>
      <c r="AT22" s="798">
        <f t="shared" si="18"/>
        <v>1</v>
      </c>
      <c r="AU22" s="798">
        <f t="shared" si="18"/>
        <v>1</v>
      </c>
      <c r="AV22" s="798">
        <f t="shared" si="18"/>
        <v>1</v>
      </c>
      <c r="AW22" s="798">
        <f t="shared" si="18"/>
        <v>1</v>
      </c>
      <c r="AX22" s="798">
        <f t="shared" si="18"/>
        <v>1</v>
      </c>
      <c r="AY22" s="798">
        <f t="shared" si="18"/>
        <v>1</v>
      </c>
      <c r="AZ22" s="798">
        <f t="shared" si="18"/>
        <v>1</v>
      </c>
      <c r="BA22" s="798">
        <f t="shared" si="18"/>
        <v>1</v>
      </c>
      <c r="BB22" s="798">
        <f t="shared" si="18"/>
        <v>1</v>
      </c>
      <c r="BC22" s="798">
        <f t="shared" si="18"/>
        <v>1</v>
      </c>
      <c r="BD22" s="798">
        <f t="shared" si="18"/>
        <v>1</v>
      </c>
      <c r="BE22" s="798">
        <f t="shared" si="18"/>
        <v>1</v>
      </c>
      <c r="BF22" s="798">
        <f t="shared" si="18"/>
        <v>1</v>
      </c>
      <c r="BG22" s="798">
        <f t="shared" si="18"/>
        <v>1</v>
      </c>
      <c r="BH22" s="798">
        <f t="shared" si="18"/>
        <v>1</v>
      </c>
      <c r="BI22" s="798">
        <f t="shared" si="18"/>
        <v>1</v>
      </c>
      <c r="BJ22" s="798">
        <f t="shared" si="18"/>
        <v>1</v>
      </c>
      <c r="BK22" s="798">
        <f t="shared" si="18"/>
        <v>1</v>
      </c>
      <c r="BL22" s="765"/>
      <c r="BM22" s="790">
        <v>14.0</v>
      </c>
      <c r="BN22" s="790"/>
    </row>
    <row r="23">
      <c r="A23" s="36"/>
      <c r="B23" s="803">
        <v>10.0</v>
      </c>
      <c r="C23" s="804">
        <f>SUM($W$12:$W$710)</f>
        <v>320</v>
      </c>
      <c r="D23" s="805">
        <v>30.0</v>
      </c>
      <c r="E23" s="804">
        <f>SUM($AQ$12:$AQ$710)</f>
        <v>520</v>
      </c>
      <c r="F23" s="808">
        <v>50.0</v>
      </c>
      <c r="G23" s="809">
        <f>SUM($BK$12:$BK$710)</f>
        <v>699</v>
      </c>
      <c r="H23" s="36"/>
      <c r="I23" s="765">
        <f t="shared" si="17"/>
        <v>12</v>
      </c>
      <c r="J23" s="763">
        <f t="shared" si="5"/>
        <v>417462807.3</v>
      </c>
      <c r="K23" s="796">
        <f t="shared" si="7"/>
        <v>0.23979</v>
      </c>
      <c r="L23" s="796">
        <v>5.0E-4</v>
      </c>
      <c r="M23" s="763">
        <v>4.76012323E8</v>
      </c>
      <c r="N23" s="797">
        <f t="shared" si="8"/>
        <v>0</v>
      </c>
      <c r="O23" s="798">
        <f t="shared" ref="O23:BK23" si="19">FLOOR(MIN((((N("value of ELS upgrade")+N$8*($K23-$K22))*(N("Check checkbox")+(IF($G$6=TRUE,$G$7,$G$8))/$G$8))/(N("ROI of ELS and multiply by 2 if ELS is 1:1")+IF($G$12 = True, 2, 1) * $J23))/((N("difference in ELS+ and the cost of it")+(($K22*O$8)-($K22*N$8)) / O$7)),(N("MIN lets it return 0 or 1 after floored")+1)),1)</f>
        <v>1</v>
      </c>
      <c r="P23" s="798">
        <f t="shared" si="19"/>
        <v>1</v>
      </c>
      <c r="Q23" s="798">
        <f t="shared" si="19"/>
        <v>1</v>
      </c>
      <c r="R23" s="798">
        <f t="shared" si="19"/>
        <v>1</v>
      </c>
      <c r="S23" s="798">
        <f t="shared" si="19"/>
        <v>1</v>
      </c>
      <c r="T23" s="798">
        <f t="shared" si="19"/>
        <v>1</v>
      </c>
      <c r="U23" s="798">
        <f t="shared" si="19"/>
        <v>1</v>
      </c>
      <c r="V23" s="798">
        <f t="shared" si="19"/>
        <v>1</v>
      </c>
      <c r="W23" s="798">
        <f t="shared" si="19"/>
        <v>1</v>
      </c>
      <c r="X23" s="798">
        <f t="shared" si="19"/>
        <v>1</v>
      </c>
      <c r="Y23" s="798">
        <f t="shared" si="19"/>
        <v>1</v>
      </c>
      <c r="Z23" s="798">
        <f t="shared" si="19"/>
        <v>1</v>
      </c>
      <c r="AA23" s="798">
        <f t="shared" si="19"/>
        <v>1</v>
      </c>
      <c r="AB23" s="798">
        <f t="shared" si="19"/>
        <v>1</v>
      </c>
      <c r="AC23" s="798">
        <f t="shared" si="19"/>
        <v>1</v>
      </c>
      <c r="AD23" s="798">
        <f t="shared" si="19"/>
        <v>1</v>
      </c>
      <c r="AE23" s="798">
        <f t="shared" si="19"/>
        <v>1</v>
      </c>
      <c r="AF23" s="798">
        <f t="shared" si="19"/>
        <v>1</v>
      </c>
      <c r="AG23" s="798">
        <f t="shared" si="19"/>
        <v>1</v>
      </c>
      <c r="AH23" s="798">
        <f t="shared" si="19"/>
        <v>1</v>
      </c>
      <c r="AI23" s="798">
        <f t="shared" si="19"/>
        <v>1</v>
      </c>
      <c r="AJ23" s="798">
        <f t="shared" si="19"/>
        <v>1</v>
      </c>
      <c r="AK23" s="798">
        <f t="shared" si="19"/>
        <v>1</v>
      </c>
      <c r="AL23" s="798">
        <f t="shared" si="19"/>
        <v>1</v>
      </c>
      <c r="AM23" s="798">
        <f t="shared" si="19"/>
        <v>1</v>
      </c>
      <c r="AN23" s="798">
        <f t="shared" si="19"/>
        <v>1</v>
      </c>
      <c r="AO23" s="798">
        <f t="shared" si="19"/>
        <v>1</v>
      </c>
      <c r="AP23" s="798">
        <f t="shared" si="19"/>
        <v>1</v>
      </c>
      <c r="AQ23" s="798">
        <f t="shared" si="19"/>
        <v>1</v>
      </c>
      <c r="AR23" s="798">
        <f t="shared" si="19"/>
        <v>1</v>
      </c>
      <c r="AS23" s="798">
        <f t="shared" si="19"/>
        <v>1</v>
      </c>
      <c r="AT23" s="798">
        <f t="shared" si="19"/>
        <v>1</v>
      </c>
      <c r="AU23" s="798">
        <f t="shared" si="19"/>
        <v>1</v>
      </c>
      <c r="AV23" s="798">
        <f t="shared" si="19"/>
        <v>1</v>
      </c>
      <c r="AW23" s="798">
        <f t="shared" si="19"/>
        <v>1</v>
      </c>
      <c r="AX23" s="798">
        <f t="shared" si="19"/>
        <v>1</v>
      </c>
      <c r="AY23" s="798">
        <f t="shared" si="19"/>
        <v>1</v>
      </c>
      <c r="AZ23" s="798">
        <f t="shared" si="19"/>
        <v>1</v>
      </c>
      <c r="BA23" s="798">
        <f t="shared" si="19"/>
        <v>1</v>
      </c>
      <c r="BB23" s="798">
        <f t="shared" si="19"/>
        <v>1</v>
      </c>
      <c r="BC23" s="798">
        <f t="shared" si="19"/>
        <v>1</v>
      </c>
      <c r="BD23" s="798">
        <f t="shared" si="19"/>
        <v>1</v>
      </c>
      <c r="BE23" s="798">
        <f t="shared" si="19"/>
        <v>1</v>
      </c>
      <c r="BF23" s="798">
        <f t="shared" si="19"/>
        <v>1</v>
      </c>
      <c r="BG23" s="798">
        <f t="shared" si="19"/>
        <v>1</v>
      </c>
      <c r="BH23" s="798">
        <f t="shared" si="19"/>
        <v>1</v>
      </c>
      <c r="BI23" s="798">
        <f t="shared" si="19"/>
        <v>1</v>
      </c>
      <c r="BJ23" s="798">
        <f t="shared" si="19"/>
        <v>1</v>
      </c>
      <c r="BK23" s="798">
        <f t="shared" si="19"/>
        <v>1</v>
      </c>
      <c r="BL23" s="765"/>
      <c r="BM23" s="790">
        <v>15.0</v>
      </c>
      <c r="BN23" s="790"/>
    </row>
    <row r="24">
      <c r="A24" s="36"/>
      <c r="B24" s="803">
        <v>11.0</v>
      </c>
      <c r="C24" s="804">
        <f>SUM($X$12:$X$710)</f>
        <v>320</v>
      </c>
      <c r="D24" s="805">
        <v>31.0</v>
      </c>
      <c r="E24" s="804">
        <f>SUM($AR$12:$AR$710)</f>
        <v>549</v>
      </c>
      <c r="F24" s="810" t="s">
        <v>279</v>
      </c>
      <c r="G24" s="224"/>
      <c r="H24" s="36"/>
      <c r="I24" s="765">
        <f t="shared" si="17"/>
        <v>13</v>
      </c>
      <c r="J24" s="763">
        <f t="shared" si="5"/>
        <v>431498465.2</v>
      </c>
      <c r="K24" s="796">
        <f t="shared" si="7"/>
        <v>0.24029</v>
      </c>
      <c r="L24" s="796">
        <v>5.0E-4</v>
      </c>
      <c r="M24" s="763">
        <v>4.92016494E8</v>
      </c>
      <c r="N24" s="797">
        <f t="shared" si="8"/>
        <v>0</v>
      </c>
      <c r="O24" s="798">
        <f t="shared" ref="O24:BK24" si="20">FLOOR(MIN((((N("value of ELS upgrade")+N$8*($K24-$K23))*(N("Check checkbox")+(IF($G$6=TRUE,$G$7,$G$8))/$G$8))/(N("ROI of ELS and multiply by 2 if ELS is 1:1")+IF($G$12 = True, 2, 1) * $J24))/((N("difference in ELS+ and the cost of it")+(($K23*O$8)-($K23*N$8)) / O$7)),(N("MIN lets it return 0 or 1 after floored")+1)),1)</f>
        <v>1</v>
      </c>
      <c r="P24" s="798">
        <f t="shared" si="20"/>
        <v>1</v>
      </c>
      <c r="Q24" s="798">
        <f t="shared" si="20"/>
        <v>1</v>
      </c>
      <c r="R24" s="798">
        <f t="shared" si="20"/>
        <v>1</v>
      </c>
      <c r="S24" s="798">
        <f t="shared" si="20"/>
        <v>1</v>
      </c>
      <c r="T24" s="798">
        <f t="shared" si="20"/>
        <v>1</v>
      </c>
      <c r="U24" s="798">
        <f t="shared" si="20"/>
        <v>1</v>
      </c>
      <c r="V24" s="798">
        <f t="shared" si="20"/>
        <v>1</v>
      </c>
      <c r="W24" s="798">
        <f t="shared" si="20"/>
        <v>1</v>
      </c>
      <c r="X24" s="798">
        <f t="shared" si="20"/>
        <v>1</v>
      </c>
      <c r="Y24" s="798">
        <f t="shared" si="20"/>
        <v>1</v>
      </c>
      <c r="Z24" s="798">
        <f t="shared" si="20"/>
        <v>1</v>
      </c>
      <c r="AA24" s="798">
        <f t="shared" si="20"/>
        <v>1</v>
      </c>
      <c r="AB24" s="798">
        <f t="shared" si="20"/>
        <v>1</v>
      </c>
      <c r="AC24" s="798">
        <f t="shared" si="20"/>
        <v>1</v>
      </c>
      <c r="AD24" s="798">
        <f t="shared" si="20"/>
        <v>1</v>
      </c>
      <c r="AE24" s="798">
        <f t="shared" si="20"/>
        <v>1</v>
      </c>
      <c r="AF24" s="798">
        <f t="shared" si="20"/>
        <v>1</v>
      </c>
      <c r="AG24" s="798">
        <f t="shared" si="20"/>
        <v>1</v>
      </c>
      <c r="AH24" s="798">
        <f t="shared" si="20"/>
        <v>1</v>
      </c>
      <c r="AI24" s="798">
        <f t="shared" si="20"/>
        <v>1</v>
      </c>
      <c r="AJ24" s="798">
        <f t="shared" si="20"/>
        <v>1</v>
      </c>
      <c r="AK24" s="798">
        <f t="shared" si="20"/>
        <v>1</v>
      </c>
      <c r="AL24" s="798">
        <f t="shared" si="20"/>
        <v>1</v>
      </c>
      <c r="AM24" s="798">
        <f t="shared" si="20"/>
        <v>1</v>
      </c>
      <c r="AN24" s="798">
        <f t="shared" si="20"/>
        <v>1</v>
      </c>
      <c r="AO24" s="798">
        <f t="shared" si="20"/>
        <v>1</v>
      </c>
      <c r="AP24" s="798">
        <f t="shared" si="20"/>
        <v>1</v>
      </c>
      <c r="AQ24" s="798">
        <f t="shared" si="20"/>
        <v>1</v>
      </c>
      <c r="AR24" s="798">
        <f t="shared" si="20"/>
        <v>1</v>
      </c>
      <c r="AS24" s="798">
        <f t="shared" si="20"/>
        <v>1</v>
      </c>
      <c r="AT24" s="798">
        <f t="shared" si="20"/>
        <v>1</v>
      </c>
      <c r="AU24" s="798">
        <f t="shared" si="20"/>
        <v>1</v>
      </c>
      <c r="AV24" s="798">
        <f t="shared" si="20"/>
        <v>1</v>
      </c>
      <c r="AW24" s="798">
        <f t="shared" si="20"/>
        <v>1</v>
      </c>
      <c r="AX24" s="798">
        <f t="shared" si="20"/>
        <v>1</v>
      </c>
      <c r="AY24" s="798">
        <f t="shared" si="20"/>
        <v>1</v>
      </c>
      <c r="AZ24" s="798">
        <f t="shared" si="20"/>
        <v>1</v>
      </c>
      <c r="BA24" s="798">
        <f t="shared" si="20"/>
        <v>1</v>
      </c>
      <c r="BB24" s="798">
        <f t="shared" si="20"/>
        <v>1</v>
      </c>
      <c r="BC24" s="798">
        <f t="shared" si="20"/>
        <v>1</v>
      </c>
      <c r="BD24" s="798">
        <f t="shared" si="20"/>
        <v>1</v>
      </c>
      <c r="BE24" s="798">
        <f t="shared" si="20"/>
        <v>1</v>
      </c>
      <c r="BF24" s="798">
        <f t="shared" si="20"/>
        <v>1</v>
      </c>
      <c r="BG24" s="798">
        <f t="shared" si="20"/>
        <v>1</v>
      </c>
      <c r="BH24" s="798">
        <f t="shared" si="20"/>
        <v>1</v>
      </c>
      <c r="BI24" s="798">
        <f t="shared" si="20"/>
        <v>1</v>
      </c>
      <c r="BJ24" s="798">
        <f t="shared" si="20"/>
        <v>1</v>
      </c>
      <c r="BK24" s="798">
        <f t="shared" si="20"/>
        <v>1</v>
      </c>
      <c r="BL24" s="765"/>
      <c r="BM24" s="790">
        <v>16.0</v>
      </c>
      <c r="BN24" s="790"/>
    </row>
    <row r="25">
      <c r="A25" s="36"/>
      <c r="B25" s="803">
        <v>12.0</v>
      </c>
      <c r="C25" s="804">
        <f>SUM($Y$12:$Y$710)</f>
        <v>320</v>
      </c>
      <c r="D25" s="805">
        <v>32.0</v>
      </c>
      <c r="E25" s="804">
        <f>SUM($AS$12:$AS$710)</f>
        <v>560</v>
      </c>
      <c r="G25" s="224"/>
      <c r="H25" s="36"/>
      <c r="I25" s="765">
        <f t="shared" si="17"/>
        <v>14</v>
      </c>
      <c r="J25" s="763">
        <f t="shared" si="5"/>
        <v>445534913.4</v>
      </c>
      <c r="K25" s="796">
        <f t="shared" si="7"/>
        <v>0.24079</v>
      </c>
      <c r="L25" s="796">
        <v>5.0E-4</v>
      </c>
      <c r="M25" s="763">
        <v>5.08021566E8</v>
      </c>
      <c r="N25" s="797">
        <f t="shared" si="8"/>
        <v>0</v>
      </c>
      <c r="O25" s="798">
        <f t="shared" ref="O25:BK25" si="21">FLOOR(MIN((((N("value of ELS upgrade")+N$8*($K25-$K24))*(N("Check checkbox")+(IF($G$6=TRUE,$G$7,$G$8))/$G$8))/(N("ROI of ELS and multiply by 2 if ELS is 1:1")+IF($G$12 = True, 2, 1) * $J25))/((N("difference in ELS+ and the cost of it")+(($K24*O$8)-($K24*N$8)) / O$7)),(N("MIN lets it return 0 or 1 after floored")+1)),1)</f>
        <v>1</v>
      </c>
      <c r="P25" s="798">
        <f t="shared" si="21"/>
        <v>1</v>
      </c>
      <c r="Q25" s="798">
        <f t="shared" si="21"/>
        <v>1</v>
      </c>
      <c r="R25" s="798">
        <f t="shared" si="21"/>
        <v>1</v>
      </c>
      <c r="S25" s="798">
        <f t="shared" si="21"/>
        <v>1</v>
      </c>
      <c r="T25" s="798">
        <f t="shared" si="21"/>
        <v>1</v>
      </c>
      <c r="U25" s="798">
        <f t="shared" si="21"/>
        <v>1</v>
      </c>
      <c r="V25" s="798">
        <f t="shared" si="21"/>
        <v>1</v>
      </c>
      <c r="W25" s="798">
        <f t="shared" si="21"/>
        <v>1</v>
      </c>
      <c r="X25" s="798">
        <f t="shared" si="21"/>
        <v>1</v>
      </c>
      <c r="Y25" s="798">
        <f t="shared" si="21"/>
        <v>1</v>
      </c>
      <c r="Z25" s="798">
        <f t="shared" si="21"/>
        <v>1</v>
      </c>
      <c r="AA25" s="798">
        <f t="shared" si="21"/>
        <v>1</v>
      </c>
      <c r="AB25" s="798">
        <f t="shared" si="21"/>
        <v>1</v>
      </c>
      <c r="AC25" s="798">
        <f t="shared" si="21"/>
        <v>1</v>
      </c>
      <c r="AD25" s="798">
        <f t="shared" si="21"/>
        <v>1</v>
      </c>
      <c r="AE25" s="798">
        <f t="shared" si="21"/>
        <v>1</v>
      </c>
      <c r="AF25" s="798">
        <f t="shared" si="21"/>
        <v>1</v>
      </c>
      <c r="AG25" s="798">
        <f t="shared" si="21"/>
        <v>1</v>
      </c>
      <c r="AH25" s="798">
        <f t="shared" si="21"/>
        <v>1</v>
      </c>
      <c r="AI25" s="798">
        <f t="shared" si="21"/>
        <v>1</v>
      </c>
      <c r="AJ25" s="798">
        <f t="shared" si="21"/>
        <v>1</v>
      </c>
      <c r="AK25" s="798">
        <f t="shared" si="21"/>
        <v>1</v>
      </c>
      <c r="AL25" s="798">
        <f t="shared" si="21"/>
        <v>1</v>
      </c>
      <c r="AM25" s="798">
        <f t="shared" si="21"/>
        <v>1</v>
      </c>
      <c r="AN25" s="798">
        <f t="shared" si="21"/>
        <v>1</v>
      </c>
      <c r="AO25" s="798">
        <f t="shared" si="21"/>
        <v>1</v>
      </c>
      <c r="AP25" s="798">
        <f t="shared" si="21"/>
        <v>1</v>
      </c>
      <c r="AQ25" s="798">
        <f t="shared" si="21"/>
        <v>1</v>
      </c>
      <c r="AR25" s="798">
        <f t="shared" si="21"/>
        <v>1</v>
      </c>
      <c r="AS25" s="798">
        <f t="shared" si="21"/>
        <v>1</v>
      </c>
      <c r="AT25" s="798">
        <f t="shared" si="21"/>
        <v>1</v>
      </c>
      <c r="AU25" s="798">
        <f t="shared" si="21"/>
        <v>1</v>
      </c>
      <c r="AV25" s="798">
        <f t="shared" si="21"/>
        <v>1</v>
      </c>
      <c r="AW25" s="798">
        <f t="shared" si="21"/>
        <v>1</v>
      </c>
      <c r="AX25" s="798">
        <f t="shared" si="21"/>
        <v>1</v>
      </c>
      <c r="AY25" s="798">
        <f t="shared" si="21"/>
        <v>1</v>
      </c>
      <c r="AZ25" s="798">
        <f t="shared" si="21"/>
        <v>1</v>
      </c>
      <c r="BA25" s="798">
        <f t="shared" si="21"/>
        <v>1</v>
      </c>
      <c r="BB25" s="798">
        <f t="shared" si="21"/>
        <v>1</v>
      </c>
      <c r="BC25" s="798">
        <f t="shared" si="21"/>
        <v>1</v>
      </c>
      <c r="BD25" s="798">
        <f t="shared" si="21"/>
        <v>1</v>
      </c>
      <c r="BE25" s="798">
        <f t="shared" si="21"/>
        <v>1</v>
      </c>
      <c r="BF25" s="798">
        <f t="shared" si="21"/>
        <v>1</v>
      </c>
      <c r="BG25" s="798">
        <f t="shared" si="21"/>
        <v>1</v>
      </c>
      <c r="BH25" s="798">
        <f t="shared" si="21"/>
        <v>1</v>
      </c>
      <c r="BI25" s="798">
        <f t="shared" si="21"/>
        <v>1</v>
      </c>
      <c r="BJ25" s="798">
        <f t="shared" si="21"/>
        <v>1</v>
      </c>
      <c r="BK25" s="798">
        <f t="shared" si="21"/>
        <v>1</v>
      </c>
      <c r="BL25" s="765"/>
      <c r="BM25" s="790">
        <v>17.0</v>
      </c>
      <c r="BN25" s="790"/>
    </row>
    <row r="26">
      <c r="A26" s="36"/>
      <c r="B26" s="803">
        <v>13.0</v>
      </c>
      <c r="C26" s="804">
        <f>SUM($Z$12:$Z$710)</f>
        <v>360</v>
      </c>
      <c r="D26" s="805">
        <v>33.0</v>
      </c>
      <c r="E26" s="804">
        <f>SUM($AT$12:$AT$710)</f>
        <v>560</v>
      </c>
      <c r="G26" s="224"/>
      <c r="H26" s="36"/>
      <c r="I26" s="765">
        <f t="shared" si="17"/>
        <v>15</v>
      </c>
      <c r="J26" s="763">
        <f t="shared" si="5"/>
        <v>459572242.9</v>
      </c>
      <c r="K26" s="796">
        <f t="shared" si="7"/>
        <v>0.24129</v>
      </c>
      <c r="L26" s="796">
        <v>5.0E-4</v>
      </c>
      <c r="M26" s="763">
        <v>5.24027643E8</v>
      </c>
      <c r="N26" s="797">
        <f t="shared" si="8"/>
        <v>0</v>
      </c>
      <c r="O26" s="798">
        <f t="shared" ref="O26:BK26" si="22">FLOOR(MIN((((N("value of ELS upgrade")+N$8*($K26-$K25))*(N("Check checkbox")+(IF($G$6=TRUE,$G$7,$G$8))/$G$8))/(N("ROI of ELS and multiply by 2 if ELS is 1:1")+IF($G$12 = True, 2, 1) * $J26))/((N("difference in ELS+ and the cost of it")+(($K25*O$8)-($K25*N$8)) / O$7)),(N("MIN lets it return 0 or 1 after floored")+1)),1)</f>
        <v>0</v>
      </c>
      <c r="P26" s="798">
        <f t="shared" si="22"/>
        <v>1</v>
      </c>
      <c r="Q26" s="798">
        <f t="shared" si="22"/>
        <v>1</v>
      </c>
      <c r="R26" s="798">
        <f t="shared" si="22"/>
        <v>1</v>
      </c>
      <c r="S26" s="798">
        <f t="shared" si="22"/>
        <v>1</v>
      </c>
      <c r="T26" s="798">
        <f t="shared" si="22"/>
        <v>1</v>
      </c>
      <c r="U26" s="798">
        <f t="shared" si="22"/>
        <v>1</v>
      </c>
      <c r="V26" s="798">
        <f t="shared" si="22"/>
        <v>1</v>
      </c>
      <c r="W26" s="798">
        <f t="shared" si="22"/>
        <v>1</v>
      </c>
      <c r="X26" s="798">
        <f t="shared" si="22"/>
        <v>1</v>
      </c>
      <c r="Y26" s="798">
        <f t="shared" si="22"/>
        <v>1</v>
      </c>
      <c r="Z26" s="798">
        <f t="shared" si="22"/>
        <v>1</v>
      </c>
      <c r="AA26" s="798">
        <f t="shared" si="22"/>
        <v>1</v>
      </c>
      <c r="AB26" s="798">
        <f t="shared" si="22"/>
        <v>1</v>
      </c>
      <c r="AC26" s="798">
        <f t="shared" si="22"/>
        <v>1</v>
      </c>
      <c r="AD26" s="798">
        <f t="shared" si="22"/>
        <v>1</v>
      </c>
      <c r="AE26" s="798">
        <f t="shared" si="22"/>
        <v>1</v>
      </c>
      <c r="AF26" s="798">
        <f t="shared" si="22"/>
        <v>1</v>
      </c>
      <c r="AG26" s="798">
        <f t="shared" si="22"/>
        <v>1</v>
      </c>
      <c r="AH26" s="798">
        <f t="shared" si="22"/>
        <v>1</v>
      </c>
      <c r="AI26" s="798">
        <f t="shared" si="22"/>
        <v>1</v>
      </c>
      <c r="AJ26" s="798">
        <f t="shared" si="22"/>
        <v>1</v>
      </c>
      <c r="AK26" s="798">
        <f t="shared" si="22"/>
        <v>1</v>
      </c>
      <c r="AL26" s="798">
        <f t="shared" si="22"/>
        <v>1</v>
      </c>
      <c r="AM26" s="798">
        <f t="shared" si="22"/>
        <v>1</v>
      </c>
      <c r="AN26" s="798">
        <f t="shared" si="22"/>
        <v>1</v>
      </c>
      <c r="AO26" s="798">
        <f t="shared" si="22"/>
        <v>1</v>
      </c>
      <c r="AP26" s="798">
        <f t="shared" si="22"/>
        <v>1</v>
      </c>
      <c r="AQ26" s="798">
        <f t="shared" si="22"/>
        <v>1</v>
      </c>
      <c r="AR26" s="798">
        <f t="shared" si="22"/>
        <v>1</v>
      </c>
      <c r="AS26" s="798">
        <f t="shared" si="22"/>
        <v>1</v>
      </c>
      <c r="AT26" s="798">
        <f t="shared" si="22"/>
        <v>1</v>
      </c>
      <c r="AU26" s="798">
        <f t="shared" si="22"/>
        <v>1</v>
      </c>
      <c r="AV26" s="798">
        <f t="shared" si="22"/>
        <v>1</v>
      </c>
      <c r="AW26" s="798">
        <f t="shared" si="22"/>
        <v>1</v>
      </c>
      <c r="AX26" s="798">
        <f t="shared" si="22"/>
        <v>1</v>
      </c>
      <c r="AY26" s="798">
        <f t="shared" si="22"/>
        <v>1</v>
      </c>
      <c r="AZ26" s="798">
        <f t="shared" si="22"/>
        <v>1</v>
      </c>
      <c r="BA26" s="798">
        <f t="shared" si="22"/>
        <v>1</v>
      </c>
      <c r="BB26" s="798">
        <f t="shared" si="22"/>
        <v>1</v>
      </c>
      <c r="BC26" s="798">
        <f t="shared" si="22"/>
        <v>1</v>
      </c>
      <c r="BD26" s="798">
        <f t="shared" si="22"/>
        <v>1</v>
      </c>
      <c r="BE26" s="798">
        <f t="shared" si="22"/>
        <v>1</v>
      </c>
      <c r="BF26" s="798">
        <f t="shared" si="22"/>
        <v>1</v>
      </c>
      <c r="BG26" s="798">
        <f t="shared" si="22"/>
        <v>1</v>
      </c>
      <c r="BH26" s="798">
        <f t="shared" si="22"/>
        <v>1</v>
      </c>
      <c r="BI26" s="798">
        <f t="shared" si="22"/>
        <v>1</v>
      </c>
      <c r="BJ26" s="798">
        <f t="shared" si="22"/>
        <v>1</v>
      </c>
      <c r="BK26" s="798">
        <f t="shared" si="22"/>
        <v>1</v>
      </c>
      <c r="BL26" s="765"/>
      <c r="BM26" s="790">
        <v>18.0</v>
      </c>
      <c r="BN26" s="790"/>
    </row>
    <row r="27">
      <c r="A27" s="36"/>
      <c r="B27" s="803">
        <v>14.0</v>
      </c>
      <c r="C27" s="804">
        <f>SUM($AA$12:$AA$710)</f>
        <v>360</v>
      </c>
      <c r="D27" s="805">
        <v>34.0</v>
      </c>
      <c r="E27" s="804">
        <f>SUM($AU$12:$AU$710)</f>
        <v>560</v>
      </c>
      <c r="G27" s="224"/>
      <c r="H27" s="36"/>
      <c r="I27" s="765">
        <f t="shared" si="17"/>
        <v>16</v>
      </c>
      <c r="J27" s="763">
        <f t="shared" si="5"/>
        <v>473610546.8</v>
      </c>
      <c r="K27" s="796">
        <f t="shared" si="7"/>
        <v>0.24179</v>
      </c>
      <c r="L27" s="796">
        <v>5.0E-4</v>
      </c>
      <c r="M27" s="763">
        <v>5.40034831E8</v>
      </c>
      <c r="N27" s="797">
        <f t="shared" si="8"/>
        <v>0</v>
      </c>
      <c r="O27" s="798">
        <f t="shared" ref="O27:BK27" si="23">FLOOR(MIN((((N("value of ELS upgrade")+N$8*($K27-$K26))*(N("Check checkbox")+(IF($G$6=TRUE,$G$7,$G$8))/$G$8))/(N("ROI of ELS and multiply by 2 if ELS is 1:1")+IF($G$12 = True, 2, 1) * $J27))/((N("difference in ELS+ and the cost of it")+(($K26*O$8)-($K26*N$8)) / O$7)),(N("MIN lets it return 0 or 1 after floored")+1)),1)</f>
        <v>0</v>
      </c>
      <c r="P27" s="798">
        <f t="shared" si="23"/>
        <v>1</v>
      </c>
      <c r="Q27" s="798">
        <f t="shared" si="23"/>
        <v>1</v>
      </c>
      <c r="R27" s="798">
        <f t="shared" si="23"/>
        <v>1</v>
      </c>
      <c r="S27" s="798">
        <f t="shared" si="23"/>
        <v>1</v>
      </c>
      <c r="T27" s="798">
        <f t="shared" si="23"/>
        <v>1</v>
      </c>
      <c r="U27" s="798">
        <f t="shared" si="23"/>
        <v>1</v>
      </c>
      <c r="V27" s="798">
        <f t="shared" si="23"/>
        <v>1</v>
      </c>
      <c r="W27" s="798">
        <f t="shared" si="23"/>
        <v>1</v>
      </c>
      <c r="X27" s="798">
        <f t="shared" si="23"/>
        <v>1</v>
      </c>
      <c r="Y27" s="798">
        <f t="shared" si="23"/>
        <v>1</v>
      </c>
      <c r="Z27" s="798">
        <f t="shared" si="23"/>
        <v>1</v>
      </c>
      <c r="AA27" s="798">
        <f t="shared" si="23"/>
        <v>1</v>
      </c>
      <c r="AB27" s="798">
        <f t="shared" si="23"/>
        <v>1</v>
      </c>
      <c r="AC27" s="798">
        <f t="shared" si="23"/>
        <v>1</v>
      </c>
      <c r="AD27" s="798">
        <f t="shared" si="23"/>
        <v>1</v>
      </c>
      <c r="AE27" s="798">
        <f t="shared" si="23"/>
        <v>1</v>
      </c>
      <c r="AF27" s="798">
        <f t="shared" si="23"/>
        <v>1</v>
      </c>
      <c r="AG27" s="798">
        <f t="shared" si="23"/>
        <v>1</v>
      </c>
      <c r="AH27" s="798">
        <f t="shared" si="23"/>
        <v>1</v>
      </c>
      <c r="AI27" s="798">
        <f t="shared" si="23"/>
        <v>1</v>
      </c>
      <c r="AJ27" s="798">
        <f t="shared" si="23"/>
        <v>1</v>
      </c>
      <c r="AK27" s="798">
        <f t="shared" si="23"/>
        <v>1</v>
      </c>
      <c r="AL27" s="798">
        <f t="shared" si="23"/>
        <v>1</v>
      </c>
      <c r="AM27" s="798">
        <f t="shared" si="23"/>
        <v>1</v>
      </c>
      <c r="AN27" s="798">
        <f t="shared" si="23"/>
        <v>1</v>
      </c>
      <c r="AO27" s="798">
        <f t="shared" si="23"/>
        <v>1</v>
      </c>
      <c r="AP27" s="798">
        <f t="shared" si="23"/>
        <v>1</v>
      </c>
      <c r="AQ27" s="798">
        <f t="shared" si="23"/>
        <v>1</v>
      </c>
      <c r="AR27" s="798">
        <f t="shared" si="23"/>
        <v>1</v>
      </c>
      <c r="AS27" s="798">
        <f t="shared" si="23"/>
        <v>1</v>
      </c>
      <c r="AT27" s="798">
        <f t="shared" si="23"/>
        <v>1</v>
      </c>
      <c r="AU27" s="798">
        <f t="shared" si="23"/>
        <v>1</v>
      </c>
      <c r="AV27" s="798">
        <f t="shared" si="23"/>
        <v>1</v>
      </c>
      <c r="AW27" s="798">
        <f t="shared" si="23"/>
        <v>1</v>
      </c>
      <c r="AX27" s="798">
        <f t="shared" si="23"/>
        <v>1</v>
      </c>
      <c r="AY27" s="798">
        <f t="shared" si="23"/>
        <v>1</v>
      </c>
      <c r="AZ27" s="798">
        <f t="shared" si="23"/>
        <v>1</v>
      </c>
      <c r="BA27" s="798">
        <f t="shared" si="23"/>
        <v>1</v>
      </c>
      <c r="BB27" s="798">
        <f t="shared" si="23"/>
        <v>1</v>
      </c>
      <c r="BC27" s="798">
        <f t="shared" si="23"/>
        <v>1</v>
      </c>
      <c r="BD27" s="798">
        <f t="shared" si="23"/>
        <v>1</v>
      </c>
      <c r="BE27" s="798">
        <f t="shared" si="23"/>
        <v>1</v>
      </c>
      <c r="BF27" s="798">
        <f t="shared" si="23"/>
        <v>1</v>
      </c>
      <c r="BG27" s="798">
        <f t="shared" si="23"/>
        <v>1</v>
      </c>
      <c r="BH27" s="798">
        <f t="shared" si="23"/>
        <v>1</v>
      </c>
      <c r="BI27" s="798">
        <f t="shared" si="23"/>
        <v>1</v>
      </c>
      <c r="BJ27" s="798">
        <f t="shared" si="23"/>
        <v>1</v>
      </c>
      <c r="BK27" s="798">
        <f t="shared" si="23"/>
        <v>1</v>
      </c>
      <c r="BL27" s="765"/>
      <c r="BM27" s="790">
        <v>19.0</v>
      </c>
      <c r="BN27" s="790"/>
    </row>
    <row r="28">
      <c r="A28" s="36"/>
      <c r="B28" s="803">
        <v>15.0</v>
      </c>
      <c r="C28" s="804">
        <f>SUM($AB$12:$AB$710)</f>
        <v>360</v>
      </c>
      <c r="D28" s="805">
        <v>35.0</v>
      </c>
      <c r="E28" s="804">
        <f>SUM($AV$12:$AV$710)</f>
        <v>560</v>
      </c>
      <c r="G28" s="224"/>
      <c r="H28" s="36"/>
      <c r="I28" s="765">
        <f t="shared" si="17"/>
        <v>17</v>
      </c>
      <c r="J28" s="763">
        <f t="shared" si="5"/>
        <v>487649919.7</v>
      </c>
      <c r="K28" s="796">
        <f t="shared" si="7"/>
        <v>0.24229</v>
      </c>
      <c r="L28" s="796">
        <v>5.0E-4</v>
      </c>
      <c r="M28" s="763">
        <v>5.56043238E8</v>
      </c>
      <c r="N28" s="797">
        <f t="shared" si="8"/>
        <v>0</v>
      </c>
      <c r="O28" s="798">
        <f t="shared" ref="O28:BK28" si="24">FLOOR(MIN((((N("value of ELS upgrade")+N$8*($K28-$K27))*(N("Check checkbox")+(IF($G$6=TRUE,$G$7,$G$8))/$G$8))/(N("ROI of ELS and multiply by 2 if ELS is 1:1")+IF($G$12 = True, 2, 1) * $J28))/((N("difference in ELS+ and the cost of it")+(($K27*O$8)-($K27*N$8)) / O$7)),(N("MIN lets it return 0 or 1 after floored")+1)),1)</f>
        <v>0</v>
      </c>
      <c r="P28" s="798">
        <f t="shared" si="24"/>
        <v>1</v>
      </c>
      <c r="Q28" s="798">
        <f t="shared" si="24"/>
        <v>1</v>
      </c>
      <c r="R28" s="798">
        <f t="shared" si="24"/>
        <v>1</v>
      </c>
      <c r="S28" s="798">
        <f t="shared" si="24"/>
        <v>1</v>
      </c>
      <c r="T28" s="798">
        <f t="shared" si="24"/>
        <v>1</v>
      </c>
      <c r="U28" s="798">
        <f t="shared" si="24"/>
        <v>1</v>
      </c>
      <c r="V28" s="798">
        <f t="shared" si="24"/>
        <v>1</v>
      </c>
      <c r="W28" s="798">
        <f t="shared" si="24"/>
        <v>1</v>
      </c>
      <c r="X28" s="798">
        <f t="shared" si="24"/>
        <v>1</v>
      </c>
      <c r="Y28" s="798">
        <f t="shared" si="24"/>
        <v>1</v>
      </c>
      <c r="Z28" s="798">
        <f t="shared" si="24"/>
        <v>1</v>
      </c>
      <c r="AA28" s="798">
        <f t="shared" si="24"/>
        <v>1</v>
      </c>
      <c r="AB28" s="798">
        <f t="shared" si="24"/>
        <v>1</v>
      </c>
      <c r="AC28" s="798">
        <f t="shared" si="24"/>
        <v>1</v>
      </c>
      <c r="AD28" s="798">
        <f t="shared" si="24"/>
        <v>1</v>
      </c>
      <c r="AE28" s="798">
        <f t="shared" si="24"/>
        <v>1</v>
      </c>
      <c r="AF28" s="798">
        <f t="shared" si="24"/>
        <v>1</v>
      </c>
      <c r="AG28" s="798">
        <f t="shared" si="24"/>
        <v>1</v>
      </c>
      <c r="AH28" s="798">
        <f t="shared" si="24"/>
        <v>1</v>
      </c>
      <c r="AI28" s="798">
        <f t="shared" si="24"/>
        <v>1</v>
      </c>
      <c r="AJ28" s="798">
        <f t="shared" si="24"/>
        <v>1</v>
      </c>
      <c r="AK28" s="798">
        <f t="shared" si="24"/>
        <v>1</v>
      </c>
      <c r="AL28" s="798">
        <f t="shared" si="24"/>
        <v>1</v>
      </c>
      <c r="AM28" s="798">
        <f t="shared" si="24"/>
        <v>1</v>
      </c>
      <c r="AN28" s="798">
        <f t="shared" si="24"/>
        <v>1</v>
      </c>
      <c r="AO28" s="798">
        <f t="shared" si="24"/>
        <v>1</v>
      </c>
      <c r="AP28" s="798">
        <f t="shared" si="24"/>
        <v>1</v>
      </c>
      <c r="AQ28" s="798">
        <f t="shared" si="24"/>
        <v>1</v>
      </c>
      <c r="AR28" s="798">
        <f t="shared" si="24"/>
        <v>1</v>
      </c>
      <c r="AS28" s="798">
        <f t="shared" si="24"/>
        <v>1</v>
      </c>
      <c r="AT28" s="798">
        <f t="shared" si="24"/>
        <v>1</v>
      </c>
      <c r="AU28" s="798">
        <f t="shared" si="24"/>
        <v>1</v>
      </c>
      <c r="AV28" s="798">
        <f t="shared" si="24"/>
        <v>1</v>
      </c>
      <c r="AW28" s="798">
        <f t="shared" si="24"/>
        <v>1</v>
      </c>
      <c r="AX28" s="798">
        <f t="shared" si="24"/>
        <v>1</v>
      </c>
      <c r="AY28" s="798">
        <f t="shared" si="24"/>
        <v>1</v>
      </c>
      <c r="AZ28" s="798">
        <f t="shared" si="24"/>
        <v>1</v>
      </c>
      <c r="BA28" s="798">
        <f t="shared" si="24"/>
        <v>1</v>
      </c>
      <c r="BB28" s="798">
        <f t="shared" si="24"/>
        <v>1</v>
      </c>
      <c r="BC28" s="798">
        <f t="shared" si="24"/>
        <v>1</v>
      </c>
      <c r="BD28" s="798">
        <f t="shared" si="24"/>
        <v>1</v>
      </c>
      <c r="BE28" s="798">
        <f t="shared" si="24"/>
        <v>1</v>
      </c>
      <c r="BF28" s="798">
        <f t="shared" si="24"/>
        <v>1</v>
      </c>
      <c r="BG28" s="798">
        <f t="shared" si="24"/>
        <v>1</v>
      </c>
      <c r="BH28" s="798">
        <f t="shared" si="24"/>
        <v>1</v>
      </c>
      <c r="BI28" s="798">
        <f t="shared" si="24"/>
        <v>1</v>
      </c>
      <c r="BJ28" s="798">
        <f t="shared" si="24"/>
        <v>1</v>
      </c>
      <c r="BK28" s="798">
        <f t="shared" si="24"/>
        <v>1</v>
      </c>
      <c r="BL28" s="765"/>
      <c r="BM28" s="790">
        <v>20.0</v>
      </c>
      <c r="BN28" s="790"/>
    </row>
    <row r="29">
      <c r="A29" s="36"/>
      <c r="B29" s="803">
        <v>16.0</v>
      </c>
      <c r="C29" s="804">
        <f>SUM($AC$12:$AC$710)</f>
        <v>372</v>
      </c>
      <c r="D29" s="805">
        <v>36.0</v>
      </c>
      <c r="E29" s="804">
        <f>SUM($AW$12:$AW$710)</f>
        <v>600</v>
      </c>
      <c r="G29" s="224"/>
      <c r="H29" s="36"/>
      <c r="I29" s="765">
        <f t="shared" si="17"/>
        <v>18</v>
      </c>
      <c r="J29" s="763">
        <f t="shared" si="5"/>
        <v>501690458.2</v>
      </c>
      <c r="K29" s="796">
        <f t="shared" si="7"/>
        <v>0.24279</v>
      </c>
      <c r="L29" s="796">
        <v>5.0E-4</v>
      </c>
      <c r="M29" s="763">
        <v>5.72052974E8</v>
      </c>
      <c r="N29" s="797">
        <f t="shared" si="8"/>
        <v>0</v>
      </c>
      <c r="O29" s="798">
        <f t="shared" ref="O29:BK29" si="25">FLOOR(MIN((((N("value of ELS upgrade")+N$8*($K29-$K28))*(N("Check checkbox")+(IF($G$6=TRUE,$G$7,$G$8))/$G$8))/(N("ROI of ELS and multiply by 2 if ELS is 1:1")+IF($G$12 = True, 2, 1) * $J29))/((N("difference in ELS+ and the cost of it")+(($K28*O$8)-($K28*N$8)) / O$7)),(N("MIN lets it return 0 or 1 after floored")+1)),1)</f>
        <v>0</v>
      </c>
      <c r="P29" s="798">
        <f t="shared" si="25"/>
        <v>1</v>
      </c>
      <c r="Q29" s="798">
        <f t="shared" si="25"/>
        <v>1</v>
      </c>
      <c r="R29" s="798">
        <f t="shared" si="25"/>
        <v>1</v>
      </c>
      <c r="S29" s="798">
        <f t="shared" si="25"/>
        <v>1</v>
      </c>
      <c r="T29" s="798">
        <f t="shared" si="25"/>
        <v>1</v>
      </c>
      <c r="U29" s="798">
        <f t="shared" si="25"/>
        <v>1</v>
      </c>
      <c r="V29" s="798">
        <f t="shared" si="25"/>
        <v>1</v>
      </c>
      <c r="W29" s="798">
        <f t="shared" si="25"/>
        <v>1</v>
      </c>
      <c r="X29" s="798">
        <f t="shared" si="25"/>
        <v>1</v>
      </c>
      <c r="Y29" s="798">
        <f t="shared" si="25"/>
        <v>1</v>
      </c>
      <c r="Z29" s="798">
        <f t="shared" si="25"/>
        <v>1</v>
      </c>
      <c r="AA29" s="798">
        <f t="shared" si="25"/>
        <v>1</v>
      </c>
      <c r="AB29" s="798">
        <f t="shared" si="25"/>
        <v>1</v>
      </c>
      <c r="AC29" s="798">
        <f t="shared" si="25"/>
        <v>1</v>
      </c>
      <c r="AD29" s="798">
        <f t="shared" si="25"/>
        <v>1</v>
      </c>
      <c r="AE29" s="798">
        <f t="shared" si="25"/>
        <v>1</v>
      </c>
      <c r="AF29" s="798">
        <f t="shared" si="25"/>
        <v>1</v>
      </c>
      <c r="AG29" s="798">
        <f t="shared" si="25"/>
        <v>1</v>
      </c>
      <c r="AH29" s="798">
        <f t="shared" si="25"/>
        <v>1</v>
      </c>
      <c r="AI29" s="798">
        <f t="shared" si="25"/>
        <v>1</v>
      </c>
      <c r="AJ29" s="798">
        <f t="shared" si="25"/>
        <v>1</v>
      </c>
      <c r="AK29" s="798">
        <f t="shared" si="25"/>
        <v>1</v>
      </c>
      <c r="AL29" s="798">
        <f t="shared" si="25"/>
        <v>1</v>
      </c>
      <c r="AM29" s="798">
        <f t="shared" si="25"/>
        <v>1</v>
      </c>
      <c r="AN29" s="798">
        <f t="shared" si="25"/>
        <v>1</v>
      </c>
      <c r="AO29" s="798">
        <f t="shared" si="25"/>
        <v>1</v>
      </c>
      <c r="AP29" s="798">
        <f t="shared" si="25"/>
        <v>1</v>
      </c>
      <c r="AQ29" s="798">
        <f t="shared" si="25"/>
        <v>1</v>
      </c>
      <c r="AR29" s="798">
        <f t="shared" si="25"/>
        <v>1</v>
      </c>
      <c r="AS29" s="798">
        <f t="shared" si="25"/>
        <v>1</v>
      </c>
      <c r="AT29" s="798">
        <f t="shared" si="25"/>
        <v>1</v>
      </c>
      <c r="AU29" s="798">
        <f t="shared" si="25"/>
        <v>1</v>
      </c>
      <c r="AV29" s="798">
        <f t="shared" si="25"/>
        <v>1</v>
      </c>
      <c r="AW29" s="798">
        <f t="shared" si="25"/>
        <v>1</v>
      </c>
      <c r="AX29" s="798">
        <f t="shared" si="25"/>
        <v>1</v>
      </c>
      <c r="AY29" s="798">
        <f t="shared" si="25"/>
        <v>1</v>
      </c>
      <c r="AZ29" s="798">
        <f t="shared" si="25"/>
        <v>1</v>
      </c>
      <c r="BA29" s="798">
        <f t="shared" si="25"/>
        <v>1</v>
      </c>
      <c r="BB29" s="798">
        <f t="shared" si="25"/>
        <v>1</v>
      </c>
      <c r="BC29" s="798">
        <f t="shared" si="25"/>
        <v>1</v>
      </c>
      <c r="BD29" s="798">
        <f t="shared" si="25"/>
        <v>1</v>
      </c>
      <c r="BE29" s="798">
        <f t="shared" si="25"/>
        <v>1</v>
      </c>
      <c r="BF29" s="798">
        <f t="shared" si="25"/>
        <v>1</v>
      </c>
      <c r="BG29" s="798">
        <f t="shared" si="25"/>
        <v>1</v>
      </c>
      <c r="BH29" s="798">
        <f t="shared" si="25"/>
        <v>1</v>
      </c>
      <c r="BI29" s="798">
        <f t="shared" si="25"/>
        <v>1</v>
      </c>
      <c r="BJ29" s="798">
        <f t="shared" si="25"/>
        <v>1</v>
      </c>
      <c r="BK29" s="798">
        <f t="shared" si="25"/>
        <v>1</v>
      </c>
      <c r="BL29" s="765"/>
      <c r="BM29" s="811"/>
      <c r="BN29" s="811"/>
    </row>
    <row r="30">
      <c r="A30" s="36"/>
      <c r="B30" s="803">
        <v>17.0</v>
      </c>
      <c r="C30" s="804">
        <f>SUM($AD$12:$AD$710)</f>
        <v>400</v>
      </c>
      <c r="D30" s="805">
        <v>37.0</v>
      </c>
      <c r="E30" s="804">
        <f>SUM($AX$12:$AX$710)</f>
        <v>600</v>
      </c>
      <c r="G30" s="224"/>
      <c r="H30" s="36"/>
      <c r="I30" s="765">
        <f t="shared" si="17"/>
        <v>19</v>
      </c>
      <c r="J30" s="763">
        <f t="shared" si="5"/>
        <v>515732263.1</v>
      </c>
      <c r="K30" s="796">
        <f t="shared" si="7"/>
        <v>0.24329</v>
      </c>
      <c r="L30" s="796">
        <v>5.0E-4</v>
      </c>
      <c r="M30" s="763">
        <v>5.88064154E8</v>
      </c>
      <c r="N30" s="797">
        <f t="shared" si="8"/>
        <v>0</v>
      </c>
      <c r="O30" s="798">
        <f t="shared" ref="O30:BK30" si="26">FLOOR(MIN((((N("value of ELS upgrade")+N$8*($K30-$K29))*(N("Check checkbox")+(IF($G$6=TRUE,$G$7,$G$8))/$G$8))/(N("ROI of ELS and multiply by 2 if ELS is 1:1")+IF($G$12 = True, 2, 1) * $J30))/((N("difference in ELS+ and the cost of it")+(($K29*O$8)-($K29*N$8)) / O$7)),(N("MIN lets it return 0 or 1 after floored")+1)),1)</f>
        <v>0</v>
      </c>
      <c r="P30" s="798">
        <f t="shared" si="26"/>
        <v>1</v>
      </c>
      <c r="Q30" s="798">
        <f t="shared" si="26"/>
        <v>1</v>
      </c>
      <c r="R30" s="798">
        <f t="shared" si="26"/>
        <v>1</v>
      </c>
      <c r="S30" s="798">
        <f t="shared" si="26"/>
        <v>1</v>
      </c>
      <c r="T30" s="798">
        <f t="shared" si="26"/>
        <v>1</v>
      </c>
      <c r="U30" s="798">
        <f t="shared" si="26"/>
        <v>1</v>
      </c>
      <c r="V30" s="798">
        <f t="shared" si="26"/>
        <v>1</v>
      </c>
      <c r="W30" s="798">
        <f t="shared" si="26"/>
        <v>1</v>
      </c>
      <c r="X30" s="798">
        <f t="shared" si="26"/>
        <v>1</v>
      </c>
      <c r="Y30" s="798">
        <f t="shared" si="26"/>
        <v>1</v>
      </c>
      <c r="Z30" s="798">
        <f t="shared" si="26"/>
        <v>1</v>
      </c>
      <c r="AA30" s="798">
        <f t="shared" si="26"/>
        <v>1</v>
      </c>
      <c r="AB30" s="798">
        <f t="shared" si="26"/>
        <v>1</v>
      </c>
      <c r="AC30" s="798">
        <f t="shared" si="26"/>
        <v>1</v>
      </c>
      <c r="AD30" s="798">
        <f t="shared" si="26"/>
        <v>1</v>
      </c>
      <c r="AE30" s="798">
        <f t="shared" si="26"/>
        <v>1</v>
      </c>
      <c r="AF30" s="798">
        <f t="shared" si="26"/>
        <v>1</v>
      </c>
      <c r="AG30" s="798">
        <f t="shared" si="26"/>
        <v>1</v>
      </c>
      <c r="AH30" s="798">
        <f t="shared" si="26"/>
        <v>1</v>
      </c>
      <c r="AI30" s="798">
        <f t="shared" si="26"/>
        <v>1</v>
      </c>
      <c r="AJ30" s="798">
        <f t="shared" si="26"/>
        <v>1</v>
      </c>
      <c r="AK30" s="798">
        <f t="shared" si="26"/>
        <v>1</v>
      </c>
      <c r="AL30" s="798">
        <f t="shared" si="26"/>
        <v>1</v>
      </c>
      <c r="AM30" s="798">
        <f t="shared" si="26"/>
        <v>1</v>
      </c>
      <c r="AN30" s="798">
        <f t="shared" si="26"/>
        <v>1</v>
      </c>
      <c r="AO30" s="798">
        <f t="shared" si="26"/>
        <v>1</v>
      </c>
      <c r="AP30" s="798">
        <f t="shared" si="26"/>
        <v>1</v>
      </c>
      <c r="AQ30" s="798">
        <f t="shared" si="26"/>
        <v>1</v>
      </c>
      <c r="AR30" s="798">
        <f t="shared" si="26"/>
        <v>1</v>
      </c>
      <c r="AS30" s="798">
        <f t="shared" si="26"/>
        <v>1</v>
      </c>
      <c r="AT30" s="798">
        <f t="shared" si="26"/>
        <v>1</v>
      </c>
      <c r="AU30" s="798">
        <f t="shared" si="26"/>
        <v>1</v>
      </c>
      <c r="AV30" s="798">
        <f t="shared" si="26"/>
        <v>1</v>
      </c>
      <c r="AW30" s="798">
        <f t="shared" si="26"/>
        <v>1</v>
      </c>
      <c r="AX30" s="798">
        <f t="shared" si="26"/>
        <v>1</v>
      </c>
      <c r="AY30" s="798">
        <f t="shared" si="26"/>
        <v>1</v>
      </c>
      <c r="AZ30" s="798">
        <f t="shared" si="26"/>
        <v>1</v>
      </c>
      <c r="BA30" s="798">
        <f t="shared" si="26"/>
        <v>1</v>
      </c>
      <c r="BB30" s="798">
        <f t="shared" si="26"/>
        <v>1</v>
      </c>
      <c r="BC30" s="798">
        <f t="shared" si="26"/>
        <v>1</v>
      </c>
      <c r="BD30" s="798">
        <f t="shared" si="26"/>
        <v>1</v>
      </c>
      <c r="BE30" s="798">
        <f t="shared" si="26"/>
        <v>1</v>
      </c>
      <c r="BF30" s="798">
        <f t="shared" si="26"/>
        <v>1</v>
      </c>
      <c r="BG30" s="798">
        <f t="shared" si="26"/>
        <v>1</v>
      </c>
      <c r="BH30" s="798">
        <f t="shared" si="26"/>
        <v>1</v>
      </c>
      <c r="BI30" s="798">
        <f t="shared" si="26"/>
        <v>1</v>
      </c>
      <c r="BJ30" s="798">
        <f t="shared" si="26"/>
        <v>1</v>
      </c>
      <c r="BK30" s="798">
        <f t="shared" si="26"/>
        <v>1</v>
      </c>
      <c r="BL30" s="765"/>
      <c r="BM30" s="784" t="s">
        <v>280</v>
      </c>
      <c r="BN30" s="784"/>
    </row>
    <row r="31">
      <c r="A31" s="36"/>
      <c r="B31" s="803">
        <v>18.0</v>
      </c>
      <c r="C31" s="804">
        <f>SUM($AE$12:$AE$710)</f>
        <v>402</v>
      </c>
      <c r="D31" s="805">
        <v>38.0</v>
      </c>
      <c r="E31" s="804">
        <f>SUM($AY$12:$AY$710)</f>
        <v>600</v>
      </c>
      <c r="G31" s="224"/>
      <c r="H31" s="36"/>
      <c r="I31" s="765">
        <f t="shared" si="17"/>
        <v>20</v>
      </c>
      <c r="J31" s="763">
        <f t="shared" si="5"/>
        <v>529775435.2</v>
      </c>
      <c r="K31" s="796">
        <f t="shared" si="7"/>
        <v>0.24379</v>
      </c>
      <c r="L31" s="796">
        <v>5.0E-4</v>
      </c>
      <c r="M31" s="763">
        <v>6.04076893E8</v>
      </c>
      <c r="N31" s="797">
        <f t="shared" si="8"/>
        <v>0</v>
      </c>
      <c r="O31" s="798">
        <f t="shared" ref="O31:BK31" si="27">FLOOR(MIN((((N("value of ELS upgrade")+N$8*($K31-$K30))*(N("Check checkbox")+(IF($G$6=TRUE,$G$7,$G$8))/$G$8))/(N("ROI of ELS and multiply by 2 if ELS is 1:1")+IF($G$12 = True, 2, 1) * $J31))/((N("difference in ELS+ and the cost of it")+(($K30*O$8)-($K30*N$8)) / O$7)),(N("MIN lets it return 0 or 1 after floored")+1)),1)</f>
        <v>0</v>
      </c>
      <c r="P31" s="798">
        <f t="shared" si="27"/>
        <v>1</v>
      </c>
      <c r="Q31" s="798">
        <f t="shared" si="27"/>
        <v>1</v>
      </c>
      <c r="R31" s="798">
        <f t="shared" si="27"/>
        <v>1</v>
      </c>
      <c r="S31" s="798">
        <f t="shared" si="27"/>
        <v>1</v>
      </c>
      <c r="T31" s="798">
        <f t="shared" si="27"/>
        <v>1</v>
      </c>
      <c r="U31" s="798">
        <f t="shared" si="27"/>
        <v>1</v>
      </c>
      <c r="V31" s="798">
        <f t="shared" si="27"/>
        <v>1</v>
      </c>
      <c r="W31" s="798">
        <f t="shared" si="27"/>
        <v>1</v>
      </c>
      <c r="X31" s="798">
        <f t="shared" si="27"/>
        <v>1</v>
      </c>
      <c r="Y31" s="798">
        <f t="shared" si="27"/>
        <v>1</v>
      </c>
      <c r="Z31" s="798">
        <f t="shared" si="27"/>
        <v>1</v>
      </c>
      <c r="AA31" s="798">
        <f t="shared" si="27"/>
        <v>1</v>
      </c>
      <c r="AB31" s="798">
        <f t="shared" si="27"/>
        <v>1</v>
      </c>
      <c r="AC31" s="798">
        <f t="shared" si="27"/>
        <v>1</v>
      </c>
      <c r="AD31" s="798">
        <f t="shared" si="27"/>
        <v>1</v>
      </c>
      <c r="AE31" s="798">
        <f t="shared" si="27"/>
        <v>1</v>
      </c>
      <c r="AF31" s="798">
        <f t="shared" si="27"/>
        <v>1</v>
      </c>
      <c r="AG31" s="798">
        <f t="shared" si="27"/>
        <v>1</v>
      </c>
      <c r="AH31" s="798">
        <f t="shared" si="27"/>
        <v>1</v>
      </c>
      <c r="AI31" s="798">
        <f t="shared" si="27"/>
        <v>1</v>
      </c>
      <c r="AJ31" s="798">
        <f t="shared" si="27"/>
        <v>1</v>
      </c>
      <c r="AK31" s="798">
        <f t="shared" si="27"/>
        <v>1</v>
      </c>
      <c r="AL31" s="798">
        <f t="shared" si="27"/>
        <v>1</v>
      </c>
      <c r="AM31" s="798">
        <f t="shared" si="27"/>
        <v>1</v>
      </c>
      <c r="AN31" s="798">
        <f t="shared" si="27"/>
        <v>1</v>
      </c>
      <c r="AO31" s="798">
        <f t="shared" si="27"/>
        <v>1</v>
      </c>
      <c r="AP31" s="798">
        <f t="shared" si="27"/>
        <v>1</v>
      </c>
      <c r="AQ31" s="798">
        <f t="shared" si="27"/>
        <v>1</v>
      </c>
      <c r="AR31" s="798">
        <f t="shared" si="27"/>
        <v>1</v>
      </c>
      <c r="AS31" s="798">
        <f t="shared" si="27"/>
        <v>1</v>
      </c>
      <c r="AT31" s="798">
        <f t="shared" si="27"/>
        <v>1</v>
      </c>
      <c r="AU31" s="798">
        <f t="shared" si="27"/>
        <v>1</v>
      </c>
      <c r="AV31" s="798">
        <f t="shared" si="27"/>
        <v>1</v>
      </c>
      <c r="AW31" s="798">
        <f t="shared" si="27"/>
        <v>1</v>
      </c>
      <c r="AX31" s="798">
        <f t="shared" si="27"/>
        <v>1</v>
      </c>
      <c r="AY31" s="798">
        <f t="shared" si="27"/>
        <v>1</v>
      </c>
      <c r="AZ31" s="798">
        <f t="shared" si="27"/>
        <v>1</v>
      </c>
      <c r="BA31" s="798">
        <f t="shared" si="27"/>
        <v>1</v>
      </c>
      <c r="BB31" s="798">
        <f t="shared" si="27"/>
        <v>1</v>
      </c>
      <c r="BC31" s="798">
        <f t="shared" si="27"/>
        <v>1</v>
      </c>
      <c r="BD31" s="798">
        <f t="shared" si="27"/>
        <v>1</v>
      </c>
      <c r="BE31" s="798">
        <f t="shared" si="27"/>
        <v>1</v>
      </c>
      <c r="BF31" s="798">
        <f t="shared" si="27"/>
        <v>1</v>
      </c>
      <c r="BG31" s="798">
        <f t="shared" si="27"/>
        <v>1</v>
      </c>
      <c r="BH31" s="798">
        <f t="shared" si="27"/>
        <v>1</v>
      </c>
      <c r="BI31" s="798">
        <f t="shared" si="27"/>
        <v>1</v>
      </c>
      <c r="BJ31" s="798">
        <f t="shared" si="27"/>
        <v>1</v>
      </c>
      <c r="BK31" s="798">
        <f t="shared" si="27"/>
        <v>1</v>
      </c>
      <c r="BL31" s="765"/>
      <c r="BM31" s="812">
        <v>0.0</v>
      </c>
      <c r="BN31" s="812"/>
    </row>
    <row r="32">
      <c r="A32" s="36"/>
      <c r="B32" s="803">
        <v>19.0</v>
      </c>
      <c r="C32" s="804">
        <f>SUM($AF$12:$AF$710)</f>
        <v>440</v>
      </c>
      <c r="D32" s="805">
        <v>39.0</v>
      </c>
      <c r="E32" s="804">
        <f>SUM($AZ$12:$AZ$710)</f>
        <v>600</v>
      </c>
      <c r="G32" s="224"/>
      <c r="H32" s="36"/>
      <c r="I32" s="765">
        <f t="shared" si="17"/>
        <v>21</v>
      </c>
      <c r="J32" s="763">
        <f t="shared" si="5"/>
        <v>543820077.1</v>
      </c>
      <c r="K32" s="796">
        <f t="shared" si="7"/>
        <v>0.24429</v>
      </c>
      <c r="L32" s="796">
        <v>5.0E-4</v>
      </c>
      <c r="M32" s="763">
        <v>6.20091308E8</v>
      </c>
      <c r="N32" s="797">
        <f t="shared" si="8"/>
        <v>0</v>
      </c>
      <c r="O32" s="798">
        <f t="shared" ref="O32:BK32" si="28">FLOOR(MIN((((N("value of ELS upgrade")+N$8*($K32-$K31))*(N("Check checkbox")+(IF($G$6=TRUE,$G$7,$G$8))/$G$8))/(N("ROI of ELS and multiply by 2 if ELS is 1:1")+IF($G$12 = True, 2, 1) * $J32))/((N("difference in ELS+ and the cost of it")+(($K31*O$8)-($K31*N$8)) / O$7)),(N("MIN lets it return 0 or 1 after floored")+1)),1)</f>
        <v>0</v>
      </c>
      <c r="P32" s="798">
        <f t="shared" si="28"/>
        <v>1</v>
      </c>
      <c r="Q32" s="798">
        <f t="shared" si="28"/>
        <v>1</v>
      </c>
      <c r="R32" s="798">
        <f t="shared" si="28"/>
        <v>1</v>
      </c>
      <c r="S32" s="798">
        <f t="shared" si="28"/>
        <v>1</v>
      </c>
      <c r="T32" s="798">
        <f t="shared" si="28"/>
        <v>1</v>
      </c>
      <c r="U32" s="798">
        <f t="shared" si="28"/>
        <v>1</v>
      </c>
      <c r="V32" s="798">
        <f t="shared" si="28"/>
        <v>1</v>
      </c>
      <c r="W32" s="798">
        <f t="shared" si="28"/>
        <v>1</v>
      </c>
      <c r="X32" s="798">
        <f t="shared" si="28"/>
        <v>1</v>
      </c>
      <c r="Y32" s="798">
        <f t="shared" si="28"/>
        <v>1</v>
      </c>
      <c r="Z32" s="798">
        <f t="shared" si="28"/>
        <v>1</v>
      </c>
      <c r="AA32" s="798">
        <f t="shared" si="28"/>
        <v>1</v>
      </c>
      <c r="AB32" s="798">
        <f t="shared" si="28"/>
        <v>1</v>
      </c>
      <c r="AC32" s="798">
        <f t="shared" si="28"/>
        <v>1</v>
      </c>
      <c r="AD32" s="798">
        <f t="shared" si="28"/>
        <v>1</v>
      </c>
      <c r="AE32" s="798">
        <f t="shared" si="28"/>
        <v>1</v>
      </c>
      <c r="AF32" s="798">
        <f t="shared" si="28"/>
        <v>1</v>
      </c>
      <c r="AG32" s="798">
        <f t="shared" si="28"/>
        <v>1</v>
      </c>
      <c r="AH32" s="798">
        <f t="shared" si="28"/>
        <v>1</v>
      </c>
      <c r="AI32" s="798">
        <f t="shared" si="28"/>
        <v>1</v>
      </c>
      <c r="AJ32" s="798">
        <f t="shared" si="28"/>
        <v>1</v>
      </c>
      <c r="AK32" s="798">
        <f t="shared" si="28"/>
        <v>1</v>
      </c>
      <c r="AL32" s="798">
        <f t="shared" si="28"/>
        <v>1</v>
      </c>
      <c r="AM32" s="798">
        <f t="shared" si="28"/>
        <v>1</v>
      </c>
      <c r="AN32" s="798">
        <f t="shared" si="28"/>
        <v>1</v>
      </c>
      <c r="AO32" s="798">
        <f t="shared" si="28"/>
        <v>1</v>
      </c>
      <c r="AP32" s="798">
        <f t="shared" si="28"/>
        <v>1</v>
      </c>
      <c r="AQ32" s="798">
        <f t="shared" si="28"/>
        <v>1</v>
      </c>
      <c r="AR32" s="798">
        <f t="shared" si="28"/>
        <v>1</v>
      </c>
      <c r="AS32" s="798">
        <f t="shared" si="28"/>
        <v>1</v>
      </c>
      <c r="AT32" s="798">
        <f t="shared" si="28"/>
        <v>1</v>
      </c>
      <c r="AU32" s="798">
        <f t="shared" si="28"/>
        <v>1</v>
      </c>
      <c r="AV32" s="798">
        <f t="shared" si="28"/>
        <v>1</v>
      </c>
      <c r="AW32" s="798">
        <f t="shared" si="28"/>
        <v>1</v>
      </c>
      <c r="AX32" s="798">
        <f t="shared" si="28"/>
        <v>1</v>
      </c>
      <c r="AY32" s="798">
        <f t="shared" si="28"/>
        <v>1</v>
      </c>
      <c r="AZ32" s="798">
        <f t="shared" si="28"/>
        <v>1</v>
      </c>
      <c r="BA32" s="798">
        <f t="shared" si="28"/>
        <v>1</v>
      </c>
      <c r="BB32" s="798">
        <f t="shared" si="28"/>
        <v>1</v>
      </c>
      <c r="BC32" s="798">
        <f t="shared" si="28"/>
        <v>1</v>
      </c>
      <c r="BD32" s="798">
        <f t="shared" si="28"/>
        <v>1</v>
      </c>
      <c r="BE32" s="798">
        <f t="shared" si="28"/>
        <v>1</v>
      </c>
      <c r="BF32" s="798">
        <f t="shared" si="28"/>
        <v>1</v>
      </c>
      <c r="BG32" s="798">
        <f t="shared" si="28"/>
        <v>1</v>
      </c>
      <c r="BH32" s="798">
        <f t="shared" si="28"/>
        <v>1</v>
      </c>
      <c r="BI32" s="798">
        <f t="shared" si="28"/>
        <v>1</v>
      </c>
      <c r="BJ32" s="798">
        <f t="shared" si="28"/>
        <v>1</v>
      </c>
      <c r="BK32" s="798">
        <f t="shared" si="28"/>
        <v>1</v>
      </c>
      <c r="BL32" s="765"/>
      <c r="BM32" s="812">
        <v>0.02</v>
      </c>
      <c r="BN32" s="812"/>
    </row>
    <row r="33">
      <c r="A33" s="36"/>
      <c r="B33" s="813">
        <v>20.0</v>
      </c>
      <c r="C33" s="760">
        <f>SUM($AG$12:$AG$710)</f>
        <v>440</v>
      </c>
      <c r="D33" s="808">
        <v>40.0</v>
      </c>
      <c r="E33" s="760">
        <f>SUM($BA$12:$BA$710)</f>
        <v>600</v>
      </c>
      <c r="F33" s="215"/>
      <c r="G33" s="219"/>
      <c r="H33" s="36"/>
      <c r="I33" s="765">
        <f t="shared" si="17"/>
        <v>22</v>
      </c>
      <c r="J33" s="763">
        <f t="shared" si="5"/>
        <v>557866295.9</v>
      </c>
      <c r="K33" s="796">
        <f t="shared" si="7"/>
        <v>0.24479</v>
      </c>
      <c r="L33" s="796">
        <v>5.0E-4</v>
      </c>
      <c r="M33" s="763">
        <v>6.36107521E8</v>
      </c>
      <c r="N33" s="797">
        <f t="shared" si="8"/>
        <v>0</v>
      </c>
      <c r="O33" s="798">
        <f t="shared" ref="O33:BK33" si="29">FLOOR(MIN((((N("value of ELS upgrade")+N$8*($K33-$K32))*(N("Check checkbox")+(IF($G$6=TRUE,$G$7,$G$8))/$G$8))/(N("ROI of ELS and multiply by 2 if ELS is 1:1")+IF($G$12 = True, 2, 1) * $J33))/((N("difference in ELS+ and the cost of it")+(($K32*O$8)-($K32*N$8)) / O$7)),(N("MIN lets it return 0 or 1 after floored")+1)),1)</f>
        <v>0</v>
      </c>
      <c r="P33" s="798">
        <f t="shared" si="29"/>
        <v>1</v>
      </c>
      <c r="Q33" s="798">
        <f t="shared" si="29"/>
        <v>1</v>
      </c>
      <c r="R33" s="798">
        <f t="shared" si="29"/>
        <v>1</v>
      </c>
      <c r="S33" s="798">
        <f t="shared" si="29"/>
        <v>1</v>
      </c>
      <c r="T33" s="798">
        <f t="shared" si="29"/>
        <v>1</v>
      </c>
      <c r="U33" s="798">
        <f t="shared" si="29"/>
        <v>1</v>
      </c>
      <c r="V33" s="798">
        <f t="shared" si="29"/>
        <v>1</v>
      </c>
      <c r="W33" s="798">
        <f t="shared" si="29"/>
        <v>1</v>
      </c>
      <c r="X33" s="798">
        <f t="shared" si="29"/>
        <v>1</v>
      </c>
      <c r="Y33" s="798">
        <f t="shared" si="29"/>
        <v>1</v>
      </c>
      <c r="Z33" s="798">
        <f t="shared" si="29"/>
        <v>1</v>
      </c>
      <c r="AA33" s="798">
        <f t="shared" si="29"/>
        <v>1</v>
      </c>
      <c r="AB33" s="798">
        <f t="shared" si="29"/>
        <v>1</v>
      </c>
      <c r="AC33" s="798">
        <f t="shared" si="29"/>
        <v>1</v>
      </c>
      <c r="AD33" s="798">
        <f t="shared" si="29"/>
        <v>1</v>
      </c>
      <c r="AE33" s="798">
        <f t="shared" si="29"/>
        <v>1</v>
      </c>
      <c r="AF33" s="798">
        <f t="shared" si="29"/>
        <v>1</v>
      </c>
      <c r="AG33" s="798">
        <f t="shared" si="29"/>
        <v>1</v>
      </c>
      <c r="AH33" s="798">
        <f t="shared" si="29"/>
        <v>1</v>
      </c>
      <c r="AI33" s="798">
        <f t="shared" si="29"/>
        <v>1</v>
      </c>
      <c r="AJ33" s="798">
        <f t="shared" si="29"/>
        <v>1</v>
      </c>
      <c r="AK33" s="798">
        <f t="shared" si="29"/>
        <v>1</v>
      </c>
      <c r="AL33" s="798">
        <f t="shared" si="29"/>
        <v>1</v>
      </c>
      <c r="AM33" s="798">
        <f t="shared" si="29"/>
        <v>1</v>
      </c>
      <c r="AN33" s="798">
        <f t="shared" si="29"/>
        <v>1</v>
      </c>
      <c r="AO33" s="798">
        <f t="shared" si="29"/>
        <v>1</v>
      </c>
      <c r="AP33" s="798">
        <f t="shared" si="29"/>
        <v>1</v>
      </c>
      <c r="AQ33" s="798">
        <f t="shared" si="29"/>
        <v>1</v>
      </c>
      <c r="AR33" s="798">
        <f t="shared" si="29"/>
        <v>1</v>
      </c>
      <c r="AS33" s="798">
        <f t="shared" si="29"/>
        <v>1</v>
      </c>
      <c r="AT33" s="798">
        <f t="shared" si="29"/>
        <v>1</v>
      </c>
      <c r="AU33" s="798">
        <f t="shared" si="29"/>
        <v>1</v>
      </c>
      <c r="AV33" s="798">
        <f t="shared" si="29"/>
        <v>1</v>
      </c>
      <c r="AW33" s="798">
        <f t="shared" si="29"/>
        <v>1</v>
      </c>
      <c r="AX33" s="798">
        <f t="shared" si="29"/>
        <v>1</v>
      </c>
      <c r="AY33" s="798">
        <f t="shared" si="29"/>
        <v>1</v>
      </c>
      <c r="AZ33" s="798">
        <f t="shared" si="29"/>
        <v>1</v>
      </c>
      <c r="BA33" s="798">
        <f t="shared" si="29"/>
        <v>1</v>
      </c>
      <c r="BB33" s="798">
        <f t="shared" si="29"/>
        <v>1</v>
      </c>
      <c r="BC33" s="798">
        <f t="shared" si="29"/>
        <v>1</v>
      </c>
      <c r="BD33" s="798">
        <f t="shared" si="29"/>
        <v>1</v>
      </c>
      <c r="BE33" s="798">
        <f t="shared" si="29"/>
        <v>1</v>
      </c>
      <c r="BF33" s="798">
        <f t="shared" si="29"/>
        <v>1</v>
      </c>
      <c r="BG33" s="798">
        <f t="shared" si="29"/>
        <v>1</v>
      </c>
      <c r="BH33" s="798">
        <f t="shared" si="29"/>
        <v>1</v>
      </c>
      <c r="BI33" s="798">
        <f t="shared" si="29"/>
        <v>1</v>
      </c>
      <c r="BJ33" s="798">
        <f t="shared" si="29"/>
        <v>1</v>
      </c>
      <c r="BK33" s="798">
        <f t="shared" si="29"/>
        <v>1</v>
      </c>
      <c r="BL33" s="765"/>
      <c r="BM33" s="812">
        <v>0.04</v>
      </c>
      <c r="BN33" s="812"/>
    </row>
    <row r="34">
      <c r="A34" s="36"/>
      <c r="B34" s="36"/>
      <c r="C34" s="36"/>
      <c r="D34" s="36"/>
      <c r="E34" s="36"/>
      <c r="F34" s="36"/>
      <c r="G34" s="36"/>
      <c r="H34" s="36"/>
      <c r="I34" s="765">
        <f t="shared" si="17"/>
        <v>23</v>
      </c>
      <c r="J34" s="763">
        <f t="shared" si="5"/>
        <v>571914198.6</v>
      </c>
      <c r="K34" s="796">
        <f t="shared" si="7"/>
        <v>0.24529</v>
      </c>
      <c r="L34" s="796">
        <v>5.0E-4</v>
      </c>
      <c r="M34" s="763">
        <v>6.52125654E8</v>
      </c>
      <c r="N34" s="797">
        <f t="shared" si="8"/>
        <v>0</v>
      </c>
      <c r="O34" s="798">
        <f t="shared" ref="O34:BK34" si="30">FLOOR(MIN((((N("value of ELS upgrade")+N$8*($K34-$K33))*(N("Check checkbox")+(IF($G$6=TRUE,$G$7,$G$8))/$G$8))/(N("ROI of ELS and multiply by 2 if ELS is 1:1")+IF($G$12 = True, 2, 1) * $J34))/((N("difference in ELS+ and the cost of it")+(($K33*O$8)-($K33*N$8)) / O$7)),(N("MIN lets it return 0 or 1 after floored")+1)),1)</f>
        <v>0</v>
      </c>
      <c r="P34" s="798">
        <f t="shared" si="30"/>
        <v>1</v>
      </c>
      <c r="Q34" s="798">
        <f t="shared" si="30"/>
        <v>1</v>
      </c>
      <c r="R34" s="798">
        <f t="shared" si="30"/>
        <v>1</v>
      </c>
      <c r="S34" s="798">
        <f t="shared" si="30"/>
        <v>1</v>
      </c>
      <c r="T34" s="798">
        <f t="shared" si="30"/>
        <v>1</v>
      </c>
      <c r="U34" s="798">
        <f t="shared" si="30"/>
        <v>1</v>
      </c>
      <c r="V34" s="798">
        <f t="shared" si="30"/>
        <v>1</v>
      </c>
      <c r="W34" s="798">
        <f t="shared" si="30"/>
        <v>1</v>
      </c>
      <c r="X34" s="798">
        <f t="shared" si="30"/>
        <v>1</v>
      </c>
      <c r="Y34" s="798">
        <f t="shared" si="30"/>
        <v>1</v>
      </c>
      <c r="Z34" s="798">
        <f t="shared" si="30"/>
        <v>1</v>
      </c>
      <c r="AA34" s="798">
        <f t="shared" si="30"/>
        <v>1</v>
      </c>
      <c r="AB34" s="798">
        <f t="shared" si="30"/>
        <v>1</v>
      </c>
      <c r="AC34" s="798">
        <f t="shared" si="30"/>
        <v>1</v>
      </c>
      <c r="AD34" s="798">
        <f t="shared" si="30"/>
        <v>1</v>
      </c>
      <c r="AE34" s="798">
        <f t="shared" si="30"/>
        <v>1</v>
      </c>
      <c r="AF34" s="798">
        <f t="shared" si="30"/>
        <v>1</v>
      </c>
      <c r="AG34" s="798">
        <f t="shared" si="30"/>
        <v>1</v>
      </c>
      <c r="AH34" s="798">
        <f t="shared" si="30"/>
        <v>1</v>
      </c>
      <c r="AI34" s="798">
        <f t="shared" si="30"/>
        <v>1</v>
      </c>
      <c r="AJ34" s="798">
        <f t="shared" si="30"/>
        <v>1</v>
      </c>
      <c r="AK34" s="798">
        <f t="shared" si="30"/>
        <v>1</v>
      </c>
      <c r="AL34" s="798">
        <f t="shared" si="30"/>
        <v>1</v>
      </c>
      <c r="AM34" s="798">
        <f t="shared" si="30"/>
        <v>1</v>
      </c>
      <c r="AN34" s="798">
        <f t="shared" si="30"/>
        <v>1</v>
      </c>
      <c r="AO34" s="798">
        <f t="shared" si="30"/>
        <v>1</v>
      </c>
      <c r="AP34" s="798">
        <f t="shared" si="30"/>
        <v>1</v>
      </c>
      <c r="AQ34" s="798">
        <f t="shared" si="30"/>
        <v>1</v>
      </c>
      <c r="AR34" s="798">
        <f t="shared" si="30"/>
        <v>1</v>
      </c>
      <c r="AS34" s="798">
        <f t="shared" si="30"/>
        <v>1</v>
      </c>
      <c r="AT34" s="798">
        <f t="shared" si="30"/>
        <v>1</v>
      </c>
      <c r="AU34" s="798">
        <f t="shared" si="30"/>
        <v>1</v>
      </c>
      <c r="AV34" s="798">
        <f t="shared" si="30"/>
        <v>1</v>
      </c>
      <c r="AW34" s="798">
        <f t="shared" si="30"/>
        <v>1</v>
      </c>
      <c r="AX34" s="798">
        <f t="shared" si="30"/>
        <v>1</v>
      </c>
      <c r="AY34" s="798">
        <f t="shared" si="30"/>
        <v>1</v>
      </c>
      <c r="AZ34" s="798">
        <f t="shared" si="30"/>
        <v>1</v>
      </c>
      <c r="BA34" s="798">
        <f t="shared" si="30"/>
        <v>1</v>
      </c>
      <c r="BB34" s="798">
        <f t="shared" si="30"/>
        <v>1</v>
      </c>
      <c r="BC34" s="798">
        <f t="shared" si="30"/>
        <v>1</v>
      </c>
      <c r="BD34" s="798">
        <f t="shared" si="30"/>
        <v>1</v>
      </c>
      <c r="BE34" s="798">
        <f t="shared" si="30"/>
        <v>1</v>
      </c>
      <c r="BF34" s="798">
        <f t="shared" si="30"/>
        <v>1</v>
      </c>
      <c r="BG34" s="798">
        <f t="shared" si="30"/>
        <v>1</v>
      </c>
      <c r="BH34" s="798">
        <f t="shared" si="30"/>
        <v>1</v>
      </c>
      <c r="BI34" s="798">
        <f t="shared" si="30"/>
        <v>1</v>
      </c>
      <c r="BJ34" s="798">
        <f t="shared" si="30"/>
        <v>1</v>
      </c>
      <c r="BK34" s="798">
        <f t="shared" si="30"/>
        <v>1</v>
      </c>
      <c r="BL34" s="765"/>
      <c r="BM34" s="812">
        <v>0.06</v>
      </c>
      <c r="BN34" s="812"/>
    </row>
    <row r="35" hidden="1">
      <c r="A35" s="814"/>
      <c r="B35" s="814"/>
      <c r="C35" s="814"/>
      <c r="D35" s="814"/>
      <c r="E35" s="815"/>
      <c r="F35" s="815"/>
      <c r="G35" s="815"/>
      <c r="H35" s="814"/>
      <c r="I35" s="765">
        <f t="shared" si="17"/>
        <v>24</v>
      </c>
      <c r="J35" s="763">
        <f t="shared" si="5"/>
        <v>585963892.9</v>
      </c>
      <c r="K35" s="796">
        <f t="shared" si="7"/>
        <v>0.24579</v>
      </c>
      <c r="L35" s="796">
        <v>5.0E-4</v>
      </c>
      <c r="M35" s="763">
        <v>6.6814583E8</v>
      </c>
      <c r="N35" s="797">
        <f t="shared" si="8"/>
        <v>0</v>
      </c>
      <c r="O35" s="798">
        <f t="shared" ref="O35:BK35" si="31">FLOOR(MIN((((N("value of ELS upgrade")+N$8*($K35-$K34))*(N("Check checkbox")+(IF($G$6=TRUE,$G$7,$G$8))/$G$8))/(N("ROI of ELS and multiply by 2 if ELS is 1:1")+IF($G$12 = True, 2, 1) * $J35))/((N("difference in ELS+ and the cost of it")+(($K34*O$8)-($K34*N$8)) / O$7)),(N("MIN lets it return 0 or 1 after floored")+1)),1)</f>
        <v>0</v>
      </c>
      <c r="P35" s="798">
        <f t="shared" si="31"/>
        <v>1</v>
      </c>
      <c r="Q35" s="798">
        <f t="shared" si="31"/>
        <v>1</v>
      </c>
      <c r="R35" s="798">
        <f t="shared" si="31"/>
        <v>1</v>
      </c>
      <c r="S35" s="798">
        <f t="shared" si="31"/>
        <v>1</v>
      </c>
      <c r="T35" s="798">
        <f t="shared" si="31"/>
        <v>1</v>
      </c>
      <c r="U35" s="798">
        <f t="shared" si="31"/>
        <v>1</v>
      </c>
      <c r="V35" s="798">
        <f t="shared" si="31"/>
        <v>1</v>
      </c>
      <c r="W35" s="798">
        <f t="shared" si="31"/>
        <v>1</v>
      </c>
      <c r="X35" s="798">
        <f t="shared" si="31"/>
        <v>1</v>
      </c>
      <c r="Y35" s="798">
        <f t="shared" si="31"/>
        <v>1</v>
      </c>
      <c r="Z35" s="798">
        <f t="shared" si="31"/>
        <v>1</v>
      </c>
      <c r="AA35" s="798">
        <f t="shared" si="31"/>
        <v>1</v>
      </c>
      <c r="AB35" s="798">
        <f t="shared" si="31"/>
        <v>1</v>
      </c>
      <c r="AC35" s="798">
        <f t="shared" si="31"/>
        <v>1</v>
      </c>
      <c r="AD35" s="798">
        <f t="shared" si="31"/>
        <v>1</v>
      </c>
      <c r="AE35" s="798">
        <f t="shared" si="31"/>
        <v>1</v>
      </c>
      <c r="AF35" s="798">
        <f t="shared" si="31"/>
        <v>1</v>
      </c>
      <c r="AG35" s="798">
        <f t="shared" si="31"/>
        <v>1</v>
      </c>
      <c r="AH35" s="798">
        <f t="shared" si="31"/>
        <v>1</v>
      </c>
      <c r="AI35" s="798">
        <f t="shared" si="31"/>
        <v>1</v>
      </c>
      <c r="AJ35" s="798">
        <f t="shared" si="31"/>
        <v>1</v>
      </c>
      <c r="AK35" s="798">
        <f t="shared" si="31"/>
        <v>1</v>
      </c>
      <c r="AL35" s="798">
        <f t="shared" si="31"/>
        <v>1</v>
      </c>
      <c r="AM35" s="798">
        <f t="shared" si="31"/>
        <v>1</v>
      </c>
      <c r="AN35" s="798">
        <f t="shared" si="31"/>
        <v>1</v>
      </c>
      <c r="AO35" s="798">
        <f t="shared" si="31"/>
        <v>1</v>
      </c>
      <c r="AP35" s="798">
        <f t="shared" si="31"/>
        <v>1</v>
      </c>
      <c r="AQ35" s="798">
        <f t="shared" si="31"/>
        <v>1</v>
      </c>
      <c r="AR35" s="798">
        <f t="shared" si="31"/>
        <v>1</v>
      </c>
      <c r="AS35" s="798">
        <f t="shared" si="31"/>
        <v>1</v>
      </c>
      <c r="AT35" s="798">
        <f t="shared" si="31"/>
        <v>1</v>
      </c>
      <c r="AU35" s="798">
        <f t="shared" si="31"/>
        <v>1</v>
      </c>
      <c r="AV35" s="798">
        <f t="shared" si="31"/>
        <v>1</v>
      </c>
      <c r="AW35" s="798">
        <f t="shared" si="31"/>
        <v>1</v>
      </c>
      <c r="AX35" s="798">
        <f t="shared" si="31"/>
        <v>1</v>
      </c>
      <c r="AY35" s="798">
        <f t="shared" si="31"/>
        <v>1</v>
      </c>
      <c r="AZ35" s="798">
        <f t="shared" si="31"/>
        <v>1</v>
      </c>
      <c r="BA35" s="798">
        <f t="shared" si="31"/>
        <v>1</v>
      </c>
      <c r="BB35" s="798">
        <f t="shared" si="31"/>
        <v>1</v>
      </c>
      <c r="BC35" s="798">
        <f t="shared" si="31"/>
        <v>1</v>
      </c>
      <c r="BD35" s="798">
        <f t="shared" si="31"/>
        <v>1</v>
      </c>
      <c r="BE35" s="798">
        <f t="shared" si="31"/>
        <v>1</v>
      </c>
      <c r="BF35" s="798">
        <f t="shared" si="31"/>
        <v>1</v>
      </c>
      <c r="BG35" s="798">
        <f t="shared" si="31"/>
        <v>1</v>
      </c>
      <c r="BH35" s="798">
        <f t="shared" si="31"/>
        <v>1</v>
      </c>
      <c r="BI35" s="798">
        <f t="shared" si="31"/>
        <v>1</v>
      </c>
      <c r="BJ35" s="798">
        <f t="shared" si="31"/>
        <v>1</v>
      </c>
      <c r="BK35" s="798">
        <f t="shared" si="31"/>
        <v>1</v>
      </c>
      <c r="BL35" s="765"/>
      <c r="BM35" s="812">
        <v>0.08</v>
      </c>
      <c r="BN35" s="812"/>
    </row>
    <row r="36" hidden="1">
      <c r="A36" s="814"/>
      <c r="B36" s="814"/>
      <c r="C36" s="814"/>
      <c r="D36" s="814"/>
      <c r="E36" s="814"/>
      <c r="F36" s="814"/>
      <c r="G36" s="814"/>
      <c r="H36" s="814"/>
      <c r="I36" s="765">
        <f t="shared" si="17"/>
        <v>25</v>
      </c>
      <c r="J36" s="763">
        <f t="shared" si="5"/>
        <v>600015491.2</v>
      </c>
      <c r="K36" s="796">
        <f t="shared" si="7"/>
        <v>0.24629</v>
      </c>
      <c r="L36" s="796">
        <v>5.0E-4</v>
      </c>
      <c r="M36" s="763">
        <v>6.84168177E8</v>
      </c>
      <c r="N36" s="797">
        <f t="shared" si="8"/>
        <v>0</v>
      </c>
      <c r="O36" s="798">
        <f t="shared" ref="O36:BK36" si="32">FLOOR(MIN((((N("value of ELS upgrade")+N$8*($K36-$K35))*(N("Check checkbox")+(IF($G$6=TRUE,$G$7,$G$8))/$G$8))/(N("ROI of ELS and multiply by 2 if ELS is 1:1")+IF($G$12 = True, 2, 1) * $J36))/((N("difference in ELS+ and the cost of it")+(($K35*O$8)-($K35*N$8)) / O$7)),(N("MIN lets it return 0 or 1 after floored")+1)),1)</f>
        <v>0</v>
      </c>
      <c r="P36" s="798">
        <f t="shared" si="32"/>
        <v>1</v>
      </c>
      <c r="Q36" s="798">
        <f t="shared" si="32"/>
        <v>1</v>
      </c>
      <c r="R36" s="798">
        <f t="shared" si="32"/>
        <v>1</v>
      </c>
      <c r="S36" s="798">
        <f t="shared" si="32"/>
        <v>1</v>
      </c>
      <c r="T36" s="798">
        <f t="shared" si="32"/>
        <v>1</v>
      </c>
      <c r="U36" s="798">
        <f t="shared" si="32"/>
        <v>1</v>
      </c>
      <c r="V36" s="798">
        <f t="shared" si="32"/>
        <v>1</v>
      </c>
      <c r="W36" s="798">
        <f t="shared" si="32"/>
        <v>1</v>
      </c>
      <c r="X36" s="798">
        <f t="shared" si="32"/>
        <v>1</v>
      </c>
      <c r="Y36" s="798">
        <f t="shared" si="32"/>
        <v>1</v>
      </c>
      <c r="Z36" s="798">
        <f t="shared" si="32"/>
        <v>1</v>
      </c>
      <c r="AA36" s="798">
        <f t="shared" si="32"/>
        <v>1</v>
      </c>
      <c r="AB36" s="798">
        <f t="shared" si="32"/>
        <v>1</v>
      </c>
      <c r="AC36" s="798">
        <f t="shared" si="32"/>
        <v>1</v>
      </c>
      <c r="AD36" s="798">
        <f t="shared" si="32"/>
        <v>1</v>
      </c>
      <c r="AE36" s="798">
        <f t="shared" si="32"/>
        <v>1</v>
      </c>
      <c r="AF36" s="798">
        <f t="shared" si="32"/>
        <v>1</v>
      </c>
      <c r="AG36" s="798">
        <f t="shared" si="32"/>
        <v>1</v>
      </c>
      <c r="AH36" s="798">
        <f t="shared" si="32"/>
        <v>1</v>
      </c>
      <c r="AI36" s="798">
        <f t="shared" si="32"/>
        <v>1</v>
      </c>
      <c r="AJ36" s="798">
        <f t="shared" si="32"/>
        <v>1</v>
      </c>
      <c r="AK36" s="798">
        <f t="shared" si="32"/>
        <v>1</v>
      </c>
      <c r="AL36" s="798">
        <f t="shared" si="32"/>
        <v>1</v>
      </c>
      <c r="AM36" s="798">
        <f t="shared" si="32"/>
        <v>1</v>
      </c>
      <c r="AN36" s="798">
        <f t="shared" si="32"/>
        <v>1</v>
      </c>
      <c r="AO36" s="798">
        <f t="shared" si="32"/>
        <v>1</v>
      </c>
      <c r="AP36" s="798">
        <f t="shared" si="32"/>
        <v>1</v>
      </c>
      <c r="AQ36" s="798">
        <f t="shared" si="32"/>
        <v>1</v>
      </c>
      <c r="AR36" s="798">
        <f t="shared" si="32"/>
        <v>1</v>
      </c>
      <c r="AS36" s="798">
        <f t="shared" si="32"/>
        <v>1</v>
      </c>
      <c r="AT36" s="798">
        <f t="shared" si="32"/>
        <v>1</v>
      </c>
      <c r="AU36" s="798">
        <f t="shared" si="32"/>
        <v>1</v>
      </c>
      <c r="AV36" s="798">
        <f t="shared" si="32"/>
        <v>1</v>
      </c>
      <c r="AW36" s="798">
        <f t="shared" si="32"/>
        <v>1</v>
      </c>
      <c r="AX36" s="798">
        <f t="shared" si="32"/>
        <v>1</v>
      </c>
      <c r="AY36" s="798">
        <f t="shared" si="32"/>
        <v>1</v>
      </c>
      <c r="AZ36" s="798">
        <f t="shared" si="32"/>
        <v>1</v>
      </c>
      <c r="BA36" s="798">
        <f t="shared" si="32"/>
        <v>1</v>
      </c>
      <c r="BB36" s="798">
        <f t="shared" si="32"/>
        <v>1</v>
      </c>
      <c r="BC36" s="798">
        <f t="shared" si="32"/>
        <v>1</v>
      </c>
      <c r="BD36" s="798">
        <f t="shared" si="32"/>
        <v>1</v>
      </c>
      <c r="BE36" s="798">
        <f t="shared" si="32"/>
        <v>1</v>
      </c>
      <c r="BF36" s="798">
        <f t="shared" si="32"/>
        <v>1</v>
      </c>
      <c r="BG36" s="798">
        <f t="shared" si="32"/>
        <v>1</v>
      </c>
      <c r="BH36" s="798">
        <f t="shared" si="32"/>
        <v>1</v>
      </c>
      <c r="BI36" s="798">
        <f t="shared" si="32"/>
        <v>1</v>
      </c>
      <c r="BJ36" s="798">
        <f t="shared" si="32"/>
        <v>1</v>
      </c>
      <c r="BK36" s="798">
        <f t="shared" si="32"/>
        <v>1</v>
      </c>
      <c r="BL36" s="765"/>
      <c r="BM36" s="816"/>
      <c r="BN36" s="816"/>
    </row>
    <row r="37" hidden="1">
      <c r="A37" s="814"/>
      <c r="B37" s="814"/>
      <c r="C37" s="814"/>
      <c r="D37" s="814"/>
      <c r="E37" s="815"/>
      <c r="F37" s="815"/>
      <c r="G37" s="815"/>
      <c r="H37" s="814"/>
      <c r="I37" s="765">
        <f t="shared" si="17"/>
        <v>26</v>
      </c>
      <c r="J37" s="763">
        <f t="shared" si="5"/>
        <v>614069105.8</v>
      </c>
      <c r="K37" s="796">
        <f t="shared" si="7"/>
        <v>0.24679</v>
      </c>
      <c r="L37" s="796">
        <v>5.0E-4</v>
      </c>
      <c r="M37" s="763">
        <v>7.00192823E8</v>
      </c>
      <c r="N37" s="797">
        <f t="shared" si="8"/>
        <v>0</v>
      </c>
      <c r="O37" s="798">
        <f t="shared" ref="O37:BK37" si="33">FLOOR(MIN((((N("value of ELS upgrade")+N$8*($K37-$K36))*(N("Check checkbox")+(IF($G$6=TRUE,$G$7,$G$8))/$G$8))/(N("ROI of ELS and multiply by 2 if ELS is 1:1")+IF($G$12 = True, 2, 1) * $J37))/((N("difference in ELS+ and the cost of it")+(($K36*O$8)-($K36*N$8)) / O$7)),(N("MIN lets it return 0 or 1 after floored")+1)),1)</f>
        <v>0</v>
      </c>
      <c r="P37" s="798">
        <f t="shared" si="33"/>
        <v>1</v>
      </c>
      <c r="Q37" s="798">
        <f t="shared" si="33"/>
        <v>1</v>
      </c>
      <c r="R37" s="798">
        <f t="shared" si="33"/>
        <v>1</v>
      </c>
      <c r="S37" s="798">
        <f t="shared" si="33"/>
        <v>1</v>
      </c>
      <c r="T37" s="798">
        <f t="shared" si="33"/>
        <v>1</v>
      </c>
      <c r="U37" s="798">
        <f t="shared" si="33"/>
        <v>1</v>
      </c>
      <c r="V37" s="798">
        <f t="shared" si="33"/>
        <v>1</v>
      </c>
      <c r="W37" s="798">
        <f t="shared" si="33"/>
        <v>1</v>
      </c>
      <c r="X37" s="798">
        <f t="shared" si="33"/>
        <v>1</v>
      </c>
      <c r="Y37" s="798">
        <f t="shared" si="33"/>
        <v>1</v>
      </c>
      <c r="Z37" s="798">
        <f t="shared" si="33"/>
        <v>1</v>
      </c>
      <c r="AA37" s="798">
        <f t="shared" si="33"/>
        <v>1</v>
      </c>
      <c r="AB37" s="798">
        <f t="shared" si="33"/>
        <v>1</v>
      </c>
      <c r="AC37" s="798">
        <f t="shared" si="33"/>
        <v>1</v>
      </c>
      <c r="AD37" s="798">
        <f t="shared" si="33"/>
        <v>1</v>
      </c>
      <c r="AE37" s="798">
        <f t="shared" si="33"/>
        <v>1</v>
      </c>
      <c r="AF37" s="798">
        <f t="shared" si="33"/>
        <v>1</v>
      </c>
      <c r="AG37" s="798">
        <f t="shared" si="33"/>
        <v>1</v>
      </c>
      <c r="AH37" s="798">
        <f t="shared" si="33"/>
        <v>1</v>
      </c>
      <c r="AI37" s="798">
        <f t="shared" si="33"/>
        <v>1</v>
      </c>
      <c r="AJ37" s="798">
        <f t="shared" si="33"/>
        <v>1</v>
      </c>
      <c r="AK37" s="798">
        <f t="shared" si="33"/>
        <v>1</v>
      </c>
      <c r="AL37" s="798">
        <f t="shared" si="33"/>
        <v>1</v>
      </c>
      <c r="AM37" s="798">
        <f t="shared" si="33"/>
        <v>1</v>
      </c>
      <c r="AN37" s="798">
        <f t="shared" si="33"/>
        <v>1</v>
      </c>
      <c r="AO37" s="798">
        <f t="shared" si="33"/>
        <v>1</v>
      </c>
      <c r="AP37" s="798">
        <f t="shared" si="33"/>
        <v>1</v>
      </c>
      <c r="AQ37" s="798">
        <f t="shared" si="33"/>
        <v>1</v>
      </c>
      <c r="AR37" s="798">
        <f t="shared" si="33"/>
        <v>1</v>
      </c>
      <c r="AS37" s="798">
        <f t="shared" si="33"/>
        <v>1</v>
      </c>
      <c r="AT37" s="798">
        <f t="shared" si="33"/>
        <v>1</v>
      </c>
      <c r="AU37" s="798">
        <f t="shared" si="33"/>
        <v>1</v>
      </c>
      <c r="AV37" s="798">
        <f t="shared" si="33"/>
        <v>1</v>
      </c>
      <c r="AW37" s="798">
        <f t="shared" si="33"/>
        <v>1</v>
      </c>
      <c r="AX37" s="798">
        <f t="shared" si="33"/>
        <v>1</v>
      </c>
      <c r="AY37" s="798">
        <f t="shared" si="33"/>
        <v>1</v>
      </c>
      <c r="AZ37" s="798">
        <f t="shared" si="33"/>
        <v>1</v>
      </c>
      <c r="BA37" s="798">
        <f t="shared" si="33"/>
        <v>1</v>
      </c>
      <c r="BB37" s="798">
        <f t="shared" si="33"/>
        <v>1</v>
      </c>
      <c r="BC37" s="798">
        <f t="shared" si="33"/>
        <v>1</v>
      </c>
      <c r="BD37" s="798">
        <f t="shared" si="33"/>
        <v>1</v>
      </c>
      <c r="BE37" s="798">
        <f t="shared" si="33"/>
        <v>1</v>
      </c>
      <c r="BF37" s="798">
        <f t="shared" si="33"/>
        <v>1</v>
      </c>
      <c r="BG37" s="798">
        <f t="shared" si="33"/>
        <v>1</v>
      </c>
      <c r="BH37" s="798">
        <f t="shared" si="33"/>
        <v>1</v>
      </c>
      <c r="BI37" s="798">
        <f t="shared" si="33"/>
        <v>1</v>
      </c>
      <c r="BJ37" s="798">
        <f t="shared" si="33"/>
        <v>1</v>
      </c>
      <c r="BK37" s="798">
        <f t="shared" si="33"/>
        <v>1</v>
      </c>
      <c r="BL37" s="765"/>
      <c r="BM37" s="816"/>
      <c r="BN37" s="816"/>
    </row>
    <row r="38" hidden="1">
      <c r="A38" s="814"/>
      <c r="B38" s="814"/>
      <c r="C38" s="814"/>
      <c r="D38" s="814"/>
      <c r="E38" s="815"/>
      <c r="F38" s="815"/>
      <c r="G38" s="815"/>
      <c r="H38" s="814"/>
      <c r="I38" s="765">
        <f t="shared" si="17"/>
        <v>27</v>
      </c>
      <c r="J38" s="763">
        <f t="shared" si="5"/>
        <v>628124850.5</v>
      </c>
      <c r="K38" s="796">
        <f t="shared" si="7"/>
        <v>0.24729</v>
      </c>
      <c r="L38" s="796">
        <v>5.0E-4</v>
      </c>
      <c r="M38" s="763">
        <v>7.16219898E8</v>
      </c>
      <c r="N38" s="797">
        <f t="shared" si="8"/>
        <v>0</v>
      </c>
      <c r="O38" s="798">
        <f t="shared" ref="O38:BK38" si="34">FLOOR(MIN((((N("value of ELS upgrade")+N$8*($K38-$K37))*(N("Check checkbox")+(IF($G$6=TRUE,$G$7,$G$8))/$G$8))/(N("ROI of ELS and multiply by 2 if ELS is 1:1")+IF($G$12 = True, 2, 1) * $J38))/((N("difference in ELS+ and the cost of it")+(($K37*O$8)-($K37*N$8)) / O$7)),(N("MIN lets it return 0 or 1 after floored")+1)),1)</f>
        <v>0</v>
      </c>
      <c r="P38" s="798">
        <f t="shared" si="34"/>
        <v>1</v>
      </c>
      <c r="Q38" s="798">
        <f t="shared" si="34"/>
        <v>1</v>
      </c>
      <c r="R38" s="798">
        <f t="shared" si="34"/>
        <v>1</v>
      </c>
      <c r="S38" s="798">
        <f t="shared" si="34"/>
        <v>1</v>
      </c>
      <c r="T38" s="798">
        <f t="shared" si="34"/>
        <v>1</v>
      </c>
      <c r="U38" s="798">
        <f t="shared" si="34"/>
        <v>1</v>
      </c>
      <c r="V38" s="798">
        <f t="shared" si="34"/>
        <v>1</v>
      </c>
      <c r="W38" s="798">
        <f t="shared" si="34"/>
        <v>1</v>
      </c>
      <c r="X38" s="798">
        <f t="shared" si="34"/>
        <v>1</v>
      </c>
      <c r="Y38" s="798">
        <f t="shared" si="34"/>
        <v>1</v>
      </c>
      <c r="Z38" s="798">
        <f t="shared" si="34"/>
        <v>1</v>
      </c>
      <c r="AA38" s="798">
        <f t="shared" si="34"/>
        <v>1</v>
      </c>
      <c r="AB38" s="798">
        <f t="shared" si="34"/>
        <v>1</v>
      </c>
      <c r="AC38" s="798">
        <f t="shared" si="34"/>
        <v>1</v>
      </c>
      <c r="AD38" s="798">
        <f t="shared" si="34"/>
        <v>1</v>
      </c>
      <c r="AE38" s="798">
        <f t="shared" si="34"/>
        <v>1</v>
      </c>
      <c r="AF38" s="798">
        <f t="shared" si="34"/>
        <v>1</v>
      </c>
      <c r="AG38" s="798">
        <f t="shared" si="34"/>
        <v>1</v>
      </c>
      <c r="AH38" s="798">
        <f t="shared" si="34"/>
        <v>1</v>
      </c>
      <c r="AI38" s="798">
        <f t="shared" si="34"/>
        <v>1</v>
      </c>
      <c r="AJ38" s="798">
        <f t="shared" si="34"/>
        <v>1</v>
      </c>
      <c r="AK38" s="798">
        <f t="shared" si="34"/>
        <v>1</v>
      </c>
      <c r="AL38" s="798">
        <f t="shared" si="34"/>
        <v>1</v>
      </c>
      <c r="AM38" s="798">
        <f t="shared" si="34"/>
        <v>1</v>
      </c>
      <c r="AN38" s="798">
        <f t="shared" si="34"/>
        <v>1</v>
      </c>
      <c r="AO38" s="798">
        <f t="shared" si="34"/>
        <v>1</v>
      </c>
      <c r="AP38" s="798">
        <f t="shared" si="34"/>
        <v>1</v>
      </c>
      <c r="AQ38" s="798">
        <f t="shared" si="34"/>
        <v>1</v>
      </c>
      <c r="AR38" s="798">
        <f t="shared" si="34"/>
        <v>1</v>
      </c>
      <c r="AS38" s="798">
        <f t="shared" si="34"/>
        <v>1</v>
      </c>
      <c r="AT38" s="798">
        <f t="shared" si="34"/>
        <v>1</v>
      </c>
      <c r="AU38" s="798">
        <f t="shared" si="34"/>
        <v>1</v>
      </c>
      <c r="AV38" s="798">
        <f t="shared" si="34"/>
        <v>1</v>
      </c>
      <c r="AW38" s="798">
        <f t="shared" si="34"/>
        <v>1</v>
      </c>
      <c r="AX38" s="798">
        <f t="shared" si="34"/>
        <v>1</v>
      </c>
      <c r="AY38" s="798">
        <f t="shared" si="34"/>
        <v>1</v>
      </c>
      <c r="AZ38" s="798">
        <f t="shared" si="34"/>
        <v>1</v>
      </c>
      <c r="BA38" s="798">
        <f t="shared" si="34"/>
        <v>1</v>
      </c>
      <c r="BB38" s="798">
        <f t="shared" si="34"/>
        <v>1</v>
      </c>
      <c r="BC38" s="798">
        <f t="shared" si="34"/>
        <v>1</v>
      </c>
      <c r="BD38" s="798">
        <f t="shared" si="34"/>
        <v>1</v>
      </c>
      <c r="BE38" s="798">
        <f t="shared" si="34"/>
        <v>1</v>
      </c>
      <c r="BF38" s="798">
        <f t="shared" si="34"/>
        <v>1</v>
      </c>
      <c r="BG38" s="798">
        <f t="shared" si="34"/>
        <v>1</v>
      </c>
      <c r="BH38" s="798">
        <f t="shared" si="34"/>
        <v>1</v>
      </c>
      <c r="BI38" s="798">
        <f t="shared" si="34"/>
        <v>1</v>
      </c>
      <c r="BJ38" s="798">
        <f t="shared" si="34"/>
        <v>1</v>
      </c>
      <c r="BK38" s="798">
        <f t="shared" si="34"/>
        <v>1</v>
      </c>
      <c r="BL38" s="765"/>
      <c r="BM38" s="816"/>
      <c r="BN38" s="816"/>
    </row>
    <row r="39" hidden="1">
      <c r="A39" s="814"/>
      <c r="B39" s="814"/>
      <c r="C39" s="814"/>
      <c r="D39" s="814"/>
      <c r="E39" s="815"/>
      <c r="F39" s="815"/>
      <c r="G39" s="815"/>
      <c r="H39" s="814"/>
      <c r="I39" s="765">
        <f t="shared" si="17"/>
        <v>28</v>
      </c>
      <c r="J39" s="763">
        <f t="shared" si="5"/>
        <v>642182840.4</v>
      </c>
      <c r="K39" s="796">
        <f t="shared" si="7"/>
        <v>0.24779</v>
      </c>
      <c r="L39" s="796">
        <v>5.0E-4</v>
      </c>
      <c r="M39" s="763">
        <v>7.32249533E8</v>
      </c>
      <c r="N39" s="797">
        <f t="shared" si="8"/>
        <v>0</v>
      </c>
      <c r="O39" s="798">
        <f t="shared" ref="O39:BK39" si="35">FLOOR(MIN((((N("value of ELS upgrade")+N$8*($K39-$K38))*(N("Check checkbox")+(IF($G$6=TRUE,$G$7,$G$8))/$G$8))/(N("ROI of ELS and multiply by 2 if ELS is 1:1")+IF($G$12 = True, 2, 1) * $J39))/((N("difference in ELS+ and the cost of it")+(($K38*O$8)-($K38*N$8)) / O$7)),(N("MIN lets it return 0 or 1 after floored")+1)),1)</f>
        <v>0</v>
      </c>
      <c r="P39" s="798">
        <f t="shared" si="35"/>
        <v>1</v>
      </c>
      <c r="Q39" s="798">
        <f t="shared" si="35"/>
        <v>1</v>
      </c>
      <c r="R39" s="798">
        <f t="shared" si="35"/>
        <v>1</v>
      </c>
      <c r="S39" s="798">
        <f t="shared" si="35"/>
        <v>1</v>
      </c>
      <c r="T39" s="798">
        <f t="shared" si="35"/>
        <v>1</v>
      </c>
      <c r="U39" s="798">
        <f t="shared" si="35"/>
        <v>1</v>
      </c>
      <c r="V39" s="798">
        <f t="shared" si="35"/>
        <v>1</v>
      </c>
      <c r="W39" s="798">
        <f t="shared" si="35"/>
        <v>1</v>
      </c>
      <c r="X39" s="798">
        <f t="shared" si="35"/>
        <v>1</v>
      </c>
      <c r="Y39" s="798">
        <f t="shared" si="35"/>
        <v>1</v>
      </c>
      <c r="Z39" s="798">
        <f t="shared" si="35"/>
        <v>1</v>
      </c>
      <c r="AA39" s="798">
        <f t="shared" si="35"/>
        <v>1</v>
      </c>
      <c r="AB39" s="798">
        <f t="shared" si="35"/>
        <v>1</v>
      </c>
      <c r="AC39" s="798">
        <f t="shared" si="35"/>
        <v>1</v>
      </c>
      <c r="AD39" s="798">
        <f t="shared" si="35"/>
        <v>1</v>
      </c>
      <c r="AE39" s="798">
        <f t="shared" si="35"/>
        <v>1</v>
      </c>
      <c r="AF39" s="798">
        <f t="shared" si="35"/>
        <v>1</v>
      </c>
      <c r="AG39" s="798">
        <f t="shared" si="35"/>
        <v>1</v>
      </c>
      <c r="AH39" s="798">
        <f t="shared" si="35"/>
        <v>1</v>
      </c>
      <c r="AI39" s="798">
        <f t="shared" si="35"/>
        <v>1</v>
      </c>
      <c r="AJ39" s="798">
        <f t="shared" si="35"/>
        <v>1</v>
      </c>
      <c r="AK39" s="798">
        <f t="shared" si="35"/>
        <v>1</v>
      </c>
      <c r="AL39" s="798">
        <f t="shared" si="35"/>
        <v>1</v>
      </c>
      <c r="AM39" s="798">
        <f t="shared" si="35"/>
        <v>1</v>
      </c>
      <c r="AN39" s="798">
        <f t="shared" si="35"/>
        <v>1</v>
      </c>
      <c r="AO39" s="798">
        <f t="shared" si="35"/>
        <v>1</v>
      </c>
      <c r="AP39" s="798">
        <f t="shared" si="35"/>
        <v>1</v>
      </c>
      <c r="AQ39" s="798">
        <f t="shared" si="35"/>
        <v>1</v>
      </c>
      <c r="AR39" s="798">
        <f t="shared" si="35"/>
        <v>1</v>
      </c>
      <c r="AS39" s="798">
        <f t="shared" si="35"/>
        <v>1</v>
      </c>
      <c r="AT39" s="798">
        <f t="shared" si="35"/>
        <v>1</v>
      </c>
      <c r="AU39" s="798">
        <f t="shared" si="35"/>
        <v>1</v>
      </c>
      <c r="AV39" s="798">
        <f t="shared" si="35"/>
        <v>1</v>
      </c>
      <c r="AW39" s="798">
        <f t="shared" si="35"/>
        <v>1</v>
      </c>
      <c r="AX39" s="798">
        <f t="shared" si="35"/>
        <v>1</v>
      </c>
      <c r="AY39" s="798">
        <f t="shared" si="35"/>
        <v>1</v>
      </c>
      <c r="AZ39" s="798">
        <f t="shared" si="35"/>
        <v>1</v>
      </c>
      <c r="BA39" s="798">
        <f t="shared" si="35"/>
        <v>1</v>
      </c>
      <c r="BB39" s="798">
        <f t="shared" si="35"/>
        <v>1</v>
      </c>
      <c r="BC39" s="798">
        <f t="shared" si="35"/>
        <v>1</v>
      </c>
      <c r="BD39" s="798">
        <f t="shared" si="35"/>
        <v>1</v>
      </c>
      <c r="BE39" s="798">
        <f t="shared" si="35"/>
        <v>1</v>
      </c>
      <c r="BF39" s="798">
        <f t="shared" si="35"/>
        <v>1</v>
      </c>
      <c r="BG39" s="798">
        <f t="shared" si="35"/>
        <v>1</v>
      </c>
      <c r="BH39" s="798">
        <f t="shared" si="35"/>
        <v>1</v>
      </c>
      <c r="BI39" s="798">
        <f t="shared" si="35"/>
        <v>1</v>
      </c>
      <c r="BJ39" s="798">
        <f t="shared" si="35"/>
        <v>1</v>
      </c>
      <c r="BK39" s="798">
        <f t="shared" si="35"/>
        <v>1</v>
      </c>
      <c r="BL39" s="765"/>
      <c r="BM39" s="816"/>
      <c r="BN39" s="816"/>
    </row>
    <row r="40" hidden="1">
      <c r="A40" s="814"/>
      <c r="B40" s="814"/>
      <c r="C40" s="814"/>
      <c r="D40" s="814"/>
      <c r="E40" s="815"/>
      <c r="F40" s="815"/>
      <c r="G40" s="815"/>
      <c r="H40" s="814"/>
      <c r="I40" s="765">
        <f t="shared" si="17"/>
        <v>29</v>
      </c>
      <c r="J40" s="763">
        <f t="shared" si="5"/>
        <v>656243194.7</v>
      </c>
      <c r="K40" s="796">
        <f t="shared" si="7"/>
        <v>0.24829</v>
      </c>
      <c r="L40" s="796">
        <v>5.0E-4</v>
      </c>
      <c r="M40" s="763">
        <v>7.48281864E8</v>
      </c>
      <c r="N40" s="797">
        <f t="shared" si="8"/>
        <v>0</v>
      </c>
      <c r="O40" s="798">
        <f t="shared" ref="O40:BK40" si="36">FLOOR(MIN((((N("value of ELS upgrade")+N$8*($K40-$K39))*(N("Check checkbox")+(IF($G$6=TRUE,$G$7,$G$8))/$G$8))/(N("ROI of ELS and multiply by 2 if ELS is 1:1")+IF($G$12 = True, 2, 1) * $J40))/((N("difference in ELS+ and the cost of it")+(($K39*O$8)-($K39*N$8)) / O$7)),(N("MIN lets it return 0 or 1 after floored")+1)),1)</f>
        <v>0</v>
      </c>
      <c r="P40" s="798">
        <f t="shared" si="36"/>
        <v>1</v>
      </c>
      <c r="Q40" s="798">
        <f t="shared" si="36"/>
        <v>1</v>
      </c>
      <c r="R40" s="798">
        <f t="shared" si="36"/>
        <v>1</v>
      </c>
      <c r="S40" s="798">
        <f t="shared" si="36"/>
        <v>1</v>
      </c>
      <c r="T40" s="798">
        <f t="shared" si="36"/>
        <v>1</v>
      </c>
      <c r="U40" s="798">
        <f t="shared" si="36"/>
        <v>1</v>
      </c>
      <c r="V40" s="798">
        <f t="shared" si="36"/>
        <v>1</v>
      </c>
      <c r="W40" s="798">
        <f t="shared" si="36"/>
        <v>1</v>
      </c>
      <c r="X40" s="798">
        <f t="shared" si="36"/>
        <v>1</v>
      </c>
      <c r="Y40" s="798">
        <f t="shared" si="36"/>
        <v>1</v>
      </c>
      <c r="Z40" s="798">
        <f t="shared" si="36"/>
        <v>1</v>
      </c>
      <c r="AA40" s="798">
        <f t="shared" si="36"/>
        <v>1</v>
      </c>
      <c r="AB40" s="798">
        <f t="shared" si="36"/>
        <v>1</v>
      </c>
      <c r="AC40" s="798">
        <f t="shared" si="36"/>
        <v>1</v>
      </c>
      <c r="AD40" s="798">
        <f t="shared" si="36"/>
        <v>1</v>
      </c>
      <c r="AE40" s="798">
        <f t="shared" si="36"/>
        <v>1</v>
      </c>
      <c r="AF40" s="798">
        <f t="shared" si="36"/>
        <v>1</v>
      </c>
      <c r="AG40" s="798">
        <f t="shared" si="36"/>
        <v>1</v>
      </c>
      <c r="AH40" s="798">
        <f t="shared" si="36"/>
        <v>1</v>
      </c>
      <c r="AI40" s="798">
        <f t="shared" si="36"/>
        <v>1</v>
      </c>
      <c r="AJ40" s="798">
        <f t="shared" si="36"/>
        <v>1</v>
      </c>
      <c r="AK40" s="798">
        <f t="shared" si="36"/>
        <v>1</v>
      </c>
      <c r="AL40" s="798">
        <f t="shared" si="36"/>
        <v>1</v>
      </c>
      <c r="AM40" s="798">
        <f t="shared" si="36"/>
        <v>1</v>
      </c>
      <c r="AN40" s="798">
        <f t="shared" si="36"/>
        <v>1</v>
      </c>
      <c r="AO40" s="798">
        <f t="shared" si="36"/>
        <v>1</v>
      </c>
      <c r="AP40" s="798">
        <f t="shared" si="36"/>
        <v>1</v>
      </c>
      <c r="AQ40" s="798">
        <f t="shared" si="36"/>
        <v>1</v>
      </c>
      <c r="AR40" s="798">
        <f t="shared" si="36"/>
        <v>1</v>
      </c>
      <c r="AS40" s="798">
        <f t="shared" si="36"/>
        <v>1</v>
      </c>
      <c r="AT40" s="798">
        <f t="shared" si="36"/>
        <v>1</v>
      </c>
      <c r="AU40" s="798">
        <f t="shared" si="36"/>
        <v>1</v>
      </c>
      <c r="AV40" s="798">
        <f t="shared" si="36"/>
        <v>1</v>
      </c>
      <c r="AW40" s="798">
        <f t="shared" si="36"/>
        <v>1</v>
      </c>
      <c r="AX40" s="798">
        <f t="shared" si="36"/>
        <v>1</v>
      </c>
      <c r="AY40" s="798">
        <f t="shared" si="36"/>
        <v>1</v>
      </c>
      <c r="AZ40" s="798">
        <f t="shared" si="36"/>
        <v>1</v>
      </c>
      <c r="BA40" s="798">
        <f t="shared" si="36"/>
        <v>1</v>
      </c>
      <c r="BB40" s="798">
        <f t="shared" si="36"/>
        <v>1</v>
      </c>
      <c r="BC40" s="798">
        <f t="shared" si="36"/>
        <v>1</v>
      </c>
      <c r="BD40" s="798">
        <f t="shared" si="36"/>
        <v>1</v>
      </c>
      <c r="BE40" s="798">
        <f t="shared" si="36"/>
        <v>1</v>
      </c>
      <c r="BF40" s="798">
        <f t="shared" si="36"/>
        <v>1</v>
      </c>
      <c r="BG40" s="798">
        <f t="shared" si="36"/>
        <v>1</v>
      </c>
      <c r="BH40" s="798">
        <f t="shared" si="36"/>
        <v>1</v>
      </c>
      <c r="BI40" s="798">
        <f t="shared" si="36"/>
        <v>1</v>
      </c>
      <c r="BJ40" s="798">
        <f t="shared" si="36"/>
        <v>1</v>
      </c>
      <c r="BK40" s="798">
        <f t="shared" si="36"/>
        <v>1</v>
      </c>
      <c r="BL40" s="765"/>
      <c r="BM40" s="816"/>
      <c r="BN40" s="816"/>
    </row>
    <row r="41" hidden="1">
      <c r="A41" s="814"/>
      <c r="B41" s="814"/>
      <c r="C41" s="814"/>
      <c r="D41" s="814"/>
      <c r="E41" s="815"/>
      <c r="F41" s="815"/>
      <c r="G41" s="815"/>
      <c r="H41" s="814"/>
      <c r="I41" s="765">
        <f t="shared" si="17"/>
        <v>30</v>
      </c>
      <c r="J41" s="763">
        <f t="shared" si="5"/>
        <v>670306030.9</v>
      </c>
      <c r="K41" s="796">
        <f t="shared" si="7"/>
        <v>0.24879</v>
      </c>
      <c r="L41" s="796">
        <v>5.0E-4</v>
      </c>
      <c r="M41" s="763">
        <v>7.64317025E8</v>
      </c>
      <c r="N41" s="797">
        <f t="shared" si="8"/>
        <v>0</v>
      </c>
      <c r="O41" s="798">
        <f t="shared" ref="O41:BK41" si="37">FLOOR(MIN((((N("value of ELS upgrade")+N$8*($K41-$K40))*(N("Check checkbox")+(IF($G$6=TRUE,$G$7,$G$8))/$G$8))/(N("ROI of ELS and multiply by 2 if ELS is 1:1")+IF($G$12 = True, 2, 1) * $J41))/((N("difference in ELS+ and the cost of it")+(($K40*O$8)-($K40*N$8)) / O$7)),(N("MIN lets it return 0 or 1 after floored")+1)),1)</f>
        <v>0</v>
      </c>
      <c r="P41" s="798">
        <f t="shared" si="37"/>
        <v>1</v>
      </c>
      <c r="Q41" s="798">
        <f t="shared" si="37"/>
        <v>1</v>
      </c>
      <c r="R41" s="798">
        <f t="shared" si="37"/>
        <v>1</v>
      </c>
      <c r="S41" s="798">
        <f t="shared" si="37"/>
        <v>1</v>
      </c>
      <c r="T41" s="798">
        <f t="shared" si="37"/>
        <v>1</v>
      </c>
      <c r="U41" s="798">
        <f t="shared" si="37"/>
        <v>1</v>
      </c>
      <c r="V41" s="798">
        <f t="shared" si="37"/>
        <v>1</v>
      </c>
      <c r="W41" s="798">
        <f t="shared" si="37"/>
        <v>1</v>
      </c>
      <c r="X41" s="798">
        <f t="shared" si="37"/>
        <v>1</v>
      </c>
      <c r="Y41" s="798">
        <f t="shared" si="37"/>
        <v>1</v>
      </c>
      <c r="Z41" s="798">
        <f t="shared" si="37"/>
        <v>1</v>
      </c>
      <c r="AA41" s="798">
        <f t="shared" si="37"/>
        <v>1</v>
      </c>
      <c r="AB41" s="798">
        <f t="shared" si="37"/>
        <v>1</v>
      </c>
      <c r="AC41" s="798">
        <f t="shared" si="37"/>
        <v>1</v>
      </c>
      <c r="AD41" s="798">
        <f t="shared" si="37"/>
        <v>1</v>
      </c>
      <c r="AE41" s="798">
        <f t="shared" si="37"/>
        <v>1</v>
      </c>
      <c r="AF41" s="798">
        <f t="shared" si="37"/>
        <v>1</v>
      </c>
      <c r="AG41" s="798">
        <f t="shared" si="37"/>
        <v>1</v>
      </c>
      <c r="AH41" s="798">
        <f t="shared" si="37"/>
        <v>1</v>
      </c>
      <c r="AI41" s="798">
        <f t="shared" si="37"/>
        <v>1</v>
      </c>
      <c r="AJ41" s="798">
        <f t="shared" si="37"/>
        <v>1</v>
      </c>
      <c r="AK41" s="798">
        <f t="shared" si="37"/>
        <v>1</v>
      </c>
      <c r="AL41" s="798">
        <f t="shared" si="37"/>
        <v>1</v>
      </c>
      <c r="AM41" s="798">
        <f t="shared" si="37"/>
        <v>1</v>
      </c>
      <c r="AN41" s="798">
        <f t="shared" si="37"/>
        <v>1</v>
      </c>
      <c r="AO41" s="798">
        <f t="shared" si="37"/>
        <v>1</v>
      </c>
      <c r="AP41" s="798">
        <f t="shared" si="37"/>
        <v>1</v>
      </c>
      <c r="AQ41" s="798">
        <f t="shared" si="37"/>
        <v>1</v>
      </c>
      <c r="AR41" s="798">
        <f t="shared" si="37"/>
        <v>1</v>
      </c>
      <c r="AS41" s="798">
        <f t="shared" si="37"/>
        <v>1</v>
      </c>
      <c r="AT41" s="798">
        <f t="shared" si="37"/>
        <v>1</v>
      </c>
      <c r="AU41" s="798">
        <f t="shared" si="37"/>
        <v>1</v>
      </c>
      <c r="AV41" s="798">
        <f t="shared" si="37"/>
        <v>1</v>
      </c>
      <c r="AW41" s="798">
        <f t="shared" si="37"/>
        <v>1</v>
      </c>
      <c r="AX41" s="798">
        <f t="shared" si="37"/>
        <v>1</v>
      </c>
      <c r="AY41" s="798">
        <f t="shared" si="37"/>
        <v>1</v>
      </c>
      <c r="AZ41" s="798">
        <f t="shared" si="37"/>
        <v>1</v>
      </c>
      <c r="BA41" s="798">
        <f t="shared" si="37"/>
        <v>1</v>
      </c>
      <c r="BB41" s="798">
        <f t="shared" si="37"/>
        <v>1</v>
      </c>
      <c r="BC41" s="798">
        <f t="shared" si="37"/>
        <v>1</v>
      </c>
      <c r="BD41" s="798">
        <f t="shared" si="37"/>
        <v>1</v>
      </c>
      <c r="BE41" s="798">
        <f t="shared" si="37"/>
        <v>1</v>
      </c>
      <c r="BF41" s="798">
        <f t="shared" si="37"/>
        <v>1</v>
      </c>
      <c r="BG41" s="798">
        <f t="shared" si="37"/>
        <v>1</v>
      </c>
      <c r="BH41" s="798">
        <f t="shared" si="37"/>
        <v>1</v>
      </c>
      <c r="BI41" s="798">
        <f t="shared" si="37"/>
        <v>1</v>
      </c>
      <c r="BJ41" s="798">
        <f t="shared" si="37"/>
        <v>1</v>
      </c>
      <c r="BK41" s="798">
        <f t="shared" si="37"/>
        <v>1</v>
      </c>
      <c r="BL41" s="765"/>
      <c r="BM41" s="816"/>
      <c r="BN41" s="816"/>
    </row>
    <row r="42" hidden="1">
      <c r="A42" s="814"/>
      <c r="B42" s="814"/>
      <c r="C42" s="814"/>
      <c r="D42" s="814"/>
      <c r="E42" s="815"/>
      <c r="F42" s="815"/>
      <c r="G42" s="815"/>
      <c r="H42" s="814"/>
      <c r="I42" s="765">
        <f t="shared" si="17"/>
        <v>31</v>
      </c>
      <c r="J42" s="763">
        <f t="shared" si="5"/>
        <v>684371469.2</v>
      </c>
      <c r="K42" s="796">
        <f t="shared" si="7"/>
        <v>0.24929</v>
      </c>
      <c r="L42" s="796">
        <v>5.0E-4</v>
      </c>
      <c r="M42" s="763">
        <v>7.80355153E8</v>
      </c>
      <c r="N42" s="797">
        <f t="shared" si="8"/>
        <v>0</v>
      </c>
      <c r="O42" s="798">
        <f t="shared" ref="O42:BK42" si="38">FLOOR(MIN((((N("value of ELS upgrade")+N$8*($K42-$K41))*(N("Check checkbox")+(IF($G$6=TRUE,$G$7,$G$8))/$G$8))/(N("ROI of ELS and multiply by 2 if ELS is 1:1")+IF($G$12 = True, 2, 1) * $J42))/((N("difference in ELS+ and the cost of it")+(($K41*O$8)-($K41*N$8)) / O$7)),(N("MIN lets it return 0 or 1 after floored")+1)),1)</f>
        <v>0</v>
      </c>
      <c r="P42" s="798">
        <f t="shared" si="38"/>
        <v>1</v>
      </c>
      <c r="Q42" s="798">
        <f t="shared" si="38"/>
        <v>1</v>
      </c>
      <c r="R42" s="798">
        <f t="shared" si="38"/>
        <v>1</v>
      </c>
      <c r="S42" s="798">
        <f t="shared" si="38"/>
        <v>1</v>
      </c>
      <c r="T42" s="798">
        <f t="shared" si="38"/>
        <v>1</v>
      </c>
      <c r="U42" s="798">
        <f t="shared" si="38"/>
        <v>1</v>
      </c>
      <c r="V42" s="798">
        <f t="shared" si="38"/>
        <v>1</v>
      </c>
      <c r="W42" s="798">
        <f t="shared" si="38"/>
        <v>1</v>
      </c>
      <c r="X42" s="798">
        <f t="shared" si="38"/>
        <v>1</v>
      </c>
      <c r="Y42" s="798">
        <f t="shared" si="38"/>
        <v>1</v>
      </c>
      <c r="Z42" s="798">
        <f t="shared" si="38"/>
        <v>1</v>
      </c>
      <c r="AA42" s="798">
        <f t="shared" si="38"/>
        <v>1</v>
      </c>
      <c r="AB42" s="798">
        <f t="shared" si="38"/>
        <v>1</v>
      </c>
      <c r="AC42" s="798">
        <f t="shared" si="38"/>
        <v>1</v>
      </c>
      <c r="AD42" s="798">
        <f t="shared" si="38"/>
        <v>1</v>
      </c>
      <c r="AE42" s="798">
        <f t="shared" si="38"/>
        <v>1</v>
      </c>
      <c r="AF42" s="798">
        <f t="shared" si="38"/>
        <v>1</v>
      </c>
      <c r="AG42" s="798">
        <f t="shared" si="38"/>
        <v>1</v>
      </c>
      <c r="AH42" s="798">
        <f t="shared" si="38"/>
        <v>1</v>
      </c>
      <c r="AI42" s="798">
        <f t="shared" si="38"/>
        <v>1</v>
      </c>
      <c r="AJ42" s="798">
        <f t="shared" si="38"/>
        <v>1</v>
      </c>
      <c r="AK42" s="798">
        <f t="shared" si="38"/>
        <v>1</v>
      </c>
      <c r="AL42" s="798">
        <f t="shared" si="38"/>
        <v>1</v>
      </c>
      <c r="AM42" s="798">
        <f t="shared" si="38"/>
        <v>1</v>
      </c>
      <c r="AN42" s="798">
        <f t="shared" si="38"/>
        <v>1</v>
      </c>
      <c r="AO42" s="798">
        <f t="shared" si="38"/>
        <v>1</v>
      </c>
      <c r="AP42" s="798">
        <f t="shared" si="38"/>
        <v>1</v>
      </c>
      <c r="AQ42" s="798">
        <f t="shared" si="38"/>
        <v>1</v>
      </c>
      <c r="AR42" s="798">
        <f t="shared" si="38"/>
        <v>1</v>
      </c>
      <c r="AS42" s="798">
        <f t="shared" si="38"/>
        <v>1</v>
      </c>
      <c r="AT42" s="798">
        <f t="shared" si="38"/>
        <v>1</v>
      </c>
      <c r="AU42" s="798">
        <f t="shared" si="38"/>
        <v>1</v>
      </c>
      <c r="AV42" s="798">
        <f t="shared" si="38"/>
        <v>1</v>
      </c>
      <c r="AW42" s="798">
        <f t="shared" si="38"/>
        <v>1</v>
      </c>
      <c r="AX42" s="798">
        <f t="shared" si="38"/>
        <v>1</v>
      </c>
      <c r="AY42" s="798">
        <f t="shared" si="38"/>
        <v>1</v>
      </c>
      <c r="AZ42" s="798">
        <f t="shared" si="38"/>
        <v>1</v>
      </c>
      <c r="BA42" s="798">
        <f t="shared" si="38"/>
        <v>1</v>
      </c>
      <c r="BB42" s="798">
        <f t="shared" si="38"/>
        <v>1</v>
      </c>
      <c r="BC42" s="798">
        <f t="shared" si="38"/>
        <v>1</v>
      </c>
      <c r="BD42" s="798">
        <f t="shared" si="38"/>
        <v>1</v>
      </c>
      <c r="BE42" s="798">
        <f t="shared" si="38"/>
        <v>1</v>
      </c>
      <c r="BF42" s="798">
        <f t="shared" si="38"/>
        <v>1</v>
      </c>
      <c r="BG42" s="798">
        <f t="shared" si="38"/>
        <v>1</v>
      </c>
      <c r="BH42" s="798">
        <f t="shared" si="38"/>
        <v>1</v>
      </c>
      <c r="BI42" s="798">
        <f t="shared" si="38"/>
        <v>1</v>
      </c>
      <c r="BJ42" s="798">
        <f t="shared" si="38"/>
        <v>1</v>
      </c>
      <c r="BK42" s="798">
        <f t="shared" si="38"/>
        <v>1</v>
      </c>
      <c r="BL42" s="765"/>
      <c r="BM42" s="816"/>
      <c r="BN42" s="816"/>
    </row>
    <row r="43" hidden="1">
      <c r="A43" s="814"/>
      <c r="B43" s="814"/>
      <c r="C43" s="814"/>
      <c r="D43" s="814"/>
      <c r="E43" s="814"/>
      <c r="F43" s="814"/>
      <c r="G43" s="814"/>
      <c r="H43" s="814"/>
      <c r="I43" s="765">
        <f t="shared" si="17"/>
        <v>32</v>
      </c>
      <c r="J43" s="763">
        <f t="shared" si="5"/>
        <v>698439633.2</v>
      </c>
      <c r="K43" s="796">
        <f t="shared" si="7"/>
        <v>0.24979</v>
      </c>
      <c r="L43" s="796">
        <v>5.0E-4</v>
      </c>
      <c r="M43" s="763">
        <v>7.96396389E8</v>
      </c>
      <c r="N43" s="797">
        <f t="shared" si="8"/>
        <v>0</v>
      </c>
      <c r="O43" s="798">
        <f t="shared" ref="O43:BK43" si="39">FLOOR(MIN((((N("value of ELS upgrade")+N$8*($K43-$K42))*(N("Check checkbox")+(IF($G$6=TRUE,$G$7,$G$8))/$G$8))/(N("ROI of ELS and multiply by 2 if ELS is 1:1")+IF($G$12 = True, 2, 1) * $J43))/((N("difference in ELS+ and the cost of it")+(($K42*O$8)-($K42*N$8)) / O$7)),(N("MIN lets it return 0 or 1 after floored")+1)),1)</f>
        <v>0</v>
      </c>
      <c r="P43" s="798">
        <f t="shared" si="39"/>
        <v>1</v>
      </c>
      <c r="Q43" s="798">
        <f t="shared" si="39"/>
        <v>1</v>
      </c>
      <c r="R43" s="798">
        <f t="shared" si="39"/>
        <v>1</v>
      </c>
      <c r="S43" s="798">
        <f t="shared" si="39"/>
        <v>1</v>
      </c>
      <c r="T43" s="798">
        <f t="shared" si="39"/>
        <v>1</v>
      </c>
      <c r="U43" s="798">
        <f t="shared" si="39"/>
        <v>1</v>
      </c>
      <c r="V43" s="798">
        <f t="shared" si="39"/>
        <v>1</v>
      </c>
      <c r="W43" s="798">
        <f t="shared" si="39"/>
        <v>1</v>
      </c>
      <c r="X43" s="798">
        <f t="shared" si="39"/>
        <v>1</v>
      </c>
      <c r="Y43" s="798">
        <f t="shared" si="39"/>
        <v>1</v>
      </c>
      <c r="Z43" s="798">
        <f t="shared" si="39"/>
        <v>1</v>
      </c>
      <c r="AA43" s="798">
        <f t="shared" si="39"/>
        <v>1</v>
      </c>
      <c r="AB43" s="798">
        <f t="shared" si="39"/>
        <v>1</v>
      </c>
      <c r="AC43" s="798">
        <f t="shared" si="39"/>
        <v>1</v>
      </c>
      <c r="AD43" s="798">
        <f t="shared" si="39"/>
        <v>1</v>
      </c>
      <c r="AE43" s="798">
        <f t="shared" si="39"/>
        <v>1</v>
      </c>
      <c r="AF43" s="798">
        <f t="shared" si="39"/>
        <v>1</v>
      </c>
      <c r="AG43" s="798">
        <f t="shared" si="39"/>
        <v>1</v>
      </c>
      <c r="AH43" s="798">
        <f t="shared" si="39"/>
        <v>1</v>
      </c>
      <c r="AI43" s="798">
        <f t="shared" si="39"/>
        <v>1</v>
      </c>
      <c r="AJ43" s="798">
        <f t="shared" si="39"/>
        <v>1</v>
      </c>
      <c r="AK43" s="798">
        <f t="shared" si="39"/>
        <v>1</v>
      </c>
      <c r="AL43" s="798">
        <f t="shared" si="39"/>
        <v>1</v>
      </c>
      <c r="AM43" s="798">
        <f t="shared" si="39"/>
        <v>1</v>
      </c>
      <c r="AN43" s="798">
        <f t="shared" si="39"/>
        <v>1</v>
      </c>
      <c r="AO43" s="798">
        <f t="shared" si="39"/>
        <v>1</v>
      </c>
      <c r="AP43" s="798">
        <f t="shared" si="39"/>
        <v>1</v>
      </c>
      <c r="AQ43" s="798">
        <f t="shared" si="39"/>
        <v>1</v>
      </c>
      <c r="AR43" s="798">
        <f t="shared" si="39"/>
        <v>1</v>
      </c>
      <c r="AS43" s="798">
        <f t="shared" si="39"/>
        <v>1</v>
      </c>
      <c r="AT43" s="798">
        <f t="shared" si="39"/>
        <v>1</v>
      </c>
      <c r="AU43" s="798">
        <f t="shared" si="39"/>
        <v>1</v>
      </c>
      <c r="AV43" s="798">
        <f t="shared" si="39"/>
        <v>1</v>
      </c>
      <c r="AW43" s="798">
        <f t="shared" si="39"/>
        <v>1</v>
      </c>
      <c r="AX43" s="798">
        <f t="shared" si="39"/>
        <v>1</v>
      </c>
      <c r="AY43" s="798">
        <f t="shared" si="39"/>
        <v>1</v>
      </c>
      <c r="AZ43" s="798">
        <f t="shared" si="39"/>
        <v>1</v>
      </c>
      <c r="BA43" s="798">
        <f t="shared" si="39"/>
        <v>1</v>
      </c>
      <c r="BB43" s="798">
        <f t="shared" si="39"/>
        <v>1</v>
      </c>
      <c r="BC43" s="798">
        <f t="shared" si="39"/>
        <v>1</v>
      </c>
      <c r="BD43" s="798">
        <f t="shared" si="39"/>
        <v>1</v>
      </c>
      <c r="BE43" s="798">
        <f t="shared" si="39"/>
        <v>1</v>
      </c>
      <c r="BF43" s="798">
        <f t="shared" si="39"/>
        <v>1</v>
      </c>
      <c r="BG43" s="798">
        <f t="shared" si="39"/>
        <v>1</v>
      </c>
      <c r="BH43" s="798">
        <f t="shared" si="39"/>
        <v>1</v>
      </c>
      <c r="BI43" s="798">
        <f t="shared" si="39"/>
        <v>1</v>
      </c>
      <c r="BJ43" s="798">
        <f t="shared" si="39"/>
        <v>1</v>
      </c>
      <c r="BK43" s="798">
        <f t="shared" si="39"/>
        <v>1</v>
      </c>
      <c r="BL43" s="765"/>
      <c r="BM43" s="816"/>
      <c r="BN43" s="816"/>
    </row>
    <row r="44" hidden="1">
      <c r="A44" s="814"/>
      <c r="B44" s="814"/>
      <c r="C44" s="814"/>
      <c r="D44" s="814"/>
      <c r="E44" s="814"/>
      <c r="F44" s="814"/>
      <c r="G44" s="814"/>
      <c r="H44" s="814"/>
      <c r="I44" s="765">
        <f t="shared" si="17"/>
        <v>33</v>
      </c>
      <c r="J44" s="763">
        <f t="shared" si="5"/>
        <v>712510644.7</v>
      </c>
      <c r="K44" s="796">
        <f t="shared" si="7"/>
        <v>0.25029</v>
      </c>
      <c r="L44" s="796">
        <v>5.0E-4</v>
      </c>
      <c r="M44" s="763">
        <v>8.12440872E8</v>
      </c>
      <c r="N44" s="797">
        <f t="shared" si="8"/>
        <v>0</v>
      </c>
      <c r="O44" s="798">
        <f t="shared" ref="O44:BK44" si="40">FLOOR(MIN((((N("value of ELS upgrade")+N$8*($K44-$K43))*(N("Check checkbox")+(IF($G$6=TRUE,$G$7,$G$8))/$G$8))/(N("ROI of ELS and multiply by 2 if ELS is 1:1")+IF($G$12 = True, 2, 1) * $J44))/((N("difference in ELS+ and the cost of it")+(($K43*O$8)-($K43*N$8)) / O$7)),(N("MIN lets it return 0 or 1 after floored")+1)),1)</f>
        <v>0</v>
      </c>
      <c r="P44" s="798">
        <f t="shared" si="40"/>
        <v>1</v>
      </c>
      <c r="Q44" s="798">
        <f t="shared" si="40"/>
        <v>1</v>
      </c>
      <c r="R44" s="798">
        <f t="shared" si="40"/>
        <v>1</v>
      </c>
      <c r="S44" s="798">
        <f t="shared" si="40"/>
        <v>1</v>
      </c>
      <c r="T44" s="798">
        <f t="shared" si="40"/>
        <v>1</v>
      </c>
      <c r="U44" s="798">
        <f t="shared" si="40"/>
        <v>1</v>
      </c>
      <c r="V44" s="798">
        <f t="shared" si="40"/>
        <v>1</v>
      </c>
      <c r="W44" s="798">
        <f t="shared" si="40"/>
        <v>1</v>
      </c>
      <c r="X44" s="798">
        <f t="shared" si="40"/>
        <v>1</v>
      </c>
      <c r="Y44" s="798">
        <f t="shared" si="40"/>
        <v>1</v>
      </c>
      <c r="Z44" s="798">
        <f t="shared" si="40"/>
        <v>1</v>
      </c>
      <c r="AA44" s="798">
        <f t="shared" si="40"/>
        <v>1</v>
      </c>
      <c r="AB44" s="798">
        <f t="shared" si="40"/>
        <v>1</v>
      </c>
      <c r="AC44" s="798">
        <f t="shared" si="40"/>
        <v>1</v>
      </c>
      <c r="AD44" s="798">
        <f t="shared" si="40"/>
        <v>1</v>
      </c>
      <c r="AE44" s="798">
        <f t="shared" si="40"/>
        <v>1</v>
      </c>
      <c r="AF44" s="798">
        <f t="shared" si="40"/>
        <v>1</v>
      </c>
      <c r="AG44" s="798">
        <f t="shared" si="40"/>
        <v>1</v>
      </c>
      <c r="AH44" s="798">
        <f t="shared" si="40"/>
        <v>1</v>
      </c>
      <c r="AI44" s="798">
        <f t="shared" si="40"/>
        <v>1</v>
      </c>
      <c r="AJ44" s="798">
        <f t="shared" si="40"/>
        <v>1</v>
      </c>
      <c r="AK44" s="798">
        <f t="shared" si="40"/>
        <v>1</v>
      </c>
      <c r="AL44" s="798">
        <f t="shared" si="40"/>
        <v>1</v>
      </c>
      <c r="AM44" s="798">
        <f t="shared" si="40"/>
        <v>1</v>
      </c>
      <c r="AN44" s="798">
        <f t="shared" si="40"/>
        <v>1</v>
      </c>
      <c r="AO44" s="798">
        <f t="shared" si="40"/>
        <v>1</v>
      </c>
      <c r="AP44" s="798">
        <f t="shared" si="40"/>
        <v>1</v>
      </c>
      <c r="AQ44" s="798">
        <f t="shared" si="40"/>
        <v>1</v>
      </c>
      <c r="AR44" s="798">
        <f t="shared" si="40"/>
        <v>1</v>
      </c>
      <c r="AS44" s="798">
        <f t="shared" si="40"/>
        <v>1</v>
      </c>
      <c r="AT44" s="798">
        <f t="shared" si="40"/>
        <v>1</v>
      </c>
      <c r="AU44" s="798">
        <f t="shared" si="40"/>
        <v>1</v>
      </c>
      <c r="AV44" s="798">
        <f t="shared" si="40"/>
        <v>1</v>
      </c>
      <c r="AW44" s="798">
        <f t="shared" si="40"/>
        <v>1</v>
      </c>
      <c r="AX44" s="798">
        <f t="shared" si="40"/>
        <v>1</v>
      </c>
      <c r="AY44" s="798">
        <f t="shared" si="40"/>
        <v>1</v>
      </c>
      <c r="AZ44" s="798">
        <f t="shared" si="40"/>
        <v>1</v>
      </c>
      <c r="BA44" s="798">
        <f t="shared" si="40"/>
        <v>1</v>
      </c>
      <c r="BB44" s="798">
        <f t="shared" si="40"/>
        <v>1</v>
      </c>
      <c r="BC44" s="798">
        <f t="shared" si="40"/>
        <v>1</v>
      </c>
      <c r="BD44" s="798">
        <f t="shared" si="40"/>
        <v>1</v>
      </c>
      <c r="BE44" s="798">
        <f t="shared" si="40"/>
        <v>1</v>
      </c>
      <c r="BF44" s="798">
        <f t="shared" si="40"/>
        <v>1</v>
      </c>
      <c r="BG44" s="798">
        <f t="shared" si="40"/>
        <v>1</v>
      </c>
      <c r="BH44" s="798">
        <f t="shared" si="40"/>
        <v>1</v>
      </c>
      <c r="BI44" s="798">
        <f t="shared" si="40"/>
        <v>1</v>
      </c>
      <c r="BJ44" s="798">
        <f t="shared" si="40"/>
        <v>1</v>
      </c>
      <c r="BK44" s="798">
        <f t="shared" si="40"/>
        <v>1</v>
      </c>
      <c r="BL44" s="765"/>
      <c r="BM44" s="816"/>
      <c r="BN44" s="816"/>
    </row>
    <row r="45" hidden="1">
      <c r="A45" s="814"/>
      <c r="B45" s="814"/>
      <c r="C45" s="814"/>
      <c r="D45" s="814"/>
      <c r="E45" s="814"/>
      <c r="F45" s="814"/>
      <c r="G45" s="814"/>
      <c r="H45" s="814"/>
      <c r="I45" s="765">
        <f t="shared" si="17"/>
        <v>34</v>
      </c>
      <c r="J45" s="763">
        <f t="shared" si="5"/>
        <v>726584628.5</v>
      </c>
      <c r="K45" s="796">
        <f t="shared" si="7"/>
        <v>0.25079</v>
      </c>
      <c r="L45" s="796">
        <v>5.0E-4</v>
      </c>
      <c r="M45" s="763">
        <v>8.28488744E8</v>
      </c>
      <c r="N45" s="797">
        <f t="shared" si="8"/>
        <v>0</v>
      </c>
      <c r="O45" s="798">
        <f t="shared" ref="O45:BK45" si="41">FLOOR(MIN((((N("value of ELS upgrade")+N$8*($K45-$K44))*(N("Check checkbox")+(IF($G$6=TRUE,$G$7,$G$8))/$G$8))/(N("ROI of ELS and multiply by 2 if ELS is 1:1")+IF($G$12 = True, 2, 1) * $J45))/((N("difference in ELS+ and the cost of it")+(($K44*O$8)-($K44*N$8)) / O$7)),(N("MIN lets it return 0 or 1 after floored")+1)),1)</f>
        <v>0</v>
      </c>
      <c r="P45" s="798">
        <f t="shared" si="41"/>
        <v>1</v>
      </c>
      <c r="Q45" s="798">
        <f t="shared" si="41"/>
        <v>1</v>
      </c>
      <c r="R45" s="798">
        <f t="shared" si="41"/>
        <v>1</v>
      </c>
      <c r="S45" s="798">
        <f t="shared" si="41"/>
        <v>1</v>
      </c>
      <c r="T45" s="798">
        <f t="shared" si="41"/>
        <v>1</v>
      </c>
      <c r="U45" s="798">
        <f t="shared" si="41"/>
        <v>1</v>
      </c>
      <c r="V45" s="798">
        <f t="shared" si="41"/>
        <v>1</v>
      </c>
      <c r="W45" s="798">
        <f t="shared" si="41"/>
        <v>1</v>
      </c>
      <c r="X45" s="798">
        <f t="shared" si="41"/>
        <v>1</v>
      </c>
      <c r="Y45" s="798">
        <f t="shared" si="41"/>
        <v>1</v>
      </c>
      <c r="Z45" s="798">
        <f t="shared" si="41"/>
        <v>1</v>
      </c>
      <c r="AA45" s="798">
        <f t="shared" si="41"/>
        <v>1</v>
      </c>
      <c r="AB45" s="798">
        <f t="shared" si="41"/>
        <v>1</v>
      </c>
      <c r="AC45" s="798">
        <f t="shared" si="41"/>
        <v>1</v>
      </c>
      <c r="AD45" s="798">
        <f t="shared" si="41"/>
        <v>1</v>
      </c>
      <c r="AE45" s="798">
        <f t="shared" si="41"/>
        <v>1</v>
      </c>
      <c r="AF45" s="798">
        <f t="shared" si="41"/>
        <v>1</v>
      </c>
      <c r="AG45" s="798">
        <f t="shared" si="41"/>
        <v>1</v>
      </c>
      <c r="AH45" s="798">
        <f t="shared" si="41"/>
        <v>1</v>
      </c>
      <c r="AI45" s="798">
        <f t="shared" si="41"/>
        <v>1</v>
      </c>
      <c r="AJ45" s="798">
        <f t="shared" si="41"/>
        <v>1</v>
      </c>
      <c r="AK45" s="798">
        <f t="shared" si="41"/>
        <v>1</v>
      </c>
      <c r="AL45" s="798">
        <f t="shared" si="41"/>
        <v>1</v>
      </c>
      <c r="AM45" s="798">
        <f t="shared" si="41"/>
        <v>1</v>
      </c>
      <c r="AN45" s="798">
        <f t="shared" si="41"/>
        <v>1</v>
      </c>
      <c r="AO45" s="798">
        <f t="shared" si="41"/>
        <v>1</v>
      </c>
      <c r="AP45" s="798">
        <f t="shared" si="41"/>
        <v>1</v>
      </c>
      <c r="AQ45" s="798">
        <f t="shared" si="41"/>
        <v>1</v>
      </c>
      <c r="AR45" s="798">
        <f t="shared" si="41"/>
        <v>1</v>
      </c>
      <c r="AS45" s="798">
        <f t="shared" si="41"/>
        <v>1</v>
      </c>
      <c r="AT45" s="798">
        <f t="shared" si="41"/>
        <v>1</v>
      </c>
      <c r="AU45" s="798">
        <f t="shared" si="41"/>
        <v>1</v>
      </c>
      <c r="AV45" s="798">
        <f t="shared" si="41"/>
        <v>1</v>
      </c>
      <c r="AW45" s="798">
        <f t="shared" si="41"/>
        <v>1</v>
      </c>
      <c r="AX45" s="798">
        <f t="shared" si="41"/>
        <v>1</v>
      </c>
      <c r="AY45" s="798">
        <f t="shared" si="41"/>
        <v>1</v>
      </c>
      <c r="AZ45" s="798">
        <f t="shared" si="41"/>
        <v>1</v>
      </c>
      <c r="BA45" s="798">
        <f t="shared" si="41"/>
        <v>1</v>
      </c>
      <c r="BB45" s="798">
        <f t="shared" si="41"/>
        <v>1</v>
      </c>
      <c r="BC45" s="798">
        <f t="shared" si="41"/>
        <v>1</v>
      </c>
      <c r="BD45" s="798">
        <f t="shared" si="41"/>
        <v>1</v>
      </c>
      <c r="BE45" s="798">
        <f t="shared" si="41"/>
        <v>1</v>
      </c>
      <c r="BF45" s="798">
        <f t="shared" si="41"/>
        <v>1</v>
      </c>
      <c r="BG45" s="798">
        <f t="shared" si="41"/>
        <v>1</v>
      </c>
      <c r="BH45" s="798">
        <f t="shared" si="41"/>
        <v>1</v>
      </c>
      <c r="BI45" s="798">
        <f t="shared" si="41"/>
        <v>1</v>
      </c>
      <c r="BJ45" s="798">
        <f t="shared" si="41"/>
        <v>1</v>
      </c>
      <c r="BK45" s="798">
        <f t="shared" si="41"/>
        <v>1</v>
      </c>
      <c r="BL45" s="765"/>
      <c r="BM45" s="816"/>
      <c r="BN45" s="816"/>
    </row>
    <row r="46" hidden="1">
      <c r="A46" s="814"/>
      <c r="B46" s="814"/>
      <c r="C46" s="814"/>
      <c r="D46" s="814"/>
      <c r="E46" s="814"/>
      <c r="F46" s="814"/>
      <c r="G46" s="814"/>
      <c r="H46" s="814"/>
      <c r="I46" s="765">
        <f t="shared" si="17"/>
        <v>35</v>
      </c>
      <c r="J46" s="763">
        <f t="shared" si="5"/>
        <v>740661711.6</v>
      </c>
      <c r="K46" s="796">
        <f t="shared" si="7"/>
        <v>0.25129</v>
      </c>
      <c r="L46" s="796">
        <v>5.0E-4</v>
      </c>
      <c r="M46" s="763">
        <v>8.4454015E8</v>
      </c>
      <c r="N46" s="797">
        <f t="shared" si="8"/>
        <v>0</v>
      </c>
      <c r="O46" s="798">
        <f t="shared" ref="O46:BK46" si="42">FLOOR(MIN((((N("value of ELS upgrade")+N$8*($K46-$K45))*(N("Check checkbox")+(IF($G$6=TRUE,$G$7,$G$8))/$G$8))/(N("ROI of ELS and multiply by 2 if ELS is 1:1")+IF($G$12 = True, 2, 1) * $J46))/((N("difference in ELS+ and the cost of it")+(($K45*O$8)-($K45*N$8)) / O$7)),(N("MIN lets it return 0 or 1 after floored")+1)),1)</f>
        <v>0</v>
      </c>
      <c r="P46" s="798">
        <f t="shared" si="42"/>
        <v>1</v>
      </c>
      <c r="Q46" s="798">
        <f t="shared" si="42"/>
        <v>1</v>
      </c>
      <c r="R46" s="798">
        <f t="shared" si="42"/>
        <v>1</v>
      </c>
      <c r="S46" s="798">
        <f t="shared" si="42"/>
        <v>1</v>
      </c>
      <c r="T46" s="798">
        <f t="shared" si="42"/>
        <v>1</v>
      </c>
      <c r="U46" s="798">
        <f t="shared" si="42"/>
        <v>1</v>
      </c>
      <c r="V46" s="798">
        <f t="shared" si="42"/>
        <v>1</v>
      </c>
      <c r="W46" s="798">
        <f t="shared" si="42"/>
        <v>1</v>
      </c>
      <c r="X46" s="798">
        <f t="shared" si="42"/>
        <v>1</v>
      </c>
      <c r="Y46" s="798">
        <f t="shared" si="42"/>
        <v>1</v>
      </c>
      <c r="Z46" s="798">
        <f t="shared" si="42"/>
        <v>1</v>
      </c>
      <c r="AA46" s="798">
        <f t="shared" si="42"/>
        <v>1</v>
      </c>
      <c r="AB46" s="798">
        <f t="shared" si="42"/>
        <v>1</v>
      </c>
      <c r="AC46" s="798">
        <f t="shared" si="42"/>
        <v>1</v>
      </c>
      <c r="AD46" s="798">
        <f t="shared" si="42"/>
        <v>1</v>
      </c>
      <c r="AE46" s="798">
        <f t="shared" si="42"/>
        <v>1</v>
      </c>
      <c r="AF46" s="798">
        <f t="shared" si="42"/>
        <v>1</v>
      </c>
      <c r="AG46" s="798">
        <f t="shared" si="42"/>
        <v>1</v>
      </c>
      <c r="AH46" s="798">
        <f t="shared" si="42"/>
        <v>1</v>
      </c>
      <c r="AI46" s="798">
        <f t="shared" si="42"/>
        <v>1</v>
      </c>
      <c r="AJ46" s="798">
        <f t="shared" si="42"/>
        <v>1</v>
      </c>
      <c r="AK46" s="798">
        <f t="shared" si="42"/>
        <v>1</v>
      </c>
      <c r="AL46" s="798">
        <f t="shared" si="42"/>
        <v>1</v>
      </c>
      <c r="AM46" s="798">
        <f t="shared" si="42"/>
        <v>1</v>
      </c>
      <c r="AN46" s="798">
        <f t="shared" si="42"/>
        <v>1</v>
      </c>
      <c r="AO46" s="798">
        <f t="shared" si="42"/>
        <v>1</v>
      </c>
      <c r="AP46" s="798">
        <f t="shared" si="42"/>
        <v>1</v>
      </c>
      <c r="AQ46" s="798">
        <f t="shared" si="42"/>
        <v>1</v>
      </c>
      <c r="AR46" s="798">
        <f t="shared" si="42"/>
        <v>1</v>
      </c>
      <c r="AS46" s="798">
        <f t="shared" si="42"/>
        <v>1</v>
      </c>
      <c r="AT46" s="798">
        <f t="shared" si="42"/>
        <v>1</v>
      </c>
      <c r="AU46" s="798">
        <f t="shared" si="42"/>
        <v>1</v>
      </c>
      <c r="AV46" s="798">
        <f t="shared" si="42"/>
        <v>1</v>
      </c>
      <c r="AW46" s="798">
        <f t="shared" si="42"/>
        <v>1</v>
      </c>
      <c r="AX46" s="798">
        <f t="shared" si="42"/>
        <v>1</v>
      </c>
      <c r="AY46" s="798">
        <f t="shared" si="42"/>
        <v>1</v>
      </c>
      <c r="AZ46" s="798">
        <f t="shared" si="42"/>
        <v>1</v>
      </c>
      <c r="BA46" s="798">
        <f t="shared" si="42"/>
        <v>1</v>
      </c>
      <c r="BB46" s="798">
        <f t="shared" si="42"/>
        <v>1</v>
      </c>
      <c r="BC46" s="798">
        <f t="shared" si="42"/>
        <v>1</v>
      </c>
      <c r="BD46" s="798">
        <f t="shared" si="42"/>
        <v>1</v>
      </c>
      <c r="BE46" s="798">
        <f t="shared" si="42"/>
        <v>1</v>
      </c>
      <c r="BF46" s="798">
        <f t="shared" si="42"/>
        <v>1</v>
      </c>
      <c r="BG46" s="798">
        <f t="shared" si="42"/>
        <v>1</v>
      </c>
      <c r="BH46" s="798">
        <f t="shared" si="42"/>
        <v>1</v>
      </c>
      <c r="BI46" s="798">
        <f t="shared" si="42"/>
        <v>1</v>
      </c>
      <c r="BJ46" s="798">
        <f t="shared" si="42"/>
        <v>1</v>
      </c>
      <c r="BK46" s="798">
        <f t="shared" si="42"/>
        <v>1</v>
      </c>
      <c r="BL46" s="765"/>
      <c r="BM46" s="816"/>
      <c r="BN46" s="816"/>
    </row>
    <row r="47" hidden="1">
      <c r="A47" s="814"/>
      <c r="B47" s="814"/>
      <c r="C47" s="814"/>
      <c r="D47" s="814"/>
      <c r="E47" s="814"/>
      <c r="F47" s="814"/>
      <c r="G47" s="814"/>
      <c r="H47" s="814"/>
      <c r="I47" s="765">
        <f t="shared" si="17"/>
        <v>36</v>
      </c>
      <c r="J47" s="763">
        <f t="shared" si="5"/>
        <v>754742020.2</v>
      </c>
      <c r="K47" s="796">
        <f t="shared" si="7"/>
        <v>0.25179</v>
      </c>
      <c r="L47" s="796">
        <v>5.0E-4</v>
      </c>
      <c r="M47" s="763">
        <v>8.60595234E8</v>
      </c>
      <c r="N47" s="797">
        <f t="shared" si="8"/>
        <v>0</v>
      </c>
      <c r="O47" s="798">
        <f t="shared" ref="O47:BK47" si="43">FLOOR(MIN((((N("value of ELS upgrade")+N$8*($K47-$K46))*(N("Check checkbox")+(IF($G$6=TRUE,$G$7,$G$8))/$G$8))/(N("ROI of ELS and multiply by 2 if ELS is 1:1")+IF($G$12 = True, 2, 1) * $J47))/((N("difference in ELS+ and the cost of it")+(($K46*O$8)-($K46*N$8)) / O$7)),(N("MIN lets it return 0 or 1 after floored")+1)),1)</f>
        <v>0</v>
      </c>
      <c r="P47" s="798">
        <f t="shared" si="43"/>
        <v>1</v>
      </c>
      <c r="Q47" s="798">
        <f t="shared" si="43"/>
        <v>1</v>
      </c>
      <c r="R47" s="798">
        <f t="shared" si="43"/>
        <v>1</v>
      </c>
      <c r="S47" s="798">
        <f t="shared" si="43"/>
        <v>1</v>
      </c>
      <c r="T47" s="798">
        <f t="shared" si="43"/>
        <v>1</v>
      </c>
      <c r="U47" s="798">
        <f t="shared" si="43"/>
        <v>1</v>
      </c>
      <c r="V47" s="798">
        <f t="shared" si="43"/>
        <v>1</v>
      </c>
      <c r="W47" s="798">
        <f t="shared" si="43"/>
        <v>1</v>
      </c>
      <c r="X47" s="798">
        <f t="shared" si="43"/>
        <v>1</v>
      </c>
      <c r="Y47" s="798">
        <f t="shared" si="43"/>
        <v>1</v>
      </c>
      <c r="Z47" s="798">
        <f t="shared" si="43"/>
        <v>1</v>
      </c>
      <c r="AA47" s="798">
        <f t="shared" si="43"/>
        <v>1</v>
      </c>
      <c r="AB47" s="798">
        <f t="shared" si="43"/>
        <v>1</v>
      </c>
      <c r="AC47" s="798">
        <f t="shared" si="43"/>
        <v>1</v>
      </c>
      <c r="AD47" s="798">
        <f t="shared" si="43"/>
        <v>1</v>
      </c>
      <c r="AE47" s="798">
        <f t="shared" si="43"/>
        <v>1</v>
      </c>
      <c r="AF47" s="798">
        <f t="shared" si="43"/>
        <v>1</v>
      </c>
      <c r="AG47" s="798">
        <f t="shared" si="43"/>
        <v>1</v>
      </c>
      <c r="AH47" s="798">
        <f t="shared" si="43"/>
        <v>1</v>
      </c>
      <c r="AI47" s="798">
        <f t="shared" si="43"/>
        <v>1</v>
      </c>
      <c r="AJ47" s="798">
        <f t="shared" si="43"/>
        <v>1</v>
      </c>
      <c r="AK47" s="798">
        <f t="shared" si="43"/>
        <v>1</v>
      </c>
      <c r="AL47" s="798">
        <f t="shared" si="43"/>
        <v>1</v>
      </c>
      <c r="AM47" s="798">
        <f t="shared" si="43"/>
        <v>1</v>
      </c>
      <c r="AN47" s="798">
        <f t="shared" si="43"/>
        <v>1</v>
      </c>
      <c r="AO47" s="798">
        <f t="shared" si="43"/>
        <v>1</v>
      </c>
      <c r="AP47" s="798">
        <f t="shared" si="43"/>
        <v>1</v>
      </c>
      <c r="AQ47" s="798">
        <f t="shared" si="43"/>
        <v>1</v>
      </c>
      <c r="AR47" s="798">
        <f t="shared" si="43"/>
        <v>1</v>
      </c>
      <c r="AS47" s="798">
        <f t="shared" si="43"/>
        <v>1</v>
      </c>
      <c r="AT47" s="798">
        <f t="shared" si="43"/>
        <v>1</v>
      </c>
      <c r="AU47" s="798">
        <f t="shared" si="43"/>
        <v>1</v>
      </c>
      <c r="AV47" s="798">
        <f t="shared" si="43"/>
        <v>1</v>
      </c>
      <c r="AW47" s="798">
        <f t="shared" si="43"/>
        <v>1</v>
      </c>
      <c r="AX47" s="798">
        <f t="shared" si="43"/>
        <v>1</v>
      </c>
      <c r="AY47" s="798">
        <f t="shared" si="43"/>
        <v>1</v>
      </c>
      <c r="AZ47" s="798">
        <f t="shared" si="43"/>
        <v>1</v>
      </c>
      <c r="BA47" s="798">
        <f t="shared" si="43"/>
        <v>1</v>
      </c>
      <c r="BB47" s="798">
        <f t="shared" si="43"/>
        <v>1</v>
      </c>
      <c r="BC47" s="798">
        <f t="shared" si="43"/>
        <v>1</v>
      </c>
      <c r="BD47" s="798">
        <f t="shared" si="43"/>
        <v>1</v>
      </c>
      <c r="BE47" s="798">
        <f t="shared" si="43"/>
        <v>1</v>
      </c>
      <c r="BF47" s="798">
        <f t="shared" si="43"/>
        <v>1</v>
      </c>
      <c r="BG47" s="798">
        <f t="shared" si="43"/>
        <v>1</v>
      </c>
      <c r="BH47" s="798">
        <f t="shared" si="43"/>
        <v>1</v>
      </c>
      <c r="BI47" s="798">
        <f t="shared" si="43"/>
        <v>1</v>
      </c>
      <c r="BJ47" s="798">
        <f t="shared" si="43"/>
        <v>1</v>
      </c>
      <c r="BK47" s="798">
        <f t="shared" si="43"/>
        <v>1</v>
      </c>
      <c r="BL47" s="765"/>
      <c r="BM47" s="816"/>
      <c r="BN47" s="816"/>
    </row>
    <row r="48" hidden="1">
      <c r="A48" s="814"/>
      <c r="B48" s="814"/>
      <c r="C48" s="814"/>
      <c r="D48" s="814"/>
      <c r="E48" s="814"/>
      <c r="F48" s="814"/>
      <c r="G48" s="814"/>
      <c r="H48" s="814"/>
      <c r="I48" s="765">
        <f t="shared" si="17"/>
        <v>37</v>
      </c>
      <c r="J48" s="763">
        <f t="shared" si="5"/>
        <v>768825684.3</v>
      </c>
      <c r="K48" s="796">
        <f t="shared" si="7"/>
        <v>0.25229</v>
      </c>
      <c r="L48" s="796">
        <v>5.0E-4</v>
      </c>
      <c r="M48" s="763">
        <v>8.76654144E8</v>
      </c>
      <c r="N48" s="797">
        <f t="shared" si="8"/>
        <v>0</v>
      </c>
      <c r="O48" s="798">
        <f t="shared" ref="O48:BK48" si="44">FLOOR(MIN((((N("value of ELS upgrade")+N$8*($K48-$K47))*(N("Check checkbox")+(IF($G$6=TRUE,$G$7,$G$8))/$G$8))/(N("ROI of ELS and multiply by 2 if ELS is 1:1")+IF($G$12 = True, 2, 1) * $J48))/((N("difference in ELS+ and the cost of it")+(($K47*O$8)-($K47*N$8)) / O$7)),(N("MIN lets it return 0 or 1 after floored")+1)),1)</f>
        <v>0</v>
      </c>
      <c r="P48" s="798">
        <f t="shared" si="44"/>
        <v>1</v>
      </c>
      <c r="Q48" s="798">
        <f t="shared" si="44"/>
        <v>1</v>
      </c>
      <c r="R48" s="798">
        <f t="shared" si="44"/>
        <v>1</v>
      </c>
      <c r="S48" s="798">
        <f t="shared" si="44"/>
        <v>1</v>
      </c>
      <c r="T48" s="798">
        <f t="shared" si="44"/>
        <v>1</v>
      </c>
      <c r="U48" s="798">
        <f t="shared" si="44"/>
        <v>1</v>
      </c>
      <c r="V48" s="798">
        <f t="shared" si="44"/>
        <v>1</v>
      </c>
      <c r="W48" s="798">
        <f t="shared" si="44"/>
        <v>1</v>
      </c>
      <c r="X48" s="798">
        <f t="shared" si="44"/>
        <v>1</v>
      </c>
      <c r="Y48" s="798">
        <f t="shared" si="44"/>
        <v>1</v>
      </c>
      <c r="Z48" s="798">
        <f t="shared" si="44"/>
        <v>1</v>
      </c>
      <c r="AA48" s="798">
        <f t="shared" si="44"/>
        <v>1</v>
      </c>
      <c r="AB48" s="798">
        <f t="shared" si="44"/>
        <v>1</v>
      </c>
      <c r="AC48" s="798">
        <f t="shared" si="44"/>
        <v>1</v>
      </c>
      <c r="AD48" s="798">
        <f t="shared" si="44"/>
        <v>1</v>
      </c>
      <c r="AE48" s="798">
        <f t="shared" si="44"/>
        <v>1</v>
      </c>
      <c r="AF48" s="798">
        <f t="shared" si="44"/>
        <v>1</v>
      </c>
      <c r="AG48" s="798">
        <f t="shared" si="44"/>
        <v>1</v>
      </c>
      <c r="AH48" s="798">
        <f t="shared" si="44"/>
        <v>1</v>
      </c>
      <c r="AI48" s="798">
        <f t="shared" si="44"/>
        <v>1</v>
      </c>
      <c r="AJ48" s="798">
        <f t="shared" si="44"/>
        <v>1</v>
      </c>
      <c r="AK48" s="798">
        <f t="shared" si="44"/>
        <v>1</v>
      </c>
      <c r="AL48" s="798">
        <f t="shared" si="44"/>
        <v>1</v>
      </c>
      <c r="AM48" s="798">
        <f t="shared" si="44"/>
        <v>1</v>
      </c>
      <c r="AN48" s="798">
        <f t="shared" si="44"/>
        <v>1</v>
      </c>
      <c r="AO48" s="798">
        <f t="shared" si="44"/>
        <v>1</v>
      </c>
      <c r="AP48" s="798">
        <f t="shared" si="44"/>
        <v>1</v>
      </c>
      <c r="AQ48" s="798">
        <f t="shared" si="44"/>
        <v>1</v>
      </c>
      <c r="AR48" s="798">
        <f t="shared" si="44"/>
        <v>1</v>
      </c>
      <c r="AS48" s="798">
        <f t="shared" si="44"/>
        <v>1</v>
      </c>
      <c r="AT48" s="798">
        <f t="shared" si="44"/>
        <v>1</v>
      </c>
      <c r="AU48" s="798">
        <f t="shared" si="44"/>
        <v>1</v>
      </c>
      <c r="AV48" s="798">
        <f t="shared" si="44"/>
        <v>1</v>
      </c>
      <c r="AW48" s="798">
        <f t="shared" si="44"/>
        <v>1</v>
      </c>
      <c r="AX48" s="798">
        <f t="shared" si="44"/>
        <v>1</v>
      </c>
      <c r="AY48" s="798">
        <f t="shared" si="44"/>
        <v>1</v>
      </c>
      <c r="AZ48" s="798">
        <f t="shared" si="44"/>
        <v>1</v>
      </c>
      <c r="BA48" s="798">
        <f t="shared" si="44"/>
        <v>1</v>
      </c>
      <c r="BB48" s="798">
        <f t="shared" si="44"/>
        <v>1</v>
      </c>
      <c r="BC48" s="798">
        <f t="shared" si="44"/>
        <v>1</v>
      </c>
      <c r="BD48" s="798">
        <f t="shared" si="44"/>
        <v>1</v>
      </c>
      <c r="BE48" s="798">
        <f t="shared" si="44"/>
        <v>1</v>
      </c>
      <c r="BF48" s="798">
        <f t="shared" si="44"/>
        <v>1</v>
      </c>
      <c r="BG48" s="798">
        <f t="shared" si="44"/>
        <v>1</v>
      </c>
      <c r="BH48" s="798">
        <f t="shared" si="44"/>
        <v>1</v>
      </c>
      <c r="BI48" s="798">
        <f t="shared" si="44"/>
        <v>1</v>
      </c>
      <c r="BJ48" s="798">
        <f t="shared" si="44"/>
        <v>1</v>
      </c>
      <c r="BK48" s="798">
        <f t="shared" si="44"/>
        <v>1</v>
      </c>
      <c r="BL48" s="765"/>
      <c r="BM48" s="816"/>
      <c r="BN48" s="816"/>
    </row>
    <row r="49" hidden="1">
      <c r="A49" s="814"/>
      <c r="B49" s="814"/>
      <c r="C49" s="814"/>
      <c r="D49" s="814"/>
      <c r="E49" s="814"/>
      <c r="F49" s="814"/>
      <c r="G49" s="814"/>
      <c r="H49" s="814"/>
      <c r="I49" s="765">
        <f t="shared" si="17"/>
        <v>38</v>
      </c>
      <c r="J49" s="763">
        <f t="shared" si="5"/>
        <v>782912832.7</v>
      </c>
      <c r="K49" s="796">
        <f t="shared" si="7"/>
        <v>0.25279</v>
      </c>
      <c r="L49" s="796">
        <v>5.0E-4</v>
      </c>
      <c r="M49" s="763">
        <v>8.92717027E8</v>
      </c>
      <c r="N49" s="797">
        <f t="shared" si="8"/>
        <v>0</v>
      </c>
      <c r="O49" s="798">
        <f t="shared" ref="O49:BK49" si="45">FLOOR(MIN((((N("value of ELS upgrade")+N$8*($K49-$K48))*(N("Check checkbox")+(IF($G$6=TRUE,$G$7,$G$8))/$G$8))/(N("ROI of ELS and multiply by 2 if ELS is 1:1")+IF($G$12 = True, 2, 1) * $J49))/((N("difference in ELS+ and the cost of it")+(($K48*O$8)-($K48*N$8)) / O$7)),(N("MIN lets it return 0 or 1 after floored")+1)),1)</f>
        <v>0</v>
      </c>
      <c r="P49" s="798">
        <f t="shared" si="45"/>
        <v>1</v>
      </c>
      <c r="Q49" s="798">
        <f t="shared" si="45"/>
        <v>1</v>
      </c>
      <c r="R49" s="798">
        <f t="shared" si="45"/>
        <v>1</v>
      </c>
      <c r="S49" s="798">
        <f t="shared" si="45"/>
        <v>1</v>
      </c>
      <c r="T49" s="798">
        <f t="shared" si="45"/>
        <v>1</v>
      </c>
      <c r="U49" s="798">
        <f t="shared" si="45"/>
        <v>1</v>
      </c>
      <c r="V49" s="798">
        <f t="shared" si="45"/>
        <v>1</v>
      </c>
      <c r="W49" s="798">
        <f t="shared" si="45"/>
        <v>1</v>
      </c>
      <c r="X49" s="798">
        <f t="shared" si="45"/>
        <v>1</v>
      </c>
      <c r="Y49" s="798">
        <f t="shared" si="45"/>
        <v>1</v>
      </c>
      <c r="Z49" s="798">
        <f t="shared" si="45"/>
        <v>1</v>
      </c>
      <c r="AA49" s="798">
        <f t="shared" si="45"/>
        <v>1</v>
      </c>
      <c r="AB49" s="798">
        <f t="shared" si="45"/>
        <v>1</v>
      </c>
      <c r="AC49" s="798">
        <f t="shared" si="45"/>
        <v>1</v>
      </c>
      <c r="AD49" s="798">
        <f t="shared" si="45"/>
        <v>1</v>
      </c>
      <c r="AE49" s="798">
        <f t="shared" si="45"/>
        <v>1</v>
      </c>
      <c r="AF49" s="798">
        <f t="shared" si="45"/>
        <v>1</v>
      </c>
      <c r="AG49" s="798">
        <f t="shared" si="45"/>
        <v>1</v>
      </c>
      <c r="AH49" s="798">
        <f t="shared" si="45"/>
        <v>1</v>
      </c>
      <c r="AI49" s="798">
        <f t="shared" si="45"/>
        <v>1</v>
      </c>
      <c r="AJ49" s="798">
        <f t="shared" si="45"/>
        <v>1</v>
      </c>
      <c r="AK49" s="798">
        <f t="shared" si="45"/>
        <v>1</v>
      </c>
      <c r="AL49" s="798">
        <f t="shared" si="45"/>
        <v>1</v>
      </c>
      <c r="AM49" s="798">
        <f t="shared" si="45"/>
        <v>1</v>
      </c>
      <c r="AN49" s="798">
        <f t="shared" si="45"/>
        <v>1</v>
      </c>
      <c r="AO49" s="798">
        <f t="shared" si="45"/>
        <v>1</v>
      </c>
      <c r="AP49" s="798">
        <f t="shared" si="45"/>
        <v>1</v>
      </c>
      <c r="AQ49" s="798">
        <f t="shared" si="45"/>
        <v>1</v>
      </c>
      <c r="AR49" s="798">
        <f t="shared" si="45"/>
        <v>1</v>
      </c>
      <c r="AS49" s="798">
        <f t="shared" si="45"/>
        <v>1</v>
      </c>
      <c r="AT49" s="798">
        <f t="shared" si="45"/>
        <v>1</v>
      </c>
      <c r="AU49" s="798">
        <f t="shared" si="45"/>
        <v>1</v>
      </c>
      <c r="AV49" s="798">
        <f t="shared" si="45"/>
        <v>1</v>
      </c>
      <c r="AW49" s="798">
        <f t="shared" si="45"/>
        <v>1</v>
      </c>
      <c r="AX49" s="798">
        <f t="shared" si="45"/>
        <v>1</v>
      </c>
      <c r="AY49" s="798">
        <f t="shared" si="45"/>
        <v>1</v>
      </c>
      <c r="AZ49" s="798">
        <f t="shared" si="45"/>
        <v>1</v>
      </c>
      <c r="BA49" s="798">
        <f t="shared" si="45"/>
        <v>1</v>
      </c>
      <c r="BB49" s="798">
        <f t="shared" si="45"/>
        <v>1</v>
      </c>
      <c r="BC49" s="798">
        <f t="shared" si="45"/>
        <v>1</v>
      </c>
      <c r="BD49" s="798">
        <f t="shared" si="45"/>
        <v>1</v>
      </c>
      <c r="BE49" s="798">
        <f t="shared" si="45"/>
        <v>1</v>
      </c>
      <c r="BF49" s="798">
        <f t="shared" si="45"/>
        <v>1</v>
      </c>
      <c r="BG49" s="798">
        <f t="shared" si="45"/>
        <v>1</v>
      </c>
      <c r="BH49" s="798">
        <f t="shared" si="45"/>
        <v>1</v>
      </c>
      <c r="BI49" s="798">
        <f t="shared" si="45"/>
        <v>1</v>
      </c>
      <c r="BJ49" s="798">
        <f t="shared" si="45"/>
        <v>1</v>
      </c>
      <c r="BK49" s="798">
        <f t="shared" si="45"/>
        <v>1</v>
      </c>
      <c r="BL49" s="765"/>
      <c r="BM49" s="816"/>
      <c r="BN49" s="816"/>
    </row>
    <row r="50" hidden="1">
      <c r="A50" s="814"/>
      <c r="B50" s="814"/>
      <c r="C50" s="814"/>
      <c r="D50" s="814"/>
      <c r="E50" s="814"/>
      <c r="F50" s="814"/>
      <c r="G50" s="814"/>
      <c r="H50" s="814"/>
      <c r="I50" s="765">
        <f t="shared" si="17"/>
        <v>39</v>
      </c>
      <c r="J50" s="763">
        <f t="shared" si="5"/>
        <v>797003597.8</v>
      </c>
      <c r="K50" s="796">
        <f t="shared" si="7"/>
        <v>0.25329</v>
      </c>
      <c r="L50" s="796">
        <v>5.0E-4</v>
      </c>
      <c r="M50" s="763">
        <v>9.08784034E8</v>
      </c>
      <c r="N50" s="797">
        <f t="shared" si="8"/>
        <v>0</v>
      </c>
      <c r="O50" s="798">
        <f t="shared" ref="O50:BK50" si="46">FLOOR(MIN((((N("value of ELS upgrade")+N$8*($K50-$K49))*(N("Check checkbox")+(IF($G$6=TRUE,$G$7,$G$8))/$G$8))/(N("ROI of ELS and multiply by 2 if ELS is 1:1")+IF($G$12 = True, 2, 1) * $J50))/((N("difference in ELS+ and the cost of it")+(($K49*O$8)-($K49*N$8)) / O$7)),(N("MIN lets it return 0 or 1 after floored")+1)),1)</f>
        <v>0</v>
      </c>
      <c r="P50" s="798">
        <f t="shared" si="46"/>
        <v>1</v>
      </c>
      <c r="Q50" s="798">
        <f t="shared" si="46"/>
        <v>1</v>
      </c>
      <c r="R50" s="798">
        <f t="shared" si="46"/>
        <v>1</v>
      </c>
      <c r="S50" s="798">
        <f t="shared" si="46"/>
        <v>1</v>
      </c>
      <c r="T50" s="798">
        <f t="shared" si="46"/>
        <v>1</v>
      </c>
      <c r="U50" s="798">
        <f t="shared" si="46"/>
        <v>1</v>
      </c>
      <c r="V50" s="798">
        <f t="shared" si="46"/>
        <v>1</v>
      </c>
      <c r="W50" s="798">
        <f t="shared" si="46"/>
        <v>1</v>
      </c>
      <c r="X50" s="798">
        <f t="shared" si="46"/>
        <v>1</v>
      </c>
      <c r="Y50" s="798">
        <f t="shared" si="46"/>
        <v>1</v>
      </c>
      <c r="Z50" s="798">
        <f t="shared" si="46"/>
        <v>1</v>
      </c>
      <c r="AA50" s="798">
        <f t="shared" si="46"/>
        <v>1</v>
      </c>
      <c r="AB50" s="798">
        <f t="shared" si="46"/>
        <v>1</v>
      </c>
      <c r="AC50" s="798">
        <f t="shared" si="46"/>
        <v>1</v>
      </c>
      <c r="AD50" s="798">
        <f t="shared" si="46"/>
        <v>1</v>
      </c>
      <c r="AE50" s="798">
        <f t="shared" si="46"/>
        <v>1</v>
      </c>
      <c r="AF50" s="798">
        <f t="shared" si="46"/>
        <v>1</v>
      </c>
      <c r="AG50" s="798">
        <f t="shared" si="46"/>
        <v>1</v>
      </c>
      <c r="AH50" s="798">
        <f t="shared" si="46"/>
        <v>1</v>
      </c>
      <c r="AI50" s="798">
        <f t="shared" si="46"/>
        <v>1</v>
      </c>
      <c r="AJ50" s="798">
        <f t="shared" si="46"/>
        <v>1</v>
      </c>
      <c r="AK50" s="798">
        <f t="shared" si="46"/>
        <v>1</v>
      </c>
      <c r="AL50" s="798">
        <f t="shared" si="46"/>
        <v>1</v>
      </c>
      <c r="AM50" s="798">
        <f t="shared" si="46"/>
        <v>1</v>
      </c>
      <c r="AN50" s="798">
        <f t="shared" si="46"/>
        <v>1</v>
      </c>
      <c r="AO50" s="798">
        <f t="shared" si="46"/>
        <v>1</v>
      </c>
      <c r="AP50" s="798">
        <f t="shared" si="46"/>
        <v>1</v>
      </c>
      <c r="AQ50" s="798">
        <f t="shared" si="46"/>
        <v>1</v>
      </c>
      <c r="AR50" s="798">
        <f t="shared" si="46"/>
        <v>1</v>
      </c>
      <c r="AS50" s="798">
        <f t="shared" si="46"/>
        <v>1</v>
      </c>
      <c r="AT50" s="798">
        <f t="shared" si="46"/>
        <v>1</v>
      </c>
      <c r="AU50" s="798">
        <f t="shared" si="46"/>
        <v>1</v>
      </c>
      <c r="AV50" s="798">
        <f t="shared" si="46"/>
        <v>1</v>
      </c>
      <c r="AW50" s="798">
        <f t="shared" si="46"/>
        <v>1</v>
      </c>
      <c r="AX50" s="798">
        <f t="shared" si="46"/>
        <v>1</v>
      </c>
      <c r="AY50" s="798">
        <f t="shared" si="46"/>
        <v>1</v>
      </c>
      <c r="AZ50" s="798">
        <f t="shared" si="46"/>
        <v>1</v>
      </c>
      <c r="BA50" s="798">
        <f t="shared" si="46"/>
        <v>1</v>
      </c>
      <c r="BB50" s="798">
        <f t="shared" si="46"/>
        <v>1</v>
      </c>
      <c r="BC50" s="798">
        <f t="shared" si="46"/>
        <v>1</v>
      </c>
      <c r="BD50" s="798">
        <f t="shared" si="46"/>
        <v>1</v>
      </c>
      <c r="BE50" s="798">
        <f t="shared" si="46"/>
        <v>1</v>
      </c>
      <c r="BF50" s="798">
        <f t="shared" si="46"/>
        <v>1</v>
      </c>
      <c r="BG50" s="798">
        <f t="shared" si="46"/>
        <v>1</v>
      </c>
      <c r="BH50" s="798">
        <f t="shared" si="46"/>
        <v>1</v>
      </c>
      <c r="BI50" s="798">
        <f t="shared" si="46"/>
        <v>1</v>
      </c>
      <c r="BJ50" s="798">
        <f t="shared" si="46"/>
        <v>1</v>
      </c>
      <c r="BK50" s="798">
        <f t="shared" si="46"/>
        <v>1</v>
      </c>
      <c r="BL50" s="765"/>
      <c r="BM50" s="816"/>
      <c r="BN50" s="816"/>
    </row>
    <row r="51" hidden="1">
      <c r="A51" s="814"/>
      <c r="B51" s="814"/>
      <c r="C51" s="814"/>
      <c r="D51" s="814"/>
      <c r="E51" s="814"/>
      <c r="F51" s="814"/>
      <c r="G51" s="814"/>
      <c r="H51" s="814"/>
      <c r="I51" s="765">
        <f t="shared" si="17"/>
        <v>40</v>
      </c>
      <c r="J51" s="763">
        <f t="shared" si="5"/>
        <v>811098111.3</v>
      </c>
      <c r="K51" s="796">
        <f t="shared" si="7"/>
        <v>0.25379</v>
      </c>
      <c r="L51" s="796">
        <v>5.0E-4</v>
      </c>
      <c r="M51" s="763">
        <v>9.24855315E8</v>
      </c>
      <c r="N51" s="797">
        <f t="shared" si="8"/>
        <v>0</v>
      </c>
      <c r="O51" s="798">
        <f t="shared" ref="O51:BK51" si="47">FLOOR(MIN((((N("value of ELS upgrade")+N$8*($K51-$K50))*(N("Check checkbox")+(IF($G$6=TRUE,$G$7,$G$8))/$G$8))/(N("ROI of ELS and multiply by 2 if ELS is 1:1")+IF($G$12 = True, 2, 1) * $J51))/((N("difference in ELS+ and the cost of it")+(($K50*O$8)-($K50*N$8)) / O$7)),(N("MIN lets it return 0 or 1 after floored")+1)),1)</f>
        <v>0</v>
      </c>
      <c r="P51" s="798">
        <f t="shared" si="47"/>
        <v>1</v>
      </c>
      <c r="Q51" s="798">
        <f t="shared" si="47"/>
        <v>1</v>
      </c>
      <c r="R51" s="798">
        <f t="shared" si="47"/>
        <v>1</v>
      </c>
      <c r="S51" s="798">
        <f t="shared" si="47"/>
        <v>1</v>
      </c>
      <c r="T51" s="798">
        <f t="shared" si="47"/>
        <v>1</v>
      </c>
      <c r="U51" s="798">
        <f t="shared" si="47"/>
        <v>1</v>
      </c>
      <c r="V51" s="798">
        <f t="shared" si="47"/>
        <v>1</v>
      </c>
      <c r="W51" s="798">
        <f t="shared" si="47"/>
        <v>1</v>
      </c>
      <c r="X51" s="798">
        <f t="shared" si="47"/>
        <v>1</v>
      </c>
      <c r="Y51" s="798">
        <f t="shared" si="47"/>
        <v>1</v>
      </c>
      <c r="Z51" s="798">
        <f t="shared" si="47"/>
        <v>1</v>
      </c>
      <c r="AA51" s="798">
        <f t="shared" si="47"/>
        <v>1</v>
      </c>
      <c r="AB51" s="798">
        <f t="shared" si="47"/>
        <v>1</v>
      </c>
      <c r="AC51" s="798">
        <f t="shared" si="47"/>
        <v>1</v>
      </c>
      <c r="AD51" s="798">
        <f t="shared" si="47"/>
        <v>1</v>
      </c>
      <c r="AE51" s="798">
        <f t="shared" si="47"/>
        <v>1</v>
      </c>
      <c r="AF51" s="798">
        <f t="shared" si="47"/>
        <v>1</v>
      </c>
      <c r="AG51" s="798">
        <f t="shared" si="47"/>
        <v>1</v>
      </c>
      <c r="AH51" s="798">
        <f t="shared" si="47"/>
        <v>1</v>
      </c>
      <c r="AI51" s="798">
        <f t="shared" si="47"/>
        <v>1</v>
      </c>
      <c r="AJ51" s="798">
        <f t="shared" si="47"/>
        <v>1</v>
      </c>
      <c r="AK51" s="798">
        <f t="shared" si="47"/>
        <v>1</v>
      </c>
      <c r="AL51" s="798">
        <f t="shared" si="47"/>
        <v>1</v>
      </c>
      <c r="AM51" s="798">
        <f t="shared" si="47"/>
        <v>1</v>
      </c>
      <c r="AN51" s="798">
        <f t="shared" si="47"/>
        <v>1</v>
      </c>
      <c r="AO51" s="798">
        <f t="shared" si="47"/>
        <v>1</v>
      </c>
      <c r="AP51" s="798">
        <f t="shared" si="47"/>
        <v>1</v>
      </c>
      <c r="AQ51" s="798">
        <f t="shared" si="47"/>
        <v>1</v>
      </c>
      <c r="AR51" s="798">
        <f t="shared" si="47"/>
        <v>1</v>
      </c>
      <c r="AS51" s="798">
        <f t="shared" si="47"/>
        <v>1</v>
      </c>
      <c r="AT51" s="798">
        <f t="shared" si="47"/>
        <v>1</v>
      </c>
      <c r="AU51" s="798">
        <f t="shared" si="47"/>
        <v>1</v>
      </c>
      <c r="AV51" s="798">
        <f t="shared" si="47"/>
        <v>1</v>
      </c>
      <c r="AW51" s="798">
        <f t="shared" si="47"/>
        <v>1</v>
      </c>
      <c r="AX51" s="798">
        <f t="shared" si="47"/>
        <v>1</v>
      </c>
      <c r="AY51" s="798">
        <f t="shared" si="47"/>
        <v>1</v>
      </c>
      <c r="AZ51" s="798">
        <f t="shared" si="47"/>
        <v>1</v>
      </c>
      <c r="BA51" s="798">
        <f t="shared" si="47"/>
        <v>1</v>
      </c>
      <c r="BB51" s="798">
        <f t="shared" si="47"/>
        <v>1</v>
      </c>
      <c r="BC51" s="798">
        <f t="shared" si="47"/>
        <v>1</v>
      </c>
      <c r="BD51" s="798">
        <f t="shared" si="47"/>
        <v>1</v>
      </c>
      <c r="BE51" s="798">
        <f t="shared" si="47"/>
        <v>1</v>
      </c>
      <c r="BF51" s="798">
        <f t="shared" si="47"/>
        <v>1</v>
      </c>
      <c r="BG51" s="798">
        <f t="shared" si="47"/>
        <v>1</v>
      </c>
      <c r="BH51" s="798">
        <f t="shared" si="47"/>
        <v>1</v>
      </c>
      <c r="BI51" s="798">
        <f t="shared" si="47"/>
        <v>1</v>
      </c>
      <c r="BJ51" s="798">
        <f t="shared" si="47"/>
        <v>1</v>
      </c>
      <c r="BK51" s="798">
        <f t="shared" si="47"/>
        <v>1</v>
      </c>
      <c r="BL51" s="765"/>
      <c r="BM51" s="816"/>
      <c r="BN51" s="816"/>
    </row>
    <row r="52" hidden="1">
      <c r="A52" s="814"/>
      <c r="B52" s="814"/>
      <c r="C52" s="814"/>
      <c r="D52" s="814"/>
      <c r="E52" s="814"/>
      <c r="F52" s="814"/>
      <c r="G52" s="814"/>
      <c r="H52" s="814"/>
      <c r="I52" s="765">
        <f t="shared" si="17"/>
        <v>41</v>
      </c>
      <c r="J52" s="763">
        <f t="shared" si="5"/>
        <v>1650393016</v>
      </c>
      <c r="K52" s="796">
        <f t="shared" si="7"/>
        <v>0.25429</v>
      </c>
      <c r="L52" s="796">
        <v>5.0E-4</v>
      </c>
      <c r="M52" s="763">
        <v>1.881862048E9</v>
      </c>
      <c r="N52" s="797">
        <f t="shared" si="8"/>
        <v>0</v>
      </c>
      <c r="O52" s="798">
        <f t="shared" ref="O52:BK52" si="48">FLOOR(MIN((((N("value of ELS upgrade")+N$8*($K52-$K51))*(N("Check checkbox")+(IF($G$6=TRUE,$G$7,$G$8))/$G$8))/(N("ROI of ELS and multiply by 2 if ELS is 1:1")+IF($G$12 = True, 2, 1) * $J52))/((N("difference in ELS+ and the cost of it")+(($K51*O$8)-($K51*N$8)) / O$7)),(N("MIN lets it return 0 or 1 after floored")+1)),1)</f>
        <v>0</v>
      </c>
      <c r="P52" s="798">
        <f t="shared" si="48"/>
        <v>1</v>
      </c>
      <c r="Q52" s="798">
        <f t="shared" si="48"/>
        <v>1</v>
      </c>
      <c r="R52" s="798">
        <f t="shared" si="48"/>
        <v>1</v>
      </c>
      <c r="S52" s="798">
        <f t="shared" si="48"/>
        <v>1</v>
      </c>
      <c r="T52" s="798">
        <f t="shared" si="48"/>
        <v>1</v>
      </c>
      <c r="U52" s="798">
        <f t="shared" si="48"/>
        <v>1</v>
      </c>
      <c r="V52" s="798">
        <f t="shared" si="48"/>
        <v>1</v>
      </c>
      <c r="W52" s="798">
        <f t="shared" si="48"/>
        <v>1</v>
      </c>
      <c r="X52" s="798">
        <f t="shared" si="48"/>
        <v>1</v>
      </c>
      <c r="Y52" s="798">
        <f t="shared" si="48"/>
        <v>1</v>
      </c>
      <c r="Z52" s="798">
        <f t="shared" si="48"/>
        <v>1</v>
      </c>
      <c r="AA52" s="798">
        <f t="shared" si="48"/>
        <v>1</v>
      </c>
      <c r="AB52" s="798">
        <f t="shared" si="48"/>
        <v>1</v>
      </c>
      <c r="AC52" s="798">
        <f t="shared" si="48"/>
        <v>1</v>
      </c>
      <c r="AD52" s="798">
        <f t="shared" si="48"/>
        <v>1</v>
      </c>
      <c r="AE52" s="798">
        <f t="shared" si="48"/>
        <v>1</v>
      </c>
      <c r="AF52" s="798">
        <f t="shared" si="48"/>
        <v>1</v>
      </c>
      <c r="AG52" s="798">
        <f t="shared" si="48"/>
        <v>1</v>
      </c>
      <c r="AH52" s="798">
        <f t="shared" si="48"/>
        <v>1</v>
      </c>
      <c r="AI52" s="798">
        <f t="shared" si="48"/>
        <v>1</v>
      </c>
      <c r="AJ52" s="798">
        <f t="shared" si="48"/>
        <v>1</v>
      </c>
      <c r="AK52" s="798">
        <f t="shared" si="48"/>
        <v>1</v>
      </c>
      <c r="AL52" s="798">
        <f t="shared" si="48"/>
        <v>1</v>
      </c>
      <c r="AM52" s="798">
        <f t="shared" si="48"/>
        <v>1</v>
      </c>
      <c r="AN52" s="798">
        <f t="shared" si="48"/>
        <v>1</v>
      </c>
      <c r="AO52" s="798">
        <f t="shared" si="48"/>
        <v>1</v>
      </c>
      <c r="AP52" s="798">
        <f t="shared" si="48"/>
        <v>1</v>
      </c>
      <c r="AQ52" s="798">
        <f t="shared" si="48"/>
        <v>1</v>
      </c>
      <c r="AR52" s="798">
        <f t="shared" si="48"/>
        <v>1</v>
      </c>
      <c r="AS52" s="798">
        <f t="shared" si="48"/>
        <v>1</v>
      </c>
      <c r="AT52" s="798">
        <f t="shared" si="48"/>
        <v>1</v>
      </c>
      <c r="AU52" s="798">
        <f t="shared" si="48"/>
        <v>1</v>
      </c>
      <c r="AV52" s="798">
        <f t="shared" si="48"/>
        <v>1</v>
      </c>
      <c r="AW52" s="798">
        <f t="shared" si="48"/>
        <v>1</v>
      </c>
      <c r="AX52" s="798">
        <f t="shared" si="48"/>
        <v>1</v>
      </c>
      <c r="AY52" s="798">
        <f t="shared" si="48"/>
        <v>1</v>
      </c>
      <c r="AZ52" s="798">
        <f t="shared" si="48"/>
        <v>1</v>
      </c>
      <c r="BA52" s="798">
        <f t="shared" si="48"/>
        <v>1</v>
      </c>
      <c r="BB52" s="798">
        <f t="shared" si="48"/>
        <v>1</v>
      </c>
      <c r="BC52" s="798">
        <f t="shared" si="48"/>
        <v>1</v>
      </c>
      <c r="BD52" s="798">
        <f t="shared" si="48"/>
        <v>1</v>
      </c>
      <c r="BE52" s="798">
        <f t="shared" si="48"/>
        <v>1</v>
      </c>
      <c r="BF52" s="798">
        <f t="shared" si="48"/>
        <v>1</v>
      </c>
      <c r="BG52" s="798">
        <f t="shared" si="48"/>
        <v>1</v>
      </c>
      <c r="BH52" s="798">
        <f t="shared" si="48"/>
        <v>1</v>
      </c>
      <c r="BI52" s="798">
        <f t="shared" si="48"/>
        <v>1</v>
      </c>
      <c r="BJ52" s="798">
        <f t="shared" si="48"/>
        <v>1</v>
      </c>
      <c r="BK52" s="798">
        <f t="shared" si="48"/>
        <v>1</v>
      </c>
      <c r="BL52" s="765"/>
      <c r="BM52" s="816"/>
      <c r="BN52" s="816"/>
    </row>
    <row r="53" hidden="1">
      <c r="A53" s="814"/>
      <c r="B53" s="814"/>
      <c r="C53" s="814"/>
      <c r="D53" s="814"/>
      <c r="E53" s="814"/>
      <c r="F53" s="814"/>
      <c r="G53" s="814"/>
      <c r="H53" s="814"/>
      <c r="I53" s="765">
        <f t="shared" si="17"/>
        <v>42</v>
      </c>
      <c r="J53" s="763">
        <f t="shared" si="5"/>
        <v>1678597844</v>
      </c>
      <c r="K53" s="796">
        <f t="shared" si="7"/>
        <v>0.25479</v>
      </c>
      <c r="L53" s="796">
        <v>5.0E-4</v>
      </c>
      <c r="M53" s="763">
        <v>1.914022627E9</v>
      </c>
      <c r="N53" s="797">
        <f t="shared" si="8"/>
        <v>0</v>
      </c>
      <c r="O53" s="798">
        <f t="shared" ref="O53:BK53" si="49">FLOOR(MIN((((N("value of ELS upgrade")+N$8*($K53-$K52))*(N("Check checkbox")+(IF($G$6=TRUE,$G$7,$G$8))/$G$8))/(N("ROI of ELS and multiply by 2 if ELS is 1:1")+IF($G$12 = True, 2, 1) * $J53))/((N("difference in ELS+ and the cost of it")+(($K52*O$8)-($K52*N$8)) / O$7)),(N("MIN lets it return 0 or 1 after floored")+1)),1)</f>
        <v>0</v>
      </c>
      <c r="P53" s="798">
        <f t="shared" si="49"/>
        <v>1</v>
      </c>
      <c r="Q53" s="798">
        <f t="shared" si="49"/>
        <v>1</v>
      </c>
      <c r="R53" s="798">
        <f t="shared" si="49"/>
        <v>1</v>
      </c>
      <c r="S53" s="798">
        <f t="shared" si="49"/>
        <v>1</v>
      </c>
      <c r="T53" s="798">
        <f t="shared" si="49"/>
        <v>1</v>
      </c>
      <c r="U53" s="798">
        <f t="shared" si="49"/>
        <v>1</v>
      </c>
      <c r="V53" s="798">
        <f t="shared" si="49"/>
        <v>1</v>
      </c>
      <c r="W53" s="798">
        <f t="shared" si="49"/>
        <v>1</v>
      </c>
      <c r="X53" s="798">
        <f t="shared" si="49"/>
        <v>1</v>
      </c>
      <c r="Y53" s="798">
        <f t="shared" si="49"/>
        <v>1</v>
      </c>
      <c r="Z53" s="798">
        <f t="shared" si="49"/>
        <v>1</v>
      </c>
      <c r="AA53" s="798">
        <f t="shared" si="49"/>
        <v>1</v>
      </c>
      <c r="AB53" s="798">
        <f t="shared" si="49"/>
        <v>1</v>
      </c>
      <c r="AC53" s="798">
        <f t="shared" si="49"/>
        <v>1</v>
      </c>
      <c r="AD53" s="798">
        <f t="shared" si="49"/>
        <v>1</v>
      </c>
      <c r="AE53" s="798">
        <f t="shared" si="49"/>
        <v>1</v>
      </c>
      <c r="AF53" s="798">
        <f t="shared" si="49"/>
        <v>1</v>
      </c>
      <c r="AG53" s="798">
        <f t="shared" si="49"/>
        <v>1</v>
      </c>
      <c r="AH53" s="798">
        <f t="shared" si="49"/>
        <v>1</v>
      </c>
      <c r="AI53" s="798">
        <f t="shared" si="49"/>
        <v>1</v>
      </c>
      <c r="AJ53" s="798">
        <f t="shared" si="49"/>
        <v>1</v>
      </c>
      <c r="AK53" s="798">
        <f t="shared" si="49"/>
        <v>1</v>
      </c>
      <c r="AL53" s="798">
        <f t="shared" si="49"/>
        <v>1</v>
      </c>
      <c r="AM53" s="798">
        <f t="shared" si="49"/>
        <v>1</v>
      </c>
      <c r="AN53" s="798">
        <f t="shared" si="49"/>
        <v>1</v>
      </c>
      <c r="AO53" s="798">
        <f t="shared" si="49"/>
        <v>1</v>
      </c>
      <c r="AP53" s="798">
        <f t="shared" si="49"/>
        <v>1</v>
      </c>
      <c r="AQ53" s="798">
        <f t="shared" si="49"/>
        <v>1</v>
      </c>
      <c r="AR53" s="798">
        <f t="shared" si="49"/>
        <v>1</v>
      </c>
      <c r="AS53" s="798">
        <f t="shared" si="49"/>
        <v>1</v>
      </c>
      <c r="AT53" s="798">
        <f t="shared" si="49"/>
        <v>1</v>
      </c>
      <c r="AU53" s="798">
        <f t="shared" si="49"/>
        <v>1</v>
      </c>
      <c r="AV53" s="798">
        <f t="shared" si="49"/>
        <v>1</v>
      </c>
      <c r="AW53" s="798">
        <f t="shared" si="49"/>
        <v>1</v>
      </c>
      <c r="AX53" s="798">
        <f t="shared" si="49"/>
        <v>1</v>
      </c>
      <c r="AY53" s="798">
        <f t="shared" si="49"/>
        <v>1</v>
      </c>
      <c r="AZ53" s="798">
        <f t="shared" si="49"/>
        <v>1</v>
      </c>
      <c r="BA53" s="798">
        <f t="shared" si="49"/>
        <v>1</v>
      </c>
      <c r="BB53" s="798">
        <f t="shared" si="49"/>
        <v>1</v>
      </c>
      <c r="BC53" s="798">
        <f t="shared" si="49"/>
        <v>1</v>
      </c>
      <c r="BD53" s="798">
        <f t="shared" si="49"/>
        <v>1</v>
      </c>
      <c r="BE53" s="798">
        <f t="shared" si="49"/>
        <v>1</v>
      </c>
      <c r="BF53" s="798">
        <f t="shared" si="49"/>
        <v>1</v>
      </c>
      <c r="BG53" s="798">
        <f t="shared" si="49"/>
        <v>1</v>
      </c>
      <c r="BH53" s="798">
        <f t="shared" si="49"/>
        <v>1</v>
      </c>
      <c r="BI53" s="798">
        <f t="shared" si="49"/>
        <v>1</v>
      </c>
      <c r="BJ53" s="798">
        <f t="shared" si="49"/>
        <v>1</v>
      </c>
      <c r="BK53" s="798">
        <f t="shared" si="49"/>
        <v>1</v>
      </c>
      <c r="BL53" s="765"/>
      <c r="BM53" s="816"/>
      <c r="BN53" s="816"/>
    </row>
    <row r="54" hidden="1">
      <c r="A54" s="814"/>
      <c r="B54" s="814"/>
      <c r="C54" s="814"/>
      <c r="D54" s="814"/>
      <c r="E54" s="814"/>
      <c r="F54" s="814"/>
      <c r="G54" s="814"/>
      <c r="H54" s="814"/>
      <c r="I54" s="765">
        <f t="shared" si="17"/>
        <v>43</v>
      </c>
      <c r="J54" s="763">
        <f t="shared" si="5"/>
        <v>1706810979</v>
      </c>
      <c r="K54" s="796">
        <f t="shared" si="7"/>
        <v>0.25529</v>
      </c>
      <c r="L54" s="796">
        <v>5.0E-4</v>
      </c>
      <c r="M54" s="763">
        <v>1.946192678E9</v>
      </c>
      <c r="N54" s="797">
        <f t="shared" si="8"/>
        <v>0</v>
      </c>
      <c r="O54" s="798">
        <f t="shared" ref="O54:BK54" si="50">FLOOR(MIN((((N("value of ELS upgrade")+N$8*($K54-$K53))*(N("Check checkbox")+(IF($G$6=TRUE,$G$7,$G$8))/$G$8))/(N("ROI of ELS and multiply by 2 if ELS is 1:1")+IF($G$12 = True, 2, 1) * $J54))/((N("difference in ELS+ and the cost of it")+(($K53*O$8)-($K53*N$8)) / O$7)),(N("MIN lets it return 0 or 1 after floored")+1)),1)</f>
        <v>0</v>
      </c>
      <c r="P54" s="798">
        <f t="shared" si="50"/>
        <v>1</v>
      </c>
      <c r="Q54" s="798">
        <f t="shared" si="50"/>
        <v>1</v>
      </c>
      <c r="R54" s="798">
        <f t="shared" si="50"/>
        <v>1</v>
      </c>
      <c r="S54" s="798">
        <f t="shared" si="50"/>
        <v>1</v>
      </c>
      <c r="T54" s="798">
        <f t="shared" si="50"/>
        <v>1</v>
      </c>
      <c r="U54" s="798">
        <f t="shared" si="50"/>
        <v>1</v>
      </c>
      <c r="V54" s="798">
        <f t="shared" si="50"/>
        <v>1</v>
      </c>
      <c r="W54" s="798">
        <f t="shared" si="50"/>
        <v>1</v>
      </c>
      <c r="X54" s="798">
        <f t="shared" si="50"/>
        <v>1</v>
      </c>
      <c r="Y54" s="798">
        <f t="shared" si="50"/>
        <v>1</v>
      </c>
      <c r="Z54" s="798">
        <f t="shared" si="50"/>
        <v>1</v>
      </c>
      <c r="AA54" s="798">
        <f t="shared" si="50"/>
        <v>1</v>
      </c>
      <c r="AB54" s="798">
        <f t="shared" si="50"/>
        <v>1</v>
      </c>
      <c r="AC54" s="798">
        <f t="shared" si="50"/>
        <v>1</v>
      </c>
      <c r="AD54" s="798">
        <f t="shared" si="50"/>
        <v>1</v>
      </c>
      <c r="AE54" s="798">
        <f t="shared" si="50"/>
        <v>1</v>
      </c>
      <c r="AF54" s="798">
        <f t="shared" si="50"/>
        <v>1</v>
      </c>
      <c r="AG54" s="798">
        <f t="shared" si="50"/>
        <v>1</v>
      </c>
      <c r="AH54" s="798">
        <f t="shared" si="50"/>
        <v>1</v>
      </c>
      <c r="AI54" s="798">
        <f t="shared" si="50"/>
        <v>1</v>
      </c>
      <c r="AJ54" s="798">
        <f t="shared" si="50"/>
        <v>1</v>
      </c>
      <c r="AK54" s="798">
        <f t="shared" si="50"/>
        <v>1</v>
      </c>
      <c r="AL54" s="798">
        <f t="shared" si="50"/>
        <v>1</v>
      </c>
      <c r="AM54" s="798">
        <f t="shared" si="50"/>
        <v>1</v>
      </c>
      <c r="AN54" s="798">
        <f t="shared" si="50"/>
        <v>1</v>
      </c>
      <c r="AO54" s="798">
        <f t="shared" si="50"/>
        <v>1</v>
      </c>
      <c r="AP54" s="798">
        <f t="shared" si="50"/>
        <v>1</v>
      </c>
      <c r="AQ54" s="798">
        <f t="shared" si="50"/>
        <v>1</v>
      </c>
      <c r="AR54" s="798">
        <f t="shared" si="50"/>
        <v>1</v>
      </c>
      <c r="AS54" s="798">
        <f t="shared" si="50"/>
        <v>1</v>
      </c>
      <c r="AT54" s="798">
        <f t="shared" si="50"/>
        <v>1</v>
      </c>
      <c r="AU54" s="798">
        <f t="shared" si="50"/>
        <v>1</v>
      </c>
      <c r="AV54" s="798">
        <f t="shared" si="50"/>
        <v>1</v>
      </c>
      <c r="AW54" s="798">
        <f t="shared" si="50"/>
        <v>1</v>
      </c>
      <c r="AX54" s="798">
        <f t="shared" si="50"/>
        <v>1</v>
      </c>
      <c r="AY54" s="798">
        <f t="shared" si="50"/>
        <v>1</v>
      </c>
      <c r="AZ54" s="798">
        <f t="shared" si="50"/>
        <v>1</v>
      </c>
      <c r="BA54" s="798">
        <f t="shared" si="50"/>
        <v>1</v>
      </c>
      <c r="BB54" s="798">
        <f t="shared" si="50"/>
        <v>1</v>
      </c>
      <c r="BC54" s="798">
        <f t="shared" si="50"/>
        <v>1</v>
      </c>
      <c r="BD54" s="798">
        <f t="shared" si="50"/>
        <v>1</v>
      </c>
      <c r="BE54" s="798">
        <f t="shared" si="50"/>
        <v>1</v>
      </c>
      <c r="BF54" s="798">
        <f t="shared" si="50"/>
        <v>1</v>
      </c>
      <c r="BG54" s="798">
        <f t="shared" si="50"/>
        <v>1</v>
      </c>
      <c r="BH54" s="798">
        <f t="shared" si="50"/>
        <v>1</v>
      </c>
      <c r="BI54" s="798">
        <f t="shared" si="50"/>
        <v>1</v>
      </c>
      <c r="BJ54" s="798">
        <f t="shared" si="50"/>
        <v>1</v>
      </c>
      <c r="BK54" s="798">
        <f t="shared" si="50"/>
        <v>1</v>
      </c>
      <c r="BL54" s="765"/>
      <c r="BM54" s="816"/>
      <c r="BN54" s="816"/>
    </row>
    <row r="55" hidden="1">
      <c r="A55" s="814"/>
      <c r="B55" s="814"/>
      <c r="C55" s="814"/>
      <c r="D55" s="814"/>
      <c r="E55" s="814"/>
      <c r="F55" s="814"/>
      <c r="G55" s="814"/>
      <c r="H55" s="814"/>
      <c r="I55" s="765">
        <f t="shared" si="17"/>
        <v>44</v>
      </c>
      <c r="J55" s="763">
        <f t="shared" si="5"/>
        <v>1735032697</v>
      </c>
      <c r="K55" s="796">
        <f t="shared" si="7"/>
        <v>0.25579</v>
      </c>
      <c r="L55" s="796">
        <v>5.0E-4</v>
      </c>
      <c r="M55" s="763">
        <v>1.978372516E9</v>
      </c>
      <c r="N55" s="797">
        <f t="shared" si="8"/>
        <v>0</v>
      </c>
      <c r="O55" s="798">
        <f t="shared" ref="O55:BK55" si="51">FLOOR(MIN((((N("value of ELS upgrade")+N$8*($K55-$K54))*(N("Check checkbox")+(IF($G$6=TRUE,$G$7,$G$8))/$G$8))/(N("ROI of ELS and multiply by 2 if ELS is 1:1")+IF($G$12 = True, 2, 1) * $J55))/((N("difference in ELS+ and the cost of it")+(($K54*O$8)-($K54*N$8)) / O$7)),(N("MIN lets it return 0 or 1 after floored")+1)),1)</f>
        <v>0</v>
      </c>
      <c r="P55" s="798">
        <f t="shared" si="51"/>
        <v>1</v>
      </c>
      <c r="Q55" s="798">
        <f t="shared" si="51"/>
        <v>1</v>
      </c>
      <c r="R55" s="798">
        <f t="shared" si="51"/>
        <v>1</v>
      </c>
      <c r="S55" s="798">
        <f t="shared" si="51"/>
        <v>1</v>
      </c>
      <c r="T55" s="798">
        <f t="shared" si="51"/>
        <v>1</v>
      </c>
      <c r="U55" s="798">
        <f t="shared" si="51"/>
        <v>1</v>
      </c>
      <c r="V55" s="798">
        <f t="shared" si="51"/>
        <v>1</v>
      </c>
      <c r="W55" s="798">
        <f t="shared" si="51"/>
        <v>1</v>
      </c>
      <c r="X55" s="798">
        <f t="shared" si="51"/>
        <v>1</v>
      </c>
      <c r="Y55" s="798">
        <f t="shared" si="51"/>
        <v>1</v>
      </c>
      <c r="Z55" s="798">
        <f t="shared" si="51"/>
        <v>1</v>
      </c>
      <c r="AA55" s="798">
        <f t="shared" si="51"/>
        <v>1</v>
      </c>
      <c r="AB55" s="798">
        <f t="shared" si="51"/>
        <v>1</v>
      </c>
      <c r="AC55" s="798">
        <f t="shared" si="51"/>
        <v>1</v>
      </c>
      <c r="AD55" s="798">
        <f t="shared" si="51"/>
        <v>1</v>
      </c>
      <c r="AE55" s="798">
        <f t="shared" si="51"/>
        <v>1</v>
      </c>
      <c r="AF55" s="798">
        <f t="shared" si="51"/>
        <v>1</v>
      </c>
      <c r="AG55" s="798">
        <f t="shared" si="51"/>
        <v>1</v>
      </c>
      <c r="AH55" s="798">
        <f t="shared" si="51"/>
        <v>1</v>
      </c>
      <c r="AI55" s="798">
        <f t="shared" si="51"/>
        <v>1</v>
      </c>
      <c r="AJ55" s="798">
        <f t="shared" si="51"/>
        <v>1</v>
      </c>
      <c r="AK55" s="798">
        <f t="shared" si="51"/>
        <v>1</v>
      </c>
      <c r="AL55" s="798">
        <f t="shared" si="51"/>
        <v>1</v>
      </c>
      <c r="AM55" s="798">
        <f t="shared" si="51"/>
        <v>1</v>
      </c>
      <c r="AN55" s="798">
        <f t="shared" si="51"/>
        <v>1</v>
      </c>
      <c r="AO55" s="798">
        <f t="shared" si="51"/>
        <v>1</v>
      </c>
      <c r="AP55" s="798">
        <f t="shared" si="51"/>
        <v>1</v>
      </c>
      <c r="AQ55" s="798">
        <f t="shared" si="51"/>
        <v>1</v>
      </c>
      <c r="AR55" s="798">
        <f t="shared" si="51"/>
        <v>1</v>
      </c>
      <c r="AS55" s="798">
        <f t="shared" si="51"/>
        <v>1</v>
      </c>
      <c r="AT55" s="798">
        <f t="shared" si="51"/>
        <v>1</v>
      </c>
      <c r="AU55" s="798">
        <f t="shared" si="51"/>
        <v>1</v>
      </c>
      <c r="AV55" s="798">
        <f t="shared" si="51"/>
        <v>1</v>
      </c>
      <c r="AW55" s="798">
        <f t="shared" si="51"/>
        <v>1</v>
      </c>
      <c r="AX55" s="798">
        <f t="shared" si="51"/>
        <v>1</v>
      </c>
      <c r="AY55" s="798">
        <f t="shared" si="51"/>
        <v>1</v>
      </c>
      <c r="AZ55" s="798">
        <f t="shared" si="51"/>
        <v>1</v>
      </c>
      <c r="BA55" s="798">
        <f t="shared" si="51"/>
        <v>1</v>
      </c>
      <c r="BB55" s="798">
        <f t="shared" si="51"/>
        <v>1</v>
      </c>
      <c r="BC55" s="798">
        <f t="shared" si="51"/>
        <v>1</v>
      </c>
      <c r="BD55" s="798">
        <f t="shared" si="51"/>
        <v>1</v>
      </c>
      <c r="BE55" s="798">
        <f t="shared" si="51"/>
        <v>1</v>
      </c>
      <c r="BF55" s="798">
        <f t="shared" si="51"/>
        <v>1</v>
      </c>
      <c r="BG55" s="798">
        <f t="shared" si="51"/>
        <v>1</v>
      </c>
      <c r="BH55" s="798">
        <f t="shared" si="51"/>
        <v>1</v>
      </c>
      <c r="BI55" s="798">
        <f t="shared" si="51"/>
        <v>1</v>
      </c>
      <c r="BJ55" s="798">
        <f t="shared" si="51"/>
        <v>1</v>
      </c>
      <c r="BK55" s="798">
        <f t="shared" si="51"/>
        <v>1</v>
      </c>
      <c r="BL55" s="765"/>
      <c r="BM55" s="816"/>
      <c r="BN55" s="816"/>
    </row>
    <row r="56" hidden="1">
      <c r="A56" s="765"/>
      <c r="B56" s="765"/>
      <c r="C56" s="765"/>
      <c r="D56" s="765"/>
      <c r="E56" s="765"/>
      <c r="F56" s="765"/>
      <c r="G56" s="765"/>
      <c r="H56" s="765"/>
      <c r="I56" s="765">
        <f t="shared" si="17"/>
        <v>45</v>
      </c>
      <c r="J56" s="763">
        <f t="shared" si="5"/>
        <v>1763263273</v>
      </c>
      <c r="K56" s="796">
        <f t="shared" si="7"/>
        <v>0.25629</v>
      </c>
      <c r="L56" s="796">
        <v>5.0E-4</v>
      </c>
      <c r="M56" s="763">
        <v>2.010562455E9</v>
      </c>
      <c r="N56" s="797">
        <f t="shared" si="8"/>
        <v>0</v>
      </c>
      <c r="O56" s="798">
        <f t="shared" ref="O56:BK56" si="52">FLOOR(MIN((((N("value of ELS upgrade")+N$8*($K56-$K55))*(N("Check checkbox")+(IF($G$6=TRUE,$G$7,$G$8))/$G$8))/(N("ROI of ELS and multiply by 2 if ELS is 1:1")+IF($G$12 = True, 2, 1) * $J56))/((N("difference in ELS+ and the cost of it")+(($K55*O$8)-($K55*N$8)) / O$7)),(N("MIN lets it return 0 or 1 after floored")+1)),1)</f>
        <v>0</v>
      </c>
      <c r="P56" s="798">
        <f t="shared" si="52"/>
        <v>1</v>
      </c>
      <c r="Q56" s="798">
        <f t="shared" si="52"/>
        <v>1</v>
      </c>
      <c r="R56" s="798">
        <f t="shared" si="52"/>
        <v>1</v>
      </c>
      <c r="S56" s="798">
        <f t="shared" si="52"/>
        <v>1</v>
      </c>
      <c r="T56" s="798">
        <f t="shared" si="52"/>
        <v>1</v>
      </c>
      <c r="U56" s="798">
        <f t="shared" si="52"/>
        <v>1</v>
      </c>
      <c r="V56" s="798">
        <f t="shared" si="52"/>
        <v>1</v>
      </c>
      <c r="W56" s="798">
        <f t="shared" si="52"/>
        <v>1</v>
      </c>
      <c r="X56" s="798">
        <f t="shared" si="52"/>
        <v>1</v>
      </c>
      <c r="Y56" s="798">
        <f t="shared" si="52"/>
        <v>1</v>
      </c>
      <c r="Z56" s="798">
        <f t="shared" si="52"/>
        <v>1</v>
      </c>
      <c r="AA56" s="798">
        <f t="shared" si="52"/>
        <v>1</v>
      </c>
      <c r="AB56" s="798">
        <f t="shared" si="52"/>
        <v>1</v>
      </c>
      <c r="AC56" s="798">
        <f t="shared" si="52"/>
        <v>1</v>
      </c>
      <c r="AD56" s="798">
        <f t="shared" si="52"/>
        <v>1</v>
      </c>
      <c r="AE56" s="798">
        <f t="shared" si="52"/>
        <v>1</v>
      </c>
      <c r="AF56" s="798">
        <f t="shared" si="52"/>
        <v>1</v>
      </c>
      <c r="AG56" s="798">
        <f t="shared" si="52"/>
        <v>1</v>
      </c>
      <c r="AH56" s="798">
        <f t="shared" si="52"/>
        <v>1</v>
      </c>
      <c r="AI56" s="798">
        <f t="shared" si="52"/>
        <v>1</v>
      </c>
      <c r="AJ56" s="798">
        <f t="shared" si="52"/>
        <v>1</v>
      </c>
      <c r="AK56" s="798">
        <f t="shared" si="52"/>
        <v>1</v>
      </c>
      <c r="AL56" s="798">
        <f t="shared" si="52"/>
        <v>1</v>
      </c>
      <c r="AM56" s="798">
        <f t="shared" si="52"/>
        <v>1</v>
      </c>
      <c r="AN56" s="798">
        <f t="shared" si="52"/>
        <v>1</v>
      </c>
      <c r="AO56" s="798">
        <f t="shared" si="52"/>
        <v>1</v>
      </c>
      <c r="AP56" s="798">
        <f t="shared" si="52"/>
        <v>1</v>
      </c>
      <c r="AQ56" s="798">
        <f t="shared" si="52"/>
        <v>1</v>
      </c>
      <c r="AR56" s="798">
        <f t="shared" si="52"/>
        <v>1</v>
      </c>
      <c r="AS56" s="798">
        <f t="shared" si="52"/>
        <v>1</v>
      </c>
      <c r="AT56" s="798">
        <f t="shared" si="52"/>
        <v>1</v>
      </c>
      <c r="AU56" s="798">
        <f t="shared" si="52"/>
        <v>1</v>
      </c>
      <c r="AV56" s="798">
        <f t="shared" si="52"/>
        <v>1</v>
      </c>
      <c r="AW56" s="798">
        <f t="shared" si="52"/>
        <v>1</v>
      </c>
      <c r="AX56" s="798">
        <f t="shared" si="52"/>
        <v>1</v>
      </c>
      <c r="AY56" s="798">
        <f t="shared" si="52"/>
        <v>1</v>
      </c>
      <c r="AZ56" s="798">
        <f t="shared" si="52"/>
        <v>1</v>
      </c>
      <c r="BA56" s="798">
        <f t="shared" si="52"/>
        <v>1</v>
      </c>
      <c r="BB56" s="798">
        <f t="shared" si="52"/>
        <v>1</v>
      </c>
      <c r="BC56" s="798">
        <f t="shared" si="52"/>
        <v>1</v>
      </c>
      <c r="BD56" s="798">
        <f t="shared" si="52"/>
        <v>1</v>
      </c>
      <c r="BE56" s="798">
        <f t="shared" si="52"/>
        <v>1</v>
      </c>
      <c r="BF56" s="798">
        <f t="shared" si="52"/>
        <v>1</v>
      </c>
      <c r="BG56" s="798">
        <f t="shared" si="52"/>
        <v>1</v>
      </c>
      <c r="BH56" s="798">
        <f t="shared" si="52"/>
        <v>1</v>
      </c>
      <c r="BI56" s="798">
        <f t="shared" si="52"/>
        <v>1</v>
      </c>
      <c r="BJ56" s="798">
        <f t="shared" si="52"/>
        <v>1</v>
      </c>
      <c r="BK56" s="798">
        <f t="shared" si="52"/>
        <v>1</v>
      </c>
      <c r="BL56" s="765"/>
      <c r="BM56" s="816"/>
      <c r="BN56" s="816"/>
    </row>
    <row r="57" hidden="1">
      <c r="A57" s="765"/>
      <c r="B57" s="765"/>
      <c r="C57" s="765"/>
      <c r="D57" s="765"/>
      <c r="E57" s="765"/>
      <c r="F57" s="765"/>
      <c r="G57" s="765"/>
      <c r="H57" s="765"/>
      <c r="I57" s="765">
        <f t="shared" si="17"/>
        <v>46</v>
      </c>
      <c r="J57" s="763">
        <f t="shared" si="5"/>
        <v>1791502988</v>
      </c>
      <c r="K57" s="796">
        <f t="shared" si="7"/>
        <v>0.25679</v>
      </c>
      <c r="L57" s="796">
        <v>5.0E-4</v>
      </c>
      <c r="M57" s="763">
        <v>2.042762814E9</v>
      </c>
      <c r="N57" s="797">
        <f t="shared" si="8"/>
        <v>0</v>
      </c>
      <c r="O57" s="798">
        <f t="shared" ref="O57:BK57" si="53">FLOOR(MIN((((N("value of ELS upgrade")+N$8*($K57-$K56))*(N("Check checkbox")+(IF($G$6=TRUE,$G$7,$G$8))/$G$8))/(N("ROI of ELS and multiply by 2 if ELS is 1:1")+IF($G$12 = True, 2, 1) * $J57))/((N("difference in ELS+ and the cost of it")+(($K56*O$8)-($K56*N$8)) / O$7)),(N("MIN lets it return 0 or 1 after floored")+1)),1)</f>
        <v>0</v>
      </c>
      <c r="P57" s="798">
        <f t="shared" si="53"/>
        <v>1</v>
      </c>
      <c r="Q57" s="798">
        <f t="shared" si="53"/>
        <v>1</v>
      </c>
      <c r="R57" s="798">
        <f t="shared" si="53"/>
        <v>1</v>
      </c>
      <c r="S57" s="798">
        <f t="shared" si="53"/>
        <v>1</v>
      </c>
      <c r="T57" s="798">
        <f t="shared" si="53"/>
        <v>1</v>
      </c>
      <c r="U57" s="798">
        <f t="shared" si="53"/>
        <v>1</v>
      </c>
      <c r="V57" s="798">
        <f t="shared" si="53"/>
        <v>1</v>
      </c>
      <c r="W57" s="798">
        <f t="shared" si="53"/>
        <v>1</v>
      </c>
      <c r="X57" s="798">
        <f t="shared" si="53"/>
        <v>1</v>
      </c>
      <c r="Y57" s="798">
        <f t="shared" si="53"/>
        <v>1</v>
      </c>
      <c r="Z57" s="798">
        <f t="shared" si="53"/>
        <v>1</v>
      </c>
      <c r="AA57" s="798">
        <f t="shared" si="53"/>
        <v>1</v>
      </c>
      <c r="AB57" s="798">
        <f t="shared" si="53"/>
        <v>1</v>
      </c>
      <c r="AC57" s="798">
        <f t="shared" si="53"/>
        <v>1</v>
      </c>
      <c r="AD57" s="798">
        <f t="shared" si="53"/>
        <v>1</v>
      </c>
      <c r="AE57" s="798">
        <f t="shared" si="53"/>
        <v>1</v>
      </c>
      <c r="AF57" s="798">
        <f t="shared" si="53"/>
        <v>1</v>
      </c>
      <c r="AG57" s="798">
        <f t="shared" si="53"/>
        <v>1</v>
      </c>
      <c r="AH57" s="798">
        <f t="shared" si="53"/>
        <v>1</v>
      </c>
      <c r="AI57" s="798">
        <f t="shared" si="53"/>
        <v>1</v>
      </c>
      <c r="AJ57" s="798">
        <f t="shared" si="53"/>
        <v>1</v>
      </c>
      <c r="AK57" s="798">
        <f t="shared" si="53"/>
        <v>1</v>
      </c>
      <c r="AL57" s="798">
        <f t="shared" si="53"/>
        <v>1</v>
      </c>
      <c r="AM57" s="798">
        <f t="shared" si="53"/>
        <v>1</v>
      </c>
      <c r="AN57" s="798">
        <f t="shared" si="53"/>
        <v>1</v>
      </c>
      <c r="AO57" s="798">
        <f t="shared" si="53"/>
        <v>1</v>
      </c>
      <c r="AP57" s="798">
        <f t="shared" si="53"/>
        <v>1</v>
      </c>
      <c r="AQ57" s="798">
        <f t="shared" si="53"/>
        <v>1</v>
      </c>
      <c r="AR57" s="798">
        <f t="shared" si="53"/>
        <v>1</v>
      </c>
      <c r="AS57" s="798">
        <f t="shared" si="53"/>
        <v>1</v>
      </c>
      <c r="AT57" s="798">
        <f t="shared" si="53"/>
        <v>1</v>
      </c>
      <c r="AU57" s="798">
        <f t="shared" si="53"/>
        <v>1</v>
      </c>
      <c r="AV57" s="798">
        <f t="shared" si="53"/>
        <v>1</v>
      </c>
      <c r="AW57" s="798">
        <f t="shared" si="53"/>
        <v>1</v>
      </c>
      <c r="AX57" s="798">
        <f t="shared" si="53"/>
        <v>1</v>
      </c>
      <c r="AY57" s="798">
        <f t="shared" si="53"/>
        <v>1</v>
      </c>
      <c r="AZ57" s="798">
        <f t="shared" si="53"/>
        <v>1</v>
      </c>
      <c r="BA57" s="798">
        <f t="shared" si="53"/>
        <v>1</v>
      </c>
      <c r="BB57" s="798">
        <f t="shared" si="53"/>
        <v>1</v>
      </c>
      <c r="BC57" s="798">
        <f t="shared" si="53"/>
        <v>1</v>
      </c>
      <c r="BD57" s="798">
        <f t="shared" si="53"/>
        <v>1</v>
      </c>
      <c r="BE57" s="798">
        <f t="shared" si="53"/>
        <v>1</v>
      </c>
      <c r="BF57" s="798">
        <f t="shared" si="53"/>
        <v>1</v>
      </c>
      <c r="BG57" s="798">
        <f t="shared" si="53"/>
        <v>1</v>
      </c>
      <c r="BH57" s="798">
        <f t="shared" si="53"/>
        <v>1</v>
      </c>
      <c r="BI57" s="798">
        <f t="shared" si="53"/>
        <v>1</v>
      </c>
      <c r="BJ57" s="798">
        <f t="shared" si="53"/>
        <v>1</v>
      </c>
      <c r="BK57" s="798">
        <f t="shared" si="53"/>
        <v>1</v>
      </c>
      <c r="BL57" s="765"/>
      <c r="BM57" s="817"/>
      <c r="BN57" s="817"/>
    </row>
    <row r="58" hidden="1">
      <c r="A58" s="765"/>
      <c r="B58" s="765"/>
      <c r="C58" s="765"/>
      <c r="D58" s="765"/>
      <c r="E58" s="765"/>
      <c r="F58" s="765"/>
      <c r="G58" s="765"/>
      <c r="H58" s="765"/>
      <c r="I58" s="765">
        <f t="shared" si="17"/>
        <v>47</v>
      </c>
      <c r="J58" s="763">
        <f t="shared" si="5"/>
        <v>1819752123</v>
      </c>
      <c r="K58" s="796">
        <f t="shared" si="7"/>
        <v>0.25729</v>
      </c>
      <c r="L58" s="796">
        <v>5.0E-4</v>
      </c>
      <c r="M58" s="763">
        <v>2.074973915E9</v>
      </c>
      <c r="N58" s="797">
        <f t="shared" si="8"/>
        <v>0</v>
      </c>
      <c r="O58" s="798">
        <f t="shared" ref="O58:BK58" si="54">FLOOR(MIN((((N("value of ELS upgrade")+N$8*($K58-$K57))*(N("Check checkbox")+(IF($G$6=TRUE,$G$7,$G$8))/$G$8))/(N("ROI of ELS and multiply by 2 if ELS is 1:1")+IF($G$12 = True, 2, 1) * $J58))/((N("difference in ELS+ and the cost of it")+(($K57*O$8)-($K57*N$8)) / O$7)),(N("MIN lets it return 0 or 1 after floored")+1)),1)</f>
        <v>0</v>
      </c>
      <c r="P58" s="798">
        <f t="shared" si="54"/>
        <v>1</v>
      </c>
      <c r="Q58" s="798">
        <f t="shared" si="54"/>
        <v>1</v>
      </c>
      <c r="R58" s="798">
        <f t="shared" si="54"/>
        <v>1</v>
      </c>
      <c r="S58" s="798">
        <f t="shared" si="54"/>
        <v>1</v>
      </c>
      <c r="T58" s="798">
        <f t="shared" si="54"/>
        <v>1</v>
      </c>
      <c r="U58" s="798">
        <f t="shared" si="54"/>
        <v>1</v>
      </c>
      <c r="V58" s="798">
        <f t="shared" si="54"/>
        <v>1</v>
      </c>
      <c r="W58" s="798">
        <f t="shared" si="54"/>
        <v>1</v>
      </c>
      <c r="X58" s="798">
        <f t="shared" si="54"/>
        <v>1</v>
      </c>
      <c r="Y58" s="798">
        <f t="shared" si="54"/>
        <v>1</v>
      </c>
      <c r="Z58" s="798">
        <f t="shared" si="54"/>
        <v>1</v>
      </c>
      <c r="AA58" s="798">
        <f t="shared" si="54"/>
        <v>1</v>
      </c>
      <c r="AB58" s="798">
        <f t="shared" si="54"/>
        <v>1</v>
      </c>
      <c r="AC58" s="798">
        <f t="shared" si="54"/>
        <v>1</v>
      </c>
      <c r="AD58" s="798">
        <f t="shared" si="54"/>
        <v>1</v>
      </c>
      <c r="AE58" s="798">
        <f t="shared" si="54"/>
        <v>1</v>
      </c>
      <c r="AF58" s="798">
        <f t="shared" si="54"/>
        <v>1</v>
      </c>
      <c r="AG58" s="798">
        <f t="shared" si="54"/>
        <v>1</v>
      </c>
      <c r="AH58" s="798">
        <f t="shared" si="54"/>
        <v>1</v>
      </c>
      <c r="AI58" s="798">
        <f t="shared" si="54"/>
        <v>1</v>
      </c>
      <c r="AJ58" s="798">
        <f t="shared" si="54"/>
        <v>1</v>
      </c>
      <c r="AK58" s="798">
        <f t="shared" si="54"/>
        <v>1</v>
      </c>
      <c r="AL58" s="798">
        <f t="shared" si="54"/>
        <v>1</v>
      </c>
      <c r="AM58" s="798">
        <f t="shared" si="54"/>
        <v>1</v>
      </c>
      <c r="AN58" s="798">
        <f t="shared" si="54"/>
        <v>1</v>
      </c>
      <c r="AO58" s="798">
        <f t="shared" si="54"/>
        <v>1</v>
      </c>
      <c r="AP58" s="798">
        <f t="shared" si="54"/>
        <v>1</v>
      </c>
      <c r="AQ58" s="798">
        <f t="shared" si="54"/>
        <v>1</v>
      </c>
      <c r="AR58" s="798">
        <f t="shared" si="54"/>
        <v>1</v>
      </c>
      <c r="AS58" s="798">
        <f t="shared" si="54"/>
        <v>1</v>
      </c>
      <c r="AT58" s="798">
        <f t="shared" si="54"/>
        <v>1</v>
      </c>
      <c r="AU58" s="798">
        <f t="shared" si="54"/>
        <v>1</v>
      </c>
      <c r="AV58" s="798">
        <f t="shared" si="54"/>
        <v>1</v>
      </c>
      <c r="AW58" s="798">
        <f t="shared" si="54"/>
        <v>1</v>
      </c>
      <c r="AX58" s="798">
        <f t="shared" si="54"/>
        <v>1</v>
      </c>
      <c r="AY58" s="798">
        <f t="shared" si="54"/>
        <v>1</v>
      </c>
      <c r="AZ58" s="798">
        <f t="shared" si="54"/>
        <v>1</v>
      </c>
      <c r="BA58" s="798">
        <f t="shared" si="54"/>
        <v>1</v>
      </c>
      <c r="BB58" s="798">
        <f t="shared" si="54"/>
        <v>1</v>
      </c>
      <c r="BC58" s="798">
        <f t="shared" si="54"/>
        <v>1</v>
      </c>
      <c r="BD58" s="798">
        <f t="shared" si="54"/>
        <v>1</v>
      </c>
      <c r="BE58" s="798">
        <f t="shared" si="54"/>
        <v>1</v>
      </c>
      <c r="BF58" s="798">
        <f t="shared" si="54"/>
        <v>1</v>
      </c>
      <c r="BG58" s="798">
        <f t="shared" si="54"/>
        <v>1</v>
      </c>
      <c r="BH58" s="798">
        <f t="shared" si="54"/>
        <v>1</v>
      </c>
      <c r="BI58" s="798">
        <f t="shared" si="54"/>
        <v>1</v>
      </c>
      <c r="BJ58" s="798">
        <f t="shared" si="54"/>
        <v>1</v>
      </c>
      <c r="BK58" s="798">
        <f t="shared" si="54"/>
        <v>1</v>
      </c>
      <c r="BL58" s="765"/>
      <c r="BM58" s="817"/>
      <c r="BN58" s="817"/>
    </row>
    <row r="59" hidden="1">
      <c r="A59" s="765"/>
      <c r="B59" s="765"/>
      <c r="C59" s="765"/>
      <c r="D59" s="765"/>
      <c r="E59" s="765"/>
      <c r="F59" s="765"/>
      <c r="G59" s="765"/>
      <c r="H59" s="765"/>
      <c r="I59" s="765">
        <f t="shared" si="17"/>
        <v>48</v>
      </c>
      <c r="J59" s="763">
        <f t="shared" si="5"/>
        <v>1848010962</v>
      </c>
      <c r="K59" s="796">
        <f t="shared" si="7"/>
        <v>0.25779</v>
      </c>
      <c r="L59" s="796">
        <v>5.0E-4</v>
      </c>
      <c r="M59" s="763">
        <v>2.10719608E9</v>
      </c>
      <c r="N59" s="797">
        <f t="shared" si="8"/>
        <v>0</v>
      </c>
      <c r="O59" s="798">
        <f t="shared" ref="O59:BK59" si="55">FLOOR(MIN((((N("value of ELS upgrade")+N$8*($K59-$K58))*(N("Check checkbox")+(IF($G$6=TRUE,$G$7,$G$8))/$G$8))/(N("ROI of ELS and multiply by 2 if ELS is 1:1")+IF($G$12 = True, 2, 1) * $J59))/((N("difference in ELS+ and the cost of it")+(($K58*O$8)-($K58*N$8)) / O$7)),(N("MIN lets it return 0 or 1 after floored")+1)),1)</f>
        <v>0</v>
      </c>
      <c r="P59" s="798">
        <f t="shared" si="55"/>
        <v>1</v>
      </c>
      <c r="Q59" s="798">
        <f t="shared" si="55"/>
        <v>1</v>
      </c>
      <c r="R59" s="798">
        <f t="shared" si="55"/>
        <v>1</v>
      </c>
      <c r="S59" s="798">
        <f t="shared" si="55"/>
        <v>1</v>
      </c>
      <c r="T59" s="798">
        <f t="shared" si="55"/>
        <v>1</v>
      </c>
      <c r="U59" s="798">
        <f t="shared" si="55"/>
        <v>1</v>
      </c>
      <c r="V59" s="798">
        <f t="shared" si="55"/>
        <v>1</v>
      </c>
      <c r="W59" s="798">
        <f t="shared" si="55"/>
        <v>1</v>
      </c>
      <c r="X59" s="798">
        <f t="shared" si="55"/>
        <v>1</v>
      </c>
      <c r="Y59" s="798">
        <f t="shared" si="55"/>
        <v>1</v>
      </c>
      <c r="Z59" s="798">
        <f t="shared" si="55"/>
        <v>1</v>
      </c>
      <c r="AA59" s="798">
        <f t="shared" si="55"/>
        <v>1</v>
      </c>
      <c r="AB59" s="798">
        <f t="shared" si="55"/>
        <v>1</v>
      </c>
      <c r="AC59" s="798">
        <f t="shared" si="55"/>
        <v>1</v>
      </c>
      <c r="AD59" s="798">
        <f t="shared" si="55"/>
        <v>1</v>
      </c>
      <c r="AE59" s="798">
        <f t="shared" si="55"/>
        <v>1</v>
      </c>
      <c r="AF59" s="798">
        <f t="shared" si="55"/>
        <v>1</v>
      </c>
      <c r="AG59" s="798">
        <f t="shared" si="55"/>
        <v>1</v>
      </c>
      <c r="AH59" s="798">
        <f t="shared" si="55"/>
        <v>1</v>
      </c>
      <c r="AI59" s="798">
        <f t="shared" si="55"/>
        <v>1</v>
      </c>
      <c r="AJ59" s="798">
        <f t="shared" si="55"/>
        <v>1</v>
      </c>
      <c r="AK59" s="798">
        <f t="shared" si="55"/>
        <v>1</v>
      </c>
      <c r="AL59" s="798">
        <f t="shared" si="55"/>
        <v>1</v>
      </c>
      <c r="AM59" s="798">
        <f t="shared" si="55"/>
        <v>1</v>
      </c>
      <c r="AN59" s="798">
        <f t="shared" si="55"/>
        <v>1</v>
      </c>
      <c r="AO59" s="798">
        <f t="shared" si="55"/>
        <v>1</v>
      </c>
      <c r="AP59" s="798">
        <f t="shared" si="55"/>
        <v>1</v>
      </c>
      <c r="AQ59" s="798">
        <f t="shared" si="55"/>
        <v>1</v>
      </c>
      <c r="AR59" s="798">
        <f t="shared" si="55"/>
        <v>1</v>
      </c>
      <c r="AS59" s="798">
        <f t="shared" si="55"/>
        <v>1</v>
      </c>
      <c r="AT59" s="798">
        <f t="shared" si="55"/>
        <v>1</v>
      </c>
      <c r="AU59" s="798">
        <f t="shared" si="55"/>
        <v>1</v>
      </c>
      <c r="AV59" s="798">
        <f t="shared" si="55"/>
        <v>1</v>
      </c>
      <c r="AW59" s="798">
        <f t="shared" si="55"/>
        <v>1</v>
      </c>
      <c r="AX59" s="798">
        <f t="shared" si="55"/>
        <v>1</v>
      </c>
      <c r="AY59" s="798">
        <f t="shared" si="55"/>
        <v>1</v>
      </c>
      <c r="AZ59" s="798">
        <f t="shared" si="55"/>
        <v>1</v>
      </c>
      <c r="BA59" s="798">
        <f t="shared" si="55"/>
        <v>1</v>
      </c>
      <c r="BB59" s="798">
        <f t="shared" si="55"/>
        <v>1</v>
      </c>
      <c r="BC59" s="798">
        <f t="shared" si="55"/>
        <v>1</v>
      </c>
      <c r="BD59" s="798">
        <f t="shared" si="55"/>
        <v>1</v>
      </c>
      <c r="BE59" s="798">
        <f t="shared" si="55"/>
        <v>1</v>
      </c>
      <c r="BF59" s="798">
        <f t="shared" si="55"/>
        <v>1</v>
      </c>
      <c r="BG59" s="798">
        <f t="shared" si="55"/>
        <v>1</v>
      </c>
      <c r="BH59" s="798">
        <f t="shared" si="55"/>
        <v>1</v>
      </c>
      <c r="BI59" s="798">
        <f t="shared" si="55"/>
        <v>1</v>
      </c>
      <c r="BJ59" s="798">
        <f t="shared" si="55"/>
        <v>1</v>
      </c>
      <c r="BK59" s="798">
        <f t="shared" si="55"/>
        <v>1</v>
      </c>
      <c r="BL59" s="765"/>
      <c r="BM59" s="817"/>
      <c r="BN59" s="817"/>
    </row>
    <row r="60" hidden="1">
      <c r="A60" s="765"/>
      <c r="B60" s="765"/>
      <c r="C60" s="765"/>
      <c r="D60" s="765"/>
      <c r="E60" s="765"/>
      <c r="F60" s="765"/>
      <c r="G60" s="765"/>
      <c r="H60" s="765"/>
      <c r="I60" s="765">
        <f t="shared" si="17"/>
        <v>49</v>
      </c>
      <c r="J60" s="763">
        <f t="shared" si="5"/>
        <v>1876279791</v>
      </c>
      <c r="K60" s="796">
        <f t="shared" si="7"/>
        <v>0.25829</v>
      </c>
      <c r="L60" s="796">
        <v>5.0E-4</v>
      </c>
      <c r="M60" s="763">
        <v>2.139429636E9</v>
      </c>
      <c r="N60" s="797">
        <f t="shared" si="8"/>
        <v>0</v>
      </c>
      <c r="O60" s="798">
        <f t="shared" ref="O60:BK60" si="56">FLOOR(MIN((((N("value of ELS upgrade")+N$8*($K60-$K59))*(N("Check checkbox")+(IF($G$6=TRUE,$G$7,$G$8))/$G$8))/(N("ROI of ELS and multiply by 2 if ELS is 1:1")+IF($G$12 = True, 2, 1) * $J60))/((N("difference in ELS+ and the cost of it")+(($K59*O$8)-($K59*N$8)) / O$7)),(N("MIN lets it return 0 or 1 after floored")+1)),1)</f>
        <v>0</v>
      </c>
      <c r="P60" s="798">
        <f t="shared" si="56"/>
        <v>1</v>
      </c>
      <c r="Q60" s="798">
        <f t="shared" si="56"/>
        <v>1</v>
      </c>
      <c r="R60" s="798">
        <f t="shared" si="56"/>
        <v>1</v>
      </c>
      <c r="S60" s="798">
        <f t="shared" si="56"/>
        <v>1</v>
      </c>
      <c r="T60" s="798">
        <f t="shared" si="56"/>
        <v>1</v>
      </c>
      <c r="U60" s="798">
        <f t="shared" si="56"/>
        <v>1</v>
      </c>
      <c r="V60" s="798">
        <f t="shared" si="56"/>
        <v>1</v>
      </c>
      <c r="W60" s="798">
        <f t="shared" si="56"/>
        <v>1</v>
      </c>
      <c r="X60" s="798">
        <f t="shared" si="56"/>
        <v>1</v>
      </c>
      <c r="Y60" s="798">
        <f t="shared" si="56"/>
        <v>1</v>
      </c>
      <c r="Z60" s="798">
        <f t="shared" si="56"/>
        <v>1</v>
      </c>
      <c r="AA60" s="798">
        <f t="shared" si="56"/>
        <v>1</v>
      </c>
      <c r="AB60" s="798">
        <f t="shared" si="56"/>
        <v>1</v>
      </c>
      <c r="AC60" s="798">
        <f t="shared" si="56"/>
        <v>1</v>
      </c>
      <c r="AD60" s="798">
        <f t="shared" si="56"/>
        <v>1</v>
      </c>
      <c r="AE60" s="798">
        <f t="shared" si="56"/>
        <v>1</v>
      </c>
      <c r="AF60" s="798">
        <f t="shared" si="56"/>
        <v>1</v>
      </c>
      <c r="AG60" s="798">
        <f t="shared" si="56"/>
        <v>1</v>
      </c>
      <c r="AH60" s="798">
        <f t="shared" si="56"/>
        <v>1</v>
      </c>
      <c r="AI60" s="798">
        <f t="shared" si="56"/>
        <v>1</v>
      </c>
      <c r="AJ60" s="798">
        <f t="shared" si="56"/>
        <v>1</v>
      </c>
      <c r="AK60" s="798">
        <f t="shared" si="56"/>
        <v>1</v>
      </c>
      <c r="AL60" s="798">
        <f t="shared" si="56"/>
        <v>1</v>
      </c>
      <c r="AM60" s="798">
        <f t="shared" si="56"/>
        <v>1</v>
      </c>
      <c r="AN60" s="798">
        <f t="shared" si="56"/>
        <v>1</v>
      </c>
      <c r="AO60" s="798">
        <f t="shared" si="56"/>
        <v>1</v>
      </c>
      <c r="AP60" s="798">
        <f t="shared" si="56"/>
        <v>1</v>
      </c>
      <c r="AQ60" s="798">
        <f t="shared" si="56"/>
        <v>1</v>
      </c>
      <c r="AR60" s="798">
        <f t="shared" si="56"/>
        <v>1</v>
      </c>
      <c r="AS60" s="798">
        <f t="shared" si="56"/>
        <v>1</v>
      </c>
      <c r="AT60" s="798">
        <f t="shared" si="56"/>
        <v>1</v>
      </c>
      <c r="AU60" s="798">
        <f t="shared" si="56"/>
        <v>1</v>
      </c>
      <c r="AV60" s="798">
        <f t="shared" si="56"/>
        <v>1</v>
      </c>
      <c r="AW60" s="798">
        <f t="shared" si="56"/>
        <v>1</v>
      </c>
      <c r="AX60" s="798">
        <f t="shared" si="56"/>
        <v>1</v>
      </c>
      <c r="AY60" s="798">
        <f t="shared" si="56"/>
        <v>1</v>
      </c>
      <c r="AZ60" s="798">
        <f t="shared" si="56"/>
        <v>1</v>
      </c>
      <c r="BA60" s="798">
        <f t="shared" si="56"/>
        <v>1</v>
      </c>
      <c r="BB60" s="798">
        <f t="shared" si="56"/>
        <v>1</v>
      </c>
      <c r="BC60" s="798">
        <f t="shared" si="56"/>
        <v>1</v>
      </c>
      <c r="BD60" s="798">
        <f t="shared" si="56"/>
        <v>1</v>
      </c>
      <c r="BE60" s="798">
        <f t="shared" si="56"/>
        <v>1</v>
      </c>
      <c r="BF60" s="798">
        <f t="shared" si="56"/>
        <v>1</v>
      </c>
      <c r="BG60" s="798">
        <f t="shared" si="56"/>
        <v>1</v>
      </c>
      <c r="BH60" s="798">
        <f t="shared" si="56"/>
        <v>1</v>
      </c>
      <c r="BI60" s="798">
        <f t="shared" si="56"/>
        <v>1</v>
      </c>
      <c r="BJ60" s="798">
        <f t="shared" si="56"/>
        <v>1</v>
      </c>
      <c r="BK60" s="798">
        <f t="shared" si="56"/>
        <v>1</v>
      </c>
      <c r="BL60" s="765"/>
      <c r="BM60" s="817"/>
      <c r="BN60" s="817"/>
    </row>
    <row r="61" hidden="1">
      <c r="A61" s="765"/>
      <c r="B61" s="765"/>
      <c r="C61" s="765"/>
      <c r="D61" s="765"/>
      <c r="E61" s="765"/>
      <c r="F61" s="765"/>
      <c r="G61" s="765"/>
      <c r="H61" s="765"/>
      <c r="I61" s="765">
        <f t="shared" si="17"/>
        <v>50</v>
      </c>
      <c r="J61" s="763">
        <f t="shared" si="5"/>
        <v>1904558896</v>
      </c>
      <c r="K61" s="796">
        <f t="shared" si="7"/>
        <v>0.25879</v>
      </c>
      <c r="L61" s="796">
        <v>5.0E-4</v>
      </c>
      <c r="M61" s="763">
        <v>2.17167491E9</v>
      </c>
      <c r="N61" s="797">
        <f t="shared" si="8"/>
        <v>0</v>
      </c>
      <c r="O61" s="798">
        <f t="shared" ref="O61:BK61" si="57">FLOOR(MIN((((N("value of ELS upgrade")+N$8*($K61-$K60))*(N("Check checkbox")+(IF($G$6=TRUE,$G$7,$G$8))/$G$8))/(N("ROI of ELS and multiply by 2 if ELS is 1:1")+IF($G$12 = True, 2, 1) * $J61))/((N("difference in ELS+ and the cost of it")+(($K60*O$8)-($K60*N$8)) / O$7)),(N("MIN lets it return 0 or 1 after floored")+1)),1)</f>
        <v>0</v>
      </c>
      <c r="P61" s="798">
        <f t="shared" si="57"/>
        <v>1</v>
      </c>
      <c r="Q61" s="798">
        <f t="shared" si="57"/>
        <v>1</v>
      </c>
      <c r="R61" s="798">
        <f t="shared" si="57"/>
        <v>1</v>
      </c>
      <c r="S61" s="798">
        <f t="shared" si="57"/>
        <v>1</v>
      </c>
      <c r="T61" s="798">
        <f t="shared" si="57"/>
        <v>1</v>
      </c>
      <c r="U61" s="798">
        <f t="shared" si="57"/>
        <v>1</v>
      </c>
      <c r="V61" s="798">
        <f t="shared" si="57"/>
        <v>1</v>
      </c>
      <c r="W61" s="798">
        <f t="shared" si="57"/>
        <v>1</v>
      </c>
      <c r="X61" s="798">
        <f t="shared" si="57"/>
        <v>1</v>
      </c>
      <c r="Y61" s="798">
        <f t="shared" si="57"/>
        <v>1</v>
      </c>
      <c r="Z61" s="798">
        <f t="shared" si="57"/>
        <v>1</v>
      </c>
      <c r="AA61" s="798">
        <f t="shared" si="57"/>
        <v>1</v>
      </c>
      <c r="AB61" s="798">
        <f t="shared" si="57"/>
        <v>1</v>
      </c>
      <c r="AC61" s="798">
        <f t="shared" si="57"/>
        <v>1</v>
      </c>
      <c r="AD61" s="798">
        <f t="shared" si="57"/>
        <v>1</v>
      </c>
      <c r="AE61" s="798">
        <f t="shared" si="57"/>
        <v>1</v>
      </c>
      <c r="AF61" s="798">
        <f t="shared" si="57"/>
        <v>1</v>
      </c>
      <c r="AG61" s="798">
        <f t="shared" si="57"/>
        <v>1</v>
      </c>
      <c r="AH61" s="798">
        <f t="shared" si="57"/>
        <v>1</v>
      </c>
      <c r="AI61" s="798">
        <f t="shared" si="57"/>
        <v>1</v>
      </c>
      <c r="AJ61" s="798">
        <f t="shared" si="57"/>
        <v>1</v>
      </c>
      <c r="AK61" s="798">
        <f t="shared" si="57"/>
        <v>1</v>
      </c>
      <c r="AL61" s="798">
        <f t="shared" si="57"/>
        <v>1</v>
      </c>
      <c r="AM61" s="798">
        <f t="shared" si="57"/>
        <v>1</v>
      </c>
      <c r="AN61" s="798">
        <f t="shared" si="57"/>
        <v>1</v>
      </c>
      <c r="AO61" s="798">
        <f t="shared" si="57"/>
        <v>1</v>
      </c>
      <c r="AP61" s="798">
        <f t="shared" si="57"/>
        <v>1</v>
      </c>
      <c r="AQ61" s="798">
        <f t="shared" si="57"/>
        <v>1</v>
      </c>
      <c r="AR61" s="798">
        <f t="shared" si="57"/>
        <v>1</v>
      </c>
      <c r="AS61" s="798">
        <f t="shared" si="57"/>
        <v>1</v>
      </c>
      <c r="AT61" s="798">
        <f t="shared" si="57"/>
        <v>1</v>
      </c>
      <c r="AU61" s="798">
        <f t="shared" si="57"/>
        <v>1</v>
      </c>
      <c r="AV61" s="798">
        <f t="shared" si="57"/>
        <v>1</v>
      </c>
      <c r="AW61" s="798">
        <f t="shared" si="57"/>
        <v>1</v>
      </c>
      <c r="AX61" s="798">
        <f t="shared" si="57"/>
        <v>1</v>
      </c>
      <c r="AY61" s="798">
        <f t="shared" si="57"/>
        <v>1</v>
      </c>
      <c r="AZ61" s="798">
        <f t="shared" si="57"/>
        <v>1</v>
      </c>
      <c r="BA61" s="798">
        <f t="shared" si="57"/>
        <v>1</v>
      </c>
      <c r="BB61" s="798">
        <f t="shared" si="57"/>
        <v>1</v>
      </c>
      <c r="BC61" s="798">
        <f t="shared" si="57"/>
        <v>1</v>
      </c>
      <c r="BD61" s="798">
        <f t="shared" si="57"/>
        <v>1</v>
      </c>
      <c r="BE61" s="798">
        <f t="shared" si="57"/>
        <v>1</v>
      </c>
      <c r="BF61" s="798">
        <f t="shared" si="57"/>
        <v>1</v>
      </c>
      <c r="BG61" s="798">
        <f t="shared" si="57"/>
        <v>1</v>
      </c>
      <c r="BH61" s="798">
        <f t="shared" si="57"/>
        <v>1</v>
      </c>
      <c r="BI61" s="798">
        <f t="shared" si="57"/>
        <v>1</v>
      </c>
      <c r="BJ61" s="798">
        <f t="shared" si="57"/>
        <v>1</v>
      </c>
      <c r="BK61" s="798">
        <f t="shared" si="57"/>
        <v>1</v>
      </c>
      <c r="BL61" s="765"/>
      <c r="BM61" s="817"/>
      <c r="BN61" s="817"/>
    </row>
    <row r="62" hidden="1">
      <c r="A62" s="765"/>
      <c r="B62" s="765"/>
      <c r="C62" s="765"/>
      <c r="D62" s="765"/>
      <c r="E62" s="765"/>
      <c r="F62" s="765"/>
      <c r="G62" s="765"/>
      <c r="H62" s="765"/>
      <c r="I62" s="765">
        <f t="shared" si="17"/>
        <v>51</v>
      </c>
      <c r="J62" s="763">
        <f t="shared" si="5"/>
        <v>1990833971</v>
      </c>
      <c r="K62" s="796">
        <f t="shared" si="7"/>
        <v>0.25929</v>
      </c>
      <c r="L62" s="796">
        <v>5.0E-4</v>
      </c>
      <c r="M62" s="763">
        <v>2.27005013796499E9</v>
      </c>
      <c r="N62" s="797">
        <f t="shared" si="8"/>
        <v>0</v>
      </c>
      <c r="O62" s="798">
        <f t="shared" ref="O62:BK62" si="58">FLOOR(MIN((((N("value of ELS upgrade")+N$8*($K62-$K61))*(N("Check checkbox")+(IF($G$6=TRUE,$G$7,$G$8))/$G$8))/(N("ROI of ELS and multiply by 2 if ELS is 1:1")+IF($G$12 = True, 2, 1) * $J62))/((N("difference in ELS+ and the cost of it")+(($K61*O$8)-($K61*N$8)) / O$7)),(N("MIN lets it return 0 or 1 after floored")+1)),1)</f>
        <v>0</v>
      </c>
      <c r="P62" s="798">
        <f t="shared" si="58"/>
        <v>1</v>
      </c>
      <c r="Q62" s="798">
        <f t="shared" si="58"/>
        <v>1</v>
      </c>
      <c r="R62" s="798">
        <f t="shared" si="58"/>
        <v>1</v>
      </c>
      <c r="S62" s="798">
        <f t="shared" si="58"/>
        <v>1</v>
      </c>
      <c r="T62" s="798">
        <f t="shared" si="58"/>
        <v>1</v>
      </c>
      <c r="U62" s="798">
        <f t="shared" si="58"/>
        <v>1</v>
      </c>
      <c r="V62" s="798">
        <f t="shared" si="58"/>
        <v>1</v>
      </c>
      <c r="W62" s="798">
        <f t="shared" si="58"/>
        <v>1</v>
      </c>
      <c r="X62" s="798">
        <f t="shared" si="58"/>
        <v>1</v>
      </c>
      <c r="Y62" s="798">
        <f t="shared" si="58"/>
        <v>1</v>
      </c>
      <c r="Z62" s="798">
        <f t="shared" si="58"/>
        <v>1</v>
      </c>
      <c r="AA62" s="798">
        <f t="shared" si="58"/>
        <v>1</v>
      </c>
      <c r="AB62" s="798">
        <f t="shared" si="58"/>
        <v>1</v>
      </c>
      <c r="AC62" s="798">
        <f t="shared" si="58"/>
        <v>1</v>
      </c>
      <c r="AD62" s="798">
        <f t="shared" si="58"/>
        <v>1</v>
      </c>
      <c r="AE62" s="798">
        <f t="shared" si="58"/>
        <v>1</v>
      </c>
      <c r="AF62" s="798">
        <f t="shared" si="58"/>
        <v>1</v>
      </c>
      <c r="AG62" s="798">
        <f t="shared" si="58"/>
        <v>1</v>
      </c>
      <c r="AH62" s="798">
        <f t="shared" si="58"/>
        <v>1</v>
      </c>
      <c r="AI62" s="798">
        <f t="shared" si="58"/>
        <v>1</v>
      </c>
      <c r="AJ62" s="798">
        <f t="shared" si="58"/>
        <v>1</v>
      </c>
      <c r="AK62" s="798">
        <f t="shared" si="58"/>
        <v>1</v>
      </c>
      <c r="AL62" s="798">
        <f t="shared" si="58"/>
        <v>1</v>
      </c>
      <c r="AM62" s="798">
        <f t="shared" si="58"/>
        <v>1</v>
      </c>
      <c r="AN62" s="798">
        <f t="shared" si="58"/>
        <v>1</v>
      </c>
      <c r="AO62" s="798">
        <f t="shared" si="58"/>
        <v>1</v>
      </c>
      <c r="AP62" s="798">
        <f t="shared" si="58"/>
        <v>1</v>
      </c>
      <c r="AQ62" s="798">
        <f t="shared" si="58"/>
        <v>1</v>
      </c>
      <c r="AR62" s="798">
        <f t="shared" si="58"/>
        <v>1</v>
      </c>
      <c r="AS62" s="798">
        <f t="shared" si="58"/>
        <v>1</v>
      </c>
      <c r="AT62" s="798">
        <f t="shared" si="58"/>
        <v>1</v>
      </c>
      <c r="AU62" s="798">
        <f t="shared" si="58"/>
        <v>1</v>
      </c>
      <c r="AV62" s="798">
        <f t="shared" si="58"/>
        <v>1</v>
      </c>
      <c r="AW62" s="798">
        <f t="shared" si="58"/>
        <v>1</v>
      </c>
      <c r="AX62" s="798">
        <f t="shared" si="58"/>
        <v>1</v>
      </c>
      <c r="AY62" s="798">
        <f t="shared" si="58"/>
        <v>1</v>
      </c>
      <c r="AZ62" s="798">
        <f t="shared" si="58"/>
        <v>1</v>
      </c>
      <c r="BA62" s="798">
        <f t="shared" si="58"/>
        <v>1</v>
      </c>
      <c r="BB62" s="798">
        <f t="shared" si="58"/>
        <v>1</v>
      </c>
      <c r="BC62" s="798">
        <f t="shared" si="58"/>
        <v>1</v>
      </c>
      <c r="BD62" s="798">
        <f t="shared" si="58"/>
        <v>1</v>
      </c>
      <c r="BE62" s="798">
        <f t="shared" si="58"/>
        <v>1</v>
      </c>
      <c r="BF62" s="798">
        <f t="shared" si="58"/>
        <v>1</v>
      </c>
      <c r="BG62" s="798">
        <f t="shared" si="58"/>
        <v>1</v>
      </c>
      <c r="BH62" s="798">
        <f t="shared" si="58"/>
        <v>1</v>
      </c>
      <c r="BI62" s="798">
        <f t="shared" si="58"/>
        <v>1</v>
      </c>
      <c r="BJ62" s="798">
        <f t="shared" si="58"/>
        <v>1</v>
      </c>
      <c r="BK62" s="798">
        <f t="shared" si="58"/>
        <v>1</v>
      </c>
      <c r="BL62" s="765"/>
      <c r="BM62" s="817"/>
      <c r="BN62" s="817"/>
    </row>
    <row r="63" hidden="1">
      <c r="A63" s="765"/>
      <c r="B63" s="765"/>
      <c r="C63" s="765"/>
      <c r="D63" s="765"/>
      <c r="E63" s="765"/>
      <c r="F63" s="765"/>
      <c r="G63" s="765"/>
      <c r="H63" s="765"/>
      <c r="I63" s="765">
        <f t="shared" si="17"/>
        <v>52</v>
      </c>
      <c r="J63" s="763">
        <f t="shared" si="5"/>
        <v>2019983518</v>
      </c>
      <c r="K63" s="796">
        <f t="shared" si="7"/>
        <v>0.25979</v>
      </c>
      <c r="L63" s="796">
        <v>5.0E-4</v>
      </c>
      <c r="M63" s="763">
        <v>2.30328793422175E9</v>
      </c>
      <c r="N63" s="797">
        <f t="shared" si="8"/>
        <v>0</v>
      </c>
      <c r="O63" s="798">
        <f t="shared" ref="O63:BK63" si="59">FLOOR(MIN((((N("value of ELS upgrade")+N$8*($K63-$K62))*(N("Check checkbox")+(IF($G$6=TRUE,$G$7,$G$8))/$G$8))/(N("ROI of ELS and multiply by 2 if ELS is 1:1")+IF($G$12 = True, 2, 1) * $J63))/((N("difference in ELS+ and the cost of it")+(($K62*O$8)-($K62*N$8)) / O$7)),(N("MIN lets it return 0 or 1 after floored")+1)),1)</f>
        <v>0</v>
      </c>
      <c r="P63" s="798">
        <f t="shared" si="59"/>
        <v>1</v>
      </c>
      <c r="Q63" s="798">
        <f t="shared" si="59"/>
        <v>1</v>
      </c>
      <c r="R63" s="798">
        <f t="shared" si="59"/>
        <v>1</v>
      </c>
      <c r="S63" s="798">
        <f t="shared" si="59"/>
        <v>1</v>
      </c>
      <c r="T63" s="798">
        <f t="shared" si="59"/>
        <v>1</v>
      </c>
      <c r="U63" s="798">
        <f t="shared" si="59"/>
        <v>1</v>
      </c>
      <c r="V63" s="798">
        <f t="shared" si="59"/>
        <v>1</v>
      </c>
      <c r="W63" s="798">
        <f t="shared" si="59"/>
        <v>1</v>
      </c>
      <c r="X63" s="798">
        <f t="shared" si="59"/>
        <v>1</v>
      </c>
      <c r="Y63" s="798">
        <f t="shared" si="59"/>
        <v>1</v>
      </c>
      <c r="Z63" s="798">
        <f t="shared" si="59"/>
        <v>1</v>
      </c>
      <c r="AA63" s="798">
        <f t="shared" si="59"/>
        <v>1</v>
      </c>
      <c r="AB63" s="798">
        <f t="shared" si="59"/>
        <v>1</v>
      </c>
      <c r="AC63" s="798">
        <f t="shared" si="59"/>
        <v>1</v>
      </c>
      <c r="AD63" s="798">
        <f t="shared" si="59"/>
        <v>1</v>
      </c>
      <c r="AE63" s="798">
        <f t="shared" si="59"/>
        <v>1</v>
      </c>
      <c r="AF63" s="798">
        <f t="shared" si="59"/>
        <v>1</v>
      </c>
      <c r="AG63" s="798">
        <f t="shared" si="59"/>
        <v>1</v>
      </c>
      <c r="AH63" s="798">
        <f t="shared" si="59"/>
        <v>1</v>
      </c>
      <c r="AI63" s="798">
        <f t="shared" si="59"/>
        <v>1</v>
      </c>
      <c r="AJ63" s="798">
        <f t="shared" si="59"/>
        <v>1</v>
      </c>
      <c r="AK63" s="798">
        <f t="shared" si="59"/>
        <v>1</v>
      </c>
      <c r="AL63" s="798">
        <f t="shared" si="59"/>
        <v>1</v>
      </c>
      <c r="AM63" s="798">
        <f t="shared" si="59"/>
        <v>1</v>
      </c>
      <c r="AN63" s="798">
        <f t="shared" si="59"/>
        <v>1</v>
      </c>
      <c r="AO63" s="798">
        <f t="shared" si="59"/>
        <v>1</v>
      </c>
      <c r="AP63" s="798">
        <f t="shared" si="59"/>
        <v>1</v>
      </c>
      <c r="AQ63" s="798">
        <f t="shared" si="59"/>
        <v>1</v>
      </c>
      <c r="AR63" s="798">
        <f t="shared" si="59"/>
        <v>1</v>
      </c>
      <c r="AS63" s="798">
        <f t="shared" si="59"/>
        <v>1</v>
      </c>
      <c r="AT63" s="798">
        <f t="shared" si="59"/>
        <v>1</v>
      </c>
      <c r="AU63" s="798">
        <f t="shared" si="59"/>
        <v>1</v>
      </c>
      <c r="AV63" s="798">
        <f t="shared" si="59"/>
        <v>1</v>
      </c>
      <c r="AW63" s="798">
        <f t="shared" si="59"/>
        <v>1</v>
      </c>
      <c r="AX63" s="798">
        <f t="shared" si="59"/>
        <v>1</v>
      </c>
      <c r="AY63" s="798">
        <f t="shared" si="59"/>
        <v>1</v>
      </c>
      <c r="AZ63" s="798">
        <f t="shared" si="59"/>
        <v>1</v>
      </c>
      <c r="BA63" s="798">
        <f t="shared" si="59"/>
        <v>1</v>
      </c>
      <c r="BB63" s="798">
        <f t="shared" si="59"/>
        <v>1</v>
      </c>
      <c r="BC63" s="798">
        <f t="shared" si="59"/>
        <v>1</v>
      </c>
      <c r="BD63" s="798">
        <f t="shared" si="59"/>
        <v>1</v>
      </c>
      <c r="BE63" s="798">
        <f t="shared" si="59"/>
        <v>1</v>
      </c>
      <c r="BF63" s="798">
        <f t="shared" si="59"/>
        <v>1</v>
      </c>
      <c r="BG63" s="798">
        <f t="shared" si="59"/>
        <v>1</v>
      </c>
      <c r="BH63" s="798">
        <f t="shared" si="59"/>
        <v>1</v>
      </c>
      <c r="BI63" s="798">
        <f t="shared" si="59"/>
        <v>1</v>
      </c>
      <c r="BJ63" s="798">
        <f t="shared" si="59"/>
        <v>1</v>
      </c>
      <c r="BK63" s="798">
        <f t="shared" si="59"/>
        <v>1</v>
      </c>
      <c r="BL63" s="765"/>
      <c r="BM63" s="817"/>
      <c r="BN63" s="817"/>
    </row>
    <row r="64" hidden="1">
      <c r="A64" s="765"/>
      <c r="B64" s="765"/>
      <c r="C64" s="765"/>
      <c r="D64" s="765"/>
      <c r="E64" s="765"/>
      <c r="F64" s="765"/>
      <c r="G64" s="765"/>
      <c r="H64" s="765"/>
      <c r="I64" s="765">
        <f t="shared" si="17"/>
        <v>53</v>
      </c>
      <c r="J64" s="763">
        <f t="shared" si="5"/>
        <v>2049144556</v>
      </c>
      <c r="K64" s="796">
        <f t="shared" si="7"/>
        <v>0.26029</v>
      </c>
      <c r="L64" s="796">
        <v>5.0E-4</v>
      </c>
      <c r="M64" s="763">
        <v>2.33653883207814E9</v>
      </c>
      <c r="N64" s="797">
        <f t="shared" si="8"/>
        <v>0</v>
      </c>
      <c r="O64" s="798">
        <f t="shared" ref="O64:BK64" si="60">FLOOR(MIN((((N("value of ELS upgrade")+N$8*($K64-$K63))*(N("Check checkbox")+(IF($G$6=TRUE,$G$7,$G$8))/$G$8))/(N("ROI of ELS and multiply by 2 if ELS is 1:1")+IF($G$12 = True, 2, 1) * $J64))/((N("difference in ELS+ and the cost of it")+(($K63*O$8)-($K63*N$8)) / O$7)),(N("MIN lets it return 0 or 1 after floored")+1)),1)</f>
        <v>0</v>
      </c>
      <c r="P64" s="798">
        <f t="shared" si="60"/>
        <v>1</v>
      </c>
      <c r="Q64" s="798">
        <f t="shared" si="60"/>
        <v>1</v>
      </c>
      <c r="R64" s="798">
        <f t="shared" si="60"/>
        <v>1</v>
      </c>
      <c r="S64" s="798">
        <f t="shared" si="60"/>
        <v>1</v>
      </c>
      <c r="T64" s="798">
        <f t="shared" si="60"/>
        <v>1</v>
      </c>
      <c r="U64" s="798">
        <f t="shared" si="60"/>
        <v>1</v>
      </c>
      <c r="V64" s="798">
        <f t="shared" si="60"/>
        <v>1</v>
      </c>
      <c r="W64" s="798">
        <f t="shared" si="60"/>
        <v>1</v>
      </c>
      <c r="X64" s="798">
        <f t="shared" si="60"/>
        <v>1</v>
      </c>
      <c r="Y64" s="798">
        <f t="shared" si="60"/>
        <v>1</v>
      </c>
      <c r="Z64" s="798">
        <f t="shared" si="60"/>
        <v>1</v>
      </c>
      <c r="AA64" s="798">
        <f t="shared" si="60"/>
        <v>1</v>
      </c>
      <c r="AB64" s="798">
        <f t="shared" si="60"/>
        <v>1</v>
      </c>
      <c r="AC64" s="798">
        <f t="shared" si="60"/>
        <v>1</v>
      </c>
      <c r="AD64" s="798">
        <f t="shared" si="60"/>
        <v>1</v>
      </c>
      <c r="AE64" s="798">
        <f t="shared" si="60"/>
        <v>1</v>
      </c>
      <c r="AF64" s="798">
        <f t="shared" si="60"/>
        <v>1</v>
      </c>
      <c r="AG64" s="798">
        <f t="shared" si="60"/>
        <v>1</v>
      </c>
      <c r="AH64" s="798">
        <f t="shared" si="60"/>
        <v>1</v>
      </c>
      <c r="AI64" s="798">
        <f t="shared" si="60"/>
        <v>1</v>
      </c>
      <c r="AJ64" s="798">
        <f t="shared" si="60"/>
        <v>1</v>
      </c>
      <c r="AK64" s="798">
        <f t="shared" si="60"/>
        <v>1</v>
      </c>
      <c r="AL64" s="798">
        <f t="shared" si="60"/>
        <v>1</v>
      </c>
      <c r="AM64" s="798">
        <f t="shared" si="60"/>
        <v>1</v>
      </c>
      <c r="AN64" s="798">
        <f t="shared" si="60"/>
        <v>1</v>
      </c>
      <c r="AO64" s="798">
        <f t="shared" si="60"/>
        <v>1</v>
      </c>
      <c r="AP64" s="798">
        <f t="shared" si="60"/>
        <v>1</v>
      </c>
      <c r="AQ64" s="798">
        <f t="shared" si="60"/>
        <v>1</v>
      </c>
      <c r="AR64" s="798">
        <f t="shared" si="60"/>
        <v>1</v>
      </c>
      <c r="AS64" s="798">
        <f t="shared" si="60"/>
        <v>1</v>
      </c>
      <c r="AT64" s="798">
        <f t="shared" si="60"/>
        <v>1</v>
      </c>
      <c r="AU64" s="798">
        <f t="shared" si="60"/>
        <v>1</v>
      </c>
      <c r="AV64" s="798">
        <f t="shared" si="60"/>
        <v>1</v>
      </c>
      <c r="AW64" s="798">
        <f t="shared" si="60"/>
        <v>1</v>
      </c>
      <c r="AX64" s="798">
        <f t="shared" si="60"/>
        <v>1</v>
      </c>
      <c r="AY64" s="798">
        <f t="shared" si="60"/>
        <v>1</v>
      </c>
      <c r="AZ64" s="798">
        <f t="shared" si="60"/>
        <v>1</v>
      </c>
      <c r="BA64" s="798">
        <f t="shared" si="60"/>
        <v>1</v>
      </c>
      <c r="BB64" s="798">
        <f t="shared" si="60"/>
        <v>1</v>
      </c>
      <c r="BC64" s="798">
        <f t="shared" si="60"/>
        <v>1</v>
      </c>
      <c r="BD64" s="798">
        <f t="shared" si="60"/>
        <v>1</v>
      </c>
      <c r="BE64" s="798">
        <f t="shared" si="60"/>
        <v>1</v>
      </c>
      <c r="BF64" s="798">
        <f t="shared" si="60"/>
        <v>1</v>
      </c>
      <c r="BG64" s="798">
        <f t="shared" si="60"/>
        <v>1</v>
      </c>
      <c r="BH64" s="798">
        <f t="shared" si="60"/>
        <v>1</v>
      </c>
      <c r="BI64" s="798">
        <f t="shared" si="60"/>
        <v>1</v>
      </c>
      <c r="BJ64" s="798">
        <f t="shared" si="60"/>
        <v>1</v>
      </c>
      <c r="BK64" s="798">
        <f t="shared" si="60"/>
        <v>1</v>
      </c>
      <c r="BL64" s="765"/>
      <c r="BM64" s="817"/>
      <c r="BN64" s="817"/>
    </row>
    <row r="65" hidden="1">
      <c r="A65" s="765"/>
      <c r="B65" s="765"/>
      <c r="C65" s="765"/>
      <c r="D65" s="765"/>
      <c r="E65" s="765"/>
      <c r="F65" s="765"/>
      <c r="G65" s="765"/>
      <c r="H65" s="765"/>
      <c r="I65" s="765">
        <f t="shared" si="17"/>
        <v>54</v>
      </c>
      <c r="J65" s="763">
        <f t="shared" si="5"/>
        <v>2078317386</v>
      </c>
      <c r="K65" s="796">
        <f t="shared" si="7"/>
        <v>0.26079</v>
      </c>
      <c r="L65" s="796">
        <v>5.0E-4</v>
      </c>
      <c r="M65" s="763">
        <v>2.36980317658416E9</v>
      </c>
      <c r="N65" s="797">
        <f t="shared" si="8"/>
        <v>0</v>
      </c>
      <c r="O65" s="798">
        <f t="shared" ref="O65:BK65" si="61">FLOOR(MIN((((N("value of ELS upgrade")+N$8*($K65-$K64))*(N("Check checkbox")+(IF($G$6=TRUE,$G$7,$G$8))/$G$8))/(N("ROI of ELS and multiply by 2 if ELS is 1:1")+IF($G$12 = True, 2, 1) * $J65))/((N("difference in ELS+ and the cost of it")+(($K64*O$8)-($K64*N$8)) / O$7)),(N("MIN lets it return 0 or 1 after floored")+1)),1)</f>
        <v>0</v>
      </c>
      <c r="P65" s="798">
        <f t="shared" si="61"/>
        <v>1</v>
      </c>
      <c r="Q65" s="798">
        <f t="shared" si="61"/>
        <v>1</v>
      </c>
      <c r="R65" s="798">
        <f t="shared" si="61"/>
        <v>1</v>
      </c>
      <c r="S65" s="798">
        <f t="shared" si="61"/>
        <v>1</v>
      </c>
      <c r="T65" s="798">
        <f t="shared" si="61"/>
        <v>1</v>
      </c>
      <c r="U65" s="798">
        <f t="shared" si="61"/>
        <v>1</v>
      </c>
      <c r="V65" s="798">
        <f t="shared" si="61"/>
        <v>1</v>
      </c>
      <c r="W65" s="798">
        <f t="shared" si="61"/>
        <v>1</v>
      </c>
      <c r="X65" s="798">
        <f t="shared" si="61"/>
        <v>1</v>
      </c>
      <c r="Y65" s="798">
        <f t="shared" si="61"/>
        <v>1</v>
      </c>
      <c r="Z65" s="798">
        <f t="shared" si="61"/>
        <v>1</v>
      </c>
      <c r="AA65" s="798">
        <f t="shared" si="61"/>
        <v>1</v>
      </c>
      <c r="AB65" s="798">
        <f t="shared" si="61"/>
        <v>1</v>
      </c>
      <c r="AC65" s="798">
        <f t="shared" si="61"/>
        <v>1</v>
      </c>
      <c r="AD65" s="798">
        <f t="shared" si="61"/>
        <v>1</v>
      </c>
      <c r="AE65" s="798">
        <f t="shared" si="61"/>
        <v>1</v>
      </c>
      <c r="AF65" s="798">
        <f t="shared" si="61"/>
        <v>1</v>
      </c>
      <c r="AG65" s="798">
        <f t="shared" si="61"/>
        <v>1</v>
      </c>
      <c r="AH65" s="798">
        <f t="shared" si="61"/>
        <v>1</v>
      </c>
      <c r="AI65" s="798">
        <f t="shared" si="61"/>
        <v>1</v>
      </c>
      <c r="AJ65" s="798">
        <f t="shared" si="61"/>
        <v>1</v>
      </c>
      <c r="AK65" s="798">
        <f t="shared" si="61"/>
        <v>1</v>
      </c>
      <c r="AL65" s="798">
        <f t="shared" si="61"/>
        <v>1</v>
      </c>
      <c r="AM65" s="798">
        <f t="shared" si="61"/>
        <v>1</v>
      </c>
      <c r="AN65" s="798">
        <f t="shared" si="61"/>
        <v>1</v>
      </c>
      <c r="AO65" s="798">
        <f t="shared" si="61"/>
        <v>1</v>
      </c>
      <c r="AP65" s="798">
        <f t="shared" si="61"/>
        <v>1</v>
      </c>
      <c r="AQ65" s="798">
        <f t="shared" si="61"/>
        <v>1</v>
      </c>
      <c r="AR65" s="798">
        <f t="shared" si="61"/>
        <v>1</v>
      </c>
      <c r="AS65" s="798">
        <f t="shared" si="61"/>
        <v>1</v>
      </c>
      <c r="AT65" s="798">
        <f t="shared" si="61"/>
        <v>1</v>
      </c>
      <c r="AU65" s="798">
        <f t="shared" si="61"/>
        <v>1</v>
      </c>
      <c r="AV65" s="798">
        <f t="shared" si="61"/>
        <v>1</v>
      </c>
      <c r="AW65" s="798">
        <f t="shared" si="61"/>
        <v>1</v>
      </c>
      <c r="AX65" s="798">
        <f t="shared" si="61"/>
        <v>1</v>
      </c>
      <c r="AY65" s="798">
        <f t="shared" si="61"/>
        <v>1</v>
      </c>
      <c r="AZ65" s="798">
        <f t="shared" si="61"/>
        <v>1</v>
      </c>
      <c r="BA65" s="798">
        <f t="shared" si="61"/>
        <v>1</v>
      </c>
      <c r="BB65" s="798">
        <f t="shared" si="61"/>
        <v>1</v>
      </c>
      <c r="BC65" s="798">
        <f t="shared" si="61"/>
        <v>1</v>
      </c>
      <c r="BD65" s="798">
        <f t="shared" si="61"/>
        <v>1</v>
      </c>
      <c r="BE65" s="798">
        <f t="shared" si="61"/>
        <v>1</v>
      </c>
      <c r="BF65" s="798">
        <f t="shared" si="61"/>
        <v>1</v>
      </c>
      <c r="BG65" s="798">
        <f t="shared" si="61"/>
        <v>1</v>
      </c>
      <c r="BH65" s="798">
        <f t="shared" si="61"/>
        <v>1</v>
      </c>
      <c r="BI65" s="798">
        <f t="shared" si="61"/>
        <v>1</v>
      </c>
      <c r="BJ65" s="798">
        <f t="shared" si="61"/>
        <v>1</v>
      </c>
      <c r="BK65" s="798">
        <f t="shared" si="61"/>
        <v>1</v>
      </c>
      <c r="BL65" s="765"/>
      <c r="BM65" s="817"/>
      <c r="BN65" s="817"/>
    </row>
    <row r="66" hidden="1">
      <c r="A66" s="765"/>
      <c r="B66" s="765"/>
      <c r="C66" s="765"/>
      <c r="D66" s="765"/>
      <c r="E66" s="765"/>
      <c r="F66" s="765"/>
      <c r="G66" s="765"/>
      <c r="H66" s="765"/>
      <c r="I66" s="765">
        <f t="shared" si="17"/>
        <v>55</v>
      </c>
      <c r="J66" s="763">
        <f t="shared" si="5"/>
        <v>2107502317</v>
      </c>
      <c r="K66" s="796">
        <f t="shared" si="7"/>
        <v>0.26129</v>
      </c>
      <c r="L66" s="796">
        <v>5.0E-4</v>
      </c>
      <c r="M66" s="763">
        <v>2.4030813189698E9</v>
      </c>
      <c r="N66" s="797">
        <f t="shared" si="8"/>
        <v>0</v>
      </c>
      <c r="O66" s="798">
        <f t="shared" ref="O66:BK66" si="62">FLOOR(MIN((((N("value of ELS upgrade")+N$8*($K66-$K65))*(N("Check checkbox")+(IF($G$6=TRUE,$G$7,$G$8))/$G$8))/(N("ROI of ELS and multiply by 2 if ELS is 1:1")+IF($G$12 = True, 2, 1) * $J66))/((N("difference in ELS+ and the cost of it")+(($K65*O$8)-($K65*N$8)) / O$7)),(N("MIN lets it return 0 or 1 after floored")+1)),1)</f>
        <v>0</v>
      </c>
      <c r="P66" s="798">
        <f t="shared" si="62"/>
        <v>1</v>
      </c>
      <c r="Q66" s="798">
        <f t="shared" si="62"/>
        <v>1</v>
      </c>
      <c r="R66" s="798">
        <f t="shared" si="62"/>
        <v>1</v>
      </c>
      <c r="S66" s="798">
        <f t="shared" si="62"/>
        <v>1</v>
      </c>
      <c r="T66" s="798">
        <f t="shared" si="62"/>
        <v>1</v>
      </c>
      <c r="U66" s="798">
        <f t="shared" si="62"/>
        <v>1</v>
      </c>
      <c r="V66" s="798">
        <f t="shared" si="62"/>
        <v>1</v>
      </c>
      <c r="W66" s="798">
        <f t="shared" si="62"/>
        <v>1</v>
      </c>
      <c r="X66" s="798">
        <f t="shared" si="62"/>
        <v>1</v>
      </c>
      <c r="Y66" s="798">
        <f t="shared" si="62"/>
        <v>1</v>
      </c>
      <c r="Z66" s="798">
        <f t="shared" si="62"/>
        <v>1</v>
      </c>
      <c r="AA66" s="798">
        <f t="shared" si="62"/>
        <v>1</v>
      </c>
      <c r="AB66" s="798">
        <f t="shared" si="62"/>
        <v>1</v>
      </c>
      <c r="AC66" s="798">
        <f t="shared" si="62"/>
        <v>1</v>
      </c>
      <c r="AD66" s="798">
        <f t="shared" si="62"/>
        <v>1</v>
      </c>
      <c r="AE66" s="798">
        <f t="shared" si="62"/>
        <v>1</v>
      </c>
      <c r="AF66" s="798">
        <f t="shared" si="62"/>
        <v>1</v>
      </c>
      <c r="AG66" s="798">
        <f t="shared" si="62"/>
        <v>1</v>
      </c>
      <c r="AH66" s="798">
        <f t="shared" si="62"/>
        <v>1</v>
      </c>
      <c r="AI66" s="798">
        <f t="shared" si="62"/>
        <v>1</v>
      </c>
      <c r="AJ66" s="798">
        <f t="shared" si="62"/>
        <v>1</v>
      </c>
      <c r="AK66" s="798">
        <f t="shared" si="62"/>
        <v>1</v>
      </c>
      <c r="AL66" s="798">
        <f t="shared" si="62"/>
        <v>1</v>
      </c>
      <c r="AM66" s="798">
        <f t="shared" si="62"/>
        <v>1</v>
      </c>
      <c r="AN66" s="798">
        <f t="shared" si="62"/>
        <v>1</v>
      </c>
      <c r="AO66" s="798">
        <f t="shared" si="62"/>
        <v>1</v>
      </c>
      <c r="AP66" s="798">
        <f t="shared" si="62"/>
        <v>1</v>
      </c>
      <c r="AQ66" s="798">
        <f t="shared" si="62"/>
        <v>1</v>
      </c>
      <c r="AR66" s="798">
        <f t="shared" si="62"/>
        <v>1</v>
      </c>
      <c r="AS66" s="798">
        <f t="shared" si="62"/>
        <v>1</v>
      </c>
      <c r="AT66" s="798">
        <f t="shared" si="62"/>
        <v>1</v>
      </c>
      <c r="AU66" s="798">
        <f t="shared" si="62"/>
        <v>1</v>
      </c>
      <c r="AV66" s="798">
        <f t="shared" si="62"/>
        <v>1</v>
      </c>
      <c r="AW66" s="798">
        <f t="shared" si="62"/>
        <v>1</v>
      </c>
      <c r="AX66" s="798">
        <f t="shared" si="62"/>
        <v>1</v>
      </c>
      <c r="AY66" s="798">
        <f t="shared" si="62"/>
        <v>1</v>
      </c>
      <c r="AZ66" s="798">
        <f t="shared" si="62"/>
        <v>1</v>
      </c>
      <c r="BA66" s="798">
        <f t="shared" si="62"/>
        <v>1</v>
      </c>
      <c r="BB66" s="798">
        <f t="shared" si="62"/>
        <v>1</v>
      </c>
      <c r="BC66" s="798">
        <f t="shared" si="62"/>
        <v>1</v>
      </c>
      <c r="BD66" s="798">
        <f t="shared" si="62"/>
        <v>1</v>
      </c>
      <c r="BE66" s="798">
        <f t="shared" si="62"/>
        <v>1</v>
      </c>
      <c r="BF66" s="798">
        <f t="shared" si="62"/>
        <v>1</v>
      </c>
      <c r="BG66" s="798">
        <f t="shared" si="62"/>
        <v>1</v>
      </c>
      <c r="BH66" s="798">
        <f t="shared" si="62"/>
        <v>1</v>
      </c>
      <c r="BI66" s="798">
        <f t="shared" si="62"/>
        <v>1</v>
      </c>
      <c r="BJ66" s="798">
        <f t="shared" si="62"/>
        <v>1</v>
      </c>
      <c r="BK66" s="798">
        <f t="shared" si="62"/>
        <v>1</v>
      </c>
      <c r="BL66" s="765"/>
      <c r="BM66" s="817"/>
      <c r="BN66" s="817"/>
    </row>
    <row r="67" hidden="1">
      <c r="A67" s="765"/>
      <c r="B67" s="765"/>
      <c r="C67" s="765"/>
      <c r="D67" s="765"/>
      <c r="E67" s="765"/>
      <c r="F67" s="765"/>
      <c r="G67" s="765"/>
      <c r="H67" s="765"/>
      <c r="I67" s="765">
        <f t="shared" si="17"/>
        <v>56</v>
      </c>
      <c r="J67" s="763">
        <f t="shared" si="5"/>
        <v>2136699658</v>
      </c>
      <c r="K67" s="796">
        <f t="shared" si="7"/>
        <v>0.26179</v>
      </c>
      <c r="L67" s="796">
        <v>5.0E-4</v>
      </c>
      <c r="M67" s="763">
        <v>2.43637361252504E9</v>
      </c>
      <c r="N67" s="797">
        <f t="shared" si="8"/>
        <v>0</v>
      </c>
      <c r="O67" s="798">
        <f t="shared" ref="O67:BK67" si="63">FLOOR(MIN((((N("value of ELS upgrade")+N$8*($K67-$K66))*(N("Check checkbox")+(IF($G$6=TRUE,$G$7,$G$8))/$G$8))/(N("ROI of ELS and multiply by 2 if ELS is 1:1")+IF($G$12 = True, 2, 1) * $J67))/((N("difference in ELS+ and the cost of it")+(($K66*O$8)-($K66*N$8)) / O$7)),(N("MIN lets it return 0 or 1 after floored")+1)),1)</f>
        <v>0</v>
      </c>
      <c r="P67" s="798">
        <f t="shared" si="63"/>
        <v>1</v>
      </c>
      <c r="Q67" s="798">
        <f t="shared" si="63"/>
        <v>1</v>
      </c>
      <c r="R67" s="798">
        <f t="shared" si="63"/>
        <v>1</v>
      </c>
      <c r="S67" s="798">
        <f t="shared" si="63"/>
        <v>1</v>
      </c>
      <c r="T67" s="798">
        <f t="shared" si="63"/>
        <v>1</v>
      </c>
      <c r="U67" s="798">
        <f t="shared" si="63"/>
        <v>1</v>
      </c>
      <c r="V67" s="798">
        <f t="shared" si="63"/>
        <v>1</v>
      </c>
      <c r="W67" s="798">
        <f t="shared" si="63"/>
        <v>1</v>
      </c>
      <c r="X67" s="798">
        <f t="shared" si="63"/>
        <v>1</v>
      </c>
      <c r="Y67" s="798">
        <f t="shared" si="63"/>
        <v>1</v>
      </c>
      <c r="Z67" s="798">
        <f t="shared" si="63"/>
        <v>1</v>
      </c>
      <c r="AA67" s="798">
        <f t="shared" si="63"/>
        <v>1</v>
      </c>
      <c r="AB67" s="798">
        <f t="shared" si="63"/>
        <v>1</v>
      </c>
      <c r="AC67" s="798">
        <f t="shared" si="63"/>
        <v>1</v>
      </c>
      <c r="AD67" s="798">
        <f t="shared" si="63"/>
        <v>1</v>
      </c>
      <c r="AE67" s="798">
        <f t="shared" si="63"/>
        <v>1</v>
      </c>
      <c r="AF67" s="798">
        <f t="shared" si="63"/>
        <v>1</v>
      </c>
      <c r="AG67" s="798">
        <f t="shared" si="63"/>
        <v>1</v>
      </c>
      <c r="AH67" s="798">
        <f t="shared" si="63"/>
        <v>1</v>
      </c>
      <c r="AI67" s="798">
        <f t="shared" si="63"/>
        <v>1</v>
      </c>
      <c r="AJ67" s="798">
        <f t="shared" si="63"/>
        <v>1</v>
      </c>
      <c r="AK67" s="798">
        <f t="shared" si="63"/>
        <v>1</v>
      </c>
      <c r="AL67" s="798">
        <f t="shared" si="63"/>
        <v>1</v>
      </c>
      <c r="AM67" s="798">
        <f t="shared" si="63"/>
        <v>1</v>
      </c>
      <c r="AN67" s="798">
        <f t="shared" si="63"/>
        <v>1</v>
      </c>
      <c r="AO67" s="798">
        <f t="shared" si="63"/>
        <v>1</v>
      </c>
      <c r="AP67" s="798">
        <f t="shared" si="63"/>
        <v>1</v>
      </c>
      <c r="AQ67" s="798">
        <f t="shared" si="63"/>
        <v>1</v>
      </c>
      <c r="AR67" s="798">
        <f t="shared" si="63"/>
        <v>1</v>
      </c>
      <c r="AS67" s="798">
        <f t="shared" si="63"/>
        <v>1</v>
      </c>
      <c r="AT67" s="798">
        <f t="shared" si="63"/>
        <v>1</v>
      </c>
      <c r="AU67" s="798">
        <f t="shared" si="63"/>
        <v>1</v>
      </c>
      <c r="AV67" s="798">
        <f t="shared" si="63"/>
        <v>1</v>
      </c>
      <c r="AW67" s="798">
        <f t="shared" si="63"/>
        <v>1</v>
      </c>
      <c r="AX67" s="798">
        <f t="shared" si="63"/>
        <v>1</v>
      </c>
      <c r="AY67" s="798">
        <f t="shared" si="63"/>
        <v>1</v>
      </c>
      <c r="AZ67" s="798">
        <f t="shared" si="63"/>
        <v>1</v>
      </c>
      <c r="BA67" s="798">
        <f t="shared" si="63"/>
        <v>1</v>
      </c>
      <c r="BB67" s="798">
        <f t="shared" si="63"/>
        <v>1</v>
      </c>
      <c r="BC67" s="798">
        <f t="shared" si="63"/>
        <v>1</v>
      </c>
      <c r="BD67" s="798">
        <f t="shared" si="63"/>
        <v>1</v>
      </c>
      <c r="BE67" s="798">
        <f t="shared" si="63"/>
        <v>1</v>
      </c>
      <c r="BF67" s="798">
        <f t="shared" si="63"/>
        <v>1</v>
      </c>
      <c r="BG67" s="798">
        <f t="shared" si="63"/>
        <v>1</v>
      </c>
      <c r="BH67" s="798">
        <f t="shared" si="63"/>
        <v>1</v>
      </c>
      <c r="BI67" s="798">
        <f t="shared" si="63"/>
        <v>1</v>
      </c>
      <c r="BJ67" s="798">
        <f t="shared" si="63"/>
        <v>1</v>
      </c>
      <c r="BK67" s="798">
        <f t="shared" si="63"/>
        <v>1</v>
      </c>
      <c r="BL67" s="765"/>
      <c r="BM67" s="817"/>
      <c r="BN67" s="817"/>
    </row>
    <row r="68" hidden="1">
      <c r="A68" s="765"/>
      <c r="B68" s="765"/>
      <c r="C68" s="765"/>
      <c r="D68" s="765"/>
      <c r="E68" s="765"/>
      <c r="F68" s="765"/>
      <c r="G68" s="765"/>
      <c r="H68" s="765"/>
      <c r="I68" s="765">
        <f t="shared" si="17"/>
        <v>57</v>
      </c>
      <c r="J68" s="763">
        <f t="shared" si="5"/>
        <v>2165909721</v>
      </c>
      <c r="K68" s="796">
        <f t="shared" si="7"/>
        <v>0.26229</v>
      </c>
      <c r="L68" s="796">
        <v>5.0E-4</v>
      </c>
      <c r="M68" s="763">
        <v>2.46968041156988E9</v>
      </c>
      <c r="N68" s="797">
        <f t="shared" si="8"/>
        <v>0</v>
      </c>
      <c r="O68" s="798">
        <f t="shared" ref="O68:BK68" si="64">FLOOR(MIN((((N("value of ELS upgrade")+N$8*($K68-$K67))*(N("Check checkbox")+(IF($G$6=TRUE,$G$7,$G$8))/$G$8))/(N("ROI of ELS and multiply by 2 if ELS is 1:1")+IF($G$12 = True, 2, 1) * $J68))/((N("difference in ELS+ and the cost of it")+(($K67*O$8)-($K67*N$8)) / O$7)),(N("MIN lets it return 0 or 1 after floored")+1)),1)</f>
        <v>0</v>
      </c>
      <c r="P68" s="798">
        <f t="shared" si="64"/>
        <v>1</v>
      </c>
      <c r="Q68" s="798">
        <f t="shared" si="64"/>
        <v>1</v>
      </c>
      <c r="R68" s="798">
        <f t="shared" si="64"/>
        <v>1</v>
      </c>
      <c r="S68" s="798">
        <f t="shared" si="64"/>
        <v>1</v>
      </c>
      <c r="T68" s="798">
        <f t="shared" si="64"/>
        <v>1</v>
      </c>
      <c r="U68" s="798">
        <f t="shared" si="64"/>
        <v>1</v>
      </c>
      <c r="V68" s="798">
        <f t="shared" si="64"/>
        <v>1</v>
      </c>
      <c r="W68" s="798">
        <f t="shared" si="64"/>
        <v>1</v>
      </c>
      <c r="X68" s="798">
        <f t="shared" si="64"/>
        <v>1</v>
      </c>
      <c r="Y68" s="798">
        <f t="shared" si="64"/>
        <v>1</v>
      </c>
      <c r="Z68" s="798">
        <f t="shared" si="64"/>
        <v>1</v>
      </c>
      <c r="AA68" s="798">
        <f t="shared" si="64"/>
        <v>1</v>
      </c>
      <c r="AB68" s="798">
        <f t="shared" si="64"/>
        <v>1</v>
      </c>
      <c r="AC68" s="798">
        <f t="shared" si="64"/>
        <v>1</v>
      </c>
      <c r="AD68" s="798">
        <f t="shared" si="64"/>
        <v>1</v>
      </c>
      <c r="AE68" s="798">
        <f t="shared" si="64"/>
        <v>1</v>
      </c>
      <c r="AF68" s="798">
        <f t="shared" si="64"/>
        <v>1</v>
      </c>
      <c r="AG68" s="798">
        <f t="shared" si="64"/>
        <v>1</v>
      </c>
      <c r="AH68" s="798">
        <f t="shared" si="64"/>
        <v>1</v>
      </c>
      <c r="AI68" s="798">
        <f t="shared" si="64"/>
        <v>1</v>
      </c>
      <c r="AJ68" s="798">
        <f t="shared" si="64"/>
        <v>1</v>
      </c>
      <c r="AK68" s="798">
        <f t="shared" si="64"/>
        <v>1</v>
      </c>
      <c r="AL68" s="798">
        <f t="shared" si="64"/>
        <v>1</v>
      </c>
      <c r="AM68" s="798">
        <f t="shared" si="64"/>
        <v>1</v>
      </c>
      <c r="AN68" s="798">
        <f t="shared" si="64"/>
        <v>1</v>
      </c>
      <c r="AO68" s="798">
        <f t="shared" si="64"/>
        <v>1</v>
      </c>
      <c r="AP68" s="798">
        <f t="shared" si="64"/>
        <v>1</v>
      </c>
      <c r="AQ68" s="798">
        <f t="shared" si="64"/>
        <v>1</v>
      </c>
      <c r="AR68" s="798">
        <f t="shared" si="64"/>
        <v>1</v>
      </c>
      <c r="AS68" s="798">
        <f t="shared" si="64"/>
        <v>1</v>
      </c>
      <c r="AT68" s="798">
        <f t="shared" si="64"/>
        <v>1</v>
      </c>
      <c r="AU68" s="798">
        <f t="shared" si="64"/>
        <v>1</v>
      </c>
      <c r="AV68" s="798">
        <f t="shared" si="64"/>
        <v>1</v>
      </c>
      <c r="AW68" s="798">
        <f t="shared" si="64"/>
        <v>1</v>
      </c>
      <c r="AX68" s="798">
        <f t="shared" si="64"/>
        <v>1</v>
      </c>
      <c r="AY68" s="798">
        <f t="shared" si="64"/>
        <v>1</v>
      </c>
      <c r="AZ68" s="798">
        <f t="shared" si="64"/>
        <v>1</v>
      </c>
      <c r="BA68" s="798">
        <f t="shared" si="64"/>
        <v>1</v>
      </c>
      <c r="BB68" s="798">
        <f t="shared" si="64"/>
        <v>1</v>
      </c>
      <c r="BC68" s="798">
        <f t="shared" si="64"/>
        <v>1</v>
      </c>
      <c r="BD68" s="798">
        <f t="shared" si="64"/>
        <v>1</v>
      </c>
      <c r="BE68" s="798">
        <f t="shared" si="64"/>
        <v>1</v>
      </c>
      <c r="BF68" s="798">
        <f t="shared" si="64"/>
        <v>1</v>
      </c>
      <c r="BG68" s="798">
        <f t="shared" si="64"/>
        <v>1</v>
      </c>
      <c r="BH68" s="798">
        <f t="shared" si="64"/>
        <v>1</v>
      </c>
      <c r="BI68" s="798">
        <f t="shared" si="64"/>
        <v>1</v>
      </c>
      <c r="BJ68" s="798">
        <f t="shared" si="64"/>
        <v>1</v>
      </c>
      <c r="BK68" s="798">
        <f t="shared" si="64"/>
        <v>1</v>
      </c>
      <c r="BL68" s="765"/>
      <c r="BM68" s="817"/>
      <c r="BN68" s="817"/>
    </row>
    <row r="69" hidden="1">
      <c r="A69" s="765"/>
      <c r="B69" s="765"/>
      <c r="C69" s="765"/>
      <c r="D69" s="765"/>
      <c r="E69" s="765"/>
      <c r="F69" s="765"/>
      <c r="G69" s="765"/>
      <c r="H69" s="765"/>
      <c r="I69" s="765">
        <f t="shared" si="17"/>
        <v>58</v>
      </c>
      <c r="J69" s="763">
        <f t="shared" si="5"/>
        <v>2195132818</v>
      </c>
      <c r="K69" s="796">
        <f t="shared" si="7"/>
        <v>0.26279</v>
      </c>
      <c r="L69" s="796">
        <v>5.0E-4</v>
      </c>
      <c r="M69" s="763">
        <v>2.50300207351431E9</v>
      </c>
      <c r="N69" s="797">
        <f t="shared" si="8"/>
        <v>0</v>
      </c>
      <c r="O69" s="798">
        <f t="shared" ref="O69:BK69" si="65">FLOOR(MIN((((N("value of ELS upgrade")+N$8*($K69-$K68))*(N("Check checkbox")+(IF($G$6=TRUE,$G$7,$G$8))/$G$8))/(N("ROI of ELS and multiply by 2 if ELS is 1:1")+IF($G$12 = True, 2, 1) * $J69))/((N("difference in ELS+ and the cost of it")+(($K68*O$8)-($K68*N$8)) / O$7)),(N("MIN lets it return 0 or 1 after floored")+1)),1)</f>
        <v>0</v>
      </c>
      <c r="P69" s="798">
        <f t="shared" si="65"/>
        <v>1</v>
      </c>
      <c r="Q69" s="798">
        <f t="shared" si="65"/>
        <v>1</v>
      </c>
      <c r="R69" s="798">
        <f t="shared" si="65"/>
        <v>1</v>
      </c>
      <c r="S69" s="798">
        <f t="shared" si="65"/>
        <v>1</v>
      </c>
      <c r="T69" s="798">
        <f t="shared" si="65"/>
        <v>1</v>
      </c>
      <c r="U69" s="798">
        <f t="shared" si="65"/>
        <v>1</v>
      </c>
      <c r="V69" s="798">
        <f t="shared" si="65"/>
        <v>1</v>
      </c>
      <c r="W69" s="798">
        <f t="shared" si="65"/>
        <v>1</v>
      </c>
      <c r="X69" s="798">
        <f t="shared" si="65"/>
        <v>1</v>
      </c>
      <c r="Y69" s="798">
        <f t="shared" si="65"/>
        <v>1</v>
      </c>
      <c r="Z69" s="798">
        <f t="shared" si="65"/>
        <v>1</v>
      </c>
      <c r="AA69" s="798">
        <f t="shared" si="65"/>
        <v>1</v>
      </c>
      <c r="AB69" s="798">
        <f t="shared" si="65"/>
        <v>1</v>
      </c>
      <c r="AC69" s="798">
        <f t="shared" si="65"/>
        <v>1</v>
      </c>
      <c r="AD69" s="798">
        <f t="shared" si="65"/>
        <v>1</v>
      </c>
      <c r="AE69" s="798">
        <f t="shared" si="65"/>
        <v>1</v>
      </c>
      <c r="AF69" s="798">
        <f t="shared" si="65"/>
        <v>1</v>
      </c>
      <c r="AG69" s="798">
        <f t="shared" si="65"/>
        <v>1</v>
      </c>
      <c r="AH69" s="798">
        <f t="shared" si="65"/>
        <v>1</v>
      </c>
      <c r="AI69" s="798">
        <f t="shared" si="65"/>
        <v>1</v>
      </c>
      <c r="AJ69" s="798">
        <f t="shared" si="65"/>
        <v>1</v>
      </c>
      <c r="AK69" s="798">
        <f t="shared" si="65"/>
        <v>1</v>
      </c>
      <c r="AL69" s="798">
        <f t="shared" si="65"/>
        <v>1</v>
      </c>
      <c r="AM69" s="798">
        <f t="shared" si="65"/>
        <v>1</v>
      </c>
      <c r="AN69" s="798">
        <f t="shared" si="65"/>
        <v>1</v>
      </c>
      <c r="AO69" s="798">
        <f t="shared" si="65"/>
        <v>1</v>
      </c>
      <c r="AP69" s="798">
        <f t="shared" si="65"/>
        <v>1</v>
      </c>
      <c r="AQ69" s="798">
        <f t="shared" si="65"/>
        <v>1</v>
      </c>
      <c r="AR69" s="798">
        <f t="shared" si="65"/>
        <v>1</v>
      </c>
      <c r="AS69" s="798">
        <f t="shared" si="65"/>
        <v>1</v>
      </c>
      <c r="AT69" s="798">
        <f t="shared" si="65"/>
        <v>1</v>
      </c>
      <c r="AU69" s="798">
        <f t="shared" si="65"/>
        <v>1</v>
      </c>
      <c r="AV69" s="798">
        <f t="shared" si="65"/>
        <v>1</v>
      </c>
      <c r="AW69" s="798">
        <f t="shared" si="65"/>
        <v>1</v>
      </c>
      <c r="AX69" s="798">
        <f t="shared" si="65"/>
        <v>1</v>
      </c>
      <c r="AY69" s="798">
        <f t="shared" si="65"/>
        <v>1</v>
      </c>
      <c r="AZ69" s="798">
        <f t="shared" si="65"/>
        <v>1</v>
      </c>
      <c r="BA69" s="798">
        <f t="shared" si="65"/>
        <v>1</v>
      </c>
      <c r="BB69" s="798">
        <f t="shared" si="65"/>
        <v>1</v>
      </c>
      <c r="BC69" s="798">
        <f t="shared" si="65"/>
        <v>1</v>
      </c>
      <c r="BD69" s="798">
        <f t="shared" si="65"/>
        <v>1</v>
      </c>
      <c r="BE69" s="798">
        <f t="shared" si="65"/>
        <v>1</v>
      </c>
      <c r="BF69" s="798">
        <f t="shared" si="65"/>
        <v>1</v>
      </c>
      <c r="BG69" s="798">
        <f t="shared" si="65"/>
        <v>1</v>
      </c>
      <c r="BH69" s="798">
        <f t="shared" si="65"/>
        <v>1</v>
      </c>
      <c r="BI69" s="798">
        <f t="shared" si="65"/>
        <v>1</v>
      </c>
      <c r="BJ69" s="798">
        <f t="shared" si="65"/>
        <v>1</v>
      </c>
      <c r="BK69" s="798">
        <f t="shared" si="65"/>
        <v>1</v>
      </c>
      <c r="BL69" s="765"/>
      <c r="BM69" s="817"/>
      <c r="BN69" s="817"/>
    </row>
    <row r="70" hidden="1">
      <c r="A70" s="765"/>
      <c r="B70" s="765"/>
      <c r="C70" s="765"/>
      <c r="D70" s="765"/>
      <c r="E70" s="765"/>
      <c r="F70" s="765"/>
      <c r="G70" s="765"/>
      <c r="H70" s="765"/>
      <c r="I70" s="765">
        <f t="shared" si="17"/>
        <v>59</v>
      </c>
      <c r="J70" s="763">
        <f t="shared" si="5"/>
        <v>2224369266</v>
      </c>
      <c r="K70" s="796">
        <f t="shared" si="7"/>
        <v>0.26329</v>
      </c>
      <c r="L70" s="796">
        <v>5.0E-4</v>
      </c>
      <c r="M70" s="763">
        <v>2.53633895782831E9</v>
      </c>
      <c r="N70" s="797">
        <f t="shared" si="8"/>
        <v>0</v>
      </c>
      <c r="O70" s="798">
        <f t="shared" ref="O70:BK70" si="66">FLOOR(MIN((((N("value of ELS upgrade")+N$8*($K70-$K69))*(N("Check checkbox")+(IF($G$6=TRUE,$G$7,$G$8))/$G$8))/(N("ROI of ELS and multiply by 2 if ELS is 1:1")+IF($G$12 = True, 2, 1) * $J70))/((N("difference in ELS+ and the cost of it")+(($K69*O$8)-($K69*N$8)) / O$7)),(N("MIN lets it return 0 or 1 after floored")+1)),1)</f>
        <v>0</v>
      </c>
      <c r="P70" s="798">
        <f t="shared" si="66"/>
        <v>1</v>
      </c>
      <c r="Q70" s="798">
        <f t="shared" si="66"/>
        <v>1</v>
      </c>
      <c r="R70" s="798">
        <f t="shared" si="66"/>
        <v>1</v>
      </c>
      <c r="S70" s="798">
        <f t="shared" si="66"/>
        <v>1</v>
      </c>
      <c r="T70" s="798">
        <f t="shared" si="66"/>
        <v>1</v>
      </c>
      <c r="U70" s="798">
        <f t="shared" si="66"/>
        <v>1</v>
      </c>
      <c r="V70" s="798">
        <f t="shared" si="66"/>
        <v>1</v>
      </c>
      <c r="W70" s="798">
        <f t="shared" si="66"/>
        <v>1</v>
      </c>
      <c r="X70" s="798">
        <f t="shared" si="66"/>
        <v>1</v>
      </c>
      <c r="Y70" s="798">
        <f t="shared" si="66"/>
        <v>1</v>
      </c>
      <c r="Z70" s="798">
        <f t="shared" si="66"/>
        <v>1</v>
      </c>
      <c r="AA70" s="798">
        <f t="shared" si="66"/>
        <v>1</v>
      </c>
      <c r="AB70" s="798">
        <f t="shared" si="66"/>
        <v>1</v>
      </c>
      <c r="AC70" s="798">
        <f t="shared" si="66"/>
        <v>1</v>
      </c>
      <c r="AD70" s="798">
        <f t="shared" si="66"/>
        <v>1</v>
      </c>
      <c r="AE70" s="798">
        <f t="shared" si="66"/>
        <v>1</v>
      </c>
      <c r="AF70" s="798">
        <f t="shared" si="66"/>
        <v>1</v>
      </c>
      <c r="AG70" s="798">
        <f t="shared" si="66"/>
        <v>1</v>
      </c>
      <c r="AH70" s="798">
        <f t="shared" si="66"/>
        <v>1</v>
      </c>
      <c r="AI70" s="798">
        <f t="shared" si="66"/>
        <v>1</v>
      </c>
      <c r="AJ70" s="798">
        <f t="shared" si="66"/>
        <v>1</v>
      </c>
      <c r="AK70" s="798">
        <f t="shared" si="66"/>
        <v>1</v>
      </c>
      <c r="AL70" s="798">
        <f t="shared" si="66"/>
        <v>1</v>
      </c>
      <c r="AM70" s="798">
        <f t="shared" si="66"/>
        <v>1</v>
      </c>
      <c r="AN70" s="798">
        <f t="shared" si="66"/>
        <v>1</v>
      </c>
      <c r="AO70" s="798">
        <f t="shared" si="66"/>
        <v>1</v>
      </c>
      <c r="AP70" s="798">
        <f t="shared" si="66"/>
        <v>1</v>
      </c>
      <c r="AQ70" s="798">
        <f t="shared" si="66"/>
        <v>1</v>
      </c>
      <c r="AR70" s="798">
        <f t="shared" si="66"/>
        <v>1</v>
      </c>
      <c r="AS70" s="798">
        <f t="shared" si="66"/>
        <v>1</v>
      </c>
      <c r="AT70" s="798">
        <f t="shared" si="66"/>
        <v>1</v>
      </c>
      <c r="AU70" s="798">
        <f t="shared" si="66"/>
        <v>1</v>
      </c>
      <c r="AV70" s="798">
        <f t="shared" si="66"/>
        <v>1</v>
      </c>
      <c r="AW70" s="798">
        <f t="shared" si="66"/>
        <v>1</v>
      </c>
      <c r="AX70" s="798">
        <f t="shared" si="66"/>
        <v>1</v>
      </c>
      <c r="AY70" s="798">
        <f t="shared" si="66"/>
        <v>1</v>
      </c>
      <c r="AZ70" s="798">
        <f t="shared" si="66"/>
        <v>1</v>
      </c>
      <c r="BA70" s="798">
        <f t="shared" si="66"/>
        <v>1</v>
      </c>
      <c r="BB70" s="798">
        <f t="shared" si="66"/>
        <v>1</v>
      </c>
      <c r="BC70" s="798">
        <f t="shared" si="66"/>
        <v>1</v>
      </c>
      <c r="BD70" s="798">
        <f t="shared" si="66"/>
        <v>1</v>
      </c>
      <c r="BE70" s="798">
        <f t="shared" si="66"/>
        <v>1</v>
      </c>
      <c r="BF70" s="798">
        <f t="shared" si="66"/>
        <v>1</v>
      </c>
      <c r="BG70" s="798">
        <f t="shared" si="66"/>
        <v>1</v>
      </c>
      <c r="BH70" s="798">
        <f t="shared" si="66"/>
        <v>1</v>
      </c>
      <c r="BI70" s="798">
        <f t="shared" si="66"/>
        <v>1</v>
      </c>
      <c r="BJ70" s="798">
        <f t="shared" si="66"/>
        <v>1</v>
      </c>
      <c r="BK70" s="798">
        <f t="shared" si="66"/>
        <v>1</v>
      </c>
      <c r="BL70" s="765"/>
      <c r="BM70" s="817"/>
      <c r="BN70" s="817"/>
    </row>
    <row r="71" hidden="1">
      <c r="A71" s="765"/>
      <c r="B71" s="765"/>
      <c r="C71" s="765"/>
      <c r="D71" s="765"/>
      <c r="E71" s="765"/>
      <c r="F71" s="765"/>
      <c r="G71" s="765"/>
      <c r="H71" s="765"/>
      <c r="I71" s="765">
        <f t="shared" si="17"/>
        <v>60</v>
      </c>
      <c r="J71" s="763">
        <f t="shared" si="5"/>
        <v>2253619380</v>
      </c>
      <c r="K71" s="796">
        <f t="shared" si="7"/>
        <v>0.26379</v>
      </c>
      <c r="L71" s="796">
        <v>5.0E-4</v>
      </c>
      <c r="M71" s="763">
        <v>2.56969142501188E9</v>
      </c>
      <c r="N71" s="797">
        <f t="shared" si="8"/>
        <v>0</v>
      </c>
      <c r="O71" s="798">
        <f t="shared" ref="O71:BK71" si="67">FLOOR(MIN((((N("value of ELS upgrade")+N$8*($K71-$K70))*(N("Check checkbox")+(IF($G$6=TRUE,$G$7,$G$8))/$G$8))/(N("ROI of ELS and multiply by 2 if ELS is 1:1")+IF($G$12 = True, 2, 1) * $J71))/((N("difference in ELS+ and the cost of it")+(($K70*O$8)-($K70*N$8)) / O$7)),(N("MIN lets it return 0 or 1 after floored")+1)),1)</f>
        <v>0</v>
      </c>
      <c r="P71" s="798">
        <f t="shared" si="67"/>
        <v>1</v>
      </c>
      <c r="Q71" s="798">
        <f t="shared" si="67"/>
        <v>1</v>
      </c>
      <c r="R71" s="798">
        <f t="shared" si="67"/>
        <v>1</v>
      </c>
      <c r="S71" s="798">
        <f t="shared" si="67"/>
        <v>1</v>
      </c>
      <c r="T71" s="798">
        <f t="shared" si="67"/>
        <v>1</v>
      </c>
      <c r="U71" s="798">
        <f t="shared" si="67"/>
        <v>1</v>
      </c>
      <c r="V71" s="798">
        <f t="shared" si="67"/>
        <v>1</v>
      </c>
      <c r="W71" s="798">
        <f t="shared" si="67"/>
        <v>1</v>
      </c>
      <c r="X71" s="798">
        <f t="shared" si="67"/>
        <v>1</v>
      </c>
      <c r="Y71" s="798">
        <f t="shared" si="67"/>
        <v>1</v>
      </c>
      <c r="Z71" s="798">
        <f t="shared" si="67"/>
        <v>1</v>
      </c>
      <c r="AA71" s="798">
        <f t="shared" si="67"/>
        <v>1</v>
      </c>
      <c r="AB71" s="798">
        <f t="shared" si="67"/>
        <v>1</v>
      </c>
      <c r="AC71" s="798">
        <f t="shared" si="67"/>
        <v>1</v>
      </c>
      <c r="AD71" s="798">
        <f t="shared" si="67"/>
        <v>1</v>
      </c>
      <c r="AE71" s="798">
        <f t="shared" si="67"/>
        <v>1</v>
      </c>
      <c r="AF71" s="798">
        <f t="shared" si="67"/>
        <v>1</v>
      </c>
      <c r="AG71" s="798">
        <f t="shared" si="67"/>
        <v>1</v>
      </c>
      <c r="AH71" s="798">
        <f t="shared" si="67"/>
        <v>1</v>
      </c>
      <c r="AI71" s="798">
        <f t="shared" si="67"/>
        <v>1</v>
      </c>
      <c r="AJ71" s="798">
        <f t="shared" si="67"/>
        <v>1</v>
      </c>
      <c r="AK71" s="798">
        <f t="shared" si="67"/>
        <v>1</v>
      </c>
      <c r="AL71" s="798">
        <f t="shared" si="67"/>
        <v>1</v>
      </c>
      <c r="AM71" s="798">
        <f t="shared" si="67"/>
        <v>1</v>
      </c>
      <c r="AN71" s="798">
        <f t="shared" si="67"/>
        <v>1</v>
      </c>
      <c r="AO71" s="798">
        <f t="shared" si="67"/>
        <v>1</v>
      </c>
      <c r="AP71" s="798">
        <f t="shared" si="67"/>
        <v>1</v>
      </c>
      <c r="AQ71" s="798">
        <f t="shared" si="67"/>
        <v>1</v>
      </c>
      <c r="AR71" s="798">
        <f t="shared" si="67"/>
        <v>1</v>
      </c>
      <c r="AS71" s="798">
        <f t="shared" si="67"/>
        <v>1</v>
      </c>
      <c r="AT71" s="798">
        <f t="shared" si="67"/>
        <v>1</v>
      </c>
      <c r="AU71" s="798">
        <f t="shared" si="67"/>
        <v>1</v>
      </c>
      <c r="AV71" s="798">
        <f t="shared" si="67"/>
        <v>1</v>
      </c>
      <c r="AW71" s="798">
        <f t="shared" si="67"/>
        <v>1</v>
      </c>
      <c r="AX71" s="798">
        <f t="shared" si="67"/>
        <v>1</v>
      </c>
      <c r="AY71" s="798">
        <f t="shared" si="67"/>
        <v>1</v>
      </c>
      <c r="AZ71" s="798">
        <f t="shared" si="67"/>
        <v>1</v>
      </c>
      <c r="BA71" s="798">
        <f t="shared" si="67"/>
        <v>1</v>
      </c>
      <c r="BB71" s="798">
        <f t="shared" si="67"/>
        <v>1</v>
      </c>
      <c r="BC71" s="798">
        <f t="shared" si="67"/>
        <v>1</v>
      </c>
      <c r="BD71" s="798">
        <f t="shared" si="67"/>
        <v>1</v>
      </c>
      <c r="BE71" s="798">
        <f t="shared" si="67"/>
        <v>1</v>
      </c>
      <c r="BF71" s="798">
        <f t="shared" si="67"/>
        <v>1</v>
      </c>
      <c r="BG71" s="798">
        <f t="shared" si="67"/>
        <v>1</v>
      </c>
      <c r="BH71" s="798">
        <f t="shared" si="67"/>
        <v>1</v>
      </c>
      <c r="BI71" s="798">
        <f t="shared" si="67"/>
        <v>1</v>
      </c>
      <c r="BJ71" s="798">
        <f t="shared" si="67"/>
        <v>1</v>
      </c>
      <c r="BK71" s="798">
        <f t="shared" si="67"/>
        <v>1</v>
      </c>
      <c r="BL71" s="765"/>
      <c r="BM71" s="817"/>
      <c r="BN71" s="817"/>
    </row>
    <row r="72" hidden="1">
      <c r="A72" s="765"/>
      <c r="B72" s="765"/>
      <c r="C72" s="765"/>
      <c r="D72" s="765"/>
      <c r="E72" s="765"/>
      <c r="F72" s="765"/>
      <c r="G72" s="765"/>
      <c r="H72" s="765"/>
      <c r="I72" s="765">
        <f t="shared" si="17"/>
        <v>61</v>
      </c>
      <c r="J72" s="763">
        <f t="shared" si="5"/>
        <v>2282883480</v>
      </c>
      <c r="K72" s="796">
        <f t="shared" si="7"/>
        <v>0.26429</v>
      </c>
      <c r="L72" s="796">
        <v>5.0E-4</v>
      </c>
      <c r="M72" s="763">
        <v>2.60305984071501E9</v>
      </c>
      <c r="N72" s="797">
        <f t="shared" si="8"/>
        <v>0</v>
      </c>
      <c r="O72" s="798">
        <f t="shared" ref="O72:BK72" si="68">FLOOR(MIN((((N("value of ELS upgrade")+N$8*($K72-$K71))*(N("Check checkbox")+(IF($G$6=TRUE,$G$7,$G$8))/$G$8))/(N("ROI of ELS and multiply by 2 if ELS is 1:1")+IF($G$12 = True, 2, 1) * $J72))/((N("difference in ELS+ and the cost of it")+(($K71*O$8)-($K71*N$8)) / O$7)),(N("MIN lets it return 0 or 1 after floored")+1)),1)</f>
        <v>0</v>
      </c>
      <c r="P72" s="798">
        <f t="shared" si="68"/>
        <v>1</v>
      </c>
      <c r="Q72" s="798">
        <f t="shared" si="68"/>
        <v>1</v>
      </c>
      <c r="R72" s="798">
        <f t="shared" si="68"/>
        <v>1</v>
      </c>
      <c r="S72" s="798">
        <f t="shared" si="68"/>
        <v>1</v>
      </c>
      <c r="T72" s="798">
        <f t="shared" si="68"/>
        <v>1</v>
      </c>
      <c r="U72" s="798">
        <f t="shared" si="68"/>
        <v>1</v>
      </c>
      <c r="V72" s="798">
        <f t="shared" si="68"/>
        <v>1</v>
      </c>
      <c r="W72" s="798">
        <f t="shared" si="68"/>
        <v>1</v>
      </c>
      <c r="X72" s="798">
        <f t="shared" si="68"/>
        <v>1</v>
      </c>
      <c r="Y72" s="798">
        <f t="shared" si="68"/>
        <v>1</v>
      </c>
      <c r="Z72" s="798">
        <f t="shared" si="68"/>
        <v>1</v>
      </c>
      <c r="AA72" s="798">
        <f t="shared" si="68"/>
        <v>1</v>
      </c>
      <c r="AB72" s="798">
        <f t="shared" si="68"/>
        <v>1</v>
      </c>
      <c r="AC72" s="798">
        <f t="shared" si="68"/>
        <v>1</v>
      </c>
      <c r="AD72" s="798">
        <f t="shared" si="68"/>
        <v>1</v>
      </c>
      <c r="AE72" s="798">
        <f t="shared" si="68"/>
        <v>1</v>
      </c>
      <c r="AF72" s="798">
        <f t="shared" si="68"/>
        <v>1</v>
      </c>
      <c r="AG72" s="798">
        <f t="shared" si="68"/>
        <v>1</v>
      </c>
      <c r="AH72" s="798">
        <f t="shared" si="68"/>
        <v>1</v>
      </c>
      <c r="AI72" s="798">
        <f t="shared" si="68"/>
        <v>1</v>
      </c>
      <c r="AJ72" s="798">
        <f t="shared" si="68"/>
        <v>1</v>
      </c>
      <c r="AK72" s="798">
        <f t="shared" si="68"/>
        <v>1</v>
      </c>
      <c r="AL72" s="798">
        <f t="shared" si="68"/>
        <v>1</v>
      </c>
      <c r="AM72" s="798">
        <f t="shared" si="68"/>
        <v>1</v>
      </c>
      <c r="AN72" s="798">
        <f t="shared" si="68"/>
        <v>1</v>
      </c>
      <c r="AO72" s="798">
        <f t="shared" si="68"/>
        <v>1</v>
      </c>
      <c r="AP72" s="798">
        <f t="shared" si="68"/>
        <v>1</v>
      </c>
      <c r="AQ72" s="798">
        <f t="shared" si="68"/>
        <v>1</v>
      </c>
      <c r="AR72" s="798">
        <f t="shared" si="68"/>
        <v>1</v>
      </c>
      <c r="AS72" s="798">
        <f t="shared" si="68"/>
        <v>1</v>
      </c>
      <c r="AT72" s="798">
        <f t="shared" si="68"/>
        <v>1</v>
      </c>
      <c r="AU72" s="798">
        <f t="shared" si="68"/>
        <v>1</v>
      </c>
      <c r="AV72" s="798">
        <f t="shared" si="68"/>
        <v>1</v>
      </c>
      <c r="AW72" s="798">
        <f t="shared" si="68"/>
        <v>1</v>
      </c>
      <c r="AX72" s="798">
        <f t="shared" si="68"/>
        <v>1</v>
      </c>
      <c r="AY72" s="798">
        <f t="shared" si="68"/>
        <v>1</v>
      </c>
      <c r="AZ72" s="798">
        <f t="shared" si="68"/>
        <v>1</v>
      </c>
      <c r="BA72" s="798">
        <f t="shared" si="68"/>
        <v>1</v>
      </c>
      <c r="BB72" s="798">
        <f t="shared" si="68"/>
        <v>1</v>
      </c>
      <c r="BC72" s="798">
        <f t="shared" si="68"/>
        <v>1</v>
      </c>
      <c r="BD72" s="798">
        <f t="shared" si="68"/>
        <v>1</v>
      </c>
      <c r="BE72" s="798">
        <f t="shared" si="68"/>
        <v>1</v>
      </c>
      <c r="BF72" s="798">
        <f t="shared" si="68"/>
        <v>1</v>
      </c>
      <c r="BG72" s="798">
        <f t="shared" si="68"/>
        <v>1</v>
      </c>
      <c r="BH72" s="798">
        <f t="shared" si="68"/>
        <v>1</v>
      </c>
      <c r="BI72" s="798">
        <f t="shared" si="68"/>
        <v>1</v>
      </c>
      <c r="BJ72" s="798">
        <f t="shared" si="68"/>
        <v>1</v>
      </c>
      <c r="BK72" s="798">
        <f t="shared" si="68"/>
        <v>1</v>
      </c>
      <c r="BL72" s="765"/>
      <c r="BM72" s="817"/>
      <c r="BN72" s="817"/>
    </row>
    <row r="73" hidden="1">
      <c r="A73" s="765"/>
      <c r="B73" s="765"/>
      <c r="C73" s="765"/>
      <c r="D73" s="765"/>
      <c r="E73" s="765"/>
      <c r="F73" s="765"/>
      <c r="G73" s="765"/>
      <c r="H73" s="765"/>
      <c r="I73" s="765">
        <f t="shared" si="17"/>
        <v>62</v>
      </c>
      <c r="J73" s="763">
        <f t="shared" si="5"/>
        <v>2312161887</v>
      </c>
      <c r="K73" s="796">
        <f t="shared" si="7"/>
        <v>0.26479</v>
      </c>
      <c r="L73" s="796">
        <v>5.0E-4</v>
      </c>
      <c r="M73" s="763">
        <v>2.63644456852768E9</v>
      </c>
      <c r="N73" s="797">
        <f t="shared" si="8"/>
        <v>0</v>
      </c>
      <c r="O73" s="798">
        <f t="shared" ref="O73:BK73" si="69">FLOOR(MIN((((N("value of ELS upgrade")+N$8*($K73-$K72))*(N("Check checkbox")+(IF($G$6=TRUE,$G$7,$G$8))/$G$8))/(N("ROI of ELS and multiply by 2 if ELS is 1:1")+IF($G$12 = True, 2, 1) * $J73))/((N("difference in ELS+ and the cost of it")+(($K72*O$8)-($K72*N$8)) / O$7)),(N("MIN lets it return 0 or 1 after floored")+1)),1)</f>
        <v>0</v>
      </c>
      <c r="P73" s="798">
        <f t="shared" si="69"/>
        <v>1</v>
      </c>
      <c r="Q73" s="798">
        <f t="shared" si="69"/>
        <v>1</v>
      </c>
      <c r="R73" s="798">
        <f t="shared" si="69"/>
        <v>1</v>
      </c>
      <c r="S73" s="798">
        <f t="shared" si="69"/>
        <v>1</v>
      </c>
      <c r="T73" s="798">
        <f t="shared" si="69"/>
        <v>1</v>
      </c>
      <c r="U73" s="798">
        <f t="shared" si="69"/>
        <v>1</v>
      </c>
      <c r="V73" s="798">
        <f t="shared" si="69"/>
        <v>1</v>
      </c>
      <c r="W73" s="798">
        <f t="shared" si="69"/>
        <v>1</v>
      </c>
      <c r="X73" s="798">
        <f t="shared" si="69"/>
        <v>1</v>
      </c>
      <c r="Y73" s="798">
        <f t="shared" si="69"/>
        <v>1</v>
      </c>
      <c r="Z73" s="798">
        <f t="shared" si="69"/>
        <v>1</v>
      </c>
      <c r="AA73" s="798">
        <f t="shared" si="69"/>
        <v>1</v>
      </c>
      <c r="AB73" s="798">
        <f t="shared" si="69"/>
        <v>1</v>
      </c>
      <c r="AC73" s="798">
        <f t="shared" si="69"/>
        <v>1</v>
      </c>
      <c r="AD73" s="798">
        <f t="shared" si="69"/>
        <v>1</v>
      </c>
      <c r="AE73" s="798">
        <f t="shared" si="69"/>
        <v>1</v>
      </c>
      <c r="AF73" s="798">
        <f t="shared" si="69"/>
        <v>1</v>
      </c>
      <c r="AG73" s="798">
        <f t="shared" si="69"/>
        <v>1</v>
      </c>
      <c r="AH73" s="798">
        <f t="shared" si="69"/>
        <v>1</v>
      </c>
      <c r="AI73" s="798">
        <f t="shared" si="69"/>
        <v>1</v>
      </c>
      <c r="AJ73" s="798">
        <f t="shared" si="69"/>
        <v>1</v>
      </c>
      <c r="AK73" s="798">
        <f t="shared" si="69"/>
        <v>1</v>
      </c>
      <c r="AL73" s="798">
        <f t="shared" si="69"/>
        <v>1</v>
      </c>
      <c r="AM73" s="798">
        <f t="shared" si="69"/>
        <v>1</v>
      </c>
      <c r="AN73" s="798">
        <f t="shared" si="69"/>
        <v>1</v>
      </c>
      <c r="AO73" s="798">
        <f t="shared" si="69"/>
        <v>1</v>
      </c>
      <c r="AP73" s="798">
        <f t="shared" si="69"/>
        <v>1</v>
      </c>
      <c r="AQ73" s="798">
        <f t="shared" si="69"/>
        <v>1</v>
      </c>
      <c r="AR73" s="798">
        <f t="shared" si="69"/>
        <v>1</v>
      </c>
      <c r="AS73" s="798">
        <f t="shared" si="69"/>
        <v>1</v>
      </c>
      <c r="AT73" s="798">
        <f t="shared" si="69"/>
        <v>1</v>
      </c>
      <c r="AU73" s="798">
        <f t="shared" si="69"/>
        <v>1</v>
      </c>
      <c r="AV73" s="798">
        <f t="shared" si="69"/>
        <v>1</v>
      </c>
      <c r="AW73" s="798">
        <f t="shared" si="69"/>
        <v>1</v>
      </c>
      <c r="AX73" s="798">
        <f t="shared" si="69"/>
        <v>1</v>
      </c>
      <c r="AY73" s="798">
        <f t="shared" si="69"/>
        <v>1</v>
      </c>
      <c r="AZ73" s="798">
        <f t="shared" si="69"/>
        <v>1</v>
      </c>
      <c r="BA73" s="798">
        <f t="shared" si="69"/>
        <v>1</v>
      </c>
      <c r="BB73" s="798">
        <f t="shared" si="69"/>
        <v>1</v>
      </c>
      <c r="BC73" s="798">
        <f t="shared" si="69"/>
        <v>1</v>
      </c>
      <c r="BD73" s="798">
        <f t="shared" si="69"/>
        <v>1</v>
      </c>
      <c r="BE73" s="798">
        <f t="shared" si="69"/>
        <v>1</v>
      </c>
      <c r="BF73" s="798">
        <f t="shared" si="69"/>
        <v>1</v>
      </c>
      <c r="BG73" s="798">
        <f t="shared" si="69"/>
        <v>1</v>
      </c>
      <c r="BH73" s="798">
        <f t="shared" si="69"/>
        <v>1</v>
      </c>
      <c r="BI73" s="798">
        <f t="shared" si="69"/>
        <v>1</v>
      </c>
      <c r="BJ73" s="798">
        <f t="shared" si="69"/>
        <v>1</v>
      </c>
      <c r="BK73" s="798">
        <f t="shared" si="69"/>
        <v>1</v>
      </c>
      <c r="BL73" s="765"/>
      <c r="BM73" s="817"/>
      <c r="BN73" s="817"/>
    </row>
    <row r="74" hidden="1">
      <c r="A74" s="765"/>
      <c r="B74" s="765"/>
      <c r="C74" s="765"/>
      <c r="D74" s="765"/>
      <c r="E74" s="765"/>
      <c r="F74" s="765"/>
      <c r="G74" s="765"/>
      <c r="H74" s="765"/>
      <c r="I74" s="765">
        <f t="shared" si="17"/>
        <v>63</v>
      </c>
      <c r="J74" s="763">
        <f t="shared" si="5"/>
        <v>2341454924</v>
      </c>
      <c r="K74" s="796">
        <f t="shared" si="7"/>
        <v>0.26529</v>
      </c>
      <c r="L74" s="796">
        <v>5.0E-4</v>
      </c>
      <c r="M74" s="763">
        <v>2.6698459792499E9</v>
      </c>
      <c r="N74" s="797">
        <f t="shared" si="8"/>
        <v>0</v>
      </c>
      <c r="O74" s="798">
        <f t="shared" ref="O74:BK74" si="70">FLOOR(MIN((((N("value of ELS upgrade")+N$8*($K74-$K73))*(N("Check checkbox")+(IF($G$6=TRUE,$G$7,$G$8))/$G$8))/(N("ROI of ELS and multiply by 2 if ELS is 1:1")+IF($G$12 = True, 2, 1) * $J74))/((N("difference in ELS+ and the cost of it")+(($K73*O$8)-($K73*N$8)) / O$7)),(N("MIN lets it return 0 or 1 after floored")+1)),1)</f>
        <v>0</v>
      </c>
      <c r="P74" s="798">
        <f t="shared" si="70"/>
        <v>1</v>
      </c>
      <c r="Q74" s="798">
        <f t="shared" si="70"/>
        <v>1</v>
      </c>
      <c r="R74" s="798">
        <f t="shared" si="70"/>
        <v>1</v>
      </c>
      <c r="S74" s="798">
        <f t="shared" si="70"/>
        <v>1</v>
      </c>
      <c r="T74" s="798">
        <f t="shared" si="70"/>
        <v>1</v>
      </c>
      <c r="U74" s="798">
        <f t="shared" si="70"/>
        <v>1</v>
      </c>
      <c r="V74" s="798">
        <f t="shared" si="70"/>
        <v>1</v>
      </c>
      <c r="W74" s="798">
        <f t="shared" si="70"/>
        <v>1</v>
      </c>
      <c r="X74" s="798">
        <f t="shared" si="70"/>
        <v>1</v>
      </c>
      <c r="Y74" s="798">
        <f t="shared" si="70"/>
        <v>1</v>
      </c>
      <c r="Z74" s="798">
        <f t="shared" si="70"/>
        <v>1</v>
      </c>
      <c r="AA74" s="798">
        <f t="shared" si="70"/>
        <v>1</v>
      </c>
      <c r="AB74" s="798">
        <f t="shared" si="70"/>
        <v>1</v>
      </c>
      <c r="AC74" s="798">
        <f t="shared" si="70"/>
        <v>1</v>
      </c>
      <c r="AD74" s="798">
        <f t="shared" si="70"/>
        <v>1</v>
      </c>
      <c r="AE74" s="798">
        <f t="shared" si="70"/>
        <v>1</v>
      </c>
      <c r="AF74" s="798">
        <f t="shared" si="70"/>
        <v>1</v>
      </c>
      <c r="AG74" s="798">
        <f t="shared" si="70"/>
        <v>1</v>
      </c>
      <c r="AH74" s="798">
        <f t="shared" si="70"/>
        <v>1</v>
      </c>
      <c r="AI74" s="798">
        <f t="shared" si="70"/>
        <v>1</v>
      </c>
      <c r="AJ74" s="798">
        <f t="shared" si="70"/>
        <v>1</v>
      </c>
      <c r="AK74" s="798">
        <f t="shared" si="70"/>
        <v>1</v>
      </c>
      <c r="AL74" s="798">
        <f t="shared" si="70"/>
        <v>1</v>
      </c>
      <c r="AM74" s="798">
        <f t="shared" si="70"/>
        <v>1</v>
      </c>
      <c r="AN74" s="798">
        <f t="shared" si="70"/>
        <v>1</v>
      </c>
      <c r="AO74" s="798">
        <f t="shared" si="70"/>
        <v>1</v>
      </c>
      <c r="AP74" s="798">
        <f t="shared" si="70"/>
        <v>1</v>
      </c>
      <c r="AQ74" s="798">
        <f t="shared" si="70"/>
        <v>1</v>
      </c>
      <c r="AR74" s="798">
        <f t="shared" si="70"/>
        <v>1</v>
      </c>
      <c r="AS74" s="798">
        <f t="shared" si="70"/>
        <v>1</v>
      </c>
      <c r="AT74" s="798">
        <f t="shared" si="70"/>
        <v>1</v>
      </c>
      <c r="AU74" s="798">
        <f t="shared" si="70"/>
        <v>1</v>
      </c>
      <c r="AV74" s="798">
        <f t="shared" si="70"/>
        <v>1</v>
      </c>
      <c r="AW74" s="798">
        <f t="shared" si="70"/>
        <v>1</v>
      </c>
      <c r="AX74" s="798">
        <f t="shared" si="70"/>
        <v>1</v>
      </c>
      <c r="AY74" s="798">
        <f t="shared" si="70"/>
        <v>1</v>
      </c>
      <c r="AZ74" s="798">
        <f t="shared" si="70"/>
        <v>1</v>
      </c>
      <c r="BA74" s="798">
        <f t="shared" si="70"/>
        <v>1</v>
      </c>
      <c r="BB74" s="798">
        <f t="shared" si="70"/>
        <v>1</v>
      </c>
      <c r="BC74" s="798">
        <f t="shared" si="70"/>
        <v>1</v>
      </c>
      <c r="BD74" s="798">
        <f t="shared" si="70"/>
        <v>1</v>
      </c>
      <c r="BE74" s="798">
        <f t="shared" si="70"/>
        <v>1</v>
      </c>
      <c r="BF74" s="798">
        <f t="shared" si="70"/>
        <v>1</v>
      </c>
      <c r="BG74" s="798">
        <f t="shared" si="70"/>
        <v>1</v>
      </c>
      <c r="BH74" s="798">
        <f t="shared" si="70"/>
        <v>1</v>
      </c>
      <c r="BI74" s="798">
        <f t="shared" si="70"/>
        <v>1</v>
      </c>
      <c r="BJ74" s="798">
        <f t="shared" si="70"/>
        <v>1</v>
      </c>
      <c r="BK74" s="798">
        <f t="shared" si="70"/>
        <v>1</v>
      </c>
      <c r="BL74" s="765"/>
      <c r="BM74" s="817"/>
      <c r="BN74" s="817"/>
    </row>
    <row r="75" hidden="1">
      <c r="A75" s="765"/>
      <c r="B75" s="765"/>
      <c r="C75" s="765"/>
      <c r="D75" s="765"/>
      <c r="E75" s="765"/>
      <c r="F75" s="765"/>
      <c r="G75" s="765"/>
      <c r="H75" s="765"/>
      <c r="I75" s="765">
        <f t="shared" si="17"/>
        <v>64</v>
      </c>
      <c r="J75" s="763">
        <f t="shared" si="5"/>
        <v>2370762915</v>
      </c>
      <c r="K75" s="796">
        <f t="shared" si="7"/>
        <v>0.26579</v>
      </c>
      <c r="L75" s="796">
        <v>5.0E-4</v>
      </c>
      <c r="M75" s="763">
        <v>2.70326444162163E9</v>
      </c>
      <c r="N75" s="797">
        <f t="shared" si="8"/>
        <v>0</v>
      </c>
      <c r="O75" s="798">
        <f t="shared" ref="O75:BK75" si="71">FLOOR(MIN((((N("value of ELS upgrade")+N$8*($K75-$K74))*(N("Check checkbox")+(IF($G$6=TRUE,$G$7,$G$8))/$G$8))/(N("ROI of ELS and multiply by 2 if ELS is 1:1")+IF($G$12 = True, 2, 1) * $J75))/((N("difference in ELS+ and the cost of it")+(($K74*O$8)-($K74*N$8)) / O$7)),(N("MIN lets it return 0 or 1 after floored")+1)),1)</f>
        <v>0</v>
      </c>
      <c r="P75" s="798">
        <f t="shared" si="71"/>
        <v>1</v>
      </c>
      <c r="Q75" s="798">
        <f t="shared" si="71"/>
        <v>1</v>
      </c>
      <c r="R75" s="798">
        <f t="shared" si="71"/>
        <v>1</v>
      </c>
      <c r="S75" s="798">
        <f t="shared" si="71"/>
        <v>1</v>
      </c>
      <c r="T75" s="798">
        <f t="shared" si="71"/>
        <v>1</v>
      </c>
      <c r="U75" s="798">
        <f t="shared" si="71"/>
        <v>1</v>
      </c>
      <c r="V75" s="798">
        <f t="shared" si="71"/>
        <v>1</v>
      </c>
      <c r="W75" s="798">
        <f t="shared" si="71"/>
        <v>1</v>
      </c>
      <c r="X75" s="798">
        <f t="shared" si="71"/>
        <v>1</v>
      </c>
      <c r="Y75" s="798">
        <f t="shared" si="71"/>
        <v>1</v>
      </c>
      <c r="Z75" s="798">
        <f t="shared" si="71"/>
        <v>1</v>
      </c>
      <c r="AA75" s="798">
        <f t="shared" si="71"/>
        <v>1</v>
      </c>
      <c r="AB75" s="798">
        <f t="shared" si="71"/>
        <v>1</v>
      </c>
      <c r="AC75" s="798">
        <f t="shared" si="71"/>
        <v>1</v>
      </c>
      <c r="AD75" s="798">
        <f t="shared" si="71"/>
        <v>1</v>
      </c>
      <c r="AE75" s="798">
        <f t="shared" si="71"/>
        <v>1</v>
      </c>
      <c r="AF75" s="798">
        <f t="shared" si="71"/>
        <v>1</v>
      </c>
      <c r="AG75" s="798">
        <f t="shared" si="71"/>
        <v>1</v>
      </c>
      <c r="AH75" s="798">
        <f t="shared" si="71"/>
        <v>1</v>
      </c>
      <c r="AI75" s="798">
        <f t="shared" si="71"/>
        <v>1</v>
      </c>
      <c r="AJ75" s="798">
        <f t="shared" si="71"/>
        <v>1</v>
      </c>
      <c r="AK75" s="798">
        <f t="shared" si="71"/>
        <v>1</v>
      </c>
      <c r="AL75" s="798">
        <f t="shared" si="71"/>
        <v>1</v>
      </c>
      <c r="AM75" s="798">
        <f t="shared" si="71"/>
        <v>1</v>
      </c>
      <c r="AN75" s="798">
        <f t="shared" si="71"/>
        <v>1</v>
      </c>
      <c r="AO75" s="798">
        <f t="shared" si="71"/>
        <v>1</v>
      </c>
      <c r="AP75" s="798">
        <f t="shared" si="71"/>
        <v>1</v>
      </c>
      <c r="AQ75" s="798">
        <f t="shared" si="71"/>
        <v>1</v>
      </c>
      <c r="AR75" s="798">
        <f t="shared" si="71"/>
        <v>1</v>
      </c>
      <c r="AS75" s="798">
        <f t="shared" si="71"/>
        <v>1</v>
      </c>
      <c r="AT75" s="798">
        <f t="shared" si="71"/>
        <v>1</v>
      </c>
      <c r="AU75" s="798">
        <f t="shared" si="71"/>
        <v>1</v>
      </c>
      <c r="AV75" s="798">
        <f t="shared" si="71"/>
        <v>1</v>
      </c>
      <c r="AW75" s="798">
        <f t="shared" si="71"/>
        <v>1</v>
      </c>
      <c r="AX75" s="798">
        <f t="shared" si="71"/>
        <v>1</v>
      </c>
      <c r="AY75" s="798">
        <f t="shared" si="71"/>
        <v>1</v>
      </c>
      <c r="AZ75" s="798">
        <f t="shared" si="71"/>
        <v>1</v>
      </c>
      <c r="BA75" s="798">
        <f t="shared" si="71"/>
        <v>1</v>
      </c>
      <c r="BB75" s="798">
        <f t="shared" si="71"/>
        <v>1</v>
      </c>
      <c r="BC75" s="798">
        <f t="shared" si="71"/>
        <v>1</v>
      </c>
      <c r="BD75" s="798">
        <f t="shared" si="71"/>
        <v>1</v>
      </c>
      <c r="BE75" s="798">
        <f t="shared" si="71"/>
        <v>1</v>
      </c>
      <c r="BF75" s="798">
        <f t="shared" si="71"/>
        <v>1</v>
      </c>
      <c r="BG75" s="798">
        <f t="shared" si="71"/>
        <v>1</v>
      </c>
      <c r="BH75" s="798">
        <f t="shared" si="71"/>
        <v>1</v>
      </c>
      <c r="BI75" s="798">
        <f t="shared" si="71"/>
        <v>1</v>
      </c>
      <c r="BJ75" s="798">
        <f t="shared" si="71"/>
        <v>1</v>
      </c>
      <c r="BK75" s="798">
        <f t="shared" si="71"/>
        <v>1</v>
      </c>
      <c r="BL75" s="765"/>
      <c r="BM75" s="817"/>
      <c r="BN75" s="817"/>
    </row>
    <row r="76" hidden="1">
      <c r="A76" s="765"/>
      <c r="B76" s="765"/>
      <c r="C76" s="765"/>
      <c r="D76" s="765"/>
      <c r="E76" s="765"/>
      <c r="F76" s="765"/>
      <c r="G76" s="765"/>
      <c r="H76" s="765"/>
      <c r="I76" s="765">
        <f t="shared" si="17"/>
        <v>65</v>
      </c>
      <c r="J76" s="763">
        <f t="shared" si="5"/>
        <v>2400086188</v>
      </c>
      <c r="K76" s="796">
        <f t="shared" si="7"/>
        <v>0.26629</v>
      </c>
      <c r="L76" s="796">
        <v>5.0E-4</v>
      </c>
      <c r="M76" s="763">
        <v>2.73670032850289E9</v>
      </c>
      <c r="N76" s="797">
        <f t="shared" si="8"/>
        <v>0</v>
      </c>
      <c r="O76" s="798">
        <f t="shared" ref="O76:BK76" si="72">FLOOR(MIN((((N("value of ELS upgrade")+N$8*($K76-$K75))*(N("Check checkbox")+(IF($G$6=TRUE,$G$7,$G$8))/$G$8))/(N("ROI of ELS and multiply by 2 if ELS is 1:1")+IF($G$12 = True, 2, 1) * $J76))/((N("difference in ELS+ and the cost of it")+(($K75*O$8)-($K75*N$8)) / O$7)),(N("MIN lets it return 0 or 1 after floored")+1)),1)</f>
        <v>0</v>
      </c>
      <c r="P76" s="798">
        <f t="shared" si="72"/>
        <v>1</v>
      </c>
      <c r="Q76" s="798">
        <f t="shared" si="72"/>
        <v>1</v>
      </c>
      <c r="R76" s="798">
        <f t="shared" si="72"/>
        <v>1</v>
      </c>
      <c r="S76" s="798">
        <f t="shared" si="72"/>
        <v>1</v>
      </c>
      <c r="T76" s="798">
        <f t="shared" si="72"/>
        <v>1</v>
      </c>
      <c r="U76" s="798">
        <f t="shared" si="72"/>
        <v>1</v>
      </c>
      <c r="V76" s="798">
        <f t="shared" si="72"/>
        <v>1</v>
      </c>
      <c r="W76" s="798">
        <f t="shared" si="72"/>
        <v>1</v>
      </c>
      <c r="X76" s="798">
        <f t="shared" si="72"/>
        <v>1</v>
      </c>
      <c r="Y76" s="798">
        <f t="shared" si="72"/>
        <v>1</v>
      </c>
      <c r="Z76" s="798">
        <f t="shared" si="72"/>
        <v>1</v>
      </c>
      <c r="AA76" s="798">
        <f t="shared" si="72"/>
        <v>1</v>
      </c>
      <c r="AB76" s="798">
        <f t="shared" si="72"/>
        <v>1</v>
      </c>
      <c r="AC76" s="798">
        <f t="shared" si="72"/>
        <v>1</v>
      </c>
      <c r="AD76" s="798">
        <f t="shared" si="72"/>
        <v>1</v>
      </c>
      <c r="AE76" s="798">
        <f t="shared" si="72"/>
        <v>1</v>
      </c>
      <c r="AF76" s="798">
        <f t="shared" si="72"/>
        <v>1</v>
      </c>
      <c r="AG76" s="798">
        <f t="shared" si="72"/>
        <v>1</v>
      </c>
      <c r="AH76" s="798">
        <f t="shared" si="72"/>
        <v>1</v>
      </c>
      <c r="AI76" s="798">
        <f t="shared" si="72"/>
        <v>1</v>
      </c>
      <c r="AJ76" s="798">
        <f t="shared" si="72"/>
        <v>1</v>
      </c>
      <c r="AK76" s="798">
        <f t="shared" si="72"/>
        <v>1</v>
      </c>
      <c r="AL76" s="798">
        <f t="shared" si="72"/>
        <v>1</v>
      </c>
      <c r="AM76" s="798">
        <f t="shared" si="72"/>
        <v>1</v>
      </c>
      <c r="AN76" s="798">
        <f t="shared" si="72"/>
        <v>1</v>
      </c>
      <c r="AO76" s="798">
        <f t="shared" si="72"/>
        <v>1</v>
      </c>
      <c r="AP76" s="798">
        <f t="shared" si="72"/>
        <v>1</v>
      </c>
      <c r="AQ76" s="798">
        <f t="shared" si="72"/>
        <v>1</v>
      </c>
      <c r="AR76" s="798">
        <f t="shared" si="72"/>
        <v>1</v>
      </c>
      <c r="AS76" s="798">
        <f t="shared" si="72"/>
        <v>1</v>
      </c>
      <c r="AT76" s="798">
        <f t="shared" si="72"/>
        <v>1</v>
      </c>
      <c r="AU76" s="798">
        <f t="shared" si="72"/>
        <v>1</v>
      </c>
      <c r="AV76" s="798">
        <f t="shared" si="72"/>
        <v>1</v>
      </c>
      <c r="AW76" s="798">
        <f t="shared" si="72"/>
        <v>1</v>
      </c>
      <c r="AX76" s="798">
        <f t="shared" si="72"/>
        <v>1</v>
      </c>
      <c r="AY76" s="798">
        <f t="shared" si="72"/>
        <v>1</v>
      </c>
      <c r="AZ76" s="798">
        <f t="shared" si="72"/>
        <v>1</v>
      </c>
      <c r="BA76" s="798">
        <f t="shared" si="72"/>
        <v>1</v>
      </c>
      <c r="BB76" s="798">
        <f t="shared" si="72"/>
        <v>1</v>
      </c>
      <c r="BC76" s="798">
        <f t="shared" si="72"/>
        <v>1</v>
      </c>
      <c r="BD76" s="798">
        <f t="shared" si="72"/>
        <v>1</v>
      </c>
      <c r="BE76" s="798">
        <f t="shared" si="72"/>
        <v>1</v>
      </c>
      <c r="BF76" s="798">
        <f t="shared" si="72"/>
        <v>1</v>
      </c>
      <c r="BG76" s="798">
        <f t="shared" si="72"/>
        <v>1</v>
      </c>
      <c r="BH76" s="798">
        <f t="shared" si="72"/>
        <v>1</v>
      </c>
      <c r="BI76" s="798">
        <f t="shared" si="72"/>
        <v>1</v>
      </c>
      <c r="BJ76" s="798">
        <f t="shared" si="72"/>
        <v>1</v>
      </c>
      <c r="BK76" s="798">
        <f t="shared" si="72"/>
        <v>1</v>
      </c>
      <c r="BL76" s="765"/>
      <c r="BM76" s="817"/>
      <c r="BN76" s="817"/>
    </row>
    <row r="77" hidden="1">
      <c r="A77" s="765"/>
      <c r="B77" s="765"/>
      <c r="C77" s="765"/>
      <c r="D77" s="765"/>
      <c r="E77" s="765"/>
      <c r="F77" s="765"/>
      <c r="G77" s="765"/>
      <c r="H77" s="765"/>
      <c r="I77" s="765">
        <f t="shared" si="17"/>
        <v>66</v>
      </c>
      <c r="J77" s="763">
        <f t="shared" si="5"/>
        <v>2429425070</v>
      </c>
      <c r="K77" s="796">
        <f t="shared" si="7"/>
        <v>0.26679</v>
      </c>
      <c r="L77" s="796">
        <v>5.0E-4</v>
      </c>
      <c r="M77" s="763">
        <v>2.77015401378365E9</v>
      </c>
      <c r="N77" s="797">
        <f t="shared" si="8"/>
        <v>0</v>
      </c>
      <c r="O77" s="798">
        <f t="shared" ref="O77:BK77" si="73">FLOOR(MIN((((N("value of ELS upgrade")+N$8*($K77-$K76))*(N("Check checkbox")+(IF($G$6=TRUE,$G$7,$G$8))/$G$8))/(N("ROI of ELS and multiply by 2 if ELS is 1:1")+IF($G$12 = True, 2, 1) * $J77))/((N("difference in ELS+ and the cost of it")+(($K76*O$8)-($K76*N$8)) / O$7)),(N("MIN lets it return 0 or 1 after floored")+1)),1)</f>
        <v>0</v>
      </c>
      <c r="P77" s="798">
        <f t="shared" si="73"/>
        <v>1</v>
      </c>
      <c r="Q77" s="798">
        <f t="shared" si="73"/>
        <v>1</v>
      </c>
      <c r="R77" s="798">
        <f t="shared" si="73"/>
        <v>1</v>
      </c>
      <c r="S77" s="798">
        <f t="shared" si="73"/>
        <v>1</v>
      </c>
      <c r="T77" s="798">
        <f t="shared" si="73"/>
        <v>1</v>
      </c>
      <c r="U77" s="798">
        <f t="shared" si="73"/>
        <v>1</v>
      </c>
      <c r="V77" s="798">
        <f t="shared" si="73"/>
        <v>1</v>
      </c>
      <c r="W77" s="798">
        <f t="shared" si="73"/>
        <v>1</v>
      </c>
      <c r="X77" s="798">
        <f t="shared" si="73"/>
        <v>1</v>
      </c>
      <c r="Y77" s="798">
        <f t="shared" si="73"/>
        <v>1</v>
      </c>
      <c r="Z77" s="798">
        <f t="shared" si="73"/>
        <v>1</v>
      </c>
      <c r="AA77" s="798">
        <f t="shared" si="73"/>
        <v>1</v>
      </c>
      <c r="AB77" s="798">
        <f t="shared" si="73"/>
        <v>1</v>
      </c>
      <c r="AC77" s="798">
        <f t="shared" si="73"/>
        <v>1</v>
      </c>
      <c r="AD77" s="798">
        <f t="shared" si="73"/>
        <v>1</v>
      </c>
      <c r="AE77" s="798">
        <f t="shared" si="73"/>
        <v>1</v>
      </c>
      <c r="AF77" s="798">
        <f t="shared" si="73"/>
        <v>1</v>
      </c>
      <c r="AG77" s="798">
        <f t="shared" si="73"/>
        <v>1</v>
      </c>
      <c r="AH77" s="798">
        <f t="shared" si="73"/>
        <v>1</v>
      </c>
      <c r="AI77" s="798">
        <f t="shared" si="73"/>
        <v>1</v>
      </c>
      <c r="AJ77" s="798">
        <f t="shared" si="73"/>
        <v>1</v>
      </c>
      <c r="AK77" s="798">
        <f t="shared" si="73"/>
        <v>1</v>
      </c>
      <c r="AL77" s="798">
        <f t="shared" si="73"/>
        <v>1</v>
      </c>
      <c r="AM77" s="798">
        <f t="shared" si="73"/>
        <v>1</v>
      </c>
      <c r="AN77" s="798">
        <f t="shared" si="73"/>
        <v>1</v>
      </c>
      <c r="AO77" s="798">
        <f t="shared" si="73"/>
        <v>1</v>
      </c>
      <c r="AP77" s="798">
        <f t="shared" si="73"/>
        <v>1</v>
      </c>
      <c r="AQ77" s="798">
        <f t="shared" si="73"/>
        <v>1</v>
      </c>
      <c r="AR77" s="798">
        <f t="shared" si="73"/>
        <v>1</v>
      </c>
      <c r="AS77" s="798">
        <f t="shared" si="73"/>
        <v>1</v>
      </c>
      <c r="AT77" s="798">
        <f t="shared" si="73"/>
        <v>1</v>
      </c>
      <c r="AU77" s="798">
        <f t="shared" si="73"/>
        <v>1</v>
      </c>
      <c r="AV77" s="798">
        <f t="shared" si="73"/>
        <v>1</v>
      </c>
      <c r="AW77" s="798">
        <f t="shared" si="73"/>
        <v>1</v>
      </c>
      <c r="AX77" s="798">
        <f t="shared" si="73"/>
        <v>1</v>
      </c>
      <c r="AY77" s="798">
        <f t="shared" si="73"/>
        <v>1</v>
      </c>
      <c r="AZ77" s="798">
        <f t="shared" si="73"/>
        <v>1</v>
      </c>
      <c r="BA77" s="798">
        <f t="shared" si="73"/>
        <v>1</v>
      </c>
      <c r="BB77" s="798">
        <f t="shared" si="73"/>
        <v>1</v>
      </c>
      <c r="BC77" s="798">
        <f t="shared" si="73"/>
        <v>1</v>
      </c>
      <c r="BD77" s="798">
        <f t="shared" si="73"/>
        <v>1</v>
      </c>
      <c r="BE77" s="798">
        <f t="shared" si="73"/>
        <v>1</v>
      </c>
      <c r="BF77" s="798">
        <f t="shared" si="73"/>
        <v>1</v>
      </c>
      <c r="BG77" s="798">
        <f t="shared" si="73"/>
        <v>1</v>
      </c>
      <c r="BH77" s="798">
        <f t="shared" si="73"/>
        <v>1</v>
      </c>
      <c r="BI77" s="798">
        <f t="shared" si="73"/>
        <v>1</v>
      </c>
      <c r="BJ77" s="798">
        <f t="shared" si="73"/>
        <v>1</v>
      </c>
      <c r="BK77" s="798">
        <f t="shared" si="73"/>
        <v>1</v>
      </c>
      <c r="BL77" s="765"/>
      <c r="BM77" s="817"/>
      <c r="BN77" s="817"/>
    </row>
    <row r="78" hidden="1">
      <c r="A78" s="765"/>
      <c r="B78" s="765"/>
      <c r="C78" s="765"/>
      <c r="D78" s="765"/>
      <c r="E78" s="765"/>
      <c r="F78" s="765"/>
      <c r="G78" s="765"/>
      <c r="H78" s="765"/>
      <c r="I78" s="765">
        <f t="shared" si="17"/>
        <v>67</v>
      </c>
      <c r="J78" s="763">
        <f t="shared" si="5"/>
        <v>2458779892</v>
      </c>
      <c r="K78" s="796">
        <f t="shared" si="7"/>
        <v>0.26729</v>
      </c>
      <c r="L78" s="796">
        <v>5.0E-4</v>
      </c>
      <c r="M78" s="763">
        <v>2.8036258744439E9</v>
      </c>
      <c r="N78" s="797">
        <f t="shared" si="8"/>
        <v>0</v>
      </c>
      <c r="O78" s="798">
        <f t="shared" ref="O78:BK78" si="74">FLOOR(MIN((((N("value of ELS upgrade")+N$8*($K78-$K77))*(N("Check checkbox")+(IF($G$6=TRUE,$G$7,$G$8))/$G$8))/(N("ROI of ELS and multiply by 2 if ELS is 1:1")+IF($G$12 = True, 2, 1) * $J78))/((N("difference in ELS+ and the cost of it")+(($K77*O$8)-($K77*N$8)) / O$7)),(N("MIN lets it return 0 or 1 after floored")+1)),1)</f>
        <v>0</v>
      </c>
      <c r="P78" s="798">
        <f t="shared" si="74"/>
        <v>1</v>
      </c>
      <c r="Q78" s="798">
        <f t="shared" si="74"/>
        <v>1</v>
      </c>
      <c r="R78" s="798">
        <f t="shared" si="74"/>
        <v>1</v>
      </c>
      <c r="S78" s="798">
        <f t="shared" si="74"/>
        <v>1</v>
      </c>
      <c r="T78" s="798">
        <f t="shared" si="74"/>
        <v>1</v>
      </c>
      <c r="U78" s="798">
        <f t="shared" si="74"/>
        <v>1</v>
      </c>
      <c r="V78" s="798">
        <f t="shared" si="74"/>
        <v>1</v>
      </c>
      <c r="W78" s="798">
        <f t="shared" si="74"/>
        <v>1</v>
      </c>
      <c r="X78" s="798">
        <f t="shared" si="74"/>
        <v>1</v>
      </c>
      <c r="Y78" s="798">
        <f t="shared" si="74"/>
        <v>1</v>
      </c>
      <c r="Z78" s="798">
        <f t="shared" si="74"/>
        <v>1</v>
      </c>
      <c r="AA78" s="798">
        <f t="shared" si="74"/>
        <v>1</v>
      </c>
      <c r="AB78" s="798">
        <f t="shared" si="74"/>
        <v>1</v>
      </c>
      <c r="AC78" s="798">
        <f t="shared" si="74"/>
        <v>1</v>
      </c>
      <c r="AD78" s="798">
        <f t="shared" si="74"/>
        <v>1</v>
      </c>
      <c r="AE78" s="798">
        <f t="shared" si="74"/>
        <v>1</v>
      </c>
      <c r="AF78" s="798">
        <f t="shared" si="74"/>
        <v>1</v>
      </c>
      <c r="AG78" s="798">
        <f t="shared" si="74"/>
        <v>1</v>
      </c>
      <c r="AH78" s="798">
        <f t="shared" si="74"/>
        <v>1</v>
      </c>
      <c r="AI78" s="798">
        <f t="shared" si="74"/>
        <v>1</v>
      </c>
      <c r="AJ78" s="798">
        <f t="shared" si="74"/>
        <v>1</v>
      </c>
      <c r="AK78" s="798">
        <f t="shared" si="74"/>
        <v>1</v>
      </c>
      <c r="AL78" s="798">
        <f t="shared" si="74"/>
        <v>1</v>
      </c>
      <c r="AM78" s="798">
        <f t="shared" si="74"/>
        <v>1</v>
      </c>
      <c r="AN78" s="798">
        <f t="shared" si="74"/>
        <v>1</v>
      </c>
      <c r="AO78" s="798">
        <f t="shared" si="74"/>
        <v>1</v>
      </c>
      <c r="AP78" s="798">
        <f t="shared" si="74"/>
        <v>1</v>
      </c>
      <c r="AQ78" s="798">
        <f t="shared" si="74"/>
        <v>1</v>
      </c>
      <c r="AR78" s="798">
        <f t="shared" si="74"/>
        <v>1</v>
      </c>
      <c r="AS78" s="798">
        <f t="shared" si="74"/>
        <v>1</v>
      </c>
      <c r="AT78" s="798">
        <f t="shared" si="74"/>
        <v>1</v>
      </c>
      <c r="AU78" s="798">
        <f t="shared" si="74"/>
        <v>1</v>
      </c>
      <c r="AV78" s="798">
        <f t="shared" si="74"/>
        <v>1</v>
      </c>
      <c r="AW78" s="798">
        <f t="shared" si="74"/>
        <v>1</v>
      </c>
      <c r="AX78" s="798">
        <f t="shared" si="74"/>
        <v>1</v>
      </c>
      <c r="AY78" s="798">
        <f t="shared" si="74"/>
        <v>1</v>
      </c>
      <c r="AZ78" s="798">
        <f t="shared" si="74"/>
        <v>1</v>
      </c>
      <c r="BA78" s="798">
        <f t="shared" si="74"/>
        <v>1</v>
      </c>
      <c r="BB78" s="798">
        <f t="shared" si="74"/>
        <v>1</v>
      </c>
      <c r="BC78" s="798">
        <f t="shared" si="74"/>
        <v>1</v>
      </c>
      <c r="BD78" s="798">
        <f t="shared" si="74"/>
        <v>1</v>
      </c>
      <c r="BE78" s="798">
        <f t="shared" si="74"/>
        <v>1</v>
      </c>
      <c r="BF78" s="798">
        <f t="shared" si="74"/>
        <v>1</v>
      </c>
      <c r="BG78" s="798">
        <f t="shared" si="74"/>
        <v>1</v>
      </c>
      <c r="BH78" s="798">
        <f t="shared" si="74"/>
        <v>1</v>
      </c>
      <c r="BI78" s="798">
        <f t="shared" si="74"/>
        <v>1</v>
      </c>
      <c r="BJ78" s="798">
        <f t="shared" si="74"/>
        <v>1</v>
      </c>
      <c r="BK78" s="798">
        <f t="shared" si="74"/>
        <v>1</v>
      </c>
      <c r="BL78" s="765"/>
      <c r="BM78" s="817"/>
      <c r="BN78" s="817"/>
    </row>
    <row r="79" hidden="1">
      <c r="A79" s="765"/>
      <c r="B79" s="765"/>
      <c r="C79" s="765"/>
      <c r="D79" s="765"/>
      <c r="E79" s="765"/>
      <c r="F79" s="765"/>
      <c r="G79" s="765"/>
      <c r="H79" s="765"/>
      <c r="I79" s="765">
        <f t="shared" si="17"/>
        <v>68</v>
      </c>
      <c r="J79" s="763">
        <f t="shared" si="5"/>
        <v>2488150984</v>
      </c>
      <c r="K79" s="796">
        <f t="shared" si="7"/>
        <v>0.26779</v>
      </c>
      <c r="L79" s="796">
        <v>5.0E-4</v>
      </c>
      <c r="M79" s="763">
        <v>2.83711628746364E9</v>
      </c>
      <c r="N79" s="797">
        <f t="shared" si="8"/>
        <v>0</v>
      </c>
      <c r="O79" s="798">
        <f t="shared" ref="O79:BK79" si="75">FLOOR(MIN((((N("value of ELS upgrade")+N$8*($K79-$K78))*(N("Check checkbox")+(IF($G$6=TRUE,$G$7,$G$8))/$G$8))/(N("ROI of ELS and multiply by 2 if ELS is 1:1")+IF($G$12 = True, 2, 1) * $J79))/((N("difference in ELS+ and the cost of it")+(($K78*O$8)-($K78*N$8)) / O$7)),(N("MIN lets it return 0 or 1 after floored")+1)),1)</f>
        <v>0</v>
      </c>
      <c r="P79" s="798">
        <f t="shared" si="75"/>
        <v>1</v>
      </c>
      <c r="Q79" s="798">
        <f t="shared" si="75"/>
        <v>1</v>
      </c>
      <c r="R79" s="798">
        <f t="shared" si="75"/>
        <v>1</v>
      </c>
      <c r="S79" s="798">
        <f t="shared" si="75"/>
        <v>1</v>
      </c>
      <c r="T79" s="798">
        <f t="shared" si="75"/>
        <v>1</v>
      </c>
      <c r="U79" s="798">
        <f t="shared" si="75"/>
        <v>1</v>
      </c>
      <c r="V79" s="798">
        <f t="shared" si="75"/>
        <v>1</v>
      </c>
      <c r="W79" s="798">
        <f t="shared" si="75"/>
        <v>1</v>
      </c>
      <c r="X79" s="798">
        <f t="shared" si="75"/>
        <v>1</v>
      </c>
      <c r="Y79" s="798">
        <f t="shared" si="75"/>
        <v>1</v>
      </c>
      <c r="Z79" s="798">
        <f t="shared" si="75"/>
        <v>1</v>
      </c>
      <c r="AA79" s="798">
        <f t="shared" si="75"/>
        <v>1</v>
      </c>
      <c r="AB79" s="798">
        <f t="shared" si="75"/>
        <v>1</v>
      </c>
      <c r="AC79" s="798">
        <f t="shared" si="75"/>
        <v>1</v>
      </c>
      <c r="AD79" s="798">
        <f t="shared" si="75"/>
        <v>1</v>
      </c>
      <c r="AE79" s="798">
        <f t="shared" si="75"/>
        <v>1</v>
      </c>
      <c r="AF79" s="798">
        <f t="shared" si="75"/>
        <v>1</v>
      </c>
      <c r="AG79" s="798">
        <f t="shared" si="75"/>
        <v>1</v>
      </c>
      <c r="AH79" s="798">
        <f t="shared" si="75"/>
        <v>1</v>
      </c>
      <c r="AI79" s="798">
        <f t="shared" si="75"/>
        <v>1</v>
      </c>
      <c r="AJ79" s="798">
        <f t="shared" si="75"/>
        <v>1</v>
      </c>
      <c r="AK79" s="798">
        <f t="shared" si="75"/>
        <v>1</v>
      </c>
      <c r="AL79" s="798">
        <f t="shared" si="75"/>
        <v>1</v>
      </c>
      <c r="AM79" s="798">
        <f t="shared" si="75"/>
        <v>1</v>
      </c>
      <c r="AN79" s="798">
        <f t="shared" si="75"/>
        <v>1</v>
      </c>
      <c r="AO79" s="798">
        <f t="shared" si="75"/>
        <v>1</v>
      </c>
      <c r="AP79" s="798">
        <f t="shared" si="75"/>
        <v>1</v>
      </c>
      <c r="AQ79" s="798">
        <f t="shared" si="75"/>
        <v>1</v>
      </c>
      <c r="AR79" s="798">
        <f t="shared" si="75"/>
        <v>1</v>
      </c>
      <c r="AS79" s="798">
        <f t="shared" si="75"/>
        <v>1</v>
      </c>
      <c r="AT79" s="798">
        <f t="shared" si="75"/>
        <v>1</v>
      </c>
      <c r="AU79" s="798">
        <f t="shared" si="75"/>
        <v>1</v>
      </c>
      <c r="AV79" s="798">
        <f t="shared" si="75"/>
        <v>1</v>
      </c>
      <c r="AW79" s="798">
        <f t="shared" si="75"/>
        <v>1</v>
      </c>
      <c r="AX79" s="798">
        <f t="shared" si="75"/>
        <v>1</v>
      </c>
      <c r="AY79" s="798">
        <f t="shared" si="75"/>
        <v>1</v>
      </c>
      <c r="AZ79" s="798">
        <f t="shared" si="75"/>
        <v>1</v>
      </c>
      <c r="BA79" s="798">
        <f t="shared" si="75"/>
        <v>1</v>
      </c>
      <c r="BB79" s="798">
        <f t="shared" si="75"/>
        <v>1</v>
      </c>
      <c r="BC79" s="798">
        <f t="shared" si="75"/>
        <v>1</v>
      </c>
      <c r="BD79" s="798">
        <f t="shared" si="75"/>
        <v>1</v>
      </c>
      <c r="BE79" s="798">
        <f t="shared" si="75"/>
        <v>1</v>
      </c>
      <c r="BF79" s="798">
        <f t="shared" si="75"/>
        <v>1</v>
      </c>
      <c r="BG79" s="798">
        <f t="shared" si="75"/>
        <v>1</v>
      </c>
      <c r="BH79" s="798">
        <f t="shared" si="75"/>
        <v>1</v>
      </c>
      <c r="BI79" s="798">
        <f t="shared" si="75"/>
        <v>1</v>
      </c>
      <c r="BJ79" s="798">
        <f t="shared" si="75"/>
        <v>1</v>
      </c>
      <c r="BK79" s="798">
        <f t="shared" si="75"/>
        <v>1</v>
      </c>
      <c r="BL79" s="765"/>
      <c r="BM79" s="817"/>
      <c r="BN79" s="817"/>
    </row>
    <row r="80" hidden="1">
      <c r="A80" s="765"/>
      <c r="B80" s="765"/>
      <c r="C80" s="765"/>
      <c r="D80" s="765"/>
      <c r="E80" s="765"/>
      <c r="F80" s="765"/>
      <c r="G80" s="765"/>
      <c r="H80" s="765"/>
      <c r="I80" s="765">
        <f t="shared" si="17"/>
        <v>69</v>
      </c>
      <c r="J80" s="763">
        <f t="shared" si="5"/>
        <v>2517538683</v>
      </c>
      <c r="K80" s="796">
        <f t="shared" si="7"/>
        <v>0.26829</v>
      </c>
      <c r="L80" s="796">
        <v>5.0E-4</v>
      </c>
      <c r="M80" s="763">
        <v>2.87062563600285E9</v>
      </c>
      <c r="N80" s="797">
        <f t="shared" si="8"/>
        <v>0</v>
      </c>
      <c r="O80" s="798">
        <f t="shared" ref="O80:BK80" si="76">FLOOR(MIN((((N("value of ELS upgrade")+N$8*($K80-$K79))*(N("Check checkbox")+(IF($G$6=TRUE,$G$7,$G$8))/$G$8))/(N("ROI of ELS and multiply by 2 if ELS is 1:1")+IF($G$12 = True, 2, 1) * $J80))/((N("difference in ELS+ and the cost of it")+(($K79*O$8)-($K79*N$8)) / O$7)),(N("MIN lets it return 0 or 1 after floored")+1)),1)</f>
        <v>0</v>
      </c>
      <c r="P80" s="798">
        <f t="shared" si="76"/>
        <v>1</v>
      </c>
      <c r="Q80" s="798">
        <f t="shared" si="76"/>
        <v>1</v>
      </c>
      <c r="R80" s="798">
        <f t="shared" si="76"/>
        <v>1</v>
      </c>
      <c r="S80" s="798">
        <f t="shared" si="76"/>
        <v>1</v>
      </c>
      <c r="T80" s="798">
        <f t="shared" si="76"/>
        <v>1</v>
      </c>
      <c r="U80" s="798">
        <f t="shared" si="76"/>
        <v>1</v>
      </c>
      <c r="V80" s="798">
        <f t="shared" si="76"/>
        <v>1</v>
      </c>
      <c r="W80" s="798">
        <f t="shared" si="76"/>
        <v>1</v>
      </c>
      <c r="X80" s="798">
        <f t="shared" si="76"/>
        <v>1</v>
      </c>
      <c r="Y80" s="798">
        <f t="shared" si="76"/>
        <v>1</v>
      </c>
      <c r="Z80" s="798">
        <f t="shared" si="76"/>
        <v>1</v>
      </c>
      <c r="AA80" s="798">
        <f t="shared" si="76"/>
        <v>1</v>
      </c>
      <c r="AB80" s="798">
        <f t="shared" si="76"/>
        <v>1</v>
      </c>
      <c r="AC80" s="798">
        <f t="shared" si="76"/>
        <v>1</v>
      </c>
      <c r="AD80" s="798">
        <f t="shared" si="76"/>
        <v>1</v>
      </c>
      <c r="AE80" s="798">
        <f t="shared" si="76"/>
        <v>1</v>
      </c>
      <c r="AF80" s="798">
        <f t="shared" si="76"/>
        <v>1</v>
      </c>
      <c r="AG80" s="798">
        <f t="shared" si="76"/>
        <v>1</v>
      </c>
      <c r="AH80" s="798">
        <f t="shared" si="76"/>
        <v>1</v>
      </c>
      <c r="AI80" s="798">
        <f t="shared" si="76"/>
        <v>1</v>
      </c>
      <c r="AJ80" s="798">
        <f t="shared" si="76"/>
        <v>1</v>
      </c>
      <c r="AK80" s="798">
        <f t="shared" si="76"/>
        <v>1</v>
      </c>
      <c r="AL80" s="798">
        <f t="shared" si="76"/>
        <v>1</v>
      </c>
      <c r="AM80" s="798">
        <f t="shared" si="76"/>
        <v>1</v>
      </c>
      <c r="AN80" s="798">
        <f t="shared" si="76"/>
        <v>1</v>
      </c>
      <c r="AO80" s="798">
        <f t="shared" si="76"/>
        <v>1</v>
      </c>
      <c r="AP80" s="798">
        <f t="shared" si="76"/>
        <v>1</v>
      </c>
      <c r="AQ80" s="798">
        <f t="shared" si="76"/>
        <v>1</v>
      </c>
      <c r="AR80" s="798">
        <f t="shared" si="76"/>
        <v>1</v>
      </c>
      <c r="AS80" s="798">
        <f t="shared" si="76"/>
        <v>1</v>
      </c>
      <c r="AT80" s="798">
        <f t="shared" si="76"/>
        <v>1</v>
      </c>
      <c r="AU80" s="798">
        <f t="shared" si="76"/>
        <v>1</v>
      </c>
      <c r="AV80" s="798">
        <f t="shared" si="76"/>
        <v>1</v>
      </c>
      <c r="AW80" s="798">
        <f t="shared" si="76"/>
        <v>1</v>
      </c>
      <c r="AX80" s="798">
        <f t="shared" si="76"/>
        <v>1</v>
      </c>
      <c r="AY80" s="798">
        <f t="shared" si="76"/>
        <v>1</v>
      </c>
      <c r="AZ80" s="798">
        <f t="shared" si="76"/>
        <v>1</v>
      </c>
      <c r="BA80" s="798">
        <f t="shared" si="76"/>
        <v>1</v>
      </c>
      <c r="BB80" s="798">
        <f t="shared" si="76"/>
        <v>1</v>
      </c>
      <c r="BC80" s="798">
        <f t="shared" si="76"/>
        <v>1</v>
      </c>
      <c r="BD80" s="798">
        <f t="shared" si="76"/>
        <v>1</v>
      </c>
      <c r="BE80" s="798">
        <f t="shared" si="76"/>
        <v>1</v>
      </c>
      <c r="BF80" s="798">
        <f t="shared" si="76"/>
        <v>1</v>
      </c>
      <c r="BG80" s="798">
        <f t="shared" si="76"/>
        <v>1</v>
      </c>
      <c r="BH80" s="798">
        <f t="shared" si="76"/>
        <v>1</v>
      </c>
      <c r="BI80" s="798">
        <f t="shared" si="76"/>
        <v>1</v>
      </c>
      <c r="BJ80" s="798">
        <f t="shared" si="76"/>
        <v>1</v>
      </c>
      <c r="BK80" s="798">
        <f t="shared" si="76"/>
        <v>1</v>
      </c>
      <c r="BL80" s="765"/>
      <c r="BM80" s="817"/>
      <c r="BN80" s="817"/>
    </row>
    <row r="81" hidden="1">
      <c r="A81" s="765"/>
      <c r="B81" s="765"/>
      <c r="C81" s="765"/>
      <c r="D81" s="765"/>
      <c r="E81" s="765"/>
      <c r="F81" s="765"/>
      <c r="G81" s="765"/>
      <c r="H81" s="765"/>
      <c r="I81" s="765">
        <f t="shared" si="17"/>
        <v>70</v>
      </c>
      <c r="J81" s="763">
        <f t="shared" si="5"/>
        <v>2546943321</v>
      </c>
      <c r="K81" s="796">
        <f t="shared" si="7"/>
        <v>0.26879</v>
      </c>
      <c r="L81" s="796">
        <v>5.0E-4</v>
      </c>
      <c r="M81" s="763">
        <v>2.90415430013153E9</v>
      </c>
      <c r="N81" s="797">
        <f t="shared" si="8"/>
        <v>0</v>
      </c>
      <c r="O81" s="798">
        <f t="shared" ref="O81:BK81" si="77">FLOOR(MIN((((N("value of ELS upgrade")+N$8*($K81-$K80))*(N("Check checkbox")+(IF($G$6=TRUE,$G$7,$G$8))/$G$8))/(N("ROI of ELS and multiply by 2 if ELS is 1:1")+IF($G$12 = True, 2, 1) * $J81))/((N("difference in ELS+ and the cost of it")+(($K80*O$8)-($K80*N$8)) / O$7)),(N("MIN lets it return 0 or 1 after floored")+1)),1)</f>
        <v>0</v>
      </c>
      <c r="P81" s="798">
        <f t="shared" si="77"/>
        <v>1</v>
      </c>
      <c r="Q81" s="798">
        <f t="shared" si="77"/>
        <v>1</v>
      </c>
      <c r="R81" s="798">
        <f t="shared" si="77"/>
        <v>1</v>
      </c>
      <c r="S81" s="798">
        <f t="shared" si="77"/>
        <v>1</v>
      </c>
      <c r="T81" s="798">
        <f t="shared" si="77"/>
        <v>1</v>
      </c>
      <c r="U81" s="798">
        <f t="shared" si="77"/>
        <v>1</v>
      </c>
      <c r="V81" s="798">
        <f t="shared" si="77"/>
        <v>1</v>
      </c>
      <c r="W81" s="798">
        <f t="shared" si="77"/>
        <v>1</v>
      </c>
      <c r="X81" s="798">
        <f t="shared" si="77"/>
        <v>1</v>
      </c>
      <c r="Y81" s="798">
        <f t="shared" si="77"/>
        <v>1</v>
      </c>
      <c r="Z81" s="798">
        <f t="shared" si="77"/>
        <v>1</v>
      </c>
      <c r="AA81" s="798">
        <f t="shared" si="77"/>
        <v>1</v>
      </c>
      <c r="AB81" s="798">
        <f t="shared" si="77"/>
        <v>1</v>
      </c>
      <c r="AC81" s="798">
        <f t="shared" si="77"/>
        <v>1</v>
      </c>
      <c r="AD81" s="798">
        <f t="shared" si="77"/>
        <v>1</v>
      </c>
      <c r="AE81" s="798">
        <f t="shared" si="77"/>
        <v>1</v>
      </c>
      <c r="AF81" s="798">
        <f t="shared" si="77"/>
        <v>1</v>
      </c>
      <c r="AG81" s="798">
        <f t="shared" si="77"/>
        <v>1</v>
      </c>
      <c r="AH81" s="798">
        <f t="shared" si="77"/>
        <v>1</v>
      </c>
      <c r="AI81" s="798">
        <f t="shared" si="77"/>
        <v>1</v>
      </c>
      <c r="AJ81" s="798">
        <f t="shared" si="77"/>
        <v>1</v>
      </c>
      <c r="AK81" s="798">
        <f t="shared" si="77"/>
        <v>1</v>
      </c>
      <c r="AL81" s="798">
        <f t="shared" si="77"/>
        <v>1</v>
      </c>
      <c r="AM81" s="798">
        <f t="shared" si="77"/>
        <v>1</v>
      </c>
      <c r="AN81" s="798">
        <f t="shared" si="77"/>
        <v>1</v>
      </c>
      <c r="AO81" s="798">
        <f t="shared" si="77"/>
        <v>1</v>
      </c>
      <c r="AP81" s="798">
        <f t="shared" si="77"/>
        <v>1</v>
      </c>
      <c r="AQ81" s="798">
        <f t="shared" si="77"/>
        <v>1</v>
      </c>
      <c r="AR81" s="798">
        <f t="shared" si="77"/>
        <v>1</v>
      </c>
      <c r="AS81" s="798">
        <f t="shared" si="77"/>
        <v>1</v>
      </c>
      <c r="AT81" s="798">
        <f t="shared" si="77"/>
        <v>1</v>
      </c>
      <c r="AU81" s="798">
        <f t="shared" si="77"/>
        <v>1</v>
      </c>
      <c r="AV81" s="798">
        <f t="shared" si="77"/>
        <v>1</v>
      </c>
      <c r="AW81" s="798">
        <f t="shared" si="77"/>
        <v>1</v>
      </c>
      <c r="AX81" s="798">
        <f t="shared" si="77"/>
        <v>1</v>
      </c>
      <c r="AY81" s="798">
        <f t="shared" si="77"/>
        <v>1</v>
      </c>
      <c r="AZ81" s="798">
        <f t="shared" si="77"/>
        <v>1</v>
      </c>
      <c r="BA81" s="798">
        <f t="shared" si="77"/>
        <v>1</v>
      </c>
      <c r="BB81" s="798">
        <f t="shared" si="77"/>
        <v>1</v>
      </c>
      <c r="BC81" s="798">
        <f t="shared" si="77"/>
        <v>1</v>
      </c>
      <c r="BD81" s="798">
        <f t="shared" si="77"/>
        <v>1</v>
      </c>
      <c r="BE81" s="798">
        <f t="shared" si="77"/>
        <v>1</v>
      </c>
      <c r="BF81" s="798">
        <f t="shared" si="77"/>
        <v>1</v>
      </c>
      <c r="BG81" s="798">
        <f t="shared" si="77"/>
        <v>1</v>
      </c>
      <c r="BH81" s="798">
        <f t="shared" si="77"/>
        <v>1</v>
      </c>
      <c r="BI81" s="798">
        <f t="shared" si="77"/>
        <v>1</v>
      </c>
      <c r="BJ81" s="798">
        <f t="shared" si="77"/>
        <v>1</v>
      </c>
      <c r="BK81" s="798">
        <f t="shared" si="77"/>
        <v>1</v>
      </c>
      <c r="BL81" s="765"/>
      <c r="BM81" s="817"/>
      <c r="BN81" s="817"/>
    </row>
    <row r="82" hidden="1">
      <c r="A82" s="765"/>
      <c r="B82" s="765"/>
      <c r="C82" s="765"/>
      <c r="D82" s="765"/>
      <c r="E82" s="765"/>
      <c r="F82" s="765"/>
      <c r="G82" s="765"/>
      <c r="H82" s="765"/>
      <c r="I82" s="765">
        <f t="shared" si="17"/>
        <v>71</v>
      </c>
      <c r="J82" s="763">
        <f t="shared" si="5"/>
        <v>2576365238</v>
      </c>
      <c r="K82" s="796">
        <f t="shared" si="7"/>
        <v>0.26929</v>
      </c>
      <c r="L82" s="796">
        <v>5.0E-4</v>
      </c>
      <c r="M82" s="763">
        <v>2.93770266609966E9</v>
      </c>
      <c r="N82" s="797">
        <f t="shared" si="8"/>
        <v>0</v>
      </c>
      <c r="O82" s="798">
        <f t="shared" ref="O82:BK82" si="78">FLOOR(MIN((((N("value of ELS upgrade")+N$8*($K82-$K81))*(N("Check checkbox")+(IF($G$6=TRUE,$G$7,$G$8))/$G$8))/(N("ROI of ELS and multiply by 2 if ELS is 1:1")+IF($G$12 = True, 2, 1) * $J82))/((N("difference in ELS+ and the cost of it")+(($K81*O$8)-($K81*N$8)) / O$7)),(N("MIN lets it return 0 or 1 after floored")+1)),1)</f>
        <v>0</v>
      </c>
      <c r="P82" s="798">
        <f t="shared" si="78"/>
        <v>1</v>
      </c>
      <c r="Q82" s="798">
        <f t="shared" si="78"/>
        <v>1</v>
      </c>
      <c r="R82" s="798">
        <f t="shared" si="78"/>
        <v>1</v>
      </c>
      <c r="S82" s="798">
        <f t="shared" si="78"/>
        <v>1</v>
      </c>
      <c r="T82" s="798">
        <f t="shared" si="78"/>
        <v>1</v>
      </c>
      <c r="U82" s="798">
        <f t="shared" si="78"/>
        <v>1</v>
      </c>
      <c r="V82" s="798">
        <f t="shared" si="78"/>
        <v>1</v>
      </c>
      <c r="W82" s="798">
        <f t="shared" si="78"/>
        <v>1</v>
      </c>
      <c r="X82" s="798">
        <f t="shared" si="78"/>
        <v>1</v>
      </c>
      <c r="Y82" s="798">
        <f t="shared" si="78"/>
        <v>1</v>
      </c>
      <c r="Z82" s="798">
        <f t="shared" si="78"/>
        <v>1</v>
      </c>
      <c r="AA82" s="798">
        <f t="shared" si="78"/>
        <v>1</v>
      </c>
      <c r="AB82" s="798">
        <f t="shared" si="78"/>
        <v>1</v>
      </c>
      <c r="AC82" s="798">
        <f t="shared" si="78"/>
        <v>1</v>
      </c>
      <c r="AD82" s="798">
        <f t="shared" si="78"/>
        <v>1</v>
      </c>
      <c r="AE82" s="798">
        <f t="shared" si="78"/>
        <v>1</v>
      </c>
      <c r="AF82" s="798">
        <f t="shared" si="78"/>
        <v>1</v>
      </c>
      <c r="AG82" s="798">
        <f t="shared" si="78"/>
        <v>1</v>
      </c>
      <c r="AH82" s="798">
        <f t="shared" si="78"/>
        <v>1</v>
      </c>
      <c r="AI82" s="798">
        <f t="shared" si="78"/>
        <v>1</v>
      </c>
      <c r="AJ82" s="798">
        <f t="shared" si="78"/>
        <v>1</v>
      </c>
      <c r="AK82" s="798">
        <f t="shared" si="78"/>
        <v>1</v>
      </c>
      <c r="AL82" s="798">
        <f t="shared" si="78"/>
        <v>1</v>
      </c>
      <c r="AM82" s="798">
        <f t="shared" si="78"/>
        <v>1</v>
      </c>
      <c r="AN82" s="798">
        <f t="shared" si="78"/>
        <v>1</v>
      </c>
      <c r="AO82" s="798">
        <f t="shared" si="78"/>
        <v>1</v>
      </c>
      <c r="AP82" s="798">
        <f t="shared" si="78"/>
        <v>1</v>
      </c>
      <c r="AQ82" s="798">
        <f t="shared" si="78"/>
        <v>1</v>
      </c>
      <c r="AR82" s="798">
        <f t="shared" si="78"/>
        <v>1</v>
      </c>
      <c r="AS82" s="798">
        <f t="shared" si="78"/>
        <v>1</v>
      </c>
      <c r="AT82" s="798">
        <f t="shared" si="78"/>
        <v>1</v>
      </c>
      <c r="AU82" s="798">
        <f t="shared" si="78"/>
        <v>1</v>
      </c>
      <c r="AV82" s="798">
        <f t="shared" si="78"/>
        <v>1</v>
      </c>
      <c r="AW82" s="798">
        <f t="shared" si="78"/>
        <v>1</v>
      </c>
      <c r="AX82" s="798">
        <f t="shared" si="78"/>
        <v>1</v>
      </c>
      <c r="AY82" s="798">
        <f t="shared" si="78"/>
        <v>1</v>
      </c>
      <c r="AZ82" s="798">
        <f t="shared" si="78"/>
        <v>1</v>
      </c>
      <c r="BA82" s="798">
        <f t="shared" si="78"/>
        <v>1</v>
      </c>
      <c r="BB82" s="798">
        <f t="shared" si="78"/>
        <v>1</v>
      </c>
      <c r="BC82" s="798">
        <f t="shared" si="78"/>
        <v>1</v>
      </c>
      <c r="BD82" s="798">
        <f t="shared" si="78"/>
        <v>1</v>
      </c>
      <c r="BE82" s="798">
        <f t="shared" si="78"/>
        <v>1</v>
      </c>
      <c r="BF82" s="798">
        <f t="shared" si="78"/>
        <v>1</v>
      </c>
      <c r="BG82" s="798">
        <f t="shared" si="78"/>
        <v>1</v>
      </c>
      <c r="BH82" s="798">
        <f t="shared" si="78"/>
        <v>1</v>
      </c>
      <c r="BI82" s="798">
        <f t="shared" si="78"/>
        <v>1</v>
      </c>
      <c r="BJ82" s="798">
        <f t="shared" si="78"/>
        <v>1</v>
      </c>
      <c r="BK82" s="798">
        <f t="shared" si="78"/>
        <v>1</v>
      </c>
      <c r="BL82" s="765"/>
      <c r="BM82" s="817"/>
      <c r="BN82" s="817"/>
    </row>
    <row r="83" hidden="1">
      <c r="A83" s="765"/>
      <c r="B83" s="765"/>
      <c r="C83" s="765"/>
      <c r="D83" s="765"/>
      <c r="E83" s="765"/>
      <c r="F83" s="765"/>
      <c r="G83" s="765"/>
      <c r="H83" s="765"/>
      <c r="I83" s="765">
        <f t="shared" si="17"/>
        <v>72</v>
      </c>
      <c r="J83" s="763">
        <f t="shared" si="5"/>
        <v>2605804771</v>
      </c>
      <c r="K83" s="796">
        <f t="shared" si="7"/>
        <v>0.26979</v>
      </c>
      <c r="L83" s="796">
        <v>5.0E-4</v>
      </c>
      <c r="M83" s="763">
        <v>2.97127111912723E9</v>
      </c>
      <c r="N83" s="797">
        <f t="shared" si="8"/>
        <v>0</v>
      </c>
      <c r="O83" s="798">
        <f t="shared" ref="O83:BK83" si="79">FLOOR(MIN((((N("value of ELS upgrade")+N$8*($K83-$K82))*(N("Check checkbox")+(IF($G$6=TRUE,$G$7,$G$8))/$G$8))/(N("ROI of ELS and multiply by 2 if ELS is 1:1")+IF($G$12 = True, 2, 1) * $J83))/((N("difference in ELS+ and the cost of it")+(($K82*O$8)-($K82*N$8)) / O$7)),(N("MIN lets it return 0 or 1 after floored")+1)),1)</f>
        <v>0</v>
      </c>
      <c r="P83" s="798">
        <f t="shared" si="79"/>
        <v>1</v>
      </c>
      <c r="Q83" s="798">
        <f t="shared" si="79"/>
        <v>1</v>
      </c>
      <c r="R83" s="798">
        <f t="shared" si="79"/>
        <v>1</v>
      </c>
      <c r="S83" s="798">
        <f t="shared" si="79"/>
        <v>1</v>
      </c>
      <c r="T83" s="798">
        <f t="shared" si="79"/>
        <v>1</v>
      </c>
      <c r="U83" s="798">
        <f t="shared" si="79"/>
        <v>1</v>
      </c>
      <c r="V83" s="798">
        <f t="shared" si="79"/>
        <v>1</v>
      </c>
      <c r="W83" s="798">
        <f t="shared" si="79"/>
        <v>1</v>
      </c>
      <c r="X83" s="798">
        <f t="shared" si="79"/>
        <v>1</v>
      </c>
      <c r="Y83" s="798">
        <f t="shared" si="79"/>
        <v>1</v>
      </c>
      <c r="Z83" s="798">
        <f t="shared" si="79"/>
        <v>1</v>
      </c>
      <c r="AA83" s="798">
        <f t="shared" si="79"/>
        <v>1</v>
      </c>
      <c r="AB83" s="798">
        <f t="shared" si="79"/>
        <v>1</v>
      </c>
      <c r="AC83" s="798">
        <f t="shared" si="79"/>
        <v>1</v>
      </c>
      <c r="AD83" s="798">
        <f t="shared" si="79"/>
        <v>1</v>
      </c>
      <c r="AE83" s="798">
        <f t="shared" si="79"/>
        <v>1</v>
      </c>
      <c r="AF83" s="798">
        <f t="shared" si="79"/>
        <v>1</v>
      </c>
      <c r="AG83" s="798">
        <f t="shared" si="79"/>
        <v>1</v>
      </c>
      <c r="AH83" s="798">
        <f t="shared" si="79"/>
        <v>1</v>
      </c>
      <c r="AI83" s="798">
        <f t="shared" si="79"/>
        <v>1</v>
      </c>
      <c r="AJ83" s="798">
        <f t="shared" si="79"/>
        <v>1</v>
      </c>
      <c r="AK83" s="798">
        <f t="shared" si="79"/>
        <v>1</v>
      </c>
      <c r="AL83" s="798">
        <f t="shared" si="79"/>
        <v>1</v>
      </c>
      <c r="AM83" s="798">
        <f t="shared" si="79"/>
        <v>1</v>
      </c>
      <c r="AN83" s="798">
        <f t="shared" si="79"/>
        <v>1</v>
      </c>
      <c r="AO83" s="798">
        <f t="shared" si="79"/>
        <v>1</v>
      </c>
      <c r="AP83" s="798">
        <f t="shared" si="79"/>
        <v>1</v>
      </c>
      <c r="AQ83" s="798">
        <f t="shared" si="79"/>
        <v>1</v>
      </c>
      <c r="AR83" s="798">
        <f t="shared" si="79"/>
        <v>1</v>
      </c>
      <c r="AS83" s="798">
        <f t="shared" si="79"/>
        <v>1</v>
      </c>
      <c r="AT83" s="798">
        <f t="shared" si="79"/>
        <v>1</v>
      </c>
      <c r="AU83" s="798">
        <f t="shared" si="79"/>
        <v>1</v>
      </c>
      <c r="AV83" s="798">
        <f t="shared" si="79"/>
        <v>1</v>
      </c>
      <c r="AW83" s="798">
        <f t="shared" si="79"/>
        <v>1</v>
      </c>
      <c r="AX83" s="798">
        <f t="shared" si="79"/>
        <v>1</v>
      </c>
      <c r="AY83" s="798">
        <f t="shared" si="79"/>
        <v>1</v>
      </c>
      <c r="AZ83" s="798">
        <f t="shared" si="79"/>
        <v>1</v>
      </c>
      <c r="BA83" s="798">
        <f t="shared" si="79"/>
        <v>1</v>
      </c>
      <c r="BB83" s="798">
        <f t="shared" si="79"/>
        <v>1</v>
      </c>
      <c r="BC83" s="798">
        <f t="shared" si="79"/>
        <v>1</v>
      </c>
      <c r="BD83" s="798">
        <f t="shared" si="79"/>
        <v>1</v>
      </c>
      <c r="BE83" s="798">
        <f t="shared" si="79"/>
        <v>1</v>
      </c>
      <c r="BF83" s="798">
        <f t="shared" si="79"/>
        <v>1</v>
      </c>
      <c r="BG83" s="798">
        <f t="shared" si="79"/>
        <v>1</v>
      </c>
      <c r="BH83" s="798">
        <f t="shared" si="79"/>
        <v>1</v>
      </c>
      <c r="BI83" s="798">
        <f t="shared" si="79"/>
        <v>1</v>
      </c>
      <c r="BJ83" s="798">
        <f t="shared" si="79"/>
        <v>1</v>
      </c>
      <c r="BK83" s="798">
        <f t="shared" si="79"/>
        <v>1</v>
      </c>
      <c r="BL83" s="765"/>
      <c r="BM83" s="817"/>
      <c r="BN83" s="817"/>
    </row>
    <row r="84" hidden="1">
      <c r="A84" s="765"/>
      <c r="B84" s="765"/>
      <c r="C84" s="765"/>
      <c r="D84" s="765"/>
      <c r="E84" s="765"/>
      <c r="F84" s="765"/>
      <c r="G84" s="765"/>
      <c r="H84" s="765"/>
      <c r="I84" s="765">
        <f t="shared" si="17"/>
        <v>73</v>
      </c>
      <c r="J84" s="763">
        <f t="shared" si="5"/>
        <v>2635262263</v>
      </c>
      <c r="K84" s="796">
        <f t="shared" si="7"/>
        <v>0.27029</v>
      </c>
      <c r="L84" s="796">
        <v>5.0E-4</v>
      </c>
      <c r="M84" s="763">
        <v>3.00486004855424E9</v>
      </c>
      <c r="N84" s="797">
        <f t="shared" si="8"/>
        <v>0</v>
      </c>
      <c r="O84" s="798">
        <f t="shared" ref="O84:BK84" si="80">FLOOR(MIN((((N("value of ELS upgrade")+N$8*($K84-$K83))*(N("Check checkbox")+(IF($G$6=TRUE,$G$7,$G$8))/$G$8))/(N("ROI of ELS and multiply by 2 if ELS is 1:1")+IF($G$12 = True, 2, 1) * $J84))/((N("difference in ELS+ and the cost of it")+(($K83*O$8)-($K83*N$8)) / O$7)),(N("MIN lets it return 0 or 1 after floored")+1)),1)</f>
        <v>0</v>
      </c>
      <c r="P84" s="798">
        <f t="shared" si="80"/>
        <v>1</v>
      </c>
      <c r="Q84" s="798">
        <f t="shared" si="80"/>
        <v>1</v>
      </c>
      <c r="R84" s="798">
        <f t="shared" si="80"/>
        <v>1</v>
      </c>
      <c r="S84" s="798">
        <f t="shared" si="80"/>
        <v>1</v>
      </c>
      <c r="T84" s="798">
        <f t="shared" si="80"/>
        <v>1</v>
      </c>
      <c r="U84" s="798">
        <f t="shared" si="80"/>
        <v>1</v>
      </c>
      <c r="V84" s="798">
        <f t="shared" si="80"/>
        <v>1</v>
      </c>
      <c r="W84" s="798">
        <f t="shared" si="80"/>
        <v>1</v>
      </c>
      <c r="X84" s="798">
        <f t="shared" si="80"/>
        <v>1</v>
      </c>
      <c r="Y84" s="798">
        <f t="shared" si="80"/>
        <v>1</v>
      </c>
      <c r="Z84" s="798">
        <f t="shared" si="80"/>
        <v>1</v>
      </c>
      <c r="AA84" s="798">
        <f t="shared" si="80"/>
        <v>1</v>
      </c>
      <c r="AB84" s="798">
        <f t="shared" si="80"/>
        <v>1</v>
      </c>
      <c r="AC84" s="798">
        <f t="shared" si="80"/>
        <v>1</v>
      </c>
      <c r="AD84" s="798">
        <f t="shared" si="80"/>
        <v>1</v>
      </c>
      <c r="AE84" s="798">
        <f t="shared" si="80"/>
        <v>1</v>
      </c>
      <c r="AF84" s="798">
        <f t="shared" si="80"/>
        <v>1</v>
      </c>
      <c r="AG84" s="798">
        <f t="shared" si="80"/>
        <v>1</v>
      </c>
      <c r="AH84" s="798">
        <f t="shared" si="80"/>
        <v>1</v>
      </c>
      <c r="AI84" s="798">
        <f t="shared" si="80"/>
        <v>1</v>
      </c>
      <c r="AJ84" s="798">
        <f t="shared" si="80"/>
        <v>1</v>
      </c>
      <c r="AK84" s="798">
        <f t="shared" si="80"/>
        <v>1</v>
      </c>
      <c r="AL84" s="798">
        <f t="shared" si="80"/>
        <v>1</v>
      </c>
      <c r="AM84" s="798">
        <f t="shared" si="80"/>
        <v>1</v>
      </c>
      <c r="AN84" s="798">
        <f t="shared" si="80"/>
        <v>1</v>
      </c>
      <c r="AO84" s="798">
        <f t="shared" si="80"/>
        <v>1</v>
      </c>
      <c r="AP84" s="798">
        <f t="shared" si="80"/>
        <v>1</v>
      </c>
      <c r="AQ84" s="798">
        <f t="shared" si="80"/>
        <v>1</v>
      </c>
      <c r="AR84" s="798">
        <f t="shared" si="80"/>
        <v>1</v>
      </c>
      <c r="AS84" s="798">
        <f t="shared" si="80"/>
        <v>1</v>
      </c>
      <c r="AT84" s="798">
        <f t="shared" si="80"/>
        <v>1</v>
      </c>
      <c r="AU84" s="798">
        <f t="shared" si="80"/>
        <v>1</v>
      </c>
      <c r="AV84" s="798">
        <f t="shared" si="80"/>
        <v>1</v>
      </c>
      <c r="AW84" s="798">
        <f t="shared" si="80"/>
        <v>1</v>
      </c>
      <c r="AX84" s="798">
        <f t="shared" si="80"/>
        <v>1</v>
      </c>
      <c r="AY84" s="798">
        <f t="shared" si="80"/>
        <v>1</v>
      </c>
      <c r="AZ84" s="798">
        <f t="shared" si="80"/>
        <v>1</v>
      </c>
      <c r="BA84" s="798">
        <f t="shared" si="80"/>
        <v>1</v>
      </c>
      <c r="BB84" s="798">
        <f t="shared" si="80"/>
        <v>1</v>
      </c>
      <c r="BC84" s="798">
        <f t="shared" si="80"/>
        <v>1</v>
      </c>
      <c r="BD84" s="798">
        <f t="shared" si="80"/>
        <v>1</v>
      </c>
      <c r="BE84" s="798">
        <f t="shared" si="80"/>
        <v>1</v>
      </c>
      <c r="BF84" s="798">
        <f t="shared" si="80"/>
        <v>1</v>
      </c>
      <c r="BG84" s="798">
        <f t="shared" si="80"/>
        <v>1</v>
      </c>
      <c r="BH84" s="798">
        <f t="shared" si="80"/>
        <v>1</v>
      </c>
      <c r="BI84" s="798">
        <f t="shared" si="80"/>
        <v>1</v>
      </c>
      <c r="BJ84" s="798">
        <f t="shared" si="80"/>
        <v>1</v>
      </c>
      <c r="BK84" s="798">
        <f t="shared" si="80"/>
        <v>1</v>
      </c>
      <c r="BL84" s="765"/>
      <c r="BM84" s="817"/>
      <c r="BN84" s="817"/>
    </row>
    <row r="85" hidden="1">
      <c r="A85" s="765"/>
      <c r="B85" s="765"/>
      <c r="C85" s="765"/>
      <c r="D85" s="765"/>
      <c r="E85" s="765"/>
      <c r="F85" s="765"/>
      <c r="G85" s="765"/>
      <c r="H85" s="765"/>
      <c r="I85" s="765">
        <f t="shared" si="17"/>
        <v>74</v>
      </c>
      <c r="J85" s="763">
        <f t="shared" si="5"/>
        <v>2664738053</v>
      </c>
      <c r="K85" s="796">
        <f t="shared" si="7"/>
        <v>0.27079</v>
      </c>
      <c r="L85" s="796">
        <v>5.0E-4</v>
      </c>
      <c r="M85" s="763">
        <v>3.03846984372066E9</v>
      </c>
      <c r="N85" s="797">
        <f t="shared" si="8"/>
        <v>0</v>
      </c>
      <c r="O85" s="798">
        <f t="shared" ref="O85:BK85" si="81">FLOOR(MIN((((N("value of ELS upgrade")+N$8*($K85-$K84))*(N("Check checkbox")+(IF($G$6=TRUE,$G$7,$G$8))/$G$8))/(N("ROI of ELS and multiply by 2 if ELS is 1:1")+IF($G$12 = True, 2, 1) * $J85))/((N("difference in ELS+ and the cost of it")+(($K84*O$8)-($K84*N$8)) / O$7)),(N("MIN lets it return 0 or 1 after floored")+1)),1)</f>
        <v>0</v>
      </c>
      <c r="P85" s="798">
        <f t="shared" si="81"/>
        <v>1</v>
      </c>
      <c r="Q85" s="798">
        <f t="shared" si="81"/>
        <v>1</v>
      </c>
      <c r="R85" s="798">
        <f t="shared" si="81"/>
        <v>1</v>
      </c>
      <c r="S85" s="798">
        <f t="shared" si="81"/>
        <v>1</v>
      </c>
      <c r="T85" s="798">
        <f t="shared" si="81"/>
        <v>1</v>
      </c>
      <c r="U85" s="798">
        <f t="shared" si="81"/>
        <v>1</v>
      </c>
      <c r="V85" s="798">
        <f t="shared" si="81"/>
        <v>1</v>
      </c>
      <c r="W85" s="798">
        <f t="shared" si="81"/>
        <v>1</v>
      </c>
      <c r="X85" s="798">
        <f t="shared" si="81"/>
        <v>1</v>
      </c>
      <c r="Y85" s="798">
        <f t="shared" si="81"/>
        <v>1</v>
      </c>
      <c r="Z85" s="798">
        <f t="shared" si="81"/>
        <v>1</v>
      </c>
      <c r="AA85" s="798">
        <f t="shared" si="81"/>
        <v>1</v>
      </c>
      <c r="AB85" s="798">
        <f t="shared" si="81"/>
        <v>1</v>
      </c>
      <c r="AC85" s="798">
        <f t="shared" si="81"/>
        <v>1</v>
      </c>
      <c r="AD85" s="798">
        <f t="shared" si="81"/>
        <v>1</v>
      </c>
      <c r="AE85" s="798">
        <f t="shared" si="81"/>
        <v>1</v>
      </c>
      <c r="AF85" s="798">
        <f t="shared" si="81"/>
        <v>1</v>
      </c>
      <c r="AG85" s="798">
        <f t="shared" si="81"/>
        <v>1</v>
      </c>
      <c r="AH85" s="798">
        <f t="shared" si="81"/>
        <v>1</v>
      </c>
      <c r="AI85" s="798">
        <f t="shared" si="81"/>
        <v>1</v>
      </c>
      <c r="AJ85" s="798">
        <f t="shared" si="81"/>
        <v>1</v>
      </c>
      <c r="AK85" s="798">
        <f t="shared" si="81"/>
        <v>1</v>
      </c>
      <c r="AL85" s="798">
        <f t="shared" si="81"/>
        <v>1</v>
      </c>
      <c r="AM85" s="798">
        <f t="shared" si="81"/>
        <v>1</v>
      </c>
      <c r="AN85" s="798">
        <f t="shared" si="81"/>
        <v>1</v>
      </c>
      <c r="AO85" s="798">
        <f t="shared" si="81"/>
        <v>1</v>
      </c>
      <c r="AP85" s="798">
        <f t="shared" si="81"/>
        <v>1</v>
      </c>
      <c r="AQ85" s="798">
        <f t="shared" si="81"/>
        <v>1</v>
      </c>
      <c r="AR85" s="798">
        <f t="shared" si="81"/>
        <v>1</v>
      </c>
      <c r="AS85" s="798">
        <f t="shared" si="81"/>
        <v>1</v>
      </c>
      <c r="AT85" s="798">
        <f t="shared" si="81"/>
        <v>1</v>
      </c>
      <c r="AU85" s="798">
        <f t="shared" si="81"/>
        <v>1</v>
      </c>
      <c r="AV85" s="798">
        <f t="shared" si="81"/>
        <v>1</v>
      </c>
      <c r="AW85" s="798">
        <f t="shared" si="81"/>
        <v>1</v>
      </c>
      <c r="AX85" s="798">
        <f t="shared" si="81"/>
        <v>1</v>
      </c>
      <c r="AY85" s="798">
        <f t="shared" si="81"/>
        <v>1</v>
      </c>
      <c r="AZ85" s="798">
        <f t="shared" si="81"/>
        <v>1</v>
      </c>
      <c r="BA85" s="798">
        <f t="shared" si="81"/>
        <v>1</v>
      </c>
      <c r="BB85" s="798">
        <f t="shared" si="81"/>
        <v>1</v>
      </c>
      <c r="BC85" s="798">
        <f t="shared" si="81"/>
        <v>1</v>
      </c>
      <c r="BD85" s="798">
        <f t="shared" si="81"/>
        <v>1</v>
      </c>
      <c r="BE85" s="798">
        <f t="shared" si="81"/>
        <v>1</v>
      </c>
      <c r="BF85" s="798">
        <f t="shared" si="81"/>
        <v>1</v>
      </c>
      <c r="BG85" s="798">
        <f t="shared" si="81"/>
        <v>1</v>
      </c>
      <c r="BH85" s="798">
        <f t="shared" si="81"/>
        <v>1</v>
      </c>
      <c r="BI85" s="798">
        <f t="shared" si="81"/>
        <v>1</v>
      </c>
      <c r="BJ85" s="798">
        <f t="shared" si="81"/>
        <v>1</v>
      </c>
      <c r="BK85" s="798">
        <f t="shared" si="81"/>
        <v>1</v>
      </c>
      <c r="BL85" s="765"/>
      <c r="BM85" s="817"/>
      <c r="BN85" s="817"/>
    </row>
    <row r="86" hidden="1">
      <c r="A86" s="765"/>
      <c r="B86" s="765"/>
      <c r="C86" s="765"/>
      <c r="D86" s="765"/>
      <c r="E86" s="765"/>
      <c r="F86" s="765"/>
      <c r="G86" s="765"/>
      <c r="H86" s="765"/>
      <c r="I86" s="765">
        <f t="shared" si="17"/>
        <v>75</v>
      </c>
      <c r="J86" s="763">
        <f t="shared" si="5"/>
        <v>2694232487</v>
      </c>
      <c r="K86" s="796">
        <f t="shared" si="7"/>
        <v>0.27129</v>
      </c>
      <c r="L86" s="796">
        <v>5.0E-4</v>
      </c>
      <c r="M86" s="763">
        <v>3.07210089705649E9</v>
      </c>
      <c r="N86" s="797">
        <f t="shared" si="8"/>
        <v>0</v>
      </c>
      <c r="O86" s="798">
        <f t="shared" ref="O86:BK86" si="82">FLOOR(MIN((((N("value of ELS upgrade")+N$8*($K86-$K85))*(N("Check checkbox")+(IF($G$6=TRUE,$G$7,$G$8))/$G$8))/(N("ROI of ELS and multiply by 2 if ELS is 1:1")+IF($G$12 = True, 2, 1) * $J86))/((N("difference in ELS+ and the cost of it")+(($K85*O$8)-($K85*N$8)) / O$7)),(N("MIN lets it return 0 or 1 after floored")+1)),1)</f>
        <v>0</v>
      </c>
      <c r="P86" s="798">
        <f t="shared" si="82"/>
        <v>1</v>
      </c>
      <c r="Q86" s="798">
        <f t="shared" si="82"/>
        <v>1</v>
      </c>
      <c r="R86" s="798">
        <f t="shared" si="82"/>
        <v>1</v>
      </c>
      <c r="S86" s="798">
        <f t="shared" si="82"/>
        <v>1</v>
      </c>
      <c r="T86" s="798">
        <f t="shared" si="82"/>
        <v>1</v>
      </c>
      <c r="U86" s="798">
        <f t="shared" si="82"/>
        <v>1</v>
      </c>
      <c r="V86" s="798">
        <f t="shared" si="82"/>
        <v>1</v>
      </c>
      <c r="W86" s="798">
        <f t="shared" si="82"/>
        <v>1</v>
      </c>
      <c r="X86" s="798">
        <f t="shared" si="82"/>
        <v>1</v>
      </c>
      <c r="Y86" s="798">
        <f t="shared" si="82"/>
        <v>1</v>
      </c>
      <c r="Z86" s="798">
        <f t="shared" si="82"/>
        <v>1</v>
      </c>
      <c r="AA86" s="798">
        <f t="shared" si="82"/>
        <v>1</v>
      </c>
      <c r="AB86" s="798">
        <f t="shared" si="82"/>
        <v>1</v>
      </c>
      <c r="AC86" s="798">
        <f t="shared" si="82"/>
        <v>1</v>
      </c>
      <c r="AD86" s="798">
        <f t="shared" si="82"/>
        <v>1</v>
      </c>
      <c r="AE86" s="798">
        <f t="shared" si="82"/>
        <v>1</v>
      </c>
      <c r="AF86" s="798">
        <f t="shared" si="82"/>
        <v>1</v>
      </c>
      <c r="AG86" s="798">
        <f t="shared" si="82"/>
        <v>1</v>
      </c>
      <c r="AH86" s="798">
        <f t="shared" si="82"/>
        <v>1</v>
      </c>
      <c r="AI86" s="798">
        <f t="shared" si="82"/>
        <v>1</v>
      </c>
      <c r="AJ86" s="798">
        <f t="shared" si="82"/>
        <v>1</v>
      </c>
      <c r="AK86" s="798">
        <f t="shared" si="82"/>
        <v>1</v>
      </c>
      <c r="AL86" s="798">
        <f t="shared" si="82"/>
        <v>1</v>
      </c>
      <c r="AM86" s="798">
        <f t="shared" si="82"/>
        <v>1</v>
      </c>
      <c r="AN86" s="798">
        <f t="shared" si="82"/>
        <v>1</v>
      </c>
      <c r="AO86" s="798">
        <f t="shared" si="82"/>
        <v>1</v>
      </c>
      <c r="AP86" s="798">
        <f t="shared" si="82"/>
        <v>1</v>
      </c>
      <c r="AQ86" s="798">
        <f t="shared" si="82"/>
        <v>1</v>
      </c>
      <c r="AR86" s="798">
        <f t="shared" si="82"/>
        <v>1</v>
      </c>
      <c r="AS86" s="798">
        <f t="shared" si="82"/>
        <v>1</v>
      </c>
      <c r="AT86" s="798">
        <f t="shared" si="82"/>
        <v>1</v>
      </c>
      <c r="AU86" s="798">
        <f t="shared" si="82"/>
        <v>1</v>
      </c>
      <c r="AV86" s="798">
        <f t="shared" si="82"/>
        <v>1</v>
      </c>
      <c r="AW86" s="798">
        <f t="shared" si="82"/>
        <v>1</v>
      </c>
      <c r="AX86" s="798">
        <f t="shared" si="82"/>
        <v>1</v>
      </c>
      <c r="AY86" s="798">
        <f t="shared" si="82"/>
        <v>1</v>
      </c>
      <c r="AZ86" s="798">
        <f t="shared" si="82"/>
        <v>1</v>
      </c>
      <c r="BA86" s="798">
        <f t="shared" si="82"/>
        <v>1</v>
      </c>
      <c r="BB86" s="798">
        <f t="shared" si="82"/>
        <v>1</v>
      </c>
      <c r="BC86" s="798">
        <f t="shared" si="82"/>
        <v>1</v>
      </c>
      <c r="BD86" s="798">
        <f t="shared" si="82"/>
        <v>1</v>
      </c>
      <c r="BE86" s="798">
        <f t="shared" si="82"/>
        <v>1</v>
      </c>
      <c r="BF86" s="798">
        <f t="shared" si="82"/>
        <v>1</v>
      </c>
      <c r="BG86" s="798">
        <f t="shared" si="82"/>
        <v>1</v>
      </c>
      <c r="BH86" s="798">
        <f t="shared" si="82"/>
        <v>1</v>
      </c>
      <c r="BI86" s="798">
        <f t="shared" si="82"/>
        <v>1</v>
      </c>
      <c r="BJ86" s="798">
        <f t="shared" si="82"/>
        <v>1</v>
      </c>
      <c r="BK86" s="798">
        <f t="shared" si="82"/>
        <v>1</v>
      </c>
      <c r="BL86" s="765"/>
      <c r="BM86" s="817"/>
      <c r="BN86" s="817"/>
    </row>
    <row r="87" hidden="1">
      <c r="A87" s="765"/>
      <c r="B87" s="765"/>
      <c r="C87" s="765"/>
      <c r="D87" s="765"/>
      <c r="E87" s="765"/>
      <c r="F87" s="765"/>
      <c r="G87" s="765"/>
      <c r="H87" s="765"/>
      <c r="I87" s="765">
        <f t="shared" si="17"/>
        <v>76</v>
      </c>
      <c r="J87" s="763">
        <f t="shared" si="5"/>
        <v>2859933075</v>
      </c>
      <c r="K87" s="796">
        <f t="shared" si="7"/>
        <v>0.27179</v>
      </c>
      <c r="L87" s="796">
        <v>5.0E-4</v>
      </c>
      <c r="M87" s="763">
        <v>3.26104113511044E9</v>
      </c>
      <c r="N87" s="797">
        <f t="shared" si="8"/>
        <v>0</v>
      </c>
      <c r="O87" s="798">
        <f t="shared" ref="O87:BK87" si="83">FLOOR(MIN((((N("value of ELS upgrade")+N$8*($K87-$K86))*(N("Check checkbox")+(IF($G$6=TRUE,$G$7,$G$8))/$G$8))/(N("ROI of ELS and multiply by 2 if ELS is 1:1")+IF($G$12 = True, 2, 1) * $J87))/((N("difference in ELS+ and the cost of it")+(($K86*O$8)-($K86*N$8)) / O$7)),(N("MIN lets it return 0 or 1 after floored")+1)),1)</f>
        <v>0</v>
      </c>
      <c r="P87" s="798">
        <f t="shared" si="83"/>
        <v>1</v>
      </c>
      <c r="Q87" s="798">
        <f t="shared" si="83"/>
        <v>1</v>
      </c>
      <c r="R87" s="798">
        <f t="shared" si="83"/>
        <v>1</v>
      </c>
      <c r="S87" s="798">
        <f t="shared" si="83"/>
        <v>1</v>
      </c>
      <c r="T87" s="798">
        <f t="shared" si="83"/>
        <v>1</v>
      </c>
      <c r="U87" s="798">
        <f t="shared" si="83"/>
        <v>1</v>
      </c>
      <c r="V87" s="798">
        <f t="shared" si="83"/>
        <v>1</v>
      </c>
      <c r="W87" s="798">
        <f t="shared" si="83"/>
        <v>1</v>
      </c>
      <c r="X87" s="798">
        <f t="shared" si="83"/>
        <v>1</v>
      </c>
      <c r="Y87" s="798">
        <f t="shared" si="83"/>
        <v>1</v>
      </c>
      <c r="Z87" s="798">
        <f t="shared" si="83"/>
        <v>1</v>
      </c>
      <c r="AA87" s="798">
        <f t="shared" si="83"/>
        <v>1</v>
      </c>
      <c r="AB87" s="798">
        <f t="shared" si="83"/>
        <v>1</v>
      </c>
      <c r="AC87" s="798">
        <f t="shared" si="83"/>
        <v>1</v>
      </c>
      <c r="AD87" s="798">
        <f t="shared" si="83"/>
        <v>1</v>
      </c>
      <c r="AE87" s="798">
        <f t="shared" si="83"/>
        <v>1</v>
      </c>
      <c r="AF87" s="798">
        <f t="shared" si="83"/>
        <v>1</v>
      </c>
      <c r="AG87" s="798">
        <f t="shared" si="83"/>
        <v>1</v>
      </c>
      <c r="AH87" s="798">
        <f t="shared" si="83"/>
        <v>1</v>
      </c>
      <c r="AI87" s="798">
        <f t="shared" si="83"/>
        <v>1</v>
      </c>
      <c r="AJ87" s="798">
        <f t="shared" si="83"/>
        <v>1</v>
      </c>
      <c r="AK87" s="798">
        <f t="shared" si="83"/>
        <v>1</v>
      </c>
      <c r="AL87" s="798">
        <f t="shared" si="83"/>
        <v>1</v>
      </c>
      <c r="AM87" s="798">
        <f t="shared" si="83"/>
        <v>1</v>
      </c>
      <c r="AN87" s="798">
        <f t="shared" si="83"/>
        <v>1</v>
      </c>
      <c r="AO87" s="798">
        <f t="shared" si="83"/>
        <v>1</v>
      </c>
      <c r="AP87" s="798">
        <f t="shared" si="83"/>
        <v>1</v>
      </c>
      <c r="AQ87" s="798">
        <f t="shared" si="83"/>
        <v>1</v>
      </c>
      <c r="AR87" s="798">
        <f t="shared" si="83"/>
        <v>1</v>
      </c>
      <c r="AS87" s="798">
        <f t="shared" si="83"/>
        <v>1</v>
      </c>
      <c r="AT87" s="798">
        <f t="shared" si="83"/>
        <v>1</v>
      </c>
      <c r="AU87" s="798">
        <f t="shared" si="83"/>
        <v>1</v>
      </c>
      <c r="AV87" s="798">
        <f t="shared" si="83"/>
        <v>1</v>
      </c>
      <c r="AW87" s="798">
        <f t="shared" si="83"/>
        <v>1</v>
      </c>
      <c r="AX87" s="798">
        <f t="shared" si="83"/>
        <v>1</v>
      </c>
      <c r="AY87" s="798">
        <f t="shared" si="83"/>
        <v>1</v>
      </c>
      <c r="AZ87" s="798">
        <f t="shared" si="83"/>
        <v>1</v>
      </c>
      <c r="BA87" s="798">
        <f t="shared" si="83"/>
        <v>1</v>
      </c>
      <c r="BB87" s="798">
        <f t="shared" si="83"/>
        <v>1</v>
      </c>
      <c r="BC87" s="798">
        <f t="shared" si="83"/>
        <v>1</v>
      </c>
      <c r="BD87" s="798">
        <f t="shared" si="83"/>
        <v>1</v>
      </c>
      <c r="BE87" s="798">
        <f t="shared" si="83"/>
        <v>1</v>
      </c>
      <c r="BF87" s="798">
        <f t="shared" si="83"/>
        <v>1</v>
      </c>
      <c r="BG87" s="798">
        <f t="shared" si="83"/>
        <v>1</v>
      </c>
      <c r="BH87" s="798">
        <f t="shared" si="83"/>
        <v>1</v>
      </c>
      <c r="BI87" s="798">
        <f t="shared" si="83"/>
        <v>1</v>
      </c>
      <c r="BJ87" s="798">
        <f t="shared" si="83"/>
        <v>1</v>
      </c>
      <c r="BK87" s="798">
        <f t="shared" si="83"/>
        <v>1</v>
      </c>
      <c r="BL87" s="765"/>
      <c r="BM87" s="817"/>
      <c r="BN87" s="817"/>
    </row>
    <row r="88" hidden="1">
      <c r="A88" s="765"/>
      <c r="B88" s="765"/>
      <c r="C88" s="765"/>
      <c r="D88" s="765"/>
      <c r="E88" s="765"/>
      <c r="F88" s="765"/>
      <c r="G88" s="765"/>
      <c r="H88" s="765"/>
      <c r="I88" s="765">
        <f t="shared" si="17"/>
        <v>77</v>
      </c>
      <c r="J88" s="763">
        <f t="shared" si="5"/>
        <v>2890942471</v>
      </c>
      <c r="K88" s="796">
        <f t="shared" si="7"/>
        <v>0.27229</v>
      </c>
      <c r="L88" s="796">
        <v>5.0E-4</v>
      </c>
      <c r="M88" s="763">
        <v>3.29639962538805E9</v>
      </c>
      <c r="N88" s="797">
        <f t="shared" si="8"/>
        <v>0</v>
      </c>
      <c r="O88" s="798">
        <f t="shared" ref="O88:BK88" si="84">FLOOR(MIN((((N("value of ELS upgrade")+N$8*($K88-$K87))*(N("Check checkbox")+(IF($G$6=TRUE,$G$7,$G$8))/$G$8))/(N("ROI of ELS and multiply by 2 if ELS is 1:1")+IF($G$12 = True, 2, 1) * $J88))/((N("difference in ELS+ and the cost of it")+(($K87*O$8)-($K87*N$8)) / O$7)),(N("MIN lets it return 0 or 1 after floored")+1)),1)</f>
        <v>0</v>
      </c>
      <c r="P88" s="798">
        <f t="shared" si="84"/>
        <v>1</v>
      </c>
      <c r="Q88" s="798">
        <f t="shared" si="84"/>
        <v>1</v>
      </c>
      <c r="R88" s="798">
        <f t="shared" si="84"/>
        <v>1</v>
      </c>
      <c r="S88" s="798">
        <f t="shared" si="84"/>
        <v>1</v>
      </c>
      <c r="T88" s="798">
        <f t="shared" si="84"/>
        <v>1</v>
      </c>
      <c r="U88" s="798">
        <f t="shared" si="84"/>
        <v>1</v>
      </c>
      <c r="V88" s="798">
        <f t="shared" si="84"/>
        <v>1</v>
      </c>
      <c r="W88" s="798">
        <f t="shared" si="84"/>
        <v>1</v>
      </c>
      <c r="X88" s="798">
        <f t="shared" si="84"/>
        <v>1</v>
      </c>
      <c r="Y88" s="798">
        <f t="shared" si="84"/>
        <v>1</v>
      </c>
      <c r="Z88" s="798">
        <f t="shared" si="84"/>
        <v>1</v>
      </c>
      <c r="AA88" s="798">
        <f t="shared" si="84"/>
        <v>1</v>
      </c>
      <c r="AB88" s="798">
        <f t="shared" si="84"/>
        <v>1</v>
      </c>
      <c r="AC88" s="798">
        <f t="shared" si="84"/>
        <v>1</v>
      </c>
      <c r="AD88" s="798">
        <f t="shared" si="84"/>
        <v>1</v>
      </c>
      <c r="AE88" s="798">
        <f t="shared" si="84"/>
        <v>1</v>
      </c>
      <c r="AF88" s="798">
        <f t="shared" si="84"/>
        <v>1</v>
      </c>
      <c r="AG88" s="798">
        <f t="shared" si="84"/>
        <v>1</v>
      </c>
      <c r="AH88" s="798">
        <f t="shared" si="84"/>
        <v>1</v>
      </c>
      <c r="AI88" s="798">
        <f t="shared" si="84"/>
        <v>1</v>
      </c>
      <c r="AJ88" s="798">
        <f t="shared" si="84"/>
        <v>1</v>
      </c>
      <c r="AK88" s="798">
        <f t="shared" si="84"/>
        <v>1</v>
      </c>
      <c r="AL88" s="798">
        <f t="shared" si="84"/>
        <v>1</v>
      </c>
      <c r="AM88" s="798">
        <f t="shared" si="84"/>
        <v>1</v>
      </c>
      <c r="AN88" s="798">
        <f t="shared" si="84"/>
        <v>1</v>
      </c>
      <c r="AO88" s="798">
        <f t="shared" si="84"/>
        <v>1</v>
      </c>
      <c r="AP88" s="798">
        <f t="shared" si="84"/>
        <v>1</v>
      </c>
      <c r="AQ88" s="798">
        <f t="shared" si="84"/>
        <v>1</v>
      </c>
      <c r="AR88" s="798">
        <f t="shared" si="84"/>
        <v>1</v>
      </c>
      <c r="AS88" s="798">
        <f t="shared" si="84"/>
        <v>1</v>
      </c>
      <c r="AT88" s="798">
        <f t="shared" si="84"/>
        <v>1</v>
      </c>
      <c r="AU88" s="798">
        <f t="shared" si="84"/>
        <v>1</v>
      </c>
      <c r="AV88" s="798">
        <f t="shared" si="84"/>
        <v>1</v>
      </c>
      <c r="AW88" s="798">
        <f t="shared" si="84"/>
        <v>1</v>
      </c>
      <c r="AX88" s="798">
        <f t="shared" si="84"/>
        <v>1</v>
      </c>
      <c r="AY88" s="798">
        <f t="shared" si="84"/>
        <v>1</v>
      </c>
      <c r="AZ88" s="798">
        <f t="shared" si="84"/>
        <v>1</v>
      </c>
      <c r="BA88" s="798">
        <f t="shared" si="84"/>
        <v>1</v>
      </c>
      <c r="BB88" s="798">
        <f t="shared" si="84"/>
        <v>1</v>
      </c>
      <c r="BC88" s="798">
        <f t="shared" si="84"/>
        <v>1</v>
      </c>
      <c r="BD88" s="798">
        <f t="shared" si="84"/>
        <v>1</v>
      </c>
      <c r="BE88" s="798">
        <f t="shared" si="84"/>
        <v>1</v>
      </c>
      <c r="BF88" s="798">
        <f t="shared" si="84"/>
        <v>1</v>
      </c>
      <c r="BG88" s="798">
        <f t="shared" si="84"/>
        <v>1</v>
      </c>
      <c r="BH88" s="798">
        <f t="shared" si="84"/>
        <v>1</v>
      </c>
      <c r="BI88" s="798">
        <f t="shared" si="84"/>
        <v>1</v>
      </c>
      <c r="BJ88" s="798">
        <f t="shared" si="84"/>
        <v>1</v>
      </c>
      <c r="BK88" s="798">
        <f t="shared" si="84"/>
        <v>1</v>
      </c>
      <c r="BL88" s="765"/>
      <c r="BM88" s="817"/>
      <c r="BN88" s="817"/>
    </row>
    <row r="89" hidden="1">
      <c r="A89" s="765"/>
      <c r="B89" s="765"/>
      <c r="C89" s="765"/>
      <c r="D89" s="765"/>
      <c r="E89" s="765"/>
      <c r="F89" s="765"/>
      <c r="G89" s="765"/>
      <c r="H89" s="765"/>
      <c r="I89" s="765">
        <f t="shared" si="17"/>
        <v>78</v>
      </c>
      <c r="J89" s="763">
        <f t="shared" si="5"/>
        <v>2921972537</v>
      </c>
      <c r="K89" s="796">
        <f t="shared" si="7"/>
        <v>0.27279</v>
      </c>
      <c r="L89" s="796">
        <v>5.0E-4</v>
      </c>
      <c r="M89" s="763">
        <v>3.33178168371194E9</v>
      </c>
      <c r="N89" s="797">
        <f t="shared" si="8"/>
        <v>0</v>
      </c>
      <c r="O89" s="798">
        <f t="shared" ref="O89:BK89" si="85">FLOOR(MIN((((N("value of ELS upgrade")+N$8*($K89-$K88))*(N("Check checkbox")+(IF($G$6=TRUE,$G$7,$G$8))/$G$8))/(N("ROI of ELS and multiply by 2 if ELS is 1:1")+IF($G$12 = True, 2, 1) * $J89))/((N("difference in ELS+ and the cost of it")+(($K88*O$8)-($K88*N$8)) / O$7)),(N("MIN lets it return 0 or 1 after floored")+1)),1)</f>
        <v>0</v>
      </c>
      <c r="P89" s="798">
        <f t="shared" si="85"/>
        <v>1</v>
      </c>
      <c r="Q89" s="798">
        <f t="shared" si="85"/>
        <v>1</v>
      </c>
      <c r="R89" s="798">
        <f t="shared" si="85"/>
        <v>1</v>
      </c>
      <c r="S89" s="798">
        <f t="shared" si="85"/>
        <v>1</v>
      </c>
      <c r="T89" s="798">
        <f t="shared" si="85"/>
        <v>1</v>
      </c>
      <c r="U89" s="798">
        <f t="shared" si="85"/>
        <v>1</v>
      </c>
      <c r="V89" s="798">
        <f t="shared" si="85"/>
        <v>1</v>
      </c>
      <c r="W89" s="798">
        <f t="shared" si="85"/>
        <v>1</v>
      </c>
      <c r="X89" s="798">
        <f t="shared" si="85"/>
        <v>1</v>
      </c>
      <c r="Y89" s="798">
        <f t="shared" si="85"/>
        <v>1</v>
      </c>
      <c r="Z89" s="798">
        <f t="shared" si="85"/>
        <v>1</v>
      </c>
      <c r="AA89" s="798">
        <f t="shared" si="85"/>
        <v>1</v>
      </c>
      <c r="AB89" s="798">
        <f t="shared" si="85"/>
        <v>1</v>
      </c>
      <c r="AC89" s="798">
        <f t="shared" si="85"/>
        <v>1</v>
      </c>
      <c r="AD89" s="798">
        <f t="shared" si="85"/>
        <v>1</v>
      </c>
      <c r="AE89" s="798">
        <f t="shared" si="85"/>
        <v>1</v>
      </c>
      <c r="AF89" s="798">
        <f t="shared" si="85"/>
        <v>1</v>
      </c>
      <c r="AG89" s="798">
        <f t="shared" si="85"/>
        <v>1</v>
      </c>
      <c r="AH89" s="798">
        <f t="shared" si="85"/>
        <v>1</v>
      </c>
      <c r="AI89" s="798">
        <f t="shared" si="85"/>
        <v>1</v>
      </c>
      <c r="AJ89" s="798">
        <f t="shared" si="85"/>
        <v>1</v>
      </c>
      <c r="AK89" s="798">
        <f t="shared" si="85"/>
        <v>1</v>
      </c>
      <c r="AL89" s="798">
        <f t="shared" si="85"/>
        <v>1</v>
      </c>
      <c r="AM89" s="798">
        <f t="shared" si="85"/>
        <v>1</v>
      </c>
      <c r="AN89" s="798">
        <f t="shared" si="85"/>
        <v>1</v>
      </c>
      <c r="AO89" s="798">
        <f t="shared" si="85"/>
        <v>1</v>
      </c>
      <c r="AP89" s="798">
        <f t="shared" si="85"/>
        <v>1</v>
      </c>
      <c r="AQ89" s="798">
        <f t="shared" si="85"/>
        <v>1</v>
      </c>
      <c r="AR89" s="798">
        <f t="shared" si="85"/>
        <v>1</v>
      </c>
      <c r="AS89" s="798">
        <f t="shared" si="85"/>
        <v>1</v>
      </c>
      <c r="AT89" s="798">
        <f t="shared" si="85"/>
        <v>1</v>
      </c>
      <c r="AU89" s="798">
        <f t="shared" si="85"/>
        <v>1</v>
      </c>
      <c r="AV89" s="798">
        <f t="shared" si="85"/>
        <v>1</v>
      </c>
      <c r="AW89" s="798">
        <f t="shared" si="85"/>
        <v>1</v>
      </c>
      <c r="AX89" s="798">
        <f t="shared" si="85"/>
        <v>1</v>
      </c>
      <c r="AY89" s="798">
        <f t="shared" si="85"/>
        <v>1</v>
      </c>
      <c r="AZ89" s="798">
        <f t="shared" si="85"/>
        <v>1</v>
      </c>
      <c r="BA89" s="798">
        <f t="shared" si="85"/>
        <v>1</v>
      </c>
      <c r="BB89" s="798">
        <f t="shared" si="85"/>
        <v>1</v>
      </c>
      <c r="BC89" s="798">
        <f t="shared" si="85"/>
        <v>1</v>
      </c>
      <c r="BD89" s="798">
        <f t="shared" si="85"/>
        <v>1</v>
      </c>
      <c r="BE89" s="798">
        <f t="shared" si="85"/>
        <v>1</v>
      </c>
      <c r="BF89" s="798">
        <f t="shared" si="85"/>
        <v>1</v>
      </c>
      <c r="BG89" s="798">
        <f t="shared" si="85"/>
        <v>1</v>
      </c>
      <c r="BH89" s="798">
        <f t="shared" si="85"/>
        <v>1</v>
      </c>
      <c r="BI89" s="798">
        <f t="shared" si="85"/>
        <v>1</v>
      </c>
      <c r="BJ89" s="798">
        <f t="shared" si="85"/>
        <v>1</v>
      </c>
      <c r="BK89" s="798">
        <f t="shared" si="85"/>
        <v>1</v>
      </c>
      <c r="BL89" s="765"/>
      <c r="BM89" s="817"/>
      <c r="BN89" s="817"/>
    </row>
    <row r="90" hidden="1">
      <c r="A90" s="765"/>
      <c r="B90" s="765"/>
      <c r="C90" s="765"/>
      <c r="D90" s="765"/>
      <c r="E90" s="765"/>
      <c r="F90" s="765"/>
      <c r="G90" s="765"/>
      <c r="H90" s="765"/>
      <c r="I90" s="765">
        <f t="shared" si="17"/>
        <v>79</v>
      </c>
      <c r="J90" s="763">
        <f t="shared" si="5"/>
        <v>2953023640</v>
      </c>
      <c r="K90" s="796">
        <f t="shared" si="7"/>
        <v>0.27329</v>
      </c>
      <c r="L90" s="796">
        <v>5.0E-4</v>
      </c>
      <c r="M90" s="763">
        <v>3.36718773078557E9</v>
      </c>
      <c r="N90" s="797">
        <f t="shared" si="8"/>
        <v>0</v>
      </c>
      <c r="O90" s="798">
        <f t="shared" ref="O90:BK90" si="86">FLOOR(MIN((((N("value of ELS upgrade")+N$8*($K90-$K89))*(N("Check checkbox")+(IF($G$6=TRUE,$G$7,$G$8))/$G$8))/(N("ROI of ELS and multiply by 2 if ELS is 1:1")+IF($G$12 = True, 2, 1) * $J90))/((N("difference in ELS+ and the cost of it")+(($K89*O$8)-($K89*N$8)) / O$7)),(N("MIN lets it return 0 or 1 after floored")+1)),1)</f>
        <v>0</v>
      </c>
      <c r="P90" s="798">
        <f t="shared" si="86"/>
        <v>1</v>
      </c>
      <c r="Q90" s="798">
        <f t="shared" si="86"/>
        <v>1</v>
      </c>
      <c r="R90" s="798">
        <f t="shared" si="86"/>
        <v>1</v>
      </c>
      <c r="S90" s="798">
        <f t="shared" si="86"/>
        <v>1</v>
      </c>
      <c r="T90" s="798">
        <f t="shared" si="86"/>
        <v>1</v>
      </c>
      <c r="U90" s="798">
        <f t="shared" si="86"/>
        <v>1</v>
      </c>
      <c r="V90" s="798">
        <f t="shared" si="86"/>
        <v>1</v>
      </c>
      <c r="W90" s="798">
        <f t="shared" si="86"/>
        <v>1</v>
      </c>
      <c r="X90" s="798">
        <f t="shared" si="86"/>
        <v>1</v>
      </c>
      <c r="Y90" s="798">
        <f t="shared" si="86"/>
        <v>1</v>
      </c>
      <c r="Z90" s="798">
        <f t="shared" si="86"/>
        <v>1</v>
      </c>
      <c r="AA90" s="798">
        <f t="shared" si="86"/>
        <v>1</v>
      </c>
      <c r="AB90" s="798">
        <f t="shared" si="86"/>
        <v>1</v>
      </c>
      <c r="AC90" s="798">
        <f t="shared" si="86"/>
        <v>1</v>
      </c>
      <c r="AD90" s="798">
        <f t="shared" si="86"/>
        <v>1</v>
      </c>
      <c r="AE90" s="798">
        <f t="shared" si="86"/>
        <v>1</v>
      </c>
      <c r="AF90" s="798">
        <f t="shared" si="86"/>
        <v>1</v>
      </c>
      <c r="AG90" s="798">
        <f t="shared" si="86"/>
        <v>1</v>
      </c>
      <c r="AH90" s="798">
        <f t="shared" si="86"/>
        <v>1</v>
      </c>
      <c r="AI90" s="798">
        <f t="shared" si="86"/>
        <v>1</v>
      </c>
      <c r="AJ90" s="798">
        <f t="shared" si="86"/>
        <v>1</v>
      </c>
      <c r="AK90" s="798">
        <f t="shared" si="86"/>
        <v>1</v>
      </c>
      <c r="AL90" s="798">
        <f t="shared" si="86"/>
        <v>1</v>
      </c>
      <c r="AM90" s="798">
        <f t="shared" si="86"/>
        <v>1</v>
      </c>
      <c r="AN90" s="798">
        <f t="shared" si="86"/>
        <v>1</v>
      </c>
      <c r="AO90" s="798">
        <f t="shared" si="86"/>
        <v>1</v>
      </c>
      <c r="AP90" s="798">
        <f t="shared" si="86"/>
        <v>1</v>
      </c>
      <c r="AQ90" s="798">
        <f t="shared" si="86"/>
        <v>1</v>
      </c>
      <c r="AR90" s="798">
        <f t="shared" si="86"/>
        <v>1</v>
      </c>
      <c r="AS90" s="798">
        <f t="shared" si="86"/>
        <v>1</v>
      </c>
      <c r="AT90" s="798">
        <f t="shared" si="86"/>
        <v>1</v>
      </c>
      <c r="AU90" s="798">
        <f t="shared" si="86"/>
        <v>1</v>
      </c>
      <c r="AV90" s="798">
        <f t="shared" si="86"/>
        <v>1</v>
      </c>
      <c r="AW90" s="798">
        <f t="shared" si="86"/>
        <v>1</v>
      </c>
      <c r="AX90" s="798">
        <f t="shared" si="86"/>
        <v>1</v>
      </c>
      <c r="AY90" s="798">
        <f t="shared" si="86"/>
        <v>1</v>
      </c>
      <c r="AZ90" s="798">
        <f t="shared" si="86"/>
        <v>1</v>
      </c>
      <c r="BA90" s="798">
        <f t="shared" si="86"/>
        <v>1</v>
      </c>
      <c r="BB90" s="798">
        <f t="shared" si="86"/>
        <v>1</v>
      </c>
      <c r="BC90" s="798">
        <f t="shared" si="86"/>
        <v>1</v>
      </c>
      <c r="BD90" s="798">
        <f t="shared" si="86"/>
        <v>1</v>
      </c>
      <c r="BE90" s="798">
        <f t="shared" si="86"/>
        <v>1</v>
      </c>
      <c r="BF90" s="798">
        <f t="shared" si="86"/>
        <v>1</v>
      </c>
      <c r="BG90" s="798">
        <f t="shared" si="86"/>
        <v>1</v>
      </c>
      <c r="BH90" s="798">
        <f t="shared" si="86"/>
        <v>1</v>
      </c>
      <c r="BI90" s="798">
        <f t="shared" si="86"/>
        <v>1</v>
      </c>
      <c r="BJ90" s="798">
        <f t="shared" si="86"/>
        <v>1</v>
      </c>
      <c r="BK90" s="798">
        <f t="shared" si="86"/>
        <v>1</v>
      </c>
      <c r="BL90" s="765"/>
      <c r="BM90" s="817"/>
      <c r="BN90" s="817"/>
    </row>
    <row r="91" hidden="1">
      <c r="A91" s="765"/>
      <c r="B91" s="765"/>
      <c r="C91" s="765"/>
      <c r="D91" s="765"/>
      <c r="E91" s="765"/>
      <c r="F91" s="765"/>
      <c r="G91" s="765"/>
      <c r="H91" s="765"/>
      <c r="I91" s="765">
        <f t="shared" si="17"/>
        <v>80</v>
      </c>
      <c r="J91" s="763">
        <f t="shared" si="5"/>
        <v>2984096150</v>
      </c>
      <c r="K91" s="796">
        <f t="shared" si="7"/>
        <v>0.27379</v>
      </c>
      <c r="L91" s="796">
        <v>5.0E-4</v>
      </c>
      <c r="M91" s="763">
        <v>3.40261818731241E9</v>
      </c>
      <c r="N91" s="797">
        <f t="shared" si="8"/>
        <v>0</v>
      </c>
      <c r="O91" s="798">
        <f t="shared" ref="O91:BK91" si="87">FLOOR(MIN((((N("value of ELS upgrade")+N$8*($K91-$K90))*(N("Check checkbox")+(IF($G$6=TRUE,$G$7,$G$8))/$G$8))/(N("ROI of ELS and multiply by 2 if ELS is 1:1")+IF($G$12 = True, 2, 1) * $J91))/((N("difference in ELS+ and the cost of it")+(($K90*O$8)-($K90*N$8)) / O$7)),(N("MIN lets it return 0 or 1 after floored")+1)),1)</f>
        <v>0</v>
      </c>
      <c r="P91" s="798">
        <f t="shared" si="87"/>
        <v>1</v>
      </c>
      <c r="Q91" s="798">
        <f t="shared" si="87"/>
        <v>1</v>
      </c>
      <c r="R91" s="798">
        <f t="shared" si="87"/>
        <v>1</v>
      </c>
      <c r="S91" s="798">
        <f t="shared" si="87"/>
        <v>1</v>
      </c>
      <c r="T91" s="798">
        <f t="shared" si="87"/>
        <v>1</v>
      </c>
      <c r="U91" s="798">
        <f t="shared" si="87"/>
        <v>1</v>
      </c>
      <c r="V91" s="798">
        <f t="shared" si="87"/>
        <v>1</v>
      </c>
      <c r="W91" s="798">
        <f t="shared" si="87"/>
        <v>1</v>
      </c>
      <c r="X91" s="798">
        <f t="shared" si="87"/>
        <v>1</v>
      </c>
      <c r="Y91" s="798">
        <f t="shared" si="87"/>
        <v>1</v>
      </c>
      <c r="Z91" s="798">
        <f t="shared" si="87"/>
        <v>1</v>
      </c>
      <c r="AA91" s="798">
        <f t="shared" si="87"/>
        <v>1</v>
      </c>
      <c r="AB91" s="798">
        <f t="shared" si="87"/>
        <v>1</v>
      </c>
      <c r="AC91" s="798">
        <f t="shared" si="87"/>
        <v>1</v>
      </c>
      <c r="AD91" s="798">
        <f t="shared" si="87"/>
        <v>1</v>
      </c>
      <c r="AE91" s="798">
        <f t="shared" si="87"/>
        <v>1</v>
      </c>
      <c r="AF91" s="798">
        <f t="shared" si="87"/>
        <v>1</v>
      </c>
      <c r="AG91" s="798">
        <f t="shared" si="87"/>
        <v>1</v>
      </c>
      <c r="AH91" s="798">
        <f t="shared" si="87"/>
        <v>1</v>
      </c>
      <c r="AI91" s="798">
        <f t="shared" si="87"/>
        <v>1</v>
      </c>
      <c r="AJ91" s="798">
        <f t="shared" si="87"/>
        <v>1</v>
      </c>
      <c r="AK91" s="798">
        <f t="shared" si="87"/>
        <v>1</v>
      </c>
      <c r="AL91" s="798">
        <f t="shared" si="87"/>
        <v>1</v>
      </c>
      <c r="AM91" s="798">
        <f t="shared" si="87"/>
        <v>1</v>
      </c>
      <c r="AN91" s="798">
        <f t="shared" si="87"/>
        <v>1</v>
      </c>
      <c r="AO91" s="798">
        <f t="shared" si="87"/>
        <v>1</v>
      </c>
      <c r="AP91" s="798">
        <f t="shared" si="87"/>
        <v>1</v>
      </c>
      <c r="AQ91" s="798">
        <f t="shared" si="87"/>
        <v>1</v>
      </c>
      <c r="AR91" s="798">
        <f t="shared" si="87"/>
        <v>1</v>
      </c>
      <c r="AS91" s="798">
        <f t="shared" si="87"/>
        <v>1</v>
      </c>
      <c r="AT91" s="798">
        <f t="shared" si="87"/>
        <v>1</v>
      </c>
      <c r="AU91" s="798">
        <f t="shared" si="87"/>
        <v>1</v>
      </c>
      <c r="AV91" s="798">
        <f t="shared" si="87"/>
        <v>1</v>
      </c>
      <c r="AW91" s="798">
        <f t="shared" si="87"/>
        <v>1</v>
      </c>
      <c r="AX91" s="798">
        <f t="shared" si="87"/>
        <v>1</v>
      </c>
      <c r="AY91" s="798">
        <f t="shared" si="87"/>
        <v>1</v>
      </c>
      <c r="AZ91" s="798">
        <f t="shared" si="87"/>
        <v>1</v>
      </c>
      <c r="BA91" s="798">
        <f t="shared" si="87"/>
        <v>1</v>
      </c>
      <c r="BB91" s="798">
        <f t="shared" si="87"/>
        <v>1</v>
      </c>
      <c r="BC91" s="798">
        <f t="shared" si="87"/>
        <v>1</v>
      </c>
      <c r="BD91" s="798">
        <f t="shared" si="87"/>
        <v>1</v>
      </c>
      <c r="BE91" s="798">
        <f t="shared" si="87"/>
        <v>1</v>
      </c>
      <c r="BF91" s="798">
        <f t="shared" si="87"/>
        <v>1</v>
      </c>
      <c r="BG91" s="798">
        <f t="shared" si="87"/>
        <v>1</v>
      </c>
      <c r="BH91" s="798">
        <f t="shared" si="87"/>
        <v>1</v>
      </c>
      <c r="BI91" s="798">
        <f t="shared" si="87"/>
        <v>1</v>
      </c>
      <c r="BJ91" s="798">
        <f t="shared" si="87"/>
        <v>1</v>
      </c>
      <c r="BK91" s="798">
        <f t="shared" si="87"/>
        <v>1</v>
      </c>
      <c r="BL91" s="765"/>
      <c r="BM91" s="817"/>
      <c r="BN91" s="817"/>
    </row>
    <row r="92" hidden="1">
      <c r="A92" s="765"/>
      <c r="B92" s="765"/>
      <c r="C92" s="765"/>
      <c r="D92" s="765"/>
      <c r="E92" s="765"/>
      <c r="F92" s="765"/>
      <c r="G92" s="765"/>
      <c r="H92" s="765"/>
      <c r="I92" s="765">
        <f t="shared" si="17"/>
        <v>81</v>
      </c>
      <c r="J92" s="763">
        <f t="shared" si="5"/>
        <v>6030380875</v>
      </c>
      <c r="K92" s="796">
        <f t="shared" si="7"/>
        <v>0.27429</v>
      </c>
      <c r="L92" s="796">
        <v>5.0E-4</v>
      </c>
      <c r="M92" s="763">
        <v>6.87614695015488E9</v>
      </c>
      <c r="N92" s="797">
        <f t="shared" si="8"/>
        <v>0</v>
      </c>
      <c r="O92" s="798">
        <f t="shared" ref="O92:BK92" si="88">FLOOR(MIN((((N("value of ELS upgrade")+N$8*($K92-$K91))*(N("Check checkbox")+(IF($G$6=TRUE,$G$7,$G$8))/$G$8))/(N("ROI of ELS and multiply by 2 if ELS is 1:1")+IF($G$12 = True, 2, 1) * $J92))/((N("difference in ELS+ and the cost of it")+(($K91*O$8)-($K91*N$8)) / O$7)),(N("MIN lets it return 0 or 1 after floored")+1)),1)</f>
        <v>0</v>
      </c>
      <c r="P92" s="798">
        <f t="shared" si="88"/>
        <v>0</v>
      </c>
      <c r="Q92" s="798">
        <f t="shared" si="88"/>
        <v>1</v>
      </c>
      <c r="R92" s="798">
        <f t="shared" si="88"/>
        <v>1</v>
      </c>
      <c r="S92" s="798">
        <f t="shared" si="88"/>
        <v>1</v>
      </c>
      <c r="T92" s="798">
        <f t="shared" si="88"/>
        <v>1</v>
      </c>
      <c r="U92" s="798">
        <f t="shared" si="88"/>
        <v>1</v>
      </c>
      <c r="V92" s="798">
        <f t="shared" si="88"/>
        <v>1</v>
      </c>
      <c r="W92" s="798">
        <f t="shared" si="88"/>
        <v>1</v>
      </c>
      <c r="X92" s="798">
        <f t="shared" si="88"/>
        <v>1</v>
      </c>
      <c r="Y92" s="798">
        <f t="shared" si="88"/>
        <v>1</v>
      </c>
      <c r="Z92" s="798">
        <f t="shared" si="88"/>
        <v>1</v>
      </c>
      <c r="AA92" s="798">
        <f t="shared" si="88"/>
        <v>1</v>
      </c>
      <c r="AB92" s="798">
        <f t="shared" si="88"/>
        <v>1</v>
      </c>
      <c r="AC92" s="798">
        <f t="shared" si="88"/>
        <v>1</v>
      </c>
      <c r="AD92" s="798">
        <f t="shared" si="88"/>
        <v>1</v>
      </c>
      <c r="AE92" s="798">
        <f t="shared" si="88"/>
        <v>1</v>
      </c>
      <c r="AF92" s="798">
        <f t="shared" si="88"/>
        <v>1</v>
      </c>
      <c r="AG92" s="798">
        <f t="shared" si="88"/>
        <v>1</v>
      </c>
      <c r="AH92" s="798">
        <f t="shared" si="88"/>
        <v>1</v>
      </c>
      <c r="AI92" s="798">
        <f t="shared" si="88"/>
        <v>1</v>
      </c>
      <c r="AJ92" s="798">
        <f t="shared" si="88"/>
        <v>1</v>
      </c>
      <c r="AK92" s="798">
        <f t="shared" si="88"/>
        <v>1</v>
      </c>
      <c r="AL92" s="798">
        <f t="shared" si="88"/>
        <v>1</v>
      </c>
      <c r="AM92" s="798">
        <f t="shared" si="88"/>
        <v>1</v>
      </c>
      <c r="AN92" s="798">
        <f t="shared" si="88"/>
        <v>1</v>
      </c>
      <c r="AO92" s="798">
        <f t="shared" si="88"/>
        <v>1</v>
      </c>
      <c r="AP92" s="798">
        <f t="shared" si="88"/>
        <v>1</v>
      </c>
      <c r="AQ92" s="798">
        <f t="shared" si="88"/>
        <v>1</v>
      </c>
      <c r="AR92" s="798">
        <f t="shared" si="88"/>
        <v>1</v>
      </c>
      <c r="AS92" s="798">
        <f t="shared" si="88"/>
        <v>1</v>
      </c>
      <c r="AT92" s="798">
        <f t="shared" si="88"/>
        <v>1</v>
      </c>
      <c r="AU92" s="798">
        <f t="shared" si="88"/>
        <v>1</v>
      </c>
      <c r="AV92" s="798">
        <f t="shared" si="88"/>
        <v>1</v>
      </c>
      <c r="AW92" s="798">
        <f t="shared" si="88"/>
        <v>1</v>
      </c>
      <c r="AX92" s="798">
        <f t="shared" si="88"/>
        <v>1</v>
      </c>
      <c r="AY92" s="798">
        <f t="shared" si="88"/>
        <v>1</v>
      </c>
      <c r="AZ92" s="798">
        <f t="shared" si="88"/>
        <v>1</v>
      </c>
      <c r="BA92" s="798">
        <f t="shared" si="88"/>
        <v>1</v>
      </c>
      <c r="BB92" s="798">
        <f t="shared" si="88"/>
        <v>1</v>
      </c>
      <c r="BC92" s="798">
        <f t="shared" si="88"/>
        <v>1</v>
      </c>
      <c r="BD92" s="798">
        <f t="shared" si="88"/>
        <v>1</v>
      </c>
      <c r="BE92" s="798">
        <f t="shared" si="88"/>
        <v>1</v>
      </c>
      <c r="BF92" s="798">
        <f t="shared" si="88"/>
        <v>1</v>
      </c>
      <c r="BG92" s="798">
        <f t="shared" si="88"/>
        <v>1</v>
      </c>
      <c r="BH92" s="798">
        <f t="shared" si="88"/>
        <v>1</v>
      </c>
      <c r="BI92" s="798">
        <f t="shared" si="88"/>
        <v>1</v>
      </c>
      <c r="BJ92" s="798">
        <f t="shared" si="88"/>
        <v>1</v>
      </c>
      <c r="BK92" s="798">
        <f t="shared" si="88"/>
        <v>1</v>
      </c>
      <c r="BL92" s="765"/>
      <c r="BM92" s="817"/>
      <c r="BN92" s="817"/>
    </row>
    <row r="93" hidden="1">
      <c r="A93" s="765"/>
      <c r="B93" s="765"/>
      <c r="C93" s="765"/>
      <c r="D93" s="765"/>
      <c r="E93" s="765"/>
      <c r="F93" s="765"/>
      <c r="G93" s="765"/>
      <c r="H93" s="765"/>
      <c r="I93" s="765">
        <f t="shared" si="17"/>
        <v>82</v>
      </c>
      <c r="J93" s="763">
        <f t="shared" si="5"/>
        <v>6092613755</v>
      </c>
      <c r="K93" s="796">
        <f t="shared" si="7"/>
        <v>0.27479</v>
      </c>
      <c r="L93" s="796">
        <v>5.0E-4</v>
      </c>
      <c r="M93" s="763">
        <v>6.94710804470924E9</v>
      </c>
      <c r="N93" s="797">
        <f t="shared" si="8"/>
        <v>0</v>
      </c>
      <c r="O93" s="798">
        <f t="shared" ref="O93:BK93" si="89">FLOOR(MIN((((N("value of ELS upgrade")+N$8*($K93-$K92))*(N("Check checkbox")+(IF($G$6=TRUE,$G$7,$G$8))/$G$8))/(N("ROI of ELS and multiply by 2 if ELS is 1:1")+IF($G$12 = True, 2, 1) * $J93))/((N("difference in ELS+ and the cost of it")+(($K92*O$8)-($K92*N$8)) / O$7)),(N("MIN lets it return 0 or 1 after floored")+1)),1)</f>
        <v>0</v>
      </c>
      <c r="P93" s="798">
        <f t="shared" si="89"/>
        <v>0</v>
      </c>
      <c r="Q93" s="798">
        <f t="shared" si="89"/>
        <v>1</v>
      </c>
      <c r="R93" s="798">
        <f t="shared" si="89"/>
        <v>1</v>
      </c>
      <c r="S93" s="798">
        <f t="shared" si="89"/>
        <v>1</v>
      </c>
      <c r="T93" s="798">
        <f t="shared" si="89"/>
        <v>1</v>
      </c>
      <c r="U93" s="798">
        <f t="shared" si="89"/>
        <v>1</v>
      </c>
      <c r="V93" s="798">
        <f t="shared" si="89"/>
        <v>1</v>
      </c>
      <c r="W93" s="798">
        <f t="shared" si="89"/>
        <v>1</v>
      </c>
      <c r="X93" s="798">
        <f t="shared" si="89"/>
        <v>1</v>
      </c>
      <c r="Y93" s="798">
        <f t="shared" si="89"/>
        <v>1</v>
      </c>
      <c r="Z93" s="798">
        <f t="shared" si="89"/>
        <v>1</v>
      </c>
      <c r="AA93" s="798">
        <f t="shared" si="89"/>
        <v>1</v>
      </c>
      <c r="AB93" s="798">
        <f t="shared" si="89"/>
        <v>1</v>
      </c>
      <c r="AC93" s="798">
        <f t="shared" si="89"/>
        <v>1</v>
      </c>
      <c r="AD93" s="798">
        <f t="shared" si="89"/>
        <v>1</v>
      </c>
      <c r="AE93" s="798">
        <f t="shared" si="89"/>
        <v>1</v>
      </c>
      <c r="AF93" s="798">
        <f t="shared" si="89"/>
        <v>1</v>
      </c>
      <c r="AG93" s="798">
        <f t="shared" si="89"/>
        <v>1</v>
      </c>
      <c r="AH93" s="798">
        <f t="shared" si="89"/>
        <v>1</v>
      </c>
      <c r="AI93" s="798">
        <f t="shared" si="89"/>
        <v>1</v>
      </c>
      <c r="AJ93" s="798">
        <f t="shared" si="89"/>
        <v>1</v>
      </c>
      <c r="AK93" s="798">
        <f t="shared" si="89"/>
        <v>1</v>
      </c>
      <c r="AL93" s="798">
        <f t="shared" si="89"/>
        <v>1</v>
      </c>
      <c r="AM93" s="798">
        <f t="shared" si="89"/>
        <v>1</v>
      </c>
      <c r="AN93" s="798">
        <f t="shared" si="89"/>
        <v>1</v>
      </c>
      <c r="AO93" s="798">
        <f t="shared" si="89"/>
        <v>1</v>
      </c>
      <c r="AP93" s="798">
        <f t="shared" si="89"/>
        <v>1</v>
      </c>
      <c r="AQ93" s="798">
        <f t="shared" si="89"/>
        <v>1</v>
      </c>
      <c r="AR93" s="798">
        <f t="shared" si="89"/>
        <v>1</v>
      </c>
      <c r="AS93" s="798">
        <f t="shared" si="89"/>
        <v>1</v>
      </c>
      <c r="AT93" s="798">
        <f t="shared" si="89"/>
        <v>1</v>
      </c>
      <c r="AU93" s="798">
        <f t="shared" si="89"/>
        <v>1</v>
      </c>
      <c r="AV93" s="798">
        <f t="shared" si="89"/>
        <v>1</v>
      </c>
      <c r="AW93" s="798">
        <f t="shared" si="89"/>
        <v>1</v>
      </c>
      <c r="AX93" s="798">
        <f t="shared" si="89"/>
        <v>1</v>
      </c>
      <c r="AY93" s="798">
        <f t="shared" si="89"/>
        <v>1</v>
      </c>
      <c r="AZ93" s="798">
        <f t="shared" si="89"/>
        <v>1</v>
      </c>
      <c r="BA93" s="798">
        <f t="shared" si="89"/>
        <v>1</v>
      </c>
      <c r="BB93" s="798">
        <f t="shared" si="89"/>
        <v>1</v>
      </c>
      <c r="BC93" s="798">
        <f t="shared" si="89"/>
        <v>1</v>
      </c>
      <c r="BD93" s="798">
        <f t="shared" si="89"/>
        <v>1</v>
      </c>
      <c r="BE93" s="798">
        <f t="shared" si="89"/>
        <v>1</v>
      </c>
      <c r="BF93" s="798">
        <f t="shared" si="89"/>
        <v>1</v>
      </c>
      <c r="BG93" s="798">
        <f t="shared" si="89"/>
        <v>1</v>
      </c>
      <c r="BH93" s="798">
        <f t="shared" si="89"/>
        <v>1</v>
      </c>
      <c r="BI93" s="798">
        <f t="shared" si="89"/>
        <v>1</v>
      </c>
      <c r="BJ93" s="798">
        <f t="shared" si="89"/>
        <v>1</v>
      </c>
      <c r="BK93" s="798">
        <f t="shared" si="89"/>
        <v>1</v>
      </c>
      <c r="BL93" s="765"/>
      <c r="BM93" s="817"/>
      <c r="BN93" s="817"/>
    </row>
    <row r="94" hidden="1">
      <c r="A94" s="765"/>
      <c r="B94" s="765"/>
      <c r="C94" s="765"/>
      <c r="D94" s="765"/>
      <c r="E94" s="765"/>
      <c r="F94" s="765"/>
      <c r="G94" s="765"/>
      <c r="H94" s="765"/>
      <c r="I94" s="765">
        <f t="shared" si="17"/>
        <v>83</v>
      </c>
      <c r="J94" s="763">
        <f t="shared" si="5"/>
        <v>6154891688</v>
      </c>
      <c r="K94" s="796">
        <f t="shared" si="7"/>
        <v>0.27529</v>
      </c>
      <c r="L94" s="796">
        <v>5.0E-4</v>
      </c>
      <c r="M94" s="763">
        <v>7.01812051050984E9</v>
      </c>
      <c r="N94" s="797">
        <f t="shared" si="8"/>
        <v>0</v>
      </c>
      <c r="O94" s="798">
        <f t="shared" ref="O94:BK94" si="90">FLOOR(MIN((((N("value of ELS upgrade")+N$8*($K94-$K93))*(N("Check checkbox")+(IF($G$6=TRUE,$G$7,$G$8))/$G$8))/(N("ROI of ELS and multiply by 2 if ELS is 1:1")+IF($G$12 = True, 2, 1) * $J94))/((N("difference in ELS+ and the cost of it")+(($K93*O$8)-($K93*N$8)) / O$7)),(N("MIN lets it return 0 or 1 after floored")+1)),1)</f>
        <v>0</v>
      </c>
      <c r="P94" s="798">
        <f t="shared" si="90"/>
        <v>0</v>
      </c>
      <c r="Q94" s="798">
        <f t="shared" si="90"/>
        <v>1</v>
      </c>
      <c r="R94" s="798">
        <f t="shared" si="90"/>
        <v>1</v>
      </c>
      <c r="S94" s="798">
        <f t="shared" si="90"/>
        <v>1</v>
      </c>
      <c r="T94" s="798">
        <f t="shared" si="90"/>
        <v>1</v>
      </c>
      <c r="U94" s="798">
        <f t="shared" si="90"/>
        <v>1</v>
      </c>
      <c r="V94" s="798">
        <f t="shared" si="90"/>
        <v>1</v>
      </c>
      <c r="W94" s="798">
        <f t="shared" si="90"/>
        <v>1</v>
      </c>
      <c r="X94" s="798">
        <f t="shared" si="90"/>
        <v>1</v>
      </c>
      <c r="Y94" s="798">
        <f t="shared" si="90"/>
        <v>1</v>
      </c>
      <c r="Z94" s="798">
        <f t="shared" si="90"/>
        <v>1</v>
      </c>
      <c r="AA94" s="798">
        <f t="shared" si="90"/>
        <v>1</v>
      </c>
      <c r="AB94" s="798">
        <f t="shared" si="90"/>
        <v>1</v>
      </c>
      <c r="AC94" s="798">
        <f t="shared" si="90"/>
        <v>1</v>
      </c>
      <c r="AD94" s="798">
        <f t="shared" si="90"/>
        <v>1</v>
      </c>
      <c r="AE94" s="798">
        <f t="shared" si="90"/>
        <v>1</v>
      </c>
      <c r="AF94" s="798">
        <f t="shared" si="90"/>
        <v>1</v>
      </c>
      <c r="AG94" s="798">
        <f t="shared" si="90"/>
        <v>1</v>
      </c>
      <c r="AH94" s="798">
        <f t="shared" si="90"/>
        <v>1</v>
      </c>
      <c r="AI94" s="798">
        <f t="shared" si="90"/>
        <v>1</v>
      </c>
      <c r="AJ94" s="798">
        <f t="shared" si="90"/>
        <v>1</v>
      </c>
      <c r="AK94" s="798">
        <f t="shared" si="90"/>
        <v>1</v>
      </c>
      <c r="AL94" s="798">
        <f t="shared" si="90"/>
        <v>1</v>
      </c>
      <c r="AM94" s="798">
        <f t="shared" si="90"/>
        <v>1</v>
      </c>
      <c r="AN94" s="798">
        <f t="shared" si="90"/>
        <v>1</v>
      </c>
      <c r="AO94" s="798">
        <f t="shared" si="90"/>
        <v>1</v>
      </c>
      <c r="AP94" s="798">
        <f t="shared" si="90"/>
        <v>1</v>
      </c>
      <c r="AQ94" s="798">
        <f t="shared" si="90"/>
        <v>1</v>
      </c>
      <c r="AR94" s="798">
        <f t="shared" si="90"/>
        <v>1</v>
      </c>
      <c r="AS94" s="798">
        <f t="shared" si="90"/>
        <v>1</v>
      </c>
      <c r="AT94" s="798">
        <f t="shared" si="90"/>
        <v>1</v>
      </c>
      <c r="AU94" s="798">
        <f t="shared" si="90"/>
        <v>1</v>
      </c>
      <c r="AV94" s="798">
        <f t="shared" si="90"/>
        <v>1</v>
      </c>
      <c r="AW94" s="798">
        <f t="shared" si="90"/>
        <v>1</v>
      </c>
      <c r="AX94" s="798">
        <f t="shared" si="90"/>
        <v>1</v>
      </c>
      <c r="AY94" s="798">
        <f t="shared" si="90"/>
        <v>1</v>
      </c>
      <c r="AZ94" s="798">
        <f t="shared" si="90"/>
        <v>1</v>
      </c>
      <c r="BA94" s="798">
        <f t="shared" si="90"/>
        <v>1</v>
      </c>
      <c r="BB94" s="798">
        <f t="shared" si="90"/>
        <v>1</v>
      </c>
      <c r="BC94" s="798">
        <f t="shared" si="90"/>
        <v>1</v>
      </c>
      <c r="BD94" s="798">
        <f t="shared" si="90"/>
        <v>1</v>
      </c>
      <c r="BE94" s="798">
        <f t="shared" si="90"/>
        <v>1</v>
      </c>
      <c r="BF94" s="798">
        <f t="shared" si="90"/>
        <v>1</v>
      </c>
      <c r="BG94" s="798">
        <f t="shared" si="90"/>
        <v>1</v>
      </c>
      <c r="BH94" s="798">
        <f t="shared" si="90"/>
        <v>1</v>
      </c>
      <c r="BI94" s="798">
        <f t="shared" si="90"/>
        <v>1</v>
      </c>
      <c r="BJ94" s="798">
        <f t="shared" si="90"/>
        <v>1</v>
      </c>
      <c r="BK94" s="798">
        <f t="shared" si="90"/>
        <v>1</v>
      </c>
      <c r="BL94" s="765"/>
      <c r="BM94" s="817"/>
      <c r="BN94" s="817"/>
    </row>
    <row r="95" hidden="1">
      <c r="A95" s="765"/>
      <c r="B95" s="765"/>
      <c r="C95" s="765"/>
      <c r="D95" s="765"/>
      <c r="E95" s="765"/>
      <c r="F95" s="765"/>
      <c r="G95" s="765"/>
      <c r="H95" s="765"/>
      <c r="I95" s="765">
        <f t="shared" si="17"/>
        <v>84</v>
      </c>
      <c r="J95" s="763">
        <f t="shared" si="5"/>
        <v>6217215424</v>
      </c>
      <c r="K95" s="796">
        <f t="shared" si="7"/>
        <v>0.27579</v>
      </c>
      <c r="L95" s="796">
        <v>5.0E-4</v>
      </c>
      <c r="M95" s="763">
        <v>7.08918520410462E9</v>
      </c>
      <c r="N95" s="797">
        <f t="shared" si="8"/>
        <v>0</v>
      </c>
      <c r="O95" s="798">
        <f t="shared" ref="O95:BK95" si="91">FLOOR(MIN((((N("value of ELS upgrade")+N$8*($K95-$K94))*(N("Check checkbox")+(IF($G$6=TRUE,$G$7,$G$8))/$G$8))/(N("ROI of ELS and multiply by 2 if ELS is 1:1")+IF($G$12 = True, 2, 1) * $J95))/((N("difference in ELS+ and the cost of it")+(($K94*O$8)-($K94*N$8)) / O$7)),(N("MIN lets it return 0 or 1 after floored")+1)),1)</f>
        <v>0</v>
      </c>
      <c r="P95" s="798">
        <f t="shared" si="91"/>
        <v>0</v>
      </c>
      <c r="Q95" s="798">
        <f t="shared" si="91"/>
        <v>1</v>
      </c>
      <c r="R95" s="798">
        <f t="shared" si="91"/>
        <v>1</v>
      </c>
      <c r="S95" s="798">
        <f t="shared" si="91"/>
        <v>1</v>
      </c>
      <c r="T95" s="798">
        <f t="shared" si="91"/>
        <v>1</v>
      </c>
      <c r="U95" s="798">
        <f t="shared" si="91"/>
        <v>1</v>
      </c>
      <c r="V95" s="798">
        <f t="shared" si="91"/>
        <v>1</v>
      </c>
      <c r="W95" s="798">
        <f t="shared" si="91"/>
        <v>1</v>
      </c>
      <c r="X95" s="798">
        <f t="shared" si="91"/>
        <v>1</v>
      </c>
      <c r="Y95" s="798">
        <f t="shared" si="91"/>
        <v>1</v>
      </c>
      <c r="Z95" s="798">
        <f t="shared" si="91"/>
        <v>1</v>
      </c>
      <c r="AA95" s="798">
        <f t="shared" si="91"/>
        <v>1</v>
      </c>
      <c r="AB95" s="798">
        <f t="shared" si="91"/>
        <v>1</v>
      </c>
      <c r="AC95" s="798">
        <f t="shared" si="91"/>
        <v>1</v>
      </c>
      <c r="AD95" s="798">
        <f t="shared" si="91"/>
        <v>1</v>
      </c>
      <c r="AE95" s="798">
        <f t="shared" si="91"/>
        <v>1</v>
      </c>
      <c r="AF95" s="798">
        <f t="shared" si="91"/>
        <v>1</v>
      </c>
      <c r="AG95" s="798">
        <f t="shared" si="91"/>
        <v>1</v>
      </c>
      <c r="AH95" s="798">
        <f t="shared" si="91"/>
        <v>1</v>
      </c>
      <c r="AI95" s="798">
        <f t="shared" si="91"/>
        <v>1</v>
      </c>
      <c r="AJ95" s="798">
        <f t="shared" si="91"/>
        <v>1</v>
      </c>
      <c r="AK95" s="798">
        <f t="shared" si="91"/>
        <v>1</v>
      </c>
      <c r="AL95" s="798">
        <f t="shared" si="91"/>
        <v>1</v>
      </c>
      <c r="AM95" s="798">
        <f t="shared" si="91"/>
        <v>1</v>
      </c>
      <c r="AN95" s="798">
        <f t="shared" si="91"/>
        <v>1</v>
      </c>
      <c r="AO95" s="798">
        <f t="shared" si="91"/>
        <v>1</v>
      </c>
      <c r="AP95" s="798">
        <f t="shared" si="91"/>
        <v>1</v>
      </c>
      <c r="AQ95" s="798">
        <f t="shared" si="91"/>
        <v>1</v>
      </c>
      <c r="AR95" s="798">
        <f t="shared" si="91"/>
        <v>1</v>
      </c>
      <c r="AS95" s="798">
        <f t="shared" si="91"/>
        <v>1</v>
      </c>
      <c r="AT95" s="798">
        <f t="shared" si="91"/>
        <v>1</v>
      </c>
      <c r="AU95" s="798">
        <f t="shared" si="91"/>
        <v>1</v>
      </c>
      <c r="AV95" s="798">
        <f t="shared" si="91"/>
        <v>1</v>
      </c>
      <c r="AW95" s="798">
        <f t="shared" si="91"/>
        <v>1</v>
      </c>
      <c r="AX95" s="798">
        <f t="shared" si="91"/>
        <v>1</v>
      </c>
      <c r="AY95" s="798">
        <f t="shared" si="91"/>
        <v>1</v>
      </c>
      <c r="AZ95" s="798">
        <f t="shared" si="91"/>
        <v>1</v>
      </c>
      <c r="BA95" s="798">
        <f t="shared" si="91"/>
        <v>1</v>
      </c>
      <c r="BB95" s="798">
        <f t="shared" si="91"/>
        <v>1</v>
      </c>
      <c r="BC95" s="798">
        <f t="shared" si="91"/>
        <v>1</v>
      </c>
      <c r="BD95" s="798">
        <f t="shared" si="91"/>
        <v>1</v>
      </c>
      <c r="BE95" s="798">
        <f t="shared" si="91"/>
        <v>1</v>
      </c>
      <c r="BF95" s="798">
        <f t="shared" si="91"/>
        <v>1</v>
      </c>
      <c r="BG95" s="798">
        <f t="shared" si="91"/>
        <v>1</v>
      </c>
      <c r="BH95" s="798">
        <f t="shared" si="91"/>
        <v>1</v>
      </c>
      <c r="BI95" s="798">
        <f t="shared" si="91"/>
        <v>1</v>
      </c>
      <c r="BJ95" s="798">
        <f t="shared" si="91"/>
        <v>1</v>
      </c>
      <c r="BK95" s="798">
        <f t="shared" si="91"/>
        <v>1</v>
      </c>
      <c r="BL95" s="765"/>
      <c r="BM95" s="817"/>
      <c r="BN95" s="817"/>
    </row>
    <row r="96" hidden="1">
      <c r="A96" s="765"/>
      <c r="B96" s="765"/>
      <c r="C96" s="765"/>
      <c r="D96" s="765"/>
      <c r="E96" s="765"/>
      <c r="F96" s="765"/>
      <c r="G96" s="765"/>
      <c r="H96" s="765"/>
      <c r="I96" s="765">
        <f t="shared" si="17"/>
        <v>85</v>
      </c>
      <c r="J96" s="763">
        <f t="shared" si="5"/>
        <v>6279585723</v>
      </c>
      <c r="K96" s="796">
        <f t="shared" si="7"/>
        <v>0.27629</v>
      </c>
      <c r="L96" s="796">
        <v>5.0E-4</v>
      </c>
      <c r="M96" s="763">
        <v>7.16030299069351E9</v>
      </c>
      <c r="N96" s="797">
        <f t="shared" si="8"/>
        <v>0</v>
      </c>
      <c r="O96" s="798">
        <f t="shared" ref="O96:BK96" si="92">FLOOR(MIN((((N("value of ELS upgrade")+N$8*($K96-$K95))*(N("Check checkbox")+(IF($G$6=TRUE,$G$7,$G$8))/$G$8))/(N("ROI of ELS and multiply by 2 if ELS is 1:1")+IF($G$12 = True, 2, 1) * $J96))/((N("difference in ELS+ and the cost of it")+(($K95*O$8)-($K95*N$8)) / O$7)),(N("MIN lets it return 0 or 1 after floored")+1)),1)</f>
        <v>0</v>
      </c>
      <c r="P96" s="798">
        <f t="shared" si="92"/>
        <v>0</v>
      </c>
      <c r="Q96" s="798">
        <f t="shared" si="92"/>
        <v>1</v>
      </c>
      <c r="R96" s="798">
        <f t="shared" si="92"/>
        <v>1</v>
      </c>
      <c r="S96" s="798">
        <f t="shared" si="92"/>
        <v>1</v>
      </c>
      <c r="T96" s="798">
        <f t="shared" si="92"/>
        <v>1</v>
      </c>
      <c r="U96" s="798">
        <f t="shared" si="92"/>
        <v>1</v>
      </c>
      <c r="V96" s="798">
        <f t="shared" si="92"/>
        <v>1</v>
      </c>
      <c r="W96" s="798">
        <f t="shared" si="92"/>
        <v>1</v>
      </c>
      <c r="X96" s="798">
        <f t="shared" si="92"/>
        <v>1</v>
      </c>
      <c r="Y96" s="798">
        <f t="shared" si="92"/>
        <v>1</v>
      </c>
      <c r="Z96" s="798">
        <f t="shared" si="92"/>
        <v>1</v>
      </c>
      <c r="AA96" s="798">
        <f t="shared" si="92"/>
        <v>1</v>
      </c>
      <c r="AB96" s="798">
        <f t="shared" si="92"/>
        <v>1</v>
      </c>
      <c r="AC96" s="798">
        <f t="shared" si="92"/>
        <v>1</v>
      </c>
      <c r="AD96" s="798">
        <f t="shared" si="92"/>
        <v>1</v>
      </c>
      <c r="AE96" s="798">
        <f t="shared" si="92"/>
        <v>1</v>
      </c>
      <c r="AF96" s="798">
        <f t="shared" si="92"/>
        <v>1</v>
      </c>
      <c r="AG96" s="798">
        <f t="shared" si="92"/>
        <v>1</v>
      </c>
      <c r="AH96" s="798">
        <f t="shared" si="92"/>
        <v>1</v>
      </c>
      <c r="AI96" s="798">
        <f t="shared" si="92"/>
        <v>1</v>
      </c>
      <c r="AJ96" s="798">
        <f t="shared" si="92"/>
        <v>1</v>
      </c>
      <c r="AK96" s="798">
        <f t="shared" si="92"/>
        <v>1</v>
      </c>
      <c r="AL96" s="798">
        <f t="shared" si="92"/>
        <v>1</v>
      </c>
      <c r="AM96" s="798">
        <f t="shared" si="92"/>
        <v>1</v>
      </c>
      <c r="AN96" s="798">
        <f t="shared" si="92"/>
        <v>1</v>
      </c>
      <c r="AO96" s="798">
        <f t="shared" si="92"/>
        <v>1</v>
      </c>
      <c r="AP96" s="798">
        <f t="shared" si="92"/>
        <v>1</v>
      </c>
      <c r="AQ96" s="798">
        <f t="shared" si="92"/>
        <v>1</v>
      </c>
      <c r="AR96" s="798">
        <f t="shared" si="92"/>
        <v>1</v>
      </c>
      <c r="AS96" s="798">
        <f t="shared" si="92"/>
        <v>1</v>
      </c>
      <c r="AT96" s="798">
        <f t="shared" si="92"/>
        <v>1</v>
      </c>
      <c r="AU96" s="798">
        <f t="shared" si="92"/>
        <v>1</v>
      </c>
      <c r="AV96" s="798">
        <f t="shared" si="92"/>
        <v>1</v>
      </c>
      <c r="AW96" s="798">
        <f t="shared" si="92"/>
        <v>1</v>
      </c>
      <c r="AX96" s="798">
        <f t="shared" si="92"/>
        <v>1</v>
      </c>
      <c r="AY96" s="798">
        <f t="shared" si="92"/>
        <v>1</v>
      </c>
      <c r="AZ96" s="798">
        <f t="shared" si="92"/>
        <v>1</v>
      </c>
      <c r="BA96" s="798">
        <f t="shared" si="92"/>
        <v>1</v>
      </c>
      <c r="BB96" s="798">
        <f t="shared" si="92"/>
        <v>1</v>
      </c>
      <c r="BC96" s="798">
        <f t="shared" si="92"/>
        <v>1</v>
      </c>
      <c r="BD96" s="798">
        <f t="shared" si="92"/>
        <v>1</v>
      </c>
      <c r="BE96" s="798">
        <f t="shared" si="92"/>
        <v>1</v>
      </c>
      <c r="BF96" s="798">
        <f t="shared" si="92"/>
        <v>1</v>
      </c>
      <c r="BG96" s="798">
        <f t="shared" si="92"/>
        <v>1</v>
      </c>
      <c r="BH96" s="798">
        <f t="shared" si="92"/>
        <v>1</v>
      </c>
      <c r="BI96" s="798">
        <f t="shared" si="92"/>
        <v>1</v>
      </c>
      <c r="BJ96" s="798">
        <f t="shared" si="92"/>
        <v>1</v>
      </c>
      <c r="BK96" s="798">
        <f t="shared" si="92"/>
        <v>1</v>
      </c>
      <c r="BL96" s="765"/>
      <c r="BM96" s="817"/>
      <c r="BN96" s="817"/>
    </row>
    <row r="97" hidden="1">
      <c r="A97" s="765"/>
      <c r="B97" s="765"/>
      <c r="C97" s="765"/>
      <c r="D97" s="765"/>
      <c r="E97" s="765"/>
      <c r="F97" s="765"/>
      <c r="G97" s="765"/>
      <c r="H97" s="765"/>
      <c r="I97" s="765">
        <f t="shared" si="17"/>
        <v>86</v>
      </c>
      <c r="J97" s="763">
        <f t="shared" si="5"/>
        <v>6342003339</v>
      </c>
      <c r="K97" s="796">
        <f t="shared" si="7"/>
        <v>0.27679</v>
      </c>
      <c r="L97" s="796">
        <v>5.0E-4</v>
      </c>
      <c r="M97" s="763">
        <v>7.23147473115045E9</v>
      </c>
      <c r="N97" s="797">
        <f t="shared" si="8"/>
        <v>0</v>
      </c>
      <c r="O97" s="798">
        <f t="shared" ref="O97:BK97" si="93">FLOOR(MIN((((N("value of ELS upgrade")+N$8*($K97-$K96))*(N("Check checkbox")+(IF($G$6=TRUE,$G$7,$G$8))/$G$8))/(N("ROI of ELS and multiply by 2 if ELS is 1:1")+IF($G$12 = True, 2, 1) * $J97))/((N("difference in ELS+ and the cost of it")+(($K96*O$8)-($K96*N$8)) / O$7)),(N("MIN lets it return 0 or 1 after floored")+1)),1)</f>
        <v>0</v>
      </c>
      <c r="P97" s="798">
        <f t="shared" si="93"/>
        <v>0</v>
      </c>
      <c r="Q97" s="798">
        <f t="shared" si="93"/>
        <v>1</v>
      </c>
      <c r="R97" s="798">
        <f t="shared" si="93"/>
        <v>1</v>
      </c>
      <c r="S97" s="798">
        <f t="shared" si="93"/>
        <v>1</v>
      </c>
      <c r="T97" s="798">
        <f t="shared" si="93"/>
        <v>1</v>
      </c>
      <c r="U97" s="798">
        <f t="shared" si="93"/>
        <v>1</v>
      </c>
      <c r="V97" s="798">
        <f t="shared" si="93"/>
        <v>1</v>
      </c>
      <c r="W97" s="798">
        <f t="shared" si="93"/>
        <v>1</v>
      </c>
      <c r="X97" s="798">
        <f t="shared" si="93"/>
        <v>1</v>
      </c>
      <c r="Y97" s="798">
        <f t="shared" si="93"/>
        <v>1</v>
      </c>
      <c r="Z97" s="798">
        <f t="shared" si="93"/>
        <v>1</v>
      </c>
      <c r="AA97" s="798">
        <f t="shared" si="93"/>
        <v>1</v>
      </c>
      <c r="AB97" s="798">
        <f t="shared" si="93"/>
        <v>1</v>
      </c>
      <c r="AC97" s="798">
        <f t="shared" si="93"/>
        <v>1</v>
      </c>
      <c r="AD97" s="798">
        <f t="shared" si="93"/>
        <v>1</v>
      </c>
      <c r="AE97" s="798">
        <f t="shared" si="93"/>
        <v>1</v>
      </c>
      <c r="AF97" s="798">
        <f t="shared" si="93"/>
        <v>1</v>
      </c>
      <c r="AG97" s="798">
        <f t="shared" si="93"/>
        <v>1</v>
      </c>
      <c r="AH97" s="798">
        <f t="shared" si="93"/>
        <v>1</v>
      </c>
      <c r="AI97" s="798">
        <f t="shared" si="93"/>
        <v>1</v>
      </c>
      <c r="AJ97" s="798">
        <f t="shared" si="93"/>
        <v>1</v>
      </c>
      <c r="AK97" s="798">
        <f t="shared" si="93"/>
        <v>1</v>
      </c>
      <c r="AL97" s="798">
        <f t="shared" si="93"/>
        <v>1</v>
      </c>
      <c r="AM97" s="798">
        <f t="shared" si="93"/>
        <v>1</v>
      </c>
      <c r="AN97" s="798">
        <f t="shared" si="93"/>
        <v>1</v>
      </c>
      <c r="AO97" s="798">
        <f t="shared" si="93"/>
        <v>1</v>
      </c>
      <c r="AP97" s="798">
        <f t="shared" si="93"/>
        <v>1</v>
      </c>
      <c r="AQ97" s="798">
        <f t="shared" si="93"/>
        <v>1</v>
      </c>
      <c r="AR97" s="798">
        <f t="shared" si="93"/>
        <v>1</v>
      </c>
      <c r="AS97" s="798">
        <f t="shared" si="93"/>
        <v>1</v>
      </c>
      <c r="AT97" s="798">
        <f t="shared" si="93"/>
        <v>1</v>
      </c>
      <c r="AU97" s="798">
        <f t="shared" si="93"/>
        <v>1</v>
      </c>
      <c r="AV97" s="798">
        <f t="shared" si="93"/>
        <v>1</v>
      </c>
      <c r="AW97" s="798">
        <f t="shared" si="93"/>
        <v>1</v>
      </c>
      <c r="AX97" s="798">
        <f t="shared" si="93"/>
        <v>1</v>
      </c>
      <c r="AY97" s="798">
        <f t="shared" si="93"/>
        <v>1</v>
      </c>
      <c r="AZ97" s="798">
        <f t="shared" si="93"/>
        <v>1</v>
      </c>
      <c r="BA97" s="798">
        <f t="shared" si="93"/>
        <v>1</v>
      </c>
      <c r="BB97" s="798">
        <f t="shared" si="93"/>
        <v>1</v>
      </c>
      <c r="BC97" s="798">
        <f t="shared" si="93"/>
        <v>1</v>
      </c>
      <c r="BD97" s="798">
        <f t="shared" si="93"/>
        <v>1</v>
      </c>
      <c r="BE97" s="798">
        <f t="shared" si="93"/>
        <v>1</v>
      </c>
      <c r="BF97" s="798">
        <f t="shared" si="93"/>
        <v>1</v>
      </c>
      <c r="BG97" s="798">
        <f t="shared" si="93"/>
        <v>1</v>
      </c>
      <c r="BH97" s="798">
        <f t="shared" si="93"/>
        <v>1</v>
      </c>
      <c r="BI97" s="798">
        <f t="shared" si="93"/>
        <v>1</v>
      </c>
      <c r="BJ97" s="798">
        <f t="shared" si="93"/>
        <v>1</v>
      </c>
      <c r="BK97" s="798">
        <f t="shared" si="93"/>
        <v>1</v>
      </c>
      <c r="BL97" s="765"/>
      <c r="BM97" s="817"/>
      <c r="BN97" s="817"/>
    </row>
    <row r="98" hidden="1">
      <c r="A98" s="765"/>
      <c r="B98" s="765"/>
      <c r="C98" s="765"/>
      <c r="D98" s="765"/>
      <c r="E98" s="765"/>
      <c r="F98" s="765"/>
      <c r="G98" s="765"/>
      <c r="H98" s="765"/>
      <c r="I98" s="765">
        <f t="shared" si="17"/>
        <v>87</v>
      </c>
      <c r="J98" s="763">
        <f t="shared" si="5"/>
        <v>6404469040</v>
      </c>
      <c r="K98" s="796">
        <f t="shared" si="7"/>
        <v>0.27729</v>
      </c>
      <c r="L98" s="796">
        <v>5.0E-4</v>
      </c>
      <c r="M98" s="763">
        <v>7.30270129932738E9</v>
      </c>
      <c r="N98" s="797">
        <f t="shared" si="8"/>
        <v>0</v>
      </c>
      <c r="O98" s="798">
        <f t="shared" ref="O98:BK98" si="94">FLOOR(MIN((((N("value of ELS upgrade")+N$8*($K98-$K97))*(N("Check checkbox")+(IF($G$6=TRUE,$G$7,$G$8))/$G$8))/(N("ROI of ELS and multiply by 2 if ELS is 1:1")+IF($G$12 = True, 2, 1) * $J98))/((N("difference in ELS+ and the cost of it")+(($K97*O$8)-($K97*N$8)) / O$7)),(N("MIN lets it return 0 or 1 after floored")+1)),1)</f>
        <v>0</v>
      </c>
      <c r="P98" s="798">
        <f t="shared" si="94"/>
        <v>0</v>
      </c>
      <c r="Q98" s="798">
        <f t="shared" si="94"/>
        <v>1</v>
      </c>
      <c r="R98" s="798">
        <f t="shared" si="94"/>
        <v>1</v>
      </c>
      <c r="S98" s="798">
        <f t="shared" si="94"/>
        <v>1</v>
      </c>
      <c r="T98" s="798">
        <f t="shared" si="94"/>
        <v>1</v>
      </c>
      <c r="U98" s="798">
        <f t="shared" si="94"/>
        <v>1</v>
      </c>
      <c r="V98" s="798">
        <f t="shared" si="94"/>
        <v>1</v>
      </c>
      <c r="W98" s="798">
        <f t="shared" si="94"/>
        <v>1</v>
      </c>
      <c r="X98" s="798">
        <f t="shared" si="94"/>
        <v>1</v>
      </c>
      <c r="Y98" s="798">
        <f t="shared" si="94"/>
        <v>1</v>
      </c>
      <c r="Z98" s="798">
        <f t="shared" si="94"/>
        <v>1</v>
      </c>
      <c r="AA98" s="798">
        <f t="shared" si="94"/>
        <v>1</v>
      </c>
      <c r="AB98" s="798">
        <f t="shared" si="94"/>
        <v>1</v>
      </c>
      <c r="AC98" s="798">
        <f t="shared" si="94"/>
        <v>1</v>
      </c>
      <c r="AD98" s="798">
        <f t="shared" si="94"/>
        <v>1</v>
      </c>
      <c r="AE98" s="798">
        <f t="shared" si="94"/>
        <v>1</v>
      </c>
      <c r="AF98" s="798">
        <f t="shared" si="94"/>
        <v>1</v>
      </c>
      <c r="AG98" s="798">
        <f t="shared" si="94"/>
        <v>1</v>
      </c>
      <c r="AH98" s="798">
        <f t="shared" si="94"/>
        <v>1</v>
      </c>
      <c r="AI98" s="798">
        <f t="shared" si="94"/>
        <v>1</v>
      </c>
      <c r="AJ98" s="798">
        <f t="shared" si="94"/>
        <v>1</v>
      </c>
      <c r="AK98" s="798">
        <f t="shared" si="94"/>
        <v>1</v>
      </c>
      <c r="AL98" s="798">
        <f t="shared" si="94"/>
        <v>1</v>
      </c>
      <c r="AM98" s="798">
        <f t="shared" si="94"/>
        <v>1</v>
      </c>
      <c r="AN98" s="798">
        <f t="shared" si="94"/>
        <v>1</v>
      </c>
      <c r="AO98" s="798">
        <f t="shared" si="94"/>
        <v>1</v>
      </c>
      <c r="AP98" s="798">
        <f t="shared" si="94"/>
        <v>1</v>
      </c>
      <c r="AQ98" s="798">
        <f t="shared" si="94"/>
        <v>1</v>
      </c>
      <c r="AR98" s="798">
        <f t="shared" si="94"/>
        <v>1</v>
      </c>
      <c r="AS98" s="798">
        <f t="shared" si="94"/>
        <v>1</v>
      </c>
      <c r="AT98" s="798">
        <f t="shared" si="94"/>
        <v>1</v>
      </c>
      <c r="AU98" s="798">
        <f t="shared" si="94"/>
        <v>1</v>
      </c>
      <c r="AV98" s="798">
        <f t="shared" si="94"/>
        <v>1</v>
      </c>
      <c r="AW98" s="798">
        <f t="shared" si="94"/>
        <v>1</v>
      </c>
      <c r="AX98" s="798">
        <f t="shared" si="94"/>
        <v>1</v>
      </c>
      <c r="AY98" s="798">
        <f t="shared" si="94"/>
        <v>1</v>
      </c>
      <c r="AZ98" s="798">
        <f t="shared" si="94"/>
        <v>1</v>
      </c>
      <c r="BA98" s="798">
        <f t="shared" si="94"/>
        <v>1</v>
      </c>
      <c r="BB98" s="798">
        <f t="shared" si="94"/>
        <v>1</v>
      </c>
      <c r="BC98" s="798">
        <f t="shared" si="94"/>
        <v>1</v>
      </c>
      <c r="BD98" s="798">
        <f t="shared" si="94"/>
        <v>1</v>
      </c>
      <c r="BE98" s="798">
        <f t="shared" si="94"/>
        <v>1</v>
      </c>
      <c r="BF98" s="798">
        <f t="shared" si="94"/>
        <v>1</v>
      </c>
      <c r="BG98" s="798">
        <f t="shared" si="94"/>
        <v>1</v>
      </c>
      <c r="BH98" s="798">
        <f t="shared" si="94"/>
        <v>1</v>
      </c>
      <c r="BI98" s="798">
        <f t="shared" si="94"/>
        <v>1</v>
      </c>
      <c r="BJ98" s="798">
        <f t="shared" si="94"/>
        <v>1</v>
      </c>
      <c r="BK98" s="798">
        <f t="shared" si="94"/>
        <v>1</v>
      </c>
      <c r="BL98" s="765"/>
      <c r="BM98" s="817"/>
      <c r="BN98" s="817"/>
    </row>
    <row r="99" hidden="1">
      <c r="A99" s="765"/>
      <c r="B99" s="765"/>
      <c r="C99" s="765"/>
      <c r="D99" s="765"/>
      <c r="E99" s="765"/>
      <c r="F99" s="765"/>
      <c r="G99" s="765"/>
      <c r="H99" s="765"/>
      <c r="I99" s="765">
        <f t="shared" si="17"/>
        <v>88</v>
      </c>
      <c r="J99" s="763">
        <f t="shared" si="5"/>
        <v>6466983582</v>
      </c>
      <c r="K99" s="796">
        <f t="shared" si="7"/>
        <v>0.27779</v>
      </c>
      <c r="L99" s="796">
        <v>5.0E-4</v>
      </c>
      <c r="M99" s="763">
        <v>7.37398356042423E9</v>
      </c>
      <c r="N99" s="797">
        <f t="shared" si="8"/>
        <v>0</v>
      </c>
      <c r="O99" s="798">
        <f t="shared" ref="O99:BK99" si="95">FLOOR(MIN((((N("value of ELS upgrade")+N$8*($K99-$K98))*(N("Check checkbox")+(IF($G$6=TRUE,$G$7,$G$8))/$G$8))/(N("ROI of ELS and multiply by 2 if ELS is 1:1")+IF($G$12 = True, 2, 1) * $J99))/((N("difference in ELS+ and the cost of it")+(($K98*O$8)-($K98*N$8)) / O$7)),(N("MIN lets it return 0 or 1 after floored")+1)),1)</f>
        <v>0</v>
      </c>
      <c r="P99" s="798">
        <f t="shared" si="95"/>
        <v>0</v>
      </c>
      <c r="Q99" s="798">
        <f t="shared" si="95"/>
        <v>1</v>
      </c>
      <c r="R99" s="798">
        <f t="shared" si="95"/>
        <v>1</v>
      </c>
      <c r="S99" s="798">
        <f t="shared" si="95"/>
        <v>1</v>
      </c>
      <c r="T99" s="798">
        <f t="shared" si="95"/>
        <v>1</v>
      </c>
      <c r="U99" s="798">
        <f t="shared" si="95"/>
        <v>1</v>
      </c>
      <c r="V99" s="798">
        <f t="shared" si="95"/>
        <v>1</v>
      </c>
      <c r="W99" s="798">
        <f t="shared" si="95"/>
        <v>1</v>
      </c>
      <c r="X99" s="798">
        <f t="shared" si="95"/>
        <v>1</v>
      </c>
      <c r="Y99" s="798">
        <f t="shared" si="95"/>
        <v>1</v>
      </c>
      <c r="Z99" s="798">
        <f t="shared" si="95"/>
        <v>1</v>
      </c>
      <c r="AA99" s="798">
        <f t="shared" si="95"/>
        <v>1</v>
      </c>
      <c r="AB99" s="798">
        <f t="shared" si="95"/>
        <v>1</v>
      </c>
      <c r="AC99" s="798">
        <f t="shared" si="95"/>
        <v>1</v>
      </c>
      <c r="AD99" s="798">
        <f t="shared" si="95"/>
        <v>1</v>
      </c>
      <c r="AE99" s="798">
        <f t="shared" si="95"/>
        <v>1</v>
      </c>
      <c r="AF99" s="798">
        <f t="shared" si="95"/>
        <v>1</v>
      </c>
      <c r="AG99" s="798">
        <f t="shared" si="95"/>
        <v>1</v>
      </c>
      <c r="AH99" s="798">
        <f t="shared" si="95"/>
        <v>1</v>
      </c>
      <c r="AI99" s="798">
        <f t="shared" si="95"/>
        <v>1</v>
      </c>
      <c r="AJ99" s="798">
        <f t="shared" si="95"/>
        <v>1</v>
      </c>
      <c r="AK99" s="798">
        <f t="shared" si="95"/>
        <v>1</v>
      </c>
      <c r="AL99" s="798">
        <f t="shared" si="95"/>
        <v>1</v>
      </c>
      <c r="AM99" s="798">
        <f t="shared" si="95"/>
        <v>1</v>
      </c>
      <c r="AN99" s="798">
        <f t="shared" si="95"/>
        <v>1</v>
      </c>
      <c r="AO99" s="798">
        <f t="shared" si="95"/>
        <v>1</v>
      </c>
      <c r="AP99" s="798">
        <f t="shared" si="95"/>
        <v>1</v>
      </c>
      <c r="AQ99" s="798">
        <f t="shared" si="95"/>
        <v>1</v>
      </c>
      <c r="AR99" s="798">
        <f t="shared" si="95"/>
        <v>1</v>
      </c>
      <c r="AS99" s="798">
        <f t="shared" si="95"/>
        <v>1</v>
      </c>
      <c r="AT99" s="798">
        <f t="shared" si="95"/>
        <v>1</v>
      </c>
      <c r="AU99" s="798">
        <f t="shared" si="95"/>
        <v>1</v>
      </c>
      <c r="AV99" s="798">
        <f t="shared" si="95"/>
        <v>1</v>
      </c>
      <c r="AW99" s="798">
        <f t="shared" si="95"/>
        <v>1</v>
      </c>
      <c r="AX99" s="798">
        <f t="shared" si="95"/>
        <v>1</v>
      </c>
      <c r="AY99" s="798">
        <f t="shared" si="95"/>
        <v>1</v>
      </c>
      <c r="AZ99" s="798">
        <f t="shared" si="95"/>
        <v>1</v>
      </c>
      <c r="BA99" s="798">
        <f t="shared" si="95"/>
        <v>1</v>
      </c>
      <c r="BB99" s="798">
        <f t="shared" si="95"/>
        <v>1</v>
      </c>
      <c r="BC99" s="798">
        <f t="shared" si="95"/>
        <v>1</v>
      </c>
      <c r="BD99" s="798">
        <f t="shared" si="95"/>
        <v>1</v>
      </c>
      <c r="BE99" s="798">
        <f t="shared" si="95"/>
        <v>1</v>
      </c>
      <c r="BF99" s="798">
        <f t="shared" si="95"/>
        <v>1</v>
      </c>
      <c r="BG99" s="798">
        <f t="shared" si="95"/>
        <v>1</v>
      </c>
      <c r="BH99" s="798">
        <f t="shared" si="95"/>
        <v>1</v>
      </c>
      <c r="BI99" s="798">
        <f t="shared" si="95"/>
        <v>1</v>
      </c>
      <c r="BJ99" s="798">
        <f t="shared" si="95"/>
        <v>1</v>
      </c>
      <c r="BK99" s="798">
        <f t="shared" si="95"/>
        <v>1</v>
      </c>
      <c r="BL99" s="765"/>
      <c r="BM99" s="817"/>
      <c r="BN99" s="817"/>
    </row>
    <row r="100" hidden="1">
      <c r="A100" s="765"/>
      <c r="B100" s="765"/>
      <c r="C100" s="765"/>
      <c r="D100" s="765"/>
      <c r="E100" s="765"/>
      <c r="F100" s="765"/>
      <c r="G100" s="765"/>
      <c r="H100" s="765"/>
      <c r="I100" s="765">
        <f t="shared" si="17"/>
        <v>89</v>
      </c>
      <c r="J100" s="763">
        <f t="shared" si="5"/>
        <v>6529547742</v>
      </c>
      <c r="K100" s="796">
        <f t="shared" si="7"/>
        <v>0.27829</v>
      </c>
      <c r="L100" s="796">
        <v>5.0E-4</v>
      </c>
      <c r="M100" s="763">
        <v>7.44532239694494E9</v>
      </c>
      <c r="N100" s="797">
        <f t="shared" si="8"/>
        <v>0</v>
      </c>
      <c r="O100" s="798">
        <f t="shared" ref="O100:BK100" si="96">FLOOR(MIN((((N("value of ELS upgrade")+N$8*($K100-$K99))*(N("Check checkbox")+(IF($G$6=TRUE,$G$7,$G$8))/$G$8))/(N("ROI of ELS and multiply by 2 if ELS is 1:1")+IF($G$12 = True, 2, 1) * $J100))/((N("difference in ELS+ and the cost of it")+(($K99*O$8)-($K99*N$8)) / O$7)),(N("MIN lets it return 0 or 1 after floored")+1)),1)</f>
        <v>0</v>
      </c>
      <c r="P100" s="798">
        <f t="shared" si="96"/>
        <v>0</v>
      </c>
      <c r="Q100" s="798">
        <f t="shared" si="96"/>
        <v>1</v>
      </c>
      <c r="R100" s="798">
        <f t="shared" si="96"/>
        <v>1</v>
      </c>
      <c r="S100" s="798">
        <f t="shared" si="96"/>
        <v>1</v>
      </c>
      <c r="T100" s="798">
        <f t="shared" si="96"/>
        <v>1</v>
      </c>
      <c r="U100" s="798">
        <f t="shared" si="96"/>
        <v>1</v>
      </c>
      <c r="V100" s="798">
        <f t="shared" si="96"/>
        <v>1</v>
      </c>
      <c r="W100" s="798">
        <f t="shared" si="96"/>
        <v>1</v>
      </c>
      <c r="X100" s="798">
        <f t="shared" si="96"/>
        <v>1</v>
      </c>
      <c r="Y100" s="798">
        <f t="shared" si="96"/>
        <v>1</v>
      </c>
      <c r="Z100" s="798">
        <f t="shared" si="96"/>
        <v>1</v>
      </c>
      <c r="AA100" s="798">
        <f t="shared" si="96"/>
        <v>1</v>
      </c>
      <c r="AB100" s="798">
        <f t="shared" si="96"/>
        <v>1</v>
      </c>
      <c r="AC100" s="798">
        <f t="shared" si="96"/>
        <v>1</v>
      </c>
      <c r="AD100" s="798">
        <f t="shared" si="96"/>
        <v>1</v>
      </c>
      <c r="AE100" s="798">
        <f t="shared" si="96"/>
        <v>1</v>
      </c>
      <c r="AF100" s="798">
        <f t="shared" si="96"/>
        <v>1</v>
      </c>
      <c r="AG100" s="798">
        <f t="shared" si="96"/>
        <v>1</v>
      </c>
      <c r="AH100" s="798">
        <f t="shared" si="96"/>
        <v>1</v>
      </c>
      <c r="AI100" s="798">
        <f t="shared" si="96"/>
        <v>1</v>
      </c>
      <c r="AJ100" s="798">
        <f t="shared" si="96"/>
        <v>1</v>
      </c>
      <c r="AK100" s="798">
        <f t="shared" si="96"/>
        <v>1</v>
      </c>
      <c r="AL100" s="798">
        <f t="shared" si="96"/>
        <v>1</v>
      </c>
      <c r="AM100" s="798">
        <f t="shared" si="96"/>
        <v>1</v>
      </c>
      <c r="AN100" s="798">
        <f t="shared" si="96"/>
        <v>1</v>
      </c>
      <c r="AO100" s="798">
        <f t="shared" si="96"/>
        <v>1</v>
      </c>
      <c r="AP100" s="798">
        <f t="shared" si="96"/>
        <v>1</v>
      </c>
      <c r="AQ100" s="798">
        <f t="shared" si="96"/>
        <v>1</v>
      </c>
      <c r="AR100" s="798">
        <f t="shared" si="96"/>
        <v>1</v>
      </c>
      <c r="AS100" s="798">
        <f t="shared" si="96"/>
        <v>1</v>
      </c>
      <c r="AT100" s="798">
        <f t="shared" si="96"/>
        <v>1</v>
      </c>
      <c r="AU100" s="798">
        <f t="shared" si="96"/>
        <v>1</v>
      </c>
      <c r="AV100" s="798">
        <f t="shared" si="96"/>
        <v>1</v>
      </c>
      <c r="AW100" s="798">
        <f t="shared" si="96"/>
        <v>1</v>
      </c>
      <c r="AX100" s="798">
        <f t="shared" si="96"/>
        <v>1</v>
      </c>
      <c r="AY100" s="798">
        <f t="shared" si="96"/>
        <v>1</v>
      </c>
      <c r="AZ100" s="798">
        <f t="shared" si="96"/>
        <v>1</v>
      </c>
      <c r="BA100" s="798">
        <f t="shared" si="96"/>
        <v>1</v>
      </c>
      <c r="BB100" s="798">
        <f t="shared" si="96"/>
        <v>1</v>
      </c>
      <c r="BC100" s="798">
        <f t="shared" si="96"/>
        <v>1</v>
      </c>
      <c r="BD100" s="798">
        <f t="shared" si="96"/>
        <v>1</v>
      </c>
      <c r="BE100" s="798">
        <f t="shared" si="96"/>
        <v>1</v>
      </c>
      <c r="BF100" s="798">
        <f t="shared" si="96"/>
        <v>1</v>
      </c>
      <c r="BG100" s="798">
        <f t="shared" si="96"/>
        <v>1</v>
      </c>
      <c r="BH100" s="798">
        <f t="shared" si="96"/>
        <v>1</v>
      </c>
      <c r="BI100" s="798">
        <f t="shared" si="96"/>
        <v>1</v>
      </c>
      <c r="BJ100" s="798">
        <f t="shared" si="96"/>
        <v>1</v>
      </c>
      <c r="BK100" s="798">
        <f t="shared" si="96"/>
        <v>1</v>
      </c>
      <c r="BL100" s="765"/>
      <c r="BM100" s="817"/>
      <c r="BN100" s="817"/>
    </row>
    <row r="101" hidden="1">
      <c r="A101" s="765"/>
      <c r="B101" s="765"/>
      <c r="C101" s="765"/>
      <c r="D101" s="765"/>
      <c r="E101" s="765"/>
      <c r="F101" s="765"/>
      <c r="G101" s="765"/>
      <c r="H101" s="765"/>
      <c r="I101" s="765">
        <f t="shared" si="17"/>
        <v>90</v>
      </c>
      <c r="J101" s="763">
        <f t="shared" si="5"/>
        <v>6592162289</v>
      </c>
      <c r="K101" s="796">
        <f t="shared" si="7"/>
        <v>0.27879</v>
      </c>
      <c r="L101" s="796">
        <v>5.0E-4</v>
      </c>
      <c r="M101" s="763">
        <v>7.51671868706744E9</v>
      </c>
      <c r="N101" s="797">
        <f t="shared" si="8"/>
        <v>0</v>
      </c>
      <c r="O101" s="798">
        <f t="shared" ref="O101:BK101" si="97">FLOOR(MIN((((N("value of ELS upgrade")+N$8*($K101-$K100))*(N("Check checkbox")+(IF($G$6=TRUE,$G$7,$G$8))/$G$8))/(N("ROI of ELS and multiply by 2 if ELS is 1:1")+IF($G$12 = True, 2, 1) * $J101))/((N("difference in ELS+ and the cost of it")+(($K100*O$8)-($K100*N$8)) / O$7)),(N("MIN lets it return 0 or 1 after floored")+1)),1)</f>
        <v>0</v>
      </c>
      <c r="P101" s="798">
        <f t="shared" si="97"/>
        <v>0</v>
      </c>
      <c r="Q101" s="798">
        <f t="shared" si="97"/>
        <v>1</v>
      </c>
      <c r="R101" s="798">
        <f t="shared" si="97"/>
        <v>1</v>
      </c>
      <c r="S101" s="798">
        <f t="shared" si="97"/>
        <v>1</v>
      </c>
      <c r="T101" s="798">
        <f t="shared" si="97"/>
        <v>1</v>
      </c>
      <c r="U101" s="798">
        <f t="shared" si="97"/>
        <v>1</v>
      </c>
      <c r="V101" s="798">
        <f t="shared" si="97"/>
        <v>1</v>
      </c>
      <c r="W101" s="798">
        <f t="shared" si="97"/>
        <v>1</v>
      </c>
      <c r="X101" s="798">
        <f t="shared" si="97"/>
        <v>1</v>
      </c>
      <c r="Y101" s="798">
        <f t="shared" si="97"/>
        <v>1</v>
      </c>
      <c r="Z101" s="798">
        <f t="shared" si="97"/>
        <v>1</v>
      </c>
      <c r="AA101" s="798">
        <f t="shared" si="97"/>
        <v>1</v>
      </c>
      <c r="AB101" s="798">
        <f t="shared" si="97"/>
        <v>1</v>
      </c>
      <c r="AC101" s="798">
        <f t="shared" si="97"/>
        <v>1</v>
      </c>
      <c r="AD101" s="798">
        <f t="shared" si="97"/>
        <v>1</v>
      </c>
      <c r="AE101" s="798">
        <f t="shared" si="97"/>
        <v>1</v>
      </c>
      <c r="AF101" s="798">
        <f t="shared" si="97"/>
        <v>1</v>
      </c>
      <c r="AG101" s="798">
        <f t="shared" si="97"/>
        <v>1</v>
      </c>
      <c r="AH101" s="798">
        <f t="shared" si="97"/>
        <v>1</v>
      </c>
      <c r="AI101" s="798">
        <f t="shared" si="97"/>
        <v>1</v>
      </c>
      <c r="AJ101" s="798">
        <f t="shared" si="97"/>
        <v>1</v>
      </c>
      <c r="AK101" s="798">
        <f t="shared" si="97"/>
        <v>1</v>
      </c>
      <c r="AL101" s="798">
        <f t="shared" si="97"/>
        <v>1</v>
      </c>
      <c r="AM101" s="798">
        <f t="shared" si="97"/>
        <v>1</v>
      </c>
      <c r="AN101" s="798">
        <f t="shared" si="97"/>
        <v>1</v>
      </c>
      <c r="AO101" s="798">
        <f t="shared" si="97"/>
        <v>1</v>
      </c>
      <c r="AP101" s="798">
        <f t="shared" si="97"/>
        <v>1</v>
      </c>
      <c r="AQ101" s="798">
        <f t="shared" si="97"/>
        <v>1</v>
      </c>
      <c r="AR101" s="798">
        <f t="shared" si="97"/>
        <v>1</v>
      </c>
      <c r="AS101" s="798">
        <f t="shared" si="97"/>
        <v>1</v>
      </c>
      <c r="AT101" s="798">
        <f t="shared" si="97"/>
        <v>1</v>
      </c>
      <c r="AU101" s="798">
        <f t="shared" si="97"/>
        <v>1</v>
      </c>
      <c r="AV101" s="798">
        <f t="shared" si="97"/>
        <v>1</v>
      </c>
      <c r="AW101" s="798">
        <f t="shared" si="97"/>
        <v>1</v>
      </c>
      <c r="AX101" s="798">
        <f t="shared" si="97"/>
        <v>1</v>
      </c>
      <c r="AY101" s="798">
        <f t="shared" si="97"/>
        <v>1</v>
      </c>
      <c r="AZ101" s="798">
        <f t="shared" si="97"/>
        <v>1</v>
      </c>
      <c r="BA101" s="798">
        <f t="shared" si="97"/>
        <v>1</v>
      </c>
      <c r="BB101" s="798">
        <f t="shared" si="97"/>
        <v>1</v>
      </c>
      <c r="BC101" s="798">
        <f t="shared" si="97"/>
        <v>1</v>
      </c>
      <c r="BD101" s="798">
        <f t="shared" si="97"/>
        <v>1</v>
      </c>
      <c r="BE101" s="798">
        <f t="shared" si="97"/>
        <v>1</v>
      </c>
      <c r="BF101" s="798">
        <f t="shared" si="97"/>
        <v>1</v>
      </c>
      <c r="BG101" s="798">
        <f t="shared" si="97"/>
        <v>1</v>
      </c>
      <c r="BH101" s="798">
        <f t="shared" si="97"/>
        <v>1</v>
      </c>
      <c r="BI101" s="798">
        <f t="shared" si="97"/>
        <v>1</v>
      </c>
      <c r="BJ101" s="798">
        <f t="shared" si="97"/>
        <v>1</v>
      </c>
      <c r="BK101" s="798">
        <f t="shared" si="97"/>
        <v>1</v>
      </c>
      <c r="BL101" s="765"/>
      <c r="BM101" s="817"/>
      <c r="BN101" s="817"/>
    </row>
    <row r="102" hidden="1">
      <c r="A102" s="765"/>
      <c r="B102" s="765"/>
      <c r="C102" s="765"/>
      <c r="D102" s="765"/>
      <c r="E102" s="765"/>
      <c r="F102" s="765"/>
      <c r="G102" s="765"/>
      <c r="H102" s="765"/>
      <c r="I102" s="765">
        <f t="shared" si="17"/>
        <v>91</v>
      </c>
      <c r="J102" s="763">
        <f t="shared" si="5"/>
        <v>6654827992</v>
      </c>
      <c r="K102" s="796">
        <f t="shared" si="7"/>
        <v>0.27929</v>
      </c>
      <c r="L102" s="796">
        <v>5.0E-4</v>
      </c>
      <c r="M102" s="763">
        <v>7.58817330896968E9</v>
      </c>
      <c r="N102" s="797">
        <f t="shared" si="8"/>
        <v>0</v>
      </c>
      <c r="O102" s="798">
        <f t="shared" ref="O102:BK102" si="98">FLOOR(MIN((((N("value of ELS upgrade")+N$8*($K102-$K101))*(N("Check checkbox")+(IF($G$6=TRUE,$G$7,$G$8))/$G$8))/(N("ROI of ELS and multiply by 2 if ELS is 1:1")+IF($G$12 = True, 2, 1) * $J102))/((N("difference in ELS+ and the cost of it")+(($K101*O$8)-($K101*N$8)) / O$7)),(N("MIN lets it return 0 or 1 after floored")+1)),1)</f>
        <v>0</v>
      </c>
      <c r="P102" s="798">
        <f t="shared" si="98"/>
        <v>0</v>
      </c>
      <c r="Q102" s="798">
        <f t="shared" si="98"/>
        <v>1</v>
      </c>
      <c r="R102" s="798">
        <f t="shared" si="98"/>
        <v>1</v>
      </c>
      <c r="S102" s="798">
        <f t="shared" si="98"/>
        <v>1</v>
      </c>
      <c r="T102" s="798">
        <f t="shared" si="98"/>
        <v>1</v>
      </c>
      <c r="U102" s="798">
        <f t="shared" si="98"/>
        <v>1</v>
      </c>
      <c r="V102" s="798">
        <f t="shared" si="98"/>
        <v>1</v>
      </c>
      <c r="W102" s="798">
        <f t="shared" si="98"/>
        <v>1</v>
      </c>
      <c r="X102" s="798">
        <f t="shared" si="98"/>
        <v>1</v>
      </c>
      <c r="Y102" s="798">
        <f t="shared" si="98"/>
        <v>1</v>
      </c>
      <c r="Z102" s="798">
        <f t="shared" si="98"/>
        <v>1</v>
      </c>
      <c r="AA102" s="798">
        <f t="shared" si="98"/>
        <v>1</v>
      </c>
      <c r="AB102" s="798">
        <f t="shared" si="98"/>
        <v>1</v>
      </c>
      <c r="AC102" s="798">
        <f t="shared" si="98"/>
        <v>1</v>
      </c>
      <c r="AD102" s="798">
        <f t="shared" si="98"/>
        <v>1</v>
      </c>
      <c r="AE102" s="798">
        <f t="shared" si="98"/>
        <v>1</v>
      </c>
      <c r="AF102" s="798">
        <f t="shared" si="98"/>
        <v>1</v>
      </c>
      <c r="AG102" s="798">
        <f t="shared" si="98"/>
        <v>1</v>
      </c>
      <c r="AH102" s="798">
        <f t="shared" si="98"/>
        <v>1</v>
      </c>
      <c r="AI102" s="798">
        <f t="shared" si="98"/>
        <v>1</v>
      </c>
      <c r="AJ102" s="798">
        <f t="shared" si="98"/>
        <v>1</v>
      </c>
      <c r="AK102" s="798">
        <f t="shared" si="98"/>
        <v>1</v>
      </c>
      <c r="AL102" s="798">
        <f t="shared" si="98"/>
        <v>1</v>
      </c>
      <c r="AM102" s="798">
        <f t="shared" si="98"/>
        <v>1</v>
      </c>
      <c r="AN102" s="798">
        <f t="shared" si="98"/>
        <v>1</v>
      </c>
      <c r="AO102" s="798">
        <f t="shared" si="98"/>
        <v>1</v>
      </c>
      <c r="AP102" s="798">
        <f t="shared" si="98"/>
        <v>1</v>
      </c>
      <c r="AQ102" s="798">
        <f t="shared" si="98"/>
        <v>1</v>
      </c>
      <c r="AR102" s="798">
        <f t="shared" si="98"/>
        <v>1</v>
      </c>
      <c r="AS102" s="798">
        <f t="shared" si="98"/>
        <v>1</v>
      </c>
      <c r="AT102" s="798">
        <f t="shared" si="98"/>
        <v>1</v>
      </c>
      <c r="AU102" s="798">
        <f t="shared" si="98"/>
        <v>1</v>
      </c>
      <c r="AV102" s="798">
        <f t="shared" si="98"/>
        <v>1</v>
      </c>
      <c r="AW102" s="798">
        <f t="shared" si="98"/>
        <v>1</v>
      </c>
      <c r="AX102" s="798">
        <f t="shared" si="98"/>
        <v>1</v>
      </c>
      <c r="AY102" s="798">
        <f t="shared" si="98"/>
        <v>1</v>
      </c>
      <c r="AZ102" s="798">
        <f t="shared" si="98"/>
        <v>1</v>
      </c>
      <c r="BA102" s="798">
        <f t="shared" si="98"/>
        <v>1</v>
      </c>
      <c r="BB102" s="798">
        <f t="shared" si="98"/>
        <v>1</v>
      </c>
      <c r="BC102" s="798">
        <f t="shared" si="98"/>
        <v>1</v>
      </c>
      <c r="BD102" s="798">
        <f t="shared" si="98"/>
        <v>1</v>
      </c>
      <c r="BE102" s="798">
        <f t="shared" si="98"/>
        <v>1</v>
      </c>
      <c r="BF102" s="798">
        <f t="shared" si="98"/>
        <v>1</v>
      </c>
      <c r="BG102" s="798">
        <f t="shared" si="98"/>
        <v>1</v>
      </c>
      <c r="BH102" s="798">
        <f t="shared" si="98"/>
        <v>1</v>
      </c>
      <c r="BI102" s="798">
        <f t="shared" si="98"/>
        <v>1</v>
      </c>
      <c r="BJ102" s="798">
        <f t="shared" si="98"/>
        <v>1</v>
      </c>
      <c r="BK102" s="798">
        <f t="shared" si="98"/>
        <v>1</v>
      </c>
      <c r="BL102" s="765"/>
      <c r="BM102" s="817"/>
      <c r="BN102" s="817"/>
    </row>
    <row r="103" hidden="1">
      <c r="A103" s="765"/>
      <c r="B103" s="765"/>
      <c r="C103" s="765"/>
      <c r="D103" s="765"/>
      <c r="E103" s="765"/>
      <c r="F103" s="765"/>
      <c r="G103" s="765"/>
      <c r="H103" s="765"/>
      <c r="I103" s="765">
        <f t="shared" si="17"/>
        <v>92</v>
      </c>
      <c r="J103" s="763">
        <f t="shared" si="5"/>
        <v>6717545638</v>
      </c>
      <c r="K103" s="796">
        <f t="shared" si="7"/>
        <v>0.27979</v>
      </c>
      <c r="L103" s="796">
        <v>5.0E-4</v>
      </c>
      <c r="M103" s="763">
        <v>7.65968715813358E9</v>
      </c>
      <c r="N103" s="797">
        <f t="shared" si="8"/>
        <v>0</v>
      </c>
      <c r="O103" s="798">
        <f t="shared" ref="O103:BK103" si="99">FLOOR(MIN((((N("value of ELS upgrade")+N$8*($K103-$K102))*(N("Check checkbox")+(IF($G$6=TRUE,$G$7,$G$8))/$G$8))/(N("ROI of ELS and multiply by 2 if ELS is 1:1")+IF($G$12 = True, 2, 1) * $J103))/((N("difference in ELS+ and the cost of it")+(($K102*O$8)-($K102*N$8)) / O$7)),(N("MIN lets it return 0 or 1 after floored")+1)),1)</f>
        <v>0</v>
      </c>
      <c r="P103" s="798">
        <f t="shared" si="99"/>
        <v>0</v>
      </c>
      <c r="Q103" s="798">
        <f t="shared" si="99"/>
        <v>1</v>
      </c>
      <c r="R103" s="798">
        <f t="shared" si="99"/>
        <v>1</v>
      </c>
      <c r="S103" s="798">
        <f t="shared" si="99"/>
        <v>1</v>
      </c>
      <c r="T103" s="798">
        <f t="shared" si="99"/>
        <v>1</v>
      </c>
      <c r="U103" s="798">
        <f t="shared" si="99"/>
        <v>1</v>
      </c>
      <c r="V103" s="798">
        <f t="shared" si="99"/>
        <v>1</v>
      </c>
      <c r="W103" s="798">
        <f t="shared" si="99"/>
        <v>1</v>
      </c>
      <c r="X103" s="798">
        <f t="shared" si="99"/>
        <v>1</v>
      </c>
      <c r="Y103" s="798">
        <f t="shared" si="99"/>
        <v>1</v>
      </c>
      <c r="Z103" s="798">
        <f t="shared" si="99"/>
        <v>1</v>
      </c>
      <c r="AA103" s="798">
        <f t="shared" si="99"/>
        <v>1</v>
      </c>
      <c r="AB103" s="798">
        <f t="shared" si="99"/>
        <v>1</v>
      </c>
      <c r="AC103" s="798">
        <f t="shared" si="99"/>
        <v>1</v>
      </c>
      <c r="AD103" s="798">
        <f t="shared" si="99"/>
        <v>1</v>
      </c>
      <c r="AE103" s="798">
        <f t="shared" si="99"/>
        <v>1</v>
      </c>
      <c r="AF103" s="798">
        <f t="shared" si="99"/>
        <v>1</v>
      </c>
      <c r="AG103" s="798">
        <f t="shared" si="99"/>
        <v>1</v>
      </c>
      <c r="AH103" s="798">
        <f t="shared" si="99"/>
        <v>1</v>
      </c>
      <c r="AI103" s="798">
        <f t="shared" si="99"/>
        <v>1</v>
      </c>
      <c r="AJ103" s="798">
        <f t="shared" si="99"/>
        <v>1</v>
      </c>
      <c r="AK103" s="798">
        <f t="shared" si="99"/>
        <v>1</v>
      </c>
      <c r="AL103" s="798">
        <f t="shared" si="99"/>
        <v>1</v>
      </c>
      <c r="AM103" s="798">
        <f t="shared" si="99"/>
        <v>1</v>
      </c>
      <c r="AN103" s="798">
        <f t="shared" si="99"/>
        <v>1</v>
      </c>
      <c r="AO103" s="798">
        <f t="shared" si="99"/>
        <v>1</v>
      </c>
      <c r="AP103" s="798">
        <f t="shared" si="99"/>
        <v>1</v>
      </c>
      <c r="AQ103" s="798">
        <f t="shared" si="99"/>
        <v>1</v>
      </c>
      <c r="AR103" s="798">
        <f t="shared" si="99"/>
        <v>1</v>
      </c>
      <c r="AS103" s="798">
        <f t="shared" si="99"/>
        <v>1</v>
      </c>
      <c r="AT103" s="798">
        <f t="shared" si="99"/>
        <v>1</v>
      </c>
      <c r="AU103" s="798">
        <f t="shared" si="99"/>
        <v>1</v>
      </c>
      <c r="AV103" s="798">
        <f t="shared" si="99"/>
        <v>1</v>
      </c>
      <c r="AW103" s="798">
        <f t="shared" si="99"/>
        <v>1</v>
      </c>
      <c r="AX103" s="798">
        <f t="shared" si="99"/>
        <v>1</v>
      </c>
      <c r="AY103" s="798">
        <f t="shared" si="99"/>
        <v>1</v>
      </c>
      <c r="AZ103" s="798">
        <f t="shared" si="99"/>
        <v>1</v>
      </c>
      <c r="BA103" s="798">
        <f t="shared" si="99"/>
        <v>1</v>
      </c>
      <c r="BB103" s="798">
        <f t="shared" si="99"/>
        <v>1</v>
      </c>
      <c r="BC103" s="798">
        <f t="shared" si="99"/>
        <v>1</v>
      </c>
      <c r="BD103" s="798">
        <f t="shared" si="99"/>
        <v>1</v>
      </c>
      <c r="BE103" s="798">
        <f t="shared" si="99"/>
        <v>1</v>
      </c>
      <c r="BF103" s="798">
        <f t="shared" si="99"/>
        <v>1</v>
      </c>
      <c r="BG103" s="798">
        <f t="shared" si="99"/>
        <v>1</v>
      </c>
      <c r="BH103" s="798">
        <f t="shared" si="99"/>
        <v>1</v>
      </c>
      <c r="BI103" s="798">
        <f t="shared" si="99"/>
        <v>1</v>
      </c>
      <c r="BJ103" s="798">
        <f t="shared" si="99"/>
        <v>1</v>
      </c>
      <c r="BK103" s="798">
        <f t="shared" si="99"/>
        <v>1</v>
      </c>
      <c r="BL103" s="765"/>
      <c r="BM103" s="817"/>
      <c r="BN103" s="817"/>
    </row>
    <row r="104" hidden="1">
      <c r="A104" s="765"/>
      <c r="B104" s="765"/>
      <c r="C104" s="765"/>
      <c r="D104" s="765"/>
      <c r="E104" s="765"/>
      <c r="F104" s="765"/>
      <c r="G104" s="765"/>
      <c r="H104" s="765"/>
      <c r="I104" s="765">
        <f t="shared" si="17"/>
        <v>93</v>
      </c>
      <c r="J104" s="763">
        <f t="shared" si="5"/>
        <v>6780316000</v>
      </c>
      <c r="K104" s="796">
        <f t="shared" si="7"/>
        <v>0.28029</v>
      </c>
      <c r="L104" s="796">
        <v>5.0E-4</v>
      </c>
      <c r="M104" s="763">
        <v>7.73126111706309E9</v>
      </c>
      <c r="N104" s="797">
        <f t="shared" si="8"/>
        <v>0</v>
      </c>
      <c r="O104" s="798">
        <f t="shared" ref="O104:BK104" si="100">FLOOR(MIN((((N("value of ELS upgrade")+N$8*($K104-$K103))*(N("Check checkbox")+(IF($G$6=TRUE,$G$7,$G$8))/$G$8))/(N("ROI of ELS and multiply by 2 if ELS is 1:1")+IF($G$12 = True, 2, 1) * $J104))/((N("difference in ELS+ and the cost of it")+(($K103*O$8)-($K103*N$8)) / O$7)),(N("MIN lets it return 0 or 1 after floored")+1)),1)</f>
        <v>0</v>
      </c>
      <c r="P104" s="798">
        <f t="shared" si="100"/>
        <v>0</v>
      </c>
      <c r="Q104" s="798">
        <f t="shared" si="100"/>
        <v>1</v>
      </c>
      <c r="R104" s="798">
        <f t="shared" si="100"/>
        <v>1</v>
      </c>
      <c r="S104" s="798">
        <f t="shared" si="100"/>
        <v>1</v>
      </c>
      <c r="T104" s="798">
        <f t="shared" si="100"/>
        <v>1</v>
      </c>
      <c r="U104" s="798">
        <f t="shared" si="100"/>
        <v>1</v>
      </c>
      <c r="V104" s="798">
        <f t="shared" si="100"/>
        <v>1</v>
      </c>
      <c r="W104" s="798">
        <f t="shared" si="100"/>
        <v>1</v>
      </c>
      <c r="X104" s="798">
        <f t="shared" si="100"/>
        <v>1</v>
      </c>
      <c r="Y104" s="798">
        <f t="shared" si="100"/>
        <v>1</v>
      </c>
      <c r="Z104" s="798">
        <f t="shared" si="100"/>
        <v>1</v>
      </c>
      <c r="AA104" s="798">
        <f t="shared" si="100"/>
        <v>1</v>
      </c>
      <c r="AB104" s="798">
        <f t="shared" si="100"/>
        <v>1</v>
      </c>
      <c r="AC104" s="798">
        <f t="shared" si="100"/>
        <v>1</v>
      </c>
      <c r="AD104" s="798">
        <f t="shared" si="100"/>
        <v>1</v>
      </c>
      <c r="AE104" s="798">
        <f t="shared" si="100"/>
        <v>1</v>
      </c>
      <c r="AF104" s="798">
        <f t="shared" si="100"/>
        <v>1</v>
      </c>
      <c r="AG104" s="798">
        <f t="shared" si="100"/>
        <v>1</v>
      </c>
      <c r="AH104" s="798">
        <f t="shared" si="100"/>
        <v>1</v>
      </c>
      <c r="AI104" s="798">
        <f t="shared" si="100"/>
        <v>1</v>
      </c>
      <c r="AJ104" s="798">
        <f t="shared" si="100"/>
        <v>1</v>
      </c>
      <c r="AK104" s="798">
        <f t="shared" si="100"/>
        <v>1</v>
      </c>
      <c r="AL104" s="798">
        <f t="shared" si="100"/>
        <v>1</v>
      </c>
      <c r="AM104" s="798">
        <f t="shared" si="100"/>
        <v>1</v>
      </c>
      <c r="AN104" s="798">
        <f t="shared" si="100"/>
        <v>1</v>
      </c>
      <c r="AO104" s="798">
        <f t="shared" si="100"/>
        <v>1</v>
      </c>
      <c r="AP104" s="798">
        <f t="shared" si="100"/>
        <v>1</v>
      </c>
      <c r="AQ104" s="798">
        <f t="shared" si="100"/>
        <v>1</v>
      </c>
      <c r="AR104" s="798">
        <f t="shared" si="100"/>
        <v>1</v>
      </c>
      <c r="AS104" s="798">
        <f t="shared" si="100"/>
        <v>1</v>
      </c>
      <c r="AT104" s="798">
        <f t="shared" si="100"/>
        <v>1</v>
      </c>
      <c r="AU104" s="798">
        <f t="shared" si="100"/>
        <v>1</v>
      </c>
      <c r="AV104" s="798">
        <f t="shared" si="100"/>
        <v>1</v>
      </c>
      <c r="AW104" s="798">
        <f t="shared" si="100"/>
        <v>1</v>
      </c>
      <c r="AX104" s="798">
        <f t="shared" si="100"/>
        <v>1</v>
      </c>
      <c r="AY104" s="798">
        <f t="shared" si="100"/>
        <v>1</v>
      </c>
      <c r="AZ104" s="798">
        <f t="shared" si="100"/>
        <v>1</v>
      </c>
      <c r="BA104" s="798">
        <f t="shared" si="100"/>
        <v>1</v>
      </c>
      <c r="BB104" s="798">
        <f t="shared" si="100"/>
        <v>1</v>
      </c>
      <c r="BC104" s="798">
        <f t="shared" si="100"/>
        <v>1</v>
      </c>
      <c r="BD104" s="798">
        <f t="shared" si="100"/>
        <v>1</v>
      </c>
      <c r="BE104" s="798">
        <f t="shared" si="100"/>
        <v>1</v>
      </c>
      <c r="BF104" s="798">
        <f t="shared" si="100"/>
        <v>1</v>
      </c>
      <c r="BG104" s="798">
        <f t="shared" si="100"/>
        <v>1</v>
      </c>
      <c r="BH104" s="798">
        <f t="shared" si="100"/>
        <v>1</v>
      </c>
      <c r="BI104" s="798">
        <f t="shared" si="100"/>
        <v>1</v>
      </c>
      <c r="BJ104" s="798">
        <f t="shared" si="100"/>
        <v>1</v>
      </c>
      <c r="BK104" s="798">
        <f t="shared" si="100"/>
        <v>1</v>
      </c>
      <c r="BL104" s="765"/>
      <c r="BM104" s="817"/>
      <c r="BN104" s="817"/>
    </row>
    <row r="105" hidden="1">
      <c r="A105" s="765"/>
      <c r="B105" s="765"/>
      <c r="C105" s="765"/>
      <c r="D105" s="765"/>
      <c r="E105" s="765"/>
      <c r="F105" s="765"/>
      <c r="G105" s="765"/>
      <c r="H105" s="765"/>
      <c r="I105" s="765">
        <f t="shared" si="17"/>
        <v>94</v>
      </c>
      <c r="J105" s="763">
        <f t="shared" si="5"/>
        <v>6843139867</v>
      </c>
      <c r="K105" s="796">
        <f t="shared" si="7"/>
        <v>0.28079</v>
      </c>
      <c r="L105" s="796">
        <v>5.0E-4</v>
      </c>
      <c r="M105" s="763">
        <v>7.80289608556612E9</v>
      </c>
      <c r="N105" s="797">
        <f t="shared" si="8"/>
        <v>0</v>
      </c>
      <c r="O105" s="798">
        <f t="shared" ref="O105:BK105" si="101">FLOOR(MIN((((N("value of ELS upgrade")+N$8*($K105-$K104))*(N("Check checkbox")+(IF($G$6=TRUE,$G$7,$G$8))/$G$8))/(N("ROI of ELS and multiply by 2 if ELS is 1:1")+IF($G$12 = True, 2, 1) * $J105))/((N("difference in ELS+ and the cost of it")+(($K104*O$8)-($K104*N$8)) / O$7)),(N("MIN lets it return 0 or 1 after floored")+1)),1)</f>
        <v>0</v>
      </c>
      <c r="P105" s="798">
        <f t="shared" si="101"/>
        <v>0</v>
      </c>
      <c r="Q105" s="798">
        <f t="shared" si="101"/>
        <v>1</v>
      </c>
      <c r="R105" s="798">
        <f t="shared" si="101"/>
        <v>1</v>
      </c>
      <c r="S105" s="798">
        <f t="shared" si="101"/>
        <v>1</v>
      </c>
      <c r="T105" s="798">
        <f t="shared" si="101"/>
        <v>1</v>
      </c>
      <c r="U105" s="798">
        <f t="shared" si="101"/>
        <v>1</v>
      </c>
      <c r="V105" s="798">
        <f t="shared" si="101"/>
        <v>1</v>
      </c>
      <c r="W105" s="798">
        <f t="shared" si="101"/>
        <v>1</v>
      </c>
      <c r="X105" s="798">
        <f t="shared" si="101"/>
        <v>1</v>
      </c>
      <c r="Y105" s="798">
        <f t="shared" si="101"/>
        <v>1</v>
      </c>
      <c r="Z105" s="798">
        <f t="shared" si="101"/>
        <v>1</v>
      </c>
      <c r="AA105" s="798">
        <f t="shared" si="101"/>
        <v>1</v>
      </c>
      <c r="AB105" s="798">
        <f t="shared" si="101"/>
        <v>1</v>
      </c>
      <c r="AC105" s="798">
        <f t="shared" si="101"/>
        <v>1</v>
      </c>
      <c r="AD105" s="798">
        <f t="shared" si="101"/>
        <v>1</v>
      </c>
      <c r="AE105" s="798">
        <f t="shared" si="101"/>
        <v>1</v>
      </c>
      <c r="AF105" s="798">
        <f t="shared" si="101"/>
        <v>1</v>
      </c>
      <c r="AG105" s="798">
        <f t="shared" si="101"/>
        <v>1</v>
      </c>
      <c r="AH105" s="798">
        <f t="shared" si="101"/>
        <v>1</v>
      </c>
      <c r="AI105" s="798">
        <f t="shared" si="101"/>
        <v>1</v>
      </c>
      <c r="AJ105" s="798">
        <f t="shared" si="101"/>
        <v>1</v>
      </c>
      <c r="AK105" s="798">
        <f t="shared" si="101"/>
        <v>1</v>
      </c>
      <c r="AL105" s="798">
        <f t="shared" si="101"/>
        <v>1</v>
      </c>
      <c r="AM105" s="798">
        <f t="shared" si="101"/>
        <v>1</v>
      </c>
      <c r="AN105" s="798">
        <f t="shared" si="101"/>
        <v>1</v>
      </c>
      <c r="AO105" s="798">
        <f t="shared" si="101"/>
        <v>1</v>
      </c>
      <c r="AP105" s="798">
        <f t="shared" si="101"/>
        <v>1</v>
      </c>
      <c r="AQ105" s="798">
        <f t="shared" si="101"/>
        <v>1</v>
      </c>
      <c r="AR105" s="798">
        <f t="shared" si="101"/>
        <v>1</v>
      </c>
      <c r="AS105" s="798">
        <f t="shared" si="101"/>
        <v>1</v>
      </c>
      <c r="AT105" s="798">
        <f t="shared" si="101"/>
        <v>1</v>
      </c>
      <c r="AU105" s="798">
        <f t="shared" si="101"/>
        <v>1</v>
      </c>
      <c r="AV105" s="798">
        <f t="shared" si="101"/>
        <v>1</v>
      </c>
      <c r="AW105" s="798">
        <f t="shared" si="101"/>
        <v>1</v>
      </c>
      <c r="AX105" s="798">
        <f t="shared" si="101"/>
        <v>1</v>
      </c>
      <c r="AY105" s="798">
        <f t="shared" si="101"/>
        <v>1</v>
      </c>
      <c r="AZ105" s="798">
        <f t="shared" si="101"/>
        <v>1</v>
      </c>
      <c r="BA105" s="798">
        <f t="shared" si="101"/>
        <v>1</v>
      </c>
      <c r="BB105" s="798">
        <f t="shared" si="101"/>
        <v>1</v>
      </c>
      <c r="BC105" s="798">
        <f t="shared" si="101"/>
        <v>1</v>
      </c>
      <c r="BD105" s="798">
        <f t="shared" si="101"/>
        <v>1</v>
      </c>
      <c r="BE105" s="798">
        <f t="shared" si="101"/>
        <v>1</v>
      </c>
      <c r="BF105" s="798">
        <f t="shared" si="101"/>
        <v>1</v>
      </c>
      <c r="BG105" s="798">
        <f t="shared" si="101"/>
        <v>1</v>
      </c>
      <c r="BH105" s="798">
        <f t="shared" si="101"/>
        <v>1</v>
      </c>
      <c r="BI105" s="798">
        <f t="shared" si="101"/>
        <v>1</v>
      </c>
      <c r="BJ105" s="798">
        <f t="shared" si="101"/>
        <v>1</v>
      </c>
      <c r="BK105" s="798">
        <f t="shared" si="101"/>
        <v>1</v>
      </c>
      <c r="BL105" s="765"/>
      <c r="BM105" s="817"/>
      <c r="BN105" s="817"/>
    </row>
    <row r="106" hidden="1">
      <c r="A106" s="765"/>
      <c r="B106" s="765"/>
      <c r="C106" s="765"/>
      <c r="D106" s="765"/>
      <c r="E106" s="765"/>
      <c r="F106" s="765"/>
      <c r="G106" s="765"/>
      <c r="H106" s="765"/>
      <c r="I106" s="765">
        <f t="shared" si="17"/>
        <v>95</v>
      </c>
      <c r="J106" s="763">
        <f t="shared" si="5"/>
        <v>6906018021</v>
      </c>
      <c r="K106" s="796">
        <f t="shared" si="7"/>
        <v>0.28129</v>
      </c>
      <c r="L106" s="796">
        <v>5.0E-4</v>
      </c>
      <c r="M106" s="763">
        <v>7.87459295479863E9</v>
      </c>
      <c r="N106" s="797">
        <f t="shared" si="8"/>
        <v>0</v>
      </c>
      <c r="O106" s="798">
        <f t="shared" ref="O106:BK106" si="102">FLOOR(MIN((((N("value of ELS upgrade")+N$8*($K106-$K105))*(N("Check checkbox")+(IF($G$6=TRUE,$G$7,$G$8))/$G$8))/(N("ROI of ELS and multiply by 2 if ELS is 1:1")+IF($G$12 = True, 2, 1) * $J106))/((N("difference in ELS+ and the cost of it")+(($K105*O$8)-($K105*N$8)) / O$7)),(N("MIN lets it return 0 or 1 after floored")+1)),1)</f>
        <v>0</v>
      </c>
      <c r="P106" s="798">
        <f t="shared" si="102"/>
        <v>0</v>
      </c>
      <c r="Q106" s="798">
        <f t="shared" si="102"/>
        <v>1</v>
      </c>
      <c r="R106" s="798">
        <f t="shared" si="102"/>
        <v>1</v>
      </c>
      <c r="S106" s="798">
        <f t="shared" si="102"/>
        <v>1</v>
      </c>
      <c r="T106" s="798">
        <f t="shared" si="102"/>
        <v>1</v>
      </c>
      <c r="U106" s="798">
        <f t="shared" si="102"/>
        <v>1</v>
      </c>
      <c r="V106" s="798">
        <f t="shared" si="102"/>
        <v>1</v>
      </c>
      <c r="W106" s="798">
        <f t="shared" si="102"/>
        <v>1</v>
      </c>
      <c r="X106" s="798">
        <f t="shared" si="102"/>
        <v>1</v>
      </c>
      <c r="Y106" s="798">
        <f t="shared" si="102"/>
        <v>1</v>
      </c>
      <c r="Z106" s="798">
        <f t="shared" si="102"/>
        <v>1</v>
      </c>
      <c r="AA106" s="798">
        <f t="shared" si="102"/>
        <v>1</v>
      </c>
      <c r="AB106" s="798">
        <f t="shared" si="102"/>
        <v>1</v>
      </c>
      <c r="AC106" s="798">
        <f t="shared" si="102"/>
        <v>1</v>
      </c>
      <c r="AD106" s="798">
        <f t="shared" si="102"/>
        <v>1</v>
      </c>
      <c r="AE106" s="798">
        <f t="shared" si="102"/>
        <v>1</v>
      </c>
      <c r="AF106" s="798">
        <f t="shared" si="102"/>
        <v>1</v>
      </c>
      <c r="AG106" s="798">
        <f t="shared" si="102"/>
        <v>1</v>
      </c>
      <c r="AH106" s="798">
        <f t="shared" si="102"/>
        <v>1</v>
      </c>
      <c r="AI106" s="798">
        <f t="shared" si="102"/>
        <v>1</v>
      </c>
      <c r="AJ106" s="798">
        <f t="shared" si="102"/>
        <v>1</v>
      </c>
      <c r="AK106" s="798">
        <f t="shared" si="102"/>
        <v>1</v>
      </c>
      <c r="AL106" s="798">
        <f t="shared" si="102"/>
        <v>1</v>
      </c>
      <c r="AM106" s="798">
        <f t="shared" si="102"/>
        <v>1</v>
      </c>
      <c r="AN106" s="798">
        <f t="shared" si="102"/>
        <v>1</v>
      </c>
      <c r="AO106" s="798">
        <f t="shared" si="102"/>
        <v>1</v>
      </c>
      <c r="AP106" s="798">
        <f t="shared" si="102"/>
        <v>1</v>
      </c>
      <c r="AQ106" s="798">
        <f t="shared" si="102"/>
        <v>1</v>
      </c>
      <c r="AR106" s="798">
        <f t="shared" si="102"/>
        <v>1</v>
      </c>
      <c r="AS106" s="798">
        <f t="shared" si="102"/>
        <v>1</v>
      </c>
      <c r="AT106" s="798">
        <f t="shared" si="102"/>
        <v>1</v>
      </c>
      <c r="AU106" s="798">
        <f t="shared" si="102"/>
        <v>1</v>
      </c>
      <c r="AV106" s="798">
        <f t="shared" si="102"/>
        <v>1</v>
      </c>
      <c r="AW106" s="798">
        <f t="shared" si="102"/>
        <v>1</v>
      </c>
      <c r="AX106" s="798">
        <f t="shared" si="102"/>
        <v>1</v>
      </c>
      <c r="AY106" s="798">
        <f t="shared" si="102"/>
        <v>1</v>
      </c>
      <c r="AZ106" s="798">
        <f t="shared" si="102"/>
        <v>1</v>
      </c>
      <c r="BA106" s="798">
        <f t="shared" si="102"/>
        <v>1</v>
      </c>
      <c r="BB106" s="798">
        <f t="shared" si="102"/>
        <v>1</v>
      </c>
      <c r="BC106" s="798">
        <f t="shared" si="102"/>
        <v>1</v>
      </c>
      <c r="BD106" s="798">
        <f t="shared" si="102"/>
        <v>1</v>
      </c>
      <c r="BE106" s="798">
        <f t="shared" si="102"/>
        <v>1</v>
      </c>
      <c r="BF106" s="798">
        <f t="shared" si="102"/>
        <v>1</v>
      </c>
      <c r="BG106" s="798">
        <f t="shared" si="102"/>
        <v>1</v>
      </c>
      <c r="BH106" s="798">
        <f t="shared" si="102"/>
        <v>1</v>
      </c>
      <c r="BI106" s="798">
        <f t="shared" si="102"/>
        <v>1</v>
      </c>
      <c r="BJ106" s="798">
        <f t="shared" si="102"/>
        <v>1</v>
      </c>
      <c r="BK106" s="798">
        <f t="shared" si="102"/>
        <v>1</v>
      </c>
      <c r="BL106" s="765"/>
      <c r="BM106" s="817"/>
      <c r="BN106" s="817"/>
    </row>
    <row r="107" hidden="1">
      <c r="A107" s="765"/>
      <c r="B107" s="765"/>
      <c r="C107" s="765"/>
      <c r="D107" s="765"/>
      <c r="E107" s="765"/>
      <c r="F107" s="765"/>
      <c r="G107" s="765"/>
      <c r="H107" s="765"/>
      <c r="I107" s="765">
        <f t="shared" si="17"/>
        <v>96</v>
      </c>
      <c r="J107" s="763">
        <f t="shared" si="5"/>
        <v>6968951256</v>
      </c>
      <c r="K107" s="796">
        <f t="shared" si="7"/>
        <v>0.28179</v>
      </c>
      <c r="L107" s="796">
        <v>5.0E-4</v>
      </c>
      <c r="M107" s="763">
        <v>7.94635262889454E9</v>
      </c>
      <c r="N107" s="797">
        <f t="shared" si="8"/>
        <v>0</v>
      </c>
      <c r="O107" s="798">
        <f t="shared" ref="O107:BK107" si="103">FLOOR(MIN((((N("value of ELS upgrade")+N$8*($K107-$K106))*(N("Check checkbox")+(IF($G$6=TRUE,$G$7,$G$8))/$G$8))/(N("ROI of ELS and multiply by 2 if ELS is 1:1")+IF($G$12 = True, 2, 1) * $J107))/((N("difference in ELS+ and the cost of it")+(($K106*O$8)-($K106*N$8)) / O$7)),(N("MIN lets it return 0 or 1 after floored")+1)),1)</f>
        <v>0</v>
      </c>
      <c r="P107" s="798">
        <f t="shared" si="103"/>
        <v>0</v>
      </c>
      <c r="Q107" s="798">
        <f t="shared" si="103"/>
        <v>1</v>
      </c>
      <c r="R107" s="798">
        <f t="shared" si="103"/>
        <v>1</v>
      </c>
      <c r="S107" s="798">
        <f t="shared" si="103"/>
        <v>1</v>
      </c>
      <c r="T107" s="798">
        <f t="shared" si="103"/>
        <v>1</v>
      </c>
      <c r="U107" s="798">
        <f t="shared" si="103"/>
        <v>1</v>
      </c>
      <c r="V107" s="798">
        <f t="shared" si="103"/>
        <v>1</v>
      </c>
      <c r="W107" s="798">
        <f t="shared" si="103"/>
        <v>1</v>
      </c>
      <c r="X107" s="798">
        <f t="shared" si="103"/>
        <v>1</v>
      </c>
      <c r="Y107" s="798">
        <f t="shared" si="103"/>
        <v>1</v>
      </c>
      <c r="Z107" s="798">
        <f t="shared" si="103"/>
        <v>1</v>
      </c>
      <c r="AA107" s="798">
        <f t="shared" si="103"/>
        <v>1</v>
      </c>
      <c r="AB107" s="798">
        <f t="shared" si="103"/>
        <v>1</v>
      </c>
      <c r="AC107" s="798">
        <f t="shared" si="103"/>
        <v>1</v>
      </c>
      <c r="AD107" s="798">
        <f t="shared" si="103"/>
        <v>1</v>
      </c>
      <c r="AE107" s="798">
        <f t="shared" si="103"/>
        <v>1</v>
      </c>
      <c r="AF107" s="798">
        <f t="shared" si="103"/>
        <v>1</v>
      </c>
      <c r="AG107" s="798">
        <f t="shared" si="103"/>
        <v>1</v>
      </c>
      <c r="AH107" s="798">
        <f t="shared" si="103"/>
        <v>1</v>
      </c>
      <c r="AI107" s="798">
        <f t="shared" si="103"/>
        <v>1</v>
      </c>
      <c r="AJ107" s="798">
        <f t="shared" si="103"/>
        <v>1</v>
      </c>
      <c r="AK107" s="798">
        <f t="shared" si="103"/>
        <v>1</v>
      </c>
      <c r="AL107" s="798">
        <f t="shared" si="103"/>
        <v>1</v>
      </c>
      <c r="AM107" s="798">
        <f t="shared" si="103"/>
        <v>1</v>
      </c>
      <c r="AN107" s="798">
        <f t="shared" si="103"/>
        <v>1</v>
      </c>
      <c r="AO107" s="798">
        <f t="shared" si="103"/>
        <v>1</v>
      </c>
      <c r="AP107" s="798">
        <f t="shared" si="103"/>
        <v>1</v>
      </c>
      <c r="AQ107" s="798">
        <f t="shared" si="103"/>
        <v>1</v>
      </c>
      <c r="AR107" s="798">
        <f t="shared" si="103"/>
        <v>1</v>
      </c>
      <c r="AS107" s="798">
        <f t="shared" si="103"/>
        <v>1</v>
      </c>
      <c r="AT107" s="798">
        <f t="shared" si="103"/>
        <v>1</v>
      </c>
      <c r="AU107" s="798">
        <f t="shared" si="103"/>
        <v>1</v>
      </c>
      <c r="AV107" s="798">
        <f t="shared" si="103"/>
        <v>1</v>
      </c>
      <c r="AW107" s="798">
        <f t="shared" si="103"/>
        <v>1</v>
      </c>
      <c r="AX107" s="798">
        <f t="shared" si="103"/>
        <v>1</v>
      </c>
      <c r="AY107" s="798">
        <f t="shared" si="103"/>
        <v>1</v>
      </c>
      <c r="AZ107" s="798">
        <f t="shared" si="103"/>
        <v>1</v>
      </c>
      <c r="BA107" s="798">
        <f t="shared" si="103"/>
        <v>1</v>
      </c>
      <c r="BB107" s="798">
        <f t="shared" si="103"/>
        <v>1</v>
      </c>
      <c r="BC107" s="798">
        <f t="shared" si="103"/>
        <v>1</v>
      </c>
      <c r="BD107" s="798">
        <f t="shared" si="103"/>
        <v>1</v>
      </c>
      <c r="BE107" s="798">
        <f t="shared" si="103"/>
        <v>1</v>
      </c>
      <c r="BF107" s="798">
        <f t="shared" si="103"/>
        <v>1</v>
      </c>
      <c r="BG107" s="798">
        <f t="shared" si="103"/>
        <v>1</v>
      </c>
      <c r="BH107" s="798">
        <f t="shared" si="103"/>
        <v>1</v>
      </c>
      <c r="BI107" s="798">
        <f t="shared" si="103"/>
        <v>1</v>
      </c>
      <c r="BJ107" s="798">
        <f t="shared" si="103"/>
        <v>1</v>
      </c>
      <c r="BK107" s="798">
        <f t="shared" si="103"/>
        <v>1</v>
      </c>
      <c r="BL107" s="765"/>
      <c r="BM107" s="817"/>
      <c r="BN107" s="817"/>
    </row>
    <row r="108" hidden="1">
      <c r="A108" s="765"/>
      <c r="B108" s="765"/>
      <c r="C108" s="765"/>
      <c r="D108" s="765"/>
      <c r="E108" s="765"/>
      <c r="F108" s="765"/>
      <c r="G108" s="765"/>
      <c r="H108" s="765"/>
      <c r="I108" s="765">
        <f t="shared" si="17"/>
        <v>97</v>
      </c>
      <c r="J108" s="763">
        <f t="shared" si="5"/>
        <v>7031940359</v>
      </c>
      <c r="K108" s="796">
        <f t="shared" si="7"/>
        <v>0.28229</v>
      </c>
      <c r="L108" s="796">
        <v>5.0E-4</v>
      </c>
      <c r="M108" s="763">
        <v>8.01817600766179E9</v>
      </c>
      <c r="N108" s="797">
        <f t="shared" si="8"/>
        <v>0</v>
      </c>
      <c r="O108" s="798">
        <f t="shared" ref="O108:BK108" si="104">FLOOR(MIN((((N("value of ELS upgrade")+N$8*($K108-$K107))*(N("Check checkbox")+(IF($G$6=TRUE,$G$7,$G$8))/$G$8))/(N("ROI of ELS and multiply by 2 if ELS is 1:1")+IF($G$12 = True, 2, 1) * $J108))/((N("difference in ELS+ and the cost of it")+(($K107*O$8)-($K107*N$8)) / O$7)),(N("MIN lets it return 0 or 1 after floored")+1)),1)</f>
        <v>0</v>
      </c>
      <c r="P108" s="798">
        <f t="shared" si="104"/>
        <v>0</v>
      </c>
      <c r="Q108" s="798">
        <f t="shared" si="104"/>
        <v>1</v>
      </c>
      <c r="R108" s="798">
        <f t="shared" si="104"/>
        <v>1</v>
      </c>
      <c r="S108" s="798">
        <f t="shared" si="104"/>
        <v>1</v>
      </c>
      <c r="T108" s="798">
        <f t="shared" si="104"/>
        <v>1</v>
      </c>
      <c r="U108" s="798">
        <f t="shared" si="104"/>
        <v>1</v>
      </c>
      <c r="V108" s="798">
        <f t="shared" si="104"/>
        <v>1</v>
      </c>
      <c r="W108" s="798">
        <f t="shared" si="104"/>
        <v>1</v>
      </c>
      <c r="X108" s="798">
        <f t="shared" si="104"/>
        <v>1</v>
      </c>
      <c r="Y108" s="798">
        <f t="shared" si="104"/>
        <v>1</v>
      </c>
      <c r="Z108" s="798">
        <f t="shared" si="104"/>
        <v>1</v>
      </c>
      <c r="AA108" s="798">
        <f t="shared" si="104"/>
        <v>1</v>
      </c>
      <c r="AB108" s="798">
        <f t="shared" si="104"/>
        <v>1</v>
      </c>
      <c r="AC108" s="798">
        <f t="shared" si="104"/>
        <v>1</v>
      </c>
      <c r="AD108" s="798">
        <f t="shared" si="104"/>
        <v>1</v>
      </c>
      <c r="AE108" s="798">
        <f t="shared" si="104"/>
        <v>1</v>
      </c>
      <c r="AF108" s="798">
        <f t="shared" si="104"/>
        <v>1</v>
      </c>
      <c r="AG108" s="798">
        <f t="shared" si="104"/>
        <v>1</v>
      </c>
      <c r="AH108" s="798">
        <f t="shared" si="104"/>
        <v>1</v>
      </c>
      <c r="AI108" s="798">
        <f t="shared" si="104"/>
        <v>1</v>
      </c>
      <c r="AJ108" s="798">
        <f t="shared" si="104"/>
        <v>1</v>
      </c>
      <c r="AK108" s="798">
        <f t="shared" si="104"/>
        <v>1</v>
      </c>
      <c r="AL108" s="798">
        <f t="shared" si="104"/>
        <v>1</v>
      </c>
      <c r="AM108" s="798">
        <f t="shared" si="104"/>
        <v>1</v>
      </c>
      <c r="AN108" s="798">
        <f t="shared" si="104"/>
        <v>1</v>
      </c>
      <c r="AO108" s="798">
        <f t="shared" si="104"/>
        <v>1</v>
      </c>
      <c r="AP108" s="798">
        <f t="shared" si="104"/>
        <v>1</v>
      </c>
      <c r="AQ108" s="798">
        <f t="shared" si="104"/>
        <v>1</v>
      </c>
      <c r="AR108" s="798">
        <f t="shared" si="104"/>
        <v>1</v>
      </c>
      <c r="AS108" s="798">
        <f t="shared" si="104"/>
        <v>1</v>
      </c>
      <c r="AT108" s="798">
        <f t="shared" si="104"/>
        <v>1</v>
      </c>
      <c r="AU108" s="798">
        <f t="shared" si="104"/>
        <v>1</v>
      </c>
      <c r="AV108" s="798">
        <f t="shared" si="104"/>
        <v>1</v>
      </c>
      <c r="AW108" s="798">
        <f t="shared" si="104"/>
        <v>1</v>
      </c>
      <c r="AX108" s="798">
        <f t="shared" si="104"/>
        <v>1</v>
      </c>
      <c r="AY108" s="798">
        <f t="shared" si="104"/>
        <v>1</v>
      </c>
      <c r="AZ108" s="798">
        <f t="shared" si="104"/>
        <v>1</v>
      </c>
      <c r="BA108" s="798">
        <f t="shared" si="104"/>
        <v>1</v>
      </c>
      <c r="BB108" s="798">
        <f t="shared" si="104"/>
        <v>1</v>
      </c>
      <c r="BC108" s="798">
        <f t="shared" si="104"/>
        <v>1</v>
      </c>
      <c r="BD108" s="798">
        <f t="shared" si="104"/>
        <v>1</v>
      </c>
      <c r="BE108" s="798">
        <f t="shared" si="104"/>
        <v>1</v>
      </c>
      <c r="BF108" s="798">
        <f t="shared" si="104"/>
        <v>1</v>
      </c>
      <c r="BG108" s="798">
        <f t="shared" si="104"/>
        <v>1</v>
      </c>
      <c r="BH108" s="798">
        <f t="shared" si="104"/>
        <v>1</v>
      </c>
      <c r="BI108" s="798">
        <f t="shared" si="104"/>
        <v>1</v>
      </c>
      <c r="BJ108" s="798">
        <f t="shared" si="104"/>
        <v>1</v>
      </c>
      <c r="BK108" s="798">
        <f t="shared" si="104"/>
        <v>1</v>
      </c>
      <c r="BL108" s="765"/>
      <c r="BM108" s="817"/>
      <c r="BN108" s="817"/>
    </row>
    <row r="109" hidden="1">
      <c r="A109" s="765"/>
      <c r="B109" s="765"/>
      <c r="C109" s="765"/>
      <c r="D109" s="765"/>
      <c r="E109" s="765"/>
      <c r="F109" s="765"/>
      <c r="G109" s="765"/>
      <c r="H109" s="765"/>
      <c r="I109" s="765">
        <f t="shared" si="17"/>
        <v>98</v>
      </c>
      <c r="J109" s="763">
        <f t="shared" si="5"/>
        <v>7094986135</v>
      </c>
      <c r="K109" s="796">
        <f t="shared" si="7"/>
        <v>0.28279</v>
      </c>
      <c r="L109" s="796">
        <v>5.0E-4</v>
      </c>
      <c r="M109" s="763">
        <v>8.09006400821231E9</v>
      </c>
      <c r="N109" s="797">
        <f t="shared" si="8"/>
        <v>0</v>
      </c>
      <c r="O109" s="798">
        <f t="shared" ref="O109:BK109" si="105">FLOOR(MIN((((N("value of ELS upgrade")+N$8*($K109-$K108))*(N("Check checkbox")+(IF($G$6=TRUE,$G$7,$G$8))/$G$8))/(N("ROI of ELS and multiply by 2 if ELS is 1:1")+IF($G$12 = True, 2, 1) * $J109))/((N("difference in ELS+ and the cost of it")+(($K108*O$8)-($K108*N$8)) / O$7)),(N("MIN lets it return 0 or 1 after floored")+1)),1)</f>
        <v>0</v>
      </c>
      <c r="P109" s="798">
        <f t="shared" si="105"/>
        <v>0</v>
      </c>
      <c r="Q109" s="798">
        <f t="shared" si="105"/>
        <v>1</v>
      </c>
      <c r="R109" s="798">
        <f t="shared" si="105"/>
        <v>1</v>
      </c>
      <c r="S109" s="798">
        <f t="shared" si="105"/>
        <v>1</v>
      </c>
      <c r="T109" s="798">
        <f t="shared" si="105"/>
        <v>1</v>
      </c>
      <c r="U109" s="798">
        <f t="shared" si="105"/>
        <v>1</v>
      </c>
      <c r="V109" s="798">
        <f t="shared" si="105"/>
        <v>1</v>
      </c>
      <c r="W109" s="798">
        <f t="shared" si="105"/>
        <v>1</v>
      </c>
      <c r="X109" s="798">
        <f t="shared" si="105"/>
        <v>1</v>
      </c>
      <c r="Y109" s="798">
        <f t="shared" si="105"/>
        <v>1</v>
      </c>
      <c r="Z109" s="798">
        <f t="shared" si="105"/>
        <v>1</v>
      </c>
      <c r="AA109" s="798">
        <f t="shared" si="105"/>
        <v>1</v>
      </c>
      <c r="AB109" s="798">
        <f t="shared" si="105"/>
        <v>1</v>
      </c>
      <c r="AC109" s="798">
        <f t="shared" si="105"/>
        <v>1</v>
      </c>
      <c r="AD109" s="798">
        <f t="shared" si="105"/>
        <v>1</v>
      </c>
      <c r="AE109" s="798">
        <f t="shared" si="105"/>
        <v>1</v>
      </c>
      <c r="AF109" s="798">
        <f t="shared" si="105"/>
        <v>1</v>
      </c>
      <c r="AG109" s="798">
        <f t="shared" si="105"/>
        <v>1</v>
      </c>
      <c r="AH109" s="798">
        <f t="shared" si="105"/>
        <v>1</v>
      </c>
      <c r="AI109" s="798">
        <f t="shared" si="105"/>
        <v>1</v>
      </c>
      <c r="AJ109" s="798">
        <f t="shared" si="105"/>
        <v>1</v>
      </c>
      <c r="AK109" s="798">
        <f t="shared" si="105"/>
        <v>1</v>
      </c>
      <c r="AL109" s="798">
        <f t="shared" si="105"/>
        <v>1</v>
      </c>
      <c r="AM109" s="798">
        <f t="shared" si="105"/>
        <v>1</v>
      </c>
      <c r="AN109" s="798">
        <f t="shared" si="105"/>
        <v>1</v>
      </c>
      <c r="AO109" s="798">
        <f t="shared" si="105"/>
        <v>1</v>
      </c>
      <c r="AP109" s="798">
        <f t="shared" si="105"/>
        <v>1</v>
      </c>
      <c r="AQ109" s="798">
        <f t="shared" si="105"/>
        <v>1</v>
      </c>
      <c r="AR109" s="798">
        <f t="shared" si="105"/>
        <v>1</v>
      </c>
      <c r="AS109" s="798">
        <f t="shared" si="105"/>
        <v>1</v>
      </c>
      <c r="AT109" s="798">
        <f t="shared" si="105"/>
        <v>1</v>
      </c>
      <c r="AU109" s="798">
        <f t="shared" si="105"/>
        <v>1</v>
      </c>
      <c r="AV109" s="798">
        <f t="shared" si="105"/>
        <v>1</v>
      </c>
      <c r="AW109" s="798">
        <f t="shared" si="105"/>
        <v>1</v>
      </c>
      <c r="AX109" s="798">
        <f t="shared" si="105"/>
        <v>1</v>
      </c>
      <c r="AY109" s="798">
        <f t="shared" si="105"/>
        <v>1</v>
      </c>
      <c r="AZ109" s="798">
        <f t="shared" si="105"/>
        <v>1</v>
      </c>
      <c r="BA109" s="798">
        <f t="shared" si="105"/>
        <v>1</v>
      </c>
      <c r="BB109" s="798">
        <f t="shared" si="105"/>
        <v>1</v>
      </c>
      <c r="BC109" s="798">
        <f t="shared" si="105"/>
        <v>1</v>
      </c>
      <c r="BD109" s="798">
        <f t="shared" si="105"/>
        <v>1</v>
      </c>
      <c r="BE109" s="798">
        <f t="shared" si="105"/>
        <v>1</v>
      </c>
      <c r="BF109" s="798">
        <f t="shared" si="105"/>
        <v>1</v>
      </c>
      <c r="BG109" s="798">
        <f t="shared" si="105"/>
        <v>1</v>
      </c>
      <c r="BH109" s="798">
        <f t="shared" si="105"/>
        <v>1</v>
      </c>
      <c r="BI109" s="798">
        <f t="shared" si="105"/>
        <v>1</v>
      </c>
      <c r="BJ109" s="798">
        <f t="shared" si="105"/>
        <v>1</v>
      </c>
      <c r="BK109" s="798">
        <f t="shared" si="105"/>
        <v>1</v>
      </c>
      <c r="BL109" s="765"/>
      <c r="BM109" s="817"/>
      <c r="BN109" s="817"/>
    </row>
    <row r="110" hidden="1">
      <c r="A110" s="765"/>
      <c r="B110" s="765"/>
      <c r="C110" s="765"/>
      <c r="D110" s="765"/>
      <c r="E110" s="765"/>
      <c r="F110" s="765"/>
      <c r="G110" s="765"/>
      <c r="H110" s="765"/>
      <c r="I110" s="765">
        <f t="shared" si="17"/>
        <v>99</v>
      </c>
      <c r="J110" s="763">
        <f t="shared" si="5"/>
        <v>7158089367</v>
      </c>
      <c r="K110" s="796">
        <f t="shared" si="7"/>
        <v>0.28329</v>
      </c>
      <c r="L110" s="796">
        <v>5.0E-4</v>
      </c>
      <c r="M110" s="763">
        <v>8.16201752170203E9</v>
      </c>
      <c r="N110" s="797">
        <f t="shared" si="8"/>
        <v>0</v>
      </c>
      <c r="O110" s="798">
        <f t="shared" ref="O110:BK110" si="106">FLOOR(MIN((((N("value of ELS upgrade")+N$8*($K110-$K109))*(N("Check checkbox")+(IF($G$6=TRUE,$G$7,$G$8))/$G$8))/(N("ROI of ELS and multiply by 2 if ELS is 1:1")+IF($G$12 = True, 2, 1) * $J110))/((N("difference in ELS+ and the cost of it")+(($K109*O$8)-($K109*N$8)) / O$7)),(N("MIN lets it return 0 or 1 after floored")+1)),1)</f>
        <v>0</v>
      </c>
      <c r="P110" s="798">
        <f t="shared" si="106"/>
        <v>0</v>
      </c>
      <c r="Q110" s="798">
        <f t="shared" si="106"/>
        <v>1</v>
      </c>
      <c r="R110" s="798">
        <f t="shared" si="106"/>
        <v>1</v>
      </c>
      <c r="S110" s="798">
        <f t="shared" si="106"/>
        <v>1</v>
      </c>
      <c r="T110" s="798">
        <f t="shared" si="106"/>
        <v>1</v>
      </c>
      <c r="U110" s="798">
        <f t="shared" si="106"/>
        <v>1</v>
      </c>
      <c r="V110" s="798">
        <f t="shared" si="106"/>
        <v>1</v>
      </c>
      <c r="W110" s="798">
        <f t="shared" si="106"/>
        <v>1</v>
      </c>
      <c r="X110" s="798">
        <f t="shared" si="106"/>
        <v>1</v>
      </c>
      <c r="Y110" s="798">
        <f t="shared" si="106"/>
        <v>1</v>
      </c>
      <c r="Z110" s="798">
        <f t="shared" si="106"/>
        <v>1</v>
      </c>
      <c r="AA110" s="798">
        <f t="shared" si="106"/>
        <v>1</v>
      </c>
      <c r="AB110" s="798">
        <f t="shared" si="106"/>
        <v>1</v>
      </c>
      <c r="AC110" s="798">
        <f t="shared" si="106"/>
        <v>1</v>
      </c>
      <c r="AD110" s="798">
        <f t="shared" si="106"/>
        <v>1</v>
      </c>
      <c r="AE110" s="798">
        <f t="shared" si="106"/>
        <v>1</v>
      </c>
      <c r="AF110" s="798">
        <f t="shared" si="106"/>
        <v>1</v>
      </c>
      <c r="AG110" s="798">
        <f t="shared" si="106"/>
        <v>1</v>
      </c>
      <c r="AH110" s="798">
        <f t="shared" si="106"/>
        <v>1</v>
      </c>
      <c r="AI110" s="798">
        <f t="shared" si="106"/>
        <v>1</v>
      </c>
      <c r="AJ110" s="798">
        <f t="shared" si="106"/>
        <v>1</v>
      </c>
      <c r="AK110" s="798">
        <f t="shared" si="106"/>
        <v>1</v>
      </c>
      <c r="AL110" s="798">
        <f t="shared" si="106"/>
        <v>1</v>
      </c>
      <c r="AM110" s="798">
        <f t="shared" si="106"/>
        <v>1</v>
      </c>
      <c r="AN110" s="798">
        <f t="shared" si="106"/>
        <v>1</v>
      </c>
      <c r="AO110" s="798">
        <f t="shared" si="106"/>
        <v>1</v>
      </c>
      <c r="AP110" s="798">
        <f t="shared" si="106"/>
        <v>1</v>
      </c>
      <c r="AQ110" s="798">
        <f t="shared" si="106"/>
        <v>1</v>
      </c>
      <c r="AR110" s="798">
        <f t="shared" si="106"/>
        <v>1</v>
      </c>
      <c r="AS110" s="798">
        <f t="shared" si="106"/>
        <v>1</v>
      </c>
      <c r="AT110" s="798">
        <f t="shared" si="106"/>
        <v>1</v>
      </c>
      <c r="AU110" s="798">
        <f t="shared" si="106"/>
        <v>1</v>
      </c>
      <c r="AV110" s="798">
        <f t="shared" si="106"/>
        <v>1</v>
      </c>
      <c r="AW110" s="798">
        <f t="shared" si="106"/>
        <v>1</v>
      </c>
      <c r="AX110" s="798">
        <f t="shared" si="106"/>
        <v>1</v>
      </c>
      <c r="AY110" s="798">
        <f t="shared" si="106"/>
        <v>1</v>
      </c>
      <c r="AZ110" s="798">
        <f t="shared" si="106"/>
        <v>1</v>
      </c>
      <c r="BA110" s="798">
        <f t="shared" si="106"/>
        <v>1</v>
      </c>
      <c r="BB110" s="798">
        <f t="shared" si="106"/>
        <v>1</v>
      </c>
      <c r="BC110" s="798">
        <f t="shared" si="106"/>
        <v>1</v>
      </c>
      <c r="BD110" s="798">
        <f t="shared" si="106"/>
        <v>1</v>
      </c>
      <c r="BE110" s="798">
        <f t="shared" si="106"/>
        <v>1</v>
      </c>
      <c r="BF110" s="798">
        <f t="shared" si="106"/>
        <v>1</v>
      </c>
      <c r="BG110" s="798">
        <f t="shared" si="106"/>
        <v>1</v>
      </c>
      <c r="BH110" s="798">
        <f t="shared" si="106"/>
        <v>1</v>
      </c>
      <c r="BI110" s="798">
        <f t="shared" si="106"/>
        <v>1</v>
      </c>
      <c r="BJ110" s="798">
        <f t="shared" si="106"/>
        <v>1</v>
      </c>
      <c r="BK110" s="798">
        <f t="shared" si="106"/>
        <v>1</v>
      </c>
      <c r="BL110" s="765"/>
      <c r="BM110" s="817"/>
      <c r="BN110" s="817"/>
    </row>
    <row r="111" hidden="1">
      <c r="A111" s="765"/>
      <c r="B111" s="765"/>
      <c r="C111" s="765"/>
      <c r="D111" s="765"/>
      <c r="E111" s="765"/>
      <c r="F111" s="765"/>
      <c r="G111" s="765"/>
      <c r="H111" s="765"/>
      <c r="I111" s="765">
        <f t="shared" si="17"/>
        <v>100</v>
      </c>
      <c r="J111" s="763">
        <f t="shared" si="5"/>
        <v>7221250872</v>
      </c>
      <c r="K111" s="796">
        <f t="shared" si="7"/>
        <v>0.28379</v>
      </c>
      <c r="L111" s="796">
        <v>5.0E-4</v>
      </c>
      <c r="M111" s="763">
        <v>8.23403748254689E9</v>
      </c>
      <c r="N111" s="797">
        <f t="shared" si="8"/>
        <v>0</v>
      </c>
      <c r="O111" s="798">
        <f t="shared" ref="O111:BK111" si="107">FLOOR(MIN((((N("value of ELS upgrade")+N$8*($K111-$K110))*(N("Check checkbox")+(IF($G$6=TRUE,$G$7,$G$8))/$G$8))/(N("ROI of ELS and multiply by 2 if ELS is 1:1")+IF($G$12 = True, 2, 1) * $J111))/((N("difference in ELS+ and the cost of it")+(($K110*O$8)-($K110*N$8)) / O$7)),(N("MIN lets it return 0 or 1 after floored")+1)),1)</f>
        <v>0</v>
      </c>
      <c r="P111" s="798">
        <f t="shared" si="107"/>
        <v>0</v>
      </c>
      <c r="Q111" s="798">
        <f t="shared" si="107"/>
        <v>1</v>
      </c>
      <c r="R111" s="798">
        <f t="shared" si="107"/>
        <v>1</v>
      </c>
      <c r="S111" s="798">
        <f t="shared" si="107"/>
        <v>1</v>
      </c>
      <c r="T111" s="798">
        <f t="shared" si="107"/>
        <v>1</v>
      </c>
      <c r="U111" s="798">
        <f t="shared" si="107"/>
        <v>1</v>
      </c>
      <c r="V111" s="798">
        <f t="shared" si="107"/>
        <v>1</v>
      </c>
      <c r="W111" s="798">
        <f t="shared" si="107"/>
        <v>1</v>
      </c>
      <c r="X111" s="798">
        <f t="shared" si="107"/>
        <v>1</v>
      </c>
      <c r="Y111" s="798">
        <f t="shared" si="107"/>
        <v>1</v>
      </c>
      <c r="Z111" s="798">
        <f t="shared" si="107"/>
        <v>1</v>
      </c>
      <c r="AA111" s="798">
        <f t="shared" si="107"/>
        <v>1</v>
      </c>
      <c r="AB111" s="798">
        <f t="shared" si="107"/>
        <v>1</v>
      </c>
      <c r="AC111" s="798">
        <f t="shared" si="107"/>
        <v>1</v>
      </c>
      <c r="AD111" s="798">
        <f t="shared" si="107"/>
        <v>1</v>
      </c>
      <c r="AE111" s="798">
        <f t="shared" si="107"/>
        <v>1</v>
      </c>
      <c r="AF111" s="798">
        <f t="shared" si="107"/>
        <v>1</v>
      </c>
      <c r="AG111" s="798">
        <f t="shared" si="107"/>
        <v>1</v>
      </c>
      <c r="AH111" s="798">
        <f t="shared" si="107"/>
        <v>1</v>
      </c>
      <c r="AI111" s="798">
        <f t="shared" si="107"/>
        <v>1</v>
      </c>
      <c r="AJ111" s="798">
        <f t="shared" si="107"/>
        <v>1</v>
      </c>
      <c r="AK111" s="798">
        <f t="shared" si="107"/>
        <v>1</v>
      </c>
      <c r="AL111" s="798">
        <f t="shared" si="107"/>
        <v>1</v>
      </c>
      <c r="AM111" s="798">
        <f t="shared" si="107"/>
        <v>1</v>
      </c>
      <c r="AN111" s="798">
        <f t="shared" si="107"/>
        <v>1</v>
      </c>
      <c r="AO111" s="798">
        <f t="shared" si="107"/>
        <v>1</v>
      </c>
      <c r="AP111" s="798">
        <f t="shared" si="107"/>
        <v>1</v>
      </c>
      <c r="AQ111" s="798">
        <f t="shared" si="107"/>
        <v>1</v>
      </c>
      <c r="AR111" s="798">
        <f t="shared" si="107"/>
        <v>1</v>
      </c>
      <c r="AS111" s="798">
        <f t="shared" si="107"/>
        <v>1</v>
      </c>
      <c r="AT111" s="798">
        <f t="shared" si="107"/>
        <v>1</v>
      </c>
      <c r="AU111" s="798">
        <f t="shared" si="107"/>
        <v>1</v>
      </c>
      <c r="AV111" s="798">
        <f t="shared" si="107"/>
        <v>1</v>
      </c>
      <c r="AW111" s="798">
        <f t="shared" si="107"/>
        <v>1</v>
      </c>
      <c r="AX111" s="798">
        <f t="shared" si="107"/>
        <v>1</v>
      </c>
      <c r="AY111" s="798">
        <f t="shared" si="107"/>
        <v>1</v>
      </c>
      <c r="AZ111" s="798">
        <f t="shared" si="107"/>
        <v>1</v>
      </c>
      <c r="BA111" s="798">
        <f t="shared" si="107"/>
        <v>1</v>
      </c>
      <c r="BB111" s="798">
        <f t="shared" si="107"/>
        <v>1</v>
      </c>
      <c r="BC111" s="798">
        <f t="shared" si="107"/>
        <v>1</v>
      </c>
      <c r="BD111" s="798">
        <f t="shared" si="107"/>
        <v>1</v>
      </c>
      <c r="BE111" s="798">
        <f t="shared" si="107"/>
        <v>1</v>
      </c>
      <c r="BF111" s="798">
        <f t="shared" si="107"/>
        <v>1</v>
      </c>
      <c r="BG111" s="798">
        <f t="shared" si="107"/>
        <v>1</v>
      </c>
      <c r="BH111" s="798">
        <f t="shared" si="107"/>
        <v>1</v>
      </c>
      <c r="BI111" s="798">
        <f t="shared" si="107"/>
        <v>1</v>
      </c>
      <c r="BJ111" s="798">
        <f t="shared" si="107"/>
        <v>1</v>
      </c>
      <c r="BK111" s="798">
        <f t="shared" si="107"/>
        <v>1</v>
      </c>
      <c r="BL111" s="765"/>
      <c r="BM111" s="817"/>
      <c r="BN111" s="817"/>
    </row>
    <row r="112" hidden="1">
      <c r="A112" s="765"/>
      <c r="B112" s="765"/>
      <c r="C112" s="765"/>
      <c r="D112" s="765"/>
      <c r="E112" s="765"/>
      <c r="F112" s="765"/>
      <c r="G112" s="765"/>
      <c r="H112" s="765"/>
      <c r="I112" s="765">
        <f t="shared" si="17"/>
        <v>101</v>
      </c>
      <c r="J112" s="763">
        <f t="shared" si="5"/>
        <v>7867229469</v>
      </c>
      <c r="K112" s="796">
        <f t="shared" si="7"/>
        <v>0.28429</v>
      </c>
      <c r="L112" s="796">
        <v>5.0E-4</v>
      </c>
      <c r="M112" s="763">
        <v>8.97061513025941E9</v>
      </c>
      <c r="N112" s="797">
        <f t="shared" si="8"/>
        <v>0</v>
      </c>
      <c r="O112" s="798">
        <f t="shared" ref="O112:BK112" si="108">FLOOR(MIN((((N("value of ELS upgrade")+N$8*($K112-$K111))*(N("Check checkbox")+(IF($G$6=TRUE,$G$7,$G$8))/$G$8))/(N("ROI of ELS and multiply by 2 if ELS is 1:1")+IF($G$12 = True, 2, 1) * $J112))/((N("difference in ELS+ and the cost of it")+(($K111*O$8)-($K111*N$8)) / O$7)),(N("MIN lets it return 0 or 1 after floored")+1)),1)</f>
        <v>0</v>
      </c>
      <c r="P112" s="798">
        <f t="shared" si="108"/>
        <v>0</v>
      </c>
      <c r="Q112" s="798">
        <f t="shared" si="108"/>
        <v>1</v>
      </c>
      <c r="R112" s="798">
        <f t="shared" si="108"/>
        <v>1</v>
      </c>
      <c r="S112" s="798">
        <f t="shared" si="108"/>
        <v>1</v>
      </c>
      <c r="T112" s="798">
        <f t="shared" si="108"/>
        <v>1</v>
      </c>
      <c r="U112" s="798">
        <f t="shared" si="108"/>
        <v>1</v>
      </c>
      <c r="V112" s="798">
        <f t="shared" si="108"/>
        <v>1</v>
      </c>
      <c r="W112" s="798">
        <f t="shared" si="108"/>
        <v>1</v>
      </c>
      <c r="X112" s="798">
        <f t="shared" si="108"/>
        <v>1</v>
      </c>
      <c r="Y112" s="798">
        <f t="shared" si="108"/>
        <v>1</v>
      </c>
      <c r="Z112" s="798">
        <f t="shared" si="108"/>
        <v>1</v>
      </c>
      <c r="AA112" s="798">
        <f t="shared" si="108"/>
        <v>1</v>
      </c>
      <c r="AB112" s="798">
        <f t="shared" si="108"/>
        <v>1</v>
      </c>
      <c r="AC112" s="798">
        <f t="shared" si="108"/>
        <v>1</v>
      </c>
      <c r="AD112" s="798">
        <f t="shared" si="108"/>
        <v>1</v>
      </c>
      <c r="AE112" s="798">
        <f t="shared" si="108"/>
        <v>1</v>
      </c>
      <c r="AF112" s="798">
        <f t="shared" si="108"/>
        <v>1</v>
      </c>
      <c r="AG112" s="798">
        <f t="shared" si="108"/>
        <v>1</v>
      </c>
      <c r="AH112" s="798">
        <f t="shared" si="108"/>
        <v>1</v>
      </c>
      <c r="AI112" s="798">
        <f t="shared" si="108"/>
        <v>1</v>
      </c>
      <c r="AJ112" s="798">
        <f t="shared" si="108"/>
        <v>1</v>
      </c>
      <c r="AK112" s="798">
        <f t="shared" si="108"/>
        <v>1</v>
      </c>
      <c r="AL112" s="798">
        <f t="shared" si="108"/>
        <v>1</v>
      </c>
      <c r="AM112" s="798">
        <f t="shared" si="108"/>
        <v>1</v>
      </c>
      <c r="AN112" s="798">
        <f t="shared" si="108"/>
        <v>1</v>
      </c>
      <c r="AO112" s="798">
        <f t="shared" si="108"/>
        <v>1</v>
      </c>
      <c r="AP112" s="798">
        <f t="shared" si="108"/>
        <v>1</v>
      </c>
      <c r="AQ112" s="798">
        <f t="shared" si="108"/>
        <v>1</v>
      </c>
      <c r="AR112" s="798">
        <f t="shared" si="108"/>
        <v>1</v>
      </c>
      <c r="AS112" s="798">
        <f t="shared" si="108"/>
        <v>1</v>
      </c>
      <c r="AT112" s="798">
        <f t="shared" si="108"/>
        <v>1</v>
      </c>
      <c r="AU112" s="798">
        <f t="shared" si="108"/>
        <v>1</v>
      </c>
      <c r="AV112" s="798">
        <f t="shared" si="108"/>
        <v>1</v>
      </c>
      <c r="AW112" s="798">
        <f t="shared" si="108"/>
        <v>1</v>
      </c>
      <c r="AX112" s="798">
        <f t="shared" si="108"/>
        <v>1</v>
      </c>
      <c r="AY112" s="798">
        <f t="shared" si="108"/>
        <v>1</v>
      </c>
      <c r="AZ112" s="798">
        <f t="shared" si="108"/>
        <v>1</v>
      </c>
      <c r="BA112" s="798">
        <f t="shared" si="108"/>
        <v>1</v>
      </c>
      <c r="BB112" s="798">
        <f t="shared" si="108"/>
        <v>1</v>
      </c>
      <c r="BC112" s="798">
        <f t="shared" si="108"/>
        <v>1</v>
      </c>
      <c r="BD112" s="798">
        <f t="shared" si="108"/>
        <v>1</v>
      </c>
      <c r="BE112" s="798">
        <f t="shared" si="108"/>
        <v>1</v>
      </c>
      <c r="BF112" s="798">
        <f t="shared" si="108"/>
        <v>1</v>
      </c>
      <c r="BG112" s="798">
        <f t="shared" si="108"/>
        <v>1</v>
      </c>
      <c r="BH112" s="798">
        <f t="shared" si="108"/>
        <v>1</v>
      </c>
      <c r="BI112" s="798">
        <f t="shared" si="108"/>
        <v>1</v>
      </c>
      <c r="BJ112" s="798">
        <f t="shared" si="108"/>
        <v>1</v>
      </c>
      <c r="BK112" s="798">
        <f t="shared" si="108"/>
        <v>1</v>
      </c>
      <c r="BL112" s="765"/>
      <c r="BM112" s="817"/>
      <c r="BN112" s="817"/>
    </row>
    <row r="113" hidden="1">
      <c r="A113" s="765"/>
      <c r="B113" s="765"/>
      <c r="C113" s="765"/>
      <c r="D113" s="765"/>
      <c r="E113" s="765"/>
      <c r="F113" s="765"/>
      <c r="G113" s="765"/>
      <c r="H113" s="765"/>
      <c r="I113" s="765">
        <f t="shared" si="17"/>
        <v>102</v>
      </c>
      <c r="J113" s="763">
        <f t="shared" si="5"/>
        <v>7935572360</v>
      </c>
      <c r="K113" s="796">
        <f t="shared" si="7"/>
        <v>0.28479</v>
      </c>
      <c r="L113" s="796">
        <v>5.0E-4</v>
      </c>
      <c r="M113" s="763">
        <v>9.04854317010988E9</v>
      </c>
      <c r="N113" s="797">
        <f t="shared" si="8"/>
        <v>0</v>
      </c>
      <c r="O113" s="798">
        <f t="shared" ref="O113:BK113" si="109">FLOOR(MIN((((N("value of ELS upgrade")+N$8*($K113-$K112))*(N("Check checkbox")+(IF($G$6=TRUE,$G$7,$G$8))/$G$8))/(N("ROI of ELS and multiply by 2 if ELS is 1:1")+IF($G$12 = True, 2, 1) * $J113))/((N("difference in ELS+ and the cost of it")+(($K112*O$8)-($K112*N$8)) / O$7)),(N("MIN lets it return 0 or 1 after floored")+1)),1)</f>
        <v>0</v>
      </c>
      <c r="P113" s="798">
        <f t="shared" si="109"/>
        <v>0</v>
      </c>
      <c r="Q113" s="798">
        <f t="shared" si="109"/>
        <v>1</v>
      </c>
      <c r="R113" s="798">
        <f t="shared" si="109"/>
        <v>1</v>
      </c>
      <c r="S113" s="798">
        <f t="shared" si="109"/>
        <v>1</v>
      </c>
      <c r="T113" s="798">
        <f t="shared" si="109"/>
        <v>1</v>
      </c>
      <c r="U113" s="798">
        <f t="shared" si="109"/>
        <v>1</v>
      </c>
      <c r="V113" s="798">
        <f t="shared" si="109"/>
        <v>1</v>
      </c>
      <c r="W113" s="798">
        <f t="shared" si="109"/>
        <v>1</v>
      </c>
      <c r="X113" s="798">
        <f t="shared" si="109"/>
        <v>1</v>
      </c>
      <c r="Y113" s="798">
        <f t="shared" si="109"/>
        <v>1</v>
      </c>
      <c r="Z113" s="798">
        <f t="shared" si="109"/>
        <v>1</v>
      </c>
      <c r="AA113" s="798">
        <f t="shared" si="109"/>
        <v>1</v>
      </c>
      <c r="AB113" s="798">
        <f t="shared" si="109"/>
        <v>1</v>
      </c>
      <c r="AC113" s="798">
        <f t="shared" si="109"/>
        <v>1</v>
      </c>
      <c r="AD113" s="798">
        <f t="shared" si="109"/>
        <v>1</v>
      </c>
      <c r="AE113" s="798">
        <f t="shared" si="109"/>
        <v>1</v>
      </c>
      <c r="AF113" s="798">
        <f t="shared" si="109"/>
        <v>1</v>
      </c>
      <c r="AG113" s="798">
        <f t="shared" si="109"/>
        <v>1</v>
      </c>
      <c r="AH113" s="798">
        <f t="shared" si="109"/>
        <v>1</v>
      </c>
      <c r="AI113" s="798">
        <f t="shared" si="109"/>
        <v>1</v>
      </c>
      <c r="AJ113" s="798">
        <f t="shared" si="109"/>
        <v>1</v>
      </c>
      <c r="AK113" s="798">
        <f t="shared" si="109"/>
        <v>1</v>
      </c>
      <c r="AL113" s="798">
        <f t="shared" si="109"/>
        <v>1</v>
      </c>
      <c r="AM113" s="798">
        <f t="shared" si="109"/>
        <v>1</v>
      </c>
      <c r="AN113" s="798">
        <f t="shared" si="109"/>
        <v>1</v>
      </c>
      <c r="AO113" s="798">
        <f t="shared" si="109"/>
        <v>1</v>
      </c>
      <c r="AP113" s="798">
        <f t="shared" si="109"/>
        <v>1</v>
      </c>
      <c r="AQ113" s="798">
        <f t="shared" si="109"/>
        <v>1</v>
      </c>
      <c r="AR113" s="798">
        <f t="shared" si="109"/>
        <v>1</v>
      </c>
      <c r="AS113" s="798">
        <f t="shared" si="109"/>
        <v>1</v>
      </c>
      <c r="AT113" s="798">
        <f t="shared" si="109"/>
        <v>1</v>
      </c>
      <c r="AU113" s="798">
        <f t="shared" si="109"/>
        <v>1</v>
      </c>
      <c r="AV113" s="798">
        <f t="shared" si="109"/>
        <v>1</v>
      </c>
      <c r="AW113" s="798">
        <f t="shared" si="109"/>
        <v>1</v>
      </c>
      <c r="AX113" s="798">
        <f t="shared" si="109"/>
        <v>1</v>
      </c>
      <c r="AY113" s="798">
        <f t="shared" si="109"/>
        <v>1</v>
      </c>
      <c r="AZ113" s="798">
        <f t="shared" si="109"/>
        <v>1</v>
      </c>
      <c r="BA113" s="798">
        <f t="shared" si="109"/>
        <v>1</v>
      </c>
      <c r="BB113" s="798">
        <f t="shared" si="109"/>
        <v>1</v>
      </c>
      <c r="BC113" s="798">
        <f t="shared" si="109"/>
        <v>1</v>
      </c>
      <c r="BD113" s="798">
        <f t="shared" si="109"/>
        <v>1</v>
      </c>
      <c r="BE113" s="798">
        <f t="shared" si="109"/>
        <v>1</v>
      </c>
      <c r="BF113" s="798">
        <f t="shared" si="109"/>
        <v>1</v>
      </c>
      <c r="BG113" s="798">
        <f t="shared" si="109"/>
        <v>1</v>
      </c>
      <c r="BH113" s="798">
        <f t="shared" si="109"/>
        <v>1</v>
      </c>
      <c r="BI113" s="798">
        <f t="shared" si="109"/>
        <v>1</v>
      </c>
      <c r="BJ113" s="798">
        <f t="shared" si="109"/>
        <v>1</v>
      </c>
      <c r="BK113" s="798">
        <f t="shared" si="109"/>
        <v>1</v>
      </c>
      <c r="BL113" s="765"/>
      <c r="BM113" s="817"/>
      <c r="BN113" s="817"/>
    </row>
    <row r="114" hidden="1">
      <c r="A114" s="765"/>
      <c r="B114" s="765"/>
      <c r="C114" s="765"/>
      <c r="D114" s="765"/>
      <c r="E114" s="765"/>
      <c r="F114" s="765"/>
      <c r="G114" s="765"/>
      <c r="H114" s="765"/>
      <c r="I114" s="765">
        <f t="shared" si="17"/>
        <v>103</v>
      </c>
      <c r="J114" s="763">
        <f t="shared" si="5"/>
        <v>8003980793</v>
      </c>
      <c r="K114" s="796">
        <f t="shared" si="7"/>
        <v>0.28529</v>
      </c>
      <c r="L114" s="796">
        <v>5.0E-4</v>
      </c>
      <c r="M114" s="763">
        <v>9.12654594454953E9</v>
      </c>
      <c r="N114" s="797">
        <f t="shared" si="8"/>
        <v>0</v>
      </c>
      <c r="O114" s="798">
        <f t="shared" ref="O114:BK114" si="110">FLOOR(MIN((((N("value of ELS upgrade")+N$8*($K114-$K113))*(N("Check checkbox")+(IF($G$6=TRUE,$G$7,$G$8))/$G$8))/(N("ROI of ELS and multiply by 2 if ELS is 1:1")+IF($G$12 = True, 2, 1) * $J114))/((N("difference in ELS+ and the cost of it")+(($K113*O$8)-($K113*N$8)) / O$7)),(N("MIN lets it return 0 or 1 after floored")+1)),1)</f>
        <v>0</v>
      </c>
      <c r="P114" s="798">
        <f t="shared" si="110"/>
        <v>0</v>
      </c>
      <c r="Q114" s="798">
        <f t="shared" si="110"/>
        <v>1</v>
      </c>
      <c r="R114" s="798">
        <f t="shared" si="110"/>
        <v>1</v>
      </c>
      <c r="S114" s="798">
        <f t="shared" si="110"/>
        <v>1</v>
      </c>
      <c r="T114" s="798">
        <f t="shared" si="110"/>
        <v>1</v>
      </c>
      <c r="U114" s="798">
        <f t="shared" si="110"/>
        <v>1</v>
      </c>
      <c r="V114" s="798">
        <f t="shared" si="110"/>
        <v>1</v>
      </c>
      <c r="W114" s="798">
        <f t="shared" si="110"/>
        <v>1</v>
      </c>
      <c r="X114" s="798">
        <f t="shared" si="110"/>
        <v>1</v>
      </c>
      <c r="Y114" s="798">
        <f t="shared" si="110"/>
        <v>1</v>
      </c>
      <c r="Z114" s="798">
        <f t="shared" si="110"/>
        <v>1</v>
      </c>
      <c r="AA114" s="798">
        <f t="shared" si="110"/>
        <v>1</v>
      </c>
      <c r="AB114" s="798">
        <f t="shared" si="110"/>
        <v>1</v>
      </c>
      <c r="AC114" s="798">
        <f t="shared" si="110"/>
        <v>1</v>
      </c>
      <c r="AD114" s="798">
        <f t="shared" si="110"/>
        <v>1</v>
      </c>
      <c r="AE114" s="798">
        <f t="shared" si="110"/>
        <v>1</v>
      </c>
      <c r="AF114" s="798">
        <f t="shared" si="110"/>
        <v>1</v>
      </c>
      <c r="AG114" s="798">
        <f t="shared" si="110"/>
        <v>1</v>
      </c>
      <c r="AH114" s="798">
        <f t="shared" si="110"/>
        <v>1</v>
      </c>
      <c r="AI114" s="798">
        <f t="shared" si="110"/>
        <v>1</v>
      </c>
      <c r="AJ114" s="798">
        <f t="shared" si="110"/>
        <v>1</v>
      </c>
      <c r="AK114" s="798">
        <f t="shared" si="110"/>
        <v>1</v>
      </c>
      <c r="AL114" s="798">
        <f t="shared" si="110"/>
        <v>1</v>
      </c>
      <c r="AM114" s="798">
        <f t="shared" si="110"/>
        <v>1</v>
      </c>
      <c r="AN114" s="798">
        <f t="shared" si="110"/>
        <v>1</v>
      </c>
      <c r="AO114" s="798">
        <f t="shared" si="110"/>
        <v>1</v>
      </c>
      <c r="AP114" s="798">
        <f t="shared" si="110"/>
        <v>1</v>
      </c>
      <c r="AQ114" s="798">
        <f t="shared" si="110"/>
        <v>1</v>
      </c>
      <c r="AR114" s="798">
        <f t="shared" si="110"/>
        <v>1</v>
      </c>
      <c r="AS114" s="798">
        <f t="shared" si="110"/>
        <v>1</v>
      </c>
      <c r="AT114" s="798">
        <f t="shared" si="110"/>
        <v>1</v>
      </c>
      <c r="AU114" s="798">
        <f t="shared" si="110"/>
        <v>1</v>
      </c>
      <c r="AV114" s="798">
        <f t="shared" si="110"/>
        <v>1</v>
      </c>
      <c r="AW114" s="798">
        <f t="shared" si="110"/>
        <v>1</v>
      </c>
      <c r="AX114" s="798">
        <f t="shared" si="110"/>
        <v>1</v>
      </c>
      <c r="AY114" s="798">
        <f t="shared" si="110"/>
        <v>1</v>
      </c>
      <c r="AZ114" s="798">
        <f t="shared" si="110"/>
        <v>1</v>
      </c>
      <c r="BA114" s="798">
        <f t="shared" si="110"/>
        <v>1</v>
      </c>
      <c r="BB114" s="798">
        <f t="shared" si="110"/>
        <v>1</v>
      </c>
      <c r="BC114" s="798">
        <f t="shared" si="110"/>
        <v>1</v>
      </c>
      <c r="BD114" s="798">
        <f t="shared" si="110"/>
        <v>1</v>
      </c>
      <c r="BE114" s="798">
        <f t="shared" si="110"/>
        <v>1</v>
      </c>
      <c r="BF114" s="798">
        <f t="shared" si="110"/>
        <v>1</v>
      </c>
      <c r="BG114" s="798">
        <f t="shared" si="110"/>
        <v>1</v>
      </c>
      <c r="BH114" s="798">
        <f t="shared" si="110"/>
        <v>1</v>
      </c>
      <c r="BI114" s="798">
        <f t="shared" si="110"/>
        <v>1</v>
      </c>
      <c r="BJ114" s="798">
        <f t="shared" si="110"/>
        <v>1</v>
      </c>
      <c r="BK114" s="798">
        <f t="shared" si="110"/>
        <v>1</v>
      </c>
      <c r="BL114" s="765"/>
      <c r="BM114" s="817"/>
      <c r="BN114" s="817"/>
    </row>
    <row r="115" hidden="1">
      <c r="A115" s="765"/>
      <c r="B115" s="765"/>
      <c r="C115" s="765"/>
      <c r="D115" s="765"/>
      <c r="E115" s="765"/>
      <c r="F115" s="765"/>
      <c r="G115" s="765"/>
      <c r="H115" s="765"/>
      <c r="I115" s="765">
        <f t="shared" si="17"/>
        <v>104</v>
      </c>
      <c r="J115" s="763">
        <f t="shared" si="5"/>
        <v>8072455637</v>
      </c>
      <c r="K115" s="796">
        <f t="shared" si="7"/>
        <v>0.28579</v>
      </c>
      <c r="L115" s="796">
        <v>5.0E-4</v>
      </c>
      <c r="M115" s="763">
        <v>9.20462444405929E9</v>
      </c>
      <c r="N115" s="797">
        <f t="shared" si="8"/>
        <v>0</v>
      </c>
      <c r="O115" s="798">
        <f t="shared" ref="O115:BK115" si="111">FLOOR(MIN((((N("value of ELS upgrade")+N$8*($K115-$K114))*(N("Check checkbox")+(IF($G$6=TRUE,$G$7,$G$8))/$G$8))/(N("ROI of ELS and multiply by 2 if ELS is 1:1")+IF($G$12 = True, 2, 1) * $J115))/((N("difference in ELS+ and the cost of it")+(($K114*O$8)-($K114*N$8)) / O$7)),(N("MIN lets it return 0 or 1 after floored")+1)),1)</f>
        <v>0</v>
      </c>
      <c r="P115" s="798">
        <f t="shared" si="111"/>
        <v>0</v>
      </c>
      <c r="Q115" s="798">
        <f t="shared" si="111"/>
        <v>1</v>
      </c>
      <c r="R115" s="798">
        <f t="shared" si="111"/>
        <v>1</v>
      </c>
      <c r="S115" s="798">
        <f t="shared" si="111"/>
        <v>1</v>
      </c>
      <c r="T115" s="798">
        <f t="shared" si="111"/>
        <v>1</v>
      </c>
      <c r="U115" s="798">
        <f t="shared" si="111"/>
        <v>1</v>
      </c>
      <c r="V115" s="798">
        <f t="shared" si="111"/>
        <v>1</v>
      </c>
      <c r="W115" s="798">
        <f t="shared" si="111"/>
        <v>1</v>
      </c>
      <c r="X115" s="798">
        <f t="shared" si="111"/>
        <v>1</v>
      </c>
      <c r="Y115" s="798">
        <f t="shared" si="111"/>
        <v>1</v>
      </c>
      <c r="Z115" s="798">
        <f t="shared" si="111"/>
        <v>1</v>
      </c>
      <c r="AA115" s="798">
        <f t="shared" si="111"/>
        <v>1</v>
      </c>
      <c r="AB115" s="798">
        <f t="shared" si="111"/>
        <v>1</v>
      </c>
      <c r="AC115" s="798">
        <f t="shared" si="111"/>
        <v>1</v>
      </c>
      <c r="AD115" s="798">
        <f t="shared" si="111"/>
        <v>1</v>
      </c>
      <c r="AE115" s="798">
        <f t="shared" si="111"/>
        <v>1</v>
      </c>
      <c r="AF115" s="798">
        <f t="shared" si="111"/>
        <v>1</v>
      </c>
      <c r="AG115" s="798">
        <f t="shared" si="111"/>
        <v>1</v>
      </c>
      <c r="AH115" s="798">
        <f t="shared" si="111"/>
        <v>1</v>
      </c>
      <c r="AI115" s="798">
        <f t="shared" si="111"/>
        <v>1</v>
      </c>
      <c r="AJ115" s="798">
        <f t="shared" si="111"/>
        <v>1</v>
      </c>
      <c r="AK115" s="798">
        <f t="shared" si="111"/>
        <v>1</v>
      </c>
      <c r="AL115" s="798">
        <f t="shared" si="111"/>
        <v>1</v>
      </c>
      <c r="AM115" s="798">
        <f t="shared" si="111"/>
        <v>1</v>
      </c>
      <c r="AN115" s="798">
        <f t="shared" si="111"/>
        <v>1</v>
      </c>
      <c r="AO115" s="798">
        <f t="shared" si="111"/>
        <v>1</v>
      </c>
      <c r="AP115" s="798">
        <f t="shared" si="111"/>
        <v>1</v>
      </c>
      <c r="AQ115" s="798">
        <f t="shared" si="111"/>
        <v>1</v>
      </c>
      <c r="AR115" s="798">
        <f t="shared" si="111"/>
        <v>1</v>
      </c>
      <c r="AS115" s="798">
        <f t="shared" si="111"/>
        <v>1</v>
      </c>
      <c r="AT115" s="798">
        <f t="shared" si="111"/>
        <v>1</v>
      </c>
      <c r="AU115" s="798">
        <f t="shared" si="111"/>
        <v>1</v>
      </c>
      <c r="AV115" s="798">
        <f t="shared" si="111"/>
        <v>1</v>
      </c>
      <c r="AW115" s="798">
        <f t="shared" si="111"/>
        <v>1</v>
      </c>
      <c r="AX115" s="798">
        <f t="shared" si="111"/>
        <v>1</v>
      </c>
      <c r="AY115" s="798">
        <f t="shared" si="111"/>
        <v>1</v>
      </c>
      <c r="AZ115" s="798">
        <f t="shared" si="111"/>
        <v>1</v>
      </c>
      <c r="BA115" s="798">
        <f t="shared" si="111"/>
        <v>1</v>
      </c>
      <c r="BB115" s="798">
        <f t="shared" si="111"/>
        <v>1</v>
      </c>
      <c r="BC115" s="798">
        <f t="shared" si="111"/>
        <v>1</v>
      </c>
      <c r="BD115" s="798">
        <f t="shared" si="111"/>
        <v>1</v>
      </c>
      <c r="BE115" s="798">
        <f t="shared" si="111"/>
        <v>1</v>
      </c>
      <c r="BF115" s="798">
        <f t="shared" si="111"/>
        <v>1</v>
      </c>
      <c r="BG115" s="798">
        <f t="shared" si="111"/>
        <v>1</v>
      </c>
      <c r="BH115" s="798">
        <f t="shared" si="111"/>
        <v>1</v>
      </c>
      <c r="BI115" s="798">
        <f t="shared" si="111"/>
        <v>1</v>
      </c>
      <c r="BJ115" s="798">
        <f t="shared" si="111"/>
        <v>1</v>
      </c>
      <c r="BK115" s="798">
        <f t="shared" si="111"/>
        <v>1</v>
      </c>
      <c r="BL115" s="765"/>
      <c r="BM115" s="817"/>
      <c r="BN115" s="817"/>
    </row>
    <row r="116" hidden="1">
      <c r="A116" s="765"/>
      <c r="B116" s="765"/>
      <c r="C116" s="765"/>
      <c r="D116" s="765"/>
      <c r="E116" s="765"/>
      <c r="F116" s="765"/>
      <c r="G116" s="765"/>
      <c r="H116" s="765"/>
      <c r="I116" s="765">
        <f t="shared" si="17"/>
        <v>105</v>
      </c>
      <c r="J116" s="763">
        <f t="shared" si="5"/>
        <v>8140997786</v>
      </c>
      <c r="K116" s="796">
        <f t="shared" si="7"/>
        <v>0.28629</v>
      </c>
      <c r="L116" s="796">
        <v>5.0E-4</v>
      </c>
      <c r="M116" s="763">
        <v>9.28277968715256E9</v>
      </c>
      <c r="N116" s="797">
        <f t="shared" si="8"/>
        <v>0</v>
      </c>
      <c r="O116" s="798">
        <f t="shared" ref="O116:BK116" si="112">FLOOR(MIN((((N("value of ELS upgrade")+N$8*($K116-$K115))*(N("Check checkbox")+(IF($G$6=TRUE,$G$7,$G$8))/$G$8))/(N("ROI of ELS and multiply by 2 if ELS is 1:1")+IF($G$12 = True, 2, 1) * $J116))/((N("difference in ELS+ and the cost of it")+(($K115*O$8)-($K115*N$8)) / O$7)),(N("MIN lets it return 0 or 1 after floored")+1)),1)</f>
        <v>0</v>
      </c>
      <c r="P116" s="798">
        <f t="shared" si="112"/>
        <v>0</v>
      </c>
      <c r="Q116" s="798">
        <f t="shared" si="112"/>
        <v>1</v>
      </c>
      <c r="R116" s="798">
        <f t="shared" si="112"/>
        <v>1</v>
      </c>
      <c r="S116" s="798">
        <f t="shared" si="112"/>
        <v>1</v>
      </c>
      <c r="T116" s="798">
        <f t="shared" si="112"/>
        <v>1</v>
      </c>
      <c r="U116" s="798">
        <f t="shared" si="112"/>
        <v>1</v>
      </c>
      <c r="V116" s="798">
        <f t="shared" si="112"/>
        <v>1</v>
      </c>
      <c r="W116" s="798">
        <f t="shared" si="112"/>
        <v>1</v>
      </c>
      <c r="X116" s="798">
        <f t="shared" si="112"/>
        <v>1</v>
      </c>
      <c r="Y116" s="798">
        <f t="shared" si="112"/>
        <v>1</v>
      </c>
      <c r="Z116" s="798">
        <f t="shared" si="112"/>
        <v>1</v>
      </c>
      <c r="AA116" s="798">
        <f t="shared" si="112"/>
        <v>1</v>
      </c>
      <c r="AB116" s="798">
        <f t="shared" si="112"/>
        <v>1</v>
      </c>
      <c r="AC116" s="798">
        <f t="shared" si="112"/>
        <v>1</v>
      </c>
      <c r="AD116" s="798">
        <f t="shared" si="112"/>
        <v>1</v>
      </c>
      <c r="AE116" s="798">
        <f t="shared" si="112"/>
        <v>1</v>
      </c>
      <c r="AF116" s="798">
        <f t="shared" si="112"/>
        <v>1</v>
      </c>
      <c r="AG116" s="798">
        <f t="shared" si="112"/>
        <v>1</v>
      </c>
      <c r="AH116" s="798">
        <f t="shared" si="112"/>
        <v>1</v>
      </c>
      <c r="AI116" s="798">
        <f t="shared" si="112"/>
        <v>1</v>
      </c>
      <c r="AJ116" s="798">
        <f t="shared" si="112"/>
        <v>1</v>
      </c>
      <c r="AK116" s="798">
        <f t="shared" si="112"/>
        <v>1</v>
      </c>
      <c r="AL116" s="798">
        <f t="shared" si="112"/>
        <v>1</v>
      </c>
      <c r="AM116" s="798">
        <f t="shared" si="112"/>
        <v>1</v>
      </c>
      <c r="AN116" s="798">
        <f t="shared" si="112"/>
        <v>1</v>
      </c>
      <c r="AO116" s="798">
        <f t="shared" si="112"/>
        <v>1</v>
      </c>
      <c r="AP116" s="798">
        <f t="shared" si="112"/>
        <v>1</v>
      </c>
      <c r="AQ116" s="798">
        <f t="shared" si="112"/>
        <v>1</v>
      </c>
      <c r="AR116" s="798">
        <f t="shared" si="112"/>
        <v>1</v>
      </c>
      <c r="AS116" s="798">
        <f t="shared" si="112"/>
        <v>1</v>
      </c>
      <c r="AT116" s="798">
        <f t="shared" si="112"/>
        <v>1</v>
      </c>
      <c r="AU116" s="798">
        <f t="shared" si="112"/>
        <v>1</v>
      </c>
      <c r="AV116" s="798">
        <f t="shared" si="112"/>
        <v>1</v>
      </c>
      <c r="AW116" s="798">
        <f t="shared" si="112"/>
        <v>1</v>
      </c>
      <c r="AX116" s="798">
        <f t="shared" si="112"/>
        <v>1</v>
      </c>
      <c r="AY116" s="798">
        <f t="shared" si="112"/>
        <v>1</v>
      </c>
      <c r="AZ116" s="798">
        <f t="shared" si="112"/>
        <v>1</v>
      </c>
      <c r="BA116" s="798">
        <f t="shared" si="112"/>
        <v>1</v>
      </c>
      <c r="BB116" s="798">
        <f t="shared" si="112"/>
        <v>1</v>
      </c>
      <c r="BC116" s="798">
        <f t="shared" si="112"/>
        <v>1</v>
      </c>
      <c r="BD116" s="798">
        <f t="shared" si="112"/>
        <v>1</v>
      </c>
      <c r="BE116" s="798">
        <f t="shared" si="112"/>
        <v>1</v>
      </c>
      <c r="BF116" s="798">
        <f t="shared" si="112"/>
        <v>1</v>
      </c>
      <c r="BG116" s="798">
        <f t="shared" si="112"/>
        <v>1</v>
      </c>
      <c r="BH116" s="798">
        <f t="shared" si="112"/>
        <v>1</v>
      </c>
      <c r="BI116" s="798">
        <f t="shared" si="112"/>
        <v>1</v>
      </c>
      <c r="BJ116" s="798">
        <f t="shared" si="112"/>
        <v>1</v>
      </c>
      <c r="BK116" s="798">
        <f t="shared" si="112"/>
        <v>1</v>
      </c>
      <c r="BL116" s="765"/>
      <c r="BM116" s="817"/>
      <c r="BN116" s="817"/>
    </row>
    <row r="117" hidden="1">
      <c r="A117" s="765"/>
      <c r="B117" s="765"/>
      <c r="C117" s="765"/>
      <c r="D117" s="765"/>
      <c r="E117" s="765"/>
      <c r="F117" s="765"/>
      <c r="G117" s="765"/>
      <c r="H117" s="765"/>
      <c r="I117" s="765">
        <f t="shared" si="17"/>
        <v>106</v>
      </c>
      <c r="J117" s="763">
        <f t="shared" si="5"/>
        <v>8209608123</v>
      </c>
      <c r="K117" s="796">
        <f t="shared" si="7"/>
        <v>0.28679</v>
      </c>
      <c r="L117" s="796">
        <v>5.0E-4</v>
      </c>
      <c r="M117" s="763">
        <v>9.36101268299858E9</v>
      </c>
      <c r="N117" s="797">
        <f t="shared" si="8"/>
        <v>0</v>
      </c>
      <c r="O117" s="798">
        <f t="shared" ref="O117:BK117" si="113">FLOOR(MIN((((N("value of ELS upgrade")+N$8*($K117-$K116))*(N("Check checkbox")+(IF($G$6=TRUE,$G$7,$G$8))/$G$8))/(N("ROI of ELS and multiply by 2 if ELS is 1:1")+IF($G$12 = True, 2, 1) * $J117))/((N("difference in ELS+ and the cost of it")+(($K116*O$8)-($K116*N$8)) / O$7)),(N("MIN lets it return 0 or 1 after floored")+1)),1)</f>
        <v>0</v>
      </c>
      <c r="P117" s="798">
        <f t="shared" si="113"/>
        <v>0</v>
      </c>
      <c r="Q117" s="798">
        <f t="shared" si="113"/>
        <v>1</v>
      </c>
      <c r="R117" s="798">
        <f t="shared" si="113"/>
        <v>1</v>
      </c>
      <c r="S117" s="798">
        <f t="shared" si="113"/>
        <v>1</v>
      </c>
      <c r="T117" s="798">
        <f t="shared" si="113"/>
        <v>1</v>
      </c>
      <c r="U117" s="798">
        <f t="shared" si="113"/>
        <v>1</v>
      </c>
      <c r="V117" s="798">
        <f t="shared" si="113"/>
        <v>1</v>
      </c>
      <c r="W117" s="798">
        <f t="shared" si="113"/>
        <v>1</v>
      </c>
      <c r="X117" s="798">
        <f t="shared" si="113"/>
        <v>1</v>
      </c>
      <c r="Y117" s="798">
        <f t="shared" si="113"/>
        <v>1</v>
      </c>
      <c r="Z117" s="798">
        <f t="shared" si="113"/>
        <v>1</v>
      </c>
      <c r="AA117" s="798">
        <f t="shared" si="113"/>
        <v>1</v>
      </c>
      <c r="AB117" s="798">
        <f t="shared" si="113"/>
        <v>1</v>
      </c>
      <c r="AC117" s="798">
        <f t="shared" si="113"/>
        <v>1</v>
      </c>
      <c r="AD117" s="798">
        <f t="shared" si="113"/>
        <v>1</v>
      </c>
      <c r="AE117" s="798">
        <f t="shared" si="113"/>
        <v>1</v>
      </c>
      <c r="AF117" s="798">
        <f t="shared" si="113"/>
        <v>1</v>
      </c>
      <c r="AG117" s="798">
        <f t="shared" si="113"/>
        <v>1</v>
      </c>
      <c r="AH117" s="798">
        <f t="shared" si="113"/>
        <v>1</v>
      </c>
      <c r="AI117" s="798">
        <f t="shared" si="113"/>
        <v>1</v>
      </c>
      <c r="AJ117" s="798">
        <f t="shared" si="113"/>
        <v>1</v>
      </c>
      <c r="AK117" s="798">
        <f t="shared" si="113"/>
        <v>1</v>
      </c>
      <c r="AL117" s="798">
        <f t="shared" si="113"/>
        <v>1</v>
      </c>
      <c r="AM117" s="798">
        <f t="shared" si="113"/>
        <v>1</v>
      </c>
      <c r="AN117" s="798">
        <f t="shared" si="113"/>
        <v>1</v>
      </c>
      <c r="AO117" s="798">
        <f t="shared" si="113"/>
        <v>1</v>
      </c>
      <c r="AP117" s="798">
        <f t="shared" si="113"/>
        <v>1</v>
      </c>
      <c r="AQ117" s="798">
        <f t="shared" si="113"/>
        <v>1</v>
      </c>
      <c r="AR117" s="798">
        <f t="shared" si="113"/>
        <v>1</v>
      </c>
      <c r="AS117" s="798">
        <f t="shared" si="113"/>
        <v>1</v>
      </c>
      <c r="AT117" s="798">
        <f t="shared" si="113"/>
        <v>1</v>
      </c>
      <c r="AU117" s="798">
        <f t="shared" si="113"/>
        <v>1</v>
      </c>
      <c r="AV117" s="798">
        <f t="shared" si="113"/>
        <v>1</v>
      </c>
      <c r="AW117" s="798">
        <f t="shared" si="113"/>
        <v>1</v>
      </c>
      <c r="AX117" s="798">
        <f t="shared" si="113"/>
        <v>1</v>
      </c>
      <c r="AY117" s="798">
        <f t="shared" si="113"/>
        <v>1</v>
      </c>
      <c r="AZ117" s="798">
        <f t="shared" si="113"/>
        <v>1</v>
      </c>
      <c r="BA117" s="798">
        <f t="shared" si="113"/>
        <v>1</v>
      </c>
      <c r="BB117" s="798">
        <f t="shared" si="113"/>
        <v>1</v>
      </c>
      <c r="BC117" s="798">
        <f t="shared" si="113"/>
        <v>1</v>
      </c>
      <c r="BD117" s="798">
        <f t="shared" si="113"/>
        <v>1</v>
      </c>
      <c r="BE117" s="798">
        <f t="shared" si="113"/>
        <v>1</v>
      </c>
      <c r="BF117" s="798">
        <f t="shared" si="113"/>
        <v>1</v>
      </c>
      <c r="BG117" s="798">
        <f t="shared" si="113"/>
        <v>1</v>
      </c>
      <c r="BH117" s="798">
        <f t="shared" si="113"/>
        <v>1</v>
      </c>
      <c r="BI117" s="798">
        <f t="shared" si="113"/>
        <v>1</v>
      </c>
      <c r="BJ117" s="798">
        <f t="shared" si="113"/>
        <v>1</v>
      </c>
      <c r="BK117" s="798">
        <f t="shared" si="113"/>
        <v>1</v>
      </c>
      <c r="BL117" s="765"/>
      <c r="BM117" s="817"/>
      <c r="BN117" s="817"/>
    </row>
    <row r="118" hidden="1">
      <c r="A118" s="765"/>
      <c r="B118" s="765"/>
      <c r="C118" s="765"/>
      <c r="D118" s="765"/>
      <c r="E118" s="765"/>
      <c r="F118" s="765"/>
      <c r="G118" s="765"/>
      <c r="H118" s="765"/>
      <c r="I118" s="765">
        <f t="shared" si="17"/>
        <v>107</v>
      </c>
      <c r="J118" s="763">
        <f t="shared" si="5"/>
        <v>8278287518</v>
      </c>
      <c r="K118" s="796">
        <f t="shared" si="7"/>
        <v>0.28729</v>
      </c>
      <c r="L118" s="796">
        <v>5.0E-4</v>
      </c>
      <c r="M118" s="763">
        <v>9.4393244220783E9</v>
      </c>
      <c r="N118" s="797">
        <f t="shared" si="8"/>
        <v>0</v>
      </c>
      <c r="O118" s="798">
        <f t="shared" ref="O118:BK118" si="114">FLOOR(MIN((((N("value of ELS upgrade")+N$8*($K118-$K117))*(N("Check checkbox")+(IF($G$6=TRUE,$G$7,$G$8))/$G$8))/(N("ROI of ELS and multiply by 2 if ELS is 1:1")+IF($G$12 = True, 2, 1) * $J118))/((N("difference in ELS+ and the cost of it")+(($K117*O$8)-($K117*N$8)) / O$7)),(N("MIN lets it return 0 or 1 after floored")+1)),1)</f>
        <v>0</v>
      </c>
      <c r="P118" s="798">
        <f t="shared" si="114"/>
        <v>0</v>
      </c>
      <c r="Q118" s="798">
        <f t="shared" si="114"/>
        <v>1</v>
      </c>
      <c r="R118" s="798">
        <f t="shared" si="114"/>
        <v>1</v>
      </c>
      <c r="S118" s="798">
        <f t="shared" si="114"/>
        <v>1</v>
      </c>
      <c r="T118" s="798">
        <f t="shared" si="114"/>
        <v>1</v>
      </c>
      <c r="U118" s="798">
        <f t="shared" si="114"/>
        <v>1</v>
      </c>
      <c r="V118" s="798">
        <f t="shared" si="114"/>
        <v>1</v>
      </c>
      <c r="W118" s="798">
        <f t="shared" si="114"/>
        <v>1</v>
      </c>
      <c r="X118" s="798">
        <f t="shared" si="114"/>
        <v>1</v>
      </c>
      <c r="Y118" s="798">
        <f t="shared" si="114"/>
        <v>1</v>
      </c>
      <c r="Z118" s="798">
        <f t="shared" si="114"/>
        <v>1</v>
      </c>
      <c r="AA118" s="798">
        <f t="shared" si="114"/>
        <v>1</v>
      </c>
      <c r="AB118" s="798">
        <f t="shared" si="114"/>
        <v>1</v>
      </c>
      <c r="AC118" s="798">
        <f t="shared" si="114"/>
        <v>1</v>
      </c>
      <c r="AD118" s="798">
        <f t="shared" si="114"/>
        <v>1</v>
      </c>
      <c r="AE118" s="798">
        <f t="shared" si="114"/>
        <v>1</v>
      </c>
      <c r="AF118" s="798">
        <f t="shared" si="114"/>
        <v>1</v>
      </c>
      <c r="AG118" s="798">
        <f t="shared" si="114"/>
        <v>1</v>
      </c>
      <c r="AH118" s="798">
        <f t="shared" si="114"/>
        <v>1</v>
      </c>
      <c r="AI118" s="798">
        <f t="shared" si="114"/>
        <v>1</v>
      </c>
      <c r="AJ118" s="798">
        <f t="shared" si="114"/>
        <v>1</v>
      </c>
      <c r="AK118" s="798">
        <f t="shared" si="114"/>
        <v>1</v>
      </c>
      <c r="AL118" s="798">
        <f t="shared" si="114"/>
        <v>1</v>
      </c>
      <c r="AM118" s="798">
        <f t="shared" si="114"/>
        <v>1</v>
      </c>
      <c r="AN118" s="798">
        <f t="shared" si="114"/>
        <v>1</v>
      </c>
      <c r="AO118" s="798">
        <f t="shared" si="114"/>
        <v>1</v>
      </c>
      <c r="AP118" s="798">
        <f t="shared" si="114"/>
        <v>1</v>
      </c>
      <c r="AQ118" s="798">
        <f t="shared" si="114"/>
        <v>1</v>
      </c>
      <c r="AR118" s="798">
        <f t="shared" si="114"/>
        <v>1</v>
      </c>
      <c r="AS118" s="798">
        <f t="shared" si="114"/>
        <v>1</v>
      </c>
      <c r="AT118" s="798">
        <f t="shared" si="114"/>
        <v>1</v>
      </c>
      <c r="AU118" s="798">
        <f t="shared" si="114"/>
        <v>1</v>
      </c>
      <c r="AV118" s="798">
        <f t="shared" si="114"/>
        <v>1</v>
      </c>
      <c r="AW118" s="798">
        <f t="shared" si="114"/>
        <v>1</v>
      </c>
      <c r="AX118" s="798">
        <f t="shared" si="114"/>
        <v>1</v>
      </c>
      <c r="AY118" s="798">
        <f t="shared" si="114"/>
        <v>1</v>
      </c>
      <c r="AZ118" s="798">
        <f t="shared" si="114"/>
        <v>1</v>
      </c>
      <c r="BA118" s="798">
        <f t="shared" si="114"/>
        <v>1</v>
      </c>
      <c r="BB118" s="798">
        <f t="shared" si="114"/>
        <v>1</v>
      </c>
      <c r="BC118" s="798">
        <f t="shared" si="114"/>
        <v>1</v>
      </c>
      <c r="BD118" s="798">
        <f t="shared" si="114"/>
        <v>1</v>
      </c>
      <c r="BE118" s="798">
        <f t="shared" si="114"/>
        <v>1</v>
      </c>
      <c r="BF118" s="798">
        <f t="shared" si="114"/>
        <v>1</v>
      </c>
      <c r="BG118" s="798">
        <f t="shared" si="114"/>
        <v>1</v>
      </c>
      <c r="BH118" s="798">
        <f t="shared" si="114"/>
        <v>1</v>
      </c>
      <c r="BI118" s="798">
        <f t="shared" si="114"/>
        <v>1</v>
      </c>
      <c r="BJ118" s="798">
        <f t="shared" si="114"/>
        <v>1</v>
      </c>
      <c r="BK118" s="798">
        <f t="shared" si="114"/>
        <v>1</v>
      </c>
      <c r="BL118" s="765"/>
      <c r="BM118" s="817"/>
      <c r="BN118" s="817"/>
    </row>
    <row r="119" hidden="1">
      <c r="A119" s="765"/>
      <c r="B119" s="765"/>
      <c r="C119" s="765"/>
      <c r="D119" s="765"/>
      <c r="E119" s="765"/>
      <c r="F119" s="765"/>
      <c r="G119" s="765"/>
      <c r="H119" s="765"/>
      <c r="I119" s="765">
        <f t="shared" si="17"/>
        <v>108</v>
      </c>
      <c r="J119" s="763">
        <f t="shared" si="5"/>
        <v>8347036881</v>
      </c>
      <c r="K119" s="796">
        <f t="shared" si="7"/>
        <v>0.28779</v>
      </c>
      <c r="L119" s="796">
        <v>5.0E-4</v>
      </c>
      <c r="M119" s="763">
        <v>9.51771594159342E9</v>
      </c>
      <c r="N119" s="797">
        <f t="shared" si="8"/>
        <v>0</v>
      </c>
      <c r="O119" s="798">
        <f t="shared" ref="O119:BK119" si="115">FLOOR(MIN((((N("value of ELS upgrade")+N$8*($K119-$K118))*(N("Check checkbox")+(IF($G$6=TRUE,$G$7,$G$8))/$G$8))/(N("ROI of ELS and multiply by 2 if ELS is 1:1")+IF($G$12 = True, 2, 1) * $J119))/((N("difference in ELS+ and the cost of it")+(($K118*O$8)-($K118*N$8)) / O$7)),(N("MIN lets it return 0 or 1 after floored")+1)),1)</f>
        <v>0</v>
      </c>
      <c r="P119" s="798">
        <f t="shared" si="115"/>
        <v>0</v>
      </c>
      <c r="Q119" s="798">
        <f t="shared" si="115"/>
        <v>1</v>
      </c>
      <c r="R119" s="798">
        <f t="shared" si="115"/>
        <v>1</v>
      </c>
      <c r="S119" s="798">
        <f t="shared" si="115"/>
        <v>1</v>
      </c>
      <c r="T119" s="798">
        <f t="shared" si="115"/>
        <v>1</v>
      </c>
      <c r="U119" s="798">
        <f t="shared" si="115"/>
        <v>1</v>
      </c>
      <c r="V119" s="798">
        <f t="shared" si="115"/>
        <v>1</v>
      </c>
      <c r="W119" s="798">
        <f t="shared" si="115"/>
        <v>1</v>
      </c>
      <c r="X119" s="798">
        <f t="shared" si="115"/>
        <v>1</v>
      </c>
      <c r="Y119" s="798">
        <f t="shared" si="115"/>
        <v>1</v>
      </c>
      <c r="Z119" s="798">
        <f t="shared" si="115"/>
        <v>1</v>
      </c>
      <c r="AA119" s="798">
        <f t="shared" si="115"/>
        <v>1</v>
      </c>
      <c r="AB119" s="798">
        <f t="shared" si="115"/>
        <v>1</v>
      </c>
      <c r="AC119" s="798">
        <f t="shared" si="115"/>
        <v>1</v>
      </c>
      <c r="AD119" s="798">
        <f t="shared" si="115"/>
        <v>1</v>
      </c>
      <c r="AE119" s="798">
        <f t="shared" si="115"/>
        <v>1</v>
      </c>
      <c r="AF119" s="798">
        <f t="shared" si="115"/>
        <v>1</v>
      </c>
      <c r="AG119" s="798">
        <f t="shared" si="115"/>
        <v>1</v>
      </c>
      <c r="AH119" s="798">
        <f t="shared" si="115"/>
        <v>1</v>
      </c>
      <c r="AI119" s="798">
        <f t="shared" si="115"/>
        <v>1</v>
      </c>
      <c r="AJ119" s="798">
        <f t="shared" si="115"/>
        <v>1</v>
      </c>
      <c r="AK119" s="798">
        <f t="shared" si="115"/>
        <v>1</v>
      </c>
      <c r="AL119" s="798">
        <f t="shared" si="115"/>
        <v>1</v>
      </c>
      <c r="AM119" s="798">
        <f t="shared" si="115"/>
        <v>1</v>
      </c>
      <c r="AN119" s="798">
        <f t="shared" si="115"/>
        <v>1</v>
      </c>
      <c r="AO119" s="798">
        <f t="shared" si="115"/>
        <v>1</v>
      </c>
      <c r="AP119" s="798">
        <f t="shared" si="115"/>
        <v>1</v>
      </c>
      <c r="AQ119" s="798">
        <f t="shared" si="115"/>
        <v>1</v>
      </c>
      <c r="AR119" s="798">
        <f t="shared" si="115"/>
        <v>1</v>
      </c>
      <c r="AS119" s="798">
        <f t="shared" si="115"/>
        <v>1</v>
      </c>
      <c r="AT119" s="798">
        <f t="shared" si="115"/>
        <v>1</v>
      </c>
      <c r="AU119" s="798">
        <f t="shared" si="115"/>
        <v>1</v>
      </c>
      <c r="AV119" s="798">
        <f t="shared" si="115"/>
        <v>1</v>
      </c>
      <c r="AW119" s="798">
        <f t="shared" si="115"/>
        <v>1</v>
      </c>
      <c r="AX119" s="798">
        <f t="shared" si="115"/>
        <v>1</v>
      </c>
      <c r="AY119" s="798">
        <f t="shared" si="115"/>
        <v>1</v>
      </c>
      <c r="AZ119" s="798">
        <f t="shared" si="115"/>
        <v>1</v>
      </c>
      <c r="BA119" s="798">
        <f t="shared" si="115"/>
        <v>1</v>
      </c>
      <c r="BB119" s="798">
        <f t="shared" si="115"/>
        <v>1</v>
      </c>
      <c r="BC119" s="798">
        <f t="shared" si="115"/>
        <v>1</v>
      </c>
      <c r="BD119" s="798">
        <f t="shared" si="115"/>
        <v>1</v>
      </c>
      <c r="BE119" s="798">
        <f t="shared" si="115"/>
        <v>1</v>
      </c>
      <c r="BF119" s="798">
        <f t="shared" si="115"/>
        <v>1</v>
      </c>
      <c r="BG119" s="798">
        <f t="shared" si="115"/>
        <v>1</v>
      </c>
      <c r="BH119" s="798">
        <f t="shared" si="115"/>
        <v>1</v>
      </c>
      <c r="BI119" s="798">
        <f t="shared" si="115"/>
        <v>1</v>
      </c>
      <c r="BJ119" s="798">
        <f t="shared" si="115"/>
        <v>1</v>
      </c>
      <c r="BK119" s="798">
        <f t="shared" si="115"/>
        <v>1</v>
      </c>
      <c r="BL119" s="765"/>
      <c r="BM119" s="817"/>
      <c r="BN119" s="817"/>
    </row>
    <row r="120" hidden="1">
      <c r="A120" s="765"/>
      <c r="B120" s="765"/>
      <c r="C120" s="765"/>
      <c r="D120" s="765"/>
      <c r="E120" s="765"/>
      <c r="F120" s="765"/>
      <c r="G120" s="765"/>
      <c r="H120" s="765"/>
      <c r="I120" s="765">
        <f t="shared" si="17"/>
        <v>109</v>
      </c>
      <c r="J120" s="763">
        <f t="shared" si="5"/>
        <v>8415857096</v>
      </c>
      <c r="K120" s="796">
        <f t="shared" si="7"/>
        <v>0.28829</v>
      </c>
      <c r="L120" s="796">
        <v>5.0E-4</v>
      </c>
      <c r="M120" s="763">
        <v>9.59618825071321E9</v>
      </c>
      <c r="N120" s="797">
        <f t="shared" si="8"/>
        <v>0</v>
      </c>
      <c r="O120" s="798">
        <f t="shared" ref="O120:BK120" si="116">FLOOR(MIN((((N("value of ELS upgrade")+N$8*($K120-$K119))*(N("Check checkbox")+(IF($G$6=TRUE,$G$7,$G$8))/$G$8))/(N("ROI of ELS and multiply by 2 if ELS is 1:1")+IF($G$12 = True, 2, 1) * $J120))/((N("difference in ELS+ and the cost of it")+(($K119*O$8)-($K119*N$8)) / O$7)),(N("MIN lets it return 0 or 1 after floored")+1)),1)</f>
        <v>0</v>
      </c>
      <c r="P120" s="798">
        <f t="shared" si="116"/>
        <v>0</v>
      </c>
      <c r="Q120" s="798">
        <f t="shared" si="116"/>
        <v>1</v>
      </c>
      <c r="R120" s="798">
        <f t="shared" si="116"/>
        <v>1</v>
      </c>
      <c r="S120" s="798">
        <f t="shared" si="116"/>
        <v>1</v>
      </c>
      <c r="T120" s="798">
        <f t="shared" si="116"/>
        <v>1</v>
      </c>
      <c r="U120" s="798">
        <f t="shared" si="116"/>
        <v>1</v>
      </c>
      <c r="V120" s="798">
        <f t="shared" si="116"/>
        <v>1</v>
      </c>
      <c r="W120" s="798">
        <f t="shared" si="116"/>
        <v>1</v>
      </c>
      <c r="X120" s="798">
        <f t="shared" si="116"/>
        <v>1</v>
      </c>
      <c r="Y120" s="798">
        <f t="shared" si="116"/>
        <v>1</v>
      </c>
      <c r="Z120" s="798">
        <f t="shared" si="116"/>
        <v>1</v>
      </c>
      <c r="AA120" s="798">
        <f t="shared" si="116"/>
        <v>1</v>
      </c>
      <c r="AB120" s="798">
        <f t="shared" si="116"/>
        <v>1</v>
      </c>
      <c r="AC120" s="798">
        <f t="shared" si="116"/>
        <v>1</v>
      </c>
      <c r="AD120" s="798">
        <f t="shared" si="116"/>
        <v>1</v>
      </c>
      <c r="AE120" s="798">
        <f t="shared" si="116"/>
        <v>1</v>
      </c>
      <c r="AF120" s="798">
        <f t="shared" si="116"/>
        <v>1</v>
      </c>
      <c r="AG120" s="798">
        <f t="shared" si="116"/>
        <v>1</v>
      </c>
      <c r="AH120" s="798">
        <f t="shared" si="116"/>
        <v>1</v>
      </c>
      <c r="AI120" s="798">
        <f t="shared" si="116"/>
        <v>1</v>
      </c>
      <c r="AJ120" s="798">
        <f t="shared" si="116"/>
        <v>1</v>
      </c>
      <c r="AK120" s="798">
        <f t="shared" si="116"/>
        <v>1</v>
      </c>
      <c r="AL120" s="798">
        <f t="shared" si="116"/>
        <v>1</v>
      </c>
      <c r="AM120" s="798">
        <f t="shared" si="116"/>
        <v>1</v>
      </c>
      <c r="AN120" s="798">
        <f t="shared" si="116"/>
        <v>1</v>
      </c>
      <c r="AO120" s="798">
        <f t="shared" si="116"/>
        <v>1</v>
      </c>
      <c r="AP120" s="798">
        <f t="shared" si="116"/>
        <v>1</v>
      </c>
      <c r="AQ120" s="798">
        <f t="shared" si="116"/>
        <v>1</v>
      </c>
      <c r="AR120" s="798">
        <f t="shared" si="116"/>
        <v>1</v>
      </c>
      <c r="AS120" s="798">
        <f t="shared" si="116"/>
        <v>1</v>
      </c>
      <c r="AT120" s="798">
        <f t="shared" si="116"/>
        <v>1</v>
      </c>
      <c r="AU120" s="798">
        <f t="shared" si="116"/>
        <v>1</v>
      </c>
      <c r="AV120" s="798">
        <f t="shared" si="116"/>
        <v>1</v>
      </c>
      <c r="AW120" s="798">
        <f t="shared" si="116"/>
        <v>1</v>
      </c>
      <c r="AX120" s="798">
        <f t="shared" si="116"/>
        <v>1</v>
      </c>
      <c r="AY120" s="798">
        <f t="shared" si="116"/>
        <v>1</v>
      </c>
      <c r="AZ120" s="798">
        <f t="shared" si="116"/>
        <v>1</v>
      </c>
      <c r="BA120" s="798">
        <f t="shared" si="116"/>
        <v>1</v>
      </c>
      <c r="BB120" s="798">
        <f t="shared" si="116"/>
        <v>1</v>
      </c>
      <c r="BC120" s="798">
        <f t="shared" si="116"/>
        <v>1</v>
      </c>
      <c r="BD120" s="798">
        <f t="shared" si="116"/>
        <v>1</v>
      </c>
      <c r="BE120" s="798">
        <f t="shared" si="116"/>
        <v>1</v>
      </c>
      <c r="BF120" s="798">
        <f t="shared" si="116"/>
        <v>1</v>
      </c>
      <c r="BG120" s="798">
        <f t="shared" si="116"/>
        <v>1</v>
      </c>
      <c r="BH120" s="798">
        <f t="shared" si="116"/>
        <v>1</v>
      </c>
      <c r="BI120" s="798">
        <f t="shared" si="116"/>
        <v>1</v>
      </c>
      <c r="BJ120" s="798">
        <f t="shared" si="116"/>
        <v>1</v>
      </c>
      <c r="BK120" s="798">
        <f t="shared" si="116"/>
        <v>1</v>
      </c>
      <c r="BL120" s="765"/>
      <c r="BM120" s="817"/>
      <c r="BN120" s="817"/>
    </row>
    <row r="121" hidden="1">
      <c r="A121" s="765"/>
      <c r="B121" s="765"/>
      <c r="C121" s="765"/>
      <c r="D121" s="765"/>
      <c r="E121" s="765"/>
      <c r="F121" s="765"/>
      <c r="G121" s="765"/>
      <c r="H121" s="765"/>
      <c r="I121" s="765">
        <f t="shared" si="17"/>
        <v>110</v>
      </c>
      <c r="J121" s="763">
        <f t="shared" si="5"/>
        <v>8484749057</v>
      </c>
      <c r="K121" s="796">
        <f t="shared" si="7"/>
        <v>0.28879</v>
      </c>
      <c r="L121" s="796">
        <v>5.0E-4</v>
      </c>
      <c r="M121" s="763">
        <v>9.67474236795105E9</v>
      </c>
      <c r="N121" s="797">
        <f t="shared" si="8"/>
        <v>0</v>
      </c>
      <c r="O121" s="798">
        <f t="shared" ref="O121:BK121" si="117">FLOOR(MIN((((N("value of ELS upgrade")+N$8*($K121-$K120))*(N("Check checkbox")+(IF($G$6=TRUE,$G$7,$G$8))/$G$8))/(N("ROI of ELS and multiply by 2 if ELS is 1:1")+IF($G$12 = True, 2, 1) * $J121))/((N("difference in ELS+ and the cost of it")+(($K120*O$8)-($K120*N$8)) / O$7)),(N("MIN lets it return 0 or 1 after floored")+1)),1)</f>
        <v>0</v>
      </c>
      <c r="P121" s="798">
        <f t="shared" si="117"/>
        <v>0</v>
      </c>
      <c r="Q121" s="798">
        <f t="shared" si="117"/>
        <v>1</v>
      </c>
      <c r="R121" s="798">
        <f t="shared" si="117"/>
        <v>1</v>
      </c>
      <c r="S121" s="798">
        <f t="shared" si="117"/>
        <v>1</v>
      </c>
      <c r="T121" s="798">
        <f t="shared" si="117"/>
        <v>1</v>
      </c>
      <c r="U121" s="798">
        <f t="shared" si="117"/>
        <v>1</v>
      </c>
      <c r="V121" s="798">
        <f t="shared" si="117"/>
        <v>1</v>
      </c>
      <c r="W121" s="798">
        <f t="shared" si="117"/>
        <v>1</v>
      </c>
      <c r="X121" s="798">
        <f t="shared" si="117"/>
        <v>1</v>
      </c>
      <c r="Y121" s="798">
        <f t="shared" si="117"/>
        <v>1</v>
      </c>
      <c r="Z121" s="798">
        <f t="shared" si="117"/>
        <v>1</v>
      </c>
      <c r="AA121" s="798">
        <f t="shared" si="117"/>
        <v>1</v>
      </c>
      <c r="AB121" s="798">
        <f t="shared" si="117"/>
        <v>1</v>
      </c>
      <c r="AC121" s="798">
        <f t="shared" si="117"/>
        <v>1</v>
      </c>
      <c r="AD121" s="798">
        <f t="shared" si="117"/>
        <v>1</v>
      </c>
      <c r="AE121" s="798">
        <f t="shared" si="117"/>
        <v>1</v>
      </c>
      <c r="AF121" s="798">
        <f t="shared" si="117"/>
        <v>1</v>
      </c>
      <c r="AG121" s="798">
        <f t="shared" si="117"/>
        <v>1</v>
      </c>
      <c r="AH121" s="798">
        <f t="shared" si="117"/>
        <v>1</v>
      </c>
      <c r="AI121" s="798">
        <f t="shared" si="117"/>
        <v>1</v>
      </c>
      <c r="AJ121" s="798">
        <f t="shared" si="117"/>
        <v>1</v>
      </c>
      <c r="AK121" s="798">
        <f t="shared" si="117"/>
        <v>1</v>
      </c>
      <c r="AL121" s="798">
        <f t="shared" si="117"/>
        <v>1</v>
      </c>
      <c r="AM121" s="798">
        <f t="shared" si="117"/>
        <v>1</v>
      </c>
      <c r="AN121" s="798">
        <f t="shared" si="117"/>
        <v>1</v>
      </c>
      <c r="AO121" s="798">
        <f t="shared" si="117"/>
        <v>1</v>
      </c>
      <c r="AP121" s="798">
        <f t="shared" si="117"/>
        <v>1</v>
      </c>
      <c r="AQ121" s="798">
        <f t="shared" si="117"/>
        <v>1</v>
      </c>
      <c r="AR121" s="798">
        <f t="shared" si="117"/>
        <v>1</v>
      </c>
      <c r="AS121" s="798">
        <f t="shared" si="117"/>
        <v>1</v>
      </c>
      <c r="AT121" s="798">
        <f t="shared" si="117"/>
        <v>1</v>
      </c>
      <c r="AU121" s="798">
        <f t="shared" si="117"/>
        <v>1</v>
      </c>
      <c r="AV121" s="798">
        <f t="shared" si="117"/>
        <v>1</v>
      </c>
      <c r="AW121" s="798">
        <f t="shared" si="117"/>
        <v>1</v>
      </c>
      <c r="AX121" s="798">
        <f t="shared" si="117"/>
        <v>1</v>
      </c>
      <c r="AY121" s="798">
        <f t="shared" si="117"/>
        <v>1</v>
      </c>
      <c r="AZ121" s="798">
        <f t="shared" si="117"/>
        <v>1</v>
      </c>
      <c r="BA121" s="798">
        <f t="shared" si="117"/>
        <v>1</v>
      </c>
      <c r="BB121" s="798">
        <f t="shared" si="117"/>
        <v>1</v>
      </c>
      <c r="BC121" s="798">
        <f t="shared" si="117"/>
        <v>1</v>
      </c>
      <c r="BD121" s="798">
        <f t="shared" si="117"/>
        <v>1</v>
      </c>
      <c r="BE121" s="798">
        <f t="shared" si="117"/>
        <v>1</v>
      </c>
      <c r="BF121" s="798">
        <f t="shared" si="117"/>
        <v>1</v>
      </c>
      <c r="BG121" s="798">
        <f t="shared" si="117"/>
        <v>1</v>
      </c>
      <c r="BH121" s="798">
        <f t="shared" si="117"/>
        <v>1</v>
      </c>
      <c r="BI121" s="798">
        <f t="shared" si="117"/>
        <v>1</v>
      </c>
      <c r="BJ121" s="798">
        <f t="shared" si="117"/>
        <v>1</v>
      </c>
      <c r="BK121" s="798">
        <f t="shared" si="117"/>
        <v>1</v>
      </c>
      <c r="BL121" s="765"/>
      <c r="BM121" s="817"/>
      <c r="BN121" s="817"/>
    </row>
    <row r="122" hidden="1">
      <c r="A122" s="765"/>
      <c r="B122" s="765"/>
      <c r="C122" s="765"/>
      <c r="D122" s="765"/>
      <c r="E122" s="765"/>
      <c r="F122" s="765"/>
      <c r="G122" s="765"/>
      <c r="H122" s="765"/>
      <c r="I122" s="765">
        <f t="shared" si="17"/>
        <v>111</v>
      </c>
      <c r="J122" s="763">
        <f t="shared" si="5"/>
        <v>8553713665</v>
      </c>
      <c r="K122" s="796">
        <f t="shared" si="7"/>
        <v>0.28929</v>
      </c>
      <c r="L122" s="796">
        <v>5.0E-4</v>
      </c>
      <c r="M122" s="763">
        <v>9.75337932116452E9</v>
      </c>
      <c r="N122" s="797">
        <f t="shared" si="8"/>
        <v>0</v>
      </c>
      <c r="O122" s="798">
        <f t="shared" ref="O122:BK122" si="118">FLOOR(MIN((((N("value of ELS upgrade")+N$8*($K122-$K121))*(N("Check checkbox")+(IF($G$6=TRUE,$G$7,$G$8))/$G$8))/(N("ROI of ELS and multiply by 2 if ELS is 1:1")+IF($G$12 = True, 2, 1) * $J122))/((N("difference in ELS+ and the cost of it")+(($K121*O$8)-($K121*N$8)) / O$7)),(N("MIN lets it return 0 or 1 after floored")+1)),1)</f>
        <v>0</v>
      </c>
      <c r="P122" s="798">
        <f t="shared" si="118"/>
        <v>0</v>
      </c>
      <c r="Q122" s="798">
        <f t="shared" si="118"/>
        <v>1</v>
      </c>
      <c r="R122" s="798">
        <f t="shared" si="118"/>
        <v>1</v>
      </c>
      <c r="S122" s="798">
        <f t="shared" si="118"/>
        <v>1</v>
      </c>
      <c r="T122" s="798">
        <f t="shared" si="118"/>
        <v>1</v>
      </c>
      <c r="U122" s="798">
        <f t="shared" si="118"/>
        <v>1</v>
      </c>
      <c r="V122" s="798">
        <f t="shared" si="118"/>
        <v>1</v>
      </c>
      <c r="W122" s="798">
        <f t="shared" si="118"/>
        <v>1</v>
      </c>
      <c r="X122" s="798">
        <f t="shared" si="118"/>
        <v>1</v>
      </c>
      <c r="Y122" s="798">
        <f t="shared" si="118"/>
        <v>1</v>
      </c>
      <c r="Z122" s="798">
        <f t="shared" si="118"/>
        <v>1</v>
      </c>
      <c r="AA122" s="798">
        <f t="shared" si="118"/>
        <v>1</v>
      </c>
      <c r="AB122" s="798">
        <f t="shared" si="118"/>
        <v>1</v>
      </c>
      <c r="AC122" s="798">
        <f t="shared" si="118"/>
        <v>1</v>
      </c>
      <c r="AD122" s="798">
        <f t="shared" si="118"/>
        <v>1</v>
      </c>
      <c r="AE122" s="798">
        <f t="shared" si="118"/>
        <v>1</v>
      </c>
      <c r="AF122" s="798">
        <f t="shared" si="118"/>
        <v>1</v>
      </c>
      <c r="AG122" s="798">
        <f t="shared" si="118"/>
        <v>1</v>
      </c>
      <c r="AH122" s="798">
        <f t="shared" si="118"/>
        <v>1</v>
      </c>
      <c r="AI122" s="798">
        <f t="shared" si="118"/>
        <v>1</v>
      </c>
      <c r="AJ122" s="798">
        <f t="shared" si="118"/>
        <v>1</v>
      </c>
      <c r="AK122" s="798">
        <f t="shared" si="118"/>
        <v>1</v>
      </c>
      <c r="AL122" s="798">
        <f t="shared" si="118"/>
        <v>1</v>
      </c>
      <c r="AM122" s="798">
        <f t="shared" si="118"/>
        <v>1</v>
      </c>
      <c r="AN122" s="798">
        <f t="shared" si="118"/>
        <v>1</v>
      </c>
      <c r="AO122" s="798">
        <f t="shared" si="118"/>
        <v>1</v>
      </c>
      <c r="AP122" s="798">
        <f t="shared" si="118"/>
        <v>1</v>
      </c>
      <c r="AQ122" s="798">
        <f t="shared" si="118"/>
        <v>1</v>
      </c>
      <c r="AR122" s="798">
        <f t="shared" si="118"/>
        <v>1</v>
      </c>
      <c r="AS122" s="798">
        <f t="shared" si="118"/>
        <v>1</v>
      </c>
      <c r="AT122" s="798">
        <f t="shared" si="118"/>
        <v>1</v>
      </c>
      <c r="AU122" s="798">
        <f t="shared" si="118"/>
        <v>1</v>
      </c>
      <c r="AV122" s="798">
        <f t="shared" si="118"/>
        <v>1</v>
      </c>
      <c r="AW122" s="798">
        <f t="shared" si="118"/>
        <v>1</v>
      </c>
      <c r="AX122" s="798">
        <f t="shared" si="118"/>
        <v>1</v>
      </c>
      <c r="AY122" s="798">
        <f t="shared" si="118"/>
        <v>1</v>
      </c>
      <c r="AZ122" s="798">
        <f t="shared" si="118"/>
        <v>1</v>
      </c>
      <c r="BA122" s="798">
        <f t="shared" si="118"/>
        <v>1</v>
      </c>
      <c r="BB122" s="798">
        <f t="shared" si="118"/>
        <v>1</v>
      </c>
      <c r="BC122" s="798">
        <f t="shared" si="118"/>
        <v>1</v>
      </c>
      <c r="BD122" s="798">
        <f t="shared" si="118"/>
        <v>1</v>
      </c>
      <c r="BE122" s="798">
        <f t="shared" si="118"/>
        <v>1</v>
      </c>
      <c r="BF122" s="798">
        <f t="shared" si="118"/>
        <v>1</v>
      </c>
      <c r="BG122" s="798">
        <f t="shared" si="118"/>
        <v>1</v>
      </c>
      <c r="BH122" s="798">
        <f t="shared" si="118"/>
        <v>1</v>
      </c>
      <c r="BI122" s="798">
        <f t="shared" si="118"/>
        <v>1</v>
      </c>
      <c r="BJ122" s="798">
        <f t="shared" si="118"/>
        <v>1</v>
      </c>
      <c r="BK122" s="798">
        <f t="shared" si="118"/>
        <v>1</v>
      </c>
      <c r="BL122" s="765"/>
      <c r="BM122" s="817"/>
      <c r="BN122" s="817"/>
    </row>
    <row r="123" hidden="1">
      <c r="A123" s="765"/>
      <c r="B123" s="765"/>
      <c r="C123" s="765"/>
      <c r="D123" s="765"/>
      <c r="E123" s="765"/>
      <c r="F123" s="765"/>
      <c r="G123" s="765"/>
      <c r="H123" s="765"/>
      <c r="I123" s="765">
        <f t="shared" si="17"/>
        <v>112</v>
      </c>
      <c r="J123" s="763">
        <f t="shared" si="5"/>
        <v>8622751821</v>
      </c>
      <c r="K123" s="796">
        <f t="shared" si="7"/>
        <v>0.28979</v>
      </c>
      <c r="L123" s="796">
        <v>5.0E-4</v>
      </c>
      <c r="M123" s="763">
        <v>9.83210013821119E9</v>
      </c>
      <c r="N123" s="797">
        <f t="shared" si="8"/>
        <v>0</v>
      </c>
      <c r="O123" s="798">
        <f t="shared" ref="O123:BK123" si="119">FLOOR(MIN((((N("value of ELS upgrade")+N$8*($K123-$K122))*(N("Check checkbox")+(IF($G$6=TRUE,$G$7,$G$8))/$G$8))/(N("ROI of ELS and multiply by 2 if ELS is 1:1")+IF($G$12 = True, 2, 1) * $J123))/((N("difference in ELS+ and the cost of it")+(($K122*O$8)-($K122*N$8)) / O$7)),(N("MIN lets it return 0 or 1 after floored")+1)),1)</f>
        <v>0</v>
      </c>
      <c r="P123" s="798">
        <f t="shared" si="119"/>
        <v>0</v>
      </c>
      <c r="Q123" s="798">
        <f t="shared" si="119"/>
        <v>1</v>
      </c>
      <c r="R123" s="798">
        <f t="shared" si="119"/>
        <v>1</v>
      </c>
      <c r="S123" s="798">
        <f t="shared" si="119"/>
        <v>1</v>
      </c>
      <c r="T123" s="798">
        <f t="shared" si="119"/>
        <v>1</v>
      </c>
      <c r="U123" s="798">
        <f t="shared" si="119"/>
        <v>1</v>
      </c>
      <c r="V123" s="798">
        <f t="shared" si="119"/>
        <v>1</v>
      </c>
      <c r="W123" s="798">
        <f t="shared" si="119"/>
        <v>1</v>
      </c>
      <c r="X123" s="798">
        <f t="shared" si="119"/>
        <v>1</v>
      </c>
      <c r="Y123" s="798">
        <f t="shared" si="119"/>
        <v>1</v>
      </c>
      <c r="Z123" s="798">
        <f t="shared" si="119"/>
        <v>1</v>
      </c>
      <c r="AA123" s="798">
        <f t="shared" si="119"/>
        <v>1</v>
      </c>
      <c r="AB123" s="798">
        <f t="shared" si="119"/>
        <v>1</v>
      </c>
      <c r="AC123" s="798">
        <f t="shared" si="119"/>
        <v>1</v>
      </c>
      <c r="AD123" s="798">
        <f t="shared" si="119"/>
        <v>1</v>
      </c>
      <c r="AE123" s="798">
        <f t="shared" si="119"/>
        <v>1</v>
      </c>
      <c r="AF123" s="798">
        <f t="shared" si="119"/>
        <v>1</v>
      </c>
      <c r="AG123" s="798">
        <f t="shared" si="119"/>
        <v>1</v>
      </c>
      <c r="AH123" s="798">
        <f t="shared" si="119"/>
        <v>1</v>
      </c>
      <c r="AI123" s="798">
        <f t="shared" si="119"/>
        <v>1</v>
      </c>
      <c r="AJ123" s="798">
        <f t="shared" si="119"/>
        <v>1</v>
      </c>
      <c r="AK123" s="798">
        <f t="shared" si="119"/>
        <v>1</v>
      </c>
      <c r="AL123" s="798">
        <f t="shared" si="119"/>
        <v>1</v>
      </c>
      <c r="AM123" s="798">
        <f t="shared" si="119"/>
        <v>1</v>
      </c>
      <c r="AN123" s="798">
        <f t="shared" si="119"/>
        <v>1</v>
      </c>
      <c r="AO123" s="798">
        <f t="shared" si="119"/>
        <v>1</v>
      </c>
      <c r="AP123" s="798">
        <f t="shared" si="119"/>
        <v>1</v>
      </c>
      <c r="AQ123" s="798">
        <f t="shared" si="119"/>
        <v>1</v>
      </c>
      <c r="AR123" s="798">
        <f t="shared" si="119"/>
        <v>1</v>
      </c>
      <c r="AS123" s="798">
        <f t="shared" si="119"/>
        <v>1</v>
      </c>
      <c r="AT123" s="798">
        <f t="shared" si="119"/>
        <v>1</v>
      </c>
      <c r="AU123" s="798">
        <f t="shared" si="119"/>
        <v>1</v>
      </c>
      <c r="AV123" s="798">
        <f t="shared" si="119"/>
        <v>1</v>
      </c>
      <c r="AW123" s="798">
        <f t="shared" si="119"/>
        <v>1</v>
      </c>
      <c r="AX123" s="798">
        <f t="shared" si="119"/>
        <v>1</v>
      </c>
      <c r="AY123" s="798">
        <f t="shared" si="119"/>
        <v>1</v>
      </c>
      <c r="AZ123" s="798">
        <f t="shared" si="119"/>
        <v>1</v>
      </c>
      <c r="BA123" s="798">
        <f t="shared" si="119"/>
        <v>1</v>
      </c>
      <c r="BB123" s="798">
        <f t="shared" si="119"/>
        <v>1</v>
      </c>
      <c r="BC123" s="798">
        <f t="shared" si="119"/>
        <v>1</v>
      </c>
      <c r="BD123" s="798">
        <f t="shared" si="119"/>
        <v>1</v>
      </c>
      <c r="BE123" s="798">
        <f t="shared" si="119"/>
        <v>1</v>
      </c>
      <c r="BF123" s="798">
        <f t="shared" si="119"/>
        <v>1</v>
      </c>
      <c r="BG123" s="798">
        <f t="shared" si="119"/>
        <v>1</v>
      </c>
      <c r="BH123" s="798">
        <f t="shared" si="119"/>
        <v>1</v>
      </c>
      <c r="BI123" s="798">
        <f t="shared" si="119"/>
        <v>1</v>
      </c>
      <c r="BJ123" s="798">
        <f t="shared" si="119"/>
        <v>1</v>
      </c>
      <c r="BK123" s="798">
        <f t="shared" si="119"/>
        <v>1</v>
      </c>
      <c r="BL123" s="765"/>
      <c r="BM123" s="817"/>
      <c r="BN123" s="817"/>
    </row>
    <row r="124" hidden="1">
      <c r="A124" s="765"/>
      <c r="B124" s="765"/>
      <c r="C124" s="765"/>
      <c r="D124" s="765"/>
      <c r="E124" s="765"/>
      <c r="F124" s="765"/>
      <c r="G124" s="765"/>
      <c r="H124" s="765"/>
      <c r="I124" s="765">
        <f t="shared" si="17"/>
        <v>113</v>
      </c>
      <c r="J124" s="763">
        <f t="shared" si="5"/>
        <v>8691864428</v>
      </c>
      <c r="K124" s="796">
        <f t="shared" si="7"/>
        <v>0.29029</v>
      </c>
      <c r="L124" s="796">
        <v>5.0E-4</v>
      </c>
      <c r="M124" s="763">
        <v>9.91090584694862E9</v>
      </c>
      <c r="N124" s="797">
        <f t="shared" si="8"/>
        <v>0</v>
      </c>
      <c r="O124" s="798">
        <f t="shared" ref="O124:BK124" si="120">FLOOR(MIN((((N("value of ELS upgrade")+N$8*($K124-$K123))*(N("Check checkbox")+(IF($G$6=TRUE,$G$7,$G$8))/$G$8))/(N("ROI of ELS and multiply by 2 if ELS is 1:1")+IF($G$12 = True, 2, 1) * $J124))/((N("difference in ELS+ and the cost of it")+(($K123*O$8)-($K123*N$8)) / O$7)),(N("MIN lets it return 0 or 1 after floored")+1)),1)</f>
        <v>0</v>
      </c>
      <c r="P124" s="798">
        <f t="shared" si="120"/>
        <v>0</v>
      </c>
      <c r="Q124" s="798">
        <f t="shared" si="120"/>
        <v>1</v>
      </c>
      <c r="R124" s="798">
        <f t="shared" si="120"/>
        <v>1</v>
      </c>
      <c r="S124" s="798">
        <f t="shared" si="120"/>
        <v>1</v>
      </c>
      <c r="T124" s="798">
        <f t="shared" si="120"/>
        <v>1</v>
      </c>
      <c r="U124" s="798">
        <f t="shared" si="120"/>
        <v>1</v>
      </c>
      <c r="V124" s="798">
        <f t="shared" si="120"/>
        <v>1</v>
      </c>
      <c r="W124" s="798">
        <f t="shared" si="120"/>
        <v>1</v>
      </c>
      <c r="X124" s="798">
        <f t="shared" si="120"/>
        <v>1</v>
      </c>
      <c r="Y124" s="798">
        <f t="shared" si="120"/>
        <v>1</v>
      </c>
      <c r="Z124" s="798">
        <f t="shared" si="120"/>
        <v>1</v>
      </c>
      <c r="AA124" s="798">
        <f t="shared" si="120"/>
        <v>1</v>
      </c>
      <c r="AB124" s="798">
        <f t="shared" si="120"/>
        <v>1</v>
      </c>
      <c r="AC124" s="798">
        <f t="shared" si="120"/>
        <v>1</v>
      </c>
      <c r="AD124" s="798">
        <f t="shared" si="120"/>
        <v>1</v>
      </c>
      <c r="AE124" s="798">
        <f t="shared" si="120"/>
        <v>1</v>
      </c>
      <c r="AF124" s="798">
        <f t="shared" si="120"/>
        <v>1</v>
      </c>
      <c r="AG124" s="798">
        <f t="shared" si="120"/>
        <v>1</v>
      </c>
      <c r="AH124" s="798">
        <f t="shared" si="120"/>
        <v>1</v>
      </c>
      <c r="AI124" s="798">
        <f t="shared" si="120"/>
        <v>1</v>
      </c>
      <c r="AJ124" s="798">
        <f t="shared" si="120"/>
        <v>1</v>
      </c>
      <c r="AK124" s="798">
        <f t="shared" si="120"/>
        <v>1</v>
      </c>
      <c r="AL124" s="798">
        <f t="shared" si="120"/>
        <v>1</v>
      </c>
      <c r="AM124" s="798">
        <f t="shared" si="120"/>
        <v>1</v>
      </c>
      <c r="AN124" s="798">
        <f t="shared" si="120"/>
        <v>1</v>
      </c>
      <c r="AO124" s="798">
        <f t="shared" si="120"/>
        <v>1</v>
      </c>
      <c r="AP124" s="798">
        <f t="shared" si="120"/>
        <v>1</v>
      </c>
      <c r="AQ124" s="798">
        <f t="shared" si="120"/>
        <v>1</v>
      </c>
      <c r="AR124" s="798">
        <f t="shared" si="120"/>
        <v>1</v>
      </c>
      <c r="AS124" s="798">
        <f t="shared" si="120"/>
        <v>1</v>
      </c>
      <c r="AT124" s="798">
        <f t="shared" si="120"/>
        <v>1</v>
      </c>
      <c r="AU124" s="798">
        <f t="shared" si="120"/>
        <v>1</v>
      </c>
      <c r="AV124" s="798">
        <f t="shared" si="120"/>
        <v>1</v>
      </c>
      <c r="AW124" s="798">
        <f t="shared" si="120"/>
        <v>1</v>
      </c>
      <c r="AX124" s="798">
        <f t="shared" si="120"/>
        <v>1</v>
      </c>
      <c r="AY124" s="798">
        <f t="shared" si="120"/>
        <v>1</v>
      </c>
      <c r="AZ124" s="798">
        <f t="shared" si="120"/>
        <v>1</v>
      </c>
      <c r="BA124" s="798">
        <f t="shared" si="120"/>
        <v>1</v>
      </c>
      <c r="BB124" s="798">
        <f t="shared" si="120"/>
        <v>1</v>
      </c>
      <c r="BC124" s="798">
        <f t="shared" si="120"/>
        <v>1</v>
      </c>
      <c r="BD124" s="798">
        <f t="shared" si="120"/>
        <v>1</v>
      </c>
      <c r="BE124" s="798">
        <f t="shared" si="120"/>
        <v>1</v>
      </c>
      <c r="BF124" s="798">
        <f t="shared" si="120"/>
        <v>1</v>
      </c>
      <c r="BG124" s="798">
        <f t="shared" si="120"/>
        <v>1</v>
      </c>
      <c r="BH124" s="798">
        <f t="shared" si="120"/>
        <v>1</v>
      </c>
      <c r="BI124" s="798">
        <f t="shared" si="120"/>
        <v>1</v>
      </c>
      <c r="BJ124" s="798">
        <f t="shared" si="120"/>
        <v>1</v>
      </c>
      <c r="BK124" s="798">
        <f t="shared" si="120"/>
        <v>1</v>
      </c>
      <c r="BL124" s="765"/>
      <c r="BM124" s="817"/>
      <c r="BN124" s="817"/>
    </row>
    <row r="125" hidden="1">
      <c r="A125" s="765"/>
      <c r="B125" s="765"/>
      <c r="C125" s="765"/>
      <c r="D125" s="765"/>
      <c r="E125" s="765"/>
      <c r="F125" s="765"/>
      <c r="G125" s="765"/>
      <c r="H125" s="765"/>
      <c r="I125" s="765">
        <f t="shared" si="17"/>
        <v>114</v>
      </c>
      <c r="J125" s="763">
        <f t="shared" si="5"/>
        <v>8761052386</v>
      </c>
      <c r="K125" s="796">
        <f t="shared" si="7"/>
        <v>0.29079</v>
      </c>
      <c r="L125" s="796">
        <v>5.0E-4</v>
      </c>
      <c r="M125" s="763">
        <v>9.98979747523438E9</v>
      </c>
      <c r="N125" s="797">
        <f t="shared" si="8"/>
        <v>0</v>
      </c>
      <c r="O125" s="798">
        <f t="shared" ref="O125:BK125" si="121">FLOOR(MIN((((N("value of ELS upgrade")+N$8*($K125-$K124))*(N("Check checkbox")+(IF($G$6=TRUE,$G$7,$G$8))/$G$8))/(N("ROI of ELS and multiply by 2 if ELS is 1:1")+IF($G$12 = True, 2, 1) * $J125))/((N("difference in ELS+ and the cost of it")+(($K124*O$8)-($K124*N$8)) / O$7)),(N("MIN lets it return 0 or 1 after floored")+1)),1)</f>
        <v>0</v>
      </c>
      <c r="P125" s="798">
        <f t="shared" si="121"/>
        <v>0</v>
      </c>
      <c r="Q125" s="798">
        <f t="shared" si="121"/>
        <v>1</v>
      </c>
      <c r="R125" s="798">
        <f t="shared" si="121"/>
        <v>1</v>
      </c>
      <c r="S125" s="798">
        <f t="shared" si="121"/>
        <v>1</v>
      </c>
      <c r="T125" s="798">
        <f t="shared" si="121"/>
        <v>1</v>
      </c>
      <c r="U125" s="798">
        <f t="shared" si="121"/>
        <v>1</v>
      </c>
      <c r="V125" s="798">
        <f t="shared" si="121"/>
        <v>1</v>
      </c>
      <c r="W125" s="798">
        <f t="shared" si="121"/>
        <v>1</v>
      </c>
      <c r="X125" s="798">
        <f t="shared" si="121"/>
        <v>1</v>
      </c>
      <c r="Y125" s="798">
        <f t="shared" si="121"/>
        <v>1</v>
      </c>
      <c r="Z125" s="798">
        <f t="shared" si="121"/>
        <v>1</v>
      </c>
      <c r="AA125" s="798">
        <f t="shared" si="121"/>
        <v>1</v>
      </c>
      <c r="AB125" s="798">
        <f t="shared" si="121"/>
        <v>1</v>
      </c>
      <c r="AC125" s="798">
        <f t="shared" si="121"/>
        <v>1</v>
      </c>
      <c r="AD125" s="798">
        <f t="shared" si="121"/>
        <v>1</v>
      </c>
      <c r="AE125" s="798">
        <f t="shared" si="121"/>
        <v>1</v>
      </c>
      <c r="AF125" s="798">
        <f t="shared" si="121"/>
        <v>1</v>
      </c>
      <c r="AG125" s="798">
        <f t="shared" si="121"/>
        <v>1</v>
      </c>
      <c r="AH125" s="798">
        <f t="shared" si="121"/>
        <v>1</v>
      </c>
      <c r="AI125" s="798">
        <f t="shared" si="121"/>
        <v>1</v>
      </c>
      <c r="AJ125" s="798">
        <f t="shared" si="121"/>
        <v>1</v>
      </c>
      <c r="AK125" s="798">
        <f t="shared" si="121"/>
        <v>1</v>
      </c>
      <c r="AL125" s="798">
        <f t="shared" si="121"/>
        <v>1</v>
      </c>
      <c r="AM125" s="798">
        <f t="shared" si="121"/>
        <v>1</v>
      </c>
      <c r="AN125" s="798">
        <f t="shared" si="121"/>
        <v>1</v>
      </c>
      <c r="AO125" s="798">
        <f t="shared" si="121"/>
        <v>1</v>
      </c>
      <c r="AP125" s="798">
        <f t="shared" si="121"/>
        <v>1</v>
      </c>
      <c r="AQ125" s="798">
        <f t="shared" si="121"/>
        <v>1</v>
      </c>
      <c r="AR125" s="798">
        <f t="shared" si="121"/>
        <v>1</v>
      </c>
      <c r="AS125" s="798">
        <f t="shared" si="121"/>
        <v>1</v>
      </c>
      <c r="AT125" s="798">
        <f t="shared" si="121"/>
        <v>1</v>
      </c>
      <c r="AU125" s="798">
        <f t="shared" si="121"/>
        <v>1</v>
      </c>
      <c r="AV125" s="798">
        <f t="shared" si="121"/>
        <v>1</v>
      </c>
      <c r="AW125" s="798">
        <f t="shared" si="121"/>
        <v>1</v>
      </c>
      <c r="AX125" s="798">
        <f t="shared" si="121"/>
        <v>1</v>
      </c>
      <c r="AY125" s="798">
        <f t="shared" si="121"/>
        <v>1</v>
      </c>
      <c r="AZ125" s="798">
        <f t="shared" si="121"/>
        <v>1</v>
      </c>
      <c r="BA125" s="798">
        <f t="shared" si="121"/>
        <v>1</v>
      </c>
      <c r="BB125" s="798">
        <f t="shared" si="121"/>
        <v>1</v>
      </c>
      <c r="BC125" s="798">
        <f t="shared" si="121"/>
        <v>1</v>
      </c>
      <c r="BD125" s="798">
        <f t="shared" si="121"/>
        <v>1</v>
      </c>
      <c r="BE125" s="798">
        <f t="shared" si="121"/>
        <v>1</v>
      </c>
      <c r="BF125" s="798">
        <f t="shared" si="121"/>
        <v>1</v>
      </c>
      <c r="BG125" s="798">
        <f t="shared" si="121"/>
        <v>1</v>
      </c>
      <c r="BH125" s="798">
        <f t="shared" si="121"/>
        <v>1</v>
      </c>
      <c r="BI125" s="798">
        <f t="shared" si="121"/>
        <v>1</v>
      </c>
      <c r="BJ125" s="798">
        <f t="shared" si="121"/>
        <v>1</v>
      </c>
      <c r="BK125" s="798">
        <f t="shared" si="121"/>
        <v>1</v>
      </c>
      <c r="BL125" s="765"/>
      <c r="BM125" s="817"/>
      <c r="BN125" s="817"/>
    </row>
    <row r="126" hidden="1">
      <c r="A126" s="765"/>
      <c r="B126" s="765"/>
      <c r="C126" s="765"/>
      <c r="D126" s="765"/>
      <c r="E126" s="765"/>
      <c r="F126" s="765"/>
      <c r="G126" s="765"/>
      <c r="H126" s="765"/>
      <c r="I126" s="765">
        <f t="shared" si="17"/>
        <v>115</v>
      </c>
      <c r="J126" s="763">
        <f t="shared" si="5"/>
        <v>8830316613</v>
      </c>
      <c r="K126" s="796">
        <f t="shared" si="7"/>
        <v>0.29129</v>
      </c>
      <c r="L126" s="796">
        <v>5.0E-4</v>
      </c>
      <c r="M126" s="763">
        <v>1.00687760696143E10</v>
      </c>
      <c r="N126" s="797">
        <f t="shared" si="8"/>
        <v>0</v>
      </c>
      <c r="O126" s="798">
        <f t="shared" ref="O126:BK126" si="122">FLOOR(MIN((((N("value of ELS upgrade")+N$8*($K126-$K125))*(N("Check checkbox")+(IF($G$6=TRUE,$G$7,$G$8))/$G$8))/(N("ROI of ELS and multiply by 2 if ELS is 1:1")+IF($G$12 = True, 2, 1) * $J126))/((N("difference in ELS+ and the cost of it")+(($K125*O$8)-($K125*N$8)) / O$7)),(N("MIN lets it return 0 or 1 after floored")+1)),1)</f>
        <v>0</v>
      </c>
      <c r="P126" s="798">
        <f t="shared" si="122"/>
        <v>0</v>
      </c>
      <c r="Q126" s="798">
        <f t="shared" si="122"/>
        <v>1</v>
      </c>
      <c r="R126" s="798">
        <f t="shared" si="122"/>
        <v>1</v>
      </c>
      <c r="S126" s="798">
        <f t="shared" si="122"/>
        <v>1</v>
      </c>
      <c r="T126" s="798">
        <f t="shared" si="122"/>
        <v>1</v>
      </c>
      <c r="U126" s="798">
        <f t="shared" si="122"/>
        <v>1</v>
      </c>
      <c r="V126" s="798">
        <f t="shared" si="122"/>
        <v>1</v>
      </c>
      <c r="W126" s="798">
        <f t="shared" si="122"/>
        <v>1</v>
      </c>
      <c r="X126" s="798">
        <f t="shared" si="122"/>
        <v>1</v>
      </c>
      <c r="Y126" s="798">
        <f t="shared" si="122"/>
        <v>1</v>
      </c>
      <c r="Z126" s="798">
        <f t="shared" si="122"/>
        <v>1</v>
      </c>
      <c r="AA126" s="798">
        <f t="shared" si="122"/>
        <v>1</v>
      </c>
      <c r="AB126" s="798">
        <f t="shared" si="122"/>
        <v>1</v>
      </c>
      <c r="AC126" s="798">
        <f t="shared" si="122"/>
        <v>1</v>
      </c>
      <c r="AD126" s="798">
        <f t="shared" si="122"/>
        <v>1</v>
      </c>
      <c r="AE126" s="798">
        <f t="shared" si="122"/>
        <v>1</v>
      </c>
      <c r="AF126" s="798">
        <f t="shared" si="122"/>
        <v>1</v>
      </c>
      <c r="AG126" s="798">
        <f t="shared" si="122"/>
        <v>1</v>
      </c>
      <c r="AH126" s="798">
        <f t="shared" si="122"/>
        <v>1</v>
      </c>
      <c r="AI126" s="798">
        <f t="shared" si="122"/>
        <v>1</v>
      </c>
      <c r="AJ126" s="798">
        <f t="shared" si="122"/>
        <v>1</v>
      </c>
      <c r="AK126" s="798">
        <f t="shared" si="122"/>
        <v>1</v>
      </c>
      <c r="AL126" s="798">
        <f t="shared" si="122"/>
        <v>1</v>
      </c>
      <c r="AM126" s="798">
        <f t="shared" si="122"/>
        <v>1</v>
      </c>
      <c r="AN126" s="798">
        <f t="shared" si="122"/>
        <v>1</v>
      </c>
      <c r="AO126" s="798">
        <f t="shared" si="122"/>
        <v>1</v>
      </c>
      <c r="AP126" s="798">
        <f t="shared" si="122"/>
        <v>1</v>
      </c>
      <c r="AQ126" s="798">
        <f t="shared" si="122"/>
        <v>1</v>
      </c>
      <c r="AR126" s="798">
        <f t="shared" si="122"/>
        <v>1</v>
      </c>
      <c r="AS126" s="798">
        <f t="shared" si="122"/>
        <v>1</v>
      </c>
      <c r="AT126" s="798">
        <f t="shared" si="122"/>
        <v>1</v>
      </c>
      <c r="AU126" s="798">
        <f t="shared" si="122"/>
        <v>1</v>
      </c>
      <c r="AV126" s="798">
        <f t="shared" si="122"/>
        <v>1</v>
      </c>
      <c r="AW126" s="798">
        <f t="shared" si="122"/>
        <v>1</v>
      </c>
      <c r="AX126" s="798">
        <f t="shared" si="122"/>
        <v>1</v>
      </c>
      <c r="AY126" s="798">
        <f t="shared" si="122"/>
        <v>1</v>
      </c>
      <c r="AZ126" s="798">
        <f t="shared" si="122"/>
        <v>1</v>
      </c>
      <c r="BA126" s="798">
        <f t="shared" si="122"/>
        <v>1</v>
      </c>
      <c r="BB126" s="798">
        <f t="shared" si="122"/>
        <v>1</v>
      </c>
      <c r="BC126" s="798">
        <f t="shared" si="122"/>
        <v>1</v>
      </c>
      <c r="BD126" s="798">
        <f t="shared" si="122"/>
        <v>1</v>
      </c>
      <c r="BE126" s="798">
        <f t="shared" si="122"/>
        <v>1</v>
      </c>
      <c r="BF126" s="798">
        <f t="shared" si="122"/>
        <v>1</v>
      </c>
      <c r="BG126" s="798">
        <f t="shared" si="122"/>
        <v>1</v>
      </c>
      <c r="BH126" s="798">
        <f t="shared" si="122"/>
        <v>1</v>
      </c>
      <c r="BI126" s="798">
        <f t="shared" si="122"/>
        <v>1</v>
      </c>
      <c r="BJ126" s="798">
        <f t="shared" si="122"/>
        <v>1</v>
      </c>
      <c r="BK126" s="798">
        <f t="shared" si="122"/>
        <v>1</v>
      </c>
      <c r="BL126" s="765"/>
      <c r="BM126" s="817"/>
      <c r="BN126" s="817"/>
    </row>
    <row r="127" hidden="1">
      <c r="A127" s="765"/>
      <c r="B127" s="765"/>
      <c r="C127" s="765"/>
      <c r="D127" s="765"/>
      <c r="E127" s="765"/>
      <c r="F127" s="765"/>
      <c r="G127" s="765"/>
      <c r="H127" s="765"/>
      <c r="I127" s="765">
        <f t="shared" si="17"/>
        <v>116</v>
      </c>
      <c r="J127" s="763">
        <f t="shared" si="5"/>
        <v>8899658027</v>
      </c>
      <c r="K127" s="796">
        <f t="shared" si="7"/>
        <v>0.29179</v>
      </c>
      <c r="L127" s="796">
        <v>5.0E-4</v>
      </c>
      <c r="M127" s="763">
        <v>1.01478426766344E10</v>
      </c>
      <c r="N127" s="797">
        <f t="shared" si="8"/>
        <v>0</v>
      </c>
      <c r="O127" s="798">
        <f t="shared" ref="O127:BK127" si="123">FLOOR(MIN((((N("value of ELS upgrade")+N$8*($K127-$K126))*(N("Check checkbox")+(IF($G$6=TRUE,$G$7,$G$8))/$G$8))/(N("ROI of ELS and multiply by 2 if ELS is 1:1")+IF($G$12 = True, 2, 1) * $J127))/((N("difference in ELS+ and the cost of it")+(($K126*O$8)-($K126*N$8)) / O$7)),(N("MIN lets it return 0 or 1 after floored")+1)),1)</f>
        <v>0</v>
      </c>
      <c r="P127" s="798">
        <f t="shared" si="123"/>
        <v>0</v>
      </c>
      <c r="Q127" s="798">
        <f t="shared" si="123"/>
        <v>1</v>
      </c>
      <c r="R127" s="798">
        <f t="shared" si="123"/>
        <v>1</v>
      </c>
      <c r="S127" s="798">
        <f t="shared" si="123"/>
        <v>1</v>
      </c>
      <c r="T127" s="798">
        <f t="shared" si="123"/>
        <v>1</v>
      </c>
      <c r="U127" s="798">
        <f t="shared" si="123"/>
        <v>1</v>
      </c>
      <c r="V127" s="798">
        <f t="shared" si="123"/>
        <v>1</v>
      </c>
      <c r="W127" s="798">
        <f t="shared" si="123"/>
        <v>1</v>
      </c>
      <c r="X127" s="798">
        <f t="shared" si="123"/>
        <v>1</v>
      </c>
      <c r="Y127" s="798">
        <f t="shared" si="123"/>
        <v>1</v>
      </c>
      <c r="Z127" s="798">
        <f t="shared" si="123"/>
        <v>1</v>
      </c>
      <c r="AA127" s="798">
        <f t="shared" si="123"/>
        <v>1</v>
      </c>
      <c r="AB127" s="798">
        <f t="shared" si="123"/>
        <v>1</v>
      </c>
      <c r="AC127" s="798">
        <f t="shared" si="123"/>
        <v>1</v>
      </c>
      <c r="AD127" s="798">
        <f t="shared" si="123"/>
        <v>1</v>
      </c>
      <c r="AE127" s="798">
        <f t="shared" si="123"/>
        <v>1</v>
      </c>
      <c r="AF127" s="798">
        <f t="shared" si="123"/>
        <v>1</v>
      </c>
      <c r="AG127" s="798">
        <f t="shared" si="123"/>
        <v>1</v>
      </c>
      <c r="AH127" s="798">
        <f t="shared" si="123"/>
        <v>1</v>
      </c>
      <c r="AI127" s="798">
        <f t="shared" si="123"/>
        <v>1</v>
      </c>
      <c r="AJ127" s="798">
        <f t="shared" si="123"/>
        <v>1</v>
      </c>
      <c r="AK127" s="798">
        <f t="shared" si="123"/>
        <v>1</v>
      </c>
      <c r="AL127" s="798">
        <f t="shared" si="123"/>
        <v>1</v>
      </c>
      <c r="AM127" s="798">
        <f t="shared" si="123"/>
        <v>1</v>
      </c>
      <c r="AN127" s="798">
        <f t="shared" si="123"/>
        <v>1</v>
      </c>
      <c r="AO127" s="798">
        <f t="shared" si="123"/>
        <v>1</v>
      </c>
      <c r="AP127" s="798">
        <f t="shared" si="123"/>
        <v>1</v>
      </c>
      <c r="AQ127" s="798">
        <f t="shared" si="123"/>
        <v>1</v>
      </c>
      <c r="AR127" s="798">
        <f t="shared" si="123"/>
        <v>1</v>
      </c>
      <c r="AS127" s="798">
        <f t="shared" si="123"/>
        <v>1</v>
      </c>
      <c r="AT127" s="798">
        <f t="shared" si="123"/>
        <v>1</v>
      </c>
      <c r="AU127" s="798">
        <f t="shared" si="123"/>
        <v>1</v>
      </c>
      <c r="AV127" s="798">
        <f t="shared" si="123"/>
        <v>1</v>
      </c>
      <c r="AW127" s="798">
        <f t="shared" si="123"/>
        <v>1</v>
      </c>
      <c r="AX127" s="798">
        <f t="shared" si="123"/>
        <v>1</v>
      </c>
      <c r="AY127" s="798">
        <f t="shared" si="123"/>
        <v>1</v>
      </c>
      <c r="AZ127" s="798">
        <f t="shared" si="123"/>
        <v>1</v>
      </c>
      <c r="BA127" s="798">
        <f t="shared" si="123"/>
        <v>1</v>
      </c>
      <c r="BB127" s="798">
        <f t="shared" si="123"/>
        <v>1</v>
      </c>
      <c r="BC127" s="798">
        <f t="shared" si="123"/>
        <v>1</v>
      </c>
      <c r="BD127" s="798">
        <f t="shared" si="123"/>
        <v>1</v>
      </c>
      <c r="BE127" s="798">
        <f t="shared" si="123"/>
        <v>1</v>
      </c>
      <c r="BF127" s="798">
        <f t="shared" si="123"/>
        <v>1</v>
      </c>
      <c r="BG127" s="798">
        <f t="shared" si="123"/>
        <v>1</v>
      </c>
      <c r="BH127" s="798">
        <f t="shared" si="123"/>
        <v>1</v>
      </c>
      <c r="BI127" s="798">
        <f t="shared" si="123"/>
        <v>1</v>
      </c>
      <c r="BJ127" s="798">
        <f t="shared" si="123"/>
        <v>1</v>
      </c>
      <c r="BK127" s="798">
        <f t="shared" si="123"/>
        <v>1</v>
      </c>
      <c r="BL127" s="765"/>
      <c r="BM127" s="817"/>
      <c r="BN127" s="817"/>
    </row>
    <row r="128" hidden="1">
      <c r="A128" s="765"/>
      <c r="B128" s="765"/>
      <c r="C128" s="765"/>
      <c r="D128" s="765"/>
      <c r="E128" s="765"/>
      <c r="F128" s="765"/>
      <c r="G128" s="765"/>
      <c r="H128" s="765"/>
      <c r="I128" s="765">
        <f t="shared" si="17"/>
        <v>117</v>
      </c>
      <c r="J128" s="763">
        <f t="shared" si="5"/>
        <v>8969077530</v>
      </c>
      <c r="K128" s="796">
        <f t="shared" si="7"/>
        <v>0.29229</v>
      </c>
      <c r="L128" s="796">
        <v>5.0E-4</v>
      </c>
      <c r="M128" s="763">
        <v>1.02269983241521E10</v>
      </c>
      <c r="N128" s="797">
        <f t="shared" si="8"/>
        <v>0</v>
      </c>
      <c r="O128" s="798">
        <f t="shared" ref="O128:BK128" si="124">FLOOR(MIN((((N("value of ELS upgrade")+N$8*($K128-$K127))*(N("Check checkbox")+(IF($G$6=TRUE,$G$7,$G$8))/$G$8))/(N("ROI of ELS and multiply by 2 if ELS is 1:1")+IF($G$12 = True, 2, 1) * $J128))/((N("difference in ELS+ and the cost of it")+(($K127*O$8)-($K127*N$8)) / O$7)),(N("MIN lets it return 0 or 1 after floored")+1)),1)</f>
        <v>0</v>
      </c>
      <c r="P128" s="798">
        <f t="shared" si="124"/>
        <v>0</v>
      </c>
      <c r="Q128" s="798">
        <f t="shared" si="124"/>
        <v>1</v>
      </c>
      <c r="R128" s="798">
        <f t="shared" si="124"/>
        <v>1</v>
      </c>
      <c r="S128" s="798">
        <f t="shared" si="124"/>
        <v>1</v>
      </c>
      <c r="T128" s="798">
        <f t="shared" si="124"/>
        <v>1</v>
      </c>
      <c r="U128" s="798">
        <f t="shared" si="124"/>
        <v>1</v>
      </c>
      <c r="V128" s="798">
        <f t="shared" si="124"/>
        <v>1</v>
      </c>
      <c r="W128" s="798">
        <f t="shared" si="124"/>
        <v>1</v>
      </c>
      <c r="X128" s="798">
        <f t="shared" si="124"/>
        <v>1</v>
      </c>
      <c r="Y128" s="798">
        <f t="shared" si="124"/>
        <v>1</v>
      </c>
      <c r="Z128" s="798">
        <f t="shared" si="124"/>
        <v>1</v>
      </c>
      <c r="AA128" s="798">
        <f t="shared" si="124"/>
        <v>1</v>
      </c>
      <c r="AB128" s="798">
        <f t="shared" si="124"/>
        <v>1</v>
      </c>
      <c r="AC128" s="798">
        <f t="shared" si="124"/>
        <v>1</v>
      </c>
      <c r="AD128" s="798">
        <f t="shared" si="124"/>
        <v>1</v>
      </c>
      <c r="AE128" s="798">
        <f t="shared" si="124"/>
        <v>1</v>
      </c>
      <c r="AF128" s="798">
        <f t="shared" si="124"/>
        <v>1</v>
      </c>
      <c r="AG128" s="798">
        <f t="shared" si="124"/>
        <v>1</v>
      </c>
      <c r="AH128" s="798">
        <f t="shared" si="124"/>
        <v>1</v>
      </c>
      <c r="AI128" s="798">
        <f t="shared" si="124"/>
        <v>1</v>
      </c>
      <c r="AJ128" s="798">
        <f t="shared" si="124"/>
        <v>1</v>
      </c>
      <c r="AK128" s="798">
        <f t="shared" si="124"/>
        <v>1</v>
      </c>
      <c r="AL128" s="798">
        <f t="shared" si="124"/>
        <v>1</v>
      </c>
      <c r="AM128" s="798">
        <f t="shared" si="124"/>
        <v>1</v>
      </c>
      <c r="AN128" s="798">
        <f t="shared" si="124"/>
        <v>1</v>
      </c>
      <c r="AO128" s="798">
        <f t="shared" si="124"/>
        <v>1</v>
      </c>
      <c r="AP128" s="798">
        <f t="shared" si="124"/>
        <v>1</v>
      </c>
      <c r="AQ128" s="798">
        <f t="shared" si="124"/>
        <v>1</v>
      </c>
      <c r="AR128" s="798">
        <f t="shared" si="124"/>
        <v>1</v>
      </c>
      <c r="AS128" s="798">
        <f t="shared" si="124"/>
        <v>1</v>
      </c>
      <c r="AT128" s="798">
        <f t="shared" si="124"/>
        <v>1</v>
      </c>
      <c r="AU128" s="798">
        <f t="shared" si="124"/>
        <v>1</v>
      </c>
      <c r="AV128" s="798">
        <f t="shared" si="124"/>
        <v>1</v>
      </c>
      <c r="AW128" s="798">
        <f t="shared" si="124"/>
        <v>1</v>
      </c>
      <c r="AX128" s="798">
        <f t="shared" si="124"/>
        <v>1</v>
      </c>
      <c r="AY128" s="798">
        <f t="shared" si="124"/>
        <v>1</v>
      </c>
      <c r="AZ128" s="798">
        <f t="shared" si="124"/>
        <v>1</v>
      </c>
      <c r="BA128" s="798">
        <f t="shared" si="124"/>
        <v>1</v>
      </c>
      <c r="BB128" s="798">
        <f t="shared" si="124"/>
        <v>1</v>
      </c>
      <c r="BC128" s="798">
        <f t="shared" si="124"/>
        <v>1</v>
      </c>
      <c r="BD128" s="798">
        <f t="shared" si="124"/>
        <v>1</v>
      </c>
      <c r="BE128" s="798">
        <f t="shared" si="124"/>
        <v>1</v>
      </c>
      <c r="BF128" s="798">
        <f t="shared" si="124"/>
        <v>1</v>
      </c>
      <c r="BG128" s="798">
        <f t="shared" si="124"/>
        <v>1</v>
      </c>
      <c r="BH128" s="798">
        <f t="shared" si="124"/>
        <v>1</v>
      </c>
      <c r="BI128" s="798">
        <f t="shared" si="124"/>
        <v>1</v>
      </c>
      <c r="BJ128" s="798">
        <f t="shared" si="124"/>
        <v>1</v>
      </c>
      <c r="BK128" s="798">
        <f t="shared" si="124"/>
        <v>1</v>
      </c>
      <c r="BL128" s="765"/>
      <c r="BM128" s="817"/>
      <c r="BN128" s="817"/>
    </row>
    <row r="129" hidden="1">
      <c r="A129" s="765"/>
      <c r="B129" s="765"/>
      <c r="C129" s="765"/>
      <c r="D129" s="765"/>
      <c r="E129" s="765"/>
      <c r="F129" s="765"/>
      <c r="G129" s="765"/>
      <c r="H129" s="765"/>
      <c r="I129" s="765">
        <f t="shared" si="17"/>
        <v>118</v>
      </c>
      <c r="J129" s="763">
        <f t="shared" si="5"/>
        <v>9038576048</v>
      </c>
      <c r="K129" s="796">
        <f t="shared" si="7"/>
        <v>0.29279</v>
      </c>
      <c r="L129" s="796">
        <v>5.0E-4</v>
      </c>
      <c r="M129" s="763">
        <v>1.03062440680576E10</v>
      </c>
      <c r="N129" s="797">
        <f t="shared" si="8"/>
        <v>0</v>
      </c>
      <c r="O129" s="798">
        <f t="shared" ref="O129:BK129" si="125">FLOOR(MIN((((N("value of ELS upgrade")+N$8*($K129-$K128))*(N("Check checkbox")+(IF($G$6=TRUE,$G$7,$G$8))/$G$8))/(N("ROI of ELS and multiply by 2 if ELS is 1:1")+IF($G$12 = True, 2, 1) * $J129))/((N("difference in ELS+ and the cost of it")+(($K128*O$8)-($K128*N$8)) / O$7)),(N("MIN lets it return 0 or 1 after floored")+1)),1)</f>
        <v>0</v>
      </c>
      <c r="P129" s="798">
        <f t="shared" si="125"/>
        <v>0</v>
      </c>
      <c r="Q129" s="798">
        <f t="shared" si="125"/>
        <v>1</v>
      </c>
      <c r="R129" s="798">
        <f t="shared" si="125"/>
        <v>1</v>
      </c>
      <c r="S129" s="798">
        <f t="shared" si="125"/>
        <v>1</v>
      </c>
      <c r="T129" s="798">
        <f t="shared" si="125"/>
        <v>1</v>
      </c>
      <c r="U129" s="798">
        <f t="shared" si="125"/>
        <v>1</v>
      </c>
      <c r="V129" s="798">
        <f t="shared" si="125"/>
        <v>1</v>
      </c>
      <c r="W129" s="798">
        <f t="shared" si="125"/>
        <v>1</v>
      </c>
      <c r="X129" s="798">
        <f t="shared" si="125"/>
        <v>1</v>
      </c>
      <c r="Y129" s="798">
        <f t="shared" si="125"/>
        <v>1</v>
      </c>
      <c r="Z129" s="798">
        <f t="shared" si="125"/>
        <v>1</v>
      </c>
      <c r="AA129" s="798">
        <f t="shared" si="125"/>
        <v>1</v>
      </c>
      <c r="AB129" s="798">
        <f t="shared" si="125"/>
        <v>1</v>
      </c>
      <c r="AC129" s="798">
        <f t="shared" si="125"/>
        <v>1</v>
      </c>
      <c r="AD129" s="798">
        <f t="shared" si="125"/>
        <v>1</v>
      </c>
      <c r="AE129" s="798">
        <f t="shared" si="125"/>
        <v>1</v>
      </c>
      <c r="AF129" s="798">
        <f t="shared" si="125"/>
        <v>1</v>
      </c>
      <c r="AG129" s="798">
        <f t="shared" si="125"/>
        <v>1</v>
      </c>
      <c r="AH129" s="798">
        <f t="shared" si="125"/>
        <v>1</v>
      </c>
      <c r="AI129" s="798">
        <f t="shared" si="125"/>
        <v>1</v>
      </c>
      <c r="AJ129" s="798">
        <f t="shared" si="125"/>
        <v>1</v>
      </c>
      <c r="AK129" s="798">
        <f t="shared" si="125"/>
        <v>1</v>
      </c>
      <c r="AL129" s="798">
        <f t="shared" si="125"/>
        <v>1</v>
      </c>
      <c r="AM129" s="798">
        <f t="shared" si="125"/>
        <v>1</v>
      </c>
      <c r="AN129" s="798">
        <f t="shared" si="125"/>
        <v>1</v>
      </c>
      <c r="AO129" s="798">
        <f t="shared" si="125"/>
        <v>1</v>
      </c>
      <c r="AP129" s="798">
        <f t="shared" si="125"/>
        <v>1</v>
      </c>
      <c r="AQ129" s="798">
        <f t="shared" si="125"/>
        <v>1</v>
      </c>
      <c r="AR129" s="798">
        <f t="shared" si="125"/>
        <v>1</v>
      </c>
      <c r="AS129" s="798">
        <f t="shared" si="125"/>
        <v>1</v>
      </c>
      <c r="AT129" s="798">
        <f t="shared" si="125"/>
        <v>1</v>
      </c>
      <c r="AU129" s="798">
        <f t="shared" si="125"/>
        <v>1</v>
      </c>
      <c r="AV129" s="798">
        <f t="shared" si="125"/>
        <v>1</v>
      </c>
      <c r="AW129" s="798">
        <f t="shared" si="125"/>
        <v>1</v>
      </c>
      <c r="AX129" s="798">
        <f t="shared" si="125"/>
        <v>1</v>
      </c>
      <c r="AY129" s="798">
        <f t="shared" si="125"/>
        <v>1</v>
      </c>
      <c r="AZ129" s="798">
        <f t="shared" si="125"/>
        <v>1</v>
      </c>
      <c r="BA129" s="798">
        <f t="shared" si="125"/>
        <v>1</v>
      </c>
      <c r="BB129" s="798">
        <f t="shared" si="125"/>
        <v>1</v>
      </c>
      <c r="BC129" s="798">
        <f t="shared" si="125"/>
        <v>1</v>
      </c>
      <c r="BD129" s="798">
        <f t="shared" si="125"/>
        <v>1</v>
      </c>
      <c r="BE129" s="798">
        <f t="shared" si="125"/>
        <v>1</v>
      </c>
      <c r="BF129" s="798">
        <f t="shared" si="125"/>
        <v>1</v>
      </c>
      <c r="BG129" s="798">
        <f t="shared" si="125"/>
        <v>1</v>
      </c>
      <c r="BH129" s="798">
        <f t="shared" si="125"/>
        <v>1</v>
      </c>
      <c r="BI129" s="798">
        <f t="shared" si="125"/>
        <v>1</v>
      </c>
      <c r="BJ129" s="798">
        <f t="shared" si="125"/>
        <v>1</v>
      </c>
      <c r="BK129" s="798">
        <f t="shared" si="125"/>
        <v>1</v>
      </c>
      <c r="BL129" s="765"/>
      <c r="BM129" s="817"/>
      <c r="BN129" s="817"/>
    </row>
    <row r="130" hidden="1">
      <c r="A130" s="765"/>
      <c r="B130" s="765"/>
      <c r="C130" s="765"/>
      <c r="D130" s="765"/>
      <c r="E130" s="765"/>
      <c r="F130" s="765"/>
      <c r="G130" s="765"/>
      <c r="H130" s="765"/>
      <c r="I130" s="765">
        <f t="shared" si="17"/>
        <v>119</v>
      </c>
      <c r="J130" s="763">
        <f t="shared" si="5"/>
        <v>9108154497</v>
      </c>
      <c r="K130" s="796">
        <f t="shared" si="7"/>
        <v>0.29329</v>
      </c>
      <c r="L130" s="796">
        <v>5.0E-4</v>
      </c>
      <c r="M130" s="763">
        <v>1.03855809548966E10</v>
      </c>
      <c r="N130" s="797">
        <f t="shared" si="8"/>
        <v>0</v>
      </c>
      <c r="O130" s="798">
        <f t="shared" ref="O130:BK130" si="126">FLOOR(MIN((((N("value of ELS upgrade")+N$8*($K130-$K129))*(N("Check checkbox")+(IF($G$6=TRUE,$G$7,$G$8))/$G$8))/(N("ROI of ELS and multiply by 2 if ELS is 1:1")+IF($G$12 = True, 2, 1) * $J130))/((N("difference in ELS+ and the cost of it")+(($K129*O$8)-($K129*N$8)) / O$7)),(N("MIN lets it return 0 or 1 after floored")+1)),1)</f>
        <v>0</v>
      </c>
      <c r="P130" s="798">
        <f t="shared" si="126"/>
        <v>0</v>
      </c>
      <c r="Q130" s="798">
        <f t="shared" si="126"/>
        <v>1</v>
      </c>
      <c r="R130" s="798">
        <f t="shared" si="126"/>
        <v>1</v>
      </c>
      <c r="S130" s="798">
        <f t="shared" si="126"/>
        <v>1</v>
      </c>
      <c r="T130" s="798">
        <f t="shared" si="126"/>
        <v>1</v>
      </c>
      <c r="U130" s="798">
        <f t="shared" si="126"/>
        <v>1</v>
      </c>
      <c r="V130" s="798">
        <f t="shared" si="126"/>
        <v>1</v>
      </c>
      <c r="W130" s="798">
        <f t="shared" si="126"/>
        <v>1</v>
      </c>
      <c r="X130" s="798">
        <f t="shared" si="126"/>
        <v>1</v>
      </c>
      <c r="Y130" s="798">
        <f t="shared" si="126"/>
        <v>1</v>
      </c>
      <c r="Z130" s="798">
        <f t="shared" si="126"/>
        <v>1</v>
      </c>
      <c r="AA130" s="798">
        <f t="shared" si="126"/>
        <v>1</v>
      </c>
      <c r="AB130" s="798">
        <f t="shared" si="126"/>
        <v>1</v>
      </c>
      <c r="AC130" s="798">
        <f t="shared" si="126"/>
        <v>1</v>
      </c>
      <c r="AD130" s="798">
        <f t="shared" si="126"/>
        <v>1</v>
      </c>
      <c r="AE130" s="798">
        <f t="shared" si="126"/>
        <v>1</v>
      </c>
      <c r="AF130" s="798">
        <f t="shared" si="126"/>
        <v>1</v>
      </c>
      <c r="AG130" s="798">
        <f t="shared" si="126"/>
        <v>1</v>
      </c>
      <c r="AH130" s="798">
        <f t="shared" si="126"/>
        <v>1</v>
      </c>
      <c r="AI130" s="798">
        <f t="shared" si="126"/>
        <v>1</v>
      </c>
      <c r="AJ130" s="798">
        <f t="shared" si="126"/>
        <v>1</v>
      </c>
      <c r="AK130" s="798">
        <f t="shared" si="126"/>
        <v>1</v>
      </c>
      <c r="AL130" s="798">
        <f t="shared" si="126"/>
        <v>1</v>
      </c>
      <c r="AM130" s="798">
        <f t="shared" si="126"/>
        <v>1</v>
      </c>
      <c r="AN130" s="798">
        <f t="shared" si="126"/>
        <v>1</v>
      </c>
      <c r="AO130" s="798">
        <f t="shared" si="126"/>
        <v>1</v>
      </c>
      <c r="AP130" s="798">
        <f t="shared" si="126"/>
        <v>1</v>
      </c>
      <c r="AQ130" s="798">
        <f t="shared" si="126"/>
        <v>1</v>
      </c>
      <c r="AR130" s="798">
        <f t="shared" si="126"/>
        <v>1</v>
      </c>
      <c r="AS130" s="798">
        <f t="shared" si="126"/>
        <v>1</v>
      </c>
      <c r="AT130" s="798">
        <f t="shared" si="126"/>
        <v>1</v>
      </c>
      <c r="AU130" s="798">
        <f t="shared" si="126"/>
        <v>1</v>
      </c>
      <c r="AV130" s="798">
        <f t="shared" si="126"/>
        <v>1</v>
      </c>
      <c r="AW130" s="798">
        <f t="shared" si="126"/>
        <v>1</v>
      </c>
      <c r="AX130" s="798">
        <f t="shared" si="126"/>
        <v>1</v>
      </c>
      <c r="AY130" s="798">
        <f t="shared" si="126"/>
        <v>1</v>
      </c>
      <c r="AZ130" s="798">
        <f t="shared" si="126"/>
        <v>1</v>
      </c>
      <c r="BA130" s="798">
        <f t="shared" si="126"/>
        <v>1</v>
      </c>
      <c r="BB130" s="798">
        <f t="shared" si="126"/>
        <v>1</v>
      </c>
      <c r="BC130" s="798">
        <f t="shared" si="126"/>
        <v>1</v>
      </c>
      <c r="BD130" s="798">
        <f t="shared" si="126"/>
        <v>1</v>
      </c>
      <c r="BE130" s="798">
        <f t="shared" si="126"/>
        <v>1</v>
      </c>
      <c r="BF130" s="798">
        <f t="shared" si="126"/>
        <v>1</v>
      </c>
      <c r="BG130" s="798">
        <f t="shared" si="126"/>
        <v>1</v>
      </c>
      <c r="BH130" s="798">
        <f t="shared" si="126"/>
        <v>1</v>
      </c>
      <c r="BI130" s="798">
        <f t="shared" si="126"/>
        <v>1</v>
      </c>
      <c r="BJ130" s="798">
        <f t="shared" si="126"/>
        <v>1</v>
      </c>
      <c r="BK130" s="798">
        <f t="shared" si="126"/>
        <v>1</v>
      </c>
      <c r="BL130" s="765"/>
      <c r="BM130" s="817"/>
      <c r="BN130" s="817"/>
    </row>
    <row r="131" hidden="1">
      <c r="A131" s="765"/>
      <c r="B131" s="765"/>
      <c r="C131" s="765"/>
      <c r="D131" s="765"/>
      <c r="E131" s="765"/>
      <c r="F131" s="765"/>
      <c r="G131" s="765"/>
      <c r="H131" s="765"/>
      <c r="I131" s="765">
        <f t="shared" si="17"/>
        <v>120</v>
      </c>
      <c r="J131" s="763">
        <f t="shared" si="5"/>
        <v>9177813814</v>
      </c>
      <c r="K131" s="796">
        <f t="shared" si="7"/>
        <v>0.29379</v>
      </c>
      <c r="L131" s="796">
        <v>5.0E-4</v>
      </c>
      <c r="M131" s="763">
        <v>1.04650100499034E10</v>
      </c>
      <c r="N131" s="797">
        <f t="shared" si="8"/>
        <v>0</v>
      </c>
      <c r="O131" s="798">
        <f t="shared" ref="O131:BK131" si="127">FLOOR(MIN((((N("value of ELS upgrade")+N$8*($K131-$K130))*(N("Check checkbox")+(IF($G$6=TRUE,$G$7,$G$8))/$G$8))/(N("ROI of ELS and multiply by 2 if ELS is 1:1")+IF($G$12 = True, 2, 1) * $J131))/((N("difference in ELS+ and the cost of it")+(($K130*O$8)-($K130*N$8)) / O$7)),(N("MIN lets it return 0 or 1 after floored")+1)),1)</f>
        <v>0</v>
      </c>
      <c r="P131" s="798">
        <f t="shared" si="127"/>
        <v>0</v>
      </c>
      <c r="Q131" s="798">
        <f t="shared" si="127"/>
        <v>1</v>
      </c>
      <c r="R131" s="798">
        <f t="shared" si="127"/>
        <v>1</v>
      </c>
      <c r="S131" s="798">
        <f t="shared" si="127"/>
        <v>1</v>
      </c>
      <c r="T131" s="798">
        <f t="shared" si="127"/>
        <v>1</v>
      </c>
      <c r="U131" s="798">
        <f t="shared" si="127"/>
        <v>1</v>
      </c>
      <c r="V131" s="798">
        <f t="shared" si="127"/>
        <v>1</v>
      </c>
      <c r="W131" s="798">
        <f t="shared" si="127"/>
        <v>1</v>
      </c>
      <c r="X131" s="798">
        <f t="shared" si="127"/>
        <v>1</v>
      </c>
      <c r="Y131" s="798">
        <f t="shared" si="127"/>
        <v>1</v>
      </c>
      <c r="Z131" s="798">
        <f t="shared" si="127"/>
        <v>1</v>
      </c>
      <c r="AA131" s="798">
        <f t="shared" si="127"/>
        <v>1</v>
      </c>
      <c r="AB131" s="798">
        <f t="shared" si="127"/>
        <v>1</v>
      </c>
      <c r="AC131" s="798">
        <f t="shared" si="127"/>
        <v>1</v>
      </c>
      <c r="AD131" s="798">
        <f t="shared" si="127"/>
        <v>1</v>
      </c>
      <c r="AE131" s="798">
        <f t="shared" si="127"/>
        <v>1</v>
      </c>
      <c r="AF131" s="798">
        <f t="shared" si="127"/>
        <v>1</v>
      </c>
      <c r="AG131" s="798">
        <f t="shared" si="127"/>
        <v>1</v>
      </c>
      <c r="AH131" s="798">
        <f t="shared" si="127"/>
        <v>1</v>
      </c>
      <c r="AI131" s="798">
        <f t="shared" si="127"/>
        <v>1</v>
      </c>
      <c r="AJ131" s="798">
        <f t="shared" si="127"/>
        <v>1</v>
      </c>
      <c r="AK131" s="798">
        <f t="shared" si="127"/>
        <v>1</v>
      </c>
      <c r="AL131" s="798">
        <f t="shared" si="127"/>
        <v>1</v>
      </c>
      <c r="AM131" s="798">
        <f t="shared" si="127"/>
        <v>1</v>
      </c>
      <c r="AN131" s="798">
        <f t="shared" si="127"/>
        <v>1</v>
      </c>
      <c r="AO131" s="798">
        <f t="shared" si="127"/>
        <v>1</v>
      </c>
      <c r="AP131" s="798">
        <f t="shared" si="127"/>
        <v>1</v>
      </c>
      <c r="AQ131" s="798">
        <f t="shared" si="127"/>
        <v>1</v>
      </c>
      <c r="AR131" s="798">
        <f t="shared" si="127"/>
        <v>1</v>
      </c>
      <c r="AS131" s="798">
        <f t="shared" si="127"/>
        <v>1</v>
      </c>
      <c r="AT131" s="798">
        <f t="shared" si="127"/>
        <v>1</v>
      </c>
      <c r="AU131" s="798">
        <f t="shared" si="127"/>
        <v>1</v>
      </c>
      <c r="AV131" s="798">
        <f t="shared" si="127"/>
        <v>1</v>
      </c>
      <c r="AW131" s="798">
        <f t="shared" si="127"/>
        <v>1</v>
      </c>
      <c r="AX131" s="798">
        <f t="shared" si="127"/>
        <v>1</v>
      </c>
      <c r="AY131" s="798">
        <f t="shared" si="127"/>
        <v>1</v>
      </c>
      <c r="AZ131" s="798">
        <f t="shared" si="127"/>
        <v>1</v>
      </c>
      <c r="BA131" s="798">
        <f t="shared" si="127"/>
        <v>1</v>
      </c>
      <c r="BB131" s="798">
        <f t="shared" si="127"/>
        <v>1</v>
      </c>
      <c r="BC131" s="798">
        <f t="shared" si="127"/>
        <v>1</v>
      </c>
      <c r="BD131" s="798">
        <f t="shared" si="127"/>
        <v>1</v>
      </c>
      <c r="BE131" s="798">
        <f t="shared" si="127"/>
        <v>1</v>
      </c>
      <c r="BF131" s="798">
        <f t="shared" si="127"/>
        <v>1</v>
      </c>
      <c r="BG131" s="798">
        <f t="shared" si="127"/>
        <v>1</v>
      </c>
      <c r="BH131" s="798">
        <f t="shared" si="127"/>
        <v>1</v>
      </c>
      <c r="BI131" s="798">
        <f t="shared" si="127"/>
        <v>1</v>
      </c>
      <c r="BJ131" s="798">
        <f t="shared" si="127"/>
        <v>1</v>
      </c>
      <c r="BK131" s="798">
        <f t="shared" si="127"/>
        <v>1</v>
      </c>
      <c r="BL131" s="765"/>
      <c r="BM131" s="817"/>
      <c r="BN131" s="817"/>
    </row>
    <row r="132" hidden="1">
      <c r="A132" s="765"/>
      <c r="B132" s="765"/>
      <c r="C132" s="765"/>
      <c r="D132" s="765"/>
      <c r="E132" s="765"/>
      <c r="F132" s="765"/>
      <c r="G132" s="765"/>
      <c r="H132" s="765"/>
      <c r="I132" s="765">
        <f t="shared" si="17"/>
        <v>121</v>
      </c>
      <c r="J132" s="763">
        <f t="shared" si="5"/>
        <v>18495109829</v>
      </c>
      <c r="K132" s="796">
        <f t="shared" si="7"/>
        <v>0.29429</v>
      </c>
      <c r="L132" s="796">
        <v>5.0E-4</v>
      </c>
      <c r="M132" s="763">
        <v>2.10890647992478E10</v>
      </c>
      <c r="N132" s="797">
        <f t="shared" si="8"/>
        <v>0</v>
      </c>
      <c r="O132" s="798">
        <f t="shared" ref="O132:BK132" si="128">FLOOR(MIN((((N("value of ELS upgrade")+N$8*($K132-$K131))*(N("Check checkbox")+(IF($G$6=TRUE,$G$7,$G$8))/$G$8))/(N("ROI of ELS and multiply by 2 if ELS is 1:1")+IF($G$12 = True, 2, 1) * $J132))/((N("difference in ELS+ and the cost of it")+(($K131*O$8)-($K131*N$8)) / O$7)),(N("MIN lets it return 0 or 1 after floored")+1)),1)</f>
        <v>0</v>
      </c>
      <c r="P132" s="798">
        <f t="shared" si="128"/>
        <v>0</v>
      </c>
      <c r="Q132" s="798">
        <f t="shared" si="128"/>
        <v>1</v>
      </c>
      <c r="R132" s="798">
        <f t="shared" si="128"/>
        <v>1</v>
      </c>
      <c r="S132" s="798">
        <f t="shared" si="128"/>
        <v>1</v>
      </c>
      <c r="T132" s="798">
        <f t="shared" si="128"/>
        <v>1</v>
      </c>
      <c r="U132" s="798">
        <f t="shared" si="128"/>
        <v>1</v>
      </c>
      <c r="V132" s="798">
        <f t="shared" si="128"/>
        <v>1</v>
      </c>
      <c r="W132" s="798">
        <f t="shared" si="128"/>
        <v>1</v>
      </c>
      <c r="X132" s="798">
        <f t="shared" si="128"/>
        <v>1</v>
      </c>
      <c r="Y132" s="798">
        <f t="shared" si="128"/>
        <v>1</v>
      </c>
      <c r="Z132" s="798">
        <f t="shared" si="128"/>
        <v>1</v>
      </c>
      <c r="AA132" s="798">
        <f t="shared" si="128"/>
        <v>1</v>
      </c>
      <c r="AB132" s="798">
        <f t="shared" si="128"/>
        <v>1</v>
      </c>
      <c r="AC132" s="798">
        <f t="shared" si="128"/>
        <v>1</v>
      </c>
      <c r="AD132" s="798">
        <f t="shared" si="128"/>
        <v>1</v>
      </c>
      <c r="AE132" s="798">
        <f t="shared" si="128"/>
        <v>1</v>
      </c>
      <c r="AF132" s="798">
        <f t="shared" si="128"/>
        <v>1</v>
      </c>
      <c r="AG132" s="798">
        <f t="shared" si="128"/>
        <v>1</v>
      </c>
      <c r="AH132" s="798">
        <f t="shared" si="128"/>
        <v>1</v>
      </c>
      <c r="AI132" s="798">
        <f t="shared" si="128"/>
        <v>1</v>
      </c>
      <c r="AJ132" s="798">
        <f t="shared" si="128"/>
        <v>1</v>
      </c>
      <c r="AK132" s="798">
        <f t="shared" si="128"/>
        <v>1</v>
      </c>
      <c r="AL132" s="798">
        <f t="shared" si="128"/>
        <v>1</v>
      </c>
      <c r="AM132" s="798">
        <f t="shared" si="128"/>
        <v>1</v>
      </c>
      <c r="AN132" s="798">
        <f t="shared" si="128"/>
        <v>1</v>
      </c>
      <c r="AO132" s="798">
        <f t="shared" si="128"/>
        <v>1</v>
      </c>
      <c r="AP132" s="798">
        <f t="shared" si="128"/>
        <v>1</v>
      </c>
      <c r="AQ132" s="798">
        <f t="shared" si="128"/>
        <v>1</v>
      </c>
      <c r="AR132" s="798">
        <f t="shared" si="128"/>
        <v>1</v>
      </c>
      <c r="AS132" s="798">
        <f t="shared" si="128"/>
        <v>1</v>
      </c>
      <c r="AT132" s="798">
        <f t="shared" si="128"/>
        <v>1</v>
      </c>
      <c r="AU132" s="798">
        <f t="shared" si="128"/>
        <v>1</v>
      </c>
      <c r="AV132" s="798">
        <f t="shared" si="128"/>
        <v>1</v>
      </c>
      <c r="AW132" s="798">
        <f t="shared" si="128"/>
        <v>1</v>
      </c>
      <c r="AX132" s="798">
        <f t="shared" si="128"/>
        <v>1</v>
      </c>
      <c r="AY132" s="798">
        <f t="shared" si="128"/>
        <v>1</v>
      </c>
      <c r="AZ132" s="798">
        <f t="shared" si="128"/>
        <v>1</v>
      </c>
      <c r="BA132" s="798">
        <f t="shared" si="128"/>
        <v>1</v>
      </c>
      <c r="BB132" s="798">
        <f t="shared" si="128"/>
        <v>1</v>
      </c>
      <c r="BC132" s="798">
        <f t="shared" si="128"/>
        <v>1</v>
      </c>
      <c r="BD132" s="798">
        <f t="shared" si="128"/>
        <v>1</v>
      </c>
      <c r="BE132" s="798">
        <f t="shared" si="128"/>
        <v>1</v>
      </c>
      <c r="BF132" s="798">
        <f t="shared" si="128"/>
        <v>1</v>
      </c>
      <c r="BG132" s="798">
        <f t="shared" si="128"/>
        <v>1</v>
      </c>
      <c r="BH132" s="798">
        <f t="shared" si="128"/>
        <v>1</v>
      </c>
      <c r="BI132" s="798">
        <f t="shared" si="128"/>
        <v>1</v>
      </c>
      <c r="BJ132" s="798">
        <f t="shared" si="128"/>
        <v>1</v>
      </c>
      <c r="BK132" s="798">
        <f t="shared" si="128"/>
        <v>1</v>
      </c>
      <c r="BL132" s="765"/>
      <c r="BM132" s="817"/>
      <c r="BN132" s="817"/>
    </row>
    <row r="133" hidden="1">
      <c r="A133" s="765"/>
      <c r="B133" s="765"/>
      <c r="C133" s="765"/>
      <c r="D133" s="765"/>
      <c r="E133" s="765"/>
      <c r="F133" s="765"/>
      <c r="G133" s="765"/>
      <c r="H133" s="765"/>
      <c r="I133" s="765">
        <f t="shared" si="17"/>
        <v>122</v>
      </c>
      <c r="J133" s="763">
        <f t="shared" si="5"/>
        <v>18634757435</v>
      </c>
      <c r="K133" s="796">
        <f t="shared" si="7"/>
        <v>0.29479</v>
      </c>
      <c r="L133" s="796">
        <v>5.0E-4</v>
      </c>
      <c r="M133" s="763">
        <v>2.12482981012079E10</v>
      </c>
      <c r="N133" s="797">
        <f t="shared" si="8"/>
        <v>0</v>
      </c>
      <c r="O133" s="798">
        <f t="shared" ref="O133:BK133" si="129">FLOOR(MIN((((N("value of ELS upgrade")+N$8*($K133-$K132))*(N("Check checkbox")+(IF($G$6=TRUE,$G$7,$G$8))/$G$8))/(N("ROI of ELS and multiply by 2 if ELS is 1:1")+IF($G$12 = True, 2, 1) * $J133))/((N("difference in ELS+ and the cost of it")+(($K132*O$8)-($K132*N$8)) / O$7)),(N("MIN lets it return 0 or 1 after floored")+1)),1)</f>
        <v>0</v>
      </c>
      <c r="P133" s="798">
        <f t="shared" si="129"/>
        <v>0</v>
      </c>
      <c r="Q133" s="798">
        <f t="shared" si="129"/>
        <v>1</v>
      </c>
      <c r="R133" s="798">
        <f t="shared" si="129"/>
        <v>1</v>
      </c>
      <c r="S133" s="798">
        <f t="shared" si="129"/>
        <v>1</v>
      </c>
      <c r="T133" s="798">
        <f t="shared" si="129"/>
        <v>1</v>
      </c>
      <c r="U133" s="798">
        <f t="shared" si="129"/>
        <v>1</v>
      </c>
      <c r="V133" s="798">
        <f t="shared" si="129"/>
        <v>1</v>
      </c>
      <c r="W133" s="798">
        <f t="shared" si="129"/>
        <v>1</v>
      </c>
      <c r="X133" s="798">
        <f t="shared" si="129"/>
        <v>1</v>
      </c>
      <c r="Y133" s="798">
        <f t="shared" si="129"/>
        <v>1</v>
      </c>
      <c r="Z133" s="798">
        <f t="shared" si="129"/>
        <v>1</v>
      </c>
      <c r="AA133" s="798">
        <f t="shared" si="129"/>
        <v>1</v>
      </c>
      <c r="AB133" s="798">
        <f t="shared" si="129"/>
        <v>1</v>
      </c>
      <c r="AC133" s="798">
        <f t="shared" si="129"/>
        <v>1</v>
      </c>
      <c r="AD133" s="798">
        <f t="shared" si="129"/>
        <v>1</v>
      </c>
      <c r="AE133" s="798">
        <f t="shared" si="129"/>
        <v>1</v>
      </c>
      <c r="AF133" s="798">
        <f t="shared" si="129"/>
        <v>1</v>
      </c>
      <c r="AG133" s="798">
        <f t="shared" si="129"/>
        <v>1</v>
      </c>
      <c r="AH133" s="798">
        <f t="shared" si="129"/>
        <v>1</v>
      </c>
      <c r="AI133" s="798">
        <f t="shared" si="129"/>
        <v>1</v>
      </c>
      <c r="AJ133" s="798">
        <f t="shared" si="129"/>
        <v>1</v>
      </c>
      <c r="AK133" s="798">
        <f t="shared" si="129"/>
        <v>1</v>
      </c>
      <c r="AL133" s="798">
        <f t="shared" si="129"/>
        <v>1</v>
      </c>
      <c r="AM133" s="798">
        <f t="shared" si="129"/>
        <v>1</v>
      </c>
      <c r="AN133" s="798">
        <f t="shared" si="129"/>
        <v>1</v>
      </c>
      <c r="AO133" s="798">
        <f t="shared" si="129"/>
        <v>1</v>
      </c>
      <c r="AP133" s="798">
        <f t="shared" si="129"/>
        <v>1</v>
      </c>
      <c r="AQ133" s="798">
        <f t="shared" si="129"/>
        <v>1</v>
      </c>
      <c r="AR133" s="798">
        <f t="shared" si="129"/>
        <v>1</v>
      </c>
      <c r="AS133" s="798">
        <f t="shared" si="129"/>
        <v>1</v>
      </c>
      <c r="AT133" s="798">
        <f t="shared" si="129"/>
        <v>1</v>
      </c>
      <c r="AU133" s="798">
        <f t="shared" si="129"/>
        <v>1</v>
      </c>
      <c r="AV133" s="798">
        <f t="shared" si="129"/>
        <v>1</v>
      </c>
      <c r="AW133" s="798">
        <f t="shared" si="129"/>
        <v>1</v>
      </c>
      <c r="AX133" s="798">
        <f t="shared" si="129"/>
        <v>1</v>
      </c>
      <c r="AY133" s="798">
        <f t="shared" si="129"/>
        <v>1</v>
      </c>
      <c r="AZ133" s="798">
        <f t="shared" si="129"/>
        <v>1</v>
      </c>
      <c r="BA133" s="798">
        <f t="shared" si="129"/>
        <v>1</v>
      </c>
      <c r="BB133" s="798">
        <f t="shared" si="129"/>
        <v>1</v>
      </c>
      <c r="BC133" s="798">
        <f t="shared" si="129"/>
        <v>1</v>
      </c>
      <c r="BD133" s="798">
        <f t="shared" si="129"/>
        <v>1</v>
      </c>
      <c r="BE133" s="798">
        <f t="shared" si="129"/>
        <v>1</v>
      </c>
      <c r="BF133" s="798">
        <f t="shared" si="129"/>
        <v>1</v>
      </c>
      <c r="BG133" s="798">
        <f t="shared" si="129"/>
        <v>1</v>
      </c>
      <c r="BH133" s="798">
        <f t="shared" si="129"/>
        <v>1</v>
      </c>
      <c r="BI133" s="798">
        <f t="shared" si="129"/>
        <v>1</v>
      </c>
      <c r="BJ133" s="798">
        <f t="shared" si="129"/>
        <v>1</v>
      </c>
      <c r="BK133" s="798">
        <f t="shared" si="129"/>
        <v>1</v>
      </c>
      <c r="BL133" s="765"/>
      <c r="BM133" s="817"/>
      <c r="BN133" s="817"/>
    </row>
    <row r="134" hidden="1">
      <c r="A134" s="765"/>
      <c r="B134" s="765"/>
      <c r="C134" s="765"/>
      <c r="D134" s="765"/>
      <c r="E134" s="765"/>
      <c r="F134" s="765"/>
      <c r="G134" s="765"/>
      <c r="H134" s="765"/>
      <c r="I134" s="765">
        <f t="shared" si="17"/>
        <v>123</v>
      </c>
      <c r="J134" s="763">
        <f t="shared" si="5"/>
        <v>18774572346</v>
      </c>
      <c r="K134" s="796">
        <f t="shared" si="7"/>
        <v>0.29529</v>
      </c>
      <c r="L134" s="796">
        <v>5.0E-4</v>
      </c>
      <c r="M134" s="763">
        <v>2.14077221735322E10</v>
      </c>
      <c r="N134" s="797">
        <f t="shared" si="8"/>
        <v>0</v>
      </c>
      <c r="O134" s="798">
        <f t="shared" ref="O134:BK134" si="130">FLOOR(MIN((((N("value of ELS upgrade")+N$8*($K134-$K133))*(N("Check checkbox")+(IF($G$6=TRUE,$G$7,$G$8))/$G$8))/(N("ROI of ELS and multiply by 2 if ELS is 1:1")+IF($G$12 = True, 2, 1) * $J134))/((N("difference in ELS+ and the cost of it")+(($K133*O$8)-($K133*N$8)) / O$7)),(N("MIN lets it return 0 or 1 after floored")+1)),1)</f>
        <v>0</v>
      </c>
      <c r="P134" s="798">
        <f t="shared" si="130"/>
        <v>0</v>
      </c>
      <c r="Q134" s="798">
        <f t="shared" si="130"/>
        <v>1</v>
      </c>
      <c r="R134" s="798">
        <f t="shared" si="130"/>
        <v>1</v>
      </c>
      <c r="S134" s="798">
        <f t="shared" si="130"/>
        <v>1</v>
      </c>
      <c r="T134" s="798">
        <f t="shared" si="130"/>
        <v>1</v>
      </c>
      <c r="U134" s="798">
        <f t="shared" si="130"/>
        <v>1</v>
      </c>
      <c r="V134" s="798">
        <f t="shared" si="130"/>
        <v>1</v>
      </c>
      <c r="W134" s="798">
        <f t="shared" si="130"/>
        <v>1</v>
      </c>
      <c r="X134" s="798">
        <f t="shared" si="130"/>
        <v>1</v>
      </c>
      <c r="Y134" s="798">
        <f t="shared" si="130"/>
        <v>1</v>
      </c>
      <c r="Z134" s="798">
        <f t="shared" si="130"/>
        <v>1</v>
      </c>
      <c r="AA134" s="798">
        <f t="shared" si="130"/>
        <v>1</v>
      </c>
      <c r="AB134" s="798">
        <f t="shared" si="130"/>
        <v>1</v>
      </c>
      <c r="AC134" s="798">
        <f t="shared" si="130"/>
        <v>1</v>
      </c>
      <c r="AD134" s="798">
        <f t="shared" si="130"/>
        <v>1</v>
      </c>
      <c r="AE134" s="798">
        <f t="shared" si="130"/>
        <v>1</v>
      </c>
      <c r="AF134" s="798">
        <f t="shared" si="130"/>
        <v>1</v>
      </c>
      <c r="AG134" s="798">
        <f t="shared" si="130"/>
        <v>1</v>
      </c>
      <c r="AH134" s="798">
        <f t="shared" si="130"/>
        <v>1</v>
      </c>
      <c r="AI134" s="798">
        <f t="shared" si="130"/>
        <v>1</v>
      </c>
      <c r="AJ134" s="798">
        <f t="shared" si="130"/>
        <v>1</v>
      </c>
      <c r="AK134" s="798">
        <f t="shared" si="130"/>
        <v>1</v>
      </c>
      <c r="AL134" s="798">
        <f t="shared" si="130"/>
        <v>1</v>
      </c>
      <c r="AM134" s="798">
        <f t="shared" si="130"/>
        <v>1</v>
      </c>
      <c r="AN134" s="798">
        <f t="shared" si="130"/>
        <v>1</v>
      </c>
      <c r="AO134" s="798">
        <f t="shared" si="130"/>
        <v>1</v>
      </c>
      <c r="AP134" s="798">
        <f t="shared" si="130"/>
        <v>1</v>
      </c>
      <c r="AQ134" s="798">
        <f t="shared" si="130"/>
        <v>1</v>
      </c>
      <c r="AR134" s="798">
        <f t="shared" si="130"/>
        <v>1</v>
      </c>
      <c r="AS134" s="798">
        <f t="shared" si="130"/>
        <v>1</v>
      </c>
      <c r="AT134" s="798">
        <f t="shared" si="130"/>
        <v>1</v>
      </c>
      <c r="AU134" s="798">
        <f t="shared" si="130"/>
        <v>1</v>
      </c>
      <c r="AV134" s="798">
        <f t="shared" si="130"/>
        <v>1</v>
      </c>
      <c r="AW134" s="798">
        <f t="shared" si="130"/>
        <v>1</v>
      </c>
      <c r="AX134" s="798">
        <f t="shared" si="130"/>
        <v>1</v>
      </c>
      <c r="AY134" s="798">
        <f t="shared" si="130"/>
        <v>1</v>
      </c>
      <c r="AZ134" s="798">
        <f t="shared" si="130"/>
        <v>1</v>
      </c>
      <c r="BA134" s="798">
        <f t="shared" si="130"/>
        <v>1</v>
      </c>
      <c r="BB134" s="798">
        <f t="shared" si="130"/>
        <v>1</v>
      </c>
      <c r="BC134" s="798">
        <f t="shared" si="130"/>
        <v>1</v>
      </c>
      <c r="BD134" s="798">
        <f t="shared" si="130"/>
        <v>1</v>
      </c>
      <c r="BE134" s="798">
        <f t="shared" si="130"/>
        <v>1</v>
      </c>
      <c r="BF134" s="798">
        <f t="shared" si="130"/>
        <v>1</v>
      </c>
      <c r="BG134" s="798">
        <f t="shared" si="130"/>
        <v>1</v>
      </c>
      <c r="BH134" s="798">
        <f t="shared" si="130"/>
        <v>1</v>
      </c>
      <c r="BI134" s="798">
        <f t="shared" si="130"/>
        <v>1</v>
      </c>
      <c r="BJ134" s="798">
        <f t="shared" si="130"/>
        <v>1</v>
      </c>
      <c r="BK134" s="798">
        <f t="shared" si="130"/>
        <v>1</v>
      </c>
      <c r="BL134" s="765"/>
      <c r="BM134" s="817"/>
      <c r="BN134" s="817"/>
    </row>
    <row r="135" hidden="1">
      <c r="A135" s="765"/>
      <c r="B135" s="765"/>
      <c r="C135" s="765"/>
      <c r="D135" s="765"/>
      <c r="E135" s="765"/>
      <c r="F135" s="765"/>
      <c r="G135" s="765"/>
      <c r="H135" s="765"/>
      <c r="I135" s="765">
        <f t="shared" si="17"/>
        <v>124</v>
      </c>
      <c r="J135" s="763">
        <f t="shared" si="5"/>
        <v>18914556432</v>
      </c>
      <c r="K135" s="796">
        <f t="shared" si="7"/>
        <v>0.29579</v>
      </c>
      <c r="L135" s="796">
        <v>5.0E-4</v>
      </c>
      <c r="M135" s="763">
        <v>2.15673391466891E10</v>
      </c>
      <c r="N135" s="797">
        <f t="shared" si="8"/>
        <v>0</v>
      </c>
      <c r="O135" s="798">
        <f t="shared" ref="O135:BK135" si="131">FLOOR(MIN((((N("value of ELS upgrade")+N$8*($K135-$K134))*(N("Check checkbox")+(IF($G$6=TRUE,$G$7,$G$8))/$G$8))/(N("ROI of ELS and multiply by 2 if ELS is 1:1")+IF($G$12 = True, 2, 1) * $J135))/((N("difference in ELS+ and the cost of it")+(($K134*O$8)-($K134*N$8)) / O$7)),(N("MIN lets it return 0 or 1 after floored")+1)),1)</f>
        <v>0</v>
      </c>
      <c r="P135" s="798">
        <f t="shared" si="131"/>
        <v>0</v>
      </c>
      <c r="Q135" s="798">
        <f t="shared" si="131"/>
        <v>1</v>
      </c>
      <c r="R135" s="798">
        <f t="shared" si="131"/>
        <v>1</v>
      </c>
      <c r="S135" s="798">
        <f t="shared" si="131"/>
        <v>1</v>
      </c>
      <c r="T135" s="798">
        <f t="shared" si="131"/>
        <v>1</v>
      </c>
      <c r="U135" s="798">
        <f t="shared" si="131"/>
        <v>1</v>
      </c>
      <c r="V135" s="798">
        <f t="shared" si="131"/>
        <v>1</v>
      </c>
      <c r="W135" s="798">
        <f t="shared" si="131"/>
        <v>1</v>
      </c>
      <c r="X135" s="798">
        <f t="shared" si="131"/>
        <v>1</v>
      </c>
      <c r="Y135" s="798">
        <f t="shared" si="131"/>
        <v>1</v>
      </c>
      <c r="Z135" s="798">
        <f t="shared" si="131"/>
        <v>1</v>
      </c>
      <c r="AA135" s="798">
        <f t="shared" si="131"/>
        <v>1</v>
      </c>
      <c r="AB135" s="798">
        <f t="shared" si="131"/>
        <v>1</v>
      </c>
      <c r="AC135" s="798">
        <f t="shared" si="131"/>
        <v>1</v>
      </c>
      <c r="AD135" s="798">
        <f t="shared" si="131"/>
        <v>1</v>
      </c>
      <c r="AE135" s="798">
        <f t="shared" si="131"/>
        <v>1</v>
      </c>
      <c r="AF135" s="798">
        <f t="shared" si="131"/>
        <v>1</v>
      </c>
      <c r="AG135" s="798">
        <f t="shared" si="131"/>
        <v>1</v>
      </c>
      <c r="AH135" s="798">
        <f t="shared" si="131"/>
        <v>1</v>
      </c>
      <c r="AI135" s="798">
        <f t="shared" si="131"/>
        <v>1</v>
      </c>
      <c r="AJ135" s="798">
        <f t="shared" si="131"/>
        <v>1</v>
      </c>
      <c r="AK135" s="798">
        <f t="shared" si="131"/>
        <v>1</v>
      </c>
      <c r="AL135" s="798">
        <f t="shared" si="131"/>
        <v>1</v>
      </c>
      <c r="AM135" s="798">
        <f t="shared" si="131"/>
        <v>1</v>
      </c>
      <c r="AN135" s="798">
        <f t="shared" si="131"/>
        <v>1</v>
      </c>
      <c r="AO135" s="798">
        <f t="shared" si="131"/>
        <v>1</v>
      </c>
      <c r="AP135" s="798">
        <f t="shared" si="131"/>
        <v>1</v>
      </c>
      <c r="AQ135" s="798">
        <f t="shared" si="131"/>
        <v>1</v>
      </c>
      <c r="AR135" s="798">
        <f t="shared" si="131"/>
        <v>1</v>
      </c>
      <c r="AS135" s="798">
        <f t="shared" si="131"/>
        <v>1</v>
      </c>
      <c r="AT135" s="798">
        <f t="shared" si="131"/>
        <v>1</v>
      </c>
      <c r="AU135" s="798">
        <f t="shared" si="131"/>
        <v>1</v>
      </c>
      <c r="AV135" s="798">
        <f t="shared" si="131"/>
        <v>1</v>
      </c>
      <c r="AW135" s="798">
        <f t="shared" si="131"/>
        <v>1</v>
      </c>
      <c r="AX135" s="798">
        <f t="shared" si="131"/>
        <v>1</v>
      </c>
      <c r="AY135" s="798">
        <f t="shared" si="131"/>
        <v>1</v>
      </c>
      <c r="AZ135" s="798">
        <f t="shared" si="131"/>
        <v>1</v>
      </c>
      <c r="BA135" s="798">
        <f t="shared" si="131"/>
        <v>1</v>
      </c>
      <c r="BB135" s="798">
        <f t="shared" si="131"/>
        <v>1</v>
      </c>
      <c r="BC135" s="798">
        <f t="shared" si="131"/>
        <v>1</v>
      </c>
      <c r="BD135" s="798">
        <f t="shared" si="131"/>
        <v>1</v>
      </c>
      <c r="BE135" s="798">
        <f t="shared" si="131"/>
        <v>1</v>
      </c>
      <c r="BF135" s="798">
        <f t="shared" si="131"/>
        <v>1</v>
      </c>
      <c r="BG135" s="798">
        <f t="shared" si="131"/>
        <v>1</v>
      </c>
      <c r="BH135" s="798">
        <f t="shared" si="131"/>
        <v>1</v>
      </c>
      <c r="BI135" s="798">
        <f t="shared" si="131"/>
        <v>1</v>
      </c>
      <c r="BJ135" s="798">
        <f t="shared" si="131"/>
        <v>1</v>
      </c>
      <c r="BK135" s="798">
        <f t="shared" si="131"/>
        <v>1</v>
      </c>
      <c r="BL135" s="765"/>
      <c r="BM135" s="817"/>
      <c r="BN135" s="817"/>
    </row>
    <row r="136" hidden="1">
      <c r="A136" s="765"/>
      <c r="B136" s="765"/>
      <c r="C136" s="765"/>
      <c r="D136" s="765"/>
      <c r="E136" s="765"/>
      <c r="F136" s="765"/>
      <c r="G136" s="765"/>
      <c r="H136" s="765"/>
      <c r="I136" s="765">
        <f t="shared" si="17"/>
        <v>125</v>
      </c>
      <c r="J136" s="763">
        <f t="shared" si="5"/>
        <v>19054711527</v>
      </c>
      <c r="K136" s="796">
        <f t="shared" si="7"/>
        <v>0.29629</v>
      </c>
      <c r="L136" s="796">
        <v>5.0E-4</v>
      </c>
      <c r="M136" s="763">
        <v>2.17271511137703E10</v>
      </c>
      <c r="N136" s="797">
        <f t="shared" si="8"/>
        <v>0</v>
      </c>
      <c r="O136" s="798">
        <f t="shared" ref="O136:BK136" si="132">FLOOR(MIN((((N("value of ELS upgrade")+N$8*($K136-$K135))*(N("Check checkbox")+(IF($G$6=TRUE,$G$7,$G$8))/$G$8))/(N("ROI of ELS and multiply by 2 if ELS is 1:1")+IF($G$12 = True, 2, 1) * $J136))/((N("difference in ELS+ and the cost of it")+(($K135*O$8)-($K135*N$8)) / O$7)),(N("MIN lets it return 0 or 1 after floored")+1)),1)</f>
        <v>0</v>
      </c>
      <c r="P136" s="798">
        <f t="shared" si="132"/>
        <v>0</v>
      </c>
      <c r="Q136" s="798">
        <f t="shared" si="132"/>
        <v>1</v>
      </c>
      <c r="R136" s="798">
        <f t="shared" si="132"/>
        <v>1</v>
      </c>
      <c r="S136" s="798">
        <f t="shared" si="132"/>
        <v>1</v>
      </c>
      <c r="T136" s="798">
        <f t="shared" si="132"/>
        <v>1</v>
      </c>
      <c r="U136" s="798">
        <f t="shared" si="132"/>
        <v>1</v>
      </c>
      <c r="V136" s="798">
        <f t="shared" si="132"/>
        <v>1</v>
      </c>
      <c r="W136" s="798">
        <f t="shared" si="132"/>
        <v>1</v>
      </c>
      <c r="X136" s="798">
        <f t="shared" si="132"/>
        <v>1</v>
      </c>
      <c r="Y136" s="798">
        <f t="shared" si="132"/>
        <v>1</v>
      </c>
      <c r="Z136" s="798">
        <f t="shared" si="132"/>
        <v>1</v>
      </c>
      <c r="AA136" s="798">
        <f t="shared" si="132"/>
        <v>1</v>
      </c>
      <c r="AB136" s="798">
        <f t="shared" si="132"/>
        <v>1</v>
      </c>
      <c r="AC136" s="798">
        <f t="shared" si="132"/>
        <v>1</v>
      </c>
      <c r="AD136" s="798">
        <f t="shared" si="132"/>
        <v>1</v>
      </c>
      <c r="AE136" s="798">
        <f t="shared" si="132"/>
        <v>1</v>
      </c>
      <c r="AF136" s="798">
        <f t="shared" si="132"/>
        <v>1</v>
      </c>
      <c r="AG136" s="798">
        <f t="shared" si="132"/>
        <v>1</v>
      </c>
      <c r="AH136" s="798">
        <f t="shared" si="132"/>
        <v>1</v>
      </c>
      <c r="AI136" s="798">
        <f t="shared" si="132"/>
        <v>1</v>
      </c>
      <c r="AJ136" s="798">
        <f t="shared" si="132"/>
        <v>1</v>
      </c>
      <c r="AK136" s="798">
        <f t="shared" si="132"/>
        <v>1</v>
      </c>
      <c r="AL136" s="798">
        <f t="shared" si="132"/>
        <v>1</v>
      </c>
      <c r="AM136" s="798">
        <f t="shared" si="132"/>
        <v>1</v>
      </c>
      <c r="AN136" s="798">
        <f t="shared" si="132"/>
        <v>1</v>
      </c>
      <c r="AO136" s="798">
        <f t="shared" si="132"/>
        <v>1</v>
      </c>
      <c r="AP136" s="798">
        <f t="shared" si="132"/>
        <v>1</v>
      </c>
      <c r="AQ136" s="798">
        <f t="shared" si="132"/>
        <v>1</v>
      </c>
      <c r="AR136" s="798">
        <f t="shared" si="132"/>
        <v>1</v>
      </c>
      <c r="AS136" s="798">
        <f t="shared" si="132"/>
        <v>1</v>
      </c>
      <c r="AT136" s="798">
        <f t="shared" si="132"/>
        <v>1</v>
      </c>
      <c r="AU136" s="798">
        <f t="shared" si="132"/>
        <v>1</v>
      </c>
      <c r="AV136" s="798">
        <f t="shared" si="132"/>
        <v>1</v>
      </c>
      <c r="AW136" s="798">
        <f t="shared" si="132"/>
        <v>1</v>
      </c>
      <c r="AX136" s="798">
        <f t="shared" si="132"/>
        <v>1</v>
      </c>
      <c r="AY136" s="798">
        <f t="shared" si="132"/>
        <v>1</v>
      </c>
      <c r="AZ136" s="798">
        <f t="shared" si="132"/>
        <v>1</v>
      </c>
      <c r="BA136" s="798">
        <f t="shared" si="132"/>
        <v>1</v>
      </c>
      <c r="BB136" s="798">
        <f t="shared" si="132"/>
        <v>1</v>
      </c>
      <c r="BC136" s="798">
        <f t="shared" si="132"/>
        <v>1</v>
      </c>
      <c r="BD136" s="798">
        <f t="shared" si="132"/>
        <v>1</v>
      </c>
      <c r="BE136" s="798">
        <f t="shared" si="132"/>
        <v>1</v>
      </c>
      <c r="BF136" s="798">
        <f t="shared" si="132"/>
        <v>1</v>
      </c>
      <c r="BG136" s="798">
        <f t="shared" si="132"/>
        <v>1</v>
      </c>
      <c r="BH136" s="798">
        <f t="shared" si="132"/>
        <v>1</v>
      </c>
      <c r="BI136" s="798">
        <f t="shared" si="132"/>
        <v>1</v>
      </c>
      <c r="BJ136" s="798">
        <f t="shared" si="132"/>
        <v>1</v>
      </c>
      <c r="BK136" s="798">
        <f t="shared" si="132"/>
        <v>1</v>
      </c>
      <c r="BL136" s="765"/>
      <c r="BM136" s="817"/>
      <c r="BN136" s="817"/>
    </row>
    <row r="137" hidden="1">
      <c r="A137" s="765"/>
      <c r="B137" s="765"/>
      <c r="C137" s="765"/>
      <c r="D137" s="765"/>
      <c r="E137" s="765"/>
      <c r="F137" s="765"/>
      <c r="G137" s="765"/>
      <c r="H137" s="765"/>
      <c r="I137" s="765">
        <f t="shared" si="17"/>
        <v>126</v>
      </c>
      <c r="J137" s="763">
        <f t="shared" si="5"/>
        <v>21498444405</v>
      </c>
      <c r="K137" s="796">
        <f t="shared" si="7"/>
        <v>0.29679</v>
      </c>
      <c r="L137" s="796">
        <v>5.0E-4</v>
      </c>
      <c r="M137" s="763">
        <v>2.45136196179634E10</v>
      </c>
      <c r="N137" s="797">
        <f t="shared" si="8"/>
        <v>0</v>
      </c>
      <c r="O137" s="798">
        <f t="shared" ref="O137:BK137" si="133">FLOOR(MIN((((N("value of ELS upgrade")+N$8*($K137-$K136))*(N("Check checkbox")+(IF($G$6=TRUE,$G$7,$G$8))/$G$8))/(N("ROI of ELS and multiply by 2 if ELS is 1:1")+IF($G$12 = True, 2, 1) * $J137))/((N("difference in ELS+ and the cost of it")+(($K136*O$8)-($K136*N$8)) / O$7)),(N("MIN lets it return 0 or 1 after floored")+1)),1)</f>
        <v>0</v>
      </c>
      <c r="P137" s="798">
        <f t="shared" si="133"/>
        <v>0</v>
      </c>
      <c r="Q137" s="798">
        <f t="shared" si="133"/>
        <v>1</v>
      </c>
      <c r="R137" s="798">
        <f t="shared" si="133"/>
        <v>1</v>
      </c>
      <c r="S137" s="798">
        <f t="shared" si="133"/>
        <v>1</v>
      </c>
      <c r="T137" s="798">
        <f t="shared" si="133"/>
        <v>1</v>
      </c>
      <c r="U137" s="798">
        <f t="shared" si="133"/>
        <v>1</v>
      </c>
      <c r="V137" s="798">
        <f t="shared" si="133"/>
        <v>1</v>
      </c>
      <c r="W137" s="798">
        <f t="shared" si="133"/>
        <v>1</v>
      </c>
      <c r="X137" s="798">
        <f t="shared" si="133"/>
        <v>1</v>
      </c>
      <c r="Y137" s="798">
        <f t="shared" si="133"/>
        <v>1</v>
      </c>
      <c r="Z137" s="798">
        <f t="shared" si="133"/>
        <v>1</v>
      </c>
      <c r="AA137" s="798">
        <f t="shared" si="133"/>
        <v>1</v>
      </c>
      <c r="AB137" s="798">
        <f t="shared" si="133"/>
        <v>1</v>
      </c>
      <c r="AC137" s="798">
        <f t="shared" si="133"/>
        <v>1</v>
      </c>
      <c r="AD137" s="798">
        <f t="shared" si="133"/>
        <v>1</v>
      </c>
      <c r="AE137" s="798">
        <f t="shared" si="133"/>
        <v>1</v>
      </c>
      <c r="AF137" s="798">
        <f t="shared" si="133"/>
        <v>1</v>
      </c>
      <c r="AG137" s="798">
        <f t="shared" si="133"/>
        <v>1</v>
      </c>
      <c r="AH137" s="798">
        <f t="shared" si="133"/>
        <v>1</v>
      </c>
      <c r="AI137" s="798">
        <f t="shared" si="133"/>
        <v>1</v>
      </c>
      <c r="AJ137" s="798">
        <f t="shared" si="133"/>
        <v>1</v>
      </c>
      <c r="AK137" s="798">
        <f t="shared" si="133"/>
        <v>1</v>
      </c>
      <c r="AL137" s="798">
        <f t="shared" si="133"/>
        <v>1</v>
      </c>
      <c r="AM137" s="798">
        <f t="shared" si="133"/>
        <v>1</v>
      </c>
      <c r="AN137" s="798">
        <f t="shared" si="133"/>
        <v>1</v>
      </c>
      <c r="AO137" s="798">
        <f t="shared" si="133"/>
        <v>1</v>
      </c>
      <c r="AP137" s="798">
        <f t="shared" si="133"/>
        <v>1</v>
      </c>
      <c r="AQ137" s="798">
        <f t="shared" si="133"/>
        <v>1</v>
      </c>
      <c r="AR137" s="798">
        <f t="shared" si="133"/>
        <v>1</v>
      </c>
      <c r="AS137" s="798">
        <f t="shared" si="133"/>
        <v>1</v>
      </c>
      <c r="AT137" s="798">
        <f t="shared" si="133"/>
        <v>1</v>
      </c>
      <c r="AU137" s="798">
        <f t="shared" si="133"/>
        <v>1</v>
      </c>
      <c r="AV137" s="798">
        <f t="shared" si="133"/>
        <v>1</v>
      </c>
      <c r="AW137" s="798">
        <f t="shared" si="133"/>
        <v>1</v>
      </c>
      <c r="AX137" s="798">
        <f t="shared" si="133"/>
        <v>1</v>
      </c>
      <c r="AY137" s="798">
        <f t="shared" si="133"/>
        <v>1</v>
      </c>
      <c r="AZ137" s="798">
        <f t="shared" si="133"/>
        <v>1</v>
      </c>
      <c r="BA137" s="798">
        <f t="shared" si="133"/>
        <v>1</v>
      </c>
      <c r="BB137" s="798">
        <f t="shared" si="133"/>
        <v>1</v>
      </c>
      <c r="BC137" s="798">
        <f t="shared" si="133"/>
        <v>1</v>
      </c>
      <c r="BD137" s="798">
        <f t="shared" si="133"/>
        <v>1</v>
      </c>
      <c r="BE137" s="798">
        <f t="shared" si="133"/>
        <v>1</v>
      </c>
      <c r="BF137" s="798">
        <f t="shared" si="133"/>
        <v>1</v>
      </c>
      <c r="BG137" s="798">
        <f t="shared" si="133"/>
        <v>1</v>
      </c>
      <c r="BH137" s="798">
        <f t="shared" si="133"/>
        <v>1</v>
      </c>
      <c r="BI137" s="798">
        <f t="shared" si="133"/>
        <v>1</v>
      </c>
      <c r="BJ137" s="798">
        <f t="shared" si="133"/>
        <v>1</v>
      </c>
      <c r="BK137" s="798">
        <f t="shared" si="133"/>
        <v>1</v>
      </c>
      <c r="BL137" s="765"/>
      <c r="BM137" s="817"/>
      <c r="BN137" s="817"/>
    </row>
    <row r="138" hidden="1">
      <c r="A138" s="765"/>
      <c r="B138" s="765"/>
      <c r="C138" s="765"/>
      <c r="D138" s="765"/>
      <c r="E138" s="765"/>
      <c r="F138" s="765"/>
      <c r="G138" s="765"/>
      <c r="H138" s="765"/>
      <c r="I138" s="765">
        <f t="shared" si="17"/>
        <v>127</v>
      </c>
      <c r="J138" s="763">
        <f t="shared" si="5"/>
        <v>21655807562</v>
      </c>
      <c r="K138" s="796">
        <f t="shared" si="7"/>
        <v>0.29729</v>
      </c>
      <c r="L138" s="796">
        <v>5.0E-4</v>
      </c>
      <c r="M138" s="763">
        <v>2.46930530922082E10</v>
      </c>
      <c r="N138" s="797">
        <f t="shared" si="8"/>
        <v>0</v>
      </c>
      <c r="O138" s="798">
        <f t="shared" ref="O138:BK138" si="134">FLOOR(MIN((((N("value of ELS upgrade")+N$8*($K138-$K137))*(N("Check checkbox")+(IF($G$6=TRUE,$G$7,$G$8))/$G$8))/(N("ROI of ELS and multiply by 2 if ELS is 1:1")+IF($G$12 = True, 2, 1) * $J138))/((N("difference in ELS+ and the cost of it")+(($K137*O$8)-($K137*N$8)) / O$7)),(N("MIN lets it return 0 or 1 after floored")+1)),1)</f>
        <v>0</v>
      </c>
      <c r="P138" s="798">
        <f t="shared" si="134"/>
        <v>0</v>
      </c>
      <c r="Q138" s="798">
        <f t="shared" si="134"/>
        <v>1</v>
      </c>
      <c r="R138" s="798">
        <f t="shared" si="134"/>
        <v>1</v>
      </c>
      <c r="S138" s="798">
        <f t="shared" si="134"/>
        <v>1</v>
      </c>
      <c r="T138" s="798">
        <f t="shared" si="134"/>
        <v>1</v>
      </c>
      <c r="U138" s="798">
        <f t="shared" si="134"/>
        <v>1</v>
      </c>
      <c r="V138" s="798">
        <f t="shared" si="134"/>
        <v>1</v>
      </c>
      <c r="W138" s="798">
        <f t="shared" si="134"/>
        <v>1</v>
      </c>
      <c r="X138" s="798">
        <f t="shared" si="134"/>
        <v>1</v>
      </c>
      <c r="Y138" s="798">
        <f t="shared" si="134"/>
        <v>1</v>
      </c>
      <c r="Z138" s="798">
        <f t="shared" si="134"/>
        <v>1</v>
      </c>
      <c r="AA138" s="798">
        <f t="shared" si="134"/>
        <v>1</v>
      </c>
      <c r="AB138" s="798">
        <f t="shared" si="134"/>
        <v>1</v>
      </c>
      <c r="AC138" s="798">
        <f t="shared" si="134"/>
        <v>1</v>
      </c>
      <c r="AD138" s="798">
        <f t="shared" si="134"/>
        <v>1</v>
      </c>
      <c r="AE138" s="798">
        <f t="shared" si="134"/>
        <v>1</v>
      </c>
      <c r="AF138" s="798">
        <f t="shared" si="134"/>
        <v>1</v>
      </c>
      <c r="AG138" s="798">
        <f t="shared" si="134"/>
        <v>1</v>
      </c>
      <c r="AH138" s="798">
        <f t="shared" si="134"/>
        <v>1</v>
      </c>
      <c r="AI138" s="798">
        <f t="shared" si="134"/>
        <v>1</v>
      </c>
      <c r="AJ138" s="798">
        <f t="shared" si="134"/>
        <v>1</v>
      </c>
      <c r="AK138" s="798">
        <f t="shared" si="134"/>
        <v>1</v>
      </c>
      <c r="AL138" s="798">
        <f t="shared" si="134"/>
        <v>1</v>
      </c>
      <c r="AM138" s="798">
        <f t="shared" si="134"/>
        <v>1</v>
      </c>
      <c r="AN138" s="798">
        <f t="shared" si="134"/>
        <v>1</v>
      </c>
      <c r="AO138" s="798">
        <f t="shared" si="134"/>
        <v>1</v>
      </c>
      <c r="AP138" s="798">
        <f t="shared" si="134"/>
        <v>1</v>
      </c>
      <c r="AQ138" s="798">
        <f t="shared" si="134"/>
        <v>1</v>
      </c>
      <c r="AR138" s="798">
        <f t="shared" si="134"/>
        <v>1</v>
      </c>
      <c r="AS138" s="798">
        <f t="shared" si="134"/>
        <v>1</v>
      </c>
      <c r="AT138" s="798">
        <f t="shared" si="134"/>
        <v>1</v>
      </c>
      <c r="AU138" s="798">
        <f t="shared" si="134"/>
        <v>1</v>
      </c>
      <c r="AV138" s="798">
        <f t="shared" si="134"/>
        <v>1</v>
      </c>
      <c r="AW138" s="798">
        <f t="shared" si="134"/>
        <v>1</v>
      </c>
      <c r="AX138" s="798">
        <f t="shared" si="134"/>
        <v>1</v>
      </c>
      <c r="AY138" s="798">
        <f t="shared" si="134"/>
        <v>1</v>
      </c>
      <c r="AZ138" s="798">
        <f t="shared" si="134"/>
        <v>1</v>
      </c>
      <c r="BA138" s="798">
        <f t="shared" si="134"/>
        <v>1</v>
      </c>
      <c r="BB138" s="798">
        <f t="shared" si="134"/>
        <v>1</v>
      </c>
      <c r="BC138" s="798">
        <f t="shared" si="134"/>
        <v>1</v>
      </c>
      <c r="BD138" s="798">
        <f t="shared" si="134"/>
        <v>1</v>
      </c>
      <c r="BE138" s="798">
        <f t="shared" si="134"/>
        <v>1</v>
      </c>
      <c r="BF138" s="798">
        <f t="shared" si="134"/>
        <v>1</v>
      </c>
      <c r="BG138" s="798">
        <f t="shared" si="134"/>
        <v>1</v>
      </c>
      <c r="BH138" s="798">
        <f t="shared" si="134"/>
        <v>1</v>
      </c>
      <c r="BI138" s="798">
        <f t="shared" si="134"/>
        <v>1</v>
      </c>
      <c r="BJ138" s="798">
        <f t="shared" si="134"/>
        <v>1</v>
      </c>
      <c r="BK138" s="798">
        <f t="shared" si="134"/>
        <v>1</v>
      </c>
      <c r="BL138" s="765"/>
      <c r="BM138" s="817"/>
      <c r="BN138" s="817"/>
    </row>
    <row r="139" hidden="1">
      <c r="A139" s="765"/>
      <c r="B139" s="765"/>
      <c r="C139" s="765"/>
      <c r="D139" s="765"/>
      <c r="E139" s="765"/>
      <c r="F139" s="765"/>
      <c r="G139" s="765"/>
      <c r="H139" s="765"/>
      <c r="I139" s="765">
        <f t="shared" si="17"/>
        <v>128</v>
      </c>
      <c r="J139" s="763">
        <f t="shared" si="5"/>
        <v>21813368601</v>
      </c>
      <c r="K139" s="796">
        <f t="shared" si="7"/>
        <v>0.29779</v>
      </c>
      <c r="L139" s="796">
        <v>5.0E-4</v>
      </c>
      <c r="M139" s="763">
        <v>2.48727122017469E10</v>
      </c>
      <c r="N139" s="797">
        <f t="shared" si="8"/>
        <v>0</v>
      </c>
      <c r="O139" s="798">
        <f t="shared" ref="O139:BK139" si="135">FLOOR(MIN((((N("value of ELS upgrade")+N$8*($K139-$K138))*(N("Check checkbox")+(IF($G$6=TRUE,$G$7,$G$8))/$G$8))/(N("ROI of ELS and multiply by 2 if ELS is 1:1")+IF($G$12 = True, 2, 1) * $J139))/((N("difference in ELS+ and the cost of it")+(($K138*O$8)-($K138*N$8)) / O$7)),(N("MIN lets it return 0 or 1 after floored")+1)),1)</f>
        <v>0</v>
      </c>
      <c r="P139" s="798">
        <f t="shared" si="135"/>
        <v>0</v>
      </c>
      <c r="Q139" s="798">
        <f t="shared" si="135"/>
        <v>1</v>
      </c>
      <c r="R139" s="798">
        <f t="shared" si="135"/>
        <v>1</v>
      </c>
      <c r="S139" s="798">
        <f t="shared" si="135"/>
        <v>1</v>
      </c>
      <c r="T139" s="798">
        <f t="shared" si="135"/>
        <v>1</v>
      </c>
      <c r="U139" s="798">
        <f t="shared" si="135"/>
        <v>1</v>
      </c>
      <c r="V139" s="798">
        <f t="shared" si="135"/>
        <v>1</v>
      </c>
      <c r="W139" s="798">
        <f t="shared" si="135"/>
        <v>1</v>
      </c>
      <c r="X139" s="798">
        <f t="shared" si="135"/>
        <v>1</v>
      </c>
      <c r="Y139" s="798">
        <f t="shared" si="135"/>
        <v>1</v>
      </c>
      <c r="Z139" s="798">
        <f t="shared" si="135"/>
        <v>1</v>
      </c>
      <c r="AA139" s="798">
        <f t="shared" si="135"/>
        <v>1</v>
      </c>
      <c r="AB139" s="798">
        <f t="shared" si="135"/>
        <v>1</v>
      </c>
      <c r="AC139" s="798">
        <f t="shared" si="135"/>
        <v>1</v>
      </c>
      <c r="AD139" s="798">
        <f t="shared" si="135"/>
        <v>1</v>
      </c>
      <c r="AE139" s="798">
        <f t="shared" si="135"/>
        <v>1</v>
      </c>
      <c r="AF139" s="798">
        <f t="shared" si="135"/>
        <v>1</v>
      </c>
      <c r="AG139" s="798">
        <f t="shared" si="135"/>
        <v>1</v>
      </c>
      <c r="AH139" s="798">
        <f t="shared" si="135"/>
        <v>1</v>
      </c>
      <c r="AI139" s="798">
        <f t="shared" si="135"/>
        <v>1</v>
      </c>
      <c r="AJ139" s="798">
        <f t="shared" si="135"/>
        <v>1</v>
      </c>
      <c r="AK139" s="798">
        <f t="shared" si="135"/>
        <v>1</v>
      </c>
      <c r="AL139" s="798">
        <f t="shared" si="135"/>
        <v>1</v>
      </c>
      <c r="AM139" s="798">
        <f t="shared" si="135"/>
        <v>1</v>
      </c>
      <c r="AN139" s="798">
        <f t="shared" si="135"/>
        <v>1</v>
      </c>
      <c r="AO139" s="798">
        <f t="shared" si="135"/>
        <v>1</v>
      </c>
      <c r="AP139" s="798">
        <f t="shared" si="135"/>
        <v>1</v>
      </c>
      <c r="AQ139" s="798">
        <f t="shared" si="135"/>
        <v>1</v>
      </c>
      <c r="AR139" s="798">
        <f t="shared" si="135"/>
        <v>1</v>
      </c>
      <c r="AS139" s="798">
        <f t="shared" si="135"/>
        <v>1</v>
      </c>
      <c r="AT139" s="798">
        <f t="shared" si="135"/>
        <v>1</v>
      </c>
      <c r="AU139" s="798">
        <f t="shared" si="135"/>
        <v>1</v>
      </c>
      <c r="AV139" s="798">
        <f t="shared" si="135"/>
        <v>1</v>
      </c>
      <c r="AW139" s="798">
        <f t="shared" si="135"/>
        <v>1</v>
      </c>
      <c r="AX139" s="798">
        <f t="shared" si="135"/>
        <v>1</v>
      </c>
      <c r="AY139" s="798">
        <f t="shared" si="135"/>
        <v>1</v>
      </c>
      <c r="AZ139" s="798">
        <f t="shared" si="135"/>
        <v>1</v>
      </c>
      <c r="BA139" s="798">
        <f t="shared" si="135"/>
        <v>1</v>
      </c>
      <c r="BB139" s="798">
        <f t="shared" si="135"/>
        <v>1</v>
      </c>
      <c r="BC139" s="798">
        <f t="shared" si="135"/>
        <v>1</v>
      </c>
      <c r="BD139" s="798">
        <f t="shared" si="135"/>
        <v>1</v>
      </c>
      <c r="BE139" s="798">
        <f t="shared" si="135"/>
        <v>1</v>
      </c>
      <c r="BF139" s="798">
        <f t="shared" si="135"/>
        <v>1</v>
      </c>
      <c r="BG139" s="798">
        <f t="shared" si="135"/>
        <v>1</v>
      </c>
      <c r="BH139" s="798">
        <f t="shared" si="135"/>
        <v>1</v>
      </c>
      <c r="BI139" s="798">
        <f t="shared" si="135"/>
        <v>1</v>
      </c>
      <c r="BJ139" s="798">
        <f t="shared" si="135"/>
        <v>1</v>
      </c>
      <c r="BK139" s="798">
        <f t="shared" si="135"/>
        <v>1</v>
      </c>
      <c r="BL139" s="765"/>
      <c r="BM139" s="817"/>
      <c r="BN139" s="817"/>
    </row>
    <row r="140" hidden="1">
      <c r="A140" s="765"/>
      <c r="B140" s="765"/>
      <c r="C140" s="765"/>
      <c r="D140" s="765"/>
      <c r="E140" s="765"/>
      <c r="F140" s="765"/>
      <c r="G140" s="765"/>
      <c r="H140" s="765"/>
      <c r="I140" s="765">
        <f t="shared" si="17"/>
        <v>129</v>
      </c>
      <c r="J140" s="763">
        <f t="shared" si="5"/>
        <v>21971129688</v>
      </c>
      <c r="K140" s="796">
        <f t="shared" si="7"/>
        <v>0.29829</v>
      </c>
      <c r="L140" s="796">
        <v>5.0E-4</v>
      </c>
      <c r="M140" s="763">
        <v>2.50525994164275E10</v>
      </c>
      <c r="N140" s="797">
        <f t="shared" si="8"/>
        <v>0</v>
      </c>
      <c r="O140" s="798">
        <f t="shared" ref="O140:BK140" si="136">FLOOR(MIN((((N("value of ELS upgrade")+N$8*($K140-$K139))*(N("Check checkbox")+(IF($G$6=TRUE,$G$7,$G$8))/$G$8))/(N("ROI of ELS and multiply by 2 if ELS is 1:1")+IF($G$12 = True, 2, 1) * $J140))/((N("difference in ELS+ and the cost of it")+(($K139*O$8)-($K139*N$8)) / O$7)),(N("MIN lets it return 0 or 1 after floored")+1)),1)</f>
        <v>0</v>
      </c>
      <c r="P140" s="798">
        <f t="shared" si="136"/>
        <v>0</v>
      </c>
      <c r="Q140" s="798">
        <f t="shared" si="136"/>
        <v>1</v>
      </c>
      <c r="R140" s="798">
        <f t="shared" si="136"/>
        <v>1</v>
      </c>
      <c r="S140" s="798">
        <f t="shared" si="136"/>
        <v>1</v>
      </c>
      <c r="T140" s="798">
        <f t="shared" si="136"/>
        <v>1</v>
      </c>
      <c r="U140" s="798">
        <f t="shared" si="136"/>
        <v>1</v>
      </c>
      <c r="V140" s="798">
        <f t="shared" si="136"/>
        <v>1</v>
      </c>
      <c r="W140" s="798">
        <f t="shared" si="136"/>
        <v>1</v>
      </c>
      <c r="X140" s="798">
        <f t="shared" si="136"/>
        <v>1</v>
      </c>
      <c r="Y140" s="798">
        <f t="shared" si="136"/>
        <v>1</v>
      </c>
      <c r="Z140" s="798">
        <f t="shared" si="136"/>
        <v>1</v>
      </c>
      <c r="AA140" s="798">
        <f t="shared" si="136"/>
        <v>1</v>
      </c>
      <c r="AB140" s="798">
        <f t="shared" si="136"/>
        <v>1</v>
      </c>
      <c r="AC140" s="798">
        <f t="shared" si="136"/>
        <v>1</v>
      </c>
      <c r="AD140" s="798">
        <f t="shared" si="136"/>
        <v>1</v>
      </c>
      <c r="AE140" s="798">
        <f t="shared" si="136"/>
        <v>1</v>
      </c>
      <c r="AF140" s="798">
        <f t="shared" si="136"/>
        <v>1</v>
      </c>
      <c r="AG140" s="798">
        <f t="shared" si="136"/>
        <v>1</v>
      </c>
      <c r="AH140" s="798">
        <f t="shared" si="136"/>
        <v>1</v>
      </c>
      <c r="AI140" s="798">
        <f t="shared" si="136"/>
        <v>1</v>
      </c>
      <c r="AJ140" s="798">
        <f t="shared" si="136"/>
        <v>1</v>
      </c>
      <c r="AK140" s="798">
        <f t="shared" si="136"/>
        <v>1</v>
      </c>
      <c r="AL140" s="798">
        <f t="shared" si="136"/>
        <v>1</v>
      </c>
      <c r="AM140" s="798">
        <f t="shared" si="136"/>
        <v>1</v>
      </c>
      <c r="AN140" s="798">
        <f t="shared" si="136"/>
        <v>1</v>
      </c>
      <c r="AO140" s="798">
        <f t="shared" si="136"/>
        <v>1</v>
      </c>
      <c r="AP140" s="798">
        <f t="shared" si="136"/>
        <v>1</v>
      </c>
      <c r="AQ140" s="798">
        <f t="shared" si="136"/>
        <v>1</v>
      </c>
      <c r="AR140" s="798">
        <f t="shared" si="136"/>
        <v>1</v>
      </c>
      <c r="AS140" s="798">
        <f t="shared" si="136"/>
        <v>1</v>
      </c>
      <c r="AT140" s="798">
        <f t="shared" si="136"/>
        <v>1</v>
      </c>
      <c r="AU140" s="798">
        <f t="shared" si="136"/>
        <v>1</v>
      </c>
      <c r="AV140" s="798">
        <f t="shared" si="136"/>
        <v>1</v>
      </c>
      <c r="AW140" s="798">
        <f t="shared" si="136"/>
        <v>1</v>
      </c>
      <c r="AX140" s="798">
        <f t="shared" si="136"/>
        <v>1</v>
      </c>
      <c r="AY140" s="798">
        <f t="shared" si="136"/>
        <v>1</v>
      </c>
      <c r="AZ140" s="798">
        <f t="shared" si="136"/>
        <v>1</v>
      </c>
      <c r="BA140" s="798">
        <f t="shared" si="136"/>
        <v>1</v>
      </c>
      <c r="BB140" s="798">
        <f t="shared" si="136"/>
        <v>1</v>
      </c>
      <c r="BC140" s="798">
        <f t="shared" si="136"/>
        <v>1</v>
      </c>
      <c r="BD140" s="798">
        <f t="shared" si="136"/>
        <v>1</v>
      </c>
      <c r="BE140" s="798">
        <f t="shared" si="136"/>
        <v>1</v>
      </c>
      <c r="BF140" s="798">
        <f t="shared" si="136"/>
        <v>1</v>
      </c>
      <c r="BG140" s="798">
        <f t="shared" si="136"/>
        <v>1</v>
      </c>
      <c r="BH140" s="798">
        <f t="shared" si="136"/>
        <v>1</v>
      </c>
      <c r="BI140" s="798">
        <f t="shared" si="136"/>
        <v>1</v>
      </c>
      <c r="BJ140" s="798">
        <f t="shared" si="136"/>
        <v>1</v>
      </c>
      <c r="BK140" s="798">
        <f t="shared" si="136"/>
        <v>1</v>
      </c>
      <c r="BL140" s="765"/>
      <c r="BM140" s="817"/>
      <c r="BN140" s="817"/>
    </row>
    <row r="141" hidden="1">
      <c r="A141" s="765"/>
      <c r="B141" s="765"/>
      <c r="C141" s="765"/>
      <c r="D141" s="765"/>
      <c r="E141" s="765"/>
      <c r="F141" s="765"/>
      <c r="G141" s="765"/>
      <c r="H141" s="765"/>
      <c r="I141" s="765">
        <f t="shared" si="17"/>
        <v>130</v>
      </c>
      <c r="J141" s="763">
        <f t="shared" si="5"/>
        <v>22129092916</v>
      </c>
      <c r="K141" s="796">
        <f t="shared" si="7"/>
        <v>0.29879</v>
      </c>
      <c r="L141" s="796">
        <v>5.0E-4</v>
      </c>
      <c r="M141" s="763">
        <v>2.52327171223749E10</v>
      </c>
      <c r="N141" s="797">
        <f t="shared" si="8"/>
        <v>0</v>
      </c>
      <c r="O141" s="798">
        <f t="shared" ref="O141:BK141" si="137">FLOOR(MIN((((N("value of ELS upgrade")+N$8*($K141-$K140))*(N("Check checkbox")+(IF($G$6=TRUE,$G$7,$G$8))/$G$8))/(N("ROI of ELS and multiply by 2 if ELS is 1:1")+IF($G$12 = True, 2, 1) * $J141))/((N("difference in ELS+ and the cost of it")+(($K140*O$8)-($K140*N$8)) / O$7)),(N("MIN lets it return 0 or 1 after floored")+1)),1)</f>
        <v>0</v>
      </c>
      <c r="P141" s="798">
        <f t="shared" si="137"/>
        <v>0</v>
      </c>
      <c r="Q141" s="798">
        <f t="shared" si="137"/>
        <v>1</v>
      </c>
      <c r="R141" s="798">
        <f t="shared" si="137"/>
        <v>1</v>
      </c>
      <c r="S141" s="798">
        <f t="shared" si="137"/>
        <v>1</v>
      </c>
      <c r="T141" s="798">
        <f t="shared" si="137"/>
        <v>1</v>
      </c>
      <c r="U141" s="798">
        <f t="shared" si="137"/>
        <v>1</v>
      </c>
      <c r="V141" s="798">
        <f t="shared" si="137"/>
        <v>1</v>
      </c>
      <c r="W141" s="798">
        <f t="shared" si="137"/>
        <v>1</v>
      </c>
      <c r="X141" s="798">
        <f t="shared" si="137"/>
        <v>1</v>
      </c>
      <c r="Y141" s="798">
        <f t="shared" si="137"/>
        <v>1</v>
      </c>
      <c r="Z141" s="798">
        <f t="shared" si="137"/>
        <v>1</v>
      </c>
      <c r="AA141" s="798">
        <f t="shared" si="137"/>
        <v>1</v>
      </c>
      <c r="AB141" s="798">
        <f t="shared" si="137"/>
        <v>1</v>
      </c>
      <c r="AC141" s="798">
        <f t="shared" si="137"/>
        <v>1</v>
      </c>
      <c r="AD141" s="798">
        <f t="shared" si="137"/>
        <v>1</v>
      </c>
      <c r="AE141" s="798">
        <f t="shared" si="137"/>
        <v>1</v>
      </c>
      <c r="AF141" s="798">
        <f t="shared" si="137"/>
        <v>1</v>
      </c>
      <c r="AG141" s="798">
        <f t="shared" si="137"/>
        <v>1</v>
      </c>
      <c r="AH141" s="798">
        <f t="shared" si="137"/>
        <v>1</v>
      </c>
      <c r="AI141" s="798">
        <f t="shared" si="137"/>
        <v>1</v>
      </c>
      <c r="AJ141" s="798">
        <f t="shared" si="137"/>
        <v>1</v>
      </c>
      <c r="AK141" s="798">
        <f t="shared" si="137"/>
        <v>1</v>
      </c>
      <c r="AL141" s="798">
        <f t="shared" si="137"/>
        <v>1</v>
      </c>
      <c r="AM141" s="798">
        <f t="shared" si="137"/>
        <v>1</v>
      </c>
      <c r="AN141" s="798">
        <f t="shared" si="137"/>
        <v>1</v>
      </c>
      <c r="AO141" s="798">
        <f t="shared" si="137"/>
        <v>1</v>
      </c>
      <c r="AP141" s="798">
        <f t="shared" si="137"/>
        <v>1</v>
      </c>
      <c r="AQ141" s="798">
        <f t="shared" si="137"/>
        <v>1</v>
      </c>
      <c r="AR141" s="798">
        <f t="shared" si="137"/>
        <v>1</v>
      </c>
      <c r="AS141" s="798">
        <f t="shared" si="137"/>
        <v>1</v>
      </c>
      <c r="AT141" s="798">
        <f t="shared" si="137"/>
        <v>1</v>
      </c>
      <c r="AU141" s="798">
        <f t="shared" si="137"/>
        <v>1</v>
      </c>
      <c r="AV141" s="798">
        <f t="shared" si="137"/>
        <v>1</v>
      </c>
      <c r="AW141" s="798">
        <f t="shared" si="137"/>
        <v>1</v>
      </c>
      <c r="AX141" s="798">
        <f t="shared" si="137"/>
        <v>1</v>
      </c>
      <c r="AY141" s="798">
        <f t="shared" si="137"/>
        <v>1</v>
      </c>
      <c r="AZ141" s="798">
        <f t="shared" si="137"/>
        <v>1</v>
      </c>
      <c r="BA141" s="798">
        <f t="shared" si="137"/>
        <v>1</v>
      </c>
      <c r="BB141" s="798">
        <f t="shared" si="137"/>
        <v>1</v>
      </c>
      <c r="BC141" s="798">
        <f t="shared" si="137"/>
        <v>1</v>
      </c>
      <c r="BD141" s="798">
        <f t="shared" si="137"/>
        <v>1</v>
      </c>
      <c r="BE141" s="798">
        <f t="shared" si="137"/>
        <v>1</v>
      </c>
      <c r="BF141" s="798">
        <f t="shared" si="137"/>
        <v>1</v>
      </c>
      <c r="BG141" s="798">
        <f t="shared" si="137"/>
        <v>1</v>
      </c>
      <c r="BH141" s="798">
        <f t="shared" si="137"/>
        <v>1</v>
      </c>
      <c r="BI141" s="798">
        <f t="shared" si="137"/>
        <v>1</v>
      </c>
      <c r="BJ141" s="798">
        <f t="shared" si="137"/>
        <v>1</v>
      </c>
      <c r="BK141" s="798">
        <f t="shared" si="137"/>
        <v>1</v>
      </c>
      <c r="BL141" s="765"/>
      <c r="BM141" s="817"/>
      <c r="BN141" s="817"/>
    </row>
    <row r="142" hidden="1">
      <c r="A142" s="765"/>
      <c r="B142" s="765"/>
      <c r="C142" s="765"/>
      <c r="D142" s="765"/>
      <c r="E142" s="765"/>
      <c r="F142" s="765"/>
      <c r="G142" s="765"/>
      <c r="H142" s="765"/>
      <c r="I142" s="765">
        <f t="shared" si="17"/>
        <v>131</v>
      </c>
      <c r="J142" s="763">
        <f t="shared" si="5"/>
        <v>22287260378</v>
      </c>
      <c r="K142" s="796">
        <f t="shared" si="7"/>
        <v>0.29929</v>
      </c>
      <c r="L142" s="796">
        <v>5.0E-4</v>
      </c>
      <c r="M142" s="763">
        <v>2.54130677057136E10</v>
      </c>
      <c r="N142" s="797">
        <f t="shared" si="8"/>
        <v>0</v>
      </c>
      <c r="O142" s="798">
        <f t="shared" ref="O142:BK142" si="138">FLOOR(MIN((((N("value of ELS upgrade")+N$8*($K142-$K141))*(N("Check checkbox")+(IF($G$6=TRUE,$G$7,$G$8))/$G$8))/(N("ROI of ELS and multiply by 2 if ELS is 1:1")+IF($G$12 = True, 2, 1) * $J142))/((N("difference in ELS+ and the cost of it")+(($K141*O$8)-($K141*N$8)) / O$7)),(N("MIN lets it return 0 or 1 after floored")+1)),1)</f>
        <v>0</v>
      </c>
      <c r="P142" s="798">
        <f t="shared" si="138"/>
        <v>0</v>
      </c>
      <c r="Q142" s="798">
        <f t="shared" si="138"/>
        <v>1</v>
      </c>
      <c r="R142" s="798">
        <f t="shared" si="138"/>
        <v>1</v>
      </c>
      <c r="S142" s="798">
        <f t="shared" si="138"/>
        <v>1</v>
      </c>
      <c r="T142" s="798">
        <f t="shared" si="138"/>
        <v>1</v>
      </c>
      <c r="U142" s="798">
        <f t="shared" si="138"/>
        <v>1</v>
      </c>
      <c r="V142" s="798">
        <f t="shared" si="138"/>
        <v>1</v>
      </c>
      <c r="W142" s="798">
        <f t="shared" si="138"/>
        <v>1</v>
      </c>
      <c r="X142" s="798">
        <f t="shared" si="138"/>
        <v>1</v>
      </c>
      <c r="Y142" s="798">
        <f t="shared" si="138"/>
        <v>1</v>
      </c>
      <c r="Z142" s="798">
        <f t="shared" si="138"/>
        <v>1</v>
      </c>
      <c r="AA142" s="798">
        <f t="shared" si="138"/>
        <v>1</v>
      </c>
      <c r="AB142" s="798">
        <f t="shared" si="138"/>
        <v>1</v>
      </c>
      <c r="AC142" s="798">
        <f t="shared" si="138"/>
        <v>1</v>
      </c>
      <c r="AD142" s="798">
        <f t="shared" si="138"/>
        <v>1</v>
      </c>
      <c r="AE142" s="798">
        <f t="shared" si="138"/>
        <v>1</v>
      </c>
      <c r="AF142" s="798">
        <f t="shared" si="138"/>
        <v>1</v>
      </c>
      <c r="AG142" s="798">
        <f t="shared" si="138"/>
        <v>1</v>
      </c>
      <c r="AH142" s="798">
        <f t="shared" si="138"/>
        <v>1</v>
      </c>
      <c r="AI142" s="798">
        <f t="shared" si="138"/>
        <v>1</v>
      </c>
      <c r="AJ142" s="798">
        <f t="shared" si="138"/>
        <v>1</v>
      </c>
      <c r="AK142" s="798">
        <f t="shared" si="138"/>
        <v>1</v>
      </c>
      <c r="AL142" s="798">
        <f t="shared" si="138"/>
        <v>1</v>
      </c>
      <c r="AM142" s="798">
        <f t="shared" si="138"/>
        <v>1</v>
      </c>
      <c r="AN142" s="798">
        <f t="shared" si="138"/>
        <v>1</v>
      </c>
      <c r="AO142" s="798">
        <f t="shared" si="138"/>
        <v>1</v>
      </c>
      <c r="AP142" s="798">
        <f t="shared" si="138"/>
        <v>1</v>
      </c>
      <c r="AQ142" s="798">
        <f t="shared" si="138"/>
        <v>1</v>
      </c>
      <c r="AR142" s="798">
        <f t="shared" si="138"/>
        <v>1</v>
      </c>
      <c r="AS142" s="798">
        <f t="shared" si="138"/>
        <v>1</v>
      </c>
      <c r="AT142" s="798">
        <f t="shared" si="138"/>
        <v>1</v>
      </c>
      <c r="AU142" s="798">
        <f t="shared" si="138"/>
        <v>1</v>
      </c>
      <c r="AV142" s="798">
        <f t="shared" si="138"/>
        <v>1</v>
      </c>
      <c r="AW142" s="798">
        <f t="shared" si="138"/>
        <v>1</v>
      </c>
      <c r="AX142" s="798">
        <f t="shared" si="138"/>
        <v>1</v>
      </c>
      <c r="AY142" s="798">
        <f t="shared" si="138"/>
        <v>1</v>
      </c>
      <c r="AZ142" s="798">
        <f t="shared" si="138"/>
        <v>1</v>
      </c>
      <c r="BA142" s="798">
        <f t="shared" si="138"/>
        <v>1</v>
      </c>
      <c r="BB142" s="798">
        <f t="shared" si="138"/>
        <v>1</v>
      </c>
      <c r="BC142" s="798">
        <f t="shared" si="138"/>
        <v>1</v>
      </c>
      <c r="BD142" s="798">
        <f t="shared" si="138"/>
        <v>1</v>
      </c>
      <c r="BE142" s="798">
        <f t="shared" si="138"/>
        <v>1</v>
      </c>
      <c r="BF142" s="798">
        <f t="shared" si="138"/>
        <v>1</v>
      </c>
      <c r="BG142" s="798">
        <f t="shared" si="138"/>
        <v>1</v>
      </c>
      <c r="BH142" s="798">
        <f t="shared" si="138"/>
        <v>1</v>
      </c>
      <c r="BI142" s="798">
        <f t="shared" si="138"/>
        <v>1</v>
      </c>
      <c r="BJ142" s="798">
        <f t="shared" si="138"/>
        <v>1</v>
      </c>
      <c r="BK142" s="798">
        <f t="shared" si="138"/>
        <v>1</v>
      </c>
      <c r="BL142" s="765"/>
      <c r="BM142" s="817"/>
      <c r="BN142" s="817"/>
    </row>
    <row r="143" hidden="1">
      <c r="A143" s="765"/>
      <c r="B143" s="765"/>
      <c r="C143" s="765"/>
      <c r="D143" s="765"/>
      <c r="E143" s="765"/>
      <c r="F143" s="765"/>
      <c r="G143" s="765"/>
      <c r="H143" s="765"/>
      <c r="I143" s="765">
        <f t="shared" si="17"/>
        <v>132</v>
      </c>
      <c r="J143" s="763">
        <f t="shared" si="5"/>
        <v>22445634312</v>
      </c>
      <c r="K143" s="796">
        <f t="shared" si="7"/>
        <v>0.29979</v>
      </c>
      <c r="L143" s="796">
        <v>5.0E-4</v>
      </c>
      <c r="M143" s="763">
        <v>2.55936537200155E10</v>
      </c>
      <c r="N143" s="797">
        <f t="shared" si="8"/>
        <v>0</v>
      </c>
      <c r="O143" s="798">
        <f t="shared" ref="O143:BK143" si="139">FLOOR(MIN((((N("value of ELS upgrade")+N$8*($K143-$K142))*(N("Check checkbox")+(IF($G$6=TRUE,$G$7,$G$8))/$G$8))/(N("ROI of ELS and multiply by 2 if ELS is 1:1")+IF($G$12 = True, 2, 1) * $J143))/((N("difference in ELS+ and the cost of it")+(($K142*O$8)-($K142*N$8)) / O$7)),(N("MIN lets it return 0 or 1 after floored")+1)),1)</f>
        <v>0</v>
      </c>
      <c r="P143" s="798">
        <f t="shared" si="139"/>
        <v>0</v>
      </c>
      <c r="Q143" s="798">
        <f t="shared" si="139"/>
        <v>1</v>
      </c>
      <c r="R143" s="798">
        <f t="shared" si="139"/>
        <v>1</v>
      </c>
      <c r="S143" s="798">
        <f t="shared" si="139"/>
        <v>1</v>
      </c>
      <c r="T143" s="798">
        <f t="shared" si="139"/>
        <v>1</v>
      </c>
      <c r="U143" s="798">
        <f t="shared" si="139"/>
        <v>1</v>
      </c>
      <c r="V143" s="798">
        <f t="shared" si="139"/>
        <v>1</v>
      </c>
      <c r="W143" s="798">
        <f t="shared" si="139"/>
        <v>1</v>
      </c>
      <c r="X143" s="798">
        <f t="shared" si="139"/>
        <v>1</v>
      </c>
      <c r="Y143" s="798">
        <f t="shared" si="139"/>
        <v>1</v>
      </c>
      <c r="Z143" s="798">
        <f t="shared" si="139"/>
        <v>1</v>
      </c>
      <c r="AA143" s="798">
        <f t="shared" si="139"/>
        <v>1</v>
      </c>
      <c r="AB143" s="798">
        <f t="shared" si="139"/>
        <v>1</v>
      </c>
      <c r="AC143" s="798">
        <f t="shared" si="139"/>
        <v>1</v>
      </c>
      <c r="AD143" s="798">
        <f t="shared" si="139"/>
        <v>1</v>
      </c>
      <c r="AE143" s="798">
        <f t="shared" si="139"/>
        <v>1</v>
      </c>
      <c r="AF143" s="798">
        <f t="shared" si="139"/>
        <v>1</v>
      </c>
      <c r="AG143" s="798">
        <f t="shared" si="139"/>
        <v>1</v>
      </c>
      <c r="AH143" s="798">
        <f t="shared" si="139"/>
        <v>1</v>
      </c>
      <c r="AI143" s="798">
        <f t="shared" si="139"/>
        <v>1</v>
      </c>
      <c r="AJ143" s="798">
        <f t="shared" si="139"/>
        <v>1</v>
      </c>
      <c r="AK143" s="798">
        <f t="shared" si="139"/>
        <v>1</v>
      </c>
      <c r="AL143" s="798">
        <f t="shared" si="139"/>
        <v>1</v>
      </c>
      <c r="AM143" s="798">
        <f t="shared" si="139"/>
        <v>1</v>
      </c>
      <c r="AN143" s="798">
        <f t="shared" si="139"/>
        <v>1</v>
      </c>
      <c r="AO143" s="798">
        <f t="shared" si="139"/>
        <v>1</v>
      </c>
      <c r="AP143" s="798">
        <f t="shared" si="139"/>
        <v>1</v>
      </c>
      <c r="AQ143" s="798">
        <f t="shared" si="139"/>
        <v>1</v>
      </c>
      <c r="AR143" s="798">
        <f t="shared" si="139"/>
        <v>1</v>
      </c>
      <c r="AS143" s="798">
        <f t="shared" si="139"/>
        <v>1</v>
      </c>
      <c r="AT143" s="798">
        <f t="shared" si="139"/>
        <v>1</v>
      </c>
      <c r="AU143" s="798">
        <f t="shared" si="139"/>
        <v>1</v>
      </c>
      <c r="AV143" s="798">
        <f t="shared" si="139"/>
        <v>1</v>
      </c>
      <c r="AW143" s="798">
        <f t="shared" si="139"/>
        <v>1</v>
      </c>
      <c r="AX143" s="798">
        <f t="shared" si="139"/>
        <v>1</v>
      </c>
      <c r="AY143" s="798">
        <f t="shared" si="139"/>
        <v>1</v>
      </c>
      <c r="AZ143" s="798">
        <f t="shared" si="139"/>
        <v>1</v>
      </c>
      <c r="BA143" s="798">
        <f t="shared" si="139"/>
        <v>1</v>
      </c>
      <c r="BB143" s="798">
        <f t="shared" si="139"/>
        <v>1</v>
      </c>
      <c r="BC143" s="798">
        <f t="shared" si="139"/>
        <v>1</v>
      </c>
      <c r="BD143" s="798">
        <f t="shared" si="139"/>
        <v>1</v>
      </c>
      <c r="BE143" s="798">
        <f t="shared" si="139"/>
        <v>1</v>
      </c>
      <c r="BF143" s="798">
        <f t="shared" si="139"/>
        <v>1</v>
      </c>
      <c r="BG143" s="798">
        <f t="shared" si="139"/>
        <v>1</v>
      </c>
      <c r="BH143" s="798">
        <f t="shared" si="139"/>
        <v>1</v>
      </c>
      <c r="BI143" s="798">
        <f t="shared" si="139"/>
        <v>1</v>
      </c>
      <c r="BJ143" s="798">
        <f t="shared" si="139"/>
        <v>1</v>
      </c>
      <c r="BK143" s="798">
        <f t="shared" si="139"/>
        <v>1</v>
      </c>
      <c r="BL143" s="765"/>
      <c r="BM143" s="817"/>
      <c r="BN143" s="817"/>
    </row>
    <row r="144" hidden="1">
      <c r="A144" s="765"/>
      <c r="B144" s="765"/>
      <c r="C144" s="765"/>
      <c r="D144" s="765"/>
      <c r="E144" s="765"/>
      <c r="F144" s="765"/>
      <c r="G144" s="765"/>
      <c r="H144" s="765"/>
      <c r="I144" s="765">
        <f t="shared" si="17"/>
        <v>133</v>
      </c>
      <c r="J144" s="763">
        <f t="shared" si="5"/>
        <v>22604216813</v>
      </c>
      <c r="K144" s="796">
        <f t="shared" si="7"/>
        <v>0.30029</v>
      </c>
      <c r="L144" s="796">
        <v>5.0E-4</v>
      </c>
      <c r="M144" s="763">
        <v>2.57744775514054E10</v>
      </c>
      <c r="N144" s="797">
        <f t="shared" si="8"/>
        <v>0</v>
      </c>
      <c r="O144" s="798">
        <f t="shared" ref="O144:BK144" si="140">FLOOR(MIN((((N("value of ELS upgrade")+N$8*($K144-$K143))*(N("Check checkbox")+(IF($G$6=TRUE,$G$7,$G$8))/$G$8))/(N("ROI of ELS and multiply by 2 if ELS is 1:1")+IF($G$12 = True, 2, 1) * $J144))/((N("difference in ELS+ and the cost of it")+(($K143*O$8)-($K143*N$8)) / O$7)),(N("MIN lets it return 0 or 1 after floored")+1)),1)</f>
        <v>0</v>
      </c>
      <c r="P144" s="798">
        <f t="shared" si="140"/>
        <v>0</v>
      </c>
      <c r="Q144" s="798">
        <f t="shared" si="140"/>
        <v>1</v>
      </c>
      <c r="R144" s="798">
        <f t="shared" si="140"/>
        <v>1</v>
      </c>
      <c r="S144" s="798">
        <f t="shared" si="140"/>
        <v>1</v>
      </c>
      <c r="T144" s="798">
        <f t="shared" si="140"/>
        <v>1</v>
      </c>
      <c r="U144" s="798">
        <f t="shared" si="140"/>
        <v>1</v>
      </c>
      <c r="V144" s="798">
        <f t="shared" si="140"/>
        <v>1</v>
      </c>
      <c r="W144" s="798">
        <f t="shared" si="140"/>
        <v>1</v>
      </c>
      <c r="X144" s="798">
        <f t="shared" si="140"/>
        <v>1</v>
      </c>
      <c r="Y144" s="798">
        <f t="shared" si="140"/>
        <v>1</v>
      </c>
      <c r="Z144" s="798">
        <f t="shared" si="140"/>
        <v>1</v>
      </c>
      <c r="AA144" s="798">
        <f t="shared" si="140"/>
        <v>1</v>
      </c>
      <c r="AB144" s="798">
        <f t="shared" si="140"/>
        <v>1</v>
      </c>
      <c r="AC144" s="798">
        <f t="shared" si="140"/>
        <v>1</v>
      </c>
      <c r="AD144" s="798">
        <f t="shared" si="140"/>
        <v>1</v>
      </c>
      <c r="AE144" s="798">
        <f t="shared" si="140"/>
        <v>1</v>
      </c>
      <c r="AF144" s="798">
        <f t="shared" si="140"/>
        <v>1</v>
      </c>
      <c r="AG144" s="798">
        <f t="shared" si="140"/>
        <v>1</v>
      </c>
      <c r="AH144" s="798">
        <f t="shared" si="140"/>
        <v>1</v>
      </c>
      <c r="AI144" s="798">
        <f t="shared" si="140"/>
        <v>1</v>
      </c>
      <c r="AJ144" s="798">
        <f t="shared" si="140"/>
        <v>1</v>
      </c>
      <c r="AK144" s="798">
        <f t="shared" si="140"/>
        <v>1</v>
      </c>
      <c r="AL144" s="798">
        <f t="shared" si="140"/>
        <v>1</v>
      </c>
      <c r="AM144" s="798">
        <f t="shared" si="140"/>
        <v>1</v>
      </c>
      <c r="AN144" s="798">
        <f t="shared" si="140"/>
        <v>1</v>
      </c>
      <c r="AO144" s="798">
        <f t="shared" si="140"/>
        <v>1</v>
      </c>
      <c r="AP144" s="798">
        <f t="shared" si="140"/>
        <v>1</v>
      </c>
      <c r="AQ144" s="798">
        <f t="shared" si="140"/>
        <v>1</v>
      </c>
      <c r="AR144" s="798">
        <f t="shared" si="140"/>
        <v>1</v>
      </c>
      <c r="AS144" s="798">
        <f t="shared" si="140"/>
        <v>1</v>
      </c>
      <c r="AT144" s="798">
        <f t="shared" si="140"/>
        <v>1</v>
      </c>
      <c r="AU144" s="798">
        <f t="shared" si="140"/>
        <v>1</v>
      </c>
      <c r="AV144" s="798">
        <f t="shared" si="140"/>
        <v>1</v>
      </c>
      <c r="AW144" s="798">
        <f t="shared" si="140"/>
        <v>1</v>
      </c>
      <c r="AX144" s="798">
        <f t="shared" si="140"/>
        <v>1</v>
      </c>
      <c r="AY144" s="798">
        <f t="shared" si="140"/>
        <v>1</v>
      </c>
      <c r="AZ144" s="798">
        <f t="shared" si="140"/>
        <v>1</v>
      </c>
      <c r="BA144" s="798">
        <f t="shared" si="140"/>
        <v>1</v>
      </c>
      <c r="BB144" s="798">
        <f t="shared" si="140"/>
        <v>1</v>
      </c>
      <c r="BC144" s="798">
        <f t="shared" si="140"/>
        <v>1</v>
      </c>
      <c r="BD144" s="798">
        <f t="shared" si="140"/>
        <v>1</v>
      </c>
      <c r="BE144" s="798">
        <f t="shared" si="140"/>
        <v>1</v>
      </c>
      <c r="BF144" s="798">
        <f t="shared" si="140"/>
        <v>1</v>
      </c>
      <c r="BG144" s="798">
        <f t="shared" si="140"/>
        <v>1</v>
      </c>
      <c r="BH144" s="798">
        <f t="shared" si="140"/>
        <v>1</v>
      </c>
      <c r="BI144" s="798">
        <f t="shared" si="140"/>
        <v>1</v>
      </c>
      <c r="BJ144" s="798">
        <f t="shared" si="140"/>
        <v>1</v>
      </c>
      <c r="BK144" s="798">
        <f t="shared" si="140"/>
        <v>1</v>
      </c>
      <c r="BL144" s="765"/>
      <c r="BM144" s="817"/>
      <c r="BN144" s="817"/>
    </row>
    <row r="145" hidden="1">
      <c r="A145" s="765"/>
      <c r="B145" s="765"/>
      <c r="C145" s="765"/>
      <c r="D145" s="765"/>
      <c r="E145" s="765"/>
      <c r="F145" s="765"/>
      <c r="G145" s="765"/>
      <c r="H145" s="765"/>
      <c r="I145" s="765">
        <f t="shared" si="17"/>
        <v>134</v>
      </c>
      <c r="J145" s="763">
        <f t="shared" si="5"/>
        <v>22763010008</v>
      </c>
      <c r="K145" s="796">
        <f t="shared" si="7"/>
        <v>0.30079</v>
      </c>
      <c r="L145" s="796">
        <v>5.0E-4</v>
      </c>
      <c r="M145" s="763">
        <v>2.59555416278697E10</v>
      </c>
      <c r="N145" s="797">
        <f t="shared" si="8"/>
        <v>0</v>
      </c>
      <c r="O145" s="798">
        <f t="shared" ref="O145:BK145" si="141">FLOOR(MIN((((N("value of ELS upgrade")+N$8*($K145-$K144))*(N("Check checkbox")+(IF($G$6=TRUE,$G$7,$G$8))/$G$8))/(N("ROI of ELS and multiply by 2 if ELS is 1:1")+IF($G$12 = True, 2, 1) * $J145))/((N("difference in ELS+ and the cost of it")+(($K144*O$8)-($K144*N$8)) / O$7)),(N("MIN lets it return 0 or 1 after floored")+1)),1)</f>
        <v>0</v>
      </c>
      <c r="P145" s="798">
        <f t="shared" si="141"/>
        <v>0</v>
      </c>
      <c r="Q145" s="798">
        <f t="shared" si="141"/>
        <v>1</v>
      </c>
      <c r="R145" s="798">
        <f t="shared" si="141"/>
        <v>1</v>
      </c>
      <c r="S145" s="798">
        <f t="shared" si="141"/>
        <v>1</v>
      </c>
      <c r="T145" s="798">
        <f t="shared" si="141"/>
        <v>1</v>
      </c>
      <c r="U145" s="798">
        <f t="shared" si="141"/>
        <v>1</v>
      </c>
      <c r="V145" s="798">
        <f t="shared" si="141"/>
        <v>1</v>
      </c>
      <c r="W145" s="798">
        <f t="shared" si="141"/>
        <v>1</v>
      </c>
      <c r="X145" s="798">
        <f t="shared" si="141"/>
        <v>1</v>
      </c>
      <c r="Y145" s="798">
        <f t="shared" si="141"/>
        <v>1</v>
      </c>
      <c r="Z145" s="798">
        <f t="shared" si="141"/>
        <v>1</v>
      </c>
      <c r="AA145" s="798">
        <f t="shared" si="141"/>
        <v>1</v>
      </c>
      <c r="AB145" s="798">
        <f t="shared" si="141"/>
        <v>1</v>
      </c>
      <c r="AC145" s="798">
        <f t="shared" si="141"/>
        <v>1</v>
      </c>
      <c r="AD145" s="798">
        <f t="shared" si="141"/>
        <v>1</v>
      </c>
      <c r="AE145" s="798">
        <f t="shared" si="141"/>
        <v>1</v>
      </c>
      <c r="AF145" s="798">
        <f t="shared" si="141"/>
        <v>1</v>
      </c>
      <c r="AG145" s="798">
        <f t="shared" si="141"/>
        <v>1</v>
      </c>
      <c r="AH145" s="798">
        <f t="shared" si="141"/>
        <v>1</v>
      </c>
      <c r="AI145" s="798">
        <f t="shared" si="141"/>
        <v>1</v>
      </c>
      <c r="AJ145" s="798">
        <f t="shared" si="141"/>
        <v>1</v>
      </c>
      <c r="AK145" s="798">
        <f t="shared" si="141"/>
        <v>1</v>
      </c>
      <c r="AL145" s="798">
        <f t="shared" si="141"/>
        <v>1</v>
      </c>
      <c r="AM145" s="798">
        <f t="shared" si="141"/>
        <v>1</v>
      </c>
      <c r="AN145" s="798">
        <f t="shared" si="141"/>
        <v>1</v>
      </c>
      <c r="AO145" s="798">
        <f t="shared" si="141"/>
        <v>1</v>
      </c>
      <c r="AP145" s="798">
        <f t="shared" si="141"/>
        <v>1</v>
      </c>
      <c r="AQ145" s="798">
        <f t="shared" si="141"/>
        <v>1</v>
      </c>
      <c r="AR145" s="798">
        <f t="shared" si="141"/>
        <v>1</v>
      </c>
      <c r="AS145" s="798">
        <f t="shared" si="141"/>
        <v>1</v>
      </c>
      <c r="AT145" s="798">
        <f t="shared" si="141"/>
        <v>1</v>
      </c>
      <c r="AU145" s="798">
        <f t="shared" si="141"/>
        <v>1</v>
      </c>
      <c r="AV145" s="798">
        <f t="shared" si="141"/>
        <v>1</v>
      </c>
      <c r="AW145" s="798">
        <f t="shared" si="141"/>
        <v>1</v>
      </c>
      <c r="AX145" s="798">
        <f t="shared" si="141"/>
        <v>1</v>
      </c>
      <c r="AY145" s="798">
        <f t="shared" si="141"/>
        <v>1</v>
      </c>
      <c r="AZ145" s="798">
        <f t="shared" si="141"/>
        <v>1</v>
      </c>
      <c r="BA145" s="798">
        <f t="shared" si="141"/>
        <v>1</v>
      </c>
      <c r="BB145" s="798">
        <f t="shared" si="141"/>
        <v>1</v>
      </c>
      <c r="BC145" s="798">
        <f t="shared" si="141"/>
        <v>1</v>
      </c>
      <c r="BD145" s="798">
        <f t="shared" si="141"/>
        <v>1</v>
      </c>
      <c r="BE145" s="798">
        <f t="shared" si="141"/>
        <v>1</v>
      </c>
      <c r="BF145" s="798">
        <f t="shared" si="141"/>
        <v>1</v>
      </c>
      <c r="BG145" s="798">
        <f t="shared" si="141"/>
        <v>1</v>
      </c>
      <c r="BH145" s="798">
        <f t="shared" si="141"/>
        <v>1</v>
      </c>
      <c r="BI145" s="798">
        <f t="shared" si="141"/>
        <v>1</v>
      </c>
      <c r="BJ145" s="798">
        <f t="shared" si="141"/>
        <v>1</v>
      </c>
      <c r="BK145" s="798">
        <f t="shared" si="141"/>
        <v>1</v>
      </c>
      <c r="BL145" s="765"/>
      <c r="BM145" s="817"/>
      <c r="BN145" s="817"/>
    </row>
    <row r="146" hidden="1">
      <c r="A146" s="765"/>
      <c r="B146" s="765"/>
      <c r="C146" s="765"/>
      <c r="D146" s="765"/>
      <c r="E146" s="765"/>
      <c r="F146" s="765"/>
      <c r="G146" s="765"/>
      <c r="H146" s="765"/>
      <c r="I146" s="765">
        <f t="shared" si="17"/>
        <v>135</v>
      </c>
      <c r="J146" s="763">
        <f t="shared" si="5"/>
        <v>22922016100</v>
      </c>
      <c r="K146" s="796">
        <f t="shared" si="7"/>
        <v>0.30129</v>
      </c>
      <c r="L146" s="796">
        <v>5.0E-4</v>
      </c>
      <c r="M146" s="763">
        <v>2.61368484611185E10</v>
      </c>
      <c r="N146" s="797">
        <f t="shared" si="8"/>
        <v>0</v>
      </c>
      <c r="O146" s="798">
        <f t="shared" ref="O146:BK146" si="142">FLOOR(MIN((((N("value of ELS upgrade")+N$8*($K146-$K145))*(N("Check checkbox")+(IF($G$6=TRUE,$G$7,$G$8))/$G$8))/(N("ROI of ELS and multiply by 2 if ELS is 1:1")+IF($G$12 = True, 2, 1) * $J146))/((N("difference in ELS+ and the cost of it")+(($K145*O$8)-($K145*N$8)) / O$7)),(N("MIN lets it return 0 or 1 after floored")+1)),1)</f>
        <v>0</v>
      </c>
      <c r="P146" s="798">
        <f t="shared" si="142"/>
        <v>0</v>
      </c>
      <c r="Q146" s="798">
        <f t="shared" si="142"/>
        <v>1</v>
      </c>
      <c r="R146" s="798">
        <f t="shared" si="142"/>
        <v>1</v>
      </c>
      <c r="S146" s="798">
        <f t="shared" si="142"/>
        <v>1</v>
      </c>
      <c r="T146" s="798">
        <f t="shared" si="142"/>
        <v>1</v>
      </c>
      <c r="U146" s="798">
        <f t="shared" si="142"/>
        <v>1</v>
      </c>
      <c r="V146" s="798">
        <f t="shared" si="142"/>
        <v>1</v>
      </c>
      <c r="W146" s="798">
        <f t="shared" si="142"/>
        <v>1</v>
      </c>
      <c r="X146" s="798">
        <f t="shared" si="142"/>
        <v>1</v>
      </c>
      <c r="Y146" s="798">
        <f t="shared" si="142"/>
        <v>1</v>
      </c>
      <c r="Z146" s="798">
        <f t="shared" si="142"/>
        <v>1</v>
      </c>
      <c r="AA146" s="798">
        <f t="shared" si="142"/>
        <v>1</v>
      </c>
      <c r="AB146" s="798">
        <f t="shared" si="142"/>
        <v>1</v>
      </c>
      <c r="AC146" s="798">
        <f t="shared" si="142"/>
        <v>1</v>
      </c>
      <c r="AD146" s="798">
        <f t="shared" si="142"/>
        <v>1</v>
      </c>
      <c r="AE146" s="798">
        <f t="shared" si="142"/>
        <v>1</v>
      </c>
      <c r="AF146" s="798">
        <f t="shared" si="142"/>
        <v>1</v>
      </c>
      <c r="AG146" s="798">
        <f t="shared" si="142"/>
        <v>1</v>
      </c>
      <c r="AH146" s="798">
        <f t="shared" si="142"/>
        <v>1</v>
      </c>
      <c r="AI146" s="798">
        <f t="shared" si="142"/>
        <v>1</v>
      </c>
      <c r="AJ146" s="798">
        <f t="shared" si="142"/>
        <v>1</v>
      </c>
      <c r="AK146" s="798">
        <f t="shared" si="142"/>
        <v>1</v>
      </c>
      <c r="AL146" s="798">
        <f t="shared" si="142"/>
        <v>1</v>
      </c>
      <c r="AM146" s="798">
        <f t="shared" si="142"/>
        <v>1</v>
      </c>
      <c r="AN146" s="798">
        <f t="shared" si="142"/>
        <v>1</v>
      </c>
      <c r="AO146" s="798">
        <f t="shared" si="142"/>
        <v>1</v>
      </c>
      <c r="AP146" s="798">
        <f t="shared" si="142"/>
        <v>1</v>
      </c>
      <c r="AQ146" s="798">
        <f t="shared" si="142"/>
        <v>1</v>
      </c>
      <c r="AR146" s="798">
        <f t="shared" si="142"/>
        <v>1</v>
      </c>
      <c r="AS146" s="798">
        <f t="shared" si="142"/>
        <v>1</v>
      </c>
      <c r="AT146" s="798">
        <f t="shared" si="142"/>
        <v>1</v>
      </c>
      <c r="AU146" s="798">
        <f t="shared" si="142"/>
        <v>1</v>
      </c>
      <c r="AV146" s="798">
        <f t="shared" si="142"/>
        <v>1</v>
      </c>
      <c r="AW146" s="798">
        <f t="shared" si="142"/>
        <v>1</v>
      </c>
      <c r="AX146" s="798">
        <f t="shared" si="142"/>
        <v>1</v>
      </c>
      <c r="AY146" s="798">
        <f t="shared" si="142"/>
        <v>1</v>
      </c>
      <c r="AZ146" s="798">
        <f t="shared" si="142"/>
        <v>1</v>
      </c>
      <c r="BA146" s="798">
        <f t="shared" si="142"/>
        <v>1</v>
      </c>
      <c r="BB146" s="798">
        <f t="shared" si="142"/>
        <v>1</v>
      </c>
      <c r="BC146" s="798">
        <f t="shared" si="142"/>
        <v>1</v>
      </c>
      <c r="BD146" s="798">
        <f t="shared" si="142"/>
        <v>1</v>
      </c>
      <c r="BE146" s="798">
        <f t="shared" si="142"/>
        <v>1</v>
      </c>
      <c r="BF146" s="798">
        <f t="shared" si="142"/>
        <v>1</v>
      </c>
      <c r="BG146" s="798">
        <f t="shared" si="142"/>
        <v>1</v>
      </c>
      <c r="BH146" s="798">
        <f t="shared" si="142"/>
        <v>1</v>
      </c>
      <c r="BI146" s="798">
        <f t="shared" si="142"/>
        <v>1</v>
      </c>
      <c r="BJ146" s="798">
        <f t="shared" si="142"/>
        <v>1</v>
      </c>
      <c r="BK146" s="798">
        <f t="shared" si="142"/>
        <v>1</v>
      </c>
      <c r="BL146" s="765"/>
      <c r="BM146" s="817"/>
      <c r="BN146" s="817"/>
    </row>
    <row r="147" hidden="1">
      <c r="A147" s="765"/>
      <c r="B147" s="765"/>
      <c r="C147" s="765"/>
      <c r="D147" s="765"/>
      <c r="E147" s="765"/>
      <c r="F147" s="765"/>
      <c r="G147" s="765"/>
      <c r="H147" s="765"/>
      <c r="I147" s="765">
        <f t="shared" si="17"/>
        <v>136</v>
      </c>
      <c r="J147" s="763">
        <f t="shared" si="5"/>
        <v>23081237220</v>
      </c>
      <c r="K147" s="796">
        <f t="shared" si="7"/>
        <v>0.30179</v>
      </c>
      <c r="L147" s="796">
        <v>5.0E-4</v>
      </c>
      <c r="M147" s="763">
        <v>2.63184004791382E10</v>
      </c>
      <c r="N147" s="797">
        <f t="shared" si="8"/>
        <v>0</v>
      </c>
      <c r="O147" s="798">
        <f t="shared" ref="O147:BK147" si="143">FLOOR(MIN((((N("value of ELS upgrade")+N$8*($K147-$K146))*(N("Check checkbox")+(IF($G$6=TRUE,$G$7,$G$8))/$G$8))/(N("ROI of ELS and multiply by 2 if ELS is 1:1")+IF($G$12 = True, 2, 1) * $J147))/((N("difference in ELS+ and the cost of it")+(($K146*O$8)-($K146*N$8)) / O$7)),(N("MIN lets it return 0 or 1 after floored")+1)),1)</f>
        <v>0</v>
      </c>
      <c r="P147" s="798">
        <f t="shared" si="143"/>
        <v>0</v>
      </c>
      <c r="Q147" s="798">
        <f t="shared" si="143"/>
        <v>1</v>
      </c>
      <c r="R147" s="798">
        <f t="shared" si="143"/>
        <v>1</v>
      </c>
      <c r="S147" s="798">
        <f t="shared" si="143"/>
        <v>1</v>
      </c>
      <c r="T147" s="798">
        <f t="shared" si="143"/>
        <v>1</v>
      </c>
      <c r="U147" s="798">
        <f t="shared" si="143"/>
        <v>1</v>
      </c>
      <c r="V147" s="798">
        <f t="shared" si="143"/>
        <v>1</v>
      </c>
      <c r="W147" s="798">
        <f t="shared" si="143"/>
        <v>1</v>
      </c>
      <c r="X147" s="798">
        <f t="shared" si="143"/>
        <v>1</v>
      </c>
      <c r="Y147" s="798">
        <f t="shared" si="143"/>
        <v>1</v>
      </c>
      <c r="Z147" s="798">
        <f t="shared" si="143"/>
        <v>1</v>
      </c>
      <c r="AA147" s="798">
        <f t="shared" si="143"/>
        <v>1</v>
      </c>
      <c r="AB147" s="798">
        <f t="shared" si="143"/>
        <v>1</v>
      </c>
      <c r="AC147" s="798">
        <f t="shared" si="143"/>
        <v>1</v>
      </c>
      <c r="AD147" s="798">
        <f t="shared" si="143"/>
        <v>1</v>
      </c>
      <c r="AE147" s="798">
        <f t="shared" si="143"/>
        <v>1</v>
      </c>
      <c r="AF147" s="798">
        <f t="shared" si="143"/>
        <v>1</v>
      </c>
      <c r="AG147" s="798">
        <f t="shared" si="143"/>
        <v>1</v>
      </c>
      <c r="AH147" s="798">
        <f t="shared" si="143"/>
        <v>1</v>
      </c>
      <c r="AI147" s="798">
        <f t="shared" si="143"/>
        <v>1</v>
      </c>
      <c r="AJ147" s="798">
        <f t="shared" si="143"/>
        <v>1</v>
      </c>
      <c r="AK147" s="798">
        <f t="shared" si="143"/>
        <v>1</v>
      </c>
      <c r="AL147" s="798">
        <f t="shared" si="143"/>
        <v>1</v>
      </c>
      <c r="AM147" s="798">
        <f t="shared" si="143"/>
        <v>1</v>
      </c>
      <c r="AN147" s="798">
        <f t="shared" si="143"/>
        <v>1</v>
      </c>
      <c r="AO147" s="798">
        <f t="shared" si="143"/>
        <v>1</v>
      </c>
      <c r="AP147" s="798">
        <f t="shared" si="143"/>
        <v>1</v>
      </c>
      <c r="AQ147" s="798">
        <f t="shared" si="143"/>
        <v>1</v>
      </c>
      <c r="AR147" s="798">
        <f t="shared" si="143"/>
        <v>1</v>
      </c>
      <c r="AS147" s="798">
        <f t="shared" si="143"/>
        <v>1</v>
      </c>
      <c r="AT147" s="798">
        <f t="shared" si="143"/>
        <v>1</v>
      </c>
      <c r="AU147" s="798">
        <f t="shared" si="143"/>
        <v>1</v>
      </c>
      <c r="AV147" s="798">
        <f t="shared" si="143"/>
        <v>1</v>
      </c>
      <c r="AW147" s="798">
        <f t="shared" si="143"/>
        <v>1</v>
      </c>
      <c r="AX147" s="798">
        <f t="shared" si="143"/>
        <v>1</v>
      </c>
      <c r="AY147" s="798">
        <f t="shared" si="143"/>
        <v>1</v>
      </c>
      <c r="AZ147" s="798">
        <f t="shared" si="143"/>
        <v>1</v>
      </c>
      <c r="BA147" s="798">
        <f t="shared" si="143"/>
        <v>1</v>
      </c>
      <c r="BB147" s="798">
        <f t="shared" si="143"/>
        <v>1</v>
      </c>
      <c r="BC147" s="798">
        <f t="shared" si="143"/>
        <v>1</v>
      </c>
      <c r="BD147" s="798">
        <f t="shared" si="143"/>
        <v>1</v>
      </c>
      <c r="BE147" s="798">
        <f t="shared" si="143"/>
        <v>1</v>
      </c>
      <c r="BF147" s="798">
        <f t="shared" si="143"/>
        <v>1</v>
      </c>
      <c r="BG147" s="798">
        <f t="shared" si="143"/>
        <v>1</v>
      </c>
      <c r="BH147" s="798">
        <f t="shared" si="143"/>
        <v>1</v>
      </c>
      <c r="BI147" s="798">
        <f t="shared" si="143"/>
        <v>1</v>
      </c>
      <c r="BJ147" s="798">
        <f t="shared" si="143"/>
        <v>1</v>
      </c>
      <c r="BK147" s="798">
        <f t="shared" si="143"/>
        <v>1</v>
      </c>
      <c r="BL147" s="765"/>
      <c r="BM147" s="817"/>
      <c r="BN147" s="817"/>
    </row>
    <row r="148" hidden="1">
      <c r="A148" s="765"/>
      <c r="B148" s="765"/>
      <c r="C148" s="765"/>
      <c r="D148" s="765"/>
      <c r="E148" s="765"/>
      <c r="F148" s="765"/>
      <c r="G148" s="765"/>
      <c r="H148" s="765"/>
      <c r="I148" s="765">
        <f t="shared" si="17"/>
        <v>137</v>
      </c>
      <c r="J148" s="763">
        <f t="shared" si="5"/>
        <v>23240675570</v>
      </c>
      <c r="K148" s="796">
        <f t="shared" si="7"/>
        <v>0.30229</v>
      </c>
      <c r="L148" s="796">
        <v>5.0E-4</v>
      </c>
      <c r="M148" s="763">
        <v>2.65002001936391E10</v>
      </c>
      <c r="N148" s="797">
        <f t="shared" si="8"/>
        <v>0</v>
      </c>
      <c r="O148" s="798">
        <f t="shared" ref="O148:BK148" si="144">FLOOR(MIN((((N("value of ELS upgrade")+N$8*($K148-$K147))*(N("Check checkbox")+(IF($G$6=TRUE,$G$7,$G$8))/$G$8))/(N("ROI of ELS and multiply by 2 if ELS is 1:1")+IF($G$12 = True, 2, 1) * $J148))/((N("difference in ELS+ and the cost of it")+(($K147*O$8)-($K147*N$8)) / O$7)),(N("MIN lets it return 0 or 1 after floored")+1)),1)</f>
        <v>0</v>
      </c>
      <c r="P148" s="798">
        <f t="shared" si="144"/>
        <v>0</v>
      </c>
      <c r="Q148" s="798">
        <f t="shared" si="144"/>
        <v>1</v>
      </c>
      <c r="R148" s="798">
        <f t="shared" si="144"/>
        <v>1</v>
      </c>
      <c r="S148" s="798">
        <f t="shared" si="144"/>
        <v>1</v>
      </c>
      <c r="T148" s="798">
        <f t="shared" si="144"/>
        <v>1</v>
      </c>
      <c r="U148" s="798">
        <f t="shared" si="144"/>
        <v>1</v>
      </c>
      <c r="V148" s="798">
        <f t="shared" si="144"/>
        <v>1</v>
      </c>
      <c r="W148" s="798">
        <f t="shared" si="144"/>
        <v>1</v>
      </c>
      <c r="X148" s="798">
        <f t="shared" si="144"/>
        <v>1</v>
      </c>
      <c r="Y148" s="798">
        <f t="shared" si="144"/>
        <v>1</v>
      </c>
      <c r="Z148" s="798">
        <f t="shared" si="144"/>
        <v>1</v>
      </c>
      <c r="AA148" s="798">
        <f t="shared" si="144"/>
        <v>1</v>
      </c>
      <c r="AB148" s="798">
        <f t="shared" si="144"/>
        <v>1</v>
      </c>
      <c r="AC148" s="798">
        <f t="shared" si="144"/>
        <v>1</v>
      </c>
      <c r="AD148" s="798">
        <f t="shared" si="144"/>
        <v>1</v>
      </c>
      <c r="AE148" s="798">
        <f t="shared" si="144"/>
        <v>1</v>
      </c>
      <c r="AF148" s="798">
        <f t="shared" si="144"/>
        <v>1</v>
      </c>
      <c r="AG148" s="798">
        <f t="shared" si="144"/>
        <v>1</v>
      </c>
      <c r="AH148" s="798">
        <f t="shared" si="144"/>
        <v>1</v>
      </c>
      <c r="AI148" s="798">
        <f t="shared" si="144"/>
        <v>1</v>
      </c>
      <c r="AJ148" s="798">
        <f t="shared" si="144"/>
        <v>1</v>
      </c>
      <c r="AK148" s="798">
        <f t="shared" si="144"/>
        <v>1</v>
      </c>
      <c r="AL148" s="798">
        <f t="shared" si="144"/>
        <v>1</v>
      </c>
      <c r="AM148" s="798">
        <f t="shared" si="144"/>
        <v>1</v>
      </c>
      <c r="AN148" s="798">
        <f t="shared" si="144"/>
        <v>1</v>
      </c>
      <c r="AO148" s="798">
        <f t="shared" si="144"/>
        <v>1</v>
      </c>
      <c r="AP148" s="798">
        <f t="shared" si="144"/>
        <v>1</v>
      </c>
      <c r="AQ148" s="798">
        <f t="shared" si="144"/>
        <v>1</v>
      </c>
      <c r="AR148" s="798">
        <f t="shared" si="144"/>
        <v>1</v>
      </c>
      <c r="AS148" s="798">
        <f t="shared" si="144"/>
        <v>1</v>
      </c>
      <c r="AT148" s="798">
        <f t="shared" si="144"/>
        <v>1</v>
      </c>
      <c r="AU148" s="798">
        <f t="shared" si="144"/>
        <v>1</v>
      </c>
      <c r="AV148" s="798">
        <f t="shared" si="144"/>
        <v>1</v>
      </c>
      <c r="AW148" s="798">
        <f t="shared" si="144"/>
        <v>1</v>
      </c>
      <c r="AX148" s="798">
        <f t="shared" si="144"/>
        <v>1</v>
      </c>
      <c r="AY148" s="798">
        <f t="shared" si="144"/>
        <v>1</v>
      </c>
      <c r="AZ148" s="798">
        <f t="shared" si="144"/>
        <v>1</v>
      </c>
      <c r="BA148" s="798">
        <f t="shared" si="144"/>
        <v>1</v>
      </c>
      <c r="BB148" s="798">
        <f t="shared" si="144"/>
        <v>1</v>
      </c>
      <c r="BC148" s="798">
        <f t="shared" si="144"/>
        <v>1</v>
      </c>
      <c r="BD148" s="798">
        <f t="shared" si="144"/>
        <v>1</v>
      </c>
      <c r="BE148" s="798">
        <f t="shared" si="144"/>
        <v>1</v>
      </c>
      <c r="BF148" s="798">
        <f t="shared" si="144"/>
        <v>1</v>
      </c>
      <c r="BG148" s="798">
        <f t="shared" si="144"/>
        <v>1</v>
      </c>
      <c r="BH148" s="798">
        <f t="shared" si="144"/>
        <v>1</v>
      </c>
      <c r="BI148" s="798">
        <f t="shared" si="144"/>
        <v>1</v>
      </c>
      <c r="BJ148" s="798">
        <f t="shared" si="144"/>
        <v>1</v>
      </c>
      <c r="BK148" s="798">
        <f t="shared" si="144"/>
        <v>1</v>
      </c>
      <c r="BL148" s="765"/>
      <c r="BM148" s="817"/>
      <c r="BN148" s="817"/>
    </row>
    <row r="149" hidden="1">
      <c r="A149" s="765"/>
      <c r="B149" s="765"/>
      <c r="C149" s="765"/>
      <c r="D149" s="765"/>
      <c r="E149" s="765"/>
      <c r="F149" s="765"/>
      <c r="G149" s="765"/>
      <c r="H149" s="765"/>
      <c r="I149" s="765">
        <f t="shared" si="17"/>
        <v>138</v>
      </c>
      <c r="J149" s="763">
        <f t="shared" si="5"/>
        <v>23400333315</v>
      </c>
      <c r="K149" s="796">
        <f t="shared" si="7"/>
        <v>0.30279</v>
      </c>
      <c r="L149" s="796">
        <v>5.0E-4</v>
      </c>
      <c r="M149" s="763">
        <v>2.66822500744694E10</v>
      </c>
      <c r="N149" s="797">
        <f t="shared" si="8"/>
        <v>0</v>
      </c>
      <c r="O149" s="798">
        <f t="shared" ref="O149:BK149" si="145">FLOOR(MIN((((N("value of ELS upgrade")+N$8*($K149-$K148))*(N("Check checkbox")+(IF($G$6=TRUE,$G$7,$G$8))/$G$8))/(N("ROI of ELS and multiply by 2 if ELS is 1:1")+IF($G$12 = True, 2, 1) * $J149))/((N("difference in ELS+ and the cost of it")+(($K148*O$8)-($K148*N$8)) / O$7)),(N("MIN lets it return 0 or 1 after floored")+1)),1)</f>
        <v>0</v>
      </c>
      <c r="P149" s="798">
        <f t="shared" si="145"/>
        <v>0</v>
      </c>
      <c r="Q149" s="798">
        <f t="shared" si="145"/>
        <v>1</v>
      </c>
      <c r="R149" s="798">
        <f t="shared" si="145"/>
        <v>1</v>
      </c>
      <c r="S149" s="798">
        <f t="shared" si="145"/>
        <v>1</v>
      </c>
      <c r="T149" s="798">
        <f t="shared" si="145"/>
        <v>1</v>
      </c>
      <c r="U149" s="798">
        <f t="shared" si="145"/>
        <v>1</v>
      </c>
      <c r="V149" s="798">
        <f t="shared" si="145"/>
        <v>1</v>
      </c>
      <c r="W149" s="798">
        <f t="shared" si="145"/>
        <v>1</v>
      </c>
      <c r="X149" s="798">
        <f t="shared" si="145"/>
        <v>1</v>
      </c>
      <c r="Y149" s="798">
        <f t="shared" si="145"/>
        <v>1</v>
      </c>
      <c r="Z149" s="798">
        <f t="shared" si="145"/>
        <v>1</v>
      </c>
      <c r="AA149" s="798">
        <f t="shared" si="145"/>
        <v>1</v>
      </c>
      <c r="AB149" s="798">
        <f t="shared" si="145"/>
        <v>1</v>
      </c>
      <c r="AC149" s="798">
        <f t="shared" si="145"/>
        <v>1</v>
      </c>
      <c r="AD149" s="798">
        <f t="shared" si="145"/>
        <v>1</v>
      </c>
      <c r="AE149" s="798">
        <f t="shared" si="145"/>
        <v>1</v>
      </c>
      <c r="AF149" s="798">
        <f t="shared" si="145"/>
        <v>1</v>
      </c>
      <c r="AG149" s="798">
        <f t="shared" si="145"/>
        <v>1</v>
      </c>
      <c r="AH149" s="798">
        <f t="shared" si="145"/>
        <v>1</v>
      </c>
      <c r="AI149" s="798">
        <f t="shared" si="145"/>
        <v>1</v>
      </c>
      <c r="AJ149" s="798">
        <f t="shared" si="145"/>
        <v>1</v>
      </c>
      <c r="AK149" s="798">
        <f t="shared" si="145"/>
        <v>1</v>
      </c>
      <c r="AL149" s="798">
        <f t="shared" si="145"/>
        <v>1</v>
      </c>
      <c r="AM149" s="798">
        <f t="shared" si="145"/>
        <v>1</v>
      </c>
      <c r="AN149" s="798">
        <f t="shared" si="145"/>
        <v>1</v>
      </c>
      <c r="AO149" s="798">
        <f t="shared" si="145"/>
        <v>1</v>
      </c>
      <c r="AP149" s="798">
        <f t="shared" si="145"/>
        <v>1</v>
      </c>
      <c r="AQ149" s="798">
        <f t="shared" si="145"/>
        <v>1</v>
      </c>
      <c r="AR149" s="798">
        <f t="shared" si="145"/>
        <v>1</v>
      </c>
      <c r="AS149" s="798">
        <f t="shared" si="145"/>
        <v>1</v>
      </c>
      <c r="AT149" s="798">
        <f t="shared" si="145"/>
        <v>1</v>
      </c>
      <c r="AU149" s="798">
        <f t="shared" si="145"/>
        <v>1</v>
      </c>
      <c r="AV149" s="798">
        <f t="shared" si="145"/>
        <v>1</v>
      </c>
      <c r="AW149" s="798">
        <f t="shared" si="145"/>
        <v>1</v>
      </c>
      <c r="AX149" s="798">
        <f t="shared" si="145"/>
        <v>1</v>
      </c>
      <c r="AY149" s="798">
        <f t="shared" si="145"/>
        <v>1</v>
      </c>
      <c r="AZ149" s="798">
        <f t="shared" si="145"/>
        <v>1</v>
      </c>
      <c r="BA149" s="798">
        <f t="shared" si="145"/>
        <v>1</v>
      </c>
      <c r="BB149" s="798">
        <f t="shared" si="145"/>
        <v>1</v>
      </c>
      <c r="BC149" s="798">
        <f t="shared" si="145"/>
        <v>1</v>
      </c>
      <c r="BD149" s="798">
        <f t="shared" si="145"/>
        <v>1</v>
      </c>
      <c r="BE149" s="798">
        <f t="shared" si="145"/>
        <v>1</v>
      </c>
      <c r="BF149" s="798">
        <f t="shared" si="145"/>
        <v>1</v>
      </c>
      <c r="BG149" s="798">
        <f t="shared" si="145"/>
        <v>1</v>
      </c>
      <c r="BH149" s="798">
        <f t="shared" si="145"/>
        <v>1</v>
      </c>
      <c r="BI149" s="798">
        <f t="shared" si="145"/>
        <v>1</v>
      </c>
      <c r="BJ149" s="798">
        <f t="shared" si="145"/>
        <v>1</v>
      </c>
      <c r="BK149" s="798">
        <f t="shared" si="145"/>
        <v>1</v>
      </c>
      <c r="BL149" s="765"/>
      <c r="BM149" s="817"/>
      <c r="BN149" s="817"/>
    </row>
    <row r="150" hidden="1">
      <c r="A150" s="765"/>
      <c r="B150" s="765"/>
      <c r="C150" s="765"/>
      <c r="D150" s="765"/>
      <c r="E150" s="765"/>
      <c r="F150" s="765"/>
      <c r="G150" s="765"/>
      <c r="H150" s="765"/>
      <c r="I150" s="765">
        <f t="shared" si="17"/>
        <v>139</v>
      </c>
      <c r="J150" s="763">
        <f t="shared" si="5"/>
        <v>23560212586</v>
      </c>
      <c r="K150" s="796">
        <f t="shared" si="7"/>
        <v>0.30329</v>
      </c>
      <c r="L150" s="796">
        <v>5.0E-4</v>
      </c>
      <c r="M150" s="763">
        <v>2.68645525496156E10</v>
      </c>
      <c r="N150" s="797">
        <f t="shared" si="8"/>
        <v>0</v>
      </c>
      <c r="O150" s="798">
        <f t="shared" ref="O150:BK150" si="146">FLOOR(MIN((((N("value of ELS upgrade")+N$8*($K150-$K149))*(N("Check checkbox")+(IF($G$6=TRUE,$G$7,$G$8))/$G$8))/(N("ROI of ELS and multiply by 2 if ELS is 1:1")+IF($G$12 = True, 2, 1) * $J150))/((N("difference in ELS+ and the cost of it")+(($K149*O$8)-($K149*N$8)) / O$7)),(N("MIN lets it return 0 or 1 after floored")+1)),1)</f>
        <v>0</v>
      </c>
      <c r="P150" s="798">
        <f t="shared" si="146"/>
        <v>0</v>
      </c>
      <c r="Q150" s="798">
        <f t="shared" si="146"/>
        <v>1</v>
      </c>
      <c r="R150" s="798">
        <f t="shared" si="146"/>
        <v>1</v>
      </c>
      <c r="S150" s="798">
        <f t="shared" si="146"/>
        <v>1</v>
      </c>
      <c r="T150" s="798">
        <f t="shared" si="146"/>
        <v>1</v>
      </c>
      <c r="U150" s="798">
        <f t="shared" si="146"/>
        <v>1</v>
      </c>
      <c r="V150" s="798">
        <f t="shared" si="146"/>
        <v>1</v>
      </c>
      <c r="W150" s="798">
        <f t="shared" si="146"/>
        <v>1</v>
      </c>
      <c r="X150" s="798">
        <f t="shared" si="146"/>
        <v>1</v>
      </c>
      <c r="Y150" s="798">
        <f t="shared" si="146"/>
        <v>1</v>
      </c>
      <c r="Z150" s="798">
        <f t="shared" si="146"/>
        <v>1</v>
      </c>
      <c r="AA150" s="798">
        <f t="shared" si="146"/>
        <v>1</v>
      </c>
      <c r="AB150" s="798">
        <f t="shared" si="146"/>
        <v>1</v>
      </c>
      <c r="AC150" s="798">
        <f t="shared" si="146"/>
        <v>1</v>
      </c>
      <c r="AD150" s="798">
        <f t="shared" si="146"/>
        <v>1</v>
      </c>
      <c r="AE150" s="798">
        <f t="shared" si="146"/>
        <v>1</v>
      </c>
      <c r="AF150" s="798">
        <f t="shared" si="146"/>
        <v>1</v>
      </c>
      <c r="AG150" s="798">
        <f t="shared" si="146"/>
        <v>1</v>
      </c>
      <c r="AH150" s="798">
        <f t="shared" si="146"/>
        <v>1</v>
      </c>
      <c r="AI150" s="798">
        <f t="shared" si="146"/>
        <v>1</v>
      </c>
      <c r="AJ150" s="798">
        <f t="shared" si="146"/>
        <v>1</v>
      </c>
      <c r="AK150" s="798">
        <f t="shared" si="146"/>
        <v>1</v>
      </c>
      <c r="AL150" s="798">
        <f t="shared" si="146"/>
        <v>1</v>
      </c>
      <c r="AM150" s="798">
        <f t="shared" si="146"/>
        <v>1</v>
      </c>
      <c r="AN150" s="798">
        <f t="shared" si="146"/>
        <v>1</v>
      </c>
      <c r="AO150" s="798">
        <f t="shared" si="146"/>
        <v>1</v>
      </c>
      <c r="AP150" s="798">
        <f t="shared" si="146"/>
        <v>1</v>
      </c>
      <c r="AQ150" s="798">
        <f t="shared" si="146"/>
        <v>1</v>
      </c>
      <c r="AR150" s="798">
        <f t="shared" si="146"/>
        <v>1</v>
      </c>
      <c r="AS150" s="798">
        <f t="shared" si="146"/>
        <v>1</v>
      </c>
      <c r="AT150" s="798">
        <f t="shared" si="146"/>
        <v>1</v>
      </c>
      <c r="AU150" s="798">
        <f t="shared" si="146"/>
        <v>1</v>
      </c>
      <c r="AV150" s="798">
        <f t="shared" si="146"/>
        <v>1</v>
      </c>
      <c r="AW150" s="798">
        <f t="shared" si="146"/>
        <v>1</v>
      </c>
      <c r="AX150" s="798">
        <f t="shared" si="146"/>
        <v>1</v>
      </c>
      <c r="AY150" s="798">
        <f t="shared" si="146"/>
        <v>1</v>
      </c>
      <c r="AZ150" s="798">
        <f t="shared" si="146"/>
        <v>1</v>
      </c>
      <c r="BA150" s="798">
        <f t="shared" si="146"/>
        <v>1</v>
      </c>
      <c r="BB150" s="798">
        <f t="shared" si="146"/>
        <v>1</v>
      </c>
      <c r="BC150" s="798">
        <f t="shared" si="146"/>
        <v>1</v>
      </c>
      <c r="BD150" s="798">
        <f t="shared" si="146"/>
        <v>1</v>
      </c>
      <c r="BE150" s="798">
        <f t="shared" si="146"/>
        <v>1</v>
      </c>
      <c r="BF150" s="798">
        <f t="shared" si="146"/>
        <v>1</v>
      </c>
      <c r="BG150" s="798">
        <f t="shared" si="146"/>
        <v>1</v>
      </c>
      <c r="BH150" s="798">
        <f t="shared" si="146"/>
        <v>1</v>
      </c>
      <c r="BI150" s="798">
        <f t="shared" si="146"/>
        <v>1</v>
      </c>
      <c r="BJ150" s="798">
        <f t="shared" si="146"/>
        <v>1</v>
      </c>
      <c r="BK150" s="798">
        <f t="shared" si="146"/>
        <v>1</v>
      </c>
      <c r="BL150" s="765"/>
      <c r="BM150" s="817"/>
      <c r="BN150" s="817"/>
    </row>
    <row r="151" hidden="1">
      <c r="A151" s="765"/>
      <c r="B151" s="765"/>
      <c r="C151" s="765"/>
      <c r="D151" s="765"/>
      <c r="E151" s="765"/>
      <c r="F151" s="765"/>
      <c r="G151" s="765"/>
      <c r="H151" s="765"/>
      <c r="I151" s="765">
        <f t="shared" si="17"/>
        <v>140</v>
      </c>
      <c r="J151" s="763">
        <f t="shared" si="5"/>
        <v>23720315621</v>
      </c>
      <c r="K151" s="796">
        <f t="shared" si="7"/>
        <v>0.30379</v>
      </c>
      <c r="L151" s="796">
        <v>5.0E-4</v>
      </c>
      <c r="M151" s="763">
        <v>2.70471101726496E10</v>
      </c>
      <c r="N151" s="797">
        <f t="shared" si="8"/>
        <v>0</v>
      </c>
      <c r="O151" s="798">
        <f t="shared" ref="O151:BK151" si="147">FLOOR(MIN((((N("value of ELS upgrade")+N$8*($K151-$K150))*(N("Check checkbox")+(IF($G$6=TRUE,$G$7,$G$8))/$G$8))/(N("ROI of ELS and multiply by 2 if ELS is 1:1")+IF($G$12 = True, 2, 1) * $J151))/((N("difference in ELS+ and the cost of it")+(($K150*O$8)-($K150*N$8)) / O$7)),(N("MIN lets it return 0 or 1 after floored")+1)),1)</f>
        <v>0</v>
      </c>
      <c r="P151" s="798">
        <f t="shared" si="147"/>
        <v>0</v>
      </c>
      <c r="Q151" s="798">
        <f t="shared" si="147"/>
        <v>1</v>
      </c>
      <c r="R151" s="798">
        <f t="shared" si="147"/>
        <v>1</v>
      </c>
      <c r="S151" s="798">
        <f t="shared" si="147"/>
        <v>1</v>
      </c>
      <c r="T151" s="798">
        <f t="shared" si="147"/>
        <v>1</v>
      </c>
      <c r="U151" s="798">
        <f t="shared" si="147"/>
        <v>1</v>
      </c>
      <c r="V151" s="798">
        <f t="shared" si="147"/>
        <v>1</v>
      </c>
      <c r="W151" s="798">
        <f t="shared" si="147"/>
        <v>1</v>
      </c>
      <c r="X151" s="798">
        <f t="shared" si="147"/>
        <v>1</v>
      </c>
      <c r="Y151" s="798">
        <f t="shared" si="147"/>
        <v>1</v>
      </c>
      <c r="Z151" s="798">
        <f t="shared" si="147"/>
        <v>1</v>
      </c>
      <c r="AA151" s="798">
        <f t="shared" si="147"/>
        <v>1</v>
      </c>
      <c r="AB151" s="798">
        <f t="shared" si="147"/>
        <v>1</v>
      </c>
      <c r="AC151" s="798">
        <f t="shared" si="147"/>
        <v>1</v>
      </c>
      <c r="AD151" s="798">
        <f t="shared" si="147"/>
        <v>1</v>
      </c>
      <c r="AE151" s="798">
        <f t="shared" si="147"/>
        <v>1</v>
      </c>
      <c r="AF151" s="798">
        <f t="shared" si="147"/>
        <v>1</v>
      </c>
      <c r="AG151" s="798">
        <f t="shared" si="147"/>
        <v>1</v>
      </c>
      <c r="AH151" s="798">
        <f t="shared" si="147"/>
        <v>1</v>
      </c>
      <c r="AI151" s="798">
        <f t="shared" si="147"/>
        <v>1</v>
      </c>
      <c r="AJ151" s="798">
        <f t="shared" si="147"/>
        <v>1</v>
      </c>
      <c r="AK151" s="798">
        <f t="shared" si="147"/>
        <v>1</v>
      </c>
      <c r="AL151" s="798">
        <f t="shared" si="147"/>
        <v>1</v>
      </c>
      <c r="AM151" s="798">
        <f t="shared" si="147"/>
        <v>1</v>
      </c>
      <c r="AN151" s="798">
        <f t="shared" si="147"/>
        <v>1</v>
      </c>
      <c r="AO151" s="798">
        <f t="shared" si="147"/>
        <v>1</v>
      </c>
      <c r="AP151" s="798">
        <f t="shared" si="147"/>
        <v>1</v>
      </c>
      <c r="AQ151" s="798">
        <f t="shared" si="147"/>
        <v>1</v>
      </c>
      <c r="AR151" s="798">
        <f t="shared" si="147"/>
        <v>1</v>
      </c>
      <c r="AS151" s="798">
        <f t="shared" si="147"/>
        <v>1</v>
      </c>
      <c r="AT151" s="798">
        <f t="shared" si="147"/>
        <v>1</v>
      </c>
      <c r="AU151" s="798">
        <f t="shared" si="147"/>
        <v>1</v>
      </c>
      <c r="AV151" s="798">
        <f t="shared" si="147"/>
        <v>1</v>
      </c>
      <c r="AW151" s="798">
        <f t="shared" si="147"/>
        <v>1</v>
      </c>
      <c r="AX151" s="798">
        <f t="shared" si="147"/>
        <v>1</v>
      </c>
      <c r="AY151" s="798">
        <f t="shared" si="147"/>
        <v>1</v>
      </c>
      <c r="AZ151" s="798">
        <f t="shared" si="147"/>
        <v>1</v>
      </c>
      <c r="BA151" s="798">
        <f t="shared" si="147"/>
        <v>1</v>
      </c>
      <c r="BB151" s="798">
        <f t="shared" si="147"/>
        <v>1</v>
      </c>
      <c r="BC151" s="798">
        <f t="shared" si="147"/>
        <v>1</v>
      </c>
      <c r="BD151" s="798">
        <f t="shared" si="147"/>
        <v>1</v>
      </c>
      <c r="BE151" s="798">
        <f t="shared" si="147"/>
        <v>1</v>
      </c>
      <c r="BF151" s="798">
        <f t="shared" si="147"/>
        <v>1</v>
      </c>
      <c r="BG151" s="798">
        <f t="shared" si="147"/>
        <v>1</v>
      </c>
      <c r="BH151" s="798">
        <f t="shared" si="147"/>
        <v>1</v>
      </c>
      <c r="BI151" s="798">
        <f t="shared" si="147"/>
        <v>1</v>
      </c>
      <c r="BJ151" s="798">
        <f t="shared" si="147"/>
        <v>1</v>
      </c>
      <c r="BK151" s="798">
        <f t="shared" si="147"/>
        <v>1</v>
      </c>
      <c r="BL151" s="765"/>
      <c r="BM151" s="817"/>
      <c r="BN151" s="817"/>
    </row>
    <row r="152" hidden="1">
      <c r="A152" s="765"/>
      <c r="B152" s="765"/>
      <c r="C152" s="765"/>
      <c r="D152" s="765"/>
      <c r="E152" s="765"/>
      <c r="F152" s="765"/>
      <c r="G152" s="765"/>
      <c r="H152" s="765"/>
      <c r="I152" s="765">
        <f t="shared" si="17"/>
        <v>141</v>
      </c>
      <c r="J152" s="763">
        <f t="shared" si="5"/>
        <v>23880644624</v>
      </c>
      <c r="K152" s="796">
        <f t="shared" si="7"/>
        <v>0.30429</v>
      </c>
      <c r="L152" s="796">
        <v>5.0E-4</v>
      </c>
      <c r="M152" s="763">
        <v>2.72299254552816E10</v>
      </c>
      <c r="N152" s="797">
        <f t="shared" si="8"/>
        <v>0</v>
      </c>
      <c r="O152" s="798">
        <f t="shared" ref="O152:BK152" si="148">FLOOR(MIN((((N("value of ELS upgrade")+N$8*($K152-$K151))*(N("Check checkbox")+(IF($G$6=TRUE,$G$7,$G$8))/$G$8))/(N("ROI of ELS and multiply by 2 if ELS is 1:1")+IF($G$12 = True, 2, 1) * $J152))/((N("difference in ELS+ and the cost of it")+(($K151*O$8)-($K151*N$8)) / O$7)),(N("MIN lets it return 0 or 1 after floored")+1)),1)</f>
        <v>0</v>
      </c>
      <c r="P152" s="798">
        <f t="shared" si="148"/>
        <v>0</v>
      </c>
      <c r="Q152" s="798">
        <f t="shared" si="148"/>
        <v>1</v>
      </c>
      <c r="R152" s="798">
        <f t="shared" si="148"/>
        <v>1</v>
      </c>
      <c r="S152" s="798">
        <f t="shared" si="148"/>
        <v>1</v>
      </c>
      <c r="T152" s="798">
        <f t="shared" si="148"/>
        <v>1</v>
      </c>
      <c r="U152" s="798">
        <f t="shared" si="148"/>
        <v>1</v>
      </c>
      <c r="V152" s="798">
        <f t="shared" si="148"/>
        <v>1</v>
      </c>
      <c r="W152" s="798">
        <f t="shared" si="148"/>
        <v>1</v>
      </c>
      <c r="X152" s="798">
        <f t="shared" si="148"/>
        <v>1</v>
      </c>
      <c r="Y152" s="798">
        <f t="shared" si="148"/>
        <v>1</v>
      </c>
      <c r="Z152" s="798">
        <f t="shared" si="148"/>
        <v>1</v>
      </c>
      <c r="AA152" s="798">
        <f t="shared" si="148"/>
        <v>1</v>
      </c>
      <c r="AB152" s="798">
        <f t="shared" si="148"/>
        <v>1</v>
      </c>
      <c r="AC152" s="798">
        <f t="shared" si="148"/>
        <v>1</v>
      </c>
      <c r="AD152" s="798">
        <f t="shared" si="148"/>
        <v>1</v>
      </c>
      <c r="AE152" s="798">
        <f t="shared" si="148"/>
        <v>1</v>
      </c>
      <c r="AF152" s="798">
        <f t="shared" si="148"/>
        <v>1</v>
      </c>
      <c r="AG152" s="798">
        <f t="shared" si="148"/>
        <v>1</v>
      </c>
      <c r="AH152" s="798">
        <f t="shared" si="148"/>
        <v>1</v>
      </c>
      <c r="AI152" s="798">
        <f t="shared" si="148"/>
        <v>1</v>
      </c>
      <c r="AJ152" s="798">
        <f t="shared" si="148"/>
        <v>1</v>
      </c>
      <c r="AK152" s="798">
        <f t="shared" si="148"/>
        <v>1</v>
      </c>
      <c r="AL152" s="798">
        <f t="shared" si="148"/>
        <v>1</v>
      </c>
      <c r="AM152" s="798">
        <f t="shared" si="148"/>
        <v>1</v>
      </c>
      <c r="AN152" s="798">
        <f t="shared" si="148"/>
        <v>1</v>
      </c>
      <c r="AO152" s="798">
        <f t="shared" si="148"/>
        <v>1</v>
      </c>
      <c r="AP152" s="798">
        <f t="shared" si="148"/>
        <v>1</v>
      </c>
      <c r="AQ152" s="798">
        <f t="shared" si="148"/>
        <v>1</v>
      </c>
      <c r="AR152" s="798">
        <f t="shared" si="148"/>
        <v>1</v>
      </c>
      <c r="AS152" s="798">
        <f t="shared" si="148"/>
        <v>1</v>
      </c>
      <c r="AT152" s="798">
        <f t="shared" si="148"/>
        <v>1</v>
      </c>
      <c r="AU152" s="798">
        <f t="shared" si="148"/>
        <v>1</v>
      </c>
      <c r="AV152" s="798">
        <f t="shared" si="148"/>
        <v>1</v>
      </c>
      <c r="AW152" s="798">
        <f t="shared" si="148"/>
        <v>1</v>
      </c>
      <c r="AX152" s="798">
        <f t="shared" si="148"/>
        <v>1</v>
      </c>
      <c r="AY152" s="798">
        <f t="shared" si="148"/>
        <v>1</v>
      </c>
      <c r="AZ152" s="798">
        <f t="shared" si="148"/>
        <v>1</v>
      </c>
      <c r="BA152" s="798">
        <f t="shared" si="148"/>
        <v>1</v>
      </c>
      <c r="BB152" s="798">
        <f t="shared" si="148"/>
        <v>1</v>
      </c>
      <c r="BC152" s="798">
        <f t="shared" si="148"/>
        <v>1</v>
      </c>
      <c r="BD152" s="798">
        <f t="shared" si="148"/>
        <v>1</v>
      </c>
      <c r="BE152" s="798">
        <f t="shared" si="148"/>
        <v>1</v>
      </c>
      <c r="BF152" s="798">
        <f t="shared" si="148"/>
        <v>1</v>
      </c>
      <c r="BG152" s="798">
        <f t="shared" si="148"/>
        <v>1</v>
      </c>
      <c r="BH152" s="798">
        <f t="shared" si="148"/>
        <v>1</v>
      </c>
      <c r="BI152" s="798">
        <f t="shared" si="148"/>
        <v>1</v>
      </c>
      <c r="BJ152" s="798">
        <f t="shared" si="148"/>
        <v>1</v>
      </c>
      <c r="BK152" s="798">
        <f t="shared" si="148"/>
        <v>1</v>
      </c>
      <c r="BL152" s="765"/>
      <c r="BM152" s="817"/>
      <c r="BN152" s="817"/>
    </row>
    <row r="153" hidden="1">
      <c r="A153" s="765"/>
      <c r="B153" s="765"/>
      <c r="C153" s="765"/>
      <c r="D153" s="765"/>
      <c r="E153" s="765"/>
      <c r="F153" s="765"/>
      <c r="G153" s="765"/>
      <c r="H153" s="765"/>
      <c r="I153" s="765">
        <f t="shared" si="17"/>
        <v>142</v>
      </c>
      <c r="J153" s="763">
        <f t="shared" si="5"/>
        <v>24041201761</v>
      </c>
      <c r="K153" s="796">
        <f t="shared" si="7"/>
        <v>0.30479</v>
      </c>
      <c r="L153" s="796">
        <v>5.0E-4</v>
      </c>
      <c r="M153" s="763">
        <v>2.74130008673599E10</v>
      </c>
      <c r="N153" s="797">
        <f t="shared" si="8"/>
        <v>0</v>
      </c>
      <c r="O153" s="798">
        <f t="shared" ref="O153:BK153" si="149">FLOOR(MIN((((N("value of ELS upgrade")+N$8*($K153-$K152))*(N("Check checkbox")+(IF($G$6=TRUE,$G$7,$G$8))/$G$8))/(N("ROI of ELS and multiply by 2 if ELS is 1:1")+IF($G$12 = True, 2, 1) * $J153))/((N("difference in ELS+ and the cost of it")+(($K152*O$8)-($K152*N$8)) / O$7)),(N("MIN lets it return 0 or 1 after floored")+1)),1)</f>
        <v>0</v>
      </c>
      <c r="P153" s="798">
        <f t="shared" si="149"/>
        <v>0</v>
      </c>
      <c r="Q153" s="798">
        <f t="shared" si="149"/>
        <v>1</v>
      </c>
      <c r="R153" s="798">
        <f t="shared" si="149"/>
        <v>1</v>
      </c>
      <c r="S153" s="798">
        <f t="shared" si="149"/>
        <v>1</v>
      </c>
      <c r="T153" s="798">
        <f t="shared" si="149"/>
        <v>1</v>
      </c>
      <c r="U153" s="798">
        <f t="shared" si="149"/>
        <v>1</v>
      </c>
      <c r="V153" s="798">
        <f t="shared" si="149"/>
        <v>1</v>
      </c>
      <c r="W153" s="798">
        <f t="shared" si="149"/>
        <v>1</v>
      </c>
      <c r="X153" s="798">
        <f t="shared" si="149"/>
        <v>1</v>
      </c>
      <c r="Y153" s="798">
        <f t="shared" si="149"/>
        <v>1</v>
      </c>
      <c r="Z153" s="798">
        <f t="shared" si="149"/>
        <v>1</v>
      </c>
      <c r="AA153" s="798">
        <f t="shared" si="149"/>
        <v>1</v>
      </c>
      <c r="AB153" s="798">
        <f t="shared" si="149"/>
        <v>1</v>
      </c>
      <c r="AC153" s="798">
        <f t="shared" si="149"/>
        <v>1</v>
      </c>
      <c r="AD153" s="798">
        <f t="shared" si="149"/>
        <v>1</v>
      </c>
      <c r="AE153" s="798">
        <f t="shared" si="149"/>
        <v>1</v>
      </c>
      <c r="AF153" s="798">
        <f t="shared" si="149"/>
        <v>1</v>
      </c>
      <c r="AG153" s="798">
        <f t="shared" si="149"/>
        <v>1</v>
      </c>
      <c r="AH153" s="798">
        <f t="shared" si="149"/>
        <v>1</v>
      </c>
      <c r="AI153" s="798">
        <f t="shared" si="149"/>
        <v>1</v>
      </c>
      <c r="AJ153" s="798">
        <f t="shared" si="149"/>
        <v>1</v>
      </c>
      <c r="AK153" s="798">
        <f t="shared" si="149"/>
        <v>1</v>
      </c>
      <c r="AL153" s="798">
        <f t="shared" si="149"/>
        <v>1</v>
      </c>
      <c r="AM153" s="798">
        <f t="shared" si="149"/>
        <v>1</v>
      </c>
      <c r="AN153" s="798">
        <f t="shared" si="149"/>
        <v>1</v>
      </c>
      <c r="AO153" s="798">
        <f t="shared" si="149"/>
        <v>1</v>
      </c>
      <c r="AP153" s="798">
        <f t="shared" si="149"/>
        <v>1</v>
      </c>
      <c r="AQ153" s="798">
        <f t="shared" si="149"/>
        <v>1</v>
      </c>
      <c r="AR153" s="798">
        <f t="shared" si="149"/>
        <v>1</v>
      </c>
      <c r="AS153" s="798">
        <f t="shared" si="149"/>
        <v>1</v>
      </c>
      <c r="AT153" s="798">
        <f t="shared" si="149"/>
        <v>1</v>
      </c>
      <c r="AU153" s="798">
        <f t="shared" si="149"/>
        <v>1</v>
      </c>
      <c r="AV153" s="798">
        <f t="shared" si="149"/>
        <v>1</v>
      </c>
      <c r="AW153" s="798">
        <f t="shared" si="149"/>
        <v>1</v>
      </c>
      <c r="AX153" s="798">
        <f t="shared" si="149"/>
        <v>1</v>
      </c>
      <c r="AY153" s="798">
        <f t="shared" si="149"/>
        <v>1</v>
      </c>
      <c r="AZ153" s="798">
        <f t="shared" si="149"/>
        <v>1</v>
      </c>
      <c r="BA153" s="798">
        <f t="shared" si="149"/>
        <v>1</v>
      </c>
      <c r="BB153" s="798">
        <f t="shared" si="149"/>
        <v>1</v>
      </c>
      <c r="BC153" s="798">
        <f t="shared" si="149"/>
        <v>1</v>
      </c>
      <c r="BD153" s="798">
        <f t="shared" si="149"/>
        <v>1</v>
      </c>
      <c r="BE153" s="798">
        <f t="shared" si="149"/>
        <v>1</v>
      </c>
      <c r="BF153" s="798">
        <f t="shared" si="149"/>
        <v>1</v>
      </c>
      <c r="BG153" s="798">
        <f t="shared" si="149"/>
        <v>1</v>
      </c>
      <c r="BH153" s="798">
        <f t="shared" si="149"/>
        <v>1</v>
      </c>
      <c r="BI153" s="798">
        <f t="shared" si="149"/>
        <v>1</v>
      </c>
      <c r="BJ153" s="798">
        <f t="shared" si="149"/>
        <v>1</v>
      </c>
      <c r="BK153" s="798">
        <f t="shared" si="149"/>
        <v>1</v>
      </c>
      <c r="BL153" s="765"/>
      <c r="BM153" s="817"/>
      <c r="BN153" s="817"/>
    </row>
    <row r="154" hidden="1">
      <c r="A154" s="765"/>
      <c r="B154" s="765"/>
      <c r="C154" s="765"/>
      <c r="D154" s="765"/>
      <c r="E154" s="765"/>
      <c r="F154" s="765"/>
      <c r="G154" s="765"/>
      <c r="H154" s="765"/>
      <c r="I154" s="765">
        <f t="shared" si="17"/>
        <v>143</v>
      </c>
      <c r="J154" s="763">
        <f t="shared" si="5"/>
        <v>24201989233</v>
      </c>
      <c r="K154" s="796">
        <f t="shared" si="7"/>
        <v>0.30529</v>
      </c>
      <c r="L154" s="796">
        <v>5.0E-4</v>
      </c>
      <c r="M154" s="763">
        <v>2.75963389205946E10</v>
      </c>
      <c r="N154" s="797">
        <f t="shared" si="8"/>
        <v>0</v>
      </c>
      <c r="O154" s="798">
        <f t="shared" ref="O154:BK154" si="150">FLOOR(MIN((((N("value of ELS upgrade")+N$8*($K154-$K153))*(N("Check checkbox")+(IF($G$6=TRUE,$G$7,$G$8))/$G$8))/(N("ROI of ELS and multiply by 2 if ELS is 1:1")+IF($G$12 = True, 2, 1) * $J154))/((N("difference in ELS+ and the cost of it")+(($K153*O$8)-($K153*N$8)) / O$7)),(N("MIN lets it return 0 or 1 after floored")+1)),1)</f>
        <v>0</v>
      </c>
      <c r="P154" s="798">
        <f t="shared" si="150"/>
        <v>0</v>
      </c>
      <c r="Q154" s="798">
        <f t="shared" si="150"/>
        <v>1</v>
      </c>
      <c r="R154" s="798">
        <f t="shared" si="150"/>
        <v>1</v>
      </c>
      <c r="S154" s="798">
        <f t="shared" si="150"/>
        <v>1</v>
      </c>
      <c r="T154" s="798">
        <f t="shared" si="150"/>
        <v>1</v>
      </c>
      <c r="U154" s="798">
        <f t="shared" si="150"/>
        <v>1</v>
      </c>
      <c r="V154" s="798">
        <f t="shared" si="150"/>
        <v>1</v>
      </c>
      <c r="W154" s="798">
        <f t="shared" si="150"/>
        <v>1</v>
      </c>
      <c r="X154" s="798">
        <f t="shared" si="150"/>
        <v>1</v>
      </c>
      <c r="Y154" s="798">
        <f t="shared" si="150"/>
        <v>1</v>
      </c>
      <c r="Z154" s="798">
        <f t="shared" si="150"/>
        <v>1</v>
      </c>
      <c r="AA154" s="798">
        <f t="shared" si="150"/>
        <v>1</v>
      </c>
      <c r="AB154" s="798">
        <f t="shared" si="150"/>
        <v>1</v>
      </c>
      <c r="AC154" s="798">
        <f t="shared" si="150"/>
        <v>1</v>
      </c>
      <c r="AD154" s="798">
        <f t="shared" si="150"/>
        <v>1</v>
      </c>
      <c r="AE154" s="798">
        <f t="shared" si="150"/>
        <v>1</v>
      </c>
      <c r="AF154" s="798">
        <f t="shared" si="150"/>
        <v>1</v>
      </c>
      <c r="AG154" s="798">
        <f t="shared" si="150"/>
        <v>1</v>
      </c>
      <c r="AH154" s="798">
        <f t="shared" si="150"/>
        <v>1</v>
      </c>
      <c r="AI154" s="798">
        <f t="shared" si="150"/>
        <v>1</v>
      </c>
      <c r="AJ154" s="798">
        <f t="shared" si="150"/>
        <v>1</v>
      </c>
      <c r="AK154" s="798">
        <f t="shared" si="150"/>
        <v>1</v>
      </c>
      <c r="AL154" s="798">
        <f t="shared" si="150"/>
        <v>1</v>
      </c>
      <c r="AM154" s="798">
        <f t="shared" si="150"/>
        <v>1</v>
      </c>
      <c r="AN154" s="798">
        <f t="shared" si="150"/>
        <v>1</v>
      </c>
      <c r="AO154" s="798">
        <f t="shared" si="150"/>
        <v>1</v>
      </c>
      <c r="AP154" s="798">
        <f t="shared" si="150"/>
        <v>1</v>
      </c>
      <c r="AQ154" s="798">
        <f t="shared" si="150"/>
        <v>1</v>
      </c>
      <c r="AR154" s="798">
        <f t="shared" si="150"/>
        <v>1</v>
      </c>
      <c r="AS154" s="798">
        <f t="shared" si="150"/>
        <v>1</v>
      </c>
      <c r="AT154" s="798">
        <f t="shared" si="150"/>
        <v>1</v>
      </c>
      <c r="AU154" s="798">
        <f t="shared" si="150"/>
        <v>1</v>
      </c>
      <c r="AV154" s="798">
        <f t="shared" si="150"/>
        <v>1</v>
      </c>
      <c r="AW154" s="798">
        <f t="shared" si="150"/>
        <v>1</v>
      </c>
      <c r="AX154" s="798">
        <f t="shared" si="150"/>
        <v>1</v>
      </c>
      <c r="AY154" s="798">
        <f t="shared" si="150"/>
        <v>1</v>
      </c>
      <c r="AZ154" s="798">
        <f t="shared" si="150"/>
        <v>1</v>
      </c>
      <c r="BA154" s="798">
        <f t="shared" si="150"/>
        <v>1</v>
      </c>
      <c r="BB154" s="798">
        <f t="shared" si="150"/>
        <v>1</v>
      </c>
      <c r="BC154" s="798">
        <f t="shared" si="150"/>
        <v>1</v>
      </c>
      <c r="BD154" s="798">
        <f t="shared" si="150"/>
        <v>1</v>
      </c>
      <c r="BE154" s="798">
        <f t="shared" si="150"/>
        <v>1</v>
      </c>
      <c r="BF154" s="798">
        <f t="shared" si="150"/>
        <v>1</v>
      </c>
      <c r="BG154" s="798">
        <f t="shared" si="150"/>
        <v>1</v>
      </c>
      <c r="BH154" s="798">
        <f t="shared" si="150"/>
        <v>1</v>
      </c>
      <c r="BI154" s="798">
        <f t="shared" si="150"/>
        <v>1</v>
      </c>
      <c r="BJ154" s="798">
        <f t="shared" si="150"/>
        <v>1</v>
      </c>
      <c r="BK154" s="798">
        <f t="shared" si="150"/>
        <v>1</v>
      </c>
      <c r="BL154" s="765"/>
      <c r="BM154" s="817"/>
      <c r="BN154" s="817"/>
    </row>
    <row r="155" hidden="1">
      <c r="A155" s="765"/>
      <c r="B155" s="765"/>
      <c r="C155" s="765"/>
      <c r="D155" s="765"/>
      <c r="E155" s="765"/>
      <c r="F155" s="765"/>
      <c r="G155" s="765"/>
      <c r="H155" s="765"/>
      <c r="I155" s="765">
        <f t="shared" si="17"/>
        <v>144</v>
      </c>
      <c r="J155" s="763">
        <f t="shared" si="5"/>
        <v>24363009245</v>
      </c>
      <c r="K155" s="796">
        <f t="shared" si="7"/>
        <v>0.30579</v>
      </c>
      <c r="L155" s="796">
        <v>5.0E-4</v>
      </c>
      <c r="M155" s="763">
        <v>2.77799421266958E10</v>
      </c>
      <c r="N155" s="797">
        <f t="shared" si="8"/>
        <v>0</v>
      </c>
      <c r="O155" s="798">
        <f t="shared" ref="O155:BK155" si="151">FLOOR(MIN((((N("value of ELS upgrade")+N$8*($K155-$K154))*(N("Check checkbox")+(IF($G$6=TRUE,$G$7,$G$8))/$G$8))/(N("ROI of ELS and multiply by 2 if ELS is 1:1")+IF($G$12 = True, 2, 1) * $J155))/((N("difference in ELS+ and the cost of it")+(($K154*O$8)-($K154*N$8)) / O$7)),(N("MIN lets it return 0 or 1 after floored")+1)),1)</f>
        <v>0</v>
      </c>
      <c r="P155" s="798">
        <f t="shared" si="151"/>
        <v>0</v>
      </c>
      <c r="Q155" s="798">
        <f t="shared" si="151"/>
        <v>1</v>
      </c>
      <c r="R155" s="798">
        <f t="shared" si="151"/>
        <v>1</v>
      </c>
      <c r="S155" s="798">
        <f t="shared" si="151"/>
        <v>1</v>
      </c>
      <c r="T155" s="798">
        <f t="shared" si="151"/>
        <v>1</v>
      </c>
      <c r="U155" s="798">
        <f t="shared" si="151"/>
        <v>1</v>
      </c>
      <c r="V155" s="798">
        <f t="shared" si="151"/>
        <v>1</v>
      </c>
      <c r="W155" s="798">
        <f t="shared" si="151"/>
        <v>1</v>
      </c>
      <c r="X155" s="798">
        <f t="shared" si="151"/>
        <v>1</v>
      </c>
      <c r="Y155" s="798">
        <f t="shared" si="151"/>
        <v>1</v>
      </c>
      <c r="Z155" s="798">
        <f t="shared" si="151"/>
        <v>1</v>
      </c>
      <c r="AA155" s="798">
        <f t="shared" si="151"/>
        <v>1</v>
      </c>
      <c r="AB155" s="798">
        <f t="shared" si="151"/>
        <v>1</v>
      </c>
      <c r="AC155" s="798">
        <f t="shared" si="151"/>
        <v>1</v>
      </c>
      <c r="AD155" s="798">
        <f t="shared" si="151"/>
        <v>1</v>
      </c>
      <c r="AE155" s="798">
        <f t="shared" si="151"/>
        <v>1</v>
      </c>
      <c r="AF155" s="798">
        <f t="shared" si="151"/>
        <v>1</v>
      </c>
      <c r="AG155" s="798">
        <f t="shared" si="151"/>
        <v>1</v>
      </c>
      <c r="AH155" s="798">
        <f t="shared" si="151"/>
        <v>1</v>
      </c>
      <c r="AI155" s="798">
        <f t="shared" si="151"/>
        <v>1</v>
      </c>
      <c r="AJ155" s="798">
        <f t="shared" si="151"/>
        <v>1</v>
      </c>
      <c r="AK155" s="798">
        <f t="shared" si="151"/>
        <v>1</v>
      </c>
      <c r="AL155" s="798">
        <f t="shared" si="151"/>
        <v>1</v>
      </c>
      <c r="AM155" s="798">
        <f t="shared" si="151"/>
        <v>1</v>
      </c>
      <c r="AN155" s="798">
        <f t="shared" si="151"/>
        <v>1</v>
      </c>
      <c r="AO155" s="798">
        <f t="shared" si="151"/>
        <v>1</v>
      </c>
      <c r="AP155" s="798">
        <f t="shared" si="151"/>
        <v>1</v>
      </c>
      <c r="AQ155" s="798">
        <f t="shared" si="151"/>
        <v>1</v>
      </c>
      <c r="AR155" s="798">
        <f t="shared" si="151"/>
        <v>1</v>
      </c>
      <c r="AS155" s="798">
        <f t="shared" si="151"/>
        <v>1</v>
      </c>
      <c r="AT155" s="798">
        <f t="shared" si="151"/>
        <v>1</v>
      </c>
      <c r="AU155" s="798">
        <f t="shared" si="151"/>
        <v>1</v>
      </c>
      <c r="AV155" s="798">
        <f t="shared" si="151"/>
        <v>1</v>
      </c>
      <c r="AW155" s="798">
        <f t="shared" si="151"/>
        <v>1</v>
      </c>
      <c r="AX155" s="798">
        <f t="shared" si="151"/>
        <v>1</v>
      </c>
      <c r="AY155" s="798">
        <f t="shared" si="151"/>
        <v>1</v>
      </c>
      <c r="AZ155" s="798">
        <f t="shared" si="151"/>
        <v>1</v>
      </c>
      <c r="BA155" s="798">
        <f t="shared" si="151"/>
        <v>1</v>
      </c>
      <c r="BB155" s="798">
        <f t="shared" si="151"/>
        <v>1</v>
      </c>
      <c r="BC155" s="798">
        <f t="shared" si="151"/>
        <v>1</v>
      </c>
      <c r="BD155" s="798">
        <f t="shared" si="151"/>
        <v>1</v>
      </c>
      <c r="BE155" s="798">
        <f t="shared" si="151"/>
        <v>1</v>
      </c>
      <c r="BF155" s="798">
        <f t="shared" si="151"/>
        <v>1</v>
      </c>
      <c r="BG155" s="798">
        <f t="shared" si="151"/>
        <v>1</v>
      </c>
      <c r="BH155" s="798">
        <f t="shared" si="151"/>
        <v>1</v>
      </c>
      <c r="BI155" s="798">
        <f t="shared" si="151"/>
        <v>1</v>
      </c>
      <c r="BJ155" s="798">
        <f t="shared" si="151"/>
        <v>1</v>
      </c>
      <c r="BK155" s="798">
        <f t="shared" si="151"/>
        <v>1</v>
      </c>
      <c r="BL155" s="765"/>
      <c r="BM155" s="817"/>
      <c r="BN155" s="817"/>
    </row>
    <row r="156" hidden="1">
      <c r="A156" s="765"/>
      <c r="B156" s="765"/>
      <c r="C156" s="765"/>
      <c r="D156" s="765"/>
      <c r="E156" s="765"/>
      <c r="F156" s="765"/>
      <c r="G156" s="765"/>
      <c r="H156" s="765"/>
      <c r="I156" s="765">
        <f t="shared" si="17"/>
        <v>145</v>
      </c>
      <c r="J156" s="763">
        <f t="shared" si="5"/>
        <v>24524264072</v>
      </c>
      <c r="K156" s="796">
        <f t="shared" si="7"/>
        <v>0.30629</v>
      </c>
      <c r="L156" s="796">
        <v>5.0E-4</v>
      </c>
      <c r="M156" s="763">
        <v>2.79638130810974E10</v>
      </c>
      <c r="N156" s="797">
        <f t="shared" si="8"/>
        <v>0</v>
      </c>
      <c r="O156" s="798">
        <f t="shared" ref="O156:BK156" si="152">FLOOR(MIN((((N("value of ELS upgrade")+N$8*($K156-$K155))*(N("Check checkbox")+(IF($G$6=TRUE,$G$7,$G$8))/$G$8))/(N("ROI of ELS and multiply by 2 if ELS is 1:1")+IF($G$12 = True, 2, 1) * $J156))/((N("difference in ELS+ and the cost of it")+(($K155*O$8)-($K155*N$8)) / O$7)),(N("MIN lets it return 0 or 1 after floored")+1)),1)</f>
        <v>0</v>
      </c>
      <c r="P156" s="798">
        <f t="shared" si="152"/>
        <v>0</v>
      </c>
      <c r="Q156" s="798">
        <f t="shared" si="152"/>
        <v>1</v>
      </c>
      <c r="R156" s="798">
        <f t="shared" si="152"/>
        <v>1</v>
      </c>
      <c r="S156" s="798">
        <f t="shared" si="152"/>
        <v>1</v>
      </c>
      <c r="T156" s="798">
        <f t="shared" si="152"/>
        <v>1</v>
      </c>
      <c r="U156" s="798">
        <f t="shared" si="152"/>
        <v>1</v>
      </c>
      <c r="V156" s="798">
        <f t="shared" si="152"/>
        <v>1</v>
      </c>
      <c r="W156" s="798">
        <f t="shared" si="152"/>
        <v>1</v>
      </c>
      <c r="X156" s="798">
        <f t="shared" si="152"/>
        <v>1</v>
      </c>
      <c r="Y156" s="798">
        <f t="shared" si="152"/>
        <v>1</v>
      </c>
      <c r="Z156" s="798">
        <f t="shared" si="152"/>
        <v>1</v>
      </c>
      <c r="AA156" s="798">
        <f t="shared" si="152"/>
        <v>1</v>
      </c>
      <c r="AB156" s="798">
        <f t="shared" si="152"/>
        <v>1</v>
      </c>
      <c r="AC156" s="798">
        <f t="shared" si="152"/>
        <v>1</v>
      </c>
      <c r="AD156" s="798">
        <f t="shared" si="152"/>
        <v>1</v>
      </c>
      <c r="AE156" s="798">
        <f t="shared" si="152"/>
        <v>1</v>
      </c>
      <c r="AF156" s="798">
        <f t="shared" si="152"/>
        <v>1</v>
      </c>
      <c r="AG156" s="798">
        <f t="shared" si="152"/>
        <v>1</v>
      </c>
      <c r="AH156" s="798">
        <f t="shared" si="152"/>
        <v>1</v>
      </c>
      <c r="AI156" s="798">
        <f t="shared" si="152"/>
        <v>1</v>
      </c>
      <c r="AJ156" s="798">
        <f t="shared" si="152"/>
        <v>1</v>
      </c>
      <c r="AK156" s="798">
        <f t="shared" si="152"/>
        <v>1</v>
      </c>
      <c r="AL156" s="798">
        <f t="shared" si="152"/>
        <v>1</v>
      </c>
      <c r="AM156" s="798">
        <f t="shared" si="152"/>
        <v>1</v>
      </c>
      <c r="AN156" s="798">
        <f t="shared" si="152"/>
        <v>1</v>
      </c>
      <c r="AO156" s="798">
        <f t="shared" si="152"/>
        <v>1</v>
      </c>
      <c r="AP156" s="798">
        <f t="shared" si="152"/>
        <v>1</v>
      </c>
      <c r="AQ156" s="798">
        <f t="shared" si="152"/>
        <v>1</v>
      </c>
      <c r="AR156" s="798">
        <f t="shared" si="152"/>
        <v>1</v>
      </c>
      <c r="AS156" s="798">
        <f t="shared" si="152"/>
        <v>1</v>
      </c>
      <c r="AT156" s="798">
        <f t="shared" si="152"/>
        <v>1</v>
      </c>
      <c r="AU156" s="798">
        <f t="shared" si="152"/>
        <v>1</v>
      </c>
      <c r="AV156" s="798">
        <f t="shared" si="152"/>
        <v>1</v>
      </c>
      <c r="AW156" s="798">
        <f t="shared" si="152"/>
        <v>1</v>
      </c>
      <c r="AX156" s="798">
        <f t="shared" si="152"/>
        <v>1</v>
      </c>
      <c r="AY156" s="798">
        <f t="shared" si="152"/>
        <v>1</v>
      </c>
      <c r="AZ156" s="798">
        <f t="shared" si="152"/>
        <v>1</v>
      </c>
      <c r="BA156" s="798">
        <f t="shared" si="152"/>
        <v>1</v>
      </c>
      <c r="BB156" s="798">
        <f t="shared" si="152"/>
        <v>1</v>
      </c>
      <c r="BC156" s="798">
        <f t="shared" si="152"/>
        <v>1</v>
      </c>
      <c r="BD156" s="798">
        <f t="shared" si="152"/>
        <v>1</v>
      </c>
      <c r="BE156" s="798">
        <f t="shared" si="152"/>
        <v>1</v>
      </c>
      <c r="BF156" s="798">
        <f t="shared" si="152"/>
        <v>1</v>
      </c>
      <c r="BG156" s="798">
        <f t="shared" si="152"/>
        <v>1</v>
      </c>
      <c r="BH156" s="798">
        <f t="shared" si="152"/>
        <v>1</v>
      </c>
      <c r="BI156" s="798">
        <f t="shared" si="152"/>
        <v>1</v>
      </c>
      <c r="BJ156" s="798">
        <f t="shared" si="152"/>
        <v>1</v>
      </c>
      <c r="BK156" s="798">
        <f t="shared" si="152"/>
        <v>1</v>
      </c>
      <c r="BL156" s="765"/>
      <c r="BM156" s="817"/>
      <c r="BN156" s="817"/>
    </row>
    <row r="157" hidden="1">
      <c r="A157" s="765"/>
      <c r="B157" s="765"/>
      <c r="C157" s="765"/>
      <c r="D157" s="765"/>
      <c r="E157" s="765"/>
      <c r="F157" s="765"/>
      <c r="G157" s="765"/>
      <c r="H157" s="765"/>
      <c r="I157" s="765">
        <f t="shared" si="17"/>
        <v>146</v>
      </c>
      <c r="J157" s="763">
        <f t="shared" si="5"/>
        <v>24685755807</v>
      </c>
      <c r="K157" s="796">
        <f t="shared" si="7"/>
        <v>0.30679</v>
      </c>
      <c r="L157" s="796">
        <v>5.0E-4</v>
      </c>
      <c r="M157" s="763">
        <v>2.8147954169924E10</v>
      </c>
      <c r="N157" s="797">
        <f t="shared" si="8"/>
        <v>0</v>
      </c>
      <c r="O157" s="798">
        <f t="shared" ref="O157:BK157" si="153">FLOOR(MIN((((N("value of ELS upgrade")+N$8*($K157-$K156))*(N("Check checkbox")+(IF($G$6=TRUE,$G$7,$G$8))/$G$8))/(N("ROI of ELS and multiply by 2 if ELS is 1:1")+IF($G$12 = True, 2, 1) * $J157))/((N("difference in ELS+ and the cost of it")+(($K156*O$8)-($K156*N$8)) / O$7)),(N("MIN lets it return 0 or 1 after floored")+1)),1)</f>
        <v>0</v>
      </c>
      <c r="P157" s="798">
        <f t="shared" si="153"/>
        <v>0</v>
      </c>
      <c r="Q157" s="798">
        <f t="shared" si="153"/>
        <v>1</v>
      </c>
      <c r="R157" s="798">
        <f t="shared" si="153"/>
        <v>1</v>
      </c>
      <c r="S157" s="798">
        <f t="shared" si="153"/>
        <v>1</v>
      </c>
      <c r="T157" s="798">
        <f t="shared" si="153"/>
        <v>1</v>
      </c>
      <c r="U157" s="798">
        <f t="shared" si="153"/>
        <v>1</v>
      </c>
      <c r="V157" s="798">
        <f t="shared" si="153"/>
        <v>1</v>
      </c>
      <c r="W157" s="798">
        <f t="shared" si="153"/>
        <v>1</v>
      </c>
      <c r="X157" s="798">
        <f t="shared" si="153"/>
        <v>1</v>
      </c>
      <c r="Y157" s="798">
        <f t="shared" si="153"/>
        <v>1</v>
      </c>
      <c r="Z157" s="798">
        <f t="shared" si="153"/>
        <v>1</v>
      </c>
      <c r="AA157" s="798">
        <f t="shared" si="153"/>
        <v>1</v>
      </c>
      <c r="AB157" s="798">
        <f t="shared" si="153"/>
        <v>1</v>
      </c>
      <c r="AC157" s="798">
        <f t="shared" si="153"/>
        <v>1</v>
      </c>
      <c r="AD157" s="798">
        <f t="shared" si="153"/>
        <v>1</v>
      </c>
      <c r="AE157" s="798">
        <f t="shared" si="153"/>
        <v>1</v>
      </c>
      <c r="AF157" s="798">
        <f t="shared" si="153"/>
        <v>1</v>
      </c>
      <c r="AG157" s="798">
        <f t="shared" si="153"/>
        <v>1</v>
      </c>
      <c r="AH157" s="798">
        <f t="shared" si="153"/>
        <v>1</v>
      </c>
      <c r="AI157" s="798">
        <f t="shared" si="153"/>
        <v>1</v>
      </c>
      <c r="AJ157" s="798">
        <f t="shared" si="153"/>
        <v>1</v>
      </c>
      <c r="AK157" s="798">
        <f t="shared" si="153"/>
        <v>1</v>
      </c>
      <c r="AL157" s="798">
        <f t="shared" si="153"/>
        <v>1</v>
      </c>
      <c r="AM157" s="798">
        <f t="shared" si="153"/>
        <v>1</v>
      </c>
      <c r="AN157" s="798">
        <f t="shared" si="153"/>
        <v>1</v>
      </c>
      <c r="AO157" s="798">
        <f t="shared" si="153"/>
        <v>1</v>
      </c>
      <c r="AP157" s="798">
        <f t="shared" si="153"/>
        <v>1</v>
      </c>
      <c r="AQ157" s="798">
        <f t="shared" si="153"/>
        <v>1</v>
      </c>
      <c r="AR157" s="798">
        <f t="shared" si="153"/>
        <v>1</v>
      </c>
      <c r="AS157" s="798">
        <f t="shared" si="153"/>
        <v>1</v>
      </c>
      <c r="AT157" s="798">
        <f t="shared" si="153"/>
        <v>1</v>
      </c>
      <c r="AU157" s="798">
        <f t="shared" si="153"/>
        <v>1</v>
      </c>
      <c r="AV157" s="798">
        <f t="shared" si="153"/>
        <v>1</v>
      </c>
      <c r="AW157" s="798">
        <f t="shared" si="153"/>
        <v>1</v>
      </c>
      <c r="AX157" s="798">
        <f t="shared" si="153"/>
        <v>1</v>
      </c>
      <c r="AY157" s="798">
        <f t="shared" si="153"/>
        <v>1</v>
      </c>
      <c r="AZ157" s="798">
        <f t="shared" si="153"/>
        <v>1</v>
      </c>
      <c r="BA157" s="798">
        <f t="shared" si="153"/>
        <v>1</v>
      </c>
      <c r="BB157" s="798">
        <f t="shared" si="153"/>
        <v>1</v>
      </c>
      <c r="BC157" s="798">
        <f t="shared" si="153"/>
        <v>1</v>
      </c>
      <c r="BD157" s="798">
        <f t="shared" si="153"/>
        <v>1</v>
      </c>
      <c r="BE157" s="798">
        <f t="shared" si="153"/>
        <v>1</v>
      </c>
      <c r="BF157" s="798">
        <f t="shared" si="153"/>
        <v>1</v>
      </c>
      <c r="BG157" s="798">
        <f t="shared" si="153"/>
        <v>1</v>
      </c>
      <c r="BH157" s="798">
        <f t="shared" si="153"/>
        <v>1</v>
      </c>
      <c r="BI157" s="798">
        <f t="shared" si="153"/>
        <v>1</v>
      </c>
      <c r="BJ157" s="798">
        <f t="shared" si="153"/>
        <v>1</v>
      </c>
      <c r="BK157" s="798">
        <f t="shared" si="153"/>
        <v>1</v>
      </c>
      <c r="BL157" s="765"/>
      <c r="BM157" s="817"/>
      <c r="BN157" s="817"/>
    </row>
    <row r="158" hidden="1">
      <c r="A158" s="765"/>
      <c r="B158" s="765"/>
      <c r="C158" s="765"/>
      <c r="D158" s="765"/>
      <c r="E158" s="765"/>
      <c r="F158" s="765"/>
      <c r="G158" s="765"/>
      <c r="H158" s="765"/>
      <c r="I158" s="765">
        <f t="shared" si="17"/>
        <v>147</v>
      </c>
      <c r="J158" s="763">
        <f t="shared" si="5"/>
        <v>24847486836</v>
      </c>
      <c r="K158" s="796">
        <f t="shared" si="7"/>
        <v>0.30729</v>
      </c>
      <c r="L158" s="796">
        <v>5.0E-4</v>
      </c>
      <c r="M158" s="763">
        <v>2.83323681141948E10</v>
      </c>
      <c r="N158" s="797">
        <f t="shared" si="8"/>
        <v>0</v>
      </c>
      <c r="O158" s="798">
        <f t="shared" ref="O158:BK158" si="154">FLOOR(MIN((((N("value of ELS upgrade")+N$8*($K158-$K157))*(N("Check checkbox")+(IF($G$6=TRUE,$G$7,$G$8))/$G$8))/(N("ROI of ELS and multiply by 2 if ELS is 1:1")+IF($G$12 = True, 2, 1) * $J158))/((N("difference in ELS+ and the cost of it")+(($K157*O$8)-($K157*N$8)) / O$7)),(N("MIN lets it return 0 or 1 after floored")+1)),1)</f>
        <v>0</v>
      </c>
      <c r="P158" s="798">
        <f t="shared" si="154"/>
        <v>0</v>
      </c>
      <c r="Q158" s="798">
        <f t="shared" si="154"/>
        <v>1</v>
      </c>
      <c r="R158" s="798">
        <f t="shared" si="154"/>
        <v>1</v>
      </c>
      <c r="S158" s="798">
        <f t="shared" si="154"/>
        <v>1</v>
      </c>
      <c r="T158" s="798">
        <f t="shared" si="154"/>
        <v>1</v>
      </c>
      <c r="U158" s="798">
        <f t="shared" si="154"/>
        <v>1</v>
      </c>
      <c r="V158" s="798">
        <f t="shared" si="154"/>
        <v>1</v>
      </c>
      <c r="W158" s="798">
        <f t="shared" si="154"/>
        <v>1</v>
      </c>
      <c r="X158" s="798">
        <f t="shared" si="154"/>
        <v>1</v>
      </c>
      <c r="Y158" s="798">
        <f t="shared" si="154"/>
        <v>1</v>
      </c>
      <c r="Z158" s="798">
        <f t="shared" si="154"/>
        <v>1</v>
      </c>
      <c r="AA158" s="798">
        <f t="shared" si="154"/>
        <v>1</v>
      </c>
      <c r="AB158" s="798">
        <f t="shared" si="154"/>
        <v>1</v>
      </c>
      <c r="AC158" s="798">
        <f t="shared" si="154"/>
        <v>1</v>
      </c>
      <c r="AD158" s="798">
        <f t="shared" si="154"/>
        <v>1</v>
      </c>
      <c r="AE158" s="798">
        <f t="shared" si="154"/>
        <v>1</v>
      </c>
      <c r="AF158" s="798">
        <f t="shared" si="154"/>
        <v>1</v>
      </c>
      <c r="AG158" s="798">
        <f t="shared" si="154"/>
        <v>1</v>
      </c>
      <c r="AH158" s="798">
        <f t="shared" si="154"/>
        <v>1</v>
      </c>
      <c r="AI158" s="798">
        <f t="shared" si="154"/>
        <v>1</v>
      </c>
      <c r="AJ158" s="798">
        <f t="shared" si="154"/>
        <v>1</v>
      </c>
      <c r="AK158" s="798">
        <f t="shared" si="154"/>
        <v>1</v>
      </c>
      <c r="AL158" s="798">
        <f t="shared" si="154"/>
        <v>1</v>
      </c>
      <c r="AM158" s="798">
        <f t="shared" si="154"/>
        <v>1</v>
      </c>
      <c r="AN158" s="798">
        <f t="shared" si="154"/>
        <v>1</v>
      </c>
      <c r="AO158" s="798">
        <f t="shared" si="154"/>
        <v>1</v>
      </c>
      <c r="AP158" s="798">
        <f t="shared" si="154"/>
        <v>1</v>
      </c>
      <c r="AQ158" s="798">
        <f t="shared" si="154"/>
        <v>1</v>
      </c>
      <c r="AR158" s="798">
        <f t="shared" si="154"/>
        <v>1</v>
      </c>
      <c r="AS158" s="798">
        <f t="shared" si="154"/>
        <v>1</v>
      </c>
      <c r="AT158" s="798">
        <f t="shared" si="154"/>
        <v>1</v>
      </c>
      <c r="AU158" s="798">
        <f t="shared" si="154"/>
        <v>1</v>
      </c>
      <c r="AV158" s="798">
        <f t="shared" si="154"/>
        <v>1</v>
      </c>
      <c r="AW158" s="798">
        <f t="shared" si="154"/>
        <v>1</v>
      </c>
      <c r="AX158" s="798">
        <f t="shared" si="154"/>
        <v>1</v>
      </c>
      <c r="AY158" s="798">
        <f t="shared" si="154"/>
        <v>1</v>
      </c>
      <c r="AZ158" s="798">
        <f t="shared" si="154"/>
        <v>1</v>
      </c>
      <c r="BA158" s="798">
        <f t="shared" si="154"/>
        <v>1</v>
      </c>
      <c r="BB158" s="798">
        <f t="shared" si="154"/>
        <v>1</v>
      </c>
      <c r="BC158" s="798">
        <f t="shared" si="154"/>
        <v>1</v>
      </c>
      <c r="BD158" s="798">
        <f t="shared" si="154"/>
        <v>1</v>
      </c>
      <c r="BE158" s="798">
        <f t="shared" si="154"/>
        <v>1</v>
      </c>
      <c r="BF158" s="798">
        <f t="shared" si="154"/>
        <v>1</v>
      </c>
      <c r="BG158" s="798">
        <f t="shared" si="154"/>
        <v>1</v>
      </c>
      <c r="BH158" s="798">
        <f t="shared" si="154"/>
        <v>1</v>
      </c>
      <c r="BI158" s="798">
        <f t="shared" si="154"/>
        <v>1</v>
      </c>
      <c r="BJ158" s="798">
        <f t="shared" si="154"/>
        <v>1</v>
      </c>
      <c r="BK158" s="798">
        <f t="shared" si="154"/>
        <v>1</v>
      </c>
      <c r="BL158" s="765"/>
      <c r="BM158" s="817"/>
      <c r="BN158" s="817"/>
    </row>
    <row r="159" hidden="1">
      <c r="A159" s="765"/>
      <c r="B159" s="765"/>
      <c r="C159" s="765"/>
      <c r="D159" s="765"/>
      <c r="E159" s="765"/>
      <c r="F159" s="765"/>
      <c r="G159" s="765"/>
      <c r="H159" s="765"/>
      <c r="I159" s="765">
        <f t="shared" si="17"/>
        <v>148</v>
      </c>
      <c r="J159" s="763">
        <f t="shared" si="5"/>
        <v>25009459215</v>
      </c>
      <c r="K159" s="796">
        <f t="shared" si="7"/>
        <v>0.30779</v>
      </c>
      <c r="L159" s="796">
        <v>5.0E-4</v>
      </c>
      <c r="M159" s="763">
        <v>2.85170572581728E10</v>
      </c>
      <c r="N159" s="797">
        <f t="shared" si="8"/>
        <v>0</v>
      </c>
      <c r="O159" s="798">
        <f t="shared" ref="O159:BK159" si="155">FLOOR(MIN((((N("value of ELS upgrade")+N$8*($K159-$K158))*(N("Check checkbox")+(IF($G$6=TRUE,$G$7,$G$8))/$G$8))/(N("ROI of ELS and multiply by 2 if ELS is 1:1")+IF($G$12 = True, 2, 1) * $J159))/((N("difference in ELS+ and the cost of it")+(($K158*O$8)-($K158*N$8)) / O$7)),(N("MIN lets it return 0 or 1 after floored")+1)),1)</f>
        <v>0</v>
      </c>
      <c r="P159" s="798">
        <f t="shared" si="155"/>
        <v>0</v>
      </c>
      <c r="Q159" s="798">
        <f t="shared" si="155"/>
        <v>1</v>
      </c>
      <c r="R159" s="798">
        <f t="shared" si="155"/>
        <v>1</v>
      </c>
      <c r="S159" s="798">
        <f t="shared" si="155"/>
        <v>1</v>
      </c>
      <c r="T159" s="798">
        <f t="shared" si="155"/>
        <v>1</v>
      </c>
      <c r="U159" s="798">
        <f t="shared" si="155"/>
        <v>1</v>
      </c>
      <c r="V159" s="798">
        <f t="shared" si="155"/>
        <v>1</v>
      </c>
      <c r="W159" s="798">
        <f t="shared" si="155"/>
        <v>1</v>
      </c>
      <c r="X159" s="798">
        <f t="shared" si="155"/>
        <v>1</v>
      </c>
      <c r="Y159" s="798">
        <f t="shared" si="155"/>
        <v>1</v>
      </c>
      <c r="Z159" s="798">
        <f t="shared" si="155"/>
        <v>1</v>
      </c>
      <c r="AA159" s="798">
        <f t="shared" si="155"/>
        <v>1</v>
      </c>
      <c r="AB159" s="798">
        <f t="shared" si="155"/>
        <v>1</v>
      </c>
      <c r="AC159" s="798">
        <f t="shared" si="155"/>
        <v>1</v>
      </c>
      <c r="AD159" s="798">
        <f t="shared" si="155"/>
        <v>1</v>
      </c>
      <c r="AE159" s="798">
        <f t="shared" si="155"/>
        <v>1</v>
      </c>
      <c r="AF159" s="798">
        <f t="shared" si="155"/>
        <v>1</v>
      </c>
      <c r="AG159" s="798">
        <f t="shared" si="155"/>
        <v>1</v>
      </c>
      <c r="AH159" s="798">
        <f t="shared" si="155"/>
        <v>1</v>
      </c>
      <c r="AI159" s="798">
        <f t="shared" si="155"/>
        <v>1</v>
      </c>
      <c r="AJ159" s="798">
        <f t="shared" si="155"/>
        <v>1</v>
      </c>
      <c r="AK159" s="798">
        <f t="shared" si="155"/>
        <v>1</v>
      </c>
      <c r="AL159" s="798">
        <f t="shared" si="155"/>
        <v>1</v>
      </c>
      <c r="AM159" s="798">
        <f t="shared" si="155"/>
        <v>1</v>
      </c>
      <c r="AN159" s="798">
        <f t="shared" si="155"/>
        <v>1</v>
      </c>
      <c r="AO159" s="798">
        <f t="shared" si="155"/>
        <v>1</v>
      </c>
      <c r="AP159" s="798">
        <f t="shared" si="155"/>
        <v>1</v>
      </c>
      <c r="AQ159" s="798">
        <f t="shared" si="155"/>
        <v>1</v>
      </c>
      <c r="AR159" s="798">
        <f t="shared" si="155"/>
        <v>1</v>
      </c>
      <c r="AS159" s="798">
        <f t="shared" si="155"/>
        <v>1</v>
      </c>
      <c r="AT159" s="798">
        <f t="shared" si="155"/>
        <v>1</v>
      </c>
      <c r="AU159" s="798">
        <f t="shared" si="155"/>
        <v>1</v>
      </c>
      <c r="AV159" s="798">
        <f t="shared" si="155"/>
        <v>1</v>
      </c>
      <c r="AW159" s="798">
        <f t="shared" si="155"/>
        <v>1</v>
      </c>
      <c r="AX159" s="798">
        <f t="shared" si="155"/>
        <v>1</v>
      </c>
      <c r="AY159" s="798">
        <f t="shared" si="155"/>
        <v>1</v>
      </c>
      <c r="AZ159" s="798">
        <f t="shared" si="155"/>
        <v>1</v>
      </c>
      <c r="BA159" s="798">
        <f t="shared" si="155"/>
        <v>1</v>
      </c>
      <c r="BB159" s="798">
        <f t="shared" si="155"/>
        <v>1</v>
      </c>
      <c r="BC159" s="798">
        <f t="shared" si="155"/>
        <v>1</v>
      </c>
      <c r="BD159" s="798">
        <f t="shared" si="155"/>
        <v>1</v>
      </c>
      <c r="BE159" s="798">
        <f t="shared" si="155"/>
        <v>1</v>
      </c>
      <c r="BF159" s="798">
        <f t="shared" si="155"/>
        <v>1</v>
      </c>
      <c r="BG159" s="798">
        <f t="shared" si="155"/>
        <v>1</v>
      </c>
      <c r="BH159" s="798">
        <f t="shared" si="155"/>
        <v>1</v>
      </c>
      <c r="BI159" s="798">
        <f t="shared" si="155"/>
        <v>1</v>
      </c>
      <c r="BJ159" s="798">
        <f t="shared" si="155"/>
        <v>1</v>
      </c>
      <c r="BK159" s="798">
        <f t="shared" si="155"/>
        <v>1</v>
      </c>
      <c r="BL159" s="765"/>
      <c r="BM159" s="817"/>
      <c r="BN159" s="817"/>
    </row>
    <row r="160" hidden="1">
      <c r="A160" s="765"/>
      <c r="B160" s="765"/>
      <c r="C160" s="765"/>
      <c r="D160" s="765"/>
      <c r="E160" s="765"/>
      <c r="F160" s="765"/>
      <c r="G160" s="765"/>
      <c r="H160" s="765"/>
      <c r="I160" s="765">
        <f t="shared" si="17"/>
        <v>149</v>
      </c>
      <c r="J160" s="763">
        <f t="shared" si="5"/>
        <v>25171675294</v>
      </c>
      <c r="K160" s="796">
        <f t="shared" si="7"/>
        <v>0.30829</v>
      </c>
      <c r="L160" s="796">
        <v>5.0E-4</v>
      </c>
      <c r="M160" s="763">
        <v>2.87020242810153E10</v>
      </c>
      <c r="N160" s="797">
        <f t="shared" si="8"/>
        <v>0</v>
      </c>
      <c r="O160" s="798">
        <f t="shared" ref="O160:BK160" si="156">FLOOR(MIN((((N("value of ELS upgrade")+N$8*($K160-$K159))*(N("Check checkbox")+(IF($G$6=TRUE,$G$7,$G$8))/$G$8))/(N("ROI of ELS and multiply by 2 if ELS is 1:1")+IF($G$12 = True, 2, 1) * $J160))/((N("difference in ELS+ and the cost of it")+(($K159*O$8)-($K159*N$8)) / O$7)),(N("MIN lets it return 0 or 1 after floored")+1)),1)</f>
        <v>0</v>
      </c>
      <c r="P160" s="798">
        <f t="shared" si="156"/>
        <v>0</v>
      </c>
      <c r="Q160" s="798">
        <f t="shared" si="156"/>
        <v>1</v>
      </c>
      <c r="R160" s="798">
        <f t="shared" si="156"/>
        <v>1</v>
      </c>
      <c r="S160" s="798">
        <f t="shared" si="156"/>
        <v>1</v>
      </c>
      <c r="T160" s="798">
        <f t="shared" si="156"/>
        <v>1</v>
      </c>
      <c r="U160" s="798">
        <f t="shared" si="156"/>
        <v>1</v>
      </c>
      <c r="V160" s="798">
        <f t="shared" si="156"/>
        <v>1</v>
      </c>
      <c r="W160" s="798">
        <f t="shared" si="156"/>
        <v>1</v>
      </c>
      <c r="X160" s="798">
        <f t="shared" si="156"/>
        <v>1</v>
      </c>
      <c r="Y160" s="798">
        <f t="shared" si="156"/>
        <v>1</v>
      </c>
      <c r="Z160" s="798">
        <f t="shared" si="156"/>
        <v>1</v>
      </c>
      <c r="AA160" s="798">
        <f t="shared" si="156"/>
        <v>1</v>
      </c>
      <c r="AB160" s="798">
        <f t="shared" si="156"/>
        <v>1</v>
      </c>
      <c r="AC160" s="798">
        <f t="shared" si="156"/>
        <v>1</v>
      </c>
      <c r="AD160" s="798">
        <f t="shared" si="156"/>
        <v>1</v>
      </c>
      <c r="AE160" s="798">
        <f t="shared" si="156"/>
        <v>1</v>
      </c>
      <c r="AF160" s="798">
        <f t="shared" si="156"/>
        <v>1</v>
      </c>
      <c r="AG160" s="798">
        <f t="shared" si="156"/>
        <v>1</v>
      </c>
      <c r="AH160" s="798">
        <f t="shared" si="156"/>
        <v>1</v>
      </c>
      <c r="AI160" s="798">
        <f t="shared" si="156"/>
        <v>1</v>
      </c>
      <c r="AJ160" s="798">
        <f t="shared" si="156"/>
        <v>1</v>
      </c>
      <c r="AK160" s="798">
        <f t="shared" si="156"/>
        <v>1</v>
      </c>
      <c r="AL160" s="798">
        <f t="shared" si="156"/>
        <v>1</v>
      </c>
      <c r="AM160" s="798">
        <f t="shared" si="156"/>
        <v>1</v>
      </c>
      <c r="AN160" s="798">
        <f t="shared" si="156"/>
        <v>1</v>
      </c>
      <c r="AO160" s="798">
        <f t="shared" si="156"/>
        <v>1</v>
      </c>
      <c r="AP160" s="798">
        <f t="shared" si="156"/>
        <v>1</v>
      </c>
      <c r="AQ160" s="798">
        <f t="shared" si="156"/>
        <v>1</v>
      </c>
      <c r="AR160" s="798">
        <f t="shared" si="156"/>
        <v>1</v>
      </c>
      <c r="AS160" s="798">
        <f t="shared" si="156"/>
        <v>1</v>
      </c>
      <c r="AT160" s="798">
        <f t="shared" si="156"/>
        <v>1</v>
      </c>
      <c r="AU160" s="798">
        <f t="shared" si="156"/>
        <v>1</v>
      </c>
      <c r="AV160" s="798">
        <f t="shared" si="156"/>
        <v>1</v>
      </c>
      <c r="AW160" s="798">
        <f t="shared" si="156"/>
        <v>1</v>
      </c>
      <c r="AX160" s="798">
        <f t="shared" si="156"/>
        <v>1</v>
      </c>
      <c r="AY160" s="798">
        <f t="shared" si="156"/>
        <v>1</v>
      </c>
      <c r="AZ160" s="798">
        <f t="shared" si="156"/>
        <v>1</v>
      </c>
      <c r="BA160" s="798">
        <f t="shared" si="156"/>
        <v>1</v>
      </c>
      <c r="BB160" s="798">
        <f t="shared" si="156"/>
        <v>1</v>
      </c>
      <c r="BC160" s="798">
        <f t="shared" si="156"/>
        <v>1</v>
      </c>
      <c r="BD160" s="798">
        <f t="shared" si="156"/>
        <v>1</v>
      </c>
      <c r="BE160" s="798">
        <f t="shared" si="156"/>
        <v>1</v>
      </c>
      <c r="BF160" s="798">
        <f t="shared" si="156"/>
        <v>1</v>
      </c>
      <c r="BG160" s="798">
        <f t="shared" si="156"/>
        <v>1</v>
      </c>
      <c r="BH160" s="798">
        <f t="shared" si="156"/>
        <v>1</v>
      </c>
      <c r="BI160" s="798">
        <f t="shared" si="156"/>
        <v>1</v>
      </c>
      <c r="BJ160" s="798">
        <f t="shared" si="156"/>
        <v>1</v>
      </c>
      <c r="BK160" s="798">
        <f t="shared" si="156"/>
        <v>1</v>
      </c>
      <c r="BL160" s="765"/>
      <c r="BM160" s="817"/>
      <c r="BN160" s="817"/>
    </row>
    <row r="161" hidden="1">
      <c r="A161" s="765"/>
      <c r="B161" s="765"/>
      <c r="C161" s="765"/>
      <c r="D161" s="765"/>
      <c r="E161" s="765"/>
      <c r="F161" s="765"/>
      <c r="G161" s="765"/>
      <c r="H161" s="765"/>
      <c r="I161" s="765">
        <f t="shared" si="17"/>
        <v>150</v>
      </c>
      <c r="J161" s="763">
        <f t="shared" si="5"/>
        <v>25334137349</v>
      </c>
      <c r="K161" s="796">
        <f t="shared" si="7"/>
        <v>0.30879</v>
      </c>
      <c r="L161" s="796">
        <v>5.0E-4</v>
      </c>
      <c r="M161" s="763">
        <v>2.88872717781562E10</v>
      </c>
      <c r="N161" s="797">
        <f t="shared" si="8"/>
        <v>0</v>
      </c>
      <c r="O161" s="798">
        <f t="shared" ref="O161:BK161" si="157">FLOOR(MIN((((N("value of ELS upgrade")+N$8*($K161-$K160))*(N("Check checkbox")+(IF($G$6=TRUE,$G$7,$G$8))/$G$8))/(N("ROI of ELS and multiply by 2 if ELS is 1:1")+IF($G$12 = True, 2, 1) * $J161))/((N("difference in ELS+ and the cost of it")+(($K160*O$8)-($K160*N$8)) / O$7)),(N("MIN lets it return 0 or 1 after floored")+1)),1)</f>
        <v>0</v>
      </c>
      <c r="P161" s="798">
        <f t="shared" si="157"/>
        <v>0</v>
      </c>
      <c r="Q161" s="798">
        <f t="shared" si="157"/>
        <v>1</v>
      </c>
      <c r="R161" s="798">
        <f t="shared" si="157"/>
        <v>1</v>
      </c>
      <c r="S161" s="798">
        <f t="shared" si="157"/>
        <v>1</v>
      </c>
      <c r="T161" s="798">
        <f t="shared" si="157"/>
        <v>1</v>
      </c>
      <c r="U161" s="798">
        <f t="shared" si="157"/>
        <v>1</v>
      </c>
      <c r="V161" s="798">
        <f t="shared" si="157"/>
        <v>1</v>
      </c>
      <c r="W161" s="798">
        <f t="shared" si="157"/>
        <v>1</v>
      </c>
      <c r="X161" s="798">
        <f t="shared" si="157"/>
        <v>1</v>
      </c>
      <c r="Y161" s="798">
        <f t="shared" si="157"/>
        <v>1</v>
      </c>
      <c r="Z161" s="798">
        <f t="shared" si="157"/>
        <v>1</v>
      </c>
      <c r="AA161" s="798">
        <f t="shared" si="157"/>
        <v>1</v>
      </c>
      <c r="AB161" s="798">
        <f t="shared" si="157"/>
        <v>1</v>
      </c>
      <c r="AC161" s="798">
        <f t="shared" si="157"/>
        <v>1</v>
      </c>
      <c r="AD161" s="798">
        <f t="shared" si="157"/>
        <v>1</v>
      </c>
      <c r="AE161" s="798">
        <f t="shared" si="157"/>
        <v>1</v>
      </c>
      <c r="AF161" s="798">
        <f t="shared" si="157"/>
        <v>1</v>
      </c>
      <c r="AG161" s="798">
        <f t="shared" si="157"/>
        <v>1</v>
      </c>
      <c r="AH161" s="798">
        <f t="shared" si="157"/>
        <v>1</v>
      </c>
      <c r="AI161" s="798">
        <f t="shared" si="157"/>
        <v>1</v>
      </c>
      <c r="AJ161" s="798">
        <f t="shared" si="157"/>
        <v>1</v>
      </c>
      <c r="AK161" s="798">
        <f t="shared" si="157"/>
        <v>1</v>
      </c>
      <c r="AL161" s="798">
        <f t="shared" si="157"/>
        <v>1</v>
      </c>
      <c r="AM161" s="798">
        <f t="shared" si="157"/>
        <v>1</v>
      </c>
      <c r="AN161" s="798">
        <f t="shared" si="157"/>
        <v>1</v>
      </c>
      <c r="AO161" s="798">
        <f t="shared" si="157"/>
        <v>1</v>
      </c>
      <c r="AP161" s="798">
        <f t="shared" si="157"/>
        <v>1</v>
      </c>
      <c r="AQ161" s="798">
        <f t="shared" si="157"/>
        <v>1</v>
      </c>
      <c r="AR161" s="798">
        <f t="shared" si="157"/>
        <v>1</v>
      </c>
      <c r="AS161" s="798">
        <f t="shared" si="157"/>
        <v>1</v>
      </c>
      <c r="AT161" s="798">
        <f t="shared" si="157"/>
        <v>1</v>
      </c>
      <c r="AU161" s="798">
        <f t="shared" si="157"/>
        <v>1</v>
      </c>
      <c r="AV161" s="798">
        <f t="shared" si="157"/>
        <v>1</v>
      </c>
      <c r="AW161" s="798">
        <f t="shared" si="157"/>
        <v>1</v>
      </c>
      <c r="AX161" s="798">
        <f t="shared" si="157"/>
        <v>1</v>
      </c>
      <c r="AY161" s="798">
        <f t="shared" si="157"/>
        <v>1</v>
      </c>
      <c r="AZ161" s="798">
        <f t="shared" si="157"/>
        <v>1</v>
      </c>
      <c r="BA161" s="798">
        <f t="shared" si="157"/>
        <v>1</v>
      </c>
      <c r="BB161" s="798">
        <f t="shared" si="157"/>
        <v>1</v>
      </c>
      <c r="BC161" s="798">
        <f t="shared" si="157"/>
        <v>1</v>
      </c>
      <c r="BD161" s="798">
        <f t="shared" si="157"/>
        <v>1</v>
      </c>
      <c r="BE161" s="798">
        <f t="shared" si="157"/>
        <v>1</v>
      </c>
      <c r="BF161" s="798">
        <f t="shared" si="157"/>
        <v>1</v>
      </c>
      <c r="BG161" s="798">
        <f t="shared" si="157"/>
        <v>1</v>
      </c>
      <c r="BH161" s="798">
        <f t="shared" si="157"/>
        <v>1</v>
      </c>
      <c r="BI161" s="798">
        <f t="shared" si="157"/>
        <v>1</v>
      </c>
      <c r="BJ161" s="798">
        <f t="shared" si="157"/>
        <v>1</v>
      </c>
      <c r="BK161" s="798">
        <f t="shared" si="157"/>
        <v>1</v>
      </c>
      <c r="BL161" s="765"/>
      <c r="BM161" s="817"/>
      <c r="BN161" s="817"/>
    </row>
    <row r="162" hidden="1">
      <c r="A162" s="765"/>
      <c r="B162" s="765"/>
      <c r="C162" s="765"/>
      <c r="D162" s="765"/>
      <c r="E162" s="765"/>
      <c r="F162" s="765"/>
      <c r="G162" s="765"/>
      <c r="H162" s="765"/>
      <c r="I162" s="765">
        <f t="shared" si="17"/>
        <v>151</v>
      </c>
      <c r="J162" s="763">
        <f t="shared" si="5"/>
        <v>29576342260</v>
      </c>
      <c r="K162" s="796">
        <f t="shared" si="7"/>
        <v>0.30929</v>
      </c>
      <c r="L162" s="796">
        <v>5.0E-4</v>
      </c>
      <c r="M162" s="763">
        <v>3.37244495555856E10</v>
      </c>
      <c r="N162" s="797">
        <f t="shared" si="8"/>
        <v>0</v>
      </c>
      <c r="O162" s="798">
        <f t="shared" ref="O162:BK162" si="158">FLOOR(MIN((((N("value of ELS upgrade")+N$8*($K162-$K161))*(N("Check checkbox")+(IF($G$6=TRUE,$G$7,$G$8))/$G$8))/(N("ROI of ELS and multiply by 2 if ELS is 1:1")+IF($G$12 = True, 2, 1) * $J162))/((N("difference in ELS+ and the cost of it")+(($K161*O$8)-($K161*N$8)) / O$7)),(N("MIN lets it return 0 or 1 after floored")+1)),1)</f>
        <v>0</v>
      </c>
      <c r="P162" s="798">
        <f t="shared" si="158"/>
        <v>0</v>
      </c>
      <c r="Q162" s="798">
        <f t="shared" si="158"/>
        <v>0</v>
      </c>
      <c r="R162" s="798">
        <f t="shared" si="158"/>
        <v>1</v>
      </c>
      <c r="S162" s="798">
        <f t="shared" si="158"/>
        <v>1</v>
      </c>
      <c r="T162" s="798">
        <f t="shared" si="158"/>
        <v>1</v>
      </c>
      <c r="U162" s="798">
        <f t="shared" si="158"/>
        <v>1</v>
      </c>
      <c r="V162" s="798">
        <f t="shared" si="158"/>
        <v>1</v>
      </c>
      <c r="W162" s="798">
        <f t="shared" si="158"/>
        <v>1</v>
      </c>
      <c r="X162" s="798">
        <f t="shared" si="158"/>
        <v>1</v>
      </c>
      <c r="Y162" s="798">
        <f t="shared" si="158"/>
        <v>1</v>
      </c>
      <c r="Z162" s="798">
        <f t="shared" si="158"/>
        <v>1</v>
      </c>
      <c r="AA162" s="798">
        <f t="shared" si="158"/>
        <v>1</v>
      </c>
      <c r="AB162" s="798">
        <f t="shared" si="158"/>
        <v>1</v>
      </c>
      <c r="AC162" s="798">
        <f t="shared" si="158"/>
        <v>1</v>
      </c>
      <c r="AD162" s="798">
        <f t="shared" si="158"/>
        <v>1</v>
      </c>
      <c r="AE162" s="798">
        <f t="shared" si="158"/>
        <v>1</v>
      </c>
      <c r="AF162" s="798">
        <f t="shared" si="158"/>
        <v>1</v>
      </c>
      <c r="AG162" s="798">
        <f t="shared" si="158"/>
        <v>1</v>
      </c>
      <c r="AH162" s="798">
        <f t="shared" si="158"/>
        <v>1</v>
      </c>
      <c r="AI162" s="798">
        <f t="shared" si="158"/>
        <v>1</v>
      </c>
      <c r="AJ162" s="798">
        <f t="shared" si="158"/>
        <v>1</v>
      </c>
      <c r="AK162" s="798">
        <f t="shared" si="158"/>
        <v>1</v>
      </c>
      <c r="AL162" s="798">
        <f t="shared" si="158"/>
        <v>1</v>
      </c>
      <c r="AM162" s="798">
        <f t="shared" si="158"/>
        <v>1</v>
      </c>
      <c r="AN162" s="798">
        <f t="shared" si="158"/>
        <v>1</v>
      </c>
      <c r="AO162" s="798">
        <f t="shared" si="158"/>
        <v>1</v>
      </c>
      <c r="AP162" s="798">
        <f t="shared" si="158"/>
        <v>1</v>
      </c>
      <c r="AQ162" s="798">
        <f t="shared" si="158"/>
        <v>1</v>
      </c>
      <c r="AR162" s="798">
        <f t="shared" si="158"/>
        <v>1</v>
      </c>
      <c r="AS162" s="798">
        <f t="shared" si="158"/>
        <v>1</v>
      </c>
      <c r="AT162" s="798">
        <f t="shared" si="158"/>
        <v>1</v>
      </c>
      <c r="AU162" s="798">
        <f t="shared" si="158"/>
        <v>1</v>
      </c>
      <c r="AV162" s="798">
        <f t="shared" si="158"/>
        <v>1</v>
      </c>
      <c r="AW162" s="798">
        <f t="shared" si="158"/>
        <v>1</v>
      </c>
      <c r="AX162" s="798">
        <f t="shared" si="158"/>
        <v>1</v>
      </c>
      <c r="AY162" s="798">
        <f t="shared" si="158"/>
        <v>1</v>
      </c>
      <c r="AZ162" s="798">
        <f t="shared" si="158"/>
        <v>1</v>
      </c>
      <c r="BA162" s="798">
        <f t="shared" si="158"/>
        <v>1</v>
      </c>
      <c r="BB162" s="798">
        <f t="shared" si="158"/>
        <v>1</v>
      </c>
      <c r="BC162" s="798">
        <f t="shared" si="158"/>
        <v>1</v>
      </c>
      <c r="BD162" s="798">
        <f t="shared" si="158"/>
        <v>1</v>
      </c>
      <c r="BE162" s="798">
        <f t="shared" si="158"/>
        <v>1</v>
      </c>
      <c r="BF162" s="798">
        <f t="shared" si="158"/>
        <v>1</v>
      </c>
      <c r="BG162" s="798">
        <f t="shared" si="158"/>
        <v>1</v>
      </c>
      <c r="BH162" s="798">
        <f t="shared" si="158"/>
        <v>1</v>
      </c>
      <c r="BI162" s="798">
        <f t="shared" si="158"/>
        <v>1</v>
      </c>
      <c r="BJ162" s="798">
        <f t="shared" si="158"/>
        <v>1</v>
      </c>
      <c r="BK162" s="798">
        <f t="shared" si="158"/>
        <v>1</v>
      </c>
      <c r="BL162" s="765"/>
      <c r="BM162" s="817"/>
      <c r="BN162" s="817"/>
    </row>
    <row r="163" hidden="1">
      <c r="A163" s="765"/>
      <c r="B163" s="765"/>
      <c r="C163" s="765"/>
      <c r="D163" s="765"/>
      <c r="E163" s="765"/>
      <c r="F163" s="765"/>
      <c r="G163" s="765"/>
      <c r="H163" s="765"/>
      <c r="I163" s="765">
        <f t="shared" si="17"/>
        <v>152</v>
      </c>
      <c r="J163" s="763">
        <f t="shared" si="5"/>
        <v>29765376568</v>
      </c>
      <c r="K163" s="796">
        <f t="shared" si="7"/>
        <v>0.30979</v>
      </c>
      <c r="L163" s="796">
        <v>5.0E-4</v>
      </c>
      <c r="M163" s="763">
        <v>3.39399960871903E10</v>
      </c>
      <c r="N163" s="797">
        <f t="shared" si="8"/>
        <v>0</v>
      </c>
      <c r="O163" s="798">
        <f t="shared" ref="O163:BK163" si="159">FLOOR(MIN((((N("value of ELS upgrade")+N$8*($K163-$K162))*(N("Check checkbox")+(IF($G$6=TRUE,$G$7,$G$8))/$G$8))/(N("ROI of ELS and multiply by 2 if ELS is 1:1")+IF($G$12 = True, 2, 1) * $J163))/((N("difference in ELS+ and the cost of it")+(($K162*O$8)-($K162*N$8)) / O$7)),(N("MIN lets it return 0 or 1 after floored")+1)),1)</f>
        <v>0</v>
      </c>
      <c r="P163" s="798">
        <f t="shared" si="159"/>
        <v>0</v>
      </c>
      <c r="Q163" s="798">
        <f t="shared" si="159"/>
        <v>0</v>
      </c>
      <c r="R163" s="798">
        <f t="shared" si="159"/>
        <v>1</v>
      </c>
      <c r="S163" s="798">
        <f t="shared" si="159"/>
        <v>1</v>
      </c>
      <c r="T163" s="798">
        <f t="shared" si="159"/>
        <v>1</v>
      </c>
      <c r="U163" s="798">
        <f t="shared" si="159"/>
        <v>1</v>
      </c>
      <c r="V163" s="798">
        <f t="shared" si="159"/>
        <v>1</v>
      </c>
      <c r="W163" s="798">
        <f t="shared" si="159"/>
        <v>1</v>
      </c>
      <c r="X163" s="798">
        <f t="shared" si="159"/>
        <v>1</v>
      </c>
      <c r="Y163" s="798">
        <f t="shared" si="159"/>
        <v>1</v>
      </c>
      <c r="Z163" s="798">
        <f t="shared" si="159"/>
        <v>1</v>
      </c>
      <c r="AA163" s="798">
        <f t="shared" si="159"/>
        <v>1</v>
      </c>
      <c r="AB163" s="798">
        <f t="shared" si="159"/>
        <v>1</v>
      </c>
      <c r="AC163" s="798">
        <f t="shared" si="159"/>
        <v>1</v>
      </c>
      <c r="AD163" s="798">
        <f t="shared" si="159"/>
        <v>1</v>
      </c>
      <c r="AE163" s="798">
        <f t="shared" si="159"/>
        <v>1</v>
      </c>
      <c r="AF163" s="798">
        <f t="shared" si="159"/>
        <v>1</v>
      </c>
      <c r="AG163" s="798">
        <f t="shared" si="159"/>
        <v>1</v>
      </c>
      <c r="AH163" s="798">
        <f t="shared" si="159"/>
        <v>1</v>
      </c>
      <c r="AI163" s="798">
        <f t="shared" si="159"/>
        <v>1</v>
      </c>
      <c r="AJ163" s="798">
        <f t="shared" si="159"/>
        <v>1</v>
      </c>
      <c r="AK163" s="798">
        <f t="shared" si="159"/>
        <v>1</v>
      </c>
      <c r="AL163" s="798">
        <f t="shared" si="159"/>
        <v>1</v>
      </c>
      <c r="AM163" s="798">
        <f t="shared" si="159"/>
        <v>1</v>
      </c>
      <c r="AN163" s="798">
        <f t="shared" si="159"/>
        <v>1</v>
      </c>
      <c r="AO163" s="798">
        <f t="shared" si="159"/>
        <v>1</v>
      </c>
      <c r="AP163" s="798">
        <f t="shared" si="159"/>
        <v>1</v>
      </c>
      <c r="AQ163" s="798">
        <f t="shared" si="159"/>
        <v>1</v>
      </c>
      <c r="AR163" s="798">
        <f t="shared" si="159"/>
        <v>1</v>
      </c>
      <c r="AS163" s="798">
        <f t="shared" si="159"/>
        <v>1</v>
      </c>
      <c r="AT163" s="798">
        <f t="shared" si="159"/>
        <v>1</v>
      </c>
      <c r="AU163" s="798">
        <f t="shared" si="159"/>
        <v>1</v>
      </c>
      <c r="AV163" s="798">
        <f t="shared" si="159"/>
        <v>1</v>
      </c>
      <c r="AW163" s="798">
        <f t="shared" si="159"/>
        <v>1</v>
      </c>
      <c r="AX163" s="798">
        <f t="shared" si="159"/>
        <v>1</v>
      </c>
      <c r="AY163" s="798">
        <f t="shared" si="159"/>
        <v>1</v>
      </c>
      <c r="AZ163" s="798">
        <f t="shared" si="159"/>
        <v>1</v>
      </c>
      <c r="BA163" s="798">
        <f t="shared" si="159"/>
        <v>1</v>
      </c>
      <c r="BB163" s="798">
        <f t="shared" si="159"/>
        <v>1</v>
      </c>
      <c r="BC163" s="798">
        <f t="shared" si="159"/>
        <v>1</v>
      </c>
      <c r="BD163" s="798">
        <f t="shared" si="159"/>
        <v>1</v>
      </c>
      <c r="BE163" s="798">
        <f t="shared" si="159"/>
        <v>1</v>
      </c>
      <c r="BF163" s="798">
        <f t="shared" si="159"/>
        <v>1</v>
      </c>
      <c r="BG163" s="798">
        <f t="shared" si="159"/>
        <v>1</v>
      </c>
      <c r="BH163" s="798">
        <f t="shared" si="159"/>
        <v>1</v>
      </c>
      <c r="BI163" s="798">
        <f t="shared" si="159"/>
        <v>1</v>
      </c>
      <c r="BJ163" s="798">
        <f t="shared" si="159"/>
        <v>1</v>
      </c>
      <c r="BK163" s="798">
        <f t="shared" si="159"/>
        <v>1</v>
      </c>
      <c r="BL163" s="765"/>
      <c r="BM163" s="817"/>
      <c r="BN163" s="817"/>
    </row>
    <row r="164" hidden="1">
      <c r="A164" s="765"/>
      <c r="B164" s="765"/>
      <c r="C164" s="765"/>
      <c r="D164" s="765"/>
      <c r="E164" s="765"/>
      <c r="F164" s="765"/>
      <c r="G164" s="765"/>
      <c r="H164" s="765"/>
      <c r="I164" s="765">
        <f t="shared" si="17"/>
        <v>153</v>
      </c>
      <c r="J164" s="763">
        <f t="shared" si="5"/>
        <v>29954703874</v>
      </c>
      <c r="K164" s="796">
        <f t="shared" si="7"/>
        <v>0.31029</v>
      </c>
      <c r="L164" s="796">
        <v>5.0E-4</v>
      </c>
      <c r="M164" s="763">
        <v>3.41558767097227E10</v>
      </c>
      <c r="N164" s="797">
        <f t="shared" si="8"/>
        <v>0</v>
      </c>
      <c r="O164" s="798">
        <f t="shared" ref="O164:BK164" si="160">FLOOR(MIN((((N("value of ELS upgrade")+N$8*($K164-$K163))*(N("Check checkbox")+(IF($G$6=TRUE,$G$7,$G$8))/$G$8))/(N("ROI of ELS and multiply by 2 if ELS is 1:1")+IF($G$12 = True, 2, 1) * $J164))/((N("difference in ELS+ and the cost of it")+(($K163*O$8)-($K163*N$8)) / O$7)),(N("MIN lets it return 0 or 1 after floored")+1)),1)</f>
        <v>0</v>
      </c>
      <c r="P164" s="798">
        <f t="shared" si="160"/>
        <v>0</v>
      </c>
      <c r="Q164" s="798">
        <f t="shared" si="160"/>
        <v>0</v>
      </c>
      <c r="R164" s="798">
        <f t="shared" si="160"/>
        <v>1</v>
      </c>
      <c r="S164" s="798">
        <f t="shared" si="160"/>
        <v>1</v>
      </c>
      <c r="T164" s="798">
        <f t="shared" si="160"/>
        <v>1</v>
      </c>
      <c r="U164" s="798">
        <f t="shared" si="160"/>
        <v>1</v>
      </c>
      <c r="V164" s="798">
        <f t="shared" si="160"/>
        <v>1</v>
      </c>
      <c r="W164" s="798">
        <f t="shared" si="160"/>
        <v>1</v>
      </c>
      <c r="X164" s="798">
        <f t="shared" si="160"/>
        <v>1</v>
      </c>
      <c r="Y164" s="798">
        <f t="shared" si="160"/>
        <v>1</v>
      </c>
      <c r="Z164" s="798">
        <f t="shared" si="160"/>
        <v>1</v>
      </c>
      <c r="AA164" s="798">
        <f t="shared" si="160"/>
        <v>1</v>
      </c>
      <c r="AB164" s="798">
        <f t="shared" si="160"/>
        <v>1</v>
      </c>
      <c r="AC164" s="798">
        <f t="shared" si="160"/>
        <v>1</v>
      </c>
      <c r="AD164" s="798">
        <f t="shared" si="160"/>
        <v>1</v>
      </c>
      <c r="AE164" s="798">
        <f t="shared" si="160"/>
        <v>1</v>
      </c>
      <c r="AF164" s="798">
        <f t="shared" si="160"/>
        <v>1</v>
      </c>
      <c r="AG164" s="798">
        <f t="shared" si="160"/>
        <v>1</v>
      </c>
      <c r="AH164" s="798">
        <f t="shared" si="160"/>
        <v>1</v>
      </c>
      <c r="AI164" s="798">
        <f t="shared" si="160"/>
        <v>1</v>
      </c>
      <c r="AJ164" s="798">
        <f t="shared" si="160"/>
        <v>1</v>
      </c>
      <c r="AK164" s="798">
        <f t="shared" si="160"/>
        <v>1</v>
      </c>
      <c r="AL164" s="798">
        <f t="shared" si="160"/>
        <v>1</v>
      </c>
      <c r="AM164" s="798">
        <f t="shared" si="160"/>
        <v>1</v>
      </c>
      <c r="AN164" s="798">
        <f t="shared" si="160"/>
        <v>1</v>
      </c>
      <c r="AO164" s="798">
        <f t="shared" si="160"/>
        <v>1</v>
      </c>
      <c r="AP164" s="798">
        <f t="shared" si="160"/>
        <v>1</v>
      </c>
      <c r="AQ164" s="798">
        <f t="shared" si="160"/>
        <v>1</v>
      </c>
      <c r="AR164" s="798">
        <f t="shared" si="160"/>
        <v>1</v>
      </c>
      <c r="AS164" s="798">
        <f t="shared" si="160"/>
        <v>1</v>
      </c>
      <c r="AT164" s="798">
        <f t="shared" si="160"/>
        <v>1</v>
      </c>
      <c r="AU164" s="798">
        <f t="shared" si="160"/>
        <v>1</v>
      </c>
      <c r="AV164" s="798">
        <f t="shared" si="160"/>
        <v>1</v>
      </c>
      <c r="AW164" s="798">
        <f t="shared" si="160"/>
        <v>1</v>
      </c>
      <c r="AX164" s="798">
        <f t="shared" si="160"/>
        <v>1</v>
      </c>
      <c r="AY164" s="798">
        <f t="shared" si="160"/>
        <v>1</v>
      </c>
      <c r="AZ164" s="798">
        <f t="shared" si="160"/>
        <v>1</v>
      </c>
      <c r="BA164" s="798">
        <f t="shared" si="160"/>
        <v>1</v>
      </c>
      <c r="BB164" s="798">
        <f t="shared" si="160"/>
        <v>1</v>
      </c>
      <c r="BC164" s="798">
        <f t="shared" si="160"/>
        <v>1</v>
      </c>
      <c r="BD164" s="798">
        <f t="shared" si="160"/>
        <v>1</v>
      </c>
      <c r="BE164" s="798">
        <f t="shared" si="160"/>
        <v>1</v>
      </c>
      <c r="BF164" s="798">
        <f t="shared" si="160"/>
        <v>1</v>
      </c>
      <c r="BG164" s="798">
        <f t="shared" si="160"/>
        <v>1</v>
      </c>
      <c r="BH164" s="798">
        <f t="shared" si="160"/>
        <v>1</v>
      </c>
      <c r="BI164" s="798">
        <f t="shared" si="160"/>
        <v>1</v>
      </c>
      <c r="BJ164" s="798">
        <f t="shared" si="160"/>
        <v>1</v>
      </c>
      <c r="BK164" s="798">
        <f t="shared" si="160"/>
        <v>1</v>
      </c>
      <c r="BL164" s="765"/>
      <c r="BM164" s="817"/>
      <c r="BN164" s="817"/>
    </row>
    <row r="165" hidden="1">
      <c r="A165" s="765"/>
      <c r="B165" s="765"/>
      <c r="C165" s="765"/>
      <c r="D165" s="765"/>
      <c r="E165" s="765"/>
      <c r="F165" s="765"/>
      <c r="G165" s="765"/>
      <c r="H165" s="765"/>
      <c r="I165" s="765">
        <f t="shared" si="17"/>
        <v>154</v>
      </c>
      <c r="J165" s="763">
        <f t="shared" si="5"/>
        <v>30144326989</v>
      </c>
      <c r="K165" s="796">
        <f t="shared" si="7"/>
        <v>0.31079</v>
      </c>
      <c r="L165" s="796">
        <v>5.0E-4</v>
      </c>
      <c r="M165" s="763">
        <v>3.43720946281249E10</v>
      </c>
      <c r="N165" s="797">
        <f t="shared" si="8"/>
        <v>0</v>
      </c>
      <c r="O165" s="798">
        <f t="shared" ref="O165:BK165" si="161">FLOOR(MIN((((N("value of ELS upgrade")+N$8*($K165-$K164))*(N("Check checkbox")+(IF($G$6=TRUE,$G$7,$G$8))/$G$8))/(N("ROI of ELS and multiply by 2 if ELS is 1:1")+IF($G$12 = True, 2, 1) * $J165))/((N("difference in ELS+ and the cost of it")+(($K164*O$8)-($K164*N$8)) / O$7)),(N("MIN lets it return 0 or 1 after floored")+1)),1)</f>
        <v>0</v>
      </c>
      <c r="P165" s="798">
        <f t="shared" si="161"/>
        <v>0</v>
      </c>
      <c r="Q165" s="798">
        <f t="shared" si="161"/>
        <v>0</v>
      </c>
      <c r="R165" s="798">
        <f t="shared" si="161"/>
        <v>1</v>
      </c>
      <c r="S165" s="798">
        <f t="shared" si="161"/>
        <v>1</v>
      </c>
      <c r="T165" s="798">
        <f t="shared" si="161"/>
        <v>1</v>
      </c>
      <c r="U165" s="798">
        <f t="shared" si="161"/>
        <v>1</v>
      </c>
      <c r="V165" s="798">
        <f t="shared" si="161"/>
        <v>1</v>
      </c>
      <c r="W165" s="798">
        <f t="shared" si="161"/>
        <v>1</v>
      </c>
      <c r="X165" s="798">
        <f t="shared" si="161"/>
        <v>1</v>
      </c>
      <c r="Y165" s="798">
        <f t="shared" si="161"/>
        <v>1</v>
      </c>
      <c r="Z165" s="798">
        <f t="shared" si="161"/>
        <v>1</v>
      </c>
      <c r="AA165" s="798">
        <f t="shared" si="161"/>
        <v>1</v>
      </c>
      <c r="AB165" s="798">
        <f t="shared" si="161"/>
        <v>1</v>
      </c>
      <c r="AC165" s="798">
        <f t="shared" si="161"/>
        <v>1</v>
      </c>
      <c r="AD165" s="798">
        <f t="shared" si="161"/>
        <v>1</v>
      </c>
      <c r="AE165" s="798">
        <f t="shared" si="161"/>
        <v>1</v>
      </c>
      <c r="AF165" s="798">
        <f t="shared" si="161"/>
        <v>1</v>
      </c>
      <c r="AG165" s="798">
        <f t="shared" si="161"/>
        <v>1</v>
      </c>
      <c r="AH165" s="798">
        <f t="shared" si="161"/>
        <v>1</v>
      </c>
      <c r="AI165" s="798">
        <f t="shared" si="161"/>
        <v>1</v>
      </c>
      <c r="AJ165" s="798">
        <f t="shared" si="161"/>
        <v>1</v>
      </c>
      <c r="AK165" s="798">
        <f t="shared" si="161"/>
        <v>1</v>
      </c>
      <c r="AL165" s="798">
        <f t="shared" si="161"/>
        <v>1</v>
      </c>
      <c r="AM165" s="798">
        <f t="shared" si="161"/>
        <v>1</v>
      </c>
      <c r="AN165" s="798">
        <f t="shared" si="161"/>
        <v>1</v>
      </c>
      <c r="AO165" s="798">
        <f t="shared" si="161"/>
        <v>1</v>
      </c>
      <c r="AP165" s="798">
        <f t="shared" si="161"/>
        <v>1</v>
      </c>
      <c r="AQ165" s="798">
        <f t="shared" si="161"/>
        <v>1</v>
      </c>
      <c r="AR165" s="798">
        <f t="shared" si="161"/>
        <v>1</v>
      </c>
      <c r="AS165" s="798">
        <f t="shared" si="161"/>
        <v>1</v>
      </c>
      <c r="AT165" s="798">
        <f t="shared" si="161"/>
        <v>1</v>
      </c>
      <c r="AU165" s="798">
        <f t="shared" si="161"/>
        <v>1</v>
      </c>
      <c r="AV165" s="798">
        <f t="shared" si="161"/>
        <v>1</v>
      </c>
      <c r="AW165" s="798">
        <f t="shared" si="161"/>
        <v>1</v>
      </c>
      <c r="AX165" s="798">
        <f t="shared" si="161"/>
        <v>1</v>
      </c>
      <c r="AY165" s="798">
        <f t="shared" si="161"/>
        <v>1</v>
      </c>
      <c r="AZ165" s="798">
        <f t="shared" si="161"/>
        <v>1</v>
      </c>
      <c r="BA165" s="798">
        <f t="shared" si="161"/>
        <v>1</v>
      </c>
      <c r="BB165" s="798">
        <f t="shared" si="161"/>
        <v>1</v>
      </c>
      <c r="BC165" s="798">
        <f t="shared" si="161"/>
        <v>1</v>
      </c>
      <c r="BD165" s="798">
        <f t="shared" si="161"/>
        <v>1</v>
      </c>
      <c r="BE165" s="798">
        <f t="shared" si="161"/>
        <v>1</v>
      </c>
      <c r="BF165" s="798">
        <f t="shared" si="161"/>
        <v>1</v>
      </c>
      <c r="BG165" s="798">
        <f t="shared" si="161"/>
        <v>1</v>
      </c>
      <c r="BH165" s="798">
        <f t="shared" si="161"/>
        <v>1</v>
      </c>
      <c r="BI165" s="798">
        <f t="shared" si="161"/>
        <v>1</v>
      </c>
      <c r="BJ165" s="798">
        <f t="shared" si="161"/>
        <v>1</v>
      </c>
      <c r="BK165" s="798">
        <f t="shared" si="161"/>
        <v>1</v>
      </c>
      <c r="BL165" s="765"/>
      <c r="BM165" s="817"/>
      <c r="BN165" s="817"/>
    </row>
    <row r="166" hidden="1">
      <c r="A166" s="765"/>
      <c r="B166" s="765"/>
      <c r="C166" s="765"/>
      <c r="D166" s="765"/>
      <c r="E166" s="765"/>
      <c r="F166" s="765"/>
      <c r="G166" s="765"/>
      <c r="H166" s="765"/>
      <c r="I166" s="765">
        <f t="shared" si="17"/>
        <v>155</v>
      </c>
      <c r="J166" s="763">
        <f t="shared" si="5"/>
        <v>30334248382</v>
      </c>
      <c r="K166" s="796">
        <f t="shared" si="7"/>
        <v>0.31129</v>
      </c>
      <c r="L166" s="796">
        <v>5.0E-4</v>
      </c>
      <c r="M166" s="763">
        <v>3.45886526588612E10</v>
      </c>
      <c r="N166" s="797">
        <f t="shared" si="8"/>
        <v>0</v>
      </c>
      <c r="O166" s="798">
        <f t="shared" ref="O166:BK166" si="162">FLOOR(MIN((((N("value of ELS upgrade")+N$8*($K166-$K165))*(N("Check checkbox")+(IF($G$6=TRUE,$G$7,$G$8))/$G$8))/(N("ROI of ELS and multiply by 2 if ELS is 1:1")+IF($G$12 = True, 2, 1) * $J166))/((N("difference in ELS+ and the cost of it")+(($K165*O$8)-($K165*N$8)) / O$7)),(N("MIN lets it return 0 or 1 after floored")+1)),1)</f>
        <v>0</v>
      </c>
      <c r="P166" s="798">
        <f t="shared" si="162"/>
        <v>0</v>
      </c>
      <c r="Q166" s="798">
        <f t="shared" si="162"/>
        <v>0</v>
      </c>
      <c r="R166" s="798">
        <f t="shared" si="162"/>
        <v>1</v>
      </c>
      <c r="S166" s="798">
        <f t="shared" si="162"/>
        <v>1</v>
      </c>
      <c r="T166" s="798">
        <f t="shared" si="162"/>
        <v>1</v>
      </c>
      <c r="U166" s="798">
        <f t="shared" si="162"/>
        <v>1</v>
      </c>
      <c r="V166" s="798">
        <f t="shared" si="162"/>
        <v>1</v>
      </c>
      <c r="W166" s="798">
        <f t="shared" si="162"/>
        <v>1</v>
      </c>
      <c r="X166" s="798">
        <f t="shared" si="162"/>
        <v>1</v>
      </c>
      <c r="Y166" s="798">
        <f t="shared" si="162"/>
        <v>1</v>
      </c>
      <c r="Z166" s="798">
        <f t="shared" si="162"/>
        <v>1</v>
      </c>
      <c r="AA166" s="798">
        <f t="shared" si="162"/>
        <v>1</v>
      </c>
      <c r="AB166" s="798">
        <f t="shared" si="162"/>
        <v>1</v>
      </c>
      <c r="AC166" s="798">
        <f t="shared" si="162"/>
        <v>1</v>
      </c>
      <c r="AD166" s="798">
        <f t="shared" si="162"/>
        <v>1</v>
      </c>
      <c r="AE166" s="798">
        <f t="shared" si="162"/>
        <v>1</v>
      </c>
      <c r="AF166" s="798">
        <f t="shared" si="162"/>
        <v>1</v>
      </c>
      <c r="AG166" s="798">
        <f t="shared" si="162"/>
        <v>1</v>
      </c>
      <c r="AH166" s="798">
        <f t="shared" si="162"/>
        <v>1</v>
      </c>
      <c r="AI166" s="798">
        <f t="shared" si="162"/>
        <v>1</v>
      </c>
      <c r="AJ166" s="798">
        <f t="shared" si="162"/>
        <v>1</v>
      </c>
      <c r="AK166" s="798">
        <f t="shared" si="162"/>
        <v>1</v>
      </c>
      <c r="AL166" s="798">
        <f t="shared" si="162"/>
        <v>1</v>
      </c>
      <c r="AM166" s="798">
        <f t="shared" si="162"/>
        <v>1</v>
      </c>
      <c r="AN166" s="798">
        <f t="shared" si="162"/>
        <v>1</v>
      </c>
      <c r="AO166" s="798">
        <f t="shared" si="162"/>
        <v>1</v>
      </c>
      <c r="AP166" s="798">
        <f t="shared" si="162"/>
        <v>1</v>
      </c>
      <c r="AQ166" s="798">
        <f t="shared" si="162"/>
        <v>1</v>
      </c>
      <c r="AR166" s="798">
        <f t="shared" si="162"/>
        <v>1</v>
      </c>
      <c r="AS166" s="798">
        <f t="shared" si="162"/>
        <v>1</v>
      </c>
      <c r="AT166" s="798">
        <f t="shared" si="162"/>
        <v>1</v>
      </c>
      <c r="AU166" s="798">
        <f t="shared" si="162"/>
        <v>1</v>
      </c>
      <c r="AV166" s="798">
        <f t="shared" si="162"/>
        <v>1</v>
      </c>
      <c r="AW166" s="798">
        <f t="shared" si="162"/>
        <v>1</v>
      </c>
      <c r="AX166" s="798">
        <f t="shared" si="162"/>
        <v>1</v>
      </c>
      <c r="AY166" s="798">
        <f t="shared" si="162"/>
        <v>1</v>
      </c>
      <c r="AZ166" s="798">
        <f t="shared" si="162"/>
        <v>1</v>
      </c>
      <c r="BA166" s="798">
        <f t="shared" si="162"/>
        <v>1</v>
      </c>
      <c r="BB166" s="798">
        <f t="shared" si="162"/>
        <v>1</v>
      </c>
      <c r="BC166" s="798">
        <f t="shared" si="162"/>
        <v>1</v>
      </c>
      <c r="BD166" s="798">
        <f t="shared" si="162"/>
        <v>1</v>
      </c>
      <c r="BE166" s="798">
        <f t="shared" si="162"/>
        <v>1</v>
      </c>
      <c r="BF166" s="798">
        <f t="shared" si="162"/>
        <v>1</v>
      </c>
      <c r="BG166" s="798">
        <f t="shared" si="162"/>
        <v>1</v>
      </c>
      <c r="BH166" s="798">
        <f t="shared" si="162"/>
        <v>1</v>
      </c>
      <c r="BI166" s="798">
        <f t="shared" si="162"/>
        <v>1</v>
      </c>
      <c r="BJ166" s="798">
        <f t="shared" si="162"/>
        <v>1</v>
      </c>
      <c r="BK166" s="798">
        <f t="shared" si="162"/>
        <v>1</v>
      </c>
      <c r="BL166" s="765"/>
      <c r="BM166" s="817"/>
      <c r="BN166" s="817"/>
    </row>
    <row r="167" hidden="1">
      <c r="A167" s="765"/>
      <c r="B167" s="765"/>
      <c r="C167" s="765"/>
      <c r="D167" s="765"/>
      <c r="E167" s="765"/>
      <c r="F167" s="765"/>
      <c r="G167" s="765"/>
      <c r="H167" s="765"/>
      <c r="I167" s="765">
        <f t="shared" si="17"/>
        <v>156</v>
      </c>
      <c r="J167" s="763">
        <f t="shared" si="5"/>
        <v>30524470864</v>
      </c>
      <c r="K167" s="796">
        <f t="shared" si="7"/>
        <v>0.31179</v>
      </c>
      <c r="L167" s="796">
        <v>5.0E-4</v>
      </c>
      <c r="M167" s="763">
        <v>3.48055540068735E10</v>
      </c>
      <c r="N167" s="797">
        <f t="shared" si="8"/>
        <v>0</v>
      </c>
      <c r="O167" s="798">
        <f t="shared" ref="O167:BK167" si="163">FLOOR(MIN((((N("value of ELS upgrade")+N$8*($K167-$K166))*(N("Check checkbox")+(IF($G$6=TRUE,$G$7,$G$8))/$G$8))/(N("ROI of ELS and multiply by 2 if ELS is 1:1")+IF($G$12 = True, 2, 1) * $J167))/((N("difference in ELS+ and the cost of it")+(($K166*O$8)-($K166*N$8)) / O$7)),(N("MIN lets it return 0 or 1 after floored")+1)),1)</f>
        <v>0</v>
      </c>
      <c r="P167" s="798">
        <f t="shared" si="163"/>
        <v>0</v>
      </c>
      <c r="Q167" s="798">
        <f t="shared" si="163"/>
        <v>0</v>
      </c>
      <c r="R167" s="798">
        <f t="shared" si="163"/>
        <v>1</v>
      </c>
      <c r="S167" s="798">
        <f t="shared" si="163"/>
        <v>1</v>
      </c>
      <c r="T167" s="798">
        <f t="shared" si="163"/>
        <v>1</v>
      </c>
      <c r="U167" s="798">
        <f t="shared" si="163"/>
        <v>1</v>
      </c>
      <c r="V167" s="798">
        <f t="shared" si="163"/>
        <v>1</v>
      </c>
      <c r="W167" s="798">
        <f t="shared" si="163"/>
        <v>1</v>
      </c>
      <c r="X167" s="798">
        <f t="shared" si="163"/>
        <v>1</v>
      </c>
      <c r="Y167" s="798">
        <f t="shared" si="163"/>
        <v>1</v>
      </c>
      <c r="Z167" s="798">
        <f t="shared" si="163"/>
        <v>1</v>
      </c>
      <c r="AA167" s="798">
        <f t="shared" si="163"/>
        <v>1</v>
      </c>
      <c r="AB167" s="798">
        <f t="shared" si="163"/>
        <v>1</v>
      </c>
      <c r="AC167" s="798">
        <f t="shared" si="163"/>
        <v>1</v>
      </c>
      <c r="AD167" s="798">
        <f t="shared" si="163"/>
        <v>1</v>
      </c>
      <c r="AE167" s="798">
        <f t="shared" si="163"/>
        <v>1</v>
      </c>
      <c r="AF167" s="798">
        <f t="shared" si="163"/>
        <v>1</v>
      </c>
      <c r="AG167" s="798">
        <f t="shared" si="163"/>
        <v>1</v>
      </c>
      <c r="AH167" s="798">
        <f t="shared" si="163"/>
        <v>1</v>
      </c>
      <c r="AI167" s="798">
        <f t="shared" si="163"/>
        <v>1</v>
      </c>
      <c r="AJ167" s="798">
        <f t="shared" si="163"/>
        <v>1</v>
      </c>
      <c r="AK167" s="798">
        <f t="shared" si="163"/>
        <v>1</v>
      </c>
      <c r="AL167" s="798">
        <f t="shared" si="163"/>
        <v>1</v>
      </c>
      <c r="AM167" s="798">
        <f t="shared" si="163"/>
        <v>1</v>
      </c>
      <c r="AN167" s="798">
        <f t="shared" si="163"/>
        <v>1</v>
      </c>
      <c r="AO167" s="798">
        <f t="shared" si="163"/>
        <v>1</v>
      </c>
      <c r="AP167" s="798">
        <f t="shared" si="163"/>
        <v>1</v>
      </c>
      <c r="AQ167" s="798">
        <f t="shared" si="163"/>
        <v>1</v>
      </c>
      <c r="AR167" s="798">
        <f t="shared" si="163"/>
        <v>1</v>
      </c>
      <c r="AS167" s="798">
        <f t="shared" si="163"/>
        <v>1</v>
      </c>
      <c r="AT167" s="798">
        <f t="shared" si="163"/>
        <v>1</v>
      </c>
      <c r="AU167" s="798">
        <f t="shared" si="163"/>
        <v>1</v>
      </c>
      <c r="AV167" s="798">
        <f t="shared" si="163"/>
        <v>1</v>
      </c>
      <c r="AW167" s="798">
        <f t="shared" si="163"/>
        <v>1</v>
      </c>
      <c r="AX167" s="798">
        <f t="shared" si="163"/>
        <v>1</v>
      </c>
      <c r="AY167" s="798">
        <f t="shared" si="163"/>
        <v>1</v>
      </c>
      <c r="AZ167" s="798">
        <f t="shared" si="163"/>
        <v>1</v>
      </c>
      <c r="BA167" s="798">
        <f t="shared" si="163"/>
        <v>1</v>
      </c>
      <c r="BB167" s="798">
        <f t="shared" si="163"/>
        <v>1</v>
      </c>
      <c r="BC167" s="798">
        <f t="shared" si="163"/>
        <v>1</v>
      </c>
      <c r="BD167" s="798">
        <f t="shared" si="163"/>
        <v>1</v>
      </c>
      <c r="BE167" s="798">
        <f t="shared" si="163"/>
        <v>1</v>
      </c>
      <c r="BF167" s="798">
        <f t="shared" si="163"/>
        <v>1</v>
      </c>
      <c r="BG167" s="798">
        <f t="shared" si="163"/>
        <v>1</v>
      </c>
      <c r="BH167" s="798">
        <f t="shared" si="163"/>
        <v>1</v>
      </c>
      <c r="BI167" s="798">
        <f t="shared" si="163"/>
        <v>1</v>
      </c>
      <c r="BJ167" s="798">
        <f t="shared" si="163"/>
        <v>1</v>
      </c>
      <c r="BK167" s="798">
        <f t="shared" si="163"/>
        <v>1</v>
      </c>
      <c r="BL167" s="765"/>
      <c r="BM167" s="817"/>
      <c r="BN167" s="817"/>
    </row>
    <row r="168" hidden="1">
      <c r="A168" s="765"/>
      <c r="B168" s="765"/>
      <c r="C168" s="765"/>
      <c r="D168" s="765"/>
      <c r="E168" s="765"/>
      <c r="F168" s="765"/>
      <c r="G168" s="765"/>
      <c r="H168" s="765"/>
      <c r="I168" s="765">
        <f t="shared" si="17"/>
        <v>157</v>
      </c>
      <c r="J168" s="763">
        <f t="shared" si="5"/>
        <v>30714996906</v>
      </c>
      <c r="K168" s="796">
        <f t="shared" si="7"/>
        <v>0.31229</v>
      </c>
      <c r="L168" s="796">
        <v>5.0E-4</v>
      </c>
      <c r="M168" s="763">
        <v>3.50228014886261E10</v>
      </c>
      <c r="N168" s="797">
        <f t="shared" si="8"/>
        <v>0</v>
      </c>
      <c r="O168" s="798">
        <f t="shared" ref="O168:BK168" si="164">FLOOR(MIN((((N("value of ELS upgrade")+N$8*($K168-$K167))*(N("Check checkbox")+(IF($G$6=TRUE,$G$7,$G$8))/$G$8))/(N("ROI of ELS and multiply by 2 if ELS is 1:1")+IF($G$12 = True, 2, 1) * $J168))/((N("difference in ELS+ and the cost of it")+(($K167*O$8)-($K167*N$8)) / O$7)),(N("MIN lets it return 0 or 1 after floored")+1)),1)</f>
        <v>0</v>
      </c>
      <c r="P168" s="798">
        <f t="shared" si="164"/>
        <v>0</v>
      </c>
      <c r="Q168" s="798">
        <f t="shared" si="164"/>
        <v>0</v>
      </c>
      <c r="R168" s="798">
        <f t="shared" si="164"/>
        <v>1</v>
      </c>
      <c r="S168" s="798">
        <f t="shared" si="164"/>
        <v>1</v>
      </c>
      <c r="T168" s="798">
        <f t="shared" si="164"/>
        <v>1</v>
      </c>
      <c r="U168" s="798">
        <f t="shared" si="164"/>
        <v>1</v>
      </c>
      <c r="V168" s="798">
        <f t="shared" si="164"/>
        <v>1</v>
      </c>
      <c r="W168" s="798">
        <f t="shared" si="164"/>
        <v>1</v>
      </c>
      <c r="X168" s="798">
        <f t="shared" si="164"/>
        <v>1</v>
      </c>
      <c r="Y168" s="798">
        <f t="shared" si="164"/>
        <v>1</v>
      </c>
      <c r="Z168" s="798">
        <f t="shared" si="164"/>
        <v>1</v>
      </c>
      <c r="AA168" s="798">
        <f t="shared" si="164"/>
        <v>1</v>
      </c>
      <c r="AB168" s="798">
        <f t="shared" si="164"/>
        <v>1</v>
      </c>
      <c r="AC168" s="798">
        <f t="shared" si="164"/>
        <v>1</v>
      </c>
      <c r="AD168" s="798">
        <f t="shared" si="164"/>
        <v>1</v>
      </c>
      <c r="AE168" s="798">
        <f t="shared" si="164"/>
        <v>1</v>
      </c>
      <c r="AF168" s="798">
        <f t="shared" si="164"/>
        <v>1</v>
      </c>
      <c r="AG168" s="798">
        <f t="shared" si="164"/>
        <v>1</v>
      </c>
      <c r="AH168" s="798">
        <f t="shared" si="164"/>
        <v>1</v>
      </c>
      <c r="AI168" s="798">
        <f t="shared" si="164"/>
        <v>1</v>
      </c>
      <c r="AJ168" s="798">
        <f t="shared" si="164"/>
        <v>1</v>
      </c>
      <c r="AK168" s="798">
        <f t="shared" si="164"/>
        <v>1</v>
      </c>
      <c r="AL168" s="798">
        <f t="shared" si="164"/>
        <v>1</v>
      </c>
      <c r="AM168" s="798">
        <f t="shared" si="164"/>
        <v>1</v>
      </c>
      <c r="AN168" s="798">
        <f t="shared" si="164"/>
        <v>1</v>
      </c>
      <c r="AO168" s="798">
        <f t="shared" si="164"/>
        <v>1</v>
      </c>
      <c r="AP168" s="798">
        <f t="shared" si="164"/>
        <v>1</v>
      </c>
      <c r="AQ168" s="798">
        <f t="shared" si="164"/>
        <v>1</v>
      </c>
      <c r="AR168" s="798">
        <f t="shared" si="164"/>
        <v>1</v>
      </c>
      <c r="AS168" s="798">
        <f t="shared" si="164"/>
        <v>1</v>
      </c>
      <c r="AT168" s="798">
        <f t="shared" si="164"/>
        <v>1</v>
      </c>
      <c r="AU168" s="798">
        <f t="shared" si="164"/>
        <v>1</v>
      </c>
      <c r="AV168" s="798">
        <f t="shared" si="164"/>
        <v>1</v>
      </c>
      <c r="AW168" s="798">
        <f t="shared" si="164"/>
        <v>1</v>
      </c>
      <c r="AX168" s="798">
        <f t="shared" si="164"/>
        <v>1</v>
      </c>
      <c r="AY168" s="798">
        <f t="shared" si="164"/>
        <v>1</v>
      </c>
      <c r="AZ168" s="798">
        <f t="shared" si="164"/>
        <v>1</v>
      </c>
      <c r="BA168" s="798">
        <f t="shared" si="164"/>
        <v>1</v>
      </c>
      <c r="BB168" s="798">
        <f t="shared" si="164"/>
        <v>1</v>
      </c>
      <c r="BC168" s="798">
        <f t="shared" si="164"/>
        <v>1</v>
      </c>
      <c r="BD168" s="798">
        <f t="shared" si="164"/>
        <v>1</v>
      </c>
      <c r="BE168" s="798">
        <f t="shared" si="164"/>
        <v>1</v>
      </c>
      <c r="BF168" s="798">
        <f t="shared" si="164"/>
        <v>1</v>
      </c>
      <c r="BG168" s="798">
        <f t="shared" si="164"/>
        <v>1</v>
      </c>
      <c r="BH168" s="798">
        <f t="shared" si="164"/>
        <v>1</v>
      </c>
      <c r="BI168" s="798">
        <f t="shared" si="164"/>
        <v>1</v>
      </c>
      <c r="BJ168" s="798">
        <f t="shared" si="164"/>
        <v>1</v>
      </c>
      <c r="BK168" s="798">
        <f t="shared" si="164"/>
        <v>1</v>
      </c>
      <c r="BL168" s="765"/>
      <c r="BM168" s="817"/>
      <c r="BN168" s="817"/>
    </row>
    <row r="169" hidden="1">
      <c r="A169" s="765"/>
      <c r="B169" s="765"/>
      <c r="C169" s="765"/>
      <c r="D169" s="765"/>
      <c r="E169" s="765"/>
      <c r="F169" s="765"/>
      <c r="G169" s="765"/>
      <c r="H169" s="765"/>
      <c r="I169" s="765">
        <f t="shared" si="17"/>
        <v>158</v>
      </c>
      <c r="J169" s="763">
        <f t="shared" si="5"/>
        <v>30905829232</v>
      </c>
      <c r="K169" s="796">
        <f t="shared" si="7"/>
        <v>0.31279</v>
      </c>
      <c r="L169" s="796">
        <v>5.0E-4</v>
      </c>
      <c r="M169" s="763">
        <v>3.52403982119415E10</v>
      </c>
      <c r="N169" s="797">
        <f t="shared" si="8"/>
        <v>0</v>
      </c>
      <c r="O169" s="798">
        <f t="shared" ref="O169:BK169" si="165">FLOOR(MIN((((N("value of ELS upgrade")+N$8*($K169-$K168))*(N("Check checkbox")+(IF($G$6=TRUE,$G$7,$G$8))/$G$8))/(N("ROI of ELS and multiply by 2 if ELS is 1:1")+IF($G$12 = True, 2, 1) * $J169))/((N("difference in ELS+ and the cost of it")+(($K168*O$8)-($K168*N$8)) / O$7)),(N("MIN lets it return 0 or 1 after floored")+1)),1)</f>
        <v>0</v>
      </c>
      <c r="P169" s="798">
        <f t="shared" si="165"/>
        <v>0</v>
      </c>
      <c r="Q169" s="798">
        <f t="shared" si="165"/>
        <v>0</v>
      </c>
      <c r="R169" s="798">
        <f t="shared" si="165"/>
        <v>1</v>
      </c>
      <c r="S169" s="798">
        <f t="shared" si="165"/>
        <v>1</v>
      </c>
      <c r="T169" s="798">
        <f t="shared" si="165"/>
        <v>1</v>
      </c>
      <c r="U169" s="798">
        <f t="shared" si="165"/>
        <v>1</v>
      </c>
      <c r="V169" s="798">
        <f t="shared" si="165"/>
        <v>1</v>
      </c>
      <c r="W169" s="798">
        <f t="shared" si="165"/>
        <v>1</v>
      </c>
      <c r="X169" s="798">
        <f t="shared" si="165"/>
        <v>1</v>
      </c>
      <c r="Y169" s="798">
        <f t="shared" si="165"/>
        <v>1</v>
      </c>
      <c r="Z169" s="798">
        <f t="shared" si="165"/>
        <v>1</v>
      </c>
      <c r="AA169" s="798">
        <f t="shared" si="165"/>
        <v>1</v>
      </c>
      <c r="AB169" s="798">
        <f t="shared" si="165"/>
        <v>1</v>
      </c>
      <c r="AC169" s="798">
        <f t="shared" si="165"/>
        <v>1</v>
      </c>
      <c r="AD169" s="798">
        <f t="shared" si="165"/>
        <v>1</v>
      </c>
      <c r="AE169" s="798">
        <f t="shared" si="165"/>
        <v>1</v>
      </c>
      <c r="AF169" s="798">
        <f t="shared" si="165"/>
        <v>1</v>
      </c>
      <c r="AG169" s="798">
        <f t="shared" si="165"/>
        <v>1</v>
      </c>
      <c r="AH169" s="798">
        <f t="shared" si="165"/>
        <v>1</v>
      </c>
      <c r="AI169" s="798">
        <f t="shared" si="165"/>
        <v>1</v>
      </c>
      <c r="AJ169" s="798">
        <f t="shared" si="165"/>
        <v>1</v>
      </c>
      <c r="AK169" s="798">
        <f t="shared" si="165"/>
        <v>1</v>
      </c>
      <c r="AL169" s="798">
        <f t="shared" si="165"/>
        <v>1</v>
      </c>
      <c r="AM169" s="798">
        <f t="shared" si="165"/>
        <v>1</v>
      </c>
      <c r="AN169" s="798">
        <f t="shared" si="165"/>
        <v>1</v>
      </c>
      <c r="AO169" s="798">
        <f t="shared" si="165"/>
        <v>1</v>
      </c>
      <c r="AP169" s="798">
        <f t="shared" si="165"/>
        <v>1</v>
      </c>
      <c r="AQ169" s="798">
        <f t="shared" si="165"/>
        <v>1</v>
      </c>
      <c r="AR169" s="798">
        <f t="shared" si="165"/>
        <v>1</v>
      </c>
      <c r="AS169" s="798">
        <f t="shared" si="165"/>
        <v>1</v>
      </c>
      <c r="AT169" s="798">
        <f t="shared" si="165"/>
        <v>1</v>
      </c>
      <c r="AU169" s="798">
        <f t="shared" si="165"/>
        <v>1</v>
      </c>
      <c r="AV169" s="798">
        <f t="shared" si="165"/>
        <v>1</v>
      </c>
      <c r="AW169" s="798">
        <f t="shared" si="165"/>
        <v>1</v>
      </c>
      <c r="AX169" s="798">
        <f t="shared" si="165"/>
        <v>1</v>
      </c>
      <c r="AY169" s="798">
        <f t="shared" si="165"/>
        <v>1</v>
      </c>
      <c r="AZ169" s="798">
        <f t="shared" si="165"/>
        <v>1</v>
      </c>
      <c r="BA169" s="798">
        <f t="shared" si="165"/>
        <v>1</v>
      </c>
      <c r="BB169" s="798">
        <f t="shared" si="165"/>
        <v>1</v>
      </c>
      <c r="BC169" s="798">
        <f t="shared" si="165"/>
        <v>1</v>
      </c>
      <c r="BD169" s="798">
        <f t="shared" si="165"/>
        <v>1</v>
      </c>
      <c r="BE169" s="798">
        <f t="shared" si="165"/>
        <v>1</v>
      </c>
      <c r="BF169" s="798">
        <f t="shared" si="165"/>
        <v>1</v>
      </c>
      <c r="BG169" s="798">
        <f t="shared" si="165"/>
        <v>1</v>
      </c>
      <c r="BH169" s="798">
        <f t="shared" si="165"/>
        <v>1</v>
      </c>
      <c r="BI169" s="798">
        <f t="shared" si="165"/>
        <v>1</v>
      </c>
      <c r="BJ169" s="798">
        <f t="shared" si="165"/>
        <v>1</v>
      </c>
      <c r="BK169" s="798">
        <f t="shared" si="165"/>
        <v>1</v>
      </c>
      <c r="BL169" s="765"/>
      <c r="BM169" s="817"/>
      <c r="BN169" s="817"/>
    </row>
    <row r="170" hidden="1">
      <c r="A170" s="765"/>
      <c r="B170" s="765"/>
      <c r="C170" s="765"/>
      <c r="D170" s="765"/>
      <c r="E170" s="765"/>
      <c r="F170" s="765"/>
      <c r="G170" s="765"/>
      <c r="H170" s="765"/>
      <c r="I170" s="765">
        <f t="shared" si="17"/>
        <v>159</v>
      </c>
      <c r="J170" s="763">
        <f t="shared" si="5"/>
        <v>31096970398</v>
      </c>
      <c r="K170" s="796">
        <f t="shared" si="7"/>
        <v>0.31329</v>
      </c>
      <c r="L170" s="796">
        <v>5.0E-4</v>
      </c>
      <c r="M170" s="763">
        <v>3.54583470904035E10</v>
      </c>
      <c r="N170" s="797">
        <f t="shared" si="8"/>
        <v>0</v>
      </c>
      <c r="O170" s="798">
        <f t="shared" ref="O170:BK170" si="166">FLOOR(MIN((((N("value of ELS upgrade")+N$8*($K170-$K169))*(N("Check checkbox")+(IF($G$6=TRUE,$G$7,$G$8))/$G$8))/(N("ROI of ELS and multiply by 2 if ELS is 1:1")+IF($G$12 = True, 2, 1) * $J170))/((N("difference in ELS+ and the cost of it")+(($K169*O$8)-($K169*N$8)) / O$7)),(N("MIN lets it return 0 or 1 after floored")+1)),1)</f>
        <v>0</v>
      </c>
      <c r="P170" s="798">
        <f t="shared" si="166"/>
        <v>0</v>
      </c>
      <c r="Q170" s="798">
        <f t="shared" si="166"/>
        <v>0</v>
      </c>
      <c r="R170" s="798">
        <f t="shared" si="166"/>
        <v>1</v>
      </c>
      <c r="S170" s="798">
        <f t="shared" si="166"/>
        <v>1</v>
      </c>
      <c r="T170" s="798">
        <f t="shared" si="166"/>
        <v>1</v>
      </c>
      <c r="U170" s="798">
        <f t="shared" si="166"/>
        <v>1</v>
      </c>
      <c r="V170" s="798">
        <f t="shared" si="166"/>
        <v>1</v>
      </c>
      <c r="W170" s="798">
        <f t="shared" si="166"/>
        <v>1</v>
      </c>
      <c r="X170" s="798">
        <f t="shared" si="166"/>
        <v>1</v>
      </c>
      <c r="Y170" s="798">
        <f t="shared" si="166"/>
        <v>1</v>
      </c>
      <c r="Z170" s="798">
        <f t="shared" si="166"/>
        <v>1</v>
      </c>
      <c r="AA170" s="798">
        <f t="shared" si="166"/>
        <v>1</v>
      </c>
      <c r="AB170" s="798">
        <f t="shared" si="166"/>
        <v>1</v>
      </c>
      <c r="AC170" s="798">
        <f t="shared" si="166"/>
        <v>1</v>
      </c>
      <c r="AD170" s="798">
        <f t="shared" si="166"/>
        <v>1</v>
      </c>
      <c r="AE170" s="798">
        <f t="shared" si="166"/>
        <v>1</v>
      </c>
      <c r="AF170" s="798">
        <f t="shared" si="166"/>
        <v>1</v>
      </c>
      <c r="AG170" s="798">
        <f t="shared" si="166"/>
        <v>1</v>
      </c>
      <c r="AH170" s="798">
        <f t="shared" si="166"/>
        <v>1</v>
      </c>
      <c r="AI170" s="798">
        <f t="shared" si="166"/>
        <v>1</v>
      </c>
      <c r="AJ170" s="798">
        <f t="shared" si="166"/>
        <v>1</v>
      </c>
      <c r="AK170" s="798">
        <f t="shared" si="166"/>
        <v>1</v>
      </c>
      <c r="AL170" s="798">
        <f t="shared" si="166"/>
        <v>1</v>
      </c>
      <c r="AM170" s="798">
        <f t="shared" si="166"/>
        <v>1</v>
      </c>
      <c r="AN170" s="798">
        <f t="shared" si="166"/>
        <v>1</v>
      </c>
      <c r="AO170" s="798">
        <f t="shared" si="166"/>
        <v>1</v>
      </c>
      <c r="AP170" s="798">
        <f t="shared" si="166"/>
        <v>1</v>
      </c>
      <c r="AQ170" s="798">
        <f t="shared" si="166"/>
        <v>1</v>
      </c>
      <c r="AR170" s="798">
        <f t="shared" si="166"/>
        <v>1</v>
      </c>
      <c r="AS170" s="798">
        <f t="shared" si="166"/>
        <v>1</v>
      </c>
      <c r="AT170" s="798">
        <f t="shared" si="166"/>
        <v>1</v>
      </c>
      <c r="AU170" s="798">
        <f t="shared" si="166"/>
        <v>1</v>
      </c>
      <c r="AV170" s="798">
        <f t="shared" si="166"/>
        <v>1</v>
      </c>
      <c r="AW170" s="798">
        <f t="shared" si="166"/>
        <v>1</v>
      </c>
      <c r="AX170" s="798">
        <f t="shared" si="166"/>
        <v>1</v>
      </c>
      <c r="AY170" s="798">
        <f t="shared" si="166"/>
        <v>1</v>
      </c>
      <c r="AZ170" s="798">
        <f t="shared" si="166"/>
        <v>1</v>
      </c>
      <c r="BA170" s="798">
        <f t="shared" si="166"/>
        <v>1</v>
      </c>
      <c r="BB170" s="798">
        <f t="shared" si="166"/>
        <v>1</v>
      </c>
      <c r="BC170" s="798">
        <f t="shared" si="166"/>
        <v>1</v>
      </c>
      <c r="BD170" s="798">
        <f t="shared" si="166"/>
        <v>1</v>
      </c>
      <c r="BE170" s="798">
        <f t="shared" si="166"/>
        <v>1</v>
      </c>
      <c r="BF170" s="798">
        <f t="shared" si="166"/>
        <v>1</v>
      </c>
      <c r="BG170" s="798">
        <f t="shared" si="166"/>
        <v>1</v>
      </c>
      <c r="BH170" s="798">
        <f t="shared" si="166"/>
        <v>1</v>
      </c>
      <c r="BI170" s="798">
        <f t="shared" si="166"/>
        <v>1</v>
      </c>
      <c r="BJ170" s="798">
        <f t="shared" si="166"/>
        <v>1</v>
      </c>
      <c r="BK170" s="798">
        <f t="shared" si="166"/>
        <v>1</v>
      </c>
      <c r="BL170" s="765"/>
      <c r="BM170" s="817"/>
      <c r="BN170" s="817"/>
    </row>
    <row r="171" hidden="1">
      <c r="A171" s="765"/>
      <c r="B171" s="765"/>
      <c r="C171" s="765"/>
      <c r="D171" s="765"/>
      <c r="E171" s="765"/>
      <c r="F171" s="765"/>
      <c r="G171" s="765"/>
      <c r="H171" s="765"/>
      <c r="I171" s="765">
        <f t="shared" si="17"/>
        <v>160</v>
      </c>
      <c r="J171" s="763">
        <f t="shared" si="5"/>
        <v>31288423301</v>
      </c>
      <c r="K171" s="796">
        <f t="shared" si="7"/>
        <v>0.31379</v>
      </c>
      <c r="L171" s="796">
        <v>5.0E-4</v>
      </c>
      <c r="M171" s="763">
        <v>3.56766514260735E10</v>
      </c>
      <c r="N171" s="797">
        <f t="shared" si="8"/>
        <v>0</v>
      </c>
      <c r="O171" s="798">
        <f t="shared" ref="O171:BK171" si="167">FLOOR(MIN((((N("value of ELS upgrade")+N$8*($K171-$K170))*(N("Check checkbox")+(IF($G$6=TRUE,$G$7,$G$8))/$G$8))/(N("ROI of ELS and multiply by 2 if ELS is 1:1")+IF($G$12 = True, 2, 1) * $J171))/((N("difference in ELS+ and the cost of it")+(($K170*O$8)-($K170*N$8)) / O$7)),(N("MIN lets it return 0 or 1 after floored")+1)),1)</f>
        <v>0</v>
      </c>
      <c r="P171" s="798">
        <f t="shared" si="167"/>
        <v>0</v>
      </c>
      <c r="Q171" s="798">
        <f t="shared" si="167"/>
        <v>0</v>
      </c>
      <c r="R171" s="798">
        <f t="shared" si="167"/>
        <v>1</v>
      </c>
      <c r="S171" s="798">
        <f t="shared" si="167"/>
        <v>1</v>
      </c>
      <c r="T171" s="798">
        <f t="shared" si="167"/>
        <v>1</v>
      </c>
      <c r="U171" s="798">
        <f t="shared" si="167"/>
        <v>1</v>
      </c>
      <c r="V171" s="798">
        <f t="shared" si="167"/>
        <v>1</v>
      </c>
      <c r="W171" s="798">
        <f t="shared" si="167"/>
        <v>1</v>
      </c>
      <c r="X171" s="798">
        <f t="shared" si="167"/>
        <v>1</v>
      </c>
      <c r="Y171" s="798">
        <f t="shared" si="167"/>
        <v>1</v>
      </c>
      <c r="Z171" s="798">
        <f t="shared" si="167"/>
        <v>1</v>
      </c>
      <c r="AA171" s="798">
        <f t="shared" si="167"/>
        <v>1</v>
      </c>
      <c r="AB171" s="798">
        <f t="shared" si="167"/>
        <v>1</v>
      </c>
      <c r="AC171" s="798">
        <f t="shared" si="167"/>
        <v>1</v>
      </c>
      <c r="AD171" s="798">
        <f t="shared" si="167"/>
        <v>1</v>
      </c>
      <c r="AE171" s="798">
        <f t="shared" si="167"/>
        <v>1</v>
      </c>
      <c r="AF171" s="798">
        <f t="shared" si="167"/>
        <v>1</v>
      </c>
      <c r="AG171" s="798">
        <f t="shared" si="167"/>
        <v>1</v>
      </c>
      <c r="AH171" s="798">
        <f t="shared" si="167"/>
        <v>1</v>
      </c>
      <c r="AI171" s="798">
        <f t="shared" si="167"/>
        <v>1</v>
      </c>
      <c r="AJ171" s="798">
        <f t="shared" si="167"/>
        <v>1</v>
      </c>
      <c r="AK171" s="798">
        <f t="shared" si="167"/>
        <v>1</v>
      </c>
      <c r="AL171" s="798">
        <f t="shared" si="167"/>
        <v>1</v>
      </c>
      <c r="AM171" s="798">
        <f t="shared" si="167"/>
        <v>1</v>
      </c>
      <c r="AN171" s="798">
        <f t="shared" si="167"/>
        <v>1</v>
      </c>
      <c r="AO171" s="798">
        <f t="shared" si="167"/>
        <v>1</v>
      </c>
      <c r="AP171" s="798">
        <f t="shared" si="167"/>
        <v>1</v>
      </c>
      <c r="AQ171" s="798">
        <f t="shared" si="167"/>
        <v>1</v>
      </c>
      <c r="AR171" s="798">
        <f t="shared" si="167"/>
        <v>1</v>
      </c>
      <c r="AS171" s="798">
        <f t="shared" si="167"/>
        <v>1</v>
      </c>
      <c r="AT171" s="798">
        <f t="shared" si="167"/>
        <v>1</v>
      </c>
      <c r="AU171" s="798">
        <f t="shared" si="167"/>
        <v>1</v>
      </c>
      <c r="AV171" s="798">
        <f t="shared" si="167"/>
        <v>1</v>
      </c>
      <c r="AW171" s="798">
        <f t="shared" si="167"/>
        <v>1</v>
      </c>
      <c r="AX171" s="798">
        <f t="shared" si="167"/>
        <v>1</v>
      </c>
      <c r="AY171" s="798">
        <f t="shared" si="167"/>
        <v>1</v>
      </c>
      <c r="AZ171" s="798">
        <f t="shared" si="167"/>
        <v>1</v>
      </c>
      <c r="BA171" s="798">
        <f t="shared" si="167"/>
        <v>1</v>
      </c>
      <c r="BB171" s="798">
        <f t="shared" si="167"/>
        <v>1</v>
      </c>
      <c r="BC171" s="798">
        <f t="shared" si="167"/>
        <v>1</v>
      </c>
      <c r="BD171" s="798">
        <f t="shared" si="167"/>
        <v>1</v>
      </c>
      <c r="BE171" s="798">
        <f t="shared" si="167"/>
        <v>1</v>
      </c>
      <c r="BF171" s="798">
        <f t="shared" si="167"/>
        <v>1</v>
      </c>
      <c r="BG171" s="798">
        <f t="shared" si="167"/>
        <v>1</v>
      </c>
      <c r="BH171" s="798">
        <f t="shared" si="167"/>
        <v>1</v>
      </c>
      <c r="BI171" s="798">
        <f t="shared" si="167"/>
        <v>1</v>
      </c>
      <c r="BJ171" s="798">
        <f t="shared" si="167"/>
        <v>1</v>
      </c>
      <c r="BK171" s="798">
        <f t="shared" si="167"/>
        <v>1</v>
      </c>
      <c r="BL171" s="765"/>
      <c r="BM171" s="817"/>
      <c r="BN171" s="817"/>
    </row>
    <row r="172" hidden="1">
      <c r="A172" s="765"/>
      <c r="B172" s="765"/>
      <c r="C172" s="765"/>
      <c r="D172" s="765"/>
      <c r="E172" s="765"/>
      <c r="F172" s="765"/>
      <c r="G172" s="765"/>
      <c r="H172" s="765"/>
      <c r="I172" s="765">
        <f t="shared" si="17"/>
        <v>161</v>
      </c>
      <c r="J172" s="763">
        <f t="shared" si="5"/>
        <v>62960380648</v>
      </c>
      <c r="K172" s="796">
        <f t="shared" si="7"/>
        <v>0.31429</v>
      </c>
      <c r="L172" s="796">
        <v>5.0E-4</v>
      </c>
      <c r="M172" s="763">
        <v>7.17906278765927E10</v>
      </c>
      <c r="N172" s="797">
        <f t="shared" si="8"/>
        <v>0</v>
      </c>
      <c r="O172" s="798">
        <f t="shared" ref="O172:BK172" si="168">FLOOR(MIN((((N("value of ELS upgrade")+N$8*($K172-$K171))*(N("Check checkbox")+(IF($G$6=TRUE,$G$7,$G$8))/$G$8))/(N("ROI of ELS and multiply by 2 if ELS is 1:1")+IF($G$12 = True, 2, 1) * $J172))/((N("difference in ELS+ and the cost of it")+(($K171*O$8)-($K171*N$8)) / O$7)),(N("MIN lets it return 0 or 1 after floored")+1)),1)</f>
        <v>0</v>
      </c>
      <c r="P172" s="798">
        <f t="shared" si="168"/>
        <v>0</v>
      </c>
      <c r="Q172" s="798">
        <f t="shared" si="168"/>
        <v>0</v>
      </c>
      <c r="R172" s="798">
        <f t="shared" si="168"/>
        <v>1</v>
      </c>
      <c r="S172" s="798">
        <f t="shared" si="168"/>
        <v>1</v>
      </c>
      <c r="T172" s="798">
        <f t="shared" si="168"/>
        <v>1</v>
      </c>
      <c r="U172" s="798">
        <f t="shared" si="168"/>
        <v>1</v>
      </c>
      <c r="V172" s="798">
        <f t="shared" si="168"/>
        <v>1</v>
      </c>
      <c r="W172" s="798">
        <f t="shared" si="168"/>
        <v>1</v>
      </c>
      <c r="X172" s="798">
        <f t="shared" si="168"/>
        <v>1</v>
      </c>
      <c r="Y172" s="798">
        <f t="shared" si="168"/>
        <v>1</v>
      </c>
      <c r="Z172" s="798">
        <f t="shared" si="168"/>
        <v>1</v>
      </c>
      <c r="AA172" s="798">
        <f t="shared" si="168"/>
        <v>1</v>
      </c>
      <c r="AB172" s="798">
        <f t="shared" si="168"/>
        <v>1</v>
      </c>
      <c r="AC172" s="798">
        <f t="shared" si="168"/>
        <v>1</v>
      </c>
      <c r="AD172" s="798">
        <f t="shared" si="168"/>
        <v>1</v>
      </c>
      <c r="AE172" s="798">
        <f t="shared" si="168"/>
        <v>1</v>
      </c>
      <c r="AF172" s="798">
        <f t="shared" si="168"/>
        <v>1</v>
      </c>
      <c r="AG172" s="798">
        <f t="shared" si="168"/>
        <v>1</v>
      </c>
      <c r="AH172" s="798">
        <f t="shared" si="168"/>
        <v>1</v>
      </c>
      <c r="AI172" s="798">
        <f t="shared" si="168"/>
        <v>1</v>
      </c>
      <c r="AJ172" s="798">
        <f t="shared" si="168"/>
        <v>1</v>
      </c>
      <c r="AK172" s="798">
        <f t="shared" si="168"/>
        <v>1</v>
      </c>
      <c r="AL172" s="798">
        <f t="shared" si="168"/>
        <v>1</v>
      </c>
      <c r="AM172" s="798">
        <f t="shared" si="168"/>
        <v>1</v>
      </c>
      <c r="AN172" s="798">
        <f t="shared" si="168"/>
        <v>1</v>
      </c>
      <c r="AO172" s="798">
        <f t="shared" si="168"/>
        <v>1</v>
      </c>
      <c r="AP172" s="798">
        <f t="shared" si="168"/>
        <v>1</v>
      </c>
      <c r="AQ172" s="798">
        <f t="shared" si="168"/>
        <v>1</v>
      </c>
      <c r="AR172" s="798">
        <f t="shared" si="168"/>
        <v>1</v>
      </c>
      <c r="AS172" s="798">
        <f t="shared" si="168"/>
        <v>1</v>
      </c>
      <c r="AT172" s="798">
        <f t="shared" si="168"/>
        <v>1</v>
      </c>
      <c r="AU172" s="798">
        <f t="shared" si="168"/>
        <v>1</v>
      </c>
      <c r="AV172" s="798">
        <f t="shared" si="168"/>
        <v>1</v>
      </c>
      <c r="AW172" s="798">
        <f t="shared" si="168"/>
        <v>1</v>
      </c>
      <c r="AX172" s="798">
        <f t="shared" si="168"/>
        <v>1</v>
      </c>
      <c r="AY172" s="798">
        <f t="shared" si="168"/>
        <v>1</v>
      </c>
      <c r="AZ172" s="798">
        <f t="shared" si="168"/>
        <v>1</v>
      </c>
      <c r="BA172" s="798">
        <f t="shared" si="168"/>
        <v>1</v>
      </c>
      <c r="BB172" s="798">
        <f t="shared" si="168"/>
        <v>1</v>
      </c>
      <c r="BC172" s="798">
        <f t="shared" si="168"/>
        <v>1</v>
      </c>
      <c r="BD172" s="798">
        <f t="shared" si="168"/>
        <v>1</v>
      </c>
      <c r="BE172" s="798">
        <f t="shared" si="168"/>
        <v>1</v>
      </c>
      <c r="BF172" s="798">
        <f t="shared" si="168"/>
        <v>1</v>
      </c>
      <c r="BG172" s="798">
        <f t="shared" si="168"/>
        <v>1</v>
      </c>
      <c r="BH172" s="798">
        <f t="shared" si="168"/>
        <v>1</v>
      </c>
      <c r="BI172" s="798">
        <f t="shared" si="168"/>
        <v>1</v>
      </c>
      <c r="BJ172" s="798">
        <f t="shared" si="168"/>
        <v>1</v>
      </c>
      <c r="BK172" s="798">
        <f t="shared" si="168"/>
        <v>1</v>
      </c>
      <c r="BL172" s="765"/>
      <c r="BM172" s="817"/>
      <c r="BN172" s="817"/>
    </row>
    <row r="173" hidden="1">
      <c r="A173" s="765"/>
      <c r="B173" s="765"/>
      <c r="C173" s="765"/>
      <c r="D173" s="765"/>
      <c r="E173" s="765"/>
      <c r="F173" s="765"/>
      <c r="G173" s="765"/>
      <c r="H173" s="765"/>
      <c r="I173" s="765">
        <f t="shared" si="17"/>
        <v>162</v>
      </c>
      <c r="J173" s="763">
        <f t="shared" si="5"/>
        <v>63344548728</v>
      </c>
      <c r="K173" s="796">
        <f t="shared" si="7"/>
        <v>0.31479</v>
      </c>
      <c r="L173" s="796">
        <v>5.0E-4</v>
      </c>
      <c r="M173" s="763">
        <v>7.22286758582669E10</v>
      </c>
      <c r="N173" s="797">
        <f t="shared" si="8"/>
        <v>0</v>
      </c>
      <c r="O173" s="798">
        <f t="shared" ref="O173:BK173" si="169">FLOOR(MIN((((N("value of ELS upgrade")+N$8*($K173-$K172))*(N("Check checkbox")+(IF($G$6=TRUE,$G$7,$G$8))/$G$8))/(N("ROI of ELS and multiply by 2 if ELS is 1:1")+IF($G$12 = True, 2, 1) * $J173))/((N("difference in ELS+ and the cost of it")+(($K172*O$8)-($K172*N$8)) / O$7)),(N("MIN lets it return 0 or 1 after floored")+1)),1)</f>
        <v>0</v>
      </c>
      <c r="P173" s="798">
        <f t="shared" si="169"/>
        <v>0</v>
      </c>
      <c r="Q173" s="798">
        <f t="shared" si="169"/>
        <v>0</v>
      </c>
      <c r="R173" s="798">
        <f t="shared" si="169"/>
        <v>1</v>
      </c>
      <c r="S173" s="798">
        <f t="shared" si="169"/>
        <v>1</v>
      </c>
      <c r="T173" s="798">
        <f t="shared" si="169"/>
        <v>1</v>
      </c>
      <c r="U173" s="798">
        <f t="shared" si="169"/>
        <v>1</v>
      </c>
      <c r="V173" s="798">
        <f t="shared" si="169"/>
        <v>1</v>
      </c>
      <c r="W173" s="798">
        <f t="shared" si="169"/>
        <v>1</v>
      </c>
      <c r="X173" s="798">
        <f t="shared" si="169"/>
        <v>1</v>
      </c>
      <c r="Y173" s="798">
        <f t="shared" si="169"/>
        <v>1</v>
      </c>
      <c r="Z173" s="798">
        <f t="shared" si="169"/>
        <v>1</v>
      </c>
      <c r="AA173" s="798">
        <f t="shared" si="169"/>
        <v>1</v>
      </c>
      <c r="AB173" s="798">
        <f t="shared" si="169"/>
        <v>1</v>
      </c>
      <c r="AC173" s="798">
        <f t="shared" si="169"/>
        <v>1</v>
      </c>
      <c r="AD173" s="798">
        <f t="shared" si="169"/>
        <v>1</v>
      </c>
      <c r="AE173" s="798">
        <f t="shared" si="169"/>
        <v>1</v>
      </c>
      <c r="AF173" s="798">
        <f t="shared" si="169"/>
        <v>1</v>
      </c>
      <c r="AG173" s="798">
        <f t="shared" si="169"/>
        <v>1</v>
      </c>
      <c r="AH173" s="798">
        <f t="shared" si="169"/>
        <v>1</v>
      </c>
      <c r="AI173" s="798">
        <f t="shared" si="169"/>
        <v>1</v>
      </c>
      <c r="AJ173" s="798">
        <f t="shared" si="169"/>
        <v>1</v>
      </c>
      <c r="AK173" s="798">
        <f t="shared" si="169"/>
        <v>1</v>
      </c>
      <c r="AL173" s="798">
        <f t="shared" si="169"/>
        <v>1</v>
      </c>
      <c r="AM173" s="798">
        <f t="shared" si="169"/>
        <v>1</v>
      </c>
      <c r="AN173" s="798">
        <f t="shared" si="169"/>
        <v>1</v>
      </c>
      <c r="AO173" s="798">
        <f t="shared" si="169"/>
        <v>1</v>
      </c>
      <c r="AP173" s="798">
        <f t="shared" si="169"/>
        <v>1</v>
      </c>
      <c r="AQ173" s="798">
        <f t="shared" si="169"/>
        <v>1</v>
      </c>
      <c r="AR173" s="798">
        <f t="shared" si="169"/>
        <v>1</v>
      </c>
      <c r="AS173" s="798">
        <f t="shared" si="169"/>
        <v>1</v>
      </c>
      <c r="AT173" s="798">
        <f t="shared" si="169"/>
        <v>1</v>
      </c>
      <c r="AU173" s="798">
        <f t="shared" si="169"/>
        <v>1</v>
      </c>
      <c r="AV173" s="798">
        <f t="shared" si="169"/>
        <v>1</v>
      </c>
      <c r="AW173" s="798">
        <f t="shared" si="169"/>
        <v>1</v>
      </c>
      <c r="AX173" s="798">
        <f t="shared" si="169"/>
        <v>1</v>
      </c>
      <c r="AY173" s="798">
        <f t="shared" si="169"/>
        <v>1</v>
      </c>
      <c r="AZ173" s="798">
        <f t="shared" si="169"/>
        <v>1</v>
      </c>
      <c r="BA173" s="798">
        <f t="shared" si="169"/>
        <v>1</v>
      </c>
      <c r="BB173" s="798">
        <f t="shared" si="169"/>
        <v>1</v>
      </c>
      <c r="BC173" s="798">
        <f t="shared" si="169"/>
        <v>1</v>
      </c>
      <c r="BD173" s="798">
        <f t="shared" si="169"/>
        <v>1</v>
      </c>
      <c r="BE173" s="798">
        <f t="shared" si="169"/>
        <v>1</v>
      </c>
      <c r="BF173" s="798">
        <f t="shared" si="169"/>
        <v>1</v>
      </c>
      <c r="BG173" s="798">
        <f t="shared" si="169"/>
        <v>1</v>
      </c>
      <c r="BH173" s="798">
        <f t="shared" si="169"/>
        <v>1</v>
      </c>
      <c r="BI173" s="798">
        <f t="shared" si="169"/>
        <v>1</v>
      </c>
      <c r="BJ173" s="798">
        <f t="shared" si="169"/>
        <v>1</v>
      </c>
      <c r="BK173" s="798">
        <f t="shared" si="169"/>
        <v>1</v>
      </c>
      <c r="BL173" s="765"/>
      <c r="BM173" s="817"/>
      <c r="BN173" s="817"/>
    </row>
    <row r="174" hidden="1">
      <c r="A174" s="765"/>
      <c r="B174" s="765"/>
      <c r="C174" s="765"/>
      <c r="D174" s="765"/>
      <c r="E174" s="765"/>
      <c r="F174" s="765"/>
      <c r="G174" s="765"/>
      <c r="H174" s="765"/>
      <c r="I174" s="765">
        <f t="shared" si="17"/>
        <v>163</v>
      </c>
      <c r="J174" s="763">
        <f t="shared" si="5"/>
        <v>63729355952</v>
      </c>
      <c r="K174" s="796">
        <f t="shared" si="7"/>
        <v>0.31529</v>
      </c>
      <c r="L174" s="796">
        <v>5.0E-4</v>
      </c>
      <c r="M174" s="763">
        <v>7.2667452624337E10</v>
      </c>
      <c r="N174" s="797">
        <f t="shared" si="8"/>
        <v>0</v>
      </c>
      <c r="O174" s="798">
        <f t="shared" ref="O174:BK174" si="170">FLOOR(MIN((((N("value of ELS upgrade")+N$8*($K174-$K173))*(N("Check checkbox")+(IF($G$6=TRUE,$G$7,$G$8))/$G$8))/(N("ROI of ELS and multiply by 2 if ELS is 1:1")+IF($G$12 = True, 2, 1) * $J174))/((N("difference in ELS+ and the cost of it")+(($K173*O$8)-($K173*N$8)) / O$7)),(N("MIN lets it return 0 or 1 after floored")+1)),1)</f>
        <v>0</v>
      </c>
      <c r="P174" s="798">
        <f t="shared" si="170"/>
        <v>0</v>
      </c>
      <c r="Q174" s="798">
        <f t="shared" si="170"/>
        <v>0</v>
      </c>
      <c r="R174" s="798">
        <f t="shared" si="170"/>
        <v>1</v>
      </c>
      <c r="S174" s="798">
        <f t="shared" si="170"/>
        <v>1</v>
      </c>
      <c r="T174" s="798">
        <f t="shared" si="170"/>
        <v>1</v>
      </c>
      <c r="U174" s="798">
        <f t="shared" si="170"/>
        <v>1</v>
      </c>
      <c r="V174" s="798">
        <f t="shared" si="170"/>
        <v>1</v>
      </c>
      <c r="W174" s="798">
        <f t="shared" si="170"/>
        <v>1</v>
      </c>
      <c r="X174" s="798">
        <f t="shared" si="170"/>
        <v>1</v>
      </c>
      <c r="Y174" s="798">
        <f t="shared" si="170"/>
        <v>1</v>
      </c>
      <c r="Z174" s="798">
        <f t="shared" si="170"/>
        <v>1</v>
      </c>
      <c r="AA174" s="798">
        <f t="shared" si="170"/>
        <v>1</v>
      </c>
      <c r="AB174" s="798">
        <f t="shared" si="170"/>
        <v>1</v>
      </c>
      <c r="AC174" s="798">
        <f t="shared" si="170"/>
        <v>1</v>
      </c>
      <c r="AD174" s="798">
        <f t="shared" si="170"/>
        <v>1</v>
      </c>
      <c r="AE174" s="798">
        <f t="shared" si="170"/>
        <v>1</v>
      </c>
      <c r="AF174" s="798">
        <f t="shared" si="170"/>
        <v>1</v>
      </c>
      <c r="AG174" s="798">
        <f t="shared" si="170"/>
        <v>1</v>
      </c>
      <c r="AH174" s="798">
        <f t="shared" si="170"/>
        <v>1</v>
      </c>
      <c r="AI174" s="798">
        <f t="shared" si="170"/>
        <v>1</v>
      </c>
      <c r="AJ174" s="798">
        <f t="shared" si="170"/>
        <v>1</v>
      </c>
      <c r="AK174" s="798">
        <f t="shared" si="170"/>
        <v>1</v>
      </c>
      <c r="AL174" s="798">
        <f t="shared" si="170"/>
        <v>1</v>
      </c>
      <c r="AM174" s="798">
        <f t="shared" si="170"/>
        <v>1</v>
      </c>
      <c r="AN174" s="798">
        <f t="shared" si="170"/>
        <v>1</v>
      </c>
      <c r="AO174" s="798">
        <f t="shared" si="170"/>
        <v>1</v>
      </c>
      <c r="AP174" s="798">
        <f t="shared" si="170"/>
        <v>1</v>
      </c>
      <c r="AQ174" s="798">
        <f t="shared" si="170"/>
        <v>1</v>
      </c>
      <c r="AR174" s="798">
        <f t="shared" si="170"/>
        <v>1</v>
      </c>
      <c r="AS174" s="798">
        <f t="shared" si="170"/>
        <v>1</v>
      </c>
      <c r="AT174" s="798">
        <f t="shared" si="170"/>
        <v>1</v>
      </c>
      <c r="AU174" s="798">
        <f t="shared" si="170"/>
        <v>1</v>
      </c>
      <c r="AV174" s="798">
        <f t="shared" si="170"/>
        <v>1</v>
      </c>
      <c r="AW174" s="798">
        <f t="shared" si="170"/>
        <v>1</v>
      </c>
      <c r="AX174" s="798">
        <f t="shared" si="170"/>
        <v>1</v>
      </c>
      <c r="AY174" s="798">
        <f t="shared" si="170"/>
        <v>1</v>
      </c>
      <c r="AZ174" s="798">
        <f t="shared" si="170"/>
        <v>1</v>
      </c>
      <c r="BA174" s="798">
        <f t="shared" si="170"/>
        <v>1</v>
      </c>
      <c r="BB174" s="798">
        <f t="shared" si="170"/>
        <v>1</v>
      </c>
      <c r="BC174" s="798">
        <f t="shared" si="170"/>
        <v>1</v>
      </c>
      <c r="BD174" s="798">
        <f t="shared" si="170"/>
        <v>1</v>
      </c>
      <c r="BE174" s="798">
        <f t="shared" si="170"/>
        <v>1</v>
      </c>
      <c r="BF174" s="798">
        <f t="shared" si="170"/>
        <v>1</v>
      </c>
      <c r="BG174" s="798">
        <f t="shared" si="170"/>
        <v>1</v>
      </c>
      <c r="BH174" s="798">
        <f t="shared" si="170"/>
        <v>1</v>
      </c>
      <c r="BI174" s="798">
        <f t="shared" si="170"/>
        <v>1</v>
      </c>
      <c r="BJ174" s="798">
        <f t="shared" si="170"/>
        <v>1</v>
      </c>
      <c r="BK174" s="798">
        <f t="shared" si="170"/>
        <v>1</v>
      </c>
      <c r="BL174" s="765"/>
      <c r="BM174" s="817"/>
      <c r="BN174" s="817"/>
    </row>
    <row r="175" hidden="1">
      <c r="A175" s="765"/>
      <c r="B175" s="765"/>
      <c r="C175" s="765"/>
      <c r="D175" s="765"/>
      <c r="E175" s="765"/>
      <c r="F175" s="765"/>
      <c r="G175" s="765"/>
      <c r="H175" s="765"/>
      <c r="I175" s="765">
        <f t="shared" si="17"/>
        <v>164</v>
      </c>
      <c r="J175" s="763">
        <f t="shared" si="5"/>
        <v>64114807600</v>
      </c>
      <c r="K175" s="796">
        <f t="shared" si="7"/>
        <v>0.31579</v>
      </c>
      <c r="L175" s="796">
        <v>5.0E-4</v>
      </c>
      <c r="M175" s="763">
        <v>7.31069641962093E10</v>
      </c>
      <c r="N175" s="797">
        <f t="shared" si="8"/>
        <v>0</v>
      </c>
      <c r="O175" s="798">
        <f t="shared" ref="O175:BK175" si="171">FLOOR(MIN((((N("value of ELS upgrade")+N$8*($K175-$K174))*(N("Check checkbox")+(IF($G$6=TRUE,$G$7,$G$8))/$G$8))/(N("ROI of ELS and multiply by 2 if ELS is 1:1")+IF($G$12 = True, 2, 1) * $J175))/((N("difference in ELS+ and the cost of it")+(($K174*O$8)-($K174*N$8)) / O$7)),(N("MIN lets it return 0 or 1 after floored")+1)),1)</f>
        <v>0</v>
      </c>
      <c r="P175" s="798">
        <f t="shared" si="171"/>
        <v>0</v>
      </c>
      <c r="Q175" s="798">
        <f t="shared" si="171"/>
        <v>0</v>
      </c>
      <c r="R175" s="798">
        <f t="shared" si="171"/>
        <v>1</v>
      </c>
      <c r="S175" s="798">
        <f t="shared" si="171"/>
        <v>1</v>
      </c>
      <c r="T175" s="798">
        <f t="shared" si="171"/>
        <v>1</v>
      </c>
      <c r="U175" s="798">
        <f t="shared" si="171"/>
        <v>1</v>
      </c>
      <c r="V175" s="798">
        <f t="shared" si="171"/>
        <v>1</v>
      </c>
      <c r="W175" s="798">
        <f t="shared" si="171"/>
        <v>1</v>
      </c>
      <c r="X175" s="798">
        <f t="shared" si="171"/>
        <v>1</v>
      </c>
      <c r="Y175" s="798">
        <f t="shared" si="171"/>
        <v>1</v>
      </c>
      <c r="Z175" s="798">
        <f t="shared" si="171"/>
        <v>1</v>
      </c>
      <c r="AA175" s="798">
        <f t="shared" si="171"/>
        <v>1</v>
      </c>
      <c r="AB175" s="798">
        <f t="shared" si="171"/>
        <v>1</v>
      </c>
      <c r="AC175" s="798">
        <f t="shared" si="171"/>
        <v>1</v>
      </c>
      <c r="AD175" s="798">
        <f t="shared" si="171"/>
        <v>1</v>
      </c>
      <c r="AE175" s="798">
        <f t="shared" si="171"/>
        <v>1</v>
      </c>
      <c r="AF175" s="798">
        <f t="shared" si="171"/>
        <v>1</v>
      </c>
      <c r="AG175" s="798">
        <f t="shared" si="171"/>
        <v>1</v>
      </c>
      <c r="AH175" s="798">
        <f t="shared" si="171"/>
        <v>1</v>
      </c>
      <c r="AI175" s="798">
        <f t="shared" si="171"/>
        <v>1</v>
      </c>
      <c r="AJ175" s="798">
        <f t="shared" si="171"/>
        <v>1</v>
      </c>
      <c r="AK175" s="798">
        <f t="shared" si="171"/>
        <v>1</v>
      </c>
      <c r="AL175" s="798">
        <f t="shared" si="171"/>
        <v>1</v>
      </c>
      <c r="AM175" s="798">
        <f t="shared" si="171"/>
        <v>1</v>
      </c>
      <c r="AN175" s="798">
        <f t="shared" si="171"/>
        <v>1</v>
      </c>
      <c r="AO175" s="798">
        <f t="shared" si="171"/>
        <v>1</v>
      </c>
      <c r="AP175" s="798">
        <f t="shared" si="171"/>
        <v>1</v>
      </c>
      <c r="AQ175" s="798">
        <f t="shared" si="171"/>
        <v>1</v>
      </c>
      <c r="AR175" s="798">
        <f t="shared" si="171"/>
        <v>1</v>
      </c>
      <c r="AS175" s="798">
        <f t="shared" si="171"/>
        <v>1</v>
      </c>
      <c r="AT175" s="798">
        <f t="shared" si="171"/>
        <v>1</v>
      </c>
      <c r="AU175" s="798">
        <f t="shared" si="171"/>
        <v>1</v>
      </c>
      <c r="AV175" s="798">
        <f t="shared" si="171"/>
        <v>1</v>
      </c>
      <c r="AW175" s="798">
        <f t="shared" si="171"/>
        <v>1</v>
      </c>
      <c r="AX175" s="798">
        <f t="shared" si="171"/>
        <v>1</v>
      </c>
      <c r="AY175" s="798">
        <f t="shared" si="171"/>
        <v>1</v>
      </c>
      <c r="AZ175" s="798">
        <f t="shared" si="171"/>
        <v>1</v>
      </c>
      <c r="BA175" s="798">
        <f t="shared" si="171"/>
        <v>1</v>
      </c>
      <c r="BB175" s="798">
        <f t="shared" si="171"/>
        <v>1</v>
      </c>
      <c r="BC175" s="798">
        <f t="shared" si="171"/>
        <v>1</v>
      </c>
      <c r="BD175" s="798">
        <f t="shared" si="171"/>
        <v>1</v>
      </c>
      <c r="BE175" s="798">
        <f t="shared" si="171"/>
        <v>1</v>
      </c>
      <c r="BF175" s="798">
        <f t="shared" si="171"/>
        <v>1</v>
      </c>
      <c r="BG175" s="798">
        <f t="shared" si="171"/>
        <v>1</v>
      </c>
      <c r="BH175" s="798">
        <f t="shared" si="171"/>
        <v>1</v>
      </c>
      <c r="BI175" s="798">
        <f t="shared" si="171"/>
        <v>1</v>
      </c>
      <c r="BJ175" s="798">
        <f t="shared" si="171"/>
        <v>1</v>
      </c>
      <c r="BK175" s="798">
        <f t="shared" si="171"/>
        <v>1</v>
      </c>
      <c r="BL175" s="765"/>
      <c r="BM175" s="817"/>
      <c r="BN175" s="817"/>
    </row>
    <row r="176" hidden="1">
      <c r="A176" s="765"/>
      <c r="B176" s="765"/>
      <c r="C176" s="765"/>
      <c r="D176" s="765"/>
      <c r="E176" s="765"/>
      <c r="F176" s="765"/>
      <c r="G176" s="765"/>
      <c r="H176" s="765"/>
      <c r="I176" s="765">
        <f t="shared" si="17"/>
        <v>165</v>
      </c>
      <c r="J176" s="763">
        <f t="shared" si="5"/>
        <v>64500909295</v>
      </c>
      <c r="K176" s="796">
        <f t="shared" si="7"/>
        <v>0.31629</v>
      </c>
      <c r="L176" s="796">
        <v>5.0E-4</v>
      </c>
      <c r="M176" s="763">
        <v>7.35472169837678E10</v>
      </c>
      <c r="N176" s="797">
        <f t="shared" si="8"/>
        <v>0</v>
      </c>
      <c r="O176" s="798">
        <f t="shared" ref="O176:BK176" si="172">FLOOR(MIN((((N("value of ELS upgrade")+N$8*($K176-$K175))*(N("Check checkbox")+(IF($G$6=TRUE,$G$7,$G$8))/$G$8))/(N("ROI of ELS and multiply by 2 if ELS is 1:1")+IF($G$12 = True, 2, 1) * $J176))/((N("difference in ELS+ and the cost of it")+(($K175*O$8)-($K175*N$8)) / O$7)),(N("MIN lets it return 0 or 1 after floored")+1)),1)</f>
        <v>0</v>
      </c>
      <c r="P176" s="798">
        <f t="shared" si="172"/>
        <v>0</v>
      </c>
      <c r="Q176" s="798">
        <f t="shared" si="172"/>
        <v>0</v>
      </c>
      <c r="R176" s="798">
        <f t="shared" si="172"/>
        <v>1</v>
      </c>
      <c r="S176" s="798">
        <f t="shared" si="172"/>
        <v>1</v>
      </c>
      <c r="T176" s="798">
        <f t="shared" si="172"/>
        <v>1</v>
      </c>
      <c r="U176" s="798">
        <f t="shared" si="172"/>
        <v>1</v>
      </c>
      <c r="V176" s="798">
        <f t="shared" si="172"/>
        <v>1</v>
      </c>
      <c r="W176" s="798">
        <f t="shared" si="172"/>
        <v>1</v>
      </c>
      <c r="X176" s="798">
        <f t="shared" si="172"/>
        <v>1</v>
      </c>
      <c r="Y176" s="798">
        <f t="shared" si="172"/>
        <v>1</v>
      </c>
      <c r="Z176" s="798">
        <f t="shared" si="172"/>
        <v>1</v>
      </c>
      <c r="AA176" s="798">
        <f t="shared" si="172"/>
        <v>1</v>
      </c>
      <c r="AB176" s="798">
        <f t="shared" si="172"/>
        <v>1</v>
      </c>
      <c r="AC176" s="798">
        <f t="shared" si="172"/>
        <v>1</v>
      </c>
      <c r="AD176" s="798">
        <f t="shared" si="172"/>
        <v>1</v>
      </c>
      <c r="AE176" s="798">
        <f t="shared" si="172"/>
        <v>1</v>
      </c>
      <c r="AF176" s="798">
        <f t="shared" si="172"/>
        <v>1</v>
      </c>
      <c r="AG176" s="798">
        <f t="shared" si="172"/>
        <v>1</v>
      </c>
      <c r="AH176" s="798">
        <f t="shared" si="172"/>
        <v>1</v>
      </c>
      <c r="AI176" s="798">
        <f t="shared" si="172"/>
        <v>1</v>
      </c>
      <c r="AJ176" s="798">
        <f t="shared" si="172"/>
        <v>1</v>
      </c>
      <c r="AK176" s="798">
        <f t="shared" si="172"/>
        <v>1</v>
      </c>
      <c r="AL176" s="798">
        <f t="shared" si="172"/>
        <v>1</v>
      </c>
      <c r="AM176" s="798">
        <f t="shared" si="172"/>
        <v>1</v>
      </c>
      <c r="AN176" s="798">
        <f t="shared" si="172"/>
        <v>1</v>
      </c>
      <c r="AO176" s="798">
        <f t="shared" si="172"/>
        <v>1</v>
      </c>
      <c r="AP176" s="798">
        <f t="shared" si="172"/>
        <v>1</v>
      </c>
      <c r="AQ176" s="798">
        <f t="shared" si="172"/>
        <v>1</v>
      </c>
      <c r="AR176" s="798">
        <f t="shared" si="172"/>
        <v>1</v>
      </c>
      <c r="AS176" s="798">
        <f t="shared" si="172"/>
        <v>1</v>
      </c>
      <c r="AT176" s="798">
        <f t="shared" si="172"/>
        <v>1</v>
      </c>
      <c r="AU176" s="798">
        <f t="shared" si="172"/>
        <v>1</v>
      </c>
      <c r="AV176" s="798">
        <f t="shared" si="172"/>
        <v>1</v>
      </c>
      <c r="AW176" s="798">
        <f t="shared" si="172"/>
        <v>1</v>
      </c>
      <c r="AX176" s="798">
        <f t="shared" si="172"/>
        <v>1</v>
      </c>
      <c r="AY176" s="798">
        <f t="shared" si="172"/>
        <v>1</v>
      </c>
      <c r="AZ176" s="798">
        <f t="shared" si="172"/>
        <v>1</v>
      </c>
      <c r="BA176" s="798">
        <f t="shared" si="172"/>
        <v>1</v>
      </c>
      <c r="BB176" s="798">
        <f t="shared" si="172"/>
        <v>1</v>
      </c>
      <c r="BC176" s="798">
        <f t="shared" si="172"/>
        <v>1</v>
      </c>
      <c r="BD176" s="798">
        <f t="shared" si="172"/>
        <v>1</v>
      </c>
      <c r="BE176" s="798">
        <f t="shared" si="172"/>
        <v>1</v>
      </c>
      <c r="BF176" s="798">
        <f t="shared" si="172"/>
        <v>1</v>
      </c>
      <c r="BG176" s="798">
        <f t="shared" si="172"/>
        <v>1</v>
      </c>
      <c r="BH176" s="798">
        <f t="shared" si="172"/>
        <v>1</v>
      </c>
      <c r="BI176" s="798">
        <f t="shared" si="172"/>
        <v>1</v>
      </c>
      <c r="BJ176" s="798">
        <f t="shared" si="172"/>
        <v>1</v>
      </c>
      <c r="BK176" s="798">
        <f t="shared" si="172"/>
        <v>1</v>
      </c>
      <c r="BL176" s="765"/>
      <c r="BM176" s="817"/>
      <c r="BN176" s="817"/>
    </row>
    <row r="177" hidden="1">
      <c r="A177" s="765"/>
      <c r="B177" s="765"/>
      <c r="C177" s="765"/>
      <c r="D177" s="765"/>
      <c r="E177" s="765"/>
      <c r="F177" s="765"/>
      <c r="G177" s="765"/>
      <c r="H177" s="765"/>
      <c r="I177" s="765">
        <f t="shared" si="17"/>
        <v>166</v>
      </c>
      <c r="J177" s="763">
        <f t="shared" si="5"/>
        <v>64887666316</v>
      </c>
      <c r="K177" s="796">
        <f t="shared" si="7"/>
        <v>0.31679</v>
      </c>
      <c r="L177" s="796">
        <v>5.0E-4</v>
      </c>
      <c r="M177" s="763">
        <v>7.39882170084189E10</v>
      </c>
      <c r="N177" s="797">
        <f t="shared" si="8"/>
        <v>0</v>
      </c>
      <c r="O177" s="798">
        <f t="shared" ref="O177:BK177" si="173">FLOOR(MIN((((N("value of ELS upgrade")+N$8*($K177-$K176))*(N("Check checkbox")+(IF($G$6=TRUE,$G$7,$G$8))/$G$8))/(N("ROI of ELS and multiply by 2 if ELS is 1:1")+IF($G$12 = True, 2, 1) * $J177))/((N("difference in ELS+ and the cost of it")+(($K176*O$8)-($K176*N$8)) / O$7)),(N("MIN lets it return 0 or 1 after floored")+1)),1)</f>
        <v>0</v>
      </c>
      <c r="P177" s="798">
        <f t="shared" si="173"/>
        <v>0</v>
      </c>
      <c r="Q177" s="798">
        <f t="shared" si="173"/>
        <v>0</v>
      </c>
      <c r="R177" s="798">
        <f t="shared" si="173"/>
        <v>1</v>
      </c>
      <c r="S177" s="798">
        <f t="shared" si="173"/>
        <v>1</v>
      </c>
      <c r="T177" s="798">
        <f t="shared" si="173"/>
        <v>1</v>
      </c>
      <c r="U177" s="798">
        <f t="shared" si="173"/>
        <v>1</v>
      </c>
      <c r="V177" s="798">
        <f t="shared" si="173"/>
        <v>1</v>
      </c>
      <c r="W177" s="798">
        <f t="shared" si="173"/>
        <v>1</v>
      </c>
      <c r="X177" s="798">
        <f t="shared" si="173"/>
        <v>1</v>
      </c>
      <c r="Y177" s="798">
        <f t="shared" si="173"/>
        <v>1</v>
      </c>
      <c r="Z177" s="798">
        <f t="shared" si="173"/>
        <v>1</v>
      </c>
      <c r="AA177" s="798">
        <f t="shared" si="173"/>
        <v>1</v>
      </c>
      <c r="AB177" s="798">
        <f t="shared" si="173"/>
        <v>1</v>
      </c>
      <c r="AC177" s="798">
        <f t="shared" si="173"/>
        <v>1</v>
      </c>
      <c r="AD177" s="798">
        <f t="shared" si="173"/>
        <v>1</v>
      </c>
      <c r="AE177" s="798">
        <f t="shared" si="173"/>
        <v>1</v>
      </c>
      <c r="AF177" s="798">
        <f t="shared" si="173"/>
        <v>1</v>
      </c>
      <c r="AG177" s="798">
        <f t="shared" si="173"/>
        <v>1</v>
      </c>
      <c r="AH177" s="798">
        <f t="shared" si="173"/>
        <v>1</v>
      </c>
      <c r="AI177" s="798">
        <f t="shared" si="173"/>
        <v>1</v>
      </c>
      <c r="AJ177" s="798">
        <f t="shared" si="173"/>
        <v>1</v>
      </c>
      <c r="AK177" s="798">
        <f t="shared" si="173"/>
        <v>1</v>
      </c>
      <c r="AL177" s="798">
        <f t="shared" si="173"/>
        <v>1</v>
      </c>
      <c r="AM177" s="798">
        <f t="shared" si="173"/>
        <v>1</v>
      </c>
      <c r="AN177" s="798">
        <f t="shared" si="173"/>
        <v>1</v>
      </c>
      <c r="AO177" s="798">
        <f t="shared" si="173"/>
        <v>1</v>
      </c>
      <c r="AP177" s="798">
        <f t="shared" si="173"/>
        <v>1</v>
      </c>
      <c r="AQ177" s="798">
        <f t="shared" si="173"/>
        <v>1</v>
      </c>
      <c r="AR177" s="798">
        <f t="shared" si="173"/>
        <v>1</v>
      </c>
      <c r="AS177" s="798">
        <f t="shared" si="173"/>
        <v>1</v>
      </c>
      <c r="AT177" s="798">
        <f t="shared" si="173"/>
        <v>1</v>
      </c>
      <c r="AU177" s="798">
        <f t="shared" si="173"/>
        <v>1</v>
      </c>
      <c r="AV177" s="798">
        <f t="shared" si="173"/>
        <v>1</v>
      </c>
      <c r="AW177" s="798">
        <f t="shared" si="173"/>
        <v>1</v>
      </c>
      <c r="AX177" s="798">
        <f t="shared" si="173"/>
        <v>1</v>
      </c>
      <c r="AY177" s="798">
        <f t="shared" si="173"/>
        <v>1</v>
      </c>
      <c r="AZ177" s="798">
        <f t="shared" si="173"/>
        <v>1</v>
      </c>
      <c r="BA177" s="798">
        <f t="shared" si="173"/>
        <v>1</v>
      </c>
      <c r="BB177" s="798">
        <f t="shared" si="173"/>
        <v>1</v>
      </c>
      <c r="BC177" s="798">
        <f t="shared" si="173"/>
        <v>1</v>
      </c>
      <c r="BD177" s="798">
        <f t="shared" si="173"/>
        <v>1</v>
      </c>
      <c r="BE177" s="798">
        <f t="shared" si="173"/>
        <v>1</v>
      </c>
      <c r="BF177" s="798">
        <f t="shared" si="173"/>
        <v>1</v>
      </c>
      <c r="BG177" s="798">
        <f t="shared" si="173"/>
        <v>1</v>
      </c>
      <c r="BH177" s="798">
        <f t="shared" si="173"/>
        <v>1</v>
      </c>
      <c r="BI177" s="798">
        <f t="shared" si="173"/>
        <v>1</v>
      </c>
      <c r="BJ177" s="798">
        <f t="shared" si="173"/>
        <v>1</v>
      </c>
      <c r="BK177" s="798">
        <f t="shared" si="173"/>
        <v>1</v>
      </c>
      <c r="BL177" s="765"/>
      <c r="BM177" s="817"/>
      <c r="BN177" s="817"/>
    </row>
    <row r="178" hidden="1">
      <c r="A178" s="765"/>
      <c r="B178" s="765"/>
      <c r="C178" s="765"/>
      <c r="D178" s="765"/>
      <c r="E178" s="765"/>
      <c r="F178" s="765"/>
      <c r="G178" s="765"/>
      <c r="H178" s="765"/>
      <c r="I178" s="765">
        <f t="shared" si="17"/>
        <v>167</v>
      </c>
      <c r="J178" s="763">
        <f t="shared" si="5"/>
        <v>65275083946</v>
      </c>
      <c r="K178" s="796">
        <f t="shared" si="7"/>
        <v>0.31729</v>
      </c>
      <c r="L178" s="796">
        <v>5.0E-4</v>
      </c>
      <c r="M178" s="763">
        <v>7.44299702915687E10</v>
      </c>
      <c r="N178" s="797">
        <f t="shared" si="8"/>
        <v>0</v>
      </c>
      <c r="O178" s="798">
        <f t="shared" ref="O178:BK178" si="174">FLOOR(MIN((((N("value of ELS upgrade")+N$8*($K178-$K177))*(N("Check checkbox")+(IF($G$6=TRUE,$G$7,$G$8))/$G$8))/(N("ROI of ELS and multiply by 2 if ELS is 1:1")+IF($G$12 = True, 2, 1) * $J178))/((N("difference in ELS+ and the cost of it")+(($K177*O$8)-($K177*N$8)) / O$7)),(N("MIN lets it return 0 or 1 after floored")+1)),1)</f>
        <v>0</v>
      </c>
      <c r="P178" s="798">
        <f t="shared" si="174"/>
        <v>0</v>
      </c>
      <c r="Q178" s="798">
        <f t="shared" si="174"/>
        <v>0</v>
      </c>
      <c r="R178" s="798">
        <f t="shared" si="174"/>
        <v>1</v>
      </c>
      <c r="S178" s="798">
        <f t="shared" si="174"/>
        <v>1</v>
      </c>
      <c r="T178" s="798">
        <f t="shared" si="174"/>
        <v>1</v>
      </c>
      <c r="U178" s="798">
        <f t="shared" si="174"/>
        <v>1</v>
      </c>
      <c r="V178" s="798">
        <f t="shared" si="174"/>
        <v>1</v>
      </c>
      <c r="W178" s="798">
        <f t="shared" si="174"/>
        <v>1</v>
      </c>
      <c r="X178" s="798">
        <f t="shared" si="174"/>
        <v>1</v>
      </c>
      <c r="Y178" s="798">
        <f t="shared" si="174"/>
        <v>1</v>
      </c>
      <c r="Z178" s="798">
        <f t="shared" si="174"/>
        <v>1</v>
      </c>
      <c r="AA178" s="798">
        <f t="shared" si="174"/>
        <v>1</v>
      </c>
      <c r="AB178" s="798">
        <f t="shared" si="174"/>
        <v>1</v>
      </c>
      <c r="AC178" s="798">
        <f t="shared" si="174"/>
        <v>1</v>
      </c>
      <c r="AD178" s="798">
        <f t="shared" si="174"/>
        <v>1</v>
      </c>
      <c r="AE178" s="798">
        <f t="shared" si="174"/>
        <v>1</v>
      </c>
      <c r="AF178" s="798">
        <f t="shared" si="174"/>
        <v>1</v>
      </c>
      <c r="AG178" s="798">
        <f t="shared" si="174"/>
        <v>1</v>
      </c>
      <c r="AH178" s="798">
        <f t="shared" si="174"/>
        <v>1</v>
      </c>
      <c r="AI178" s="798">
        <f t="shared" si="174"/>
        <v>1</v>
      </c>
      <c r="AJ178" s="798">
        <f t="shared" si="174"/>
        <v>1</v>
      </c>
      <c r="AK178" s="798">
        <f t="shared" si="174"/>
        <v>1</v>
      </c>
      <c r="AL178" s="798">
        <f t="shared" si="174"/>
        <v>1</v>
      </c>
      <c r="AM178" s="798">
        <f t="shared" si="174"/>
        <v>1</v>
      </c>
      <c r="AN178" s="798">
        <f t="shared" si="174"/>
        <v>1</v>
      </c>
      <c r="AO178" s="798">
        <f t="shared" si="174"/>
        <v>1</v>
      </c>
      <c r="AP178" s="798">
        <f t="shared" si="174"/>
        <v>1</v>
      </c>
      <c r="AQ178" s="798">
        <f t="shared" si="174"/>
        <v>1</v>
      </c>
      <c r="AR178" s="798">
        <f t="shared" si="174"/>
        <v>1</v>
      </c>
      <c r="AS178" s="798">
        <f t="shared" si="174"/>
        <v>1</v>
      </c>
      <c r="AT178" s="798">
        <f t="shared" si="174"/>
        <v>1</v>
      </c>
      <c r="AU178" s="798">
        <f t="shared" si="174"/>
        <v>1</v>
      </c>
      <c r="AV178" s="798">
        <f t="shared" si="174"/>
        <v>1</v>
      </c>
      <c r="AW178" s="798">
        <f t="shared" si="174"/>
        <v>1</v>
      </c>
      <c r="AX178" s="798">
        <f t="shared" si="174"/>
        <v>1</v>
      </c>
      <c r="AY178" s="798">
        <f t="shared" si="174"/>
        <v>1</v>
      </c>
      <c r="AZ178" s="798">
        <f t="shared" si="174"/>
        <v>1</v>
      </c>
      <c r="BA178" s="798">
        <f t="shared" si="174"/>
        <v>1</v>
      </c>
      <c r="BB178" s="798">
        <f t="shared" si="174"/>
        <v>1</v>
      </c>
      <c r="BC178" s="798">
        <f t="shared" si="174"/>
        <v>1</v>
      </c>
      <c r="BD178" s="798">
        <f t="shared" si="174"/>
        <v>1</v>
      </c>
      <c r="BE178" s="798">
        <f t="shared" si="174"/>
        <v>1</v>
      </c>
      <c r="BF178" s="798">
        <f t="shared" si="174"/>
        <v>1</v>
      </c>
      <c r="BG178" s="798">
        <f t="shared" si="174"/>
        <v>1</v>
      </c>
      <c r="BH178" s="798">
        <f t="shared" si="174"/>
        <v>1</v>
      </c>
      <c r="BI178" s="798">
        <f t="shared" si="174"/>
        <v>1</v>
      </c>
      <c r="BJ178" s="798">
        <f t="shared" si="174"/>
        <v>1</v>
      </c>
      <c r="BK178" s="798">
        <f t="shared" si="174"/>
        <v>1</v>
      </c>
      <c r="BL178" s="765"/>
      <c r="BM178" s="817"/>
      <c r="BN178" s="817"/>
    </row>
    <row r="179" hidden="1">
      <c r="A179" s="765"/>
      <c r="B179" s="765"/>
      <c r="C179" s="765"/>
      <c r="D179" s="765"/>
      <c r="E179" s="765"/>
      <c r="F179" s="765"/>
      <c r="G179" s="765"/>
      <c r="H179" s="765"/>
      <c r="I179" s="765">
        <f t="shared" si="17"/>
        <v>168</v>
      </c>
      <c r="J179" s="763">
        <f t="shared" si="5"/>
        <v>65663167975</v>
      </c>
      <c r="K179" s="796">
        <f t="shared" si="7"/>
        <v>0.31779</v>
      </c>
      <c r="L179" s="796">
        <v>5.0E-4</v>
      </c>
      <c r="M179" s="763">
        <v>7.48724834373402E10</v>
      </c>
      <c r="N179" s="797">
        <f t="shared" si="8"/>
        <v>0</v>
      </c>
      <c r="O179" s="798">
        <f t="shared" ref="O179:BK179" si="175">FLOOR(MIN((((N("value of ELS upgrade")+N$8*($K179-$K178))*(N("Check checkbox")+(IF($G$6=TRUE,$G$7,$G$8))/$G$8))/(N("ROI of ELS and multiply by 2 if ELS is 1:1")+IF($G$12 = True, 2, 1) * $J179))/((N("difference in ELS+ and the cost of it")+(($K178*O$8)-($K178*N$8)) / O$7)),(N("MIN lets it return 0 or 1 after floored")+1)),1)</f>
        <v>0</v>
      </c>
      <c r="P179" s="798">
        <f t="shared" si="175"/>
        <v>0</v>
      </c>
      <c r="Q179" s="798">
        <f t="shared" si="175"/>
        <v>0</v>
      </c>
      <c r="R179" s="798">
        <f t="shared" si="175"/>
        <v>1</v>
      </c>
      <c r="S179" s="798">
        <f t="shared" si="175"/>
        <v>1</v>
      </c>
      <c r="T179" s="798">
        <f t="shared" si="175"/>
        <v>1</v>
      </c>
      <c r="U179" s="798">
        <f t="shared" si="175"/>
        <v>1</v>
      </c>
      <c r="V179" s="798">
        <f t="shared" si="175"/>
        <v>1</v>
      </c>
      <c r="W179" s="798">
        <f t="shared" si="175"/>
        <v>1</v>
      </c>
      <c r="X179" s="798">
        <f t="shared" si="175"/>
        <v>1</v>
      </c>
      <c r="Y179" s="798">
        <f t="shared" si="175"/>
        <v>1</v>
      </c>
      <c r="Z179" s="798">
        <f t="shared" si="175"/>
        <v>1</v>
      </c>
      <c r="AA179" s="798">
        <f t="shared" si="175"/>
        <v>1</v>
      </c>
      <c r="AB179" s="798">
        <f t="shared" si="175"/>
        <v>1</v>
      </c>
      <c r="AC179" s="798">
        <f t="shared" si="175"/>
        <v>1</v>
      </c>
      <c r="AD179" s="798">
        <f t="shared" si="175"/>
        <v>1</v>
      </c>
      <c r="AE179" s="798">
        <f t="shared" si="175"/>
        <v>1</v>
      </c>
      <c r="AF179" s="798">
        <f t="shared" si="175"/>
        <v>1</v>
      </c>
      <c r="AG179" s="798">
        <f t="shared" si="175"/>
        <v>1</v>
      </c>
      <c r="AH179" s="798">
        <f t="shared" si="175"/>
        <v>1</v>
      </c>
      <c r="AI179" s="798">
        <f t="shared" si="175"/>
        <v>1</v>
      </c>
      <c r="AJ179" s="798">
        <f t="shared" si="175"/>
        <v>1</v>
      </c>
      <c r="AK179" s="798">
        <f t="shared" si="175"/>
        <v>1</v>
      </c>
      <c r="AL179" s="798">
        <f t="shared" si="175"/>
        <v>1</v>
      </c>
      <c r="AM179" s="798">
        <f t="shared" si="175"/>
        <v>1</v>
      </c>
      <c r="AN179" s="798">
        <f t="shared" si="175"/>
        <v>1</v>
      </c>
      <c r="AO179" s="798">
        <f t="shared" si="175"/>
        <v>1</v>
      </c>
      <c r="AP179" s="798">
        <f t="shared" si="175"/>
        <v>1</v>
      </c>
      <c r="AQ179" s="798">
        <f t="shared" si="175"/>
        <v>1</v>
      </c>
      <c r="AR179" s="798">
        <f t="shared" si="175"/>
        <v>1</v>
      </c>
      <c r="AS179" s="798">
        <f t="shared" si="175"/>
        <v>1</v>
      </c>
      <c r="AT179" s="798">
        <f t="shared" si="175"/>
        <v>1</v>
      </c>
      <c r="AU179" s="798">
        <f t="shared" si="175"/>
        <v>1</v>
      </c>
      <c r="AV179" s="798">
        <f t="shared" si="175"/>
        <v>1</v>
      </c>
      <c r="AW179" s="798">
        <f t="shared" si="175"/>
        <v>1</v>
      </c>
      <c r="AX179" s="798">
        <f t="shared" si="175"/>
        <v>1</v>
      </c>
      <c r="AY179" s="798">
        <f t="shared" si="175"/>
        <v>1</v>
      </c>
      <c r="AZ179" s="798">
        <f t="shared" si="175"/>
        <v>1</v>
      </c>
      <c r="BA179" s="798">
        <f t="shared" si="175"/>
        <v>1</v>
      </c>
      <c r="BB179" s="798">
        <f t="shared" si="175"/>
        <v>1</v>
      </c>
      <c r="BC179" s="798">
        <f t="shared" si="175"/>
        <v>1</v>
      </c>
      <c r="BD179" s="798">
        <f t="shared" si="175"/>
        <v>1</v>
      </c>
      <c r="BE179" s="798">
        <f t="shared" si="175"/>
        <v>1</v>
      </c>
      <c r="BF179" s="798">
        <f t="shared" si="175"/>
        <v>1</v>
      </c>
      <c r="BG179" s="798">
        <f t="shared" si="175"/>
        <v>1</v>
      </c>
      <c r="BH179" s="798">
        <f t="shared" si="175"/>
        <v>1</v>
      </c>
      <c r="BI179" s="798">
        <f t="shared" si="175"/>
        <v>1</v>
      </c>
      <c r="BJ179" s="798">
        <f t="shared" si="175"/>
        <v>1</v>
      </c>
      <c r="BK179" s="798">
        <f t="shared" si="175"/>
        <v>1</v>
      </c>
      <c r="BL179" s="765"/>
      <c r="BM179" s="817"/>
      <c r="BN179" s="817"/>
    </row>
    <row r="180" hidden="1">
      <c r="A180" s="765"/>
      <c r="B180" s="765"/>
      <c r="C180" s="765"/>
      <c r="D180" s="765"/>
      <c r="E180" s="765"/>
      <c r="F180" s="765"/>
      <c r="G180" s="765"/>
      <c r="H180" s="765"/>
      <c r="I180" s="765">
        <f t="shared" si="17"/>
        <v>169</v>
      </c>
      <c r="J180" s="763">
        <f t="shared" si="5"/>
        <v>66051923343</v>
      </c>
      <c r="K180" s="796">
        <f t="shared" si="7"/>
        <v>0.31829</v>
      </c>
      <c r="L180" s="796">
        <v>5.0E-4</v>
      </c>
      <c r="M180" s="763">
        <v>7.5315762078662E10</v>
      </c>
      <c r="N180" s="797">
        <f t="shared" si="8"/>
        <v>0</v>
      </c>
      <c r="O180" s="798">
        <f t="shared" ref="O180:BK180" si="176">FLOOR(MIN((((N("value of ELS upgrade")+N$8*($K180-$K179))*(N("Check checkbox")+(IF($G$6=TRUE,$G$7,$G$8))/$G$8))/(N("ROI of ELS and multiply by 2 if ELS is 1:1")+IF($G$12 = True, 2, 1) * $J180))/((N("difference in ELS+ and the cost of it")+(($K179*O$8)-($K179*N$8)) / O$7)),(N("MIN lets it return 0 or 1 after floored")+1)),1)</f>
        <v>0</v>
      </c>
      <c r="P180" s="798">
        <f t="shared" si="176"/>
        <v>0</v>
      </c>
      <c r="Q180" s="798">
        <f t="shared" si="176"/>
        <v>0</v>
      </c>
      <c r="R180" s="798">
        <f t="shared" si="176"/>
        <v>1</v>
      </c>
      <c r="S180" s="798">
        <f t="shared" si="176"/>
        <v>1</v>
      </c>
      <c r="T180" s="798">
        <f t="shared" si="176"/>
        <v>1</v>
      </c>
      <c r="U180" s="798">
        <f t="shared" si="176"/>
        <v>1</v>
      </c>
      <c r="V180" s="798">
        <f t="shared" si="176"/>
        <v>1</v>
      </c>
      <c r="W180" s="798">
        <f t="shared" si="176"/>
        <v>1</v>
      </c>
      <c r="X180" s="798">
        <f t="shared" si="176"/>
        <v>1</v>
      </c>
      <c r="Y180" s="798">
        <f t="shared" si="176"/>
        <v>1</v>
      </c>
      <c r="Z180" s="798">
        <f t="shared" si="176"/>
        <v>1</v>
      </c>
      <c r="AA180" s="798">
        <f t="shared" si="176"/>
        <v>1</v>
      </c>
      <c r="AB180" s="798">
        <f t="shared" si="176"/>
        <v>1</v>
      </c>
      <c r="AC180" s="798">
        <f t="shared" si="176"/>
        <v>1</v>
      </c>
      <c r="AD180" s="798">
        <f t="shared" si="176"/>
        <v>1</v>
      </c>
      <c r="AE180" s="798">
        <f t="shared" si="176"/>
        <v>1</v>
      </c>
      <c r="AF180" s="798">
        <f t="shared" si="176"/>
        <v>1</v>
      </c>
      <c r="AG180" s="798">
        <f t="shared" si="176"/>
        <v>1</v>
      </c>
      <c r="AH180" s="798">
        <f t="shared" si="176"/>
        <v>1</v>
      </c>
      <c r="AI180" s="798">
        <f t="shared" si="176"/>
        <v>1</v>
      </c>
      <c r="AJ180" s="798">
        <f t="shared" si="176"/>
        <v>1</v>
      </c>
      <c r="AK180" s="798">
        <f t="shared" si="176"/>
        <v>1</v>
      </c>
      <c r="AL180" s="798">
        <f t="shared" si="176"/>
        <v>1</v>
      </c>
      <c r="AM180" s="798">
        <f t="shared" si="176"/>
        <v>1</v>
      </c>
      <c r="AN180" s="798">
        <f t="shared" si="176"/>
        <v>1</v>
      </c>
      <c r="AO180" s="798">
        <f t="shared" si="176"/>
        <v>1</v>
      </c>
      <c r="AP180" s="798">
        <f t="shared" si="176"/>
        <v>1</v>
      </c>
      <c r="AQ180" s="798">
        <f t="shared" si="176"/>
        <v>1</v>
      </c>
      <c r="AR180" s="798">
        <f t="shared" si="176"/>
        <v>1</v>
      </c>
      <c r="AS180" s="798">
        <f t="shared" si="176"/>
        <v>1</v>
      </c>
      <c r="AT180" s="798">
        <f t="shared" si="176"/>
        <v>1</v>
      </c>
      <c r="AU180" s="798">
        <f t="shared" si="176"/>
        <v>1</v>
      </c>
      <c r="AV180" s="798">
        <f t="shared" si="176"/>
        <v>1</v>
      </c>
      <c r="AW180" s="798">
        <f t="shared" si="176"/>
        <v>1</v>
      </c>
      <c r="AX180" s="798">
        <f t="shared" si="176"/>
        <v>1</v>
      </c>
      <c r="AY180" s="798">
        <f t="shared" si="176"/>
        <v>1</v>
      </c>
      <c r="AZ180" s="798">
        <f t="shared" si="176"/>
        <v>1</v>
      </c>
      <c r="BA180" s="798">
        <f t="shared" si="176"/>
        <v>1</v>
      </c>
      <c r="BB180" s="798">
        <f t="shared" si="176"/>
        <v>1</v>
      </c>
      <c r="BC180" s="798">
        <f t="shared" si="176"/>
        <v>1</v>
      </c>
      <c r="BD180" s="798">
        <f t="shared" si="176"/>
        <v>1</v>
      </c>
      <c r="BE180" s="798">
        <f t="shared" si="176"/>
        <v>1</v>
      </c>
      <c r="BF180" s="798">
        <f t="shared" si="176"/>
        <v>1</v>
      </c>
      <c r="BG180" s="798">
        <f t="shared" si="176"/>
        <v>1</v>
      </c>
      <c r="BH180" s="798">
        <f t="shared" si="176"/>
        <v>1</v>
      </c>
      <c r="BI180" s="798">
        <f t="shared" si="176"/>
        <v>1</v>
      </c>
      <c r="BJ180" s="798">
        <f t="shared" si="176"/>
        <v>1</v>
      </c>
      <c r="BK180" s="798">
        <f t="shared" si="176"/>
        <v>1</v>
      </c>
      <c r="BL180" s="765"/>
      <c r="BM180" s="817"/>
      <c r="BN180" s="817"/>
    </row>
    <row r="181" hidden="1">
      <c r="A181" s="765"/>
      <c r="B181" s="765"/>
      <c r="C181" s="765"/>
      <c r="D181" s="765"/>
      <c r="E181" s="765"/>
      <c r="F181" s="765"/>
      <c r="G181" s="765"/>
      <c r="H181" s="765"/>
      <c r="I181" s="765">
        <f t="shared" si="17"/>
        <v>170</v>
      </c>
      <c r="J181" s="763">
        <f t="shared" si="5"/>
        <v>66441355672</v>
      </c>
      <c r="K181" s="796">
        <f t="shared" si="7"/>
        <v>0.31879</v>
      </c>
      <c r="L181" s="796">
        <v>5.0E-4</v>
      </c>
      <c r="M181" s="763">
        <v>7.5759812625418E10</v>
      </c>
      <c r="N181" s="797">
        <f t="shared" si="8"/>
        <v>0</v>
      </c>
      <c r="O181" s="798">
        <f t="shared" ref="O181:BK181" si="177">FLOOR(MIN((((N("value of ELS upgrade")+N$8*($K181-$K180))*(N("Check checkbox")+(IF($G$6=TRUE,$G$7,$G$8))/$G$8))/(N("ROI of ELS and multiply by 2 if ELS is 1:1")+IF($G$12 = True, 2, 1) * $J181))/((N("difference in ELS+ and the cost of it")+(($K180*O$8)-($K180*N$8)) / O$7)),(N("MIN lets it return 0 or 1 after floored")+1)),1)</f>
        <v>0</v>
      </c>
      <c r="P181" s="798">
        <f t="shared" si="177"/>
        <v>0</v>
      </c>
      <c r="Q181" s="798">
        <f t="shared" si="177"/>
        <v>0</v>
      </c>
      <c r="R181" s="798">
        <f t="shared" si="177"/>
        <v>1</v>
      </c>
      <c r="S181" s="798">
        <f t="shared" si="177"/>
        <v>1</v>
      </c>
      <c r="T181" s="798">
        <f t="shared" si="177"/>
        <v>1</v>
      </c>
      <c r="U181" s="798">
        <f t="shared" si="177"/>
        <v>1</v>
      </c>
      <c r="V181" s="798">
        <f t="shared" si="177"/>
        <v>1</v>
      </c>
      <c r="W181" s="798">
        <f t="shared" si="177"/>
        <v>1</v>
      </c>
      <c r="X181" s="798">
        <f t="shared" si="177"/>
        <v>1</v>
      </c>
      <c r="Y181" s="798">
        <f t="shared" si="177"/>
        <v>1</v>
      </c>
      <c r="Z181" s="798">
        <f t="shared" si="177"/>
        <v>1</v>
      </c>
      <c r="AA181" s="798">
        <f t="shared" si="177"/>
        <v>1</v>
      </c>
      <c r="AB181" s="798">
        <f t="shared" si="177"/>
        <v>1</v>
      </c>
      <c r="AC181" s="798">
        <f t="shared" si="177"/>
        <v>1</v>
      </c>
      <c r="AD181" s="798">
        <f t="shared" si="177"/>
        <v>1</v>
      </c>
      <c r="AE181" s="798">
        <f t="shared" si="177"/>
        <v>1</v>
      </c>
      <c r="AF181" s="798">
        <f t="shared" si="177"/>
        <v>1</v>
      </c>
      <c r="AG181" s="798">
        <f t="shared" si="177"/>
        <v>1</v>
      </c>
      <c r="AH181" s="798">
        <f t="shared" si="177"/>
        <v>1</v>
      </c>
      <c r="AI181" s="798">
        <f t="shared" si="177"/>
        <v>1</v>
      </c>
      <c r="AJ181" s="798">
        <f t="shared" si="177"/>
        <v>1</v>
      </c>
      <c r="AK181" s="798">
        <f t="shared" si="177"/>
        <v>1</v>
      </c>
      <c r="AL181" s="798">
        <f t="shared" si="177"/>
        <v>1</v>
      </c>
      <c r="AM181" s="798">
        <f t="shared" si="177"/>
        <v>1</v>
      </c>
      <c r="AN181" s="798">
        <f t="shared" si="177"/>
        <v>1</v>
      </c>
      <c r="AO181" s="798">
        <f t="shared" si="177"/>
        <v>1</v>
      </c>
      <c r="AP181" s="798">
        <f t="shared" si="177"/>
        <v>1</v>
      </c>
      <c r="AQ181" s="798">
        <f t="shared" si="177"/>
        <v>1</v>
      </c>
      <c r="AR181" s="798">
        <f t="shared" si="177"/>
        <v>1</v>
      </c>
      <c r="AS181" s="798">
        <f t="shared" si="177"/>
        <v>1</v>
      </c>
      <c r="AT181" s="798">
        <f t="shared" si="177"/>
        <v>1</v>
      </c>
      <c r="AU181" s="798">
        <f t="shared" si="177"/>
        <v>1</v>
      </c>
      <c r="AV181" s="798">
        <f t="shared" si="177"/>
        <v>1</v>
      </c>
      <c r="AW181" s="798">
        <f t="shared" si="177"/>
        <v>1</v>
      </c>
      <c r="AX181" s="798">
        <f t="shared" si="177"/>
        <v>1</v>
      </c>
      <c r="AY181" s="798">
        <f t="shared" si="177"/>
        <v>1</v>
      </c>
      <c r="AZ181" s="798">
        <f t="shared" si="177"/>
        <v>1</v>
      </c>
      <c r="BA181" s="798">
        <f t="shared" si="177"/>
        <v>1</v>
      </c>
      <c r="BB181" s="798">
        <f t="shared" si="177"/>
        <v>1</v>
      </c>
      <c r="BC181" s="798">
        <f t="shared" si="177"/>
        <v>1</v>
      </c>
      <c r="BD181" s="798">
        <f t="shared" si="177"/>
        <v>1</v>
      </c>
      <c r="BE181" s="798">
        <f t="shared" si="177"/>
        <v>1</v>
      </c>
      <c r="BF181" s="798">
        <f t="shared" si="177"/>
        <v>1</v>
      </c>
      <c r="BG181" s="798">
        <f t="shared" si="177"/>
        <v>1</v>
      </c>
      <c r="BH181" s="798">
        <f t="shared" si="177"/>
        <v>1</v>
      </c>
      <c r="BI181" s="798">
        <f t="shared" si="177"/>
        <v>1</v>
      </c>
      <c r="BJ181" s="798">
        <f t="shared" si="177"/>
        <v>1</v>
      </c>
      <c r="BK181" s="798">
        <f t="shared" si="177"/>
        <v>1</v>
      </c>
      <c r="BL181" s="765"/>
      <c r="BM181" s="817"/>
      <c r="BN181" s="817"/>
    </row>
    <row r="182" hidden="1">
      <c r="A182" s="765"/>
      <c r="B182" s="765"/>
      <c r="C182" s="765"/>
      <c r="D182" s="765"/>
      <c r="E182" s="765"/>
      <c r="F182" s="765"/>
      <c r="G182" s="765"/>
      <c r="H182" s="765"/>
      <c r="I182" s="765">
        <f t="shared" si="17"/>
        <v>171</v>
      </c>
      <c r="J182" s="763">
        <f t="shared" si="5"/>
        <v>66831470585</v>
      </c>
      <c r="K182" s="796">
        <f t="shared" si="7"/>
        <v>0.31929</v>
      </c>
      <c r="L182" s="796">
        <v>5.0E-4</v>
      </c>
      <c r="M182" s="763">
        <v>7.62046414874924E10</v>
      </c>
      <c r="N182" s="797">
        <f t="shared" si="8"/>
        <v>0</v>
      </c>
      <c r="O182" s="798">
        <f t="shared" ref="O182:BK182" si="178">FLOOR(MIN((((N("value of ELS upgrade")+N$8*($K182-$K181))*(N("Check checkbox")+(IF($G$6=TRUE,$G$7,$G$8))/$G$8))/(N("ROI of ELS and multiply by 2 if ELS is 1:1")+IF($G$12 = True, 2, 1) * $J182))/((N("difference in ELS+ and the cost of it")+(($K181*O$8)-($K181*N$8)) / O$7)),(N("MIN lets it return 0 or 1 after floored")+1)),1)</f>
        <v>0</v>
      </c>
      <c r="P182" s="798">
        <f t="shared" si="178"/>
        <v>0</v>
      </c>
      <c r="Q182" s="798">
        <f t="shared" si="178"/>
        <v>0</v>
      </c>
      <c r="R182" s="798">
        <f t="shared" si="178"/>
        <v>1</v>
      </c>
      <c r="S182" s="798">
        <f t="shared" si="178"/>
        <v>1</v>
      </c>
      <c r="T182" s="798">
        <f t="shared" si="178"/>
        <v>1</v>
      </c>
      <c r="U182" s="798">
        <f t="shared" si="178"/>
        <v>1</v>
      </c>
      <c r="V182" s="798">
        <f t="shared" si="178"/>
        <v>1</v>
      </c>
      <c r="W182" s="798">
        <f t="shared" si="178"/>
        <v>1</v>
      </c>
      <c r="X182" s="798">
        <f t="shared" si="178"/>
        <v>1</v>
      </c>
      <c r="Y182" s="798">
        <f t="shared" si="178"/>
        <v>1</v>
      </c>
      <c r="Z182" s="798">
        <f t="shared" si="178"/>
        <v>1</v>
      </c>
      <c r="AA182" s="798">
        <f t="shared" si="178"/>
        <v>1</v>
      </c>
      <c r="AB182" s="798">
        <f t="shared" si="178"/>
        <v>1</v>
      </c>
      <c r="AC182" s="798">
        <f t="shared" si="178"/>
        <v>1</v>
      </c>
      <c r="AD182" s="798">
        <f t="shared" si="178"/>
        <v>1</v>
      </c>
      <c r="AE182" s="798">
        <f t="shared" si="178"/>
        <v>1</v>
      </c>
      <c r="AF182" s="798">
        <f t="shared" si="178"/>
        <v>1</v>
      </c>
      <c r="AG182" s="798">
        <f t="shared" si="178"/>
        <v>1</v>
      </c>
      <c r="AH182" s="798">
        <f t="shared" si="178"/>
        <v>1</v>
      </c>
      <c r="AI182" s="798">
        <f t="shared" si="178"/>
        <v>1</v>
      </c>
      <c r="AJ182" s="798">
        <f t="shared" si="178"/>
        <v>1</v>
      </c>
      <c r="AK182" s="798">
        <f t="shared" si="178"/>
        <v>1</v>
      </c>
      <c r="AL182" s="798">
        <f t="shared" si="178"/>
        <v>1</v>
      </c>
      <c r="AM182" s="798">
        <f t="shared" si="178"/>
        <v>1</v>
      </c>
      <c r="AN182" s="798">
        <f t="shared" si="178"/>
        <v>1</v>
      </c>
      <c r="AO182" s="798">
        <f t="shared" si="178"/>
        <v>1</v>
      </c>
      <c r="AP182" s="798">
        <f t="shared" si="178"/>
        <v>1</v>
      </c>
      <c r="AQ182" s="798">
        <f t="shared" si="178"/>
        <v>1</v>
      </c>
      <c r="AR182" s="798">
        <f t="shared" si="178"/>
        <v>1</v>
      </c>
      <c r="AS182" s="798">
        <f t="shared" si="178"/>
        <v>1</v>
      </c>
      <c r="AT182" s="798">
        <f t="shared" si="178"/>
        <v>1</v>
      </c>
      <c r="AU182" s="798">
        <f t="shared" si="178"/>
        <v>1</v>
      </c>
      <c r="AV182" s="798">
        <f t="shared" si="178"/>
        <v>1</v>
      </c>
      <c r="AW182" s="798">
        <f t="shared" si="178"/>
        <v>1</v>
      </c>
      <c r="AX182" s="798">
        <f t="shared" si="178"/>
        <v>1</v>
      </c>
      <c r="AY182" s="798">
        <f t="shared" si="178"/>
        <v>1</v>
      </c>
      <c r="AZ182" s="798">
        <f t="shared" si="178"/>
        <v>1</v>
      </c>
      <c r="BA182" s="798">
        <f t="shared" si="178"/>
        <v>1</v>
      </c>
      <c r="BB182" s="798">
        <f t="shared" si="178"/>
        <v>1</v>
      </c>
      <c r="BC182" s="798">
        <f t="shared" si="178"/>
        <v>1</v>
      </c>
      <c r="BD182" s="798">
        <f t="shared" si="178"/>
        <v>1</v>
      </c>
      <c r="BE182" s="798">
        <f t="shared" si="178"/>
        <v>1</v>
      </c>
      <c r="BF182" s="798">
        <f t="shared" si="178"/>
        <v>1</v>
      </c>
      <c r="BG182" s="798">
        <f t="shared" si="178"/>
        <v>1</v>
      </c>
      <c r="BH182" s="798">
        <f t="shared" si="178"/>
        <v>1</v>
      </c>
      <c r="BI182" s="798">
        <f t="shared" si="178"/>
        <v>1</v>
      </c>
      <c r="BJ182" s="798">
        <f t="shared" si="178"/>
        <v>1</v>
      </c>
      <c r="BK182" s="798">
        <f t="shared" si="178"/>
        <v>1</v>
      </c>
      <c r="BL182" s="765"/>
      <c r="BM182" s="817"/>
      <c r="BN182" s="817"/>
    </row>
    <row r="183" hidden="1">
      <c r="A183" s="765"/>
      <c r="B183" s="765"/>
      <c r="C183" s="765"/>
      <c r="D183" s="765"/>
      <c r="E183" s="765"/>
      <c r="F183" s="765"/>
      <c r="G183" s="765"/>
      <c r="H183" s="765"/>
      <c r="I183" s="765">
        <f t="shared" si="17"/>
        <v>172</v>
      </c>
      <c r="J183" s="763">
        <f t="shared" si="5"/>
        <v>67222273360</v>
      </c>
      <c r="K183" s="796">
        <f t="shared" si="7"/>
        <v>0.31979</v>
      </c>
      <c r="L183" s="796">
        <v>5.0E-4</v>
      </c>
      <c r="M183" s="763">
        <v>7.66502546862914E10</v>
      </c>
      <c r="N183" s="797">
        <f t="shared" si="8"/>
        <v>0</v>
      </c>
      <c r="O183" s="798">
        <f t="shared" ref="O183:BK183" si="179">FLOOR(MIN((((N("value of ELS upgrade")+N$8*($K183-$K182))*(N("Check checkbox")+(IF($G$6=TRUE,$G$7,$G$8))/$G$8))/(N("ROI of ELS and multiply by 2 if ELS is 1:1")+IF($G$12 = True, 2, 1) * $J183))/((N("difference in ELS+ and the cost of it")+(($K182*O$8)-($K182*N$8)) / O$7)),(N("MIN lets it return 0 or 1 after floored")+1)),1)</f>
        <v>0</v>
      </c>
      <c r="P183" s="798">
        <f t="shared" si="179"/>
        <v>0</v>
      </c>
      <c r="Q183" s="798">
        <f t="shared" si="179"/>
        <v>0</v>
      </c>
      <c r="R183" s="798">
        <f t="shared" si="179"/>
        <v>1</v>
      </c>
      <c r="S183" s="798">
        <f t="shared" si="179"/>
        <v>1</v>
      </c>
      <c r="T183" s="798">
        <f t="shared" si="179"/>
        <v>1</v>
      </c>
      <c r="U183" s="798">
        <f t="shared" si="179"/>
        <v>1</v>
      </c>
      <c r="V183" s="798">
        <f t="shared" si="179"/>
        <v>1</v>
      </c>
      <c r="W183" s="798">
        <f t="shared" si="179"/>
        <v>1</v>
      </c>
      <c r="X183" s="798">
        <f t="shared" si="179"/>
        <v>1</v>
      </c>
      <c r="Y183" s="798">
        <f t="shared" si="179"/>
        <v>1</v>
      </c>
      <c r="Z183" s="798">
        <f t="shared" si="179"/>
        <v>1</v>
      </c>
      <c r="AA183" s="798">
        <f t="shared" si="179"/>
        <v>1</v>
      </c>
      <c r="AB183" s="798">
        <f t="shared" si="179"/>
        <v>1</v>
      </c>
      <c r="AC183" s="798">
        <f t="shared" si="179"/>
        <v>1</v>
      </c>
      <c r="AD183" s="798">
        <f t="shared" si="179"/>
        <v>1</v>
      </c>
      <c r="AE183" s="798">
        <f t="shared" si="179"/>
        <v>1</v>
      </c>
      <c r="AF183" s="798">
        <f t="shared" si="179"/>
        <v>1</v>
      </c>
      <c r="AG183" s="798">
        <f t="shared" si="179"/>
        <v>1</v>
      </c>
      <c r="AH183" s="798">
        <f t="shared" si="179"/>
        <v>1</v>
      </c>
      <c r="AI183" s="798">
        <f t="shared" si="179"/>
        <v>1</v>
      </c>
      <c r="AJ183" s="798">
        <f t="shared" si="179"/>
        <v>1</v>
      </c>
      <c r="AK183" s="798">
        <f t="shared" si="179"/>
        <v>1</v>
      </c>
      <c r="AL183" s="798">
        <f t="shared" si="179"/>
        <v>1</v>
      </c>
      <c r="AM183" s="798">
        <f t="shared" si="179"/>
        <v>1</v>
      </c>
      <c r="AN183" s="798">
        <f t="shared" si="179"/>
        <v>1</v>
      </c>
      <c r="AO183" s="798">
        <f t="shared" si="179"/>
        <v>1</v>
      </c>
      <c r="AP183" s="798">
        <f t="shared" si="179"/>
        <v>1</v>
      </c>
      <c r="AQ183" s="798">
        <f t="shared" si="179"/>
        <v>1</v>
      </c>
      <c r="AR183" s="798">
        <f t="shared" si="179"/>
        <v>1</v>
      </c>
      <c r="AS183" s="798">
        <f t="shared" si="179"/>
        <v>1</v>
      </c>
      <c r="AT183" s="798">
        <f t="shared" si="179"/>
        <v>1</v>
      </c>
      <c r="AU183" s="798">
        <f t="shared" si="179"/>
        <v>1</v>
      </c>
      <c r="AV183" s="798">
        <f t="shared" si="179"/>
        <v>1</v>
      </c>
      <c r="AW183" s="798">
        <f t="shared" si="179"/>
        <v>1</v>
      </c>
      <c r="AX183" s="798">
        <f t="shared" si="179"/>
        <v>1</v>
      </c>
      <c r="AY183" s="798">
        <f t="shared" si="179"/>
        <v>1</v>
      </c>
      <c r="AZ183" s="798">
        <f t="shared" si="179"/>
        <v>1</v>
      </c>
      <c r="BA183" s="798">
        <f t="shared" si="179"/>
        <v>1</v>
      </c>
      <c r="BB183" s="798">
        <f t="shared" si="179"/>
        <v>1</v>
      </c>
      <c r="BC183" s="798">
        <f t="shared" si="179"/>
        <v>1</v>
      </c>
      <c r="BD183" s="798">
        <f t="shared" si="179"/>
        <v>1</v>
      </c>
      <c r="BE183" s="798">
        <f t="shared" si="179"/>
        <v>1</v>
      </c>
      <c r="BF183" s="798">
        <f t="shared" si="179"/>
        <v>1</v>
      </c>
      <c r="BG183" s="798">
        <f t="shared" si="179"/>
        <v>1</v>
      </c>
      <c r="BH183" s="798">
        <f t="shared" si="179"/>
        <v>1</v>
      </c>
      <c r="BI183" s="798">
        <f t="shared" si="179"/>
        <v>1</v>
      </c>
      <c r="BJ183" s="798">
        <f t="shared" si="179"/>
        <v>1</v>
      </c>
      <c r="BK183" s="798">
        <f t="shared" si="179"/>
        <v>1</v>
      </c>
      <c r="BL183" s="765"/>
      <c r="BM183" s="817"/>
      <c r="BN183" s="817"/>
    </row>
    <row r="184" hidden="1">
      <c r="A184" s="765"/>
      <c r="B184" s="765"/>
      <c r="C184" s="765"/>
      <c r="D184" s="765"/>
      <c r="E184" s="765"/>
      <c r="F184" s="765"/>
      <c r="G184" s="765"/>
      <c r="H184" s="765"/>
      <c r="I184" s="765">
        <f t="shared" si="17"/>
        <v>173</v>
      </c>
      <c r="J184" s="763">
        <f t="shared" si="5"/>
        <v>67613769620</v>
      </c>
      <c r="K184" s="796">
        <f t="shared" si="7"/>
        <v>0.32029</v>
      </c>
      <c r="L184" s="796">
        <v>5.0E-4</v>
      </c>
      <c r="M184" s="763">
        <v>7.7096658631699E10</v>
      </c>
      <c r="N184" s="797">
        <f t="shared" si="8"/>
        <v>0</v>
      </c>
      <c r="O184" s="798">
        <f t="shared" ref="O184:BK184" si="180">FLOOR(MIN((((N("value of ELS upgrade")+N$8*($K184-$K183))*(N("Check checkbox")+(IF($G$6=TRUE,$G$7,$G$8))/$G$8))/(N("ROI of ELS and multiply by 2 if ELS is 1:1")+IF($G$12 = True, 2, 1) * $J184))/((N("difference in ELS+ and the cost of it")+(($K183*O$8)-($K183*N$8)) / O$7)),(N("MIN lets it return 0 or 1 after floored")+1)),1)</f>
        <v>0</v>
      </c>
      <c r="P184" s="798">
        <f t="shared" si="180"/>
        <v>0</v>
      </c>
      <c r="Q184" s="798">
        <f t="shared" si="180"/>
        <v>0</v>
      </c>
      <c r="R184" s="798">
        <f t="shared" si="180"/>
        <v>1</v>
      </c>
      <c r="S184" s="798">
        <f t="shared" si="180"/>
        <v>1</v>
      </c>
      <c r="T184" s="798">
        <f t="shared" si="180"/>
        <v>1</v>
      </c>
      <c r="U184" s="798">
        <f t="shared" si="180"/>
        <v>1</v>
      </c>
      <c r="V184" s="798">
        <f t="shared" si="180"/>
        <v>1</v>
      </c>
      <c r="W184" s="798">
        <f t="shared" si="180"/>
        <v>1</v>
      </c>
      <c r="X184" s="798">
        <f t="shared" si="180"/>
        <v>1</v>
      </c>
      <c r="Y184" s="798">
        <f t="shared" si="180"/>
        <v>1</v>
      </c>
      <c r="Z184" s="798">
        <f t="shared" si="180"/>
        <v>1</v>
      </c>
      <c r="AA184" s="798">
        <f t="shared" si="180"/>
        <v>1</v>
      </c>
      <c r="AB184" s="798">
        <f t="shared" si="180"/>
        <v>1</v>
      </c>
      <c r="AC184" s="798">
        <f t="shared" si="180"/>
        <v>1</v>
      </c>
      <c r="AD184" s="798">
        <f t="shared" si="180"/>
        <v>1</v>
      </c>
      <c r="AE184" s="798">
        <f t="shared" si="180"/>
        <v>1</v>
      </c>
      <c r="AF184" s="798">
        <f t="shared" si="180"/>
        <v>1</v>
      </c>
      <c r="AG184" s="798">
        <f t="shared" si="180"/>
        <v>1</v>
      </c>
      <c r="AH184" s="798">
        <f t="shared" si="180"/>
        <v>1</v>
      </c>
      <c r="AI184" s="798">
        <f t="shared" si="180"/>
        <v>1</v>
      </c>
      <c r="AJ184" s="798">
        <f t="shared" si="180"/>
        <v>1</v>
      </c>
      <c r="AK184" s="798">
        <f t="shared" si="180"/>
        <v>1</v>
      </c>
      <c r="AL184" s="798">
        <f t="shared" si="180"/>
        <v>1</v>
      </c>
      <c r="AM184" s="798">
        <f t="shared" si="180"/>
        <v>1</v>
      </c>
      <c r="AN184" s="798">
        <f t="shared" si="180"/>
        <v>1</v>
      </c>
      <c r="AO184" s="798">
        <f t="shared" si="180"/>
        <v>1</v>
      </c>
      <c r="AP184" s="798">
        <f t="shared" si="180"/>
        <v>1</v>
      </c>
      <c r="AQ184" s="798">
        <f t="shared" si="180"/>
        <v>1</v>
      </c>
      <c r="AR184" s="798">
        <f t="shared" si="180"/>
        <v>1</v>
      </c>
      <c r="AS184" s="798">
        <f t="shared" si="180"/>
        <v>1</v>
      </c>
      <c r="AT184" s="798">
        <f t="shared" si="180"/>
        <v>1</v>
      </c>
      <c r="AU184" s="798">
        <f t="shared" si="180"/>
        <v>1</v>
      </c>
      <c r="AV184" s="798">
        <f t="shared" si="180"/>
        <v>1</v>
      </c>
      <c r="AW184" s="798">
        <f t="shared" si="180"/>
        <v>1</v>
      </c>
      <c r="AX184" s="798">
        <f t="shared" si="180"/>
        <v>1</v>
      </c>
      <c r="AY184" s="798">
        <f t="shared" si="180"/>
        <v>1</v>
      </c>
      <c r="AZ184" s="798">
        <f t="shared" si="180"/>
        <v>1</v>
      </c>
      <c r="BA184" s="798">
        <f t="shared" si="180"/>
        <v>1</v>
      </c>
      <c r="BB184" s="798">
        <f t="shared" si="180"/>
        <v>1</v>
      </c>
      <c r="BC184" s="798">
        <f t="shared" si="180"/>
        <v>1</v>
      </c>
      <c r="BD184" s="798">
        <f t="shared" si="180"/>
        <v>1</v>
      </c>
      <c r="BE184" s="798">
        <f t="shared" si="180"/>
        <v>1</v>
      </c>
      <c r="BF184" s="798">
        <f t="shared" si="180"/>
        <v>1</v>
      </c>
      <c r="BG184" s="798">
        <f t="shared" si="180"/>
        <v>1</v>
      </c>
      <c r="BH184" s="798">
        <f t="shared" si="180"/>
        <v>1</v>
      </c>
      <c r="BI184" s="798">
        <f t="shared" si="180"/>
        <v>1</v>
      </c>
      <c r="BJ184" s="798">
        <f t="shared" si="180"/>
        <v>1</v>
      </c>
      <c r="BK184" s="798">
        <f t="shared" si="180"/>
        <v>1</v>
      </c>
      <c r="BL184" s="765"/>
      <c r="BM184" s="817"/>
      <c r="BN184" s="817"/>
    </row>
    <row r="185" hidden="1">
      <c r="A185" s="765"/>
      <c r="B185" s="765"/>
      <c r="C185" s="765"/>
      <c r="D185" s="765"/>
      <c r="E185" s="765"/>
      <c r="F185" s="765"/>
      <c r="G185" s="765"/>
      <c r="H185" s="765"/>
      <c r="I185" s="765">
        <f t="shared" si="17"/>
        <v>174</v>
      </c>
      <c r="J185" s="763">
        <f t="shared" si="5"/>
        <v>68005964646</v>
      </c>
      <c r="K185" s="796">
        <f t="shared" si="7"/>
        <v>0.32079</v>
      </c>
      <c r="L185" s="796">
        <v>5.0E-4</v>
      </c>
      <c r="M185" s="763">
        <v>7.75438593451216E10</v>
      </c>
      <c r="N185" s="797">
        <f t="shared" si="8"/>
        <v>0</v>
      </c>
      <c r="O185" s="798">
        <f t="shared" ref="O185:BK185" si="181">FLOOR(MIN((((N("value of ELS upgrade")+N$8*($K185-$K184))*(N("Check checkbox")+(IF($G$6=TRUE,$G$7,$G$8))/$G$8))/(N("ROI of ELS and multiply by 2 if ELS is 1:1")+IF($G$12 = True, 2, 1) * $J185))/((N("difference in ELS+ and the cost of it")+(($K184*O$8)-($K184*N$8)) / O$7)),(N("MIN lets it return 0 or 1 after floored")+1)),1)</f>
        <v>0</v>
      </c>
      <c r="P185" s="798">
        <f t="shared" si="181"/>
        <v>0</v>
      </c>
      <c r="Q185" s="798">
        <f t="shared" si="181"/>
        <v>0</v>
      </c>
      <c r="R185" s="798">
        <f t="shared" si="181"/>
        <v>1</v>
      </c>
      <c r="S185" s="798">
        <f t="shared" si="181"/>
        <v>1</v>
      </c>
      <c r="T185" s="798">
        <f t="shared" si="181"/>
        <v>1</v>
      </c>
      <c r="U185" s="798">
        <f t="shared" si="181"/>
        <v>1</v>
      </c>
      <c r="V185" s="798">
        <f t="shared" si="181"/>
        <v>1</v>
      </c>
      <c r="W185" s="798">
        <f t="shared" si="181"/>
        <v>1</v>
      </c>
      <c r="X185" s="798">
        <f t="shared" si="181"/>
        <v>1</v>
      </c>
      <c r="Y185" s="798">
        <f t="shared" si="181"/>
        <v>1</v>
      </c>
      <c r="Z185" s="798">
        <f t="shared" si="181"/>
        <v>1</v>
      </c>
      <c r="AA185" s="798">
        <f t="shared" si="181"/>
        <v>1</v>
      </c>
      <c r="AB185" s="798">
        <f t="shared" si="181"/>
        <v>1</v>
      </c>
      <c r="AC185" s="798">
        <f t="shared" si="181"/>
        <v>1</v>
      </c>
      <c r="AD185" s="798">
        <f t="shared" si="181"/>
        <v>1</v>
      </c>
      <c r="AE185" s="798">
        <f t="shared" si="181"/>
        <v>1</v>
      </c>
      <c r="AF185" s="798">
        <f t="shared" si="181"/>
        <v>1</v>
      </c>
      <c r="AG185" s="798">
        <f t="shared" si="181"/>
        <v>1</v>
      </c>
      <c r="AH185" s="798">
        <f t="shared" si="181"/>
        <v>1</v>
      </c>
      <c r="AI185" s="798">
        <f t="shared" si="181"/>
        <v>1</v>
      </c>
      <c r="AJ185" s="798">
        <f t="shared" si="181"/>
        <v>1</v>
      </c>
      <c r="AK185" s="798">
        <f t="shared" si="181"/>
        <v>1</v>
      </c>
      <c r="AL185" s="798">
        <f t="shared" si="181"/>
        <v>1</v>
      </c>
      <c r="AM185" s="798">
        <f t="shared" si="181"/>
        <v>1</v>
      </c>
      <c r="AN185" s="798">
        <f t="shared" si="181"/>
        <v>1</v>
      </c>
      <c r="AO185" s="798">
        <f t="shared" si="181"/>
        <v>1</v>
      </c>
      <c r="AP185" s="798">
        <f t="shared" si="181"/>
        <v>1</v>
      </c>
      <c r="AQ185" s="798">
        <f t="shared" si="181"/>
        <v>1</v>
      </c>
      <c r="AR185" s="798">
        <f t="shared" si="181"/>
        <v>1</v>
      </c>
      <c r="AS185" s="798">
        <f t="shared" si="181"/>
        <v>1</v>
      </c>
      <c r="AT185" s="798">
        <f t="shared" si="181"/>
        <v>1</v>
      </c>
      <c r="AU185" s="798">
        <f t="shared" si="181"/>
        <v>1</v>
      </c>
      <c r="AV185" s="798">
        <f t="shared" si="181"/>
        <v>1</v>
      </c>
      <c r="AW185" s="798">
        <f t="shared" si="181"/>
        <v>1</v>
      </c>
      <c r="AX185" s="798">
        <f t="shared" si="181"/>
        <v>1</v>
      </c>
      <c r="AY185" s="798">
        <f t="shared" si="181"/>
        <v>1</v>
      </c>
      <c r="AZ185" s="798">
        <f t="shared" si="181"/>
        <v>1</v>
      </c>
      <c r="BA185" s="798">
        <f t="shared" si="181"/>
        <v>1</v>
      </c>
      <c r="BB185" s="798">
        <f t="shared" si="181"/>
        <v>1</v>
      </c>
      <c r="BC185" s="798">
        <f t="shared" si="181"/>
        <v>1</v>
      </c>
      <c r="BD185" s="798">
        <f t="shared" si="181"/>
        <v>1</v>
      </c>
      <c r="BE185" s="798">
        <f t="shared" si="181"/>
        <v>1</v>
      </c>
      <c r="BF185" s="798">
        <f t="shared" si="181"/>
        <v>1</v>
      </c>
      <c r="BG185" s="798">
        <f t="shared" si="181"/>
        <v>1</v>
      </c>
      <c r="BH185" s="798">
        <f t="shared" si="181"/>
        <v>1</v>
      </c>
      <c r="BI185" s="798">
        <f t="shared" si="181"/>
        <v>1</v>
      </c>
      <c r="BJ185" s="798">
        <f t="shared" si="181"/>
        <v>1</v>
      </c>
      <c r="BK185" s="798">
        <f t="shared" si="181"/>
        <v>1</v>
      </c>
      <c r="BL185" s="765"/>
      <c r="BM185" s="817"/>
      <c r="BN185" s="817"/>
    </row>
    <row r="186" hidden="1">
      <c r="A186" s="765"/>
      <c r="B186" s="765"/>
      <c r="C186" s="765"/>
      <c r="D186" s="765"/>
      <c r="E186" s="765"/>
      <c r="F186" s="765"/>
      <c r="G186" s="765"/>
      <c r="H186" s="765"/>
      <c r="I186" s="765">
        <f t="shared" si="17"/>
        <v>175</v>
      </c>
      <c r="J186" s="763">
        <f t="shared" si="5"/>
        <v>68398863888</v>
      </c>
      <c r="K186" s="796">
        <f t="shared" si="7"/>
        <v>0.32129</v>
      </c>
      <c r="L186" s="796">
        <v>5.0E-4</v>
      </c>
      <c r="M186" s="763">
        <v>7.79918630422043E10</v>
      </c>
      <c r="N186" s="797">
        <f t="shared" si="8"/>
        <v>0</v>
      </c>
      <c r="O186" s="798">
        <f t="shared" ref="O186:BK186" si="182">FLOOR(MIN((((N("value of ELS upgrade")+N$8*($K186-$K185))*(N("Check checkbox")+(IF($G$6=TRUE,$G$7,$G$8))/$G$8))/(N("ROI of ELS and multiply by 2 if ELS is 1:1")+IF($G$12 = True, 2, 1) * $J186))/((N("difference in ELS+ and the cost of it")+(($K185*O$8)-($K185*N$8)) / O$7)),(N("MIN lets it return 0 or 1 after floored")+1)),1)</f>
        <v>0</v>
      </c>
      <c r="P186" s="798">
        <f t="shared" si="182"/>
        <v>0</v>
      </c>
      <c r="Q186" s="798">
        <f t="shared" si="182"/>
        <v>0</v>
      </c>
      <c r="R186" s="798">
        <f t="shared" si="182"/>
        <v>1</v>
      </c>
      <c r="S186" s="798">
        <f t="shared" si="182"/>
        <v>1</v>
      </c>
      <c r="T186" s="798">
        <f t="shared" si="182"/>
        <v>1</v>
      </c>
      <c r="U186" s="798">
        <f t="shared" si="182"/>
        <v>1</v>
      </c>
      <c r="V186" s="798">
        <f t="shared" si="182"/>
        <v>1</v>
      </c>
      <c r="W186" s="798">
        <f t="shared" si="182"/>
        <v>1</v>
      </c>
      <c r="X186" s="798">
        <f t="shared" si="182"/>
        <v>1</v>
      </c>
      <c r="Y186" s="798">
        <f t="shared" si="182"/>
        <v>1</v>
      </c>
      <c r="Z186" s="798">
        <f t="shared" si="182"/>
        <v>1</v>
      </c>
      <c r="AA186" s="798">
        <f t="shared" si="182"/>
        <v>1</v>
      </c>
      <c r="AB186" s="798">
        <f t="shared" si="182"/>
        <v>1</v>
      </c>
      <c r="AC186" s="798">
        <f t="shared" si="182"/>
        <v>1</v>
      </c>
      <c r="AD186" s="798">
        <f t="shared" si="182"/>
        <v>1</v>
      </c>
      <c r="AE186" s="798">
        <f t="shared" si="182"/>
        <v>1</v>
      </c>
      <c r="AF186" s="798">
        <f t="shared" si="182"/>
        <v>1</v>
      </c>
      <c r="AG186" s="798">
        <f t="shared" si="182"/>
        <v>1</v>
      </c>
      <c r="AH186" s="798">
        <f t="shared" si="182"/>
        <v>1</v>
      </c>
      <c r="AI186" s="798">
        <f t="shared" si="182"/>
        <v>1</v>
      </c>
      <c r="AJ186" s="798">
        <f t="shared" si="182"/>
        <v>1</v>
      </c>
      <c r="AK186" s="798">
        <f t="shared" si="182"/>
        <v>1</v>
      </c>
      <c r="AL186" s="798">
        <f t="shared" si="182"/>
        <v>1</v>
      </c>
      <c r="AM186" s="798">
        <f t="shared" si="182"/>
        <v>1</v>
      </c>
      <c r="AN186" s="798">
        <f t="shared" si="182"/>
        <v>1</v>
      </c>
      <c r="AO186" s="798">
        <f t="shared" si="182"/>
        <v>1</v>
      </c>
      <c r="AP186" s="798">
        <f t="shared" si="182"/>
        <v>1</v>
      </c>
      <c r="AQ186" s="798">
        <f t="shared" si="182"/>
        <v>1</v>
      </c>
      <c r="AR186" s="798">
        <f t="shared" si="182"/>
        <v>1</v>
      </c>
      <c r="AS186" s="798">
        <f t="shared" si="182"/>
        <v>1</v>
      </c>
      <c r="AT186" s="798">
        <f t="shared" si="182"/>
        <v>1</v>
      </c>
      <c r="AU186" s="798">
        <f t="shared" si="182"/>
        <v>1</v>
      </c>
      <c r="AV186" s="798">
        <f t="shared" si="182"/>
        <v>1</v>
      </c>
      <c r="AW186" s="798">
        <f t="shared" si="182"/>
        <v>1</v>
      </c>
      <c r="AX186" s="798">
        <f t="shared" si="182"/>
        <v>1</v>
      </c>
      <c r="AY186" s="798">
        <f t="shared" si="182"/>
        <v>1</v>
      </c>
      <c r="AZ186" s="798">
        <f t="shared" si="182"/>
        <v>1</v>
      </c>
      <c r="BA186" s="798">
        <f t="shared" si="182"/>
        <v>1</v>
      </c>
      <c r="BB186" s="798">
        <f t="shared" si="182"/>
        <v>1</v>
      </c>
      <c r="BC186" s="798">
        <f t="shared" si="182"/>
        <v>1</v>
      </c>
      <c r="BD186" s="798">
        <f t="shared" si="182"/>
        <v>1</v>
      </c>
      <c r="BE186" s="798">
        <f t="shared" si="182"/>
        <v>1</v>
      </c>
      <c r="BF186" s="798">
        <f t="shared" si="182"/>
        <v>1</v>
      </c>
      <c r="BG186" s="798">
        <f t="shared" si="182"/>
        <v>1</v>
      </c>
      <c r="BH186" s="798">
        <f t="shared" si="182"/>
        <v>1</v>
      </c>
      <c r="BI186" s="798">
        <f t="shared" si="182"/>
        <v>1</v>
      </c>
      <c r="BJ186" s="798">
        <f t="shared" si="182"/>
        <v>1</v>
      </c>
      <c r="BK186" s="798">
        <f t="shared" si="182"/>
        <v>1</v>
      </c>
      <c r="BL186" s="765"/>
      <c r="BM186" s="817"/>
      <c r="BN186" s="817"/>
    </row>
    <row r="187" hidden="1">
      <c r="A187" s="765"/>
      <c r="B187" s="765"/>
      <c r="C187" s="765"/>
      <c r="D187" s="765"/>
      <c r="E187" s="765"/>
      <c r="F187" s="765"/>
      <c r="G187" s="765"/>
      <c r="H187" s="765"/>
      <c r="I187" s="765">
        <f t="shared" si="17"/>
        <v>176</v>
      </c>
      <c r="J187" s="763">
        <f t="shared" si="5"/>
        <v>83238895122</v>
      </c>
      <c r="K187" s="796">
        <f t="shared" si="7"/>
        <v>0.32179</v>
      </c>
      <c r="L187" s="796">
        <v>5.0E-4</v>
      </c>
      <c r="M187" s="763">
        <v>9.49132213480292E10</v>
      </c>
      <c r="N187" s="797">
        <f t="shared" si="8"/>
        <v>0</v>
      </c>
      <c r="O187" s="798">
        <f t="shared" ref="O187:BK187" si="183">FLOOR(MIN((((N("value of ELS upgrade")+N$8*($K187-$K186))*(N("Check checkbox")+(IF($G$6=TRUE,$G$7,$G$8))/$G$8))/(N("ROI of ELS and multiply by 2 if ELS is 1:1")+IF($G$12 = True, 2, 1) * $J187))/((N("difference in ELS+ and the cost of it")+(($K186*O$8)-($K186*N$8)) / O$7)),(N("MIN lets it return 0 or 1 after floored")+1)),1)</f>
        <v>0</v>
      </c>
      <c r="P187" s="798">
        <f t="shared" si="183"/>
        <v>0</v>
      </c>
      <c r="Q187" s="798">
        <f t="shared" si="183"/>
        <v>0</v>
      </c>
      <c r="R187" s="798">
        <f t="shared" si="183"/>
        <v>1</v>
      </c>
      <c r="S187" s="798">
        <f t="shared" si="183"/>
        <v>1</v>
      </c>
      <c r="T187" s="798">
        <f t="shared" si="183"/>
        <v>1</v>
      </c>
      <c r="U187" s="798">
        <f t="shared" si="183"/>
        <v>1</v>
      </c>
      <c r="V187" s="798">
        <f t="shared" si="183"/>
        <v>1</v>
      </c>
      <c r="W187" s="798">
        <f t="shared" si="183"/>
        <v>1</v>
      </c>
      <c r="X187" s="798">
        <f t="shared" si="183"/>
        <v>1</v>
      </c>
      <c r="Y187" s="798">
        <f t="shared" si="183"/>
        <v>1</v>
      </c>
      <c r="Z187" s="798">
        <f t="shared" si="183"/>
        <v>1</v>
      </c>
      <c r="AA187" s="798">
        <f t="shared" si="183"/>
        <v>1</v>
      </c>
      <c r="AB187" s="798">
        <f t="shared" si="183"/>
        <v>1</v>
      </c>
      <c r="AC187" s="798">
        <f t="shared" si="183"/>
        <v>1</v>
      </c>
      <c r="AD187" s="798">
        <f t="shared" si="183"/>
        <v>1</v>
      </c>
      <c r="AE187" s="798">
        <f t="shared" si="183"/>
        <v>1</v>
      </c>
      <c r="AF187" s="798">
        <f t="shared" si="183"/>
        <v>1</v>
      </c>
      <c r="AG187" s="798">
        <f t="shared" si="183"/>
        <v>1</v>
      </c>
      <c r="AH187" s="798">
        <f t="shared" si="183"/>
        <v>1</v>
      </c>
      <c r="AI187" s="798">
        <f t="shared" si="183"/>
        <v>1</v>
      </c>
      <c r="AJ187" s="798">
        <f t="shared" si="183"/>
        <v>1</v>
      </c>
      <c r="AK187" s="798">
        <f t="shared" si="183"/>
        <v>1</v>
      </c>
      <c r="AL187" s="798">
        <f t="shared" si="183"/>
        <v>1</v>
      </c>
      <c r="AM187" s="798">
        <f t="shared" si="183"/>
        <v>1</v>
      </c>
      <c r="AN187" s="798">
        <f t="shared" si="183"/>
        <v>1</v>
      </c>
      <c r="AO187" s="798">
        <f t="shared" si="183"/>
        <v>1</v>
      </c>
      <c r="AP187" s="798">
        <f t="shared" si="183"/>
        <v>1</v>
      </c>
      <c r="AQ187" s="798">
        <f t="shared" si="183"/>
        <v>1</v>
      </c>
      <c r="AR187" s="798">
        <f t="shared" si="183"/>
        <v>1</v>
      </c>
      <c r="AS187" s="798">
        <f t="shared" si="183"/>
        <v>1</v>
      </c>
      <c r="AT187" s="798">
        <f t="shared" si="183"/>
        <v>1</v>
      </c>
      <c r="AU187" s="798">
        <f t="shared" si="183"/>
        <v>1</v>
      </c>
      <c r="AV187" s="798">
        <f t="shared" si="183"/>
        <v>1</v>
      </c>
      <c r="AW187" s="798">
        <f t="shared" si="183"/>
        <v>1</v>
      </c>
      <c r="AX187" s="798">
        <f t="shared" si="183"/>
        <v>1</v>
      </c>
      <c r="AY187" s="798">
        <f t="shared" si="183"/>
        <v>1</v>
      </c>
      <c r="AZ187" s="798">
        <f t="shared" si="183"/>
        <v>1</v>
      </c>
      <c r="BA187" s="798">
        <f t="shared" si="183"/>
        <v>1</v>
      </c>
      <c r="BB187" s="798">
        <f t="shared" si="183"/>
        <v>1</v>
      </c>
      <c r="BC187" s="798">
        <f t="shared" si="183"/>
        <v>1</v>
      </c>
      <c r="BD187" s="798">
        <f t="shared" si="183"/>
        <v>1</v>
      </c>
      <c r="BE187" s="798">
        <f t="shared" si="183"/>
        <v>1</v>
      </c>
      <c r="BF187" s="798">
        <f t="shared" si="183"/>
        <v>1</v>
      </c>
      <c r="BG187" s="798">
        <f t="shared" si="183"/>
        <v>1</v>
      </c>
      <c r="BH187" s="798">
        <f t="shared" si="183"/>
        <v>1</v>
      </c>
      <c r="BI187" s="798">
        <f t="shared" si="183"/>
        <v>1</v>
      </c>
      <c r="BJ187" s="798">
        <f t="shared" si="183"/>
        <v>1</v>
      </c>
      <c r="BK187" s="798">
        <f t="shared" si="183"/>
        <v>1</v>
      </c>
      <c r="BL187" s="765"/>
      <c r="BM187" s="817"/>
      <c r="BN187" s="817"/>
    </row>
    <row r="188" hidden="1">
      <c r="A188" s="765"/>
      <c r="B188" s="765"/>
      <c r="C188" s="765"/>
      <c r="D188" s="765"/>
      <c r="E188" s="765"/>
      <c r="F188" s="765"/>
      <c r="G188" s="765"/>
      <c r="H188" s="765"/>
      <c r="I188" s="765">
        <f t="shared" si="17"/>
        <v>177</v>
      </c>
      <c r="J188" s="763">
        <f t="shared" si="5"/>
        <v>83716027625</v>
      </c>
      <c r="K188" s="796">
        <f t="shared" si="7"/>
        <v>0.32229</v>
      </c>
      <c r="L188" s="796">
        <v>5.0E-4</v>
      </c>
      <c r="M188" s="763">
        <v>9.54572720919588E10</v>
      </c>
      <c r="N188" s="797">
        <f t="shared" si="8"/>
        <v>0</v>
      </c>
      <c r="O188" s="798">
        <f t="shared" ref="O188:BK188" si="184">FLOOR(MIN((((N("value of ELS upgrade")+N$8*($K188-$K187))*(N("Check checkbox")+(IF($G$6=TRUE,$G$7,$G$8))/$G$8))/(N("ROI of ELS and multiply by 2 if ELS is 1:1")+IF($G$12 = True, 2, 1) * $J188))/((N("difference in ELS+ and the cost of it")+(($K187*O$8)-($K187*N$8)) / O$7)),(N("MIN lets it return 0 or 1 after floored")+1)),1)</f>
        <v>0</v>
      </c>
      <c r="P188" s="798">
        <f t="shared" si="184"/>
        <v>0</v>
      </c>
      <c r="Q188" s="798">
        <f t="shared" si="184"/>
        <v>0</v>
      </c>
      <c r="R188" s="798">
        <f t="shared" si="184"/>
        <v>1</v>
      </c>
      <c r="S188" s="798">
        <f t="shared" si="184"/>
        <v>1</v>
      </c>
      <c r="T188" s="798">
        <f t="shared" si="184"/>
        <v>1</v>
      </c>
      <c r="U188" s="798">
        <f t="shared" si="184"/>
        <v>1</v>
      </c>
      <c r="V188" s="798">
        <f t="shared" si="184"/>
        <v>1</v>
      </c>
      <c r="W188" s="798">
        <f t="shared" si="184"/>
        <v>1</v>
      </c>
      <c r="X188" s="798">
        <f t="shared" si="184"/>
        <v>1</v>
      </c>
      <c r="Y188" s="798">
        <f t="shared" si="184"/>
        <v>1</v>
      </c>
      <c r="Z188" s="798">
        <f t="shared" si="184"/>
        <v>1</v>
      </c>
      <c r="AA188" s="798">
        <f t="shared" si="184"/>
        <v>1</v>
      </c>
      <c r="AB188" s="798">
        <f t="shared" si="184"/>
        <v>1</v>
      </c>
      <c r="AC188" s="798">
        <f t="shared" si="184"/>
        <v>1</v>
      </c>
      <c r="AD188" s="798">
        <f t="shared" si="184"/>
        <v>1</v>
      </c>
      <c r="AE188" s="798">
        <f t="shared" si="184"/>
        <v>1</v>
      </c>
      <c r="AF188" s="798">
        <f t="shared" si="184"/>
        <v>1</v>
      </c>
      <c r="AG188" s="798">
        <f t="shared" si="184"/>
        <v>1</v>
      </c>
      <c r="AH188" s="798">
        <f t="shared" si="184"/>
        <v>1</v>
      </c>
      <c r="AI188" s="798">
        <f t="shared" si="184"/>
        <v>1</v>
      </c>
      <c r="AJ188" s="798">
        <f t="shared" si="184"/>
        <v>1</v>
      </c>
      <c r="AK188" s="798">
        <f t="shared" si="184"/>
        <v>1</v>
      </c>
      <c r="AL188" s="798">
        <f t="shared" si="184"/>
        <v>1</v>
      </c>
      <c r="AM188" s="798">
        <f t="shared" si="184"/>
        <v>1</v>
      </c>
      <c r="AN188" s="798">
        <f t="shared" si="184"/>
        <v>1</v>
      </c>
      <c r="AO188" s="798">
        <f t="shared" si="184"/>
        <v>1</v>
      </c>
      <c r="AP188" s="798">
        <f t="shared" si="184"/>
        <v>1</v>
      </c>
      <c r="AQ188" s="798">
        <f t="shared" si="184"/>
        <v>1</v>
      </c>
      <c r="AR188" s="798">
        <f t="shared" si="184"/>
        <v>1</v>
      </c>
      <c r="AS188" s="798">
        <f t="shared" si="184"/>
        <v>1</v>
      </c>
      <c r="AT188" s="798">
        <f t="shared" si="184"/>
        <v>1</v>
      </c>
      <c r="AU188" s="798">
        <f t="shared" si="184"/>
        <v>1</v>
      </c>
      <c r="AV188" s="798">
        <f t="shared" si="184"/>
        <v>1</v>
      </c>
      <c r="AW188" s="798">
        <f t="shared" si="184"/>
        <v>1</v>
      </c>
      <c r="AX188" s="798">
        <f t="shared" si="184"/>
        <v>1</v>
      </c>
      <c r="AY188" s="798">
        <f t="shared" si="184"/>
        <v>1</v>
      </c>
      <c r="AZ188" s="798">
        <f t="shared" si="184"/>
        <v>1</v>
      </c>
      <c r="BA188" s="798">
        <f t="shared" si="184"/>
        <v>1</v>
      </c>
      <c r="BB188" s="798">
        <f t="shared" si="184"/>
        <v>1</v>
      </c>
      <c r="BC188" s="798">
        <f t="shared" si="184"/>
        <v>1</v>
      </c>
      <c r="BD188" s="798">
        <f t="shared" si="184"/>
        <v>1</v>
      </c>
      <c r="BE188" s="798">
        <f t="shared" si="184"/>
        <v>1</v>
      </c>
      <c r="BF188" s="798">
        <f t="shared" si="184"/>
        <v>1</v>
      </c>
      <c r="BG188" s="798">
        <f t="shared" si="184"/>
        <v>1</v>
      </c>
      <c r="BH188" s="798">
        <f t="shared" si="184"/>
        <v>1</v>
      </c>
      <c r="BI188" s="798">
        <f t="shared" si="184"/>
        <v>1</v>
      </c>
      <c r="BJ188" s="798">
        <f t="shared" si="184"/>
        <v>1</v>
      </c>
      <c r="BK188" s="798">
        <f t="shared" si="184"/>
        <v>1</v>
      </c>
      <c r="BL188" s="765"/>
      <c r="BM188" s="817"/>
      <c r="BN188" s="817"/>
    </row>
    <row r="189" hidden="1">
      <c r="A189" s="765"/>
      <c r="B189" s="765"/>
      <c r="C189" s="765"/>
      <c r="D189" s="765"/>
      <c r="E189" s="765"/>
      <c r="F189" s="765"/>
      <c r="G189" s="765"/>
      <c r="H189" s="765"/>
      <c r="I189" s="765">
        <f t="shared" si="17"/>
        <v>178</v>
      </c>
      <c r="J189" s="763">
        <f t="shared" si="5"/>
        <v>84194032841</v>
      </c>
      <c r="K189" s="796">
        <f t="shared" si="7"/>
        <v>0.32279</v>
      </c>
      <c r="L189" s="796">
        <v>5.0E-4</v>
      </c>
      <c r="M189" s="763">
        <v>9.60023179490568E10</v>
      </c>
      <c r="N189" s="797">
        <f t="shared" si="8"/>
        <v>0</v>
      </c>
      <c r="O189" s="798">
        <f t="shared" ref="O189:BK189" si="185">FLOOR(MIN((((N("value of ELS upgrade")+N$8*($K189-$K188))*(N("Check checkbox")+(IF($G$6=TRUE,$G$7,$G$8))/$G$8))/(N("ROI of ELS and multiply by 2 if ELS is 1:1")+IF($G$12 = True, 2, 1) * $J189))/((N("difference in ELS+ and the cost of it")+(($K188*O$8)-($K188*N$8)) / O$7)),(N("MIN lets it return 0 or 1 after floored")+1)),1)</f>
        <v>0</v>
      </c>
      <c r="P189" s="798">
        <f t="shared" si="185"/>
        <v>0</v>
      </c>
      <c r="Q189" s="798">
        <f t="shared" si="185"/>
        <v>0</v>
      </c>
      <c r="R189" s="798">
        <f t="shared" si="185"/>
        <v>1</v>
      </c>
      <c r="S189" s="798">
        <f t="shared" si="185"/>
        <v>1</v>
      </c>
      <c r="T189" s="798">
        <f t="shared" si="185"/>
        <v>1</v>
      </c>
      <c r="U189" s="798">
        <f t="shared" si="185"/>
        <v>1</v>
      </c>
      <c r="V189" s="798">
        <f t="shared" si="185"/>
        <v>1</v>
      </c>
      <c r="W189" s="798">
        <f t="shared" si="185"/>
        <v>1</v>
      </c>
      <c r="X189" s="798">
        <f t="shared" si="185"/>
        <v>1</v>
      </c>
      <c r="Y189" s="798">
        <f t="shared" si="185"/>
        <v>1</v>
      </c>
      <c r="Z189" s="798">
        <f t="shared" si="185"/>
        <v>1</v>
      </c>
      <c r="AA189" s="798">
        <f t="shared" si="185"/>
        <v>1</v>
      </c>
      <c r="AB189" s="798">
        <f t="shared" si="185"/>
        <v>1</v>
      </c>
      <c r="AC189" s="798">
        <f t="shared" si="185"/>
        <v>1</v>
      </c>
      <c r="AD189" s="798">
        <f t="shared" si="185"/>
        <v>1</v>
      </c>
      <c r="AE189" s="798">
        <f t="shared" si="185"/>
        <v>1</v>
      </c>
      <c r="AF189" s="798">
        <f t="shared" si="185"/>
        <v>1</v>
      </c>
      <c r="AG189" s="798">
        <f t="shared" si="185"/>
        <v>1</v>
      </c>
      <c r="AH189" s="798">
        <f t="shared" si="185"/>
        <v>1</v>
      </c>
      <c r="AI189" s="798">
        <f t="shared" si="185"/>
        <v>1</v>
      </c>
      <c r="AJ189" s="798">
        <f t="shared" si="185"/>
        <v>1</v>
      </c>
      <c r="AK189" s="798">
        <f t="shared" si="185"/>
        <v>1</v>
      </c>
      <c r="AL189" s="798">
        <f t="shared" si="185"/>
        <v>1</v>
      </c>
      <c r="AM189" s="798">
        <f t="shared" si="185"/>
        <v>1</v>
      </c>
      <c r="AN189" s="798">
        <f t="shared" si="185"/>
        <v>1</v>
      </c>
      <c r="AO189" s="798">
        <f t="shared" si="185"/>
        <v>1</v>
      </c>
      <c r="AP189" s="798">
        <f t="shared" si="185"/>
        <v>1</v>
      </c>
      <c r="AQ189" s="798">
        <f t="shared" si="185"/>
        <v>1</v>
      </c>
      <c r="AR189" s="798">
        <f t="shared" si="185"/>
        <v>1</v>
      </c>
      <c r="AS189" s="798">
        <f t="shared" si="185"/>
        <v>1</v>
      </c>
      <c r="AT189" s="798">
        <f t="shared" si="185"/>
        <v>1</v>
      </c>
      <c r="AU189" s="798">
        <f t="shared" si="185"/>
        <v>1</v>
      </c>
      <c r="AV189" s="798">
        <f t="shared" si="185"/>
        <v>1</v>
      </c>
      <c r="AW189" s="798">
        <f t="shared" si="185"/>
        <v>1</v>
      </c>
      <c r="AX189" s="798">
        <f t="shared" si="185"/>
        <v>1</v>
      </c>
      <c r="AY189" s="798">
        <f t="shared" si="185"/>
        <v>1</v>
      </c>
      <c r="AZ189" s="798">
        <f t="shared" si="185"/>
        <v>1</v>
      </c>
      <c r="BA189" s="798">
        <f t="shared" si="185"/>
        <v>1</v>
      </c>
      <c r="BB189" s="798">
        <f t="shared" si="185"/>
        <v>1</v>
      </c>
      <c r="BC189" s="798">
        <f t="shared" si="185"/>
        <v>1</v>
      </c>
      <c r="BD189" s="798">
        <f t="shared" si="185"/>
        <v>1</v>
      </c>
      <c r="BE189" s="798">
        <f t="shared" si="185"/>
        <v>1</v>
      </c>
      <c r="BF189" s="798">
        <f t="shared" si="185"/>
        <v>1</v>
      </c>
      <c r="BG189" s="798">
        <f t="shared" si="185"/>
        <v>1</v>
      </c>
      <c r="BH189" s="798">
        <f t="shared" si="185"/>
        <v>1</v>
      </c>
      <c r="BI189" s="798">
        <f t="shared" si="185"/>
        <v>1</v>
      </c>
      <c r="BJ189" s="798">
        <f t="shared" si="185"/>
        <v>1</v>
      </c>
      <c r="BK189" s="798">
        <f t="shared" si="185"/>
        <v>1</v>
      </c>
      <c r="BL189" s="765"/>
      <c r="BM189" s="817"/>
      <c r="BN189" s="817"/>
    </row>
    <row r="190" hidden="1">
      <c r="A190" s="765"/>
      <c r="B190" s="765"/>
      <c r="C190" s="765"/>
      <c r="D190" s="765"/>
      <c r="E190" s="765"/>
      <c r="F190" s="765"/>
      <c r="G190" s="765"/>
      <c r="H190" s="765"/>
      <c r="I190" s="765">
        <f t="shared" si="17"/>
        <v>179</v>
      </c>
      <c r="J190" s="763">
        <f t="shared" si="5"/>
        <v>84672916750</v>
      </c>
      <c r="K190" s="796">
        <f t="shared" si="7"/>
        <v>0.32329</v>
      </c>
      <c r="L190" s="796">
        <v>5.0E-4</v>
      </c>
      <c r="M190" s="763">
        <v>9.65483657351669E10</v>
      </c>
      <c r="N190" s="797">
        <f t="shared" si="8"/>
        <v>0</v>
      </c>
      <c r="O190" s="798">
        <f t="shared" ref="O190:BK190" si="186">FLOOR(MIN((((N("value of ELS upgrade")+N$8*($K190-$K189))*(N("Check checkbox")+(IF($G$6=TRUE,$G$7,$G$8))/$G$8))/(N("ROI of ELS and multiply by 2 if ELS is 1:1")+IF($G$12 = True, 2, 1) * $J190))/((N("difference in ELS+ and the cost of it")+(($K189*O$8)-($K189*N$8)) / O$7)),(N("MIN lets it return 0 or 1 after floored")+1)),1)</f>
        <v>0</v>
      </c>
      <c r="P190" s="798">
        <f t="shared" si="186"/>
        <v>0</v>
      </c>
      <c r="Q190" s="798">
        <f t="shared" si="186"/>
        <v>0</v>
      </c>
      <c r="R190" s="798">
        <f t="shared" si="186"/>
        <v>1</v>
      </c>
      <c r="S190" s="798">
        <f t="shared" si="186"/>
        <v>1</v>
      </c>
      <c r="T190" s="798">
        <f t="shared" si="186"/>
        <v>1</v>
      </c>
      <c r="U190" s="798">
        <f t="shared" si="186"/>
        <v>1</v>
      </c>
      <c r="V190" s="798">
        <f t="shared" si="186"/>
        <v>1</v>
      </c>
      <c r="W190" s="798">
        <f t="shared" si="186"/>
        <v>1</v>
      </c>
      <c r="X190" s="798">
        <f t="shared" si="186"/>
        <v>1</v>
      </c>
      <c r="Y190" s="798">
        <f t="shared" si="186"/>
        <v>1</v>
      </c>
      <c r="Z190" s="798">
        <f t="shared" si="186"/>
        <v>1</v>
      </c>
      <c r="AA190" s="798">
        <f t="shared" si="186"/>
        <v>1</v>
      </c>
      <c r="AB190" s="798">
        <f t="shared" si="186"/>
        <v>1</v>
      </c>
      <c r="AC190" s="798">
        <f t="shared" si="186"/>
        <v>1</v>
      </c>
      <c r="AD190" s="798">
        <f t="shared" si="186"/>
        <v>1</v>
      </c>
      <c r="AE190" s="798">
        <f t="shared" si="186"/>
        <v>1</v>
      </c>
      <c r="AF190" s="798">
        <f t="shared" si="186"/>
        <v>1</v>
      </c>
      <c r="AG190" s="798">
        <f t="shared" si="186"/>
        <v>1</v>
      </c>
      <c r="AH190" s="798">
        <f t="shared" si="186"/>
        <v>1</v>
      </c>
      <c r="AI190" s="798">
        <f t="shared" si="186"/>
        <v>1</v>
      </c>
      <c r="AJ190" s="798">
        <f t="shared" si="186"/>
        <v>1</v>
      </c>
      <c r="AK190" s="798">
        <f t="shared" si="186"/>
        <v>1</v>
      </c>
      <c r="AL190" s="798">
        <f t="shared" si="186"/>
        <v>1</v>
      </c>
      <c r="AM190" s="798">
        <f t="shared" si="186"/>
        <v>1</v>
      </c>
      <c r="AN190" s="798">
        <f t="shared" si="186"/>
        <v>1</v>
      </c>
      <c r="AO190" s="798">
        <f t="shared" si="186"/>
        <v>1</v>
      </c>
      <c r="AP190" s="798">
        <f t="shared" si="186"/>
        <v>1</v>
      </c>
      <c r="AQ190" s="798">
        <f t="shared" si="186"/>
        <v>1</v>
      </c>
      <c r="AR190" s="798">
        <f t="shared" si="186"/>
        <v>1</v>
      </c>
      <c r="AS190" s="798">
        <f t="shared" si="186"/>
        <v>1</v>
      </c>
      <c r="AT190" s="798">
        <f t="shared" si="186"/>
        <v>1</v>
      </c>
      <c r="AU190" s="798">
        <f t="shared" si="186"/>
        <v>1</v>
      </c>
      <c r="AV190" s="798">
        <f t="shared" si="186"/>
        <v>1</v>
      </c>
      <c r="AW190" s="798">
        <f t="shared" si="186"/>
        <v>1</v>
      </c>
      <c r="AX190" s="798">
        <f t="shared" si="186"/>
        <v>1</v>
      </c>
      <c r="AY190" s="798">
        <f t="shared" si="186"/>
        <v>1</v>
      </c>
      <c r="AZ190" s="798">
        <f t="shared" si="186"/>
        <v>1</v>
      </c>
      <c r="BA190" s="798">
        <f t="shared" si="186"/>
        <v>1</v>
      </c>
      <c r="BB190" s="798">
        <f t="shared" si="186"/>
        <v>1</v>
      </c>
      <c r="BC190" s="798">
        <f t="shared" si="186"/>
        <v>1</v>
      </c>
      <c r="BD190" s="798">
        <f t="shared" si="186"/>
        <v>1</v>
      </c>
      <c r="BE190" s="798">
        <f t="shared" si="186"/>
        <v>1</v>
      </c>
      <c r="BF190" s="798">
        <f t="shared" si="186"/>
        <v>1</v>
      </c>
      <c r="BG190" s="798">
        <f t="shared" si="186"/>
        <v>1</v>
      </c>
      <c r="BH190" s="798">
        <f t="shared" si="186"/>
        <v>1</v>
      </c>
      <c r="BI190" s="798">
        <f t="shared" si="186"/>
        <v>1</v>
      </c>
      <c r="BJ190" s="798">
        <f t="shared" si="186"/>
        <v>1</v>
      </c>
      <c r="BK190" s="798">
        <f t="shared" si="186"/>
        <v>1</v>
      </c>
      <c r="BL190" s="765"/>
      <c r="BM190" s="817"/>
      <c r="BN190" s="817"/>
    </row>
    <row r="191" hidden="1">
      <c r="A191" s="765"/>
      <c r="B191" s="765"/>
      <c r="C191" s="765"/>
      <c r="D191" s="765"/>
      <c r="E191" s="765"/>
      <c r="F191" s="765"/>
      <c r="G191" s="765"/>
      <c r="H191" s="765"/>
      <c r="I191" s="765">
        <f t="shared" si="17"/>
        <v>180</v>
      </c>
      <c r="J191" s="763">
        <f t="shared" si="5"/>
        <v>85152686152</v>
      </c>
      <c r="K191" s="796">
        <f t="shared" si="7"/>
        <v>0.32379</v>
      </c>
      <c r="L191" s="796">
        <v>5.0E-4</v>
      </c>
      <c r="M191" s="763">
        <v>9.70954232062489E10</v>
      </c>
      <c r="N191" s="797">
        <f t="shared" si="8"/>
        <v>0</v>
      </c>
      <c r="O191" s="798">
        <f t="shared" ref="O191:BK191" si="187">FLOOR(MIN((((N("value of ELS upgrade")+N$8*($K191-$K190))*(N("Check checkbox")+(IF($G$6=TRUE,$G$7,$G$8))/$G$8))/(N("ROI of ELS and multiply by 2 if ELS is 1:1")+IF($G$12 = True, 2, 1) * $J191))/((N("difference in ELS+ and the cost of it")+(($K190*O$8)-($K190*N$8)) / O$7)),(N("MIN lets it return 0 or 1 after floored")+1)),1)</f>
        <v>0</v>
      </c>
      <c r="P191" s="798">
        <f t="shared" si="187"/>
        <v>0</v>
      </c>
      <c r="Q191" s="798">
        <f t="shared" si="187"/>
        <v>0</v>
      </c>
      <c r="R191" s="798">
        <f t="shared" si="187"/>
        <v>1</v>
      </c>
      <c r="S191" s="798">
        <f t="shared" si="187"/>
        <v>1</v>
      </c>
      <c r="T191" s="798">
        <f t="shared" si="187"/>
        <v>1</v>
      </c>
      <c r="U191" s="798">
        <f t="shared" si="187"/>
        <v>1</v>
      </c>
      <c r="V191" s="798">
        <f t="shared" si="187"/>
        <v>1</v>
      </c>
      <c r="W191" s="798">
        <f t="shared" si="187"/>
        <v>1</v>
      </c>
      <c r="X191" s="798">
        <f t="shared" si="187"/>
        <v>1</v>
      </c>
      <c r="Y191" s="798">
        <f t="shared" si="187"/>
        <v>1</v>
      </c>
      <c r="Z191" s="798">
        <f t="shared" si="187"/>
        <v>1</v>
      </c>
      <c r="AA191" s="798">
        <f t="shared" si="187"/>
        <v>1</v>
      </c>
      <c r="AB191" s="798">
        <f t="shared" si="187"/>
        <v>1</v>
      </c>
      <c r="AC191" s="798">
        <f t="shared" si="187"/>
        <v>1</v>
      </c>
      <c r="AD191" s="798">
        <f t="shared" si="187"/>
        <v>1</v>
      </c>
      <c r="AE191" s="798">
        <f t="shared" si="187"/>
        <v>1</v>
      </c>
      <c r="AF191" s="798">
        <f t="shared" si="187"/>
        <v>1</v>
      </c>
      <c r="AG191" s="798">
        <f t="shared" si="187"/>
        <v>1</v>
      </c>
      <c r="AH191" s="798">
        <f t="shared" si="187"/>
        <v>1</v>
      </c>
      <c r="AI191" s="798">
        <f t="shared" si="187"/>
        <v>1</v>
      </c>
      <c r="AJ191" s="798">
        <f t="shared" si="187"/>
        <v>1</v>
      </c>
      <c r="AK191" s="798">
        <f t="shared" si="187"/>
        <v>1</v>
      </c>
      <c r="AL191" s="798">
        <f t="shared" si="187"/>
        <v>1</v>
      </c>
      <c r="AM191" s="798">
        <f t="shared" si="187"/>
        <v>1</v>
      </c>
      <c r="AN191" s="798">
        <f t="shared" si="187"/>
        <v>1</v>
      </c>
      <c r="AO191" s="798">
        <f t="shared" si="187"/>
        <v>1</v>
      </c>
      <c r="AP191" s="798">
        <f t="shared" si="187"/>
        <v>1</v>
      </c>
      <c r="AQ191" s="798">
        <f t="shared" si="187"/>
        <v>1</v>
      </c>
      <c r="AR191" s="798">
        <f t="shared" si="187"/>
        <v>1</v>
      </c>
      <c r="AS191" s="798">
        <f t="shared" si="187"/>
        <v>1</v>
      </c>
      <c r="AT191" s="798">
        <f t="shared" si="187"/>
        <v>1</v>
      </c>
      <c r="AU191" s="798">
        <f t="shared" si="187"/>
        <v>1</v>
      </c>
      <c r="AV191" s="798">
        <f t="shared" si="187"/>
        <v>1</v>
      </c>
      <c r="AW191" s="798">
        <f t="shared" si="187"/>
        <v>1</v>
      </c>
      <c r="AX191" s="798">
        <f t="shared" si="187"/>
        <v>1</v>
      </c>
      <c r="AY191" s="798">
        <f t="shared" si="187"/>
        <v>1</v>
      </c>
      <c r="AZ191" s="798">
        <f t="shared" si="187"/>
        <v>1</v>
      </c>
      <c r="BA191" s="798">
        <f t="shared" si="187"/>
        <v>1</v>
      </c>
      <c r="BB191" s="798">
        <f t="shared" si="187"/>
        <v>1</v>
      </c>
      <c r="BC191" s="798">
        <f t="shared" si="187"/>
        <v>1</v>
      </c>
      <c r="BD191" s="798">
        <f t="shared" si="187"/>
        <v>1</v>
      </c>
      <c r="BE191" s="798">
        <f t="shared" si="187"/>
        <v>1</v>
      </c>
      <c r="BF191" s="798">
        <f t="shared" si="187"/>
        <v>1</v>
      </c>
      <c r="BG191" s="798">
        <f t="shared" si="187"/>
        <v>1</v>
      </c>
      <c r="BH191" s="798">
        <f t="shared" si="187"/>
        <v>1</v>
      </c>
      <c r="BI191" s="798">
        <f t="shared" si="187"/>
        <v>1</v>
      </c>
      <c r="BJ191" s="798">
        <f t="shared" si="187"/>
        <v>1</v>
      </c>
      <c r="BK191" s="798">
        <f t="shared" si="187"/>
        <v>1</v>
      </c>
      <c r="BL191" s="765"/>
      <c r="BM191" s="817"/>
      <c r="BN191" s="817"/>
    </row>
    <row r="192" hidden="1">
      <c r="A192" s="765"/>
      <c r="B192" s="765"/>
      <c r="C192" s="765"/>
      <c r="D192" s="765"/>
      <c r="E192" s="765"/>
      <c r="F192" s="765"/>
      <c r="G192" s="765"/>
      <c r="H192" s="765"/>
      <c r="I192" s="765">
        <f t="shared" si="17"/>
        <v>181</v>
      </c>
      <c r="J192" s="763">
        <f t="shared" si="5"/>
        <v>85633348056</v>
      </c>
      <c r="K192" s="796">
        <f t="shared" si="7"/>
        <v>0.32429</v>
      </c>
      <c r="L192" s="796">
        <v>5.0E-4</v>
      </c>
      <c r="M192" s="763">
        <v>9.7643498353292E10</v>
      </c>
      <c r="N192" s="797">
        <f t="shared" si="8"/>
        <v>0</v>
      </c>
      <c r="O192" s="798">
        <f t="shared" ref="O192:BK192" si="188">FLOOR(MIN((((N("value of ELS upgrade")+N$8*($K192-$K191))*(N("Check checkbox")+(IF($G$6=TRUE,$G$7,$G$8))/$G$8))/(N("ROI of ELS and multiply by 2 if ELS is 1:1")+IF($G$12 = True, 2, 1) * $J192))/((N("difference in ELS+ and the cost of it")+(($K191*O$8)-($K191*N$8)) / O$7)),(N("MIN lets it return 0 or 1 after floored")+1)),1)</f>
        <v>0</v>
      </c>
      <c r="P192" s="798">
        <f t="shared" si="188"/>
        <v>0</v>
      </c>
      <c r="Q192" s="798">
        <f t="shared" si="188"/>
        <v>0</v>
      </c>
      <c r="R192" s="798">
        <f t="shared" si="188"/>
        <v>1</v>
      </c>
      <c r="S192" s="798">
        <f t="shared" si="188"/>
        <v>1</v>
      </c>
      <c r="T192" s="798">
        <f t="shared" si="188"/>
        <v>1</v>
      </c>
      <c r="U192" s="798">
        <f t="shared" si="188"/>
        <v>1</v>
      </c>
      <c r="V192" s="798">
        <f t="shared" si="188"/>
        <v>1</v>
      </c>
      <c r="W192" s="798">
        <f t="shared" si="188"/>
        <v>1</v>
      </c>
      <c r="X192" s="798">
        <f t="shared" si="188"/>
        <v>1</v>
      </c>
      <c r="Y192" s="798">
        <f t="shared" si="188"/>
        <v>1</v>
      </c>
      <c r="Z192" s="798">
        <f t="shared" si="188"/>
        <v>1</v>
      </c>
      <c r="AA192" s="798">
        <f t="shared" si="188"/>
        <v>1</v>
      </c>
      <c r="AB192" s="798">
        <f t="shared" si="188"/>
        <v>1</v>
      </c>
      <c r="AC192" s="798">
        <f t="shared" si="188"/>
        <v>1</v>
      </c>
      <c r="AD192" s="798">
        <f t="shared" si="188"/>
        <v>1</v>
      </c>
      <c r="AE192" s="798">
        <f t="shared" si="188"/>
        <v>1</v>
      </c>
      <c r="AF192" s="798">
        <f t="shared" si="188"/>
        <v>1</v>
      </c>
      <c r="AG192" s="798">
        <f t="shared" si="188"/>
        <v>1</v>
      </c>
      <c r="AH192" s="798">
        <f t="shared" si="188"/>
        <v>1</v>
      </c>
      <c r="AI192" s="798">
        <f t="shared" si="188"/>
        <v>1</v>
      </c>
      <c r="AJ192" s="798">
        <f t="shared" si="188"/>
        <v>1</v>
      </c>
      <c r="AK192" s="798">
        <f t="shared" si="188"/>
        <v>1</v>
      </c>
      <c r="AL192" s="798">
        <f t="shared" si="188"/>
        <v>1</v>
      </c>
      <c r="AM192" s="798">
        <f t="shared" si="188"/>
        <v>1</v>
      </c>
      <c r="AN192" s="798">
        <f t="shared" si="188"/>
        <v>1</v>
      </c>
      <c r="AO192" s="798">
        <f t="shared" si="188"/>
        <v>1</v>
      </c>
      <c r="AP192" s="798">
        <f t="shared" si="188"/>
        <v>1</v>
      </c>
      <c r="AQ192" s="798">
        <f t="shared" si="188"/>
        <v>1</v>
      </c>
      <c r="AR192" s="798">
        <f t="shared" si="188"/>
        <v>1</v>
      </c>
      <c r="AS192" s="798">
        <f t="shared" si="188"/>
        <v>1</v>
      </c>
      <c r="AT192" s="798">
        <f t="shared" si="188"/>
        <v>1</v>
      </c>
      <c r="AU192" s="798">
        <f t="shared" si="188"/>
        <v>1</v>
      </c>
      <c r="AV192" s="798">
        <f t="shared" si="188"/>
        <v>1</v>
      </c>
      <c r="AW192" s="798">
        <f t="shared" si="188"/>
        <v>1</v>
      </c>
      <c r="AX192" s="798">
        <f t="shared" si="188"/>
        <v>1</v>
      </c>
      <c r="AY192" s="798">
        <f t="shared" si="188"/>
        <v>1</v>
      </c>
      <c r="AZ192" s="798">
        <f t="shared" si="188"/>
        <v>1</v>
      </c>
      <c r="BA192" s="798">
        <f t="shared" si="188"/>
        <v>1</v>
      </c>
      <c r="BB192" s="798">
        <f t="shared" si="188"/>
        <v>1</v>
      </c>
      <c r="BC192" s="798">
        <f t="shared" si="188"/>
        <v>1</v>
      </c>
      <c r="BD192" s="798">
        <f t="shared" si="188"/>
        <v>1</v>
      </c>
      <c r="BE192" s="798">
        <f t="shared" si="188"/>
        <v>1</v>
      </c>
      <c r="BF192" s="798">
        <f t="shared" si="188"/>
        <v>1</v>
      </c>
      <c r="BG192" s="798">
        <f t="shared" si="188"/>
        <v>1</v>
      </c>
      <c r="BH192" s="798">
        <f t="shared" si="188"/>
        <v>1</v>
      </c>
      <c r="BI192" s="798">
        <f t="shared" si="188"/>
        <v>1</v>
      </c>
      <c r="BJ192" s="798">
        <f t="shared" si="188"/>
        <v>1</v>
      </c>
      <c r="BK192" s="798">
        <f t="shared" si="188"/>
        <v>1</v>
      </c>
      <c r="BL192" s="765"/>
      <c r="BM192" s="817"/>
      <c r="BN192" s="817"/>
    </row>
    <row r="193" hidden="1">
      <c r="A193" s="765"/>
      <c r="B193" s="765"/>
      <c r="C193" s="765"/>
      <c r="D193" s="765"/>
      <c r="E193" s="765"/>
      <c r="F193" s="765"/>
      <c r="G193" s="765"/>
      <c r="H193" s="765"/>
      <c r="I193" s="765">
        <f t="shared" si="17"/>
        <v>182</v>
      </c>
      <c r="J193" s="763">
        <f t="shared" si="5"/>
        <v>86114909057</v>
      </c>
      <c r="K193" s="796">
        <f t="shared" si="7"/>
        <v>0.32479</v>
      </c>
      <c r="L193" s="796">
        <v>5.0E-4</v>
      </c>
      <c r="M193" s="763">
        <v>9.8192598697227E10</v>
      </c>
      <c r="N193" s="797">
        <f t="shared" si="8"/>
        <v>0</v>
      </c>
      <c r="O193" s="798">
        <f t="shared" ref="O193:BK193" si="189">FLOOR(MIN((((N("value of ELS upgrade")+N$8*($K193-$K192))*(N("Check checkbox")+(IF($G$6=TRUE,$G$7,$G$8))/$G$8))/(N("ROI of ELS and multiply by 2 if ELS is 1:1")+IF($G$12 = True, 2, 1) * $J193))/((N("difference in ELS+ and the cost of it")+(($K192*O$8)-($K192*N$8)) / O$7)),(N("MIN lets it return 0 or 1 after floored")+1)),1)</f>
        <v>0</v>
      </c>
      <c r="P193" s="798">
        <f t="shared" si="189"/>
        <v>0</v>
      </c>
      <c r="Q193" s="798">
        <f t="shared" si="189"/>
        <v>0</v>
      </c>
      <c r="R193" s="798">
        <f t="shared" si="189"/>
        <v>1</v>
      </c>
      <c r="S193" s="798">
        <f t="shared" si="189"/>
        <v>1</v>
      </c>
      <c r="T193" s="798">
        <f t="shared" si="189"/>
        <v>1</v>
      </c>
      <c r="U193" s="798">
        <f t="shared" si="189"/>
        <v>1</v>
      </c>
      <c r="V193" s="798">
        <f t="shared" si="189"/>
        <v>1</v>
      </c>
      <c r="W193" s="798">
        <f t="shared" si="189"/>
        <v>1</v>
      </c>
      <c r="X193" s="798">
        <f t="shared" si="189"/>
        <v>1</v>
      </c>
      <c r="Y193" s="798">
        <f t="shared" si="189"/>
        <v>1</v>
      </c>
      <c r="Z193" s="798">
        <f t="shared" si="189"/>
        <v>1</v>
      </c>
      <c r="AA193" s="798">
        <f t="shared" si="189"/>
        <v>1</v>
      </c>
      <c r="AB193" s="798">
        <f t="shared" si="189"/>
        <v>1</v>
      </c>
      <c r="AC193" s="798">
        <f t="shared" si="189"/>
        <v>1</v>
      </c>
      <c r="AD193" s="798">
        <f t="shared" si="189"/>
        <v>1</v>
      </c>
      <c r="AE193" s="798">
        <f t="shared" si="189"/>
        <v>1</v>
      </c>
      <c r="AF193" s="798">
        <f t="shared" si="189"/>
        <v>1</v>
      </c>
      <c r="AG193" s="798">
        <f t="shared" si="189"/>
        <v>1</v>
      </c>
      <c r="AH193" s="798">
        <f t="shared" si="189"/>
        <v>1</v>
      </c>
      <c r="AI193" s="798">
        <f t="shared" si="189"/>
        <v>1</v>
      </c>
      <c r="AJ193" s="798">
        <f t="shared" si="189"/>
        <v>1</v>
      </c>
      <c r="AK193" s="798">
        <f t="shared" si="189"/>
        <v>1</v>
      </c>
      <c r="AL193" s="798">
        <f t="shared" si="189"/>
        <v>1</v>
      </c>
      <c r="AM193" s="798">
        <f t="shared" si="189"/>
        <v>1</v>
      </c>
      <c r="AN193" s="798">
        <f t="shared" si="189"/>
        <v>1</v>
      </c>
      <c r="AO193" s="798">
        <f t="shared" si="189"/>
        <v>1</v>
      </c>
      <c r="AP193" s="798">
        <f t="shared" si="189"/>
        <v>1</v>
      </c>
      <c r="AQ193" s="798">
        <f t="shared" si="189"/>
        <v>1</v>
      </c>
      <c r="AR193" s="798">
        <f t="shared" si="189"/>
        <v>1</v>
      </c>
      <c r="AS193" s="798">
        <f t="shared" si="189"/>
        <v>1</v>
      </c>
      <c r="AT193" s="798">
        <f t="shared" si="189"/>
        <v>1</v>
      </c>
      <c r="AU193" s="798">
        <f t="shared" si="189"/>
        <v>1</v>
      </c>
      <c r="AV193" s="798">
        <f t="shared" si="189"/>
        <v>1</v>
      </c>
      <c r="AW193" s="798">
        <f t="shared" si="189"/>
        <v>1</v>
      </c>
      <c r="AX193" s="798">
        <f t="shared" si="189"/>
        <v>1</v>
      </c>
      <c r="AY193" s="798">
        <f t="shared" si="189"/>
        <v>1</v>
      </c>
      <c r="AZ193" s="798">
        <f t="shared" si="189"/>
        <v>1</v>
      </c>
      <c r="BA193" s="798">
        <f t="shared" si="189"/>
        <v>1</v>
      </c>
      <c r="BB193" s="798">
        <f t="shared" si="189"/>
        <v>1</v>
      </c>
      <c r="BC193" s="798">
        <f t="shared" si="189"/>
        <v>1</v>
      </c>
      <c r="BD193" s="798">
        <f t="shared" si="189"/>
        <v>1</v>
      </c>
      <c r="BE193" s="798">
        <f t="shared" si="189"/>
        <v>1</v>
      </c>
      <c r="BF193" s="798">
        <f t="shared" si="189"/>
        <v>1</v>
      </c>
      <c r="BG193" s="798">
        <f t="shared" si="189"/>
        <v>1</v>
      </c>
      <c r="BH193" s="798">
        <f t="shared" si="189"/>
        <v>1</v>
      </c>
      <c r="BI193" s="798">
        <f t="shared" si="189"/>
        <v>1</v>
      </c>
      <c r="BJ193" s="798">
        <f t="shared" si="189"/>
        <v>1</v>
      </c>
      <c r="BK193" s="798">
        <f t="shared" si="189"/>
        <v>1</v>
      </c>
      <c r="BL193" s="765"/>
      <c r="BM193" s="817"/>
      <c r="BN193" s="817"/>
    </row>
    <row r="194" hidden="1">
      <c r="A194" s="765"/>
      <c r="B194" s="765"/>
      <c r="C194" s="765"/>
      <c r="D194" s="765"/>
      <c r="E194" s="765"/>
      <c r="F194" s="765"/>
      <c r="G194" s="765"/>
      <c r="H194" s="765"/>
      <c r="I194" s="765">
        <f t="shared" si="17"/>
        <v>183</v>
      </c>
      <c r="J194" s="763">
        <f t="shared" si="5"/>
        <v>86597376165</v>
      </c>
      <c r="K194" s="796">
        <f t="shared" si="7"/>
        <v>0.32529</v>
      </c>
      <c r="L194" s="796">
        <v>5.0E-4</v>
      </c>
      <c r="M194" s="763">
        <v>9.87427322290431E10</v>
      </c>
      <c r="N194" s="797">
        <f t="shared" si="8"/>
        <v>0</v>
      </c>
      <c r="O194" s="798">
        <f t="shared" ref="O194:BK194" si="190">FLOOR(MIN((((N("value of ELS upgrade")+N$8*($K194-$K193))*(N("Check checkbox")+(IF($G$6=TRUE,$G$7,$G$8))/$G$8))/(N("ROI of ELS and multiply by 2 if ELS is 1:1")+IF($G$12 = True, 2, 1) * $J194))/((N("difference in ELS+ and the cost of it")+(($K193*O$8)-($K193*N$8)) / O$7)),(N("MIN lets it return 0 or 1 after floored")+1)),1)</f>
        <v>0</v>
      </c>
      <c r="P194" s="798">
        <f t="shared" si="190"/>
        <v>0</v>
      </c>
      <c r="Q194" s="798">
        <f t="shared" si="190"/>
        <v>0</v>
      </c>
      <c r="R194" s="798">
        <f t="shared" si="190"/>
        <v>1</v>
      </c>
      <c r="S194" s="798">
        <f t="shared" si="190"/>
        <v>1</v>
      </c>
      <c r="T194" s="798">
        <f t="shared" si="190"/>
        <v>1</v>
      </c>
      <c r="U194" s="798">
        <f t="shared" si="190"/>
        <v>1</v>
      </c>
      <c r="V194" s="798">
        <f t="shared" si="190"/>
        <v>1</v>
      </c>
      <c r="W194" s="798">
        <f t="shared" si="190"/>
        <v>1</v>
      </c>
      <c r="X194" s="798">
        <f t="shared" si="190"/>
        <v>1</v>
      </c>
      <c r="Y194" s="798">
        <f t="shared" si="190"/>
        <v>1</v>
      </c>
      <c r="Z194" s="798">
        <f t="shared" si="190"/>
        <v>1</v>
      </c>
      <c r="AA194" s="798">
        <f t="shared" si="190"/>
        <v>1</v>
      </c>
      <c r="AB194" s="798">
        <f t="shared" si="190"/>
        <v>1</v>
      </c>
      <c r="AC194" s="798">
        <f t="shared" si="190"/>
        <v>1</v>
      </c>
      <c r="AD194" s="798">
        <f t="shared" si="190"/>
        <v>1</v>
      </c>
      <c r="AE194" s="798">
        <f t="shared" si="190"/>
        <v>1</v>
      </c>
      <c r="AF194" s="798">
        <f t="shared" si="190"/>
        <v>1</v>
      </c>
      <c r="AG194" s="798">
        <f t="shared" si="190"/>
        <v>1</v>
      </c>
      <c r="AH194" s="798">
        <f t="shared" si="190"/>
        <v>1</v>
      </c>
      <c r="AI194" s="798">
        <f t="shared" si="190"/>
        <v>1</v>
      </c>
      <c r="AJ194" s="798">
        <f t="shared" si="190"/>
        <v>1</v>
      </c>
      <c r="AK194" s="798">
        <f t="shared" si="190"/>
        <v>1</v>
      </c>
      <c r="AL194" s="798">
        <f t="shared" si="190"/>
        <v>1</v>
      </c>
      <c r="AM194" s="798">
        <f t="shared" si="190"/>
        <v>1</v>
      </c>
      <c r="AN194" s="798">
        <f t="shared" si="190"/>
        <v>1</v>
      </c>
      <c r="AO194" s="798">
        <f t="shared" si="190"/>
        <v>1</v>
      </c>
      <c r="AP194" s="798">
        <f t="shared" si="190"/>
        <v>1</v>
      </c>
      <c r="AQ194" s="798">
        <f t="shared" si="190"/>
        <v>1</v>
      </c>
      <c r="AR194" s="798">
        <f t="shared" si="190"/>
        <v>1</v>
      </c>
      <c r="AS194" s="798">
        <f t="shared" si="190"/>
        <v>1</v>
      </c>
      <c r="AT194" s="798">
        <f t="shared" si="190"/>
        <v>1</v>
      </c>
      <c r="AU194" s="798">
        <f t="shared" si="190"/>
        <v>1</v>
      </c>
      <c r="AV194" s="798">
        <f t="shared" si="190"/>
        <v>1</v>
      </c>
      <c r="AW194" s="798">
        <f t="shared" si="190"/>
        <v>1</v>
      </c>
      <c r="AX194" s="798">
        <f t="shared" si="190"/>
        <v>1</v>
      </c>
      <c r="AY194" s="798">
        <f t="shared" si="190"/>
        <v>1</v>
      </c>
      <c r="AZ194" s="798">
        <f t="shared" si="190"/>
        <v>1</v>
      </c>
      <c r="BA194" s="798">
        <f t="shared" si="190"/>
        <v>1</v>
      </c>
      <c r="BB194" s="798">
        <f t="shared" si="190"/>
        <v>1</v>
      </c>
      <c r="BC194" s="798">
        <f t="shared" si="190"/>
        <v>1</v>
      </c>
      <c r="BD194" s="798">
        <f t="shared" si="190"/>
        <v>1</v>
      </c>
      <c r="BE194" s="798">
        <f t="shared" si="190"/>
        <v>1</v>
      </c>
      <c r="BF194" s="798">
        <f t="shared" si="190"/>
        <v>1</v>
      </c>
      <c r="BG194" s="798">
        <f t="shared" si="190"/>
        <v>1</v>
      </c>
      <c r="BH194" s="798">
        <f t="shared" si="190"/>
        <v>1</v>
      </c>
      <c r="BI194" s="798">
        <f t="shared" si="190"/>
        <v>1</v>
      </c>
      <c r="BJ194" s="798">
        <f t="shared" si="190"/>
        <v>1</v>
      </c>
      <c r="BK194" s="798">
        <f t="shared" si="190"/>
        <v>1</v>
      </c>
      <c r="BL194" s="765"/>
      <c r="BM194" s="817"/>
      <c r="BN194" s="817"/>
    </row>
    <row r="195" hidden="1">
      <c r="A195" s="765"/>
      <c r="B195" s="765"/>
      <c r="C195" s="765"/>
      <c r="D195" s="765"/>
      <c r="E195" s="765"/>
      <c r="F195" s="765"/>
      <c r="G195" s="765"/>
      <c r="H195" s="765"/>
      <c r="I195" s="765">
        <f t="shared" si="17"/>
        <v>184</v>
      </c>
      <c r="J195" s="763">
        <f t="shared" si="5"/>
        <v>87080755974</v>
      </c>
      <c r="K195" s="796">
        <f t="shared" si="7"/>
        <v>0.32579</v>
      </c>
      <c r="L195" s="796">
        <v>5.0E-4</v>
      </c>
      <c r="M195" s="763">
        <v>9.9293906469671E10</v>
      </c>
      <c r="N195" s="797">
        <f t="shared" si="8"/>
        <v>0</v>
      </c>
      <c r="O195" s="798">
        <f t="shared" ref="O195:BK195" si="191">FLOOR(MIN((((N("value of ELS upgrade")+N$8*($K195-$K194))*(N("Check checkbox")+(IF($G$6=TRUE,$G$7,$G$8))/$G$8))/(N("ROI of ELS and multiply by 2 if ELS is 1:1")+IF($G$12 = True, 2, 1) * $J195))/((N("difference in ELS+ and the cost of it")+(($K194*O$8)-($K194*N$8)) / O$7)),(N("MIN lets it return 0 or 1 after floored")+1)),1)</f>
        <v>0</v>
      </c>
      <c r="P195" s="798">
        <f t="shared" si="191"/>
        <v>0</v>
      </c>
      <c r="Q195" s="798">
        <f t="shared" si="191"/>
        <v>0</v>
      </c>
      <c r="R195" s="798">
        <f t="shared" si="191"/>
        <v>0</v>
      </c>
      <c r="S195" s="798">
        <f t="shared" si="191"/>
        <v>1</v>
      </c>
      <c r="T195" s="798">
        <f t="shared" si="191"/>
        <v>1</v>
      </c>
      <c r="U195" s="798">
        <f t="shared" si="191"/>
        <v>1</v>
      </c>
      <c r="V195" s="798">
        <f t="shared" si="191"/>
        <v>1</v>
      </c>
      <c r="W195" s="798">
        <f t="shared" si="191"/>
        <v>1</v>
      </c>
      <c r="X195" s="798">
        <f t="shared" si="191"/>
        <v>1</v>
      </c>
      <c r="Y195" s="798">
        <f t="shared" si="191"/>
        <v>1</v>
      </c>
      <c r="Z195" s="798">
        <f t="shared" si="191"/>
        <v>1</v>
      </c>
      <c r="AA195" s="798">
        <f t="shared" si="191"/>
        <v>1</v>
      </c>
      <c r="AB195" s="798">
        <f t="shared" si="191"/>
        <v>1</v>
      </c>
      <c r="AC195" s="798">
        <f t="shared" si="191"/>
        <v>1</v>
      </c>
      <c r="AD195" s="798">
        <f t="shared" si="191"/>
        <v>1</v>
      </c>
      <c r="AE195" s="798">
        <f t="shared" si="191"/>
        <v>1</v>
      </c>
      <c r="AF195" s="798">
        <f t="shared" si="191"/>
        <v>1</v>
      </c>
      <c r="AG195" s="798">
        <f t="shared" si="191"/>
        <v>1</v>
      </c>
      <c r="AH195" s="798">
        <f t="shared" si="191"/>
        <v>1</v>
      </c>
      <c r="AI195" s="798">
        <f t="shared" si="191"/>
        <v>1</v>
      </c>
      <c r="AJ195" s="798">
        <f t="shared" si="191"/>
        <v>1</v>
      </c>
      <c r="AK195" s="798">
        <f t="shared" si="191"/>
        <v>1</v>
      </c>
      <c r="AL195" s="798">
        <f t="shared" si="191"/>
        <v>1</v>
      </c>
      <c r="AM195" s="798">
        <f t="shared" si="191"/>
        <v>1</v>
      </c>
      <c r="AN195" s="798">
        <f t="shared" si="191"/>
        <v>1</v>
      </c>
      <c r="AO195" s="798">
        <f t="shared" si="191"/>
        <v>1</v>
      </c>
      <c r="AP195" s="798">
        <f t="shared" si="191"/>
        <v>1</v>
      </c>
      <c r="AQ195" s="798">
        <f t="shared" si="191"/>
        <v>1</v>
      </c>
      <c r="AR195" s="798">
        <f t="shared" si="191"/>
        <v>1</v>
      </c>
      <c r="AS195" s="798">
        <f t="shared" si="191"/>
        <v>1</v>
      </c>
      <c r="AT195" s="798">
        <f t="shared" si="191"/>
        <v>1</v>
      </c>
      <c r="AU195" s="798">
        <f t="shared" si="191"/>
        <v>1</v>
      </c>
      <c r="AV195" s="798">
        <f t="shared" si="191"/>
        <v>1</v>
      </c>
      <c r="AW195" s="798">
        <f t="shared" si="191"/>
        <v>1</v>
      </c>
      <c r="AX195" s="798">
        <f t="shared" si="191"/>
        <v>1</v>
      </c>
      <c r="AY195" s="798">
        <f t="shared" si="191"/>
        <v>1</v>
      </c>
      <c r="AZ195" s="798">
        <f t="shared" si="191"/>
        <v>1</v>
      </c>
      <c r="BA195" s="798">
        <f t="shared" si="191"/>
        <v>1</v>
      </c>
      <c r="BB195" s="798">
        <f t="shared" si="191"/>
        <v>1</v>
      </c>
      <c r="BC195" s="798">
        <f t="shared" si="191"/>
        <v>1</v>
      </c>
      <c r="BD195" s="798">
        <f t="shared" si="191"/>
        <v>1</v>
      </c>
      <c r="BE195" s="798">
        <f t="shared" si="191"/>
        <v>1</v>
      </c>
      <c r="BF195" s="798">
        <f t="shared" si="191"/>
        <v>1</v>
      </c>
      <c r="BG195" s="798">
        <f t="shared" si="191"/>
        <v>1</v>
      </c>
      <c r="BH195" s="798">
        <f t="shared" si="191"/>
        <v>1</v>
      </c>
      <c r="BI195" s="798">
        <f t="shared" si="191"/>
        <v>1</v>
      </c>
      <c r="BJ195" s="798">
        <f t="shared" si="191"/>
        <v>1</v>
      </c>
      <c r="BK195" s="798">
        <f t="shared" si="191"/>
        <v>1</v>
      </c>
      <c r="BL195" s="765"/>
      <c r="BM195" s="817"/>
      <c r="BN195" s="817"/>
    </row>
    <row r="196" hidden="1">
      <c r="A196" s="765"/>
      <c r="B196" s="765"/>
      <c r="C196" s="765"/>
      <c r="D196" s="765"/>
      <c r="E196" s="765"/>
      <c r="F196" s="765"/>
      <c r="G196" s="765"/>
      <c r="H196" s="765"/>
      <c r="I196" s="765">
        <f t="shared" si="17"/>
        <v>185</v>
      </c>
      <c r="J196" s="763">
        <f t="shared" si="5"/>
        <v>87565054668</v>
      </c>
      <c r="K196" s="796">
        <f t="shared" si="7"/>
        <v>0.32629</v>
      </c>
      <c r="L196" s="796">
        <v>5.0E-4</v>
      </c>
      <c r="M196" s="763">
        <v>9.98461284699837E10</v>
      </c>
      <c r="N196" s="797">
        <f t="shared" si="8"/>
        <v>0</v>
      </c>
      <c r="O196" s="798">
        <f t="shared" ref="O196:BK196" si="192">FLOOR(MIN((((N("value of ELS upgrade")+N$8*($K196-$K195))*(N("Check checkbox")+(IF($G$6=TRUE,$G$7,$G$8))/$G$8))/(N("ROI of ELS and multiply by 2 if ELS is 1:1")+IF($G$12 = True, 2, 1) * $J196))/((N("difference in ELS+ and the cost of it")+(($K195*O$8)-($K195*N$8)) / O$7)),(N("MIN lets it return 0 or 1 after floored")+1)),1)</f>
        <v>0</v>
      </c>
      <c r="P196" s="798">
        <f t="shared" si="192"/>
        <v>0</v>
      </c>
      <c r="Q196" s="798">
        <f t="shared" si="192"/>
        <v>0</v>
      </c>
      <c r="R196" s="798">
        <f t="shared" si="192"/>
        <v>0</v>
      </c>
      <c r="S196" s="798">
        <f t="shared" si="192"/>
        <v>1</v>
      </c>
      <c r="T196" s="798">
        <f t="shared" si="192"/>
        <v>1</v>
      </c>
      <c r="U196" s="798">
        <f t="shared" si="192"/>
        <v>1</v>
      </c>
      <c r="V196" s="798">
        <f t="shared" si="192"/>
        <v>1</v>
      </c>
      <c r="W196" s="798">
        <f t="shared" si="192"/>
        <v>1</v>
      </c>
      <c r="X196" s="798">
        <f t="shared" si="192"/>
        <v>1</v>
      </c>
      <c r="Y196" s="798">
        <f t="shared" si="192"/>
        <v>1</v>
      </c>
      <c r="Z196" s="798">
        <f t="shared" si="192"/>
        <v>1</v>
      </c>
      <c r="AA196" s="798">
        <f t="shared" si="192"/>
        <v>1</v>
      </c>
      <c r="AB196" s="798">
        <f t="shared" si="192"/>
        <v>1</v>
      </c>
      <c r="AC196" s="798">
        <f t="shared" si="192"/>
        <v>1</v>
      </c>
      <c r="AD196" s="798">
        <f t="shared" si="192"/>
        <v>1</v>
      </c>
      <c r="AE196" s="798">
        <f t="shared" si="192"/>
        <v>1</v>
      </c>
      <c r="AF196" s="798">
        <f t="shared" si="192"/>
        <v>1</v>
      </c>
      <c r="AG196" s="798">
        <f t="shared" si="192"/>
        <v>1</v>
      </c>
      <c r="AH196" s="798">
        <f t="shared" si="192"/>
        <v>1</v>
      </c>
      <c r="AI196" s="798">
        <f t="shared" si="192"/>
        <v>1</v>
      </c>
      <c r="AJ196" s="798">
        <f t="shared" si="192"/>
        <v>1</v>
      </c>
      <c r="AK196" s="798">
        <f t="shared" si="192"/>
        <v>1</v>
      </c>
      <c r="AL196" s="798">
        <f t="shared" si="192"/>
        <v>1</v>
      </c>
      <c r="AM196" s="798">
        <f t="shared" si="192"/>
        <v>1</v>
      </c>
      <c r="AN196" s="798">
        <f t="shared" si="192"/>
        <v>1</v>
      </c>
      <c r="AO196" s="798">
        <f t="shared" si="192"/>
        <v>1</v>
      </c>
      <c r="AP196" s="798">
        <f t="shared" si="192"/>
        <v>1</v>
      </c>
      <c r="AQ196" s="798">
        <f t="shared" si="192"/>
        <v>1</v>
      </c>
      <c r="AR196" s="798">
        <f t="shared" si="192"/>
        <v>1</v>
      </c>
      <c r="AS196" s="798">
        <f t="shared" si="192"/>
        <v>1</v>
      </c>
      <c r="AT196" s="798">
        <f t="shared" si="192"/>
        <v>1</v>
      </c>
      <c r="AU196" s="798">
        <f t="shared" si="192"/>
        <v>1</v>
      </c>
      <c r="AV196" s="798">
        <f t="shared" si="192"/>
        <v>1</v>
      </c>
      <c r="AW196" s="798">
        <f t="shared" si="192"/>
        <v>1</v>
      </c>
      <c r="AX196" s="798">
        <f t="shared" si="192"/>
        <v>1</v>
      </c>
      <c r="AY196" s="798">
        <f t="shared" si="192"/>
        <v>1</v>
      </c>
      <c r="AZ196" s="798">
        <f t="shared" si="192"/>
        <v>1</v>
      </c>
      <c r="BA196" s="798">
        <f t="shared" si="192"/>
        <v>1</v>
      </c>
      <c r="BB196" s="798">
        <f t="shared" si="192"/>
        <v>1</v>
      </c>
      <c r="BC196" s="798">
        <f t="shared" si="192"/>
        <v>1</v>
      </c>
      <c r="BD196" s="798">
        <f t="shared" si="192"/>
        <v>1</v>
      </c>
      <c r="BE196" s="798">
        <f t="shared" si="192"/>
        <v>1</v>
      </c>
      <c r="BF196" s="798">
        <f t="shared" si="192"/>
        <v>1</v>
      </c>
      <c r="BG196" s="798">
        <f t="shared" si="192"/>
        <v>1</v>
      </c>
      <c r="BH196" s="798">
        <f t="shared" si="192"/>
        <v>1</v>
      </c>
      <c r="BI196" s="798">
        <f t="shared" si="192"/>
        <v>1</v>
      </c>
      <c r="BJ196" s="798">
        <f t="shared" si="192"/>
        <v>1</v>
      </c>
      <c r="BK196" s="798">
        <f t="shared" si="192"/>
        <v>1</v>
      </c>
      <c r="BL196" s="765"/>
      <c r="BM196" s="817"/>
      <c r="BN196" s="817"/>
    </row>
    <row r="197" hidden="1">
      <c r="A197" s="765"/>
      <c r="B197" s="765"/>
      <c r="C197" s="765"/>
      <c r="D197" s="765"/>
      <c r="E197" s="765"/>
      <c r="F197" s="765"/>
      <c r="G197" s="765"/>
      <c r="H197" s="765"/>
      <c r="I197" s="765">
        <f t="shared" si="17"/>
        <v>186</v>
      </c>
      <c r="J197" s="763">
        <f t="shared" si="5"/>
        <v>88050280080</v>
      </c>
      <c r="K197" s="796">
        <f t="shared" si="7"/>
        <v>0.32679</v>
      </c>
      <c r="L197" s="796">
        <v>5.0E-4</v>
      </c>
      <c r="M197" s="763">
        <v>1.00399407161086E11</v>
      </c>
      <c r="N197" s="797">
        <f t="shared" si="8"/>
        <v>0</v>
      </c>
      <c r="O197" s="798">
        <f t="shared" ref="O197:BK197" si="193">FLOOR(MIN((((N("value of ELS upgrade")+N$8*($K197-$K196))*(N("Check checkbox")+(IF($G$6=TRUE,$G$7,$G$8))/$G$8))/(N("ROI of ELS and multiply by 2 if ELS is 1:1")+IF($G$12 = True, 2, 1) * $J197))/((N("difference in ELS+ and the cost of it")+(($K196*O$8)-($K196*N$8)) / O$7)),(N("MIN lets it return 0 or 1 after floored")+1)),1)</f>
        <v>0</v>
      </c>
      <c r="P197" s="798">
        <f t="shared" si="193"/>
        <v>0</v>
      </c>
      <c r="Q197" s="798">
        <f t="shared" si="193"/>
        <v>0</v>
      </c>
      <c r="R197" s="798">
        <f t="shared" si="193"/>
        <v>0</v>
      </c>
      <c r="S197" s="798">
        <f t="shared" si="193"/>
        <v>1</v>
      </c>
      <c r="T197" s="798">
        <f t="shared" si="193"/>
        <v>1</v>
      </c>
      <c r="U197" s="798">
        <f t="shared" si="193"/>
        <v>1</v>
      </c>
      <c r="V197" s="798">
        <f t="shared" si="193"/>
        <v>1</v>
      </c>
      <c r="W197" s="798">
        <f t="shared" si="193"/>
        <v>1</v>
      </c>
      <c r="X197" s="798">
        <f t="shared" si="193"/>
        <v>1</v>
      </c>
      <c r="Y197" s="798">
        <f t="shared" si="193"/>
        <v>1</v>
      </c>
      <c r="Z197" s="798">
        <f t="shared" si="193"/>
        <v>1</v>
      </c>
      <c r="AA197" s="798">
        <f t="shared" si="193"/>
        <v>1</v>
      </c>
      <c r="AB197" s="798">
        <f t="shared" si="193"/>
        <v>1</v>
      </c>
      <c r="AC197" s="798">
        <f t="shared" si="193"/>
        <v>1</v>
      </c>
      <c r="AD197" s="798">
        <f t="shared" si="193"/>
        <v>1</v>
      </c>
      <c r="AE197" s="798">
        <f t="shared" si="193"/>
        <v>1</v>
      </c>
      <c r="AF197" s="798">
        <f t="shared" si="193"/>
        <v>1</v>
      </c>
      <c r="AG197" s="798">
        <f t="shared" si="193"/>
        <v>1</v>
      </c>
      <c r="AH197" s="798">
        <f t="shared" si="193"/>
        <v>1</v>
      </c>
      <c r="AI197" s="798">
        <f t="shared" si="193"/>
        <v>1</v>
      </c>
      <c r="AJ197" s="798">
        <f t="shared" si="193"/>
        <v>1</v>
      </c>
      <c r="AK197" s="798">
        <f t="shared" si="193"/>
        <v>1</v>
      </c>
      <c r="AL197" s="798">
        <f t="shared" si="193"/>
        <v>1</v>
      </c>
      <c r="AM197" s="798">
        <f t="shared" si="193"/>
        <v>1</v>
      </c>
      <c r="AN197" s="798">
        <f t="shared" si="193"/>
        <v>1</v>
      </c>
      <c r="AO197" s="798">
        <f t="shared" si="193"/>
        <v>1</v>
      </c>
      <c r="AP197" s="798">
        <f t="shared" si="193"/>
        <v>1</v>
      </c>
      <c r="AQ197" s="798">
        <f t="shared" si="193"/>
        <v>1</v>
      </c>
      <c r="AR197" s="798">
        <f t="shared" si="193"/>
        <v>1</v>
      </c>
      <c r="AS197" s="798">
        <f t="shared" si="193"/>
        <v>1</v>
      </c>
      <c r="AT197" s="798">
        <f t="shared" si="193"/>
        <v>1</v>
      </c>
      <c r="AU197" s="798">
        <f t="shared" si="193"/>
        <v>1</v>
      </c>
      <c r="AV197" s="798">
        <f t="shared" si="193"/>
        <v>1</v>
      </c>
      <c r="AW197" s="798">
        <f t="shared" si="193"/>
        <v>1</v>
      </c>
      <c r="AX197" s="798">
        <f t="shared" si="193"/>
        <v>1</v>
      </c>
      <c r="AY197" s="798">
        <f t="shared" si="193"/>
        <v>1</v>
      </c>
      <c r="AZ197" s="798">
        <f t="shared" si="193"/>
        <v>1</v>
      </c>
      <c r="BA197" s="798">
        <f t="shared" si="193"/>
        <v>1</v>
      </c>
      <c r="BB197" s="798">
        <f t="shared" si="193"/>
        <v>1</v>
      </c>
      <c r="BC197" s="798">
        <f t="shared" si="193"/>
        <v>1</v>
      </c>
      <c r="BD197" s="798">
        <f t="shared" si="193"/>
        <v>1</v>
      </c>
      <c r="BE197" s="798">
        <f t="shared" si="193"/>
        <v>1</v>
      </c>
      <c r="BF197" s="798">
        <f t="shared" si="193"/>
        <v>1</v>
      </c>
      <c r="BG197" s="798">
        <f t="shared" si="193"/>
        <v>1</v>
      </c>
      <c r="BH197" s="798">
        <f t="shared" si="193"/>
        <v>1</v>
      </c>
      <c r="BI197" s="798">
        <f t="shared" si="193"/>
        <v>1</v>
      </c>
      <c r="BJ197" s="798">
        <f t="shared" si="193"/>
        <v>1</v>
      </c>
      <c r="BK197" s="798">
        <f t="shared" si="193"/>
        <v>1</v>
      </c>
      <c r="BL197" s="765"/>
      <c r="BM197" s="817"/>
      <c r="BN197" s="817"/>
    </row>
    <row r="198" hidden="1">
      <c r="A198" s="765"/>
      <c r="B198" s="765"/>
      <c r="C198" s="765"/>
      <c r="D198" s="765"/>
      <c r="E198" s="765"/>
      <c r="F198" s="765"/>
      <c r="G198" s="765"/>
      <c r="H198" s="765"/>
      <c r="I198" s="765">
        <f t="shared" si="17"/>
        <v>187</v>
      </c>
      <c r="J198" s="763">
        <f t="shared" si="5"/>
        <v>88536438394</v>
      </c>
      <c r="K198" s="796">
        <f t="shared" si="7"/>
        <v>0.32729</v>
      </c>
      <c r="L198" s="796">
        <v>5.0E-4</v>
      </c>
      <c r="M198" s="763">
        <v>1.00953749593852E11</v>
      </c>
      <c r="N198" s="797">
        <f t="shared" si="8"/>
        <v>0</v>
      </c>
      <c r="O198" s="798">
        <f t="shared" ref="O198:BK198" si="194">FLOOR(MIN((((N("value of ELS upgrade")+N$8*($K198-$K197))*(N("Check checkbox")+(IF($G$6=TRUE,$G$7,$G$8))/$G$8))/(N("ROI of ELS and multiply by 2 if ELS is 1:1")+IF($G$12 = True, 2, 1) * $J198))/((N("difference in ELS+ and the cost of it")+(($K197*O$8)-($K197*N$8)) / O$7)),(N("MIN lets it return 0 or 1 after floored")+1)),1)</f>
        <v>0</v>
      </c>
      <c r="P198" s="798">
        <f t="shared" si="194"/>
        <v>0</v>
      </c>
      <c r="Q198" s="798">
        <f t="shared" si="194"/>
        <v>0</v>
      </c>
      <c r="R198" s="798">
        <f t="shared" si="194"/>
        <v>0</v>
      </c>
      <c r="S198" s="798">
        <f t="shared" si="194"/>
        <v>1</v>
      </c>
      <c r="T198" s="798">
        <f t="shared" si="194"/>
        <v>1</v>
      </c>
      <c r="U198" s="798">
        <f t="shared" si="194"/>
        <v>1</v>
      </c>
      <c r="V198" s="798">
        <f t="shared" si="194"/>
        <v>1</v>
      </c>
      <c r="W198" s="798">
        <f t="shared" si="194"/>
        <v>1</v>
      </c>
      <c r="X198" s="798">
        <f t="shared" si="194"/>
        <v>1</v>
      </c>
      <c r="Y198" s="798">
        <f t="shared" si="194"/>
        <v>1</v>
      </c>
      <c r="Z198" s="798">
        <f t="shared" si="194"/>
        <v>1</v>
      </c>
      <c r="AA198" s="798">
        <f t="shared" si="194"/>
        <v>1</v>
      </c>
      <c r="AB198" s="798">
        <f t="shared" si="194"/>
        <v>1</v>
      </c>
      <c r="AC198" s="798">
        <f t="shared" si="194"/>
        <v>1</v>
      </c>
      <c r="AD198" s="798">
        <f t="shared" si="194"/>
        <v>1</v>
      </c>
      <c r="AE198" s="798">
        <f t="shared" si="194"/>
        <v>1</v>
      </c>
      <c r="AF198" s="798">
        <f t="shared" si="194"/>
        <v>1</v>
      </c>
      <c r="AG198" s="798">
        <f t="shared" si="194"/>
        <v>1</v>
      </c>
      <c r="AH198" s="798">
        <f t="shared" si="194"/>
        <v>1</v>
      </c>
      <c r="AI198" s="798">
        <f t="shared" si="194"/>
        <v>1</v>
      </c>
      <c r="AJ198" s="798">
        <f t="shared" si="194"/>
        <v>1</v>
      </c>
      <c r="AK198" s="798">
        <f t="shared" si="194"/>
        <v>1</v>
      </c>
      <c r="AL198" s="798">
        <f t="shared" si="194"/>
        <v>1</v>
      </c>
      <c r="AM198" s="798">
        <f t="shared" si="194"/>
        <v>1</v>
      </c>
      <c r="AN198" s="798">
        <f t="shared" si="194"/>
        <v>1</v>
      </c>
      <c r="AO198" s="798">
        <f t="shared" si="194"/>
        <v>1</v>
      </c>
      <c r="AP198" s="798">
        <f t="shared" si="194"/>
        <v>1</v>
      </c>
      <c r="AQ198" s="798">
        <f t="shared" si="194"/>
        <v>1</v>
      </c>
      <c r="AR198" s="798">
        <f t="shared" si="194"/>
        <v>1</v>
      </c>
      <c r="AS198" s="798">
        <f t="shared" si="194"/>
        <v>1</v>
      </c>
      <c r="AT198" s="798">
        <f t="shared" si="194"/>
        <v>1</v>
      </c>
      <c r="AU198" s="798">
        <f t="shared" si="194"/>
        <v>1</v>
      </c>
      <c r="AV198" s="798">
        <f t="shared" si="194"/>
        <v>1</v>
      </c>
      <c r="AW198" s="798">
        <f t="shared" si="194"/>
        <v>1</v>
      </c>
      <c r="AX198" s="798">
        <f t="shared" si="194"/>
        <v>1</v>
      </c>
      <c r="AY198" s="798">
        <f t="shared" si="194"/>
        <v>1</v>
      </c>
      <c r="AZ198" s="798">
        <f t="shared" si="194"/>
        <v>1</v>
      </c>
      <c r="BA198" s="798">
        <f t="shared" si="194"/>
        <v>1</v>
      </c>
      <c r="BB198" s="798">
        <f t="shared" si="194"/>
        <v>1</v>
      </c>
      <c r="BC198" s="798">
        <f t="shared" si="194"/>
        <v>1</v>
      </c>
      <c r="BD198" s="798">
        <f t="shared" si="194"/>
        <v>1</v>
      </c>
      <c r="BE198" s="798">
        <f t="shared" si="194"/>
        <v>1</v>
      </c>
      <c r="BF198" s="798">
        <f t="shared" si="194"/>
        <v>1</v>
      </c>
      <c r="BG198" s="798">
        <f t="shared" si="194"/>
        <v>1</v>
      </c>
      <c r="BH198" s="798">
        <f t="shared" si="194"/>
        <v>1</v>
      </c>
      <c r="BI198" s="798">
        <f t="shared" si="194"/>
        <v>1</v>
      </c>
      <c r="BJ198" s="798">
        <f t="shared" si="194"/>
        <v>1</v>
      </c>
      <c r="BK198" s="798">
        <f t="shared" si="194"/>
        <v>1</v>
      </c>
      <c r="BL198" s="765"/>
      <c r="BM198" s="817"/>
      <c r="BN198" s="817"/>
    </row>
    <row r="199" hidden="1">
      <c r="A199" s="765"/>
      <c r="B199" s="765"/>
      <c r="C199" s="765"/>
      <c r="D199" s="765"/>
      <c r="E199" s="765"/>
      <c r="F199" s="765"/>
      <c r="G199" s="765"/>
      <c r="H199" s="765"/>
      <c r="I199" s="765">
        <f t="shared" si="17"/>
        <v>188</v>
      </c>
      <c r="J199" s="763">
        <f t="shared" si="5"/>
        <v>89023536617</v>
      </c>
      <c r="K199" s="796">
        <f t="shared" si="7"/>
        <v>0.32779</v>
      </c>
      <c r="L199" s="796">
        <v>5.0E-4</v>
      </c>
      <c r="M199" s="763">
        <v>1.01509163759269E11</v>
      </c>
      <c r="N199" s="797">
        <f t="shared" si="8"/>
        <v>0</v>
      </c>
      <c r="O199" s="798">
        <f t="shared" ref="O199:BK199" si="195">FLOOR(MIN((((N("value of ELS upgrade")+N$8*($K199-$K198))*(N("Check checkbox")+(IF($G$6=TRUE,$G$7,$G$8))/$G$8))/(N("ROI of ELS and multiply by 2 if ELS is 1:1")+IF($G$12 = True, 2, 1) * $J199))/((N("difference in ELS+ and the cost of it")+(($K198*O$8)-($K198*N$8)) / O$7)),(N("MIN lets it return 0 or 1 after floored")+1)),1)</f>
        <v>0</v>
      </c>
      <c r="P199" s="798">
        <f t="shared" si="195"/>
        <v>0</v>
      </c>
      <c r="Q199" s="798">
        <f t="shared" si="195"/>
        <v>0</v>
      </c>
      <c r="R199" s="798">
        <f t="shared" si="195"/>
        <v>0</v>
      </c>
      <c r="S199" s="798">
        <f t="shared" si="195"/>
        <v>1</v>
      </c>
      <c r="T199" s="798">
        <f t="shared" si="195"/>
        <v>1</v>
      </c>
      <c r="U199" s="798">
        <f t="shared" si="195"/>
        <v>1</v>
      </c>
      <c r="V199" s="798">
        <f t="shared" si="195"/>
        <v>1</v>
      </c>
      <c r="W199" s="798">
        <f t="shared" si="195"/>
        <v>1</v>
      </c>
      <c r="X199" s="798">
        <f t="shared" si="195"/>
        <v>1</v>
      </c>
      <c r="Y199" s="798">
        <f t="shared" si="195"/>
        <v>1</v>
      </c>
      <c r="Z199" s="798">
        <f t="shared" si="195"/>
        <v>1</v>
      </c>
      <c r="AA199" s="798">
        <f t="shared" si="195"/>
        <v>1</v>
      </c>
      <c r="AB199" s="798">
        <f t="shared" si="195"/>
        <v>1</v>
      </c>
      <c r="AC199" s="798">
        <f t="shared" si="195"/>
        <v>1</v>
      </c>
      <c r="AD199" s="798">
        <f t="shared" si="195"/>
        <v>1</v>
      </c>
      <c r="AE199" s="798">
        <f t="shared" si="195"/>
        <v>1</v>
      </c>
      <c r="AF199" s="798">
        <f t="shared" si="195"/>
        <v>1</v>
      </c>
      <c r="AG199" s="798">
        <f t="shared" si="195"/>
        <v>1</v>
      </c>
      <c r="AH199" s="798">
        <f t="shared" si="195"/>
        <v>1</v>
      </c>
      <c r="AI199" s="798">
        <f t="shared" si="195"/>
        <v>1</v>
      </c>
      <c r="AJ199" s="798">
        <f t="shared" si="195"/>
        <v>1</v>
      </c>
      <c r="AK199" s="798">
        <f t="shared" si="195"/>
        <v>1</v>
      </c>
      <c r="AL199" s="798">
        <f t="shared" si="195"/>
        <v>1</v>
      </c>
      <c r="AM199" s="798">
        <f t="shared" si="195"/>
        <v>1</v>
      </c>
      <c r="AN199" s="798">
        <f t="shared" si="195"/>
        <v>1</v>
      </c>
      <c r="AO199" s="798">
        <f t="shared" si="195"/>
        <v>1</v>
      </c>
      <c r="AP199" s="798">
        <f t="shared" si="195"/>
        <v>1</v>
      </c>
      <c r="AQ199" s="798">
        <f t="shared" si="195"/>
        <v>1</v>
      </c>
      <c r="AR199" s="798">
        <f t="shared" si="195"/>
        <v>1</v>
      </c>
      <c r="AS199" s="798">
        <f t="shared" si="195"/>
        <v>1</v>
      </c>
      <c r="AT199" s="798">
        <f t="shared" si="195"/>
        <v>1</v>
      </c>
      <c r="AU199" s="798">
        <f t="shared" si="195"/>
        <v>1</v>
      </c>
      <c r="AV199" s="798">
        <f t="shared" si="195"/>
        <v>1</v>
      </c>
      <c r="AW199" s="798">
        <f t="shared" si="195"/>
        <v>1</v>
      </c>
      <c r="AX199" s="798">
        <f t="shared" si="195"/>
        <v>1</v>
      </c>
      <c r="AY199" s="798">
        <f t="shared" si="195"/>
        <v>1</v>
      </c>
      <c r="AZ199" s="798">
        <f t="shared" si="195"/>
        <v>1</v>
      </c>
      <c r="BA199" s="798">
        <f t="shared" si="195"/>
        <v>1</v>
      </c>
      <c r="BB199" s="798">
        <f t="shared" si="195"/>
        <v>1</v>
      </c>
      <c r="BC199" s="798">
        <f t="shared" si="195"/>
        <v>1</v>
      </c>
      <c r="BD199" s="798">
        <f t="shared" si="195"/>
        <v>1</v>
      </c>
      <c r="BE199" s="798">
        <f t="shared" si="195"/>
        <v>1</v>
      </c>
      <c r="BF199" s="798">
        <f t="shared" si="195"/>
        <v>1</v>
      </c>
      <c r="BG199" s="798">
        <f t="shared" si="195"/>
        <v>1</v>
      </c>
      <c r="BH199" s="798">
        <f t="shared" si="195"/>
        <v>1</v>
      </c>
      <c r="BI199" s="798">
        <f t="shared" si="195"/>
        <v>1</v>
      </c>
      <c r="BJ199" s="798">
        <f t="shared" si="195"/>
        <v>1</v>
      </c>
      <c r="BK199" s="798">
        <f t="shared" si="195"/>
        <v>1</v>
      </c>
      <c r="BL199" s="765"/>
      <c r="BM199" s="817"/>
      <c r="BN199" s="817"/>
    </row>
    <row r="200" hidden="1">
      <c r="A200" s="765"/>
      <c r="B200" s="765"/>
      <c r="C200" s="765"/>
      <c r="D200" s="765"/>
      <c r="E200" s="765"/>
      <c r="F200" s="765"/>
      <c r="G200" s="765"/>
      <c r="H200" s="765"/>
      <c r="I200" s="765">
        <f t="shared" si="17"/>
        <v>189</v>
      </c>
      <c r="J200" s="763">
        <f t="shared" si="5"/>
        <v>89511580933</v>
      </c>
      <c r="K200" s="796">
        <f t="shared" si="7"/>
        <v>0.32829</v>
      </c>
      <c r="L200" s="796">
        <v>5.0E-4</v>
      </c>
      <c r="M200" s="763">
        <v>1.02065656708211E11</v>
      </c>
      <c r="N200" s="797">
        <f t="shared" si="8"/>
        <v>0</v>
      </c>
      <c r="O200" s="798">
        <f t="shared" ref="O200:BK200" si="196">FLOOR(MIN((((N("value of ELS upgrade")+N$8*($K200-$K199))*(N("Check checkbox")+(IF($G$6=TRUE,$G$7,$G$8))/$G$8))/(N("ROI of ELS and multiply by 2 if ELS is 1:1")+IF($G$12 = True, 2, 1) * $J200))/((N("difference in ELS+ and the cost of it")+(($K199*O$8)-($K199*N$8)) / O$7)),(N("MIN lets it return 0 or 1 after floored")+1)),1)</f>
        <v>0</v>
      </c>
      <c r="P200" s="798">
        <f t="shared" si="196"/>
        <v>0</v>
      </c>
      <c r="Q200" s="798">
        <f t="shared" si="196"/>
        <v>0</v>
      </c>
      <c r="R200" s="798">
        <f t="shared" si="196"/>
        <v>0</v>
      </c>
      <c r="S200" s="798">
        <f t="shared" si="196"/>
        <v>1</v>
      </c>
      <c r="T200" s="798">
        <f t="shared" si="196"/>
        <v>1</v>
      </c>
      <c r="U200" s="798">
        <f t="shared" si="196"/>
        <v>1</v>
      </c>
      <c r="V200" s="798">
        <f t="shared" si="196"/>
        <v>1</v>
      </c>
      <c r="W200" s="798">
        <f t="shared" si="196"/>
        <v>1</v>
      </c>
      <c r="X200" s="798">
        <f t="shared" si="196"/>
        <v>1</v>
      </c>
      <c r="Y200" s="798">
        <f t="shared" si="196"/>
        <v>1</v>
      </c>
      <c r="Z200" s="798">
        <f t="shared" si="196"/>
        <v>1</v>
      </c>
      <c r="AA200" s="798">
        <f t="shared" si="196"/>
        <v>1</v>
      </c>
      <c r="AB200" s="798">
        <f t="shared" si="196"/>
        <v>1</v>
      </c>
      <c r="AC200" s="798">
        <f t="shared" si="196"/>
        <v>1</v>
      </c>
      <c r="AD200" s="798">
        <f t="shared" si="196"/>
        <v>1</v>
      </c>
      <c r="AE200" s="798">
        <f t="shared" si="196"/>
        <v>1</v>
      </c>
      <c r="AF200" s="798">
        <f t="shared" si="196"/>
        <v>1</v>
      </c>
      <c r="AG200" s="798">
        <f t="shared" si="196"/>
        <v>1</v>
      </c>
      <c r="AH200" s="798">
        <f t="shared" si="196"/>
        <v>1</v>
      </c>
      <c r="AI200" s="798">
        <f t="shared" si="196"/>
        <v>1</v>
      </c>
      <c r="AJ200" s="798">
        <f t="shared" si="196"/>
        <v>1</v>
      </c>
      <c r="AK200" s="798">
        <f t="shared" si="196"/>
        <v>1</v>
      </c>
      <c r="AL200" s="798">
        <f t="shared" si="196"/>
        <v>1</v>
      </c>
      <c r="AM200" s="798">
        <f t="shared" si="196"/>
        <v>1</v>
      </c>
      <c r="AN200" s="798">
        <f t="shared" si="196"/>
        <v>1</v>
      </c>
      <c r="AO200" s="798">
        <f t="shared" si="196"/>
        <v>1</v>
      </c>
      <c r="AP200" s="798">
        <f t="shared" si="196"/>
        <v>1</v>
      </c>
      <c r="AQ200" s="798">
        <f t="shared" si="196"/>
        <v>1</v>
      </c>
      <c r="AR200" s="798">
        <f t="shared" si="196"/>
        <v>1</v>
      </c>
      <c r="AS200" s="798">
        <f t="shared" si="196"/>
        <v>1</v>
      </c>
      <c r="AT200" s="798">
        <f t="shared" si="196"/>
        <v>1</v>
      </c>
      <c r="AU200" s="798">
        <f t="shared" si="196"/>
        <v>1</v>
      </c>
      <c r="AV200" s="798">
        <f t="shared" si="196"/>
        <v>1</v>
      </c>
      <c r="AW200" s="798">
        <f t="shared" si="196"/>
        <v>1</v>
      </c>
      <c r="AX200" s="798">
        <f t="shared" si="196"/>
        <v>1</v>
      </c>
      <c r="AY200" s="798">
        <f t="shared" si="196"/>
        <v>1</v>
      </c>
      <c r="AZ200" s="798">
        <f t="shared" si="196"/>
        <v>1</v>
      </c>
      <c r="BA200" s="798">
        <f t="shared" si="196"/>
        <v>1</v>
      </c>
      <c r="BB200" s="798">
        <f t="shared" si="196"/>
        <v>1</v>
      </c>
      <c r="BC200" s="798">
        <f t="shared" si="196"/>
        <v>1</v>
      </c>
      <c r="BD200" s="798">
        <f t="shared" si="196"/>
        <v>1</v>
      </c>
      <c r="BE200" s="798">
        <f t="shared" si="196"/>
        <v>1</v>
      </c>
      <c r="BF200" s="798">
        <f t="shared" si="196"/>
        <v>1</v>
      </c>
      <c r="BG200" s="798">
        <f t="shared" si="196"/>
        <v>1</v>
      </c>
      <c r="BH200" s="798">
        <f t="shared" si="196"/>
        <v>1</v>
      </c>
      <c r="BI200" s="798">
        <f t="shared" si="196"/>
        <v>1</v>
      </c>
      <c r="BJ200" s="798">
        <f t="shared" si="196"/>
        <v>1</v>
      </c>
      <c r="BK200" s="798">
        <f t="shared" si="196"/>
        <v>1</v>
      </c>
      <c r="BL200" s="765"/>
      <c r="BM200" s="817"/>
      <c r="BN200" s="817"/>
    </row>
    <row r="201" hidden="1">
      <c r="A201" s="765"/>
      <c r="B201" s="765"/>
      <c r="C201" s="765"/>
      <c r="D201" s="765"/>
      <c r="E201" s="765"/>
      <c r="F201" s="765"/>
      <c r="G201" s="765"/>
      <c r="H201" s="765"/>
      <c r="I201" s="765">
        <f t="shared" si="17"/>
        <v>190</v>
      </c>
      <c r="J201" s="763">
        <f t="shared" si="5"/>
        <v>90000579175</v>
      </c>
      <c r="K201" s="796">
        <f t="shared" si="7"/>
        <v>0.32879</v>
      </c>
      <c r="L201" s="796">
        <v>5.0E-4</v>
      </c>
      <c r="M201" s="763">
        <v>1.02623237371783E11</v>
      </c>
      <c r="N201" s="797">
        <f t="shared" si="8"/>
        <v>0</v>
      </c>
      <c r="O201" s="798">
        <f t="shared" ref="O201:BK201" si="197">FLOOR(MIN((((N("value of ELS upgrade")+N$8*($K201-$K200))*(N("Check checkbox")+(IF($G$6=TRUE,$G$7,$G$8))/$G$8))/(N("ROI of ELS and multiply by 2 if ELS is 1:1")+IF($G$12 = True, 2, 1) * $J201))/((N("difference in ELS+ and the cost of it")+(($K200*O$8)-($K200*N$8)) / O$7)),(N("MIN lets it return 0 or 1 after floored")+1)),1)</f>
        <v>0</v>
      </c>
      <c r="P201" s="798">
        <f t="shared" si="197"/>
        <v>0</v>
      </c>
      <c r="Q201" s="798">
        <f t="shared" si="197"/>
        <v>0</v>
      </c>
      <c r="R201" s="798">
        <f t="shared" si="197"/>
        <v>0</v>
      </c>
      <c r="S201" s="798">
        <f t="shared" si="197"/>
        <v>1</v>
      </c>
      <c r="T201" s="798">
        <f t="shared" si="197"/>
        <v>1</v>
      </c>
      <c r="U201" s="798">
        <f t="shared" si="197"/>
        <v>1</v>
      </c>
      <c r="V201" s="798">
        <f t="shared" si="197"/>
        <v>1</v>
      </c>
      <c r="W201" s="798">
        <f t="shared" si="197"/>
        <v>1</v>
      </c>
      <c r="X201" s="798">
        <f t="shared" si="197"/>
        <v>1</v>
      </c>
      <c r="Y201" s="798">
        <f t="shared" si="197"/>
        <v>1</v>
      </c>
      <c r="Z201" s="798">
        <f t="shared" si="197"/>
        <v>1</v>
      </c>
      <c r="AA201" s="798">
        <f t="shared" si="197"/>
        <v>1</v>
      </c>
      <c r="AB201" s="798">
        <f t="shared" si="197"/>
        <v>1</v>
      </c>
      <c r="AC201" s="798">
        <f t="shared" si="197"/>
        <v>1</v>
      </c>
      <c r="AD201" s="798">
        <f t="shared" si="197"/>
        <v>1</v>
      </c>
      <c r="AE201" s="798">
        <f t="shared" si="197"/>
        <v>1</v>
      </c>
      <c r="AF201" s="798">
        <f t="shared" si="197"/>
        <v>1</v>
      </c>
      <c r="AG201" s="798">
        <f t="shared" si="197"/>
        <v>1</v>
      </c>
      <c r="AH201" s="798">
        <f t="shared" si="197"/>
        <v>1</v>
      </c>
      <c r="AI201" s="798">
        <f t="shared" si="197"/>
        <v>1</v>
      </c>
      <c r="AJ201" s="798">
        <f t="shared" si="197"/>
        <v>1</v>
      </c>
      <c r="AK201" s="798">
        <f t="shared" si="197"/>
        <v>1</v>
      </c>
      <c r="AL201" s="798">
        <f t="shared" si="197"/>
        <v>1</v>
      </c>
      <c r="AM201" s="798">
        <f t="shared" si="197"/>
        <v>1</v>
      </c>
      <c r="AN201" s="798">
        <f t="shared" si="197"/>
        <v>1</v>
      </c>
      <c r="AO201" s="798">
        <f t="shared" si="197"/>
        <v>1</v>
      </c>
      <c r="AP201" s="798">
        <f t="shared" si="197"/>
        <v>1</v>
      </c>
      <c r="AQ201" s="798">
        <f t="shared" si="197"/>
        <v>1</v>
      </c>
      <c r="AR201" s="798">
        <f t="shared" si="197"/>
        <v>1</v>
      </c>
      <c r="AS201" s="798">
        <f t="shared" si="197"/>
        <v>1</v>
      </c>
      <c r="AT201" s="798">
        <f t="shared" si="197"/>
        <v>1</v>
      </c>
      <c r="AU201" s="798">
        <f t="shared" si="197"/>
        <v>1</v>
      </c>
      <c r="AV201" s="798">
        <f t="shared" si="197"/>
        <v>1</v>
      </c>
      <c r="AW201" s="798">
        <f t="shared" si="197"/>
        <v>1</v>
      </c>
      <c r="AX201" s="798">
        <f t="shared" si="197"/>
        <v>1</v>
      </c>
      <c r="AY201" s="798">
        <f t="shared" si="197"/>
        <v>1</v>
      </c>
      <c r="AZ201" s="798">
        <f t="shared" si="197"/>
        <v>1</v>
      </c>
      <c r="BA201" s="798">
        <f t="shared" si="197"/>
        <v>1</v>
      </c>
      <c r="BB201" s="798">
        <f t="shared" si="197"/>
        <v>1</v>
      </c>
      <c r="BC201" s="798">
        <f t="shared" si="197"/>
        <v>1</v>
      </c>
      <c r="BD201" s="798">
        <f t="shared" si="197"/>
        <v>1</v>
      </c>
      <c r="BE201" s="798">
        <f t="shared" si="197"/>
        <v>1</v>
      </c>
      <c r="BF201" s="798">
        <f t="shared" si="197"/>
        <v>1</v>
      </c>
      <c r="BG201" s="798">
        <f t="shared" si="197"/>
        <v>1</v>
      </c>
      <c r="BH201" s="798">
        <f t="shared" si="197"/>
        <v>1</v>
      </c>
      <c r="BI201" s="798">
        <f t="shared" si="197"/>
        <v>1</v>
      </c>
      <c r="BJ201" s="798">
        <f t="shared" si="197"/>
        <v>1</v>
      </c>
      <c r="BK201" s="798">
        <f t="shared" si="197"/>
        <v>1</v>
      </c>
      <c r="BL201" s="765"/>
      <c r="BM201" s="817"/>
      <c r="BN201" s="817"/>
    </row>
    <row r="202" hidden="1">
      <c r="A202" s="765"/>
      <c r="B202" s="765"/>
      <c r="C202" s="765"/>
      <c r="D202" s="765"/>
      <c r="E202" s="765"/>
      <c r="F202" s="765"/>
      <c r="G202" s="765"/>
      <c r="H202" s="765"/>
      <c r="I202" s="765">
        <f t="shared" si="17"/>
        <v>191</v>
      </c>
      <c r="J202" s="763">
        <f t="shared" si="5"/>
        <v>90490537939</v>
      </c>
      <c r="K202" s="796">
        <f t="shared" si="7"/>
        <v>0.32929</v>
      </c>
      <c r="L202" s="796">
        <v>5.0E-4</v>
      </c>
      <c r="M202" s="763">
        <v>1.03181913270915E11</v>
      </c>
      <c r="N202" s="797">
        <f t="shared" si="8"/>
        <v>0</v>
      </c>
      <c r="O202" s="798">
        <f t="shared" ref="O202:BK202" si="198">FLOOR(MIN((((N("value of ELS upgrade")+N$8*($K202-$K201))*(N("Check checkbox")+(IF($G$6=TRUE,$G$7,$G$8))/$G$8))/(N("ROI of ELS and multiply by 2 if ELS is 1:1")+IF($G$12 = True, 2, 1) * $J202))/((N("difference in ELS+ and the cost of it")+(($K201*O$8)-($K201*N$8)) / O$7)),(N("MIN lets it return 0 or 1 after floored")+1)),1)</f>
        <v>0</v>
      </c>
      <c r="P202" s="798">
        <f t="shared" si="198"/>
        <v>0</v>
      </c>
      <c r="Q202" s="798">
        <f t="shared" si="198"/>
        <v>0</v>
      </c>
      <c r="R202" s="798">
        <f t="shared" si="198"/>
        <v>0</v>
      </c>
      <c r="S202" s="798">
        <f t="shared" si="198"/>
        <v>1</v>
      </c>
      <c r="T202" s="798">
        <f t="shared" si="198"/>
        <v>1</v>
      </c>
      <c r="U202" s="798">
        <f t="shared" si="198"/>
        <v>1</v>
      </c>
      <c r="V202" s="798">
        <f t="shared" si="198"/>
        <v>1</v>
      </c>
      <c r="W202" s="798">
        <f t="shared" si="198"/>
        <v>1</v>
      </c>
      <c r="X202" s="798">
        <f t="shared" si="198"/>
        <v>1</v>
      </c>
      <c r="Y202" s="798">
        <f t="shared" si="198"/>
        <v>1</v>
      </c>
      <c r="Z202" s="798">
        <f t="shared" si="198"/>
        <v>1</v>
      </c>
      <c r="AA202" s="798">
        <f t="shared" si="198"/>
        <v>1</v>
      </c>
      <c r="AB202" s="798">
        <f t="shared" si="198"/>
        <v>1</v>
      </c>
      <c r="AC202" s="798">
        <f t="shared" si="198"/>
        <v>1</v>
      </c>
      <c r="AD202" s="798">
        <f t="shared" si="198"/>
        <v>1</v>
      </c>
      <c r="AE202" s="798">
        <f t="shared" si="198"/>
        <v>1</v>
      </c>
      <c r="AF202" s="798">
        <f t="shared" si="198"/>
        <v>1</v>
      </c>
      <c r="AG202" s="798">
        <f t="shared" si="198"/>
        <v>1</v>
      </c>
      <c r="AH202" s="798">
        <f t="shared" si="198"/>
        <v>1</v>
      </c>
      <c r="AI202" s="798">
        <f t="shared" si="198"/>
        <v>1</v>
      </c>
      <c r="AJ202" s="798">
        <f t="shared" si="198"/>
        <v>1</v>
      </c>
      <c r="AK202" s="798">
        <f t="shared" si="198"/>
        <v>1</v>
      </c>
      <c r="AL202" s="798">
        <f t="shared" si="198"/>
        <v>1</v>
      </c>
      <c r="AM202" s="798">
        <f t="shared" si="198"/>
        <v>1</v>
      </c>
      <c r="AN202" s="798">
        <f t="shared" si="198"/>
        <v>1</v>
      </c>
      <c r="AO202" s="798">
        <f t="shared" si="198"/>
        <v>1</v>
      </c>
      <c r="AP202" s="798">
        <f t="shared" si="198"/>
        <v>1</v>
      </c>
      <c r="AQ202" s="798">
        <f t="shared" si="198"/>
        <v>1</v>
      </c>
      <c r="AR202" s="798">
        <f t="shared" si="198"/>
        <v>1</v>
      </c>
      <c r="AS202" s="798">
        <f t="shared" si="198"/>
        <v>1</v>
      </c>
      <c r="AT202" s="798">
        <f t="shared" si="198"/>
        <v>1</v>
      </c>
      <c r="AU202" s="798">
        <f t="shared" si="198"/>
        <v>1</v>
      </c>
      <c r="AV202" s="798">
        <f t="shared" si="198"/>
        <v>1</v>
      </c>
      <c r="AW202" s="798">
        <f t="shared" si="198"/>
        <v>1</v>
      </c>
      <c r="AX202" s="798">
        <f t="shared" si="198"/>
        <v>1</v>
      </c>
      <c r="AY202" s="798">
        <f t="shared" si="198"/>
        <v>1</v>
      </c>
      <c r="AZ202" s="798">
        <f t="shared" si="198"/>
        <v>1</v>
      </c>
      <c r="BA202" s="798">
        <f t="shared" si="198"/>
        <v>1</v>
      </c>
      <c r="BB202" s="798">
        <f t="shared" si="198"/>
        <v>1</v>
      </c>
      <c r="BC202" s="798">
        <f t="shared" si="198"/>
        <v>1</v>
      </c>
      <c r="BD202" s="798">
        <f t="shared" si="198"/>
        <v>1</v>
      </c>
      <c r="BE202" s="798">
        <f t="shared" si="198"/>
        <v>1</v>
      </c>
      <c r="BF202" s="798">
        <f t="shared" si="198"/>
        <v>1</v>
      </c>
      <c r="BG202" s="798">
        <f t="shared" si="198"/>
        <v>1</v>
      </c>
      <c r="BH202" s="798">
        <f t="shared" si="198"/>
        <v>1</v>
      </c>
      <c r="BI202" s="798">
        <f t="shared" si="198"/>
        <v>1</v>
      </c>
      <c r="BJ202" s="798">
        <f t="shared" si="198"/>
        <v>1</v>
      </c>
      <c r="BK202" s="798">
        <f t="shared" si="198"/>
        <v>1</v>
      </c>
      <c r="BL202" s="765"/>
      <c r="BM202" s="817"/>
      <c r="BN202" s="817"/>
    </row>
    <row r="203" hidden="1">
      <c r="A203" s="765"/>
      <c r="B203" s="765"/>
      <c r="C203" s="765"/>
      <c r="D203" s="765"/>
      <c r="E203" s="765"/>
      <c r="F203" s="765"/>
      <c r="G203" s="765"/>
      <c r="H203" s="765"/>
      <c r="I203" s="765">
        <f t="shared" si="17"/>
        <v>192</v>
      </c>
      <c r="J203" s="763">
        <f t="shared" si="5"/>
        <v>90981463820</v>
      </c>
      <c r="K203" s="796">
        <f t="shared" si="7"/>
        <v>0.32979</v>
      </c>
      <c r="L203" s="796">
        <v>5.0E-4</v>
      </c>
      <c r="M203" s="763">
        <v>1.0374169192654E11</v>
      </c>
      <c r="N203" s="797">
        <f t="shared" si="8"/>
        <v>0</v>
      </c>
      <c r="O203" s="798">
        <f t="shared" ref="O203:BK203" si="199">FLOOR(MIN((((N("value of ELS upgrade")+N$8*($K203-$K202))*(N("Check checkbox")+(IF($G$6=TRUE,$G$7,$G$8))/$G$8))/(N("ROI of ELS and multiply by 2 if ELS is 1:1")+IF($G$12 = True, 2, 1) * $J203))/((N("difference in ELS+ and the cost of it")+(($K202*O$8)-($K202*N$8)) / O$7)),(N("MIN lets it return 0 or 1 after floored")+1)),1)</f>
        <v>0</v>
      </c>
      <c r="P203" s="798">
        <f t="shared" si="199"/>
        <v>0</v>
      </c>
      <c r="Q203" s="798">
        <f t="shared" si="199"/>
        <v>0</v>
      </c>
      <c r="R203" s="798">
        <f t="shared" si="199"/>
        <v>0</v>
      </c>
      <c r="S203" s="798">
        <f t="shared" si="199"/>
        <v>1</v>
      </c>
      <c r="T203" s="798">
        <f t="shared" si="199"/>
        <v>1</v>
      </c>
      <c r="U203" s="798">
        <f t="shared" si="199"/>
        <v>1</v>
      </c>
      <c r="V203" s="798">
        <f t="shared" si="199"/>
        <v>1</v>
      </c>
      <c r="W203" s="798">
        <f t="shared" si="199"/>
        <v>1</v>
      </c>
      <c r="X203" s="798">
        <f t="shared" si="199"/>
        <v>1</v>
      </c>
      <c r="Y203" s="798">
        <f t="shared" si="199"/>
        <v>1</v>
      </c>
      <c r="Z203" s="798">
        <f t="shared" si="199"/>
        <v>1</v>
      </c>
      <c r="AA203" s="798">
        <f t="shared" si="199"/>
        <v>1</v>
      </c>
      <c r="AB203" s="798">
        <f t="shared" si="199"/>
        <v>1</v>
      </c>
      <c r="AC203" s="798">
        <f t="shared" si="199"/>
        <v>1</v>
      </c>
      <c r="AD203" s="798">
        <f t="shared" si="199"/>
        <v>1</v>
      </c>
      <c r="AE203" s="798">
        <f t="shared" si="199"/>
        <v>1</v>
      </c>
      <c r="AF203" s="798">
        <f t="shared" si="199"/>
        <v>1</v>
      </c>
      <c r="AG203" s="798">
        <f t="shared" si="199"/>
        <v>1</v>
      </c>
      <c r="AH203" s="798">
        <f t="shared" si="199"/>
        <v>1</v>
      </c>
      <c r="AI203" s="798">
        <f t="shared" si="199"/>
        <v>1</v>
      </c>
      <c r="AJ203" s="798">
        <f t="shared" si="199"/>
        <v>1</v>
      </c>
      <c r="AK203" s="798">
        <f t="shared" si="199"/>
        <v>1</v>
      </c>
      <c r="AL203" s="798">
        <f t="shared" si="199"/>
        <v>1</v>
      </c>
      <c r="AM203" s="798">
        <f t="shared" si="199"/>
        <v>1</v>
      </c>
      <c r="AN203" s="798">
        <f t="shared" si="199"/>
        <v>1</v>
      </c>
      <c r="AO203" s="798">
        <f t="shared" si="199"/>
        <v>1</v>
      </c>
      <c r="AP203" s="798">
        <f t="shared" si="199"/>
        <v>1</v>
      </c>
      <c r="AQ203" s="798">
        <f t="shared" si="199"/>
        <v>1</v>
      </c>
      <c r="AR203" s="798">
        <f t="shared" si="199"/>
        <v>1</v>
      </c>
      <c r="AS203" s="798">
        <f t="shared" si="199"/>
        <v>1</v>
      </c>
      <c r="AT203" s="798">
        <f t="shared" si="199"/>
        <v>1</v>
      </c>
      <c r="AU203" s="798">
        <f t="shared" si="199"/>
        <v>1</v>
      </c>
      <c r="AV203" s="798">
        <f t="shared" si="199"/>
        <v>1</v>
      </c>
      <c r="AW203" s="798">
        <f t="shared" si="199"/>
        <v>1</v>
      </c>
      <c r="AX203" s="798">
        <f t="shared" si="199"/>
        <v>1</v>
      </c>
      <c r="AY203" s="798">
        <f t="shared" si="199"/>
        <v>1</v>
      </c>
      <c r="AZ203" s="798">
        <f t="shared" si="199"/>
        <v>1</v>
      </c>
      <c r="BA203" s="798">
        <f t="shared" si="199"/>
        <v>1</v>
      </c>
      <c r="BB203" s="798">
        <f t="shared" si="199"/>
        <v>1</v>
      </c>
      <c r="BC203" s="798">
        <f t="shared" si="199"/>
        <v>1</v>
      </c>
      <c r="BD203" s="798">
        <f t="shared" si="199"/>
        <v>1</v>
      </c>
      <c r="BE203" s="798">
        <f t="shared" si="199"/>
        <v>1</v>
      </c>
      <c r="BF203" s="798">
        <f t="shared" si="199"/>
        <v>1</v>
      </c>
      <c r="BG203" s="798">
        <f t="shared" si="199"/>
        <v>1</v>
      </c>
      <c r="BH203" s="798">
        <f t="shared" si="199"/>
        <v>1</v>
      </c>
      <c r="BI203" s="798">
        <f t="shared" si="199"/>
        <v>1</v>
      </c>
      <c r="BJ203" s="798">
        <f t="shared" si="199"/>
        <v>1</v>
      </c>
      <c r="BK203" s="798">
        <f t="shared" si="199"/>
        <v>1</v>
      </c>
      <c r="BL203" s="765"/>
      <c r="BM203" s="817"/>
      <c r="BN203" s="817"/>
    </row>
    <row r="204" hidden="1">
      <c r="A204" s="765"/>
      <c r="B204" s="765"/>
      <c r="C204" s="765"/>
      <c r="D204" s="765"/>
      <c r="E204" s="765"/>
      <c r="F204" s="765"/>
      <c r="G204" s="765"/>
      <c r="H204" s="765"/>
      <c r="I204" s="765">
        <f t="shared" si="17"/>
        <v>193</v>
      </c>
      <c r="J204" s="763">
        <f t="shared" si="5"/>
        <v>91473363414</v>
      </c>
      <c r="K204" s="796">
        <f t="shared" si="7"/>
        <v>0.33029</v>
      </c>
      <c r="L204" s="796">
        <v>5.0E-4</v>
      </c>
      <c r="M204" s="763">
        <v>1.04302580859587E11</v>
      </c>
      <c r="N204" s="797">
        <f t="shared" si="8"/>
        <v>0</v>
      </c>
      <c r="O204" s="798">
        <f t="shared" ref="O204:BK204" si="200">FLOOR(MIN((((N("value of ELS upgrade")+N$8*($K204-$K203))*(N("Check checkbox")+(IF($G$6=TRUE,$G$7,$G$8))/$G$8))/(N("ROI of ELS and multiply by 2 if ELS is 1:1")+IF($G$12 = True, 2, 1) * $J204))/((N("difference in ELS+ and the cost of it")+(($K203*O$8)-($K203*N$8)) / O$7)),(N("MIN lets it return 0 or 1 after floored")+1)),1)</f>
        <v>0</v>
      </c>
      <c r="P204" s="798">
        <f t="shared" si="200"/>
        <v>0</v>
      </c>
      <c r="Q204" s="798">
        <f t="shared" si="200"/>
        <v>0</v>
      </c>
      <c r="R204" s="798">
        <f t="shared" si="200"/>
        <v>0</v>
      </c>
      <c r="S204" s="798">
        <f t="shared" si="200"/>
        <v>1</v>
      </c>
      <c r="T204" s="798">
        <f t="shared" si="200"/>
        <v>1</v>
      </c>
      <c r="U204" s="798">
        <f t="shared" si="200"/>
        <v>1</v>
      </c>
      <c r="V204" s="798">
        <f t="shared" si="200"/>
        <v>1</v>
      </c>
      <c r="W204" s="798">
        <f t="shared" si="200"/>
        <v>1</v>
      </c>
      <c r="X204" s="798">
        <f t="shared" si="200"/>
        <v>1</v>
      </c>
      <c r="Y204" s="798">
        <f t="shared" si="200"/>
        <v>1</v>
      </c>
      <c r="Z204" s="798">
        <f t="shared" si="200"/>
        <v>1</v>
      </c>
      <c r="AA204" s="798">
        <f t="shared" si="200"/>
        <v>1</v>
      </c>
      <c r="AB204" s="798">
        <f t="shared" si="200"/>
        <v>1</v>
      </c>
      <c r="AC204" s="798">
        <f t="shared" si="200"/>
        <v>1</v>
      </c>
      <c r="AD204" s="798">
        <f t="shared" si="200"/>
        <v>1</v>
      </c>
      <c r="AE204" s="798">
        <f t="shared" si="200"/>
        <v>1</v>
      </c>
      <c r="AF204" s="798">
        <f t="shared" si="200"/>
        <v>1</v>
      </c>
      <c r="AG204" s="798">
        <f t="shared" si="200"/>
        <v>1</v>
      </c>
      <c r="AH204" s="798">
        <f t="shared" si="200"/>
        <v>1</v>
      </c>
      <c r="AI204" s="798">
        <f t="shared" si="200"/>
        <v>1</v>
      </c>
      <c r="AJ204" s="798">
        <f t="shared" si="200"/>
        <v>1</v>
      </c>
      <c r="AK204" s="798">
        <f t="shared" si="200"/>
        <v>1</v>
      </c>
      <c r="AL204" s="798">
        <f t="shared" si="200"/>
        <v>1</v>
      </c>
      <c r="AM204" s="798">
        <f t="shared" si="200"/>
        <v>1</v>
      </c>
      <c r="AN204" s="798">
        <f t="shared" si="200"/>
        <v>1</v>
      </c>
      <c r="AO204" s="798">
        <f t="shared" si="200"/>
        <v>1</v>
      </c>
      <c r="AP204" s="798">
        <f t="shared" si="200"/>
        <v>1</v>
      </c>
      <c r="AQ204" s="798">
        <f t="shared" si="200"/>
        <v>1</v>
      </c>
      <c r="AR204" s="798">
        <f t="shared" si="200"/>
        <v>1</v>
      </c>
      <c r="AS204" s="798">
        <f t="shared" si="200"/>
        <v>1</v>
      </c>
      <c r="AT204" s="798">
        <f t="shared" si="200"/>
        <v>1</v>
      </c>
      <c r="AU204" s="798">
        <f t="shared" si="200"/>
        <v>1</v>
      </c>
      <c r="AV204" s="798">
        <f t="shared" si="200"/>
        <v>1</v>
      </c>
      <c r="AW204" s="798">
        <f t="shared" si="200"/>
        <v>1</v>
      </c>
      <c r="AX204" s="798">
        <f t="shared" si="200"/>
        <v>1</v>
      </c>
      <c r="AY204" s="798">
        <f t="shared" si="200"/>
        <v>1</v>
      </c>
      <c r="AZ204" s="798">
        <f t="shared" si="200"/>
        <v>1</v>
      </c>
      <c r="BA204" s="798">
        <f t="shared" si="200"/>
        <v>1</v>
      </c>
      <c r="BB204" s="798">
        <f t="shared" si="200"/>
        <v>1</v>
      </c>
      <c r="BC204" s="798">
        <f t="shared" si="200"/>
        <v>1</v>
      </c>
      <c r="BD204" s="798">
        <f t="shared" si="200"/>
        <v>1</v>
      </c>
      <c r="BE204" s="798">
        <f t="shared" si="200"/>
        <v>1</v>
      </c>
      <c r="BF204" s="798">
        <f t="shared" si="200"/>
        <v>1</v>
      </c>
      <c r="BG204" s="798">
        <f t="shared" si="200"/>
        <v>1</v>
      </c>
      <c r="BH204" s="798">
        <f t="shared" si="200"/>
        <v>1</v>
      </c>
      <c r="BI204" s="798">
        <f t="shared" si="200"/>
        <v>1</v>
      </c>
      <c r="BJ204" s="798">
        <f t="shared" si="200"/>
        <v>1</v>
      </c>
      <c r="BK204" s="798">
        <f t="shared" si="200"/>
        <v>1</v>
      </c>
      <c r="BL204" s="765"/>
      <c r="BM204" s="817"/>
      <c r="BN204" s="817"/>
    </row>
    <row r="205" hidden="1">
      <c r="A205" s="765"/>
      <c r="B205" s="765"/>
      <c r="C205" s="765"/>
      <c r="D205" s="765"/>
      <c r="E205" s="765"/>
      <c r="F205" s="765"/>
      <c r="G205" s="765"/>
      <c r="H205" s="765"/>
      <c r="I205" s="765">
        <f t="shared" si="17"/>
        <v>194</v>
      </c>
      <c r="J205" s="763">
        <f t="shared" si="5"/>
        <v>91966244142</v>
      </c>
      <c r="K205" s="796">
        <f t="shared" si="7"/>
        <v>0.33079</v>
      </c>
      <c r="L205" s="796">
        <v>5.0E-4</v>
      </c>
      <c r="M205" s="763">
        <v>1.04864588531104E11</v>
      </c>
      <c r="N205" s="797">
        <f t="shared" si="8"/>
        <v>0</v>
      </c>
      <c r="O205" s="798">
        <f t="shared" ref="O205:BK205" si="201">FLOOR(MIN((((N("value of ELS upgrade")+N$8*($K205-$K204))*(N("Check checkbox")+(IF($G$6=TRUE,$G$7,$G$8))/$G$8))/(N("ROI of ELS and multiply by 2 if ELS is 1:1")+IF($G$12 = True, 2, 1) * $J205))/((N("difference in ELS+ and the cost of it")+(($K204*O$8)-($K204*N$8)) / O$7)),(N("MIN lets it return 0 or 1 after floored")+1)),1)</f>
        <v>0</v>
      </c>
      <c r="P205" s="798">
        <f t="shared" si="201"/>
        <v>0</v>
      </c>
      <c r="Q205" s="798">
        <f t="shared" si="201"/>
        <v>0</v>
      </c>
      <c r="R205" s="798">
        <f t="shared" si="201"/>
        <v>0</v>
      </c>
      <c r="S205" s="798">
        <f t="shared" si="201"/>
        <v>1</v>
      </c>
      <c r="T205" s="798">
        <f t="shared" si="201"/>
        <v>1</v>
      </c>
      <c r="U205" s="798">
        <f t="shared" si="201"/>
        <v>1</v>
      </c>
      <c r="V205" s="798">
        <f t="shared" si="201"/>
        <v>1</v>
      </c>
      <c r="W205" s="798">
        <f t="shared" si="201"/>
        <v>1</v>
      </c>
      <c r="X205" s="798">
        <f t="shared" si="201"/>
        <v>1</v>
      </c>
      <c r="Y205" s="798">
        <f t="shared" si="201"/>
        <v>1</v>
      </c>
      <c r="Z205" s="798">
        <f t="shared" si="201"/>
        <v>1</v>
      </c>
      <c r="AA205" s="798">
        <f t="shared" si="201"/>
        <v>1</v>
      </c>
      <c r="AB205" s="798">
        <f t="shared" si="201"/>
        <v>1</v>
      </c>
      <c r="AC205" s="798">
        <f t="shared" si="201"/>
        <v>1</v>
      </c>
      <c r="AD205" s="798">
        <f t="shared" si="201"/>
        <v>1</v>
      </c>
      <c r="AE205" s="798">
        <f t="shared" si="201"/>
        <v>1</v>
      </c>
      <c r="AF205" s="798">
        <f t="shared" si="201"/>
        <v>1</v>
      </c>
      <c r="AG205" s="798">
        <f t="shared" si="201"/>
        <v>1</v>
      </c>
      <c r="AH205" s="798">
        <f t="shared" si="201"/>
        <v>1</v>
      </c>
      <c r="AI205" s="798">
        <f t="shared" si="201"/>
        <v>1</v>
      </c>
      <c r="AJ205" s="798">
        <f t="shared" si="201"/>
        <v>1</v>
      </c>
      <c r="AK205" s="798">
        <f t="shared" si="201"/>
        <v>1</v>
      </c>
      <c r="AL205" s="798">
        <f t="shared" si="201"/>
        <v>1</v>
      </c>
      <c r="AM205" s="798">
        <f t="shared" si="201"/>
        <v>1</v>
      </c>
      <c r="AN205" s="798">
        <f t="shared" si="201"/>
        <v>1</v>
      </c>
      <c r="AO205" s="798">
        <f t="shared" si="201"/>
        <v>1</v>
      </c>
      <c r="AP205" s="798">
        <f t="shared" si="201"/>
        <v>1</v>
      </c>
      <c r="AQ205" s="798">
        <f t="shared" si="201"/>
        <v>1</v>
      </c>
      <c r="AR205" s="798">
        <f t="shared" si="201"/>
        <v>1</v>
      </c>
      <c r="AS205" s="798">
        <f t="shared" si="201"/>
        <v>1</v>
      </c>
      <c r="AT205" s="798">
        <f t="shared" si="201"/>
        <v>1</v>
      </c>
      <c r="AU205" s="798">
        <f t="shared" si="201"/>
        <v>1</v>
      </c>
      <c r="AV205" s="798">
        <f t="shared" si="201"/>
        <v>1</v>
      </c>
      <c r="AW205" s="798">
        <f t="shared" si="201"/>
        <v>1</v>
      </c>
      <c r="AX205" s="798">
        <f t="shared" si="201"/>
        <v>1</v>
      </c>
      <c r="AY205" s="798">
        <f t="shared" si="201"/>
        <v>1</v>
      </c>
      <c r="AZ205" s="798">
        <f t="shared" si="201"/>
        <v>1</v>
      </c>
      <c r="BA205" s="798">
        <f t="shared" si="201"/>
        <v>1</v>
      </c>
      <c r="BB205" s="798">
        <f t="shared" si="201"/>
        <v>1</v>
      </c>
      <c r="BC205" s="798">
        <f t="shared" si="201"/>
        <v>1</v>
      </c>
      <c r="BD205" s="798">
        <f t="shared" si="201"/>
        <v>1</v>
      </c>
      <c r="BE205" s="798">
        <f t="shared" si="201"/>
        <v>1</v>
      </c>
      <c r="BF205" s="798">
        <f t="shared" si="201"/>
        <v>1</v>
      </c>
      <c r="BG205" s="798">
        <f t="shared" si="201"/>
        <v>1</v>
      </c>
      <c r="BH205" s="798">
        <f t="shared" si="201"/>
        <v>1</v>
      </c>
      <c r="BI205" s="798">
        <f t="shared" si="201"/>
        <v>1</v>
      </c>
      <c r="BJ205" s="798">
        <f t="shared" si="201"/>
        <v>1</v>
      </c>
      <c r="BK205" s="798">
        <f t="shared" si="201"/>
        <v>1</v>
      </c>
      <c r="BL205" s="765"/>
      <c r="BM205" s="817"/>
      <c r="BN205" s="817"/>
    </row>
    <row r="206" hidden="1">
      <c r="A206" s="765"/>
      <c r="B206" s="765"/>
      <c r="C206" s="765"/>
      <c r="D206" s="765"/>
      <c r="E206" s="765"/>
      <c r="F206" s="765"/>
      <c r="G206" s="765"/>
      <c r="H206" s="765"/>
      <c r="I206" s="765">
        <f t="shared" si="17"/>
        <v>195</v>
      </c>
      <c r="J206" s="763">
        <f t="shared" si="5"/>
        <v>92460113011</v>
      </c>
      <c r="K206" s="796">
        <f t="shared" si="7"/>
        <v>0.33129</v>
      </c>
      <c r="L206" s="796">
        <v>5.0E-4</v>
      </c>
      <c r="M206" s="763">
        <v>1.0542772293208E11</v>
      </c>
      <c r="N206" s="797">
        <f t="shared" si="8"/>
        <v>0</v>
      </c>
      <c r="O206" s="798">
        <f t="shared" ref="O206:BK206" si="202">FLOOR(MIN((((N("value of ELS upgrade")+N$8*($K206-$K205))*(N("Check checkbox")+(IF($G$6=TRUE,$G$7,$G$8))/$G$8))/(N("ROI of ELS and multiply by 2 if ELS is 1:1")+IF($G$12 = True, 2, 1) * $J206))/((N("difference in ELS+ and the cost of it")+(($K205*O$8)-($K205*N$8)) / O$7)),(N("MIN lets it return 0 or 1 after floored")+1)),1)</f>
        <v>0</v>
      </c>
      <c r="P206" s="798">
        <f t="shared" si="202"/>
        <v>0</v>
      </c>
      <c r="Q206" s="798">
        <f t="shared" si="202"/>
        <v>0</v>
      </c>
      <c r="R206" s="798">
        <f t="shared" si="202"/>
        <v>0</v>
      </c>
      <c r="S206" s="798">
        <f t="shared" si="202"/>
        <v>1</v>
      </c>
      <c r="T206" s="798">
        <f t="shared" si="202"/>
        <v>1</v>
      </c>
      <c r="U206" s="798">
        <f t="shared" si="202"/>
        <v>1</v>
      </c>
      <c r="V206" s="798">
        <f t="shared" si="202"/>
        <v>1</v>
      </c>
      <c r="W206" s="798">
        <f t="shared" si="202"/>
        <v>1</v>
      </c>
      <c r="X206" s="798">
        <f t="shared" si="202"/>
        <v>1</v>
      </c>
      <c r="Y206" s="798">
        <f t="shared" si="202"/>
        <v>1</v>
      </c>
      <c r="Z206" s="798">
        <f t="shared" si="202"/>
        <v>1</v>
      </c>
      <c r="AA206" s="798">
        <f t="shared" si="202"/>
        <v>1</v>
      </c>
      <c r="AB206" s="798">
        <f t="shared" si="202"/>
        <v>1</v>
      </c>
      <c r="AC206" s="798">
        <f t="shared" si="202"/>
        <v>1</v>
      </c>
      <c r="AD206" s="798">
        <f t="shared" si="202"/>
        <v>1</v>
      </c>
      <c r="AE206" s="798">
        <f t="shared" si="202"/>
        <v>1</v>
      </c>
      <c r="AF206" s="798">
        <f t="shared" si="202"/>
        <v>1</v>
      </c>
      <c r="AG206" s="798">
        <f t="shared" si="202"/>
        <v>1</v>
      </c>
      <c r="AH206" s="798">
        <f t="shared" si="202"/>
        <v>1</v>
      </c>
      <c r="AI206" s="798">
        <f t="shared" si="202"/>
        <v>1</v>
      </c>
      <c r="AJ206" s="798">
        <f t="shared" si="202"/>
        <v>1</v>
      </c>
      <c r="AK206" s="798">
        <f t="shared" si="202"/>
        <v>1</v>
      </c>
      <c r="AL206" s="798">
        <f t="shared" si="202"/>
        <v>1</v>
      </c>
      <c r="AM206" s="798">
        <f t="shared" si="202"/>
        <v>1</v>
      </c>
      <c r="AN206" s="798">
        <f t="shared" si="202"/>
        <v>1</v>
      </c>
      <c r="AO206" s="798">
        <f t="shared" si="202"/>
        <v>1</v>
      </c>
      <c r="AP206" s="798">
        <f t="shared" si="202"/>
        <v>1</v>
      </c>
      <c r="AQ206" s="798">
        <f t="shared" si="202"/>
        <v>1</v>
      </c>
      <c r="AR206" s="798">
        <f t="shared" si="202"/>
        <v>1</v>
      </c>
      <c r="AS206" s="798">
        <f t="shared" si="202"/>
        <v>1</v>
      </c>
      <c r="AT206" s="798">
        <f t="shared" si="202"/>
        <v>1</v>
      </c>
      <c r="AU206" s="798">
        <f t="shared" si="202"/>
        <v>1</v>
      </c>
      <c r="AV206" s="798">
        <f t="shared" si="202"/>
        <v>1</v>
      </c>
      <c r="AW206" s="798">
        <f t="shared" si="202"/>
        <v>1</v>
      </c>
      <c r="AX206" s="798">
        <f t="shared" si="202"/>
        <v>1</v>
      </c>
      <c r="AY206" s="798">
        <f t="shared" si="202"/>
        <v>1</v>
      </c>
      <c r="AZ206" s="798">
        <f t="shared" si="202"/>
        <v>1</v>
      </c>
      <c r="BA206" s="798">
        <f t="shared" si="202"/>
        <v>1</v>
      </c>
      <c r="BB206" s="798">
        <f t="shared" si="202"/>
        <v>1</v>
      </c>
      <c r="BC206" s="798">
        <f t="shared" si="202"/>
        <v>1</v>
      </c>
      <c r="BD206" s="798">
        <f t="shared" si="202"/>
        <v>1</v>
      </c>
      <c r="BE206" s="798">
        <f t="shared" si="202"/>
        <v>1</v>
      </c>
      <c r="BF206" s="798">
        <f t="shared" si="202"/>
        <v>1</v>
      </c>
      <c r="BG206" s="798">
        <f t="shared" si="202"/>
        <v>1</v>
      </c>
      <c r="BH206" s="798">
        <f t="shared" si="202"/>
        <v>1</v>
      </c>
      <c r="BI206" s="798">
        <f t="shared" si="202"/>
        <v>1</v>
      </c>
      <c r="BJ206" s="798">
        <f t="shared" si="202"/>
        <v>1</v>
      </c>
      <c r="BK206" s="798">
        <f t="shared" si="202"/>
        <v>1</v>
      </c>
      <c r="BL206" s="765"/>
      <c r="BM206" s="817"/>
      <c r="BN206" s="817"/>
    </row>
    <row r="207" hidden="1">
      <c r="A207" s="765"/>
      <c r="B207" s="765"/>
      <c r="C207" s="765"/>
      <c r="D207" s="765"/>
      <c r="E207" s="765"/>
      <c r="F207" s="765"/>
      <c r="G207" s="765"/>
      <c r="H207" s="765"/>
      <c r="I207" s="765">
        <f t="shared" si="17"/>
        <v>196</v>
      </c>
      <c r="J207" s="763">
        <f t="shared" si="5"/>
        <v>92954976619</v>
      </c>
      <c r="K207" s="796">
        <f t="shared" si="7"/>
        <v>0.33179</v>
      </c>
      <c r="L207" s="796">
        <v>5.0E-4</v>
      </c>
      <c r="M207" s="763">
        <v>1.05991991583445E11</v>
      </c>
      <c r="N207" s="797">
        <f t="shared" si="8"/>
        <v>0</v>
      </c>
      <c r="O207" s="798">
        <f t="shared" ref="O207:BK207" si="203">FLOOR(MIN((((N("value of ELS upgrade")+N$8*($K207-$K206))*(N("Check checkbox")+(IF($G$6=TRUE,$G$7,$G$8))/$G$8))/(N("ROI of ELS and multiply by 2 if ELS is 1:1")+IF($G$12 = True, 2, 1) * $J207))/((N("difference in ELS+ and the cost of it")+(($K206*O$8)-($K206*N$8)) / O$7)),(N("MIN lets it return 0 or 1 after floored")+1)),1)</f>
        <v>0</v>
      </c>
      <c r="P207" s="798">
        <f t="shared" si="203"/>
        <v>0</v>
      </c>
      <c r="Q207" s="798">
        <f t="shared" si="203"/>
        <v>0</v>
      </c>
      <c r="R207" s="798">
        <f t="shared" si="203"/>
        <v>0</v>
      </c>
      <c r="S207" s="798">
        <f t="shared" si="203"/>
        <v>1</v>
      </c>
      <c r="T207" s="798">
        <f t="shared" si="203"/>
        <v>1</v>
      </c>
      <c r="U207" s="798">
        <f t="shared" si="203"/>
        <v>1</v>
      </c>
      <c r="V207" s="798">
        <f t="shared" si="203"/>
        <v>1</v>
      </c>
      <c r="W207" s="798">
        <f t="shared" si="203"/>
        <v>1</v>
      </c>
      <c r="X207" s="798">
        <f t="shared" si="203"/>
        <v>1</v>
      </c>
      <c r="Y207" s="798">
        <f t="shared" si="203"/>
        <v>1</v>
      </c>
      <c r="Z207" s="798">
        <f t="shared" si="203"/>
        <v>1</v>
      </c>
      <c r="AA207" s="798">
        <f t="shared" si="203"/>
        <v>1</v>
      </c>
      <c r="AB207" s="798">
        <f t="shared" si="203"/>
        <v>1</v>
      </c>
      <c r="AC207" s="798">
        <f t="shared" si="203"/>
        <v>1</v>
      </c>
      <c r="AD207" s="798">
        <f t="shared" si="203"/>
        <v>1</v>
      </c>
      <c r="AE207" s="798">
        <f t="shared" si="203"/>
        <v>1</v>
      </c>
      <c r="AF207" s="798">
        <f t="shared" si="203"/>
        <v>1</v>
      </c>
      <c r="AG207" s="798">
        <f t="shared" si="203"/>
        <v>1</v>
      </c>
      <c r="AH207" s="798">
        <f t="shared" si="203"/>
        <v>1</v>
      </c>
      <c r="AI207" s="798">
        <f t="shared" si="203"/>
        <v>1</v>
      </c>
      <c r="AJ207" s="798">
        <f t="shared" si="203"/>
        <v>1</v>
      </c>
      <c r="AK207" s="798">
        <f t="shared" si="203"/>
        <v>1</v>
      </c>
      <c r="AL207" s="798">
        <f t="shared" si="203"/>
        <v>1</v>
      </c>
      <c r="AM207" s="798">
        <f t="shared" si="203"/>
        <v>1</v>
      </c>
      <c r="AN207" s="798">
        <f t="shared" si="203"/>
        <v>1</v>
      </c>
      <c r="AO207" s="798">
        <f t="shared" si="203"/>
        <v>1</v>
      </c>
      <c r="AP207" s="798">
        <f t="shared" si="203"/>
        <v>1</v>
      </c>
      <c r="AQ207" s="798">
        <f t="shared" si="203"/>
        <v>1</v>
      </c>
      <c r="AR207" s="798">
        <f t="shared" si="203"/>
        <v>1</v>
      </c>
      <c r="AS207" s="798">
        <f t="shared" si="203"/>
        <v>1</v>
      </c>
      <c r="AT207" s="798">
        <f t="shared" si="203"/>
        <v>1</v>
      </c>
      <c r="AU207" s="798">
        <f t="shared" si="203"/>
        <v>1</v>
      </c>
      <c r="AV207" s="798">
        <f t="shared" si="203"/>
        <v>1</v>
      </c>
      <c r="AW207" s="798">
        <f t="shared" si="203"/>
        <v>1</v>
      </c>
      <c r="AX207" s="798">
        <f t="shared" si="203"/>
        <v>1</v>
      </c>
      <c r="AY207" s="798">
        <f t="shared" si="203"/>
        <v>1</v>
      </c>
      <c r="AZ207" s="798">
        <f t="shared" si="203"/>
        <v>1</v>
      </c>
      <c r="BA207" s="798">
        <f t="shared" si="203"/>
        <v>1</v>
      </c>
      <c r="BB207" s="798">
        <f t="shared" si="203"/>
        <v>1</v>
      </c>
      <c r="BC207" s="798">
        <f t="shared" si="203"/>
        <v>1</v>
      </c>
      <c r="BD207" s="798">
        <f t="shared" si="203"/>
        <v>1</v>
      </c>
      <c r="BE207" s="798">
        <f t="shared" si="203"/>
        <v>1</v>
      </c>
      <c r="BF207" s="798">
        <f t="shared" si="203"/>
        <v>1</v>
      </c>
      <c r="BG207" s="798">
        <f t="shared" si="203"/>
        <v>1</v>
      </c>
      <c r="BH207" s="798">
        <f t="shared" si="203"/>
        <v>1</v>
      </c>
      <c r="BI207" s="798">
        <f t="shared" si="203"/>
        <v>1</v>
      </c>
      <c r="BJ207" s="798">
        <f t="shared" si="203"/>
        <v>1</v>
      </c>
      <c r="BK207" s="798">
        <f t="shared" si="203"/>
        <v>1</v>
      </c>
      <c r="BL207" s="765"/>
      <c r="BM207" s="817"/>
      <c r="BN207" s="817"/>
    </row>
    <row r="208" hidden="1">
      <c r="A208" s="765"/>
      <c r="B208" s="765"/>
      <c r="C208" s="765"/>
      <c r="D208" s="765"/>
      <c r="E208" s="765"/>
      <c r="F208" s="765"/>
      <c r="G208" s="765"/>
      <c r="H208" s="765"/>
      <c r="I208" s="765">
        <f t="shared" si="17"/>
        <v>197</v>
      </c>
      <c r="J208" s="763">
        <f t="shared" si="5"/>
        <v>93450841972</v>
      </c>
      <c r="K208" s="796">
        <f t="shared" si="7"/>
        <v>0.33229</v>
      </c>
      <c r="L208" s="796">
        <v>5.0E-4</v>
      </c>
      <c r="M208" s="763">
        <v>1.0655740247619E11</v>
      </c>
      <c r="N208" s="797">
        <f t="shared" si="8"/>
        <v>0</v>
      </c>
      <c r="O208" s="798">
        <f t="shared" ref="O208:BK208" si="204">FLOOR(MIN((((N("value of ELS upgrade")+N$8*($K208-$K207))*(N("Check checkbox")+(IF($G$6=TRUE,$G$7,$G$8))/$G$8))/(N("ROI of ELS and multiply by 2 if ELS is 1:1")+IF($G$12 = True, 2, 1) * $J208))/((N("difference in ELS+ and the cost of it")+(($K207*O$8)-($K207*N$8)) / O$7)),(N("MIN lets it return 0 or 1 after floored")+1)),1)</f>
        <v>0</v>
      </c>
      <c r="P208" s="798">
        <f t="shared" si="204"/>
        <v>0</v>
      </c>
      <c r="Q208" s="798">
        <f t="shared" si="204"/>
        <v>0</v>
      </c>
      <c r="R208" s="798">
        <f t="shared" si="204"/>
        <v>0</v>
      </c>
      <c r="S208" s="798">
        <f t="shared" si="204"/>
        <v>1</v>
      </c>
      <c r="T208" s="798">
        <f t="shared" si="204"/>
        <v>1</v>
      </c>
      <c r="U208" s="798">
        <f t="shared" si="204"/>
        <v>1</v>
      </c>
      <c r="V208" s="798">
        <f t="shared" si="204"/>
        <v>1</v>
      </c>
      <c r="W208" s="798">
        <f t="shared" si="204"/>
        <v>1</v>
      </c>
      <c r="X208" s="798">
        <f t="shared" si="204"/>
        <v>1</v>
      </c>
      <c r="Y208" s="798">
        <f t="shared" si="204"/>
        <v>1</v>
      </c>
      <c r="Z208" s="798">
        <f t="shared" si="204"/>
        <v>1</v>
      </c>
      <c r="AA208" s="798">
        <f t="shared" si="204"/>
        <v>1</v>
      </c>
      <c r="AB208" s="798">
        <f t="shared" si="204"/>
        <v>1</v>
      </c>
      <c r="AC208" s="798">
        <f t="shared" si="204"/>
        <v>1</v>
      </c>
      <c r="AD208" s="798">
        <f t="shared" si="204"/>
        <v>1</v>
      </c>
      <c r="AE208" s="798">
        <f t="shared" si="204"/>
        <v>1</v>
      </c>
      <c r="AF208" s="798">
        <f t="shared" si="204"/>
        <v>1</v>
      </c>
      <c r="AG208" s="798">
        <f t="shared" si="204"/>
        <v>1</v>
      </c>
      <c r="AH208" s="798">
        <f t="shared" si="204"/>
        <v>1</v>
      </c>
      <c r="AI208" s="798">
        <f t="shared" si="204"/>
        <v>1</v>
      </c>
      <c r="AJ208" s="798">
        <f t="shared" si="204"/>
        <v>1</v>
      </c>
      <c r="AK208" s="798">
        <f t="shared" si="204"/>
        <v>1</v>
      </c>
      <c r="AL208" s="798">
        <f t="shared" si="204"/>
        <v>1</v>
      </c>
      <c r="AM208" s="798">
        <f t="shared" si="204"/>
        <v>1</v>
      </c>
      <c r="AN208" s="798">
        <f t="shared" si="204"/>
        <v>1</v>
      </c>
      <c r="AO208" s="798">
        <f t="shared" si="204"/>
        <v>1</v>
      </c>
      <c r="AP208" s="798">
        <f t="shared" si="204"/>
        <v>1</v>
      </c>
      <c r="AQ208" s="798">
        <f t="shared" si="204"/>
        <v>1</v>
      </c>
      <c r="AR208" s="798">
        <f t="shared" si="204"/>
        <v>1</v>
      </c>
      <c r="AS208" s="798">
        <f t="shared" si="204"/>
        <v>1</v>
      </c>
      <c r="AT208" s="798">
        <f t="shared" si="204"/>
        <v>1</v>
      </c>
      <c r="AU208" s="798">
        <f t="shared" si="204"/>
        <v>1</v>
      </c>
      <c r="AV208" s="798">
        <f t="shared" si="204"/>
        <v>1</v>
      </c>
      <c r="AW208" s="798">
        <f t="shared" si="204"/>
        <v>1</v>
      </c>
      <c r="AX208" s="798">
        <f t="shared" si="204"/>
        <v>1</v>
      </c>
      <c r="AY208" s="798">
        <f t="shared" si="204"/>
        <v>1</v>
      </c>
      <c r="AZ208" s="798">
        <f t="shared" si="204"/>
        <v>1</v>
      </c>
      <c r="BA208" s="798">
        <f t="shared" si="204"/>
        <v>1</v>
      </c>
      <c r="BB208" s="798">
        <f t="shared" si="204"/>
        <v>1</v>
      </c>
      <c r="BC208" s="798">
        <f t="shared" si="204"/>
        <v>1</v>
      </c>
      <c r="BD208" s="798">
        <f t="shared" si="204"/>
        <v>1</v>
      </c>
      <c r="BE208" s="798">
        <f t="shared" si="204"/>
        <v>1</v>
      </c>
      <c r="BF208" s="798">
        <f t="shared" si="204"/>
        <v>1</v>
      </c>
      <c r="BG208" s="798">
        <f t="shared" si="204"/>
        <v>1</v>
      </c>
      <c r="BH208" s="798">
        <f t="shared" si="204"/>
        <v>1</v>
      </c>
      <c r="BI208" s="798">
        <f t="shared" si="204"/>
        <v>1</v>
      </c>
      <c r="BJ208" s="798">
        <f t="shared" si="204"/>
        <v>1</v>
      </c>
      <c r="BK208" s="798">
        <f t="shared" si="204"/>
        <v>1</v>
      </c>
      <c r="BL208" s="765"/>
      <c r="BM208" s="817"/>
      <c r="BN208" s="817"/>
    </row>
    <row r="209" hidden="1">
      <c r="A209" s="765"/>
      <c r="B209" s="765"/>
      <c r="C209" s="765"/>
      <c r="D209" s="765"/>
      <c r="E209" s="765"/>
      <c r="F209" s="765"/>
      <c r="G209" s="765"/>
      <c r="H209" s="765"/>
      <c r="I209" s="765">
        <f t="shared" si="17"/>
        <v>198</v>
      </c>
      <c r="J209" s="763">
        <f t="shared" si="5"/>
        <v>93947716078</v>
      </c>
      <c r="K209" s="796">
        <f t="shared" si="7"/>
        <v>0.33279</v>
      </c>
      <c r="L209" s="796">
        <v>5.0E-4</v>
      </c>
      <c r="M209" s="763">
        <v>1.07123963601303E11</v>
      </c>
      <c r="N209" s="797">
        <f t="shared" si="8"/>
        <v>0</v>
      </c>
      <c r="O209" s="798">
        <f t="shared" ref="O209:BK209" si="205">FLOOR(MIN((((N("value of ELS upgrade")+N$8*($K209-$K208))*(N("Check checkbox")+(IF($G$6=TRUE,$G$7,$G$8))/$G$8))/(N("ROI of ELS and multiply by 2 if ELS is 1:1")+IF($G$12 = True, 2, 1) * $J209))/((N("difference in ELS+ and the cost of it")+(($K208*O$8)-($K208*N$8)) / O$7)),(N("MIN lets it return 0 or 1 after floored")+1)),1)</f>
        <v>0</v>
      </c>
      <c r="P209" s="798">
        <f t="shared" si="205"/>
        <v>0</v>
      </c>
      <c r="Q209" s="798">
        <f t="shared" si="205"/>
        <v>0</v>
      </c>
      <c r="R209" s="798">
        <f t="shared" si="205"/>
        <v>0</v>
      </c>
      <c r="S209" s="798">
        <f t="shared" si="205"/>
        <v>1</v>
      </c>
      <c r="T209" s="798">
        <f t="shared" si="205"/>
        <v>1</v>
      </c>
      <c r="U209" s="798">
        <f t="shared" si="205"/>
        <v>1</v>
      </c>
      <c r="V209" s="798">
        <f t="shared" si="205"/>
        <v>1</v>
      </c>
      <c r="W209" s="798">
        <f t="shared" si="205"/>
        <v>1</v>
      </c>
      <c r="X209" s="798">
        <f t="shared" si="205"/>
        <v>1</v>
      </c>
      <c r="Y209" s="798">
        <f t="shared" si="205"/>
        <v>1</v>
      </c>
      <c r="Z209" s="798">
        <f t="shared" si="205"/>
        <v>1</v>
      </c>
      <c r="AA209" s="798">
        <f t="shared" si="205"/>
        <v>1</v>
      </c>
      <c r="AB209" s="798">
        <f t="shared" si="205"/>
        <v>1</v>
      </c>
      <c r="AC209" s="798">
        <f t="shared" si="205"/>
        <v>1</v>
      </c>
      <c r="AD209" s="798">
        <f t="shared" si="205"/>
        <v>1</v>
      </c>
      <c r="AE209" s="798">
        <f t="shared" si="205"/>
        <v>1</v>
      </c>
      <c r="AF209" s="798">
        <f t="shared" si="205"/>
        <v>1</v>
      </c>
      <c r="AG209" s="798">
        <f t="shared" si="205"/>
        <v>1</v>
      </c>
      <c r="AH209" s="798">
        <f t="shared" si="205"/>
        <v>1</v>
      </c>
      <c r="AI209" s="798">
        <f t="shared" si="205"/>
        <v>1</v>
      </c>
      <c r="AJ209" s="798">
        <f t="shared" si="205"/>
        <v>1</v>
      </c>
      <c r="AK209" s="798">
        <f t="shared" si="205"/>
        <v>1</v>
      </c>
      <c r="AL209" s="798">
        <f t="shared" si="205"/>
        <v>1</v>
      </c>
      <c r="AM209" s="798">
        <f t="shared" si="205"/>
        <v>1</v>
      </c>
      <c r="AN209" s="798">
        <f t="shared" si="205"/>
        <v>1</v>
      </c>
      <c r="AO209" s="798">
        <f t="shared" si="205"/>
        <v>1</v>
      </c>
      <c r="AP209" s="798">
        <f t="shared" si="205"/>
        <v>1</v>
      </c>
      <c r="AQ209" s="798">
        <f t="shared" si="205"/>
        <v>1</v>
      </c>
      <c r="AR209" s="798">
        <f t="shared" si="205"/>
        <v>1</v>
      </c>
      <c r="AS209" s="798">
        <f t="shared" si="205"/>
        <v>1</v>
      </c>
      <c r="AT209" s="798">
        <f t="shared" si="205"/>
        <v>1</v>
      </c>
      <c r="AU209" s="798">
        <f t="shared" si="205"/>
        <v>1</v>
      </c>
      <c r="AV209" s="798">
        <f t="shared" si="205"/>
        <v>1</v>
      </c>
      <c r="AW209" s="798">
        <f t="shared" si="205"/>
        <v>1</v>
      </c>
      <c r="AX209" s="798">
        <f t="shared" si="205"/>
        <v>1</v>
      </c>
      <c r="AY209" s="798">
        <f t="shared" si="205"/>
        <v>1</v>
      </c>
      <c r="AZ209" s="798">
        <f t="shared" si="205"/>
        <v>1</v>
      </c>
      <c r="BA209" s="798">
        <f t="shared" si="205"/>
        <v>1</v>
      </c>
      <c r="BB209" s="798">
        <f t="shared" si="205"/>
        <v>1</v>
      </c>
      <c r="BC209" s="798">
        <f t="shared" si="205"/>
        <v>1</v>
      </c>
      <c r="BD209" s="798">
        <f t="shared" si="205"/>
        <v>1</v>
      </c>
      <c r="BE209" s="798">
        <f t="shared" si="205"/>
        <v>1</v>
      </c>
      <c r="BF209" s="798">
        <f t="shared" si="205"/>
        <v>1</v>
      </c>
      <c r="BG209" s="798">
        <f t="shared" si="205"/>
        <v>1</v>
      </c>
      <c r="BH209" s="798">
        <f t="shared" si="205"/>
        <v>1</v>
      </c>
      <c r="BI209" s="798">
        <f t="shared" si="205"/>
        <v>1</v>
      </c>
      <c r="BJ209" s="798">
        <f t="shared" si="205"/>
        <v>1</v>
      </c>
      <c r="BK209" s="798">
        <f t="shared" si="205"/>
        <v>1</v>
      </c>
      <c r="BL209" s="765"/>
      <c r="BM209" s="817"/>
      <c r="BN209" s="817"/>
    </row>
    <row r="210" hidden="1">
      <c r="A210" s="765"/>
      <c r="B210" s="765"/>
      <c r="C210" s="765"/>
      <c r="D210" s="765"/>
      <c r="E210" s="765"/>
      <c r="F210" s="765"/>
      <c r="G210" s="765"/>
      <c r="H210" s="765"/>
      <c r="I210" s="765">
        <f t="shared" si="17"/>
        <v>199</v>
      </c>
      <c r="J210" s="763">
        <f t="shared" si="5"/>
        <v>94445605535</v>
      </c>
      <c r="K210" s="796">
        <f t="shared" si="7"/>
        <v>0.33329</v>
      </c>
      <c r="L210" s="796">
        <v>5.0E-4</v>
      </c>
      <c r="M210" s="763">
        <v>1.07691682479714E11</v>
      </c>
      <c r="N210" s="797">
        <f t="shared" si="8"/>
        <v>0</v>
      </c>
      <c r="O210" s="798">
        <f t="shared" ref="O210:BK210" si="206">FLOOR(MIN((((N("value of ELS upgrade")+N$8*($K210-$K209))*(N("Check checkbox")+(IF($G$6=TRUE,$G$7,$G$8))/$G$8))/(N("ROI of ELS and multiply by 2 if ELS is 1:1")+IF($G$12 = True, 2, 1) * $J210))/((N("difference in ELS+ and the cost of it")+(($K209*O$8)-($K209*N$8)) / O$7)),(N("MIN lets it return 0 or 1 after floored")+1)),1)</f>
        <v>0</v>
      </c>
      <c r="P210" s="798">
        <f t="shared" si="206"/>
        <v>0</v>
      </c>
      <c r="Q210" s="798">
        <f t="shared" si="206"/>
        <v>0</v>
      </c>
      <c r="R210" s="798">
        <f t="shared" si="206"/>
        <v>0</v>
      </c>
      <c r="S210" s="798">
        <f t="shared" si="206"/>
        <v>1</v>
      </c>
      <c r="T210" s="798">
        <f t="shared" si="206"/>
        <v>1</v>
      </c>
      <c r="U210" s="798">
        <f t="shared" si="206"/>
        <v>1</v>
      </c>
      <c r="V210" s="798">
        <f t="shared" si="206"/>
        <v>1</v>
      </c>
      <c r="W210" s="798">
        <f t="shared" si="206"/>
        <v>1</v>
      </c>
      <c r="X210" s="798">
        <f t="shared" si="206"/>
        <v>1</v>
      </c>
      <c r="Y210" s="798">
        <f t="shared" si="206"/>
        <v>1</v>
      </c>
      <c r="Z210" s="798">
        <f t="shared" si="206"/>
        <v>1</v>
      </c>
      <c r="AA210" s="798">
        <f t="shared" si="206"/>
        <v>1</v>
      </c>
      <c r="AB210" s="798">
        <f t="shared" si="206"/>
        <v>1</v>
      </c>
      <c r="AC210" s="798">
        <f t="shared" si="206"/>
        <v>1</v>
      </c>
      <c r="AD210" s="798">
        <f t="shared" si="206"/>
        <v>1</v>
      </c>
      <c r="AE210" s="798">
        <f t="shared" si="206"/>
        <v>1</v>
      </c>
      <c r="AF210" s="798">
        <f t="shared" si="206"/>
        <v>1</v>
      </c>
      <c r="AG210" s="798">
        <f t="shared" si="206"/>
        <v>1</v>
      </c>
      <c r="AH210" s="798">
        <f t="shared" si="206"/>
        <v>1</v>
      </c>
      <c r="AI210" s="798">
        <f t="shared" si="206"/>
        <v>1</v>
      </c>
      <c r="AJ210" s="798">
        <f t="shared" si="206"/>
        <v>1</v>
      </c>
      <c r="AK210" s="798">
        <f t="shared" si="206"/>
        <v>1</v>
      </c>
      <c r="AL210" s="798">
        <f t="shared" si="206"/>
        <v>1</v>
      </c>
      <c r="AM210" s="798">
        <f t="shared" si="206"/>
        <v>1</v>
      </c>
      <c r="AN210" s="798">
        <f t="shared" si="206"/>
        <v>1</v>
      </c>
      <c r="AO210" s="798">
        <f t="shared" si="206"/>
        <v>1</v>
      </c>
      <c r="AP210" s="798">
        <f t="shared" si="206"/>
        <v>1</v>
      </c>
      <c r="AQ210" s="798">
        <f t="shared" si="206"/>
        <v>1</v>
      </c>
      <c r="AR210" s="798">
        <f t="shared" si="206"/>
        <v>1</v>
      </c>
      <c r="AS210" s="798">
        <f t="shared" si="206"/>
        <v>1</v>
      </c>
      <c r="AT210" s="798">
        <f t="shared" si="206"/>
        <v>1</v>
      </c>
      <c r="AU210" s="798">
        <f t="shared" si="206"/>
        <v>1</v>
      </c>
      <c r="AV210" s="798">
        <f t="shared" si="206"/>
        <v>1</v>
      </c>
      <c r="AW210" s="798">
        <f t="shared" si="206"/>
        <v>1</v>
      </c>
      <c r="AX210" s="798">
        <f t="shared" si="206"/>
        <v>1</v>
      </c>
      <c r="AY210" s="798">
        <f t="shared" si="206"/>
        <v>1</v>
      </c>
      <c r="AZ210" s="798">
        <f t="shared" si="206"/>
        <v>1</v>
      </c>
      <c r="BA210" s="798">
        <f t="shared" si="206"/>
        <v>1</v>
      </c>
      <c r="BB210" s="798">
        <f t="shared" si="206"/>
        <v>1</v>
      </c>
      <c r="BC210" s="798">
        <f t="shared" si="206"/>
        <v>1</v>
      </c>
      <c r="BD210" s="798">
        <f t="shared" si="206"/>
        <v>1</v>
      </c>
      <c r="BE210" s="798">
        <f t="shared" si="206"/>
        <v>1</v>
      </c>
      <c r="BF210" s="798">
        <f t="shared" si="206"/>
        <v>1</v>
      </c>
      <c r="BG210" s="798">
        <f t="shared" si="206"/>
        <v>1</v>
      </c>
      <c r="BH210" s="798">
        <f t="shared" si="206"/>
        <v>1</v>
      </c>
      <c r="BI210" s="798">
        <f t="shared" si="206"/>
        <v>1</v>
      </c>
      <c r="BJ210" s="798">
        <f t="shared" si="206"/>
        <v>1</v>
      </c>
      <c r="BK210" s="798">
        <f t="shared" si="206"/>
        <v>1</v>
      </c>
      <c r="BL210" s="765"/>
      <c r="BM210" s="817"/>
      <c r="BN210" s="817"/>
    </row>
    <row r="211" hidden="1">
      <c r="A211" s="765"/>
      <c r="B211" s="765"/>
      <c r="C211" s="765"/>
      <c r="D211" s="765"/>
      <c r="E211" s="765"/>
      <c r="F211" s="765"/>
      <c r="G211" s="765"/>
      <c r="H211" s="765"/>
      <c r="I211" s="765">
        <f t="shared" si="17"/>
        <v>200</v>
      </c>
      <c r="J211" s="763">
        <f t="shared" si="5"/>
        <v>94944517349</v>
      </c>
      <c r="K211" s="796">
        <f t="shared" si="7"/>
        <v>0.33379</v>
      </c>
      <c r="L211" s="796">
        <v>5.0E-4</v>
      </c>
      <c r="M211" s="763">
        <v>1.08260567102414E11</v>
      </c>
      <c r="N211" s="797">
        <f t="shared" si="8"/>
        <v>0</v>
      </c>
      <c r="O211" s="798">
        <f t="shared" ref="O211:BK211" si="207">FLOOR(MIN((((N("value of ELS upgrade")+N$8*($K211-$K210))*(N("Check checkbox")+(IF($G$6=TRUE,$G$7,$G$8))/$G$8))/(N("ROI of ELS and multiply by 2 if ELS is 1:1")+IF($G$12 = True, 2, 1) * $J211))/((N("difference in ELS+ and the cost of it")+(($K210*O$8)-($K210*N$8)) / O$7)),(N("MIN lets it return 0 or 1 after floored")+1)),1)</f>
        <v>0</v>
      </c>
      <c r="P211" s="798">
        <f t="shared" si="207"/>
        <v>0</v>
      </c>
      <c r="Q211" s="798">
        <f t="shared" si="207"/>
        <v>0</v>
      </c>
      <c r="R211" s="798">
        <f t="shared" si="207"/>
        <v>0</v>
      </c>
      <c r="S211" s="798">
        <f t="shared" si="207"/>
        <v>1</v>
      </c>
      <c r="T211" s="798">
        <f t="shared" si="207"/>
        <v>1</v>
      </c>
      <c r="U211" s="798">
        <f t="shared" si="207"/>
        <v>1</v>
      </c>
      <c r="V211" s="798">
        <f t="shared" si="207"/>
        <v>1</v>
      </c>
      <c r="W211" s="798">
        <f t="shared" si="207"/>
        <v>1</v>
      </c>
      <c r="X211" s="798">
        <f t="shared" si="207"/>
        <v>1</v>
      </c>
      <c r="Y211" s="798">
        <f t="shared" si="207"/>
        <v>1</v>
      </c>
      <c r="Z211" s="798">
        <f t="shared" si="207"/>
        <v>1</v>
      </c>
      <c r="AA211" s="798">
        <f t="shared" si="207"/>
        <v>1</v>
      </c>
      <c r="AB211" s="798">
        <f t="shared" si="207"/>
        <v>1</v>
      </c>
      <c r="AC211" s="798">
        <f t="shared" si="207"/>
        <v>1</v>
      </c>
      <c r="AD211" s="798">
        <f t="shared" si="207"/>
        <v>1</v>
      </c>
      <c r="AE211" s="798">
        <f t="shared" si="207"/>
        <v>1</v>
      </c>
      <c r="AF211" s="798">
        <f t="shared" si="207"/>
        <v>1</v>
      </c>
      <c r="AG211" s="798">
        <f t="shared" si="207"/>
        <v>1</v>
      </c>
      <c r="AH211" s="798">
        <f t="shared" si="207"/>
        <v>1</v>
      </c>
      <c r="AI211" s="798">
        <f t="shared" si="207"/>
        <v>1</v>
      </c>
      <c r="AJ211" s="798">
        <f t="shared" si="207"/>
        <v>1</v>
      </c>
      <c r="AK211" s="798">
        <f t="shared" si="207"/>
        <v>1</v>
      </c>
      <c r="AL211" s="798">
        <f t="shared" si="207"/>
        <v>1</v>
      </c>
      <c r="AM211" s="798">
        <f t="shared" si="207"/>
        <v>1</v>
      </c>
      <c r="AN211" s="798">
        <f t="shared" si="207"/>
        <v>1</v>
      </c>
      <c r="AO211" s="798">
        <f t="shared" si="207"/>
        <v>1</v>
      </c>
      <c r="AP211" s="798">
        <f t="shared" si="207"/>
        <v>1</v>
      </c>
      <c r="AQ211" s="798">
        <f t="shared" si="207"/>
        <v>1</v>
      </c>
      <c r="AR211" s="798">
        <f t="shared" si="207"/>
        <v>1</v>
      </c>
      <c r="AS211" s="798">
        <f t="shared" si="207"/>
        <v>1</v>
      </c>
      <c r="AT211" s="798">
        <f t="shared" si="207"/>
        <v>1</v>
      </c>
      <c r="AU211" s="798">
        <f t="shared" si="207"/>
        <v>1</v>
      </c>
      <c r="AV211" s="798">
        <f t="shared" si="207"/>
        <v>1</v>
      </c>
      <c r="AW211" s="798">
        <f t="shared" si="207"/>
        <v>1</v>
      </c>
      <c r="AX211" s="798">
        <f t="shared" si="207"/>
        <v>1</v>
      </c>
      <c r="AY211" s="798">
        <f t="shared" si="207"/>
        <v>1</v>
      </c>
      <c r="AZ211" s="798">
        <f t="shared" si="207"/>
        <v>1</v>
      </c>
      <c r="BA211" s="798">
        <f t="shared" si="207"/>
        <v>1</v>
      </c>
      <c r="BB211" s="798">
        <f t="shared" si="207"/>
        <v>1</v>
      </c>
      <c r="BC211" s="798">
        <f t="shared" si="207"/>
        <v>1</v>
      </c>
      <c r="BD211" s="798">
        <f t="shared" si="207"/>
        <v>1</v>
      </c>
      <c r="BE211" s="798">
        <f t="shared" si="207"/>
        <v>1</v>
      </c>
      <c r="BF211" s="798">
        <f t="shared" si="207"/>
        <v>1</v>
      </c>
      <c r="BG211" s="798">
        <f t="shared" si="207"/>
        <v>1</v>
      </c>
      <c r="BH211" s="798">
        <f t="shared" si="207"/>
        <v>1</v>
      </c>
      <c r="BI211" s="798">
        <f t="shared" si="207"/>
        <v>1</v>
      </c>
      <c r="BJ211" s="798">
        <f t="shared" si="207"/>
        <v>1</v>
      </c>
      <c r="BK211" s="798">
        <f t="shared" si="207"/>
        <v>1</v>
      </c>
      <c r="BL211" s="765"/>
      <c r="BM211" s="817"/>
      <c r="BN211" s="817"/>
    </row>
    <row r="212" hidden="1">
      <c r="A212" s="765"/>
      <c r="B212" s="765"/>
      <c r="C212" s="765"/>
      <c r="D212" s="765"/>
      <c r="E212" s="765"/>
      <c r="F212" s="765"/>
      <c r="G212" s="765"/>
      <c r="H212" s="765"/>
      <c r="I212" s="765">
        <f t="shared" si="17"/>
        <v>201</v>
      </c>
      <c r="J212" s="763">
        <f t="shared" si="5"/>
        <v>190888918706</v>
      </c>
      <c r="K212" s="796">
        <f t="shared" si="7"/>
        <v>0.33429</v>
      </c>
      <c r="L212" s="796">
        <v>5.0E-4</v>
      </c>
      <c r="M212" s="763">
        <v>2.17661252801014E11</v>
      </c>
      <c r="N212" s="797">
        <f t="shared" si="8"/>
        <v>0</v>
      </c>
      <c r="O212" s="798">
        <f t="shared" ref="O212:BK212" si="208">FLOOR(MIN((((N("value of ELS upgrade")+N$8*($K212-$K211))*(N("Check checkbox")+(IF($G$6=TRUE,$G$7,$G$8))/$G$8))/(N("ROI of ELS and multiply by 2 if ELS is 1:1")+IF($G$12 = True, 2, 1) * $J212))/((N("difference in ELS+ and the cost of it")+(($K211*O$8)-($K211*N$8)) / O$7)),(N("MIN lets it return 0 or 1 after floored")+1)),1)</f>
        <v>0</v>
      </c>
      <c r="P212" s="798">
        <f t="shared" si="208"/>
        <v>0</v>
      </c>
      <c r="Q212" s="798">
        <f t="shared" si="208"/>
        <v>0</v>
      </c>
      <c r="R212" s="798">
        <f t="shared" si="208"/>
        <v>0</v>
      </c>
      <c r="S212" s="798">
        <f t="shared" si="208"/>
        <v>1</v>
      </c>
      <c r="T212" s="798">
        <f t="shared" si="208"/>
        <v>1</v>
      </c>
      <c r="U212" s="798">
        <f t="shared" si="208"/>
        <v>1</v>
      </c>
      <c r="V212" s="798">
        <f t="shared" si="208"/>
        <v>1</v>
      </c>
      <c r="W212" s="798">
        <f t="shared" si="208"/>
        <v>1</v>
      </c>
      <c r="X212" s="798">
        <f t="shared" si="208"/>
        <v>1</v>
      </c>
      <c r="Y212" s="798">
        <f t="shared" si="208"/>
        <v>1</v>
      </c>
      <c r="Z212" s="798">
        <f t="shared" si="208"/>
        <v>1</v>
      </c>
      <c r="AA212" s="798">
        <f t="shared" si="208"/>
        <v>1</v>
      </c>
      <c r="AB212" s="798">
        <f t="shared" si="208"/>
        <v>1</v>
      </c>
      <c r="AC212" s="798">
        <f t="shared" si="208"/>
        <v>1</v>
      </c>
      <c r="AD212" s="798">
        <f t="shared" si="208"/>
        <v>1</v>
      </c>
      <c r="AE212" s="798">
        <f t="shared" si="208"/>
        <v>1</v>
      </c>
      <c r="AF212" s="798">
        <f t="shared" si="208"/>
        <v>1</v>
      </c>
      <c r="AG212" s="798">
        <f t="shared" si="208"/>
        <v>1</v>
      </c>
      <c r="AH212" s="798">
        <f t="shared" si="208"/>
        <v>1</v>
      </c>
      <c r="AI212" s="798">
        <f t="shared" si="208"/>
        <v>1</v>
      </c>
      <c r="AJ212" s="798">
        <f t="shared" si="208"/>
        <v>1</v>
      </c>
      <c r="AK212" s="798">
        <f t="shared" si="208"/>
        <v>1</v>
      </c>
      <c r="AL212" s="798">
        <f t="shared" si="208"/>
        <v>1</v>
      </c>
      <c r="AM212" s="798">
        <f t="shared" si="208"/>
        <v>1</v>
      </c>
      <c r="AN212" s="798">
        <f t="shared" si="208"/>
        <v>1</v>
      </c>
      <c r="AO212" s="798">
        <f t="shared" si="208"/>
        <v>1</v>
      </c>
      <c r="AP212" s="798">
        <f t="shared" si="208"/>
        <v>1</v>
      </c>
      <c r="AQ212" s="798">
        <f t="shared" si="208"/>
        <v>1</v>
      </c>
      <c r="AR212" s="798">
        <f t="shared" si="208"/>
        <v>1</v>
      </c>
      <c r="AS212" s="798">
        <f t="shared" si="208"/>
        <v>1</v>
      </c>
      <c r="AT212" s="798">
        <f t="shared" si="208"/>
        <v>1</v>
      </c>
      <c r="AU212" s="798">
        <f t="shared" si="208"/>
        <v>1</v>
      </c>
      <c r="AV212" s="798">
        <f t="shared" si="208"/>
        <v>1</v>
      </c>
      <c r="AW212" s="798">
        <f t="shared" si="208"/>
        <v>1</v>
      </c>
      <c r="AX212" s="798">
        <f t="shared" si="208"/>
        <v>1</v>
      </c>
      <c r="AY212" s="798">
        <f t="shared" si="208"/>
        <v>1</v>
      </c>
      <c r="AZ212" s="798">
        <f t="shared" si="208"/>
        <v>1</v>
      </c>
      <c r="BA212" s="798">
        <f t="shared" si="208"/>
        <v>1</v>
      </c>
      <c r="BB212" s="798">
        <f t="shared" si="208"/>
        <v>1</v>
      </c>
      <c r="BC212" s="798">
        <f t="shared" si="208"/>
        <v>1</v>
      </c>
      <c r="BD212" s="798">
        <f t="shared" si="208"/>
        <v>1</v>
      </c>
      <c r="BE212" s="798">
        <f t="shared" si="208"/>
        <v>1</v>
      </c>
      <c r="BF212" s="798">
        <f t="shared" si="208"/>
        <v>1</v>
      </c>
      <c r="BG212" s="798">
        <f t="shared" si="208"/>
        <v>1</v>
      </c>
      <c r="BH212" s="798">
        <f t="shared" si="208"/>
        <v>1</v>
      </c>
      <c r="BI212" s="798">
        <f t="shared" si="208"/>
        <v>1</v>
      </c>
      <c r="BJ212" s="798">
        <f t="shared" si="208"/>
        <v>1</v>
      </c>
      <c r="BK212" s="798">
        <f t="shared" si="208"/>
        <v>1</v>
      </c>
      <c r="BL212" s="765"/>
      <c r="BM212" s="817"/>
      <c r="BN212" s="817"/>
    </row>
    <row r="213" hidden="1">
      <c r="A213" s="765"/>
      <c r="B213" s="765"/>
      <c r="C213" s="765"/>
      <c r="D213" s="765"/>
      <c r="E213" s="765"/>
      <c r="F213" s="765"/>
      <c r="G213" s="765"/>
      <c r="H213" s="765"/>
      <c r="I213" s="765">
        <f t="shared" si="17"/>
        <v>202</v>
      </c>
      <c r="J213" s="763">
        <f t="shared" si="5"/>
        <v>191890875463</v>
      </c>
      <c r="K213" s="796">
        <f t="shared" si="7"/>
        <v>0.33479</v>
      </c>
      <c r="L213" s="796">
        <v>5.0E-4</v>
      </c>
      <c r="M213" s="763">
        <v>2.18803734849732E11</v>
      </c>
      <c r="N213" s="797">
        <f t="shared" si="8"/>
        <v>0</v>
      </c>
      <c r="O213" s="798">
        <f t="shared" ref="O213:BK213" si="209">FLOOR(MIN((((N("value of ELS upgrade")+N$8*($K213-$K212))*(N("Check checkbox")+(IF($G$6=TRUE,$G$7,$G$8))/$G$8))/(N("ROI of ELS and multiply by 2 if ELS is 1:1")+IF($G$12 = True, 2, 1) * $J213))/((N("difference in ELS+ and the cost of it")+(($K212*O$8)-($K212*N$8)) / O$7)),(N("MIN lets it return 0 or 1 after floored")+1)),1)</f>
        <v>0</v>
      </c>
      <c r="P213" s="798">
        <f t="shared" si="209"/>
        <v>0</v>
      </c>
      <c r="Q213" s="798">
        <f t="shared" si="209"/>
        <v>0</v>
      </c>
      <c r="R213" s="798">
        <f t="shared" si="209"/>
        <v>0</v>
      </c>
      <c r="S213" s="798">
        <f t="shared" si="209"/>
        <v>1</v>
      </c>
      <c r="T213" s="798">
        <f t="shared" si="209"/>
        <v>1</v>
      </c>
      <c r="U213" s="798">
        <f t="shared" si="209"/>
        <v>1</v>
      </c>
      <c r="V213" s="798">
        <f t="shared" si="209"/>
        <v>1</v>
      </c>
      <c r="W213" s="798">
        <f t="shared" si="209"/>
        <v>1</v>
      </c>
      <c r="X213" s="798">
        <f t="shared" si="209"/>
        <v>1</v>
      </c>
      <c r="Y213" s="798">
        <f t="shared" si="209"/>
        <v>1</v>
      </c>
      <c r="Z213" s="798">
        <f t="shared" si="209"/>
        <v>1</v>
      </c>
      <c r="AA213" s="798">
        <f t="shared" si="209"/>
        <v>1</v>
      </c>
      <c r="AB213" s="798">
        <f t="shared" si="209"/>
        <v>1</v>
      </c>
      <c r="AC213" s="798">
        <f t="shared" si="209"/>
        <v>1</v>
      </c>
      <c r="AD213" s="798">
        <f t="shared" si="209"/>
        <v>1</v>
      </c>
      <c r="AE213" s="798">
        <f t="shared" si="209"/>
        <v>1</v>
      </c>
      <c r="AF213" s="798">
        <f t="shared" si="209"/>
        <v>1</v>
      </c>
      <c r="AG213" s="798">
        <f t="shared" si="209"/>
        <v>1</v>
      </c>
      <c r="AH213" s="798">
        <f t="shared" si="209"/>
        <v>1</v>
      </c>
      <c r="AI213" s="798">
        <f t="shared" si="209"/>
        <v>1</v>
      </c>
      <c r="AJ213" s="798">
        <f t="shared" si="209"/>
        <v>1</v>
      </c>
      <c r="AK213" s="798">
        <f t="shared" si="209"/>
        <v>1</v>
      </c>
      <c r="AL213" s="798">
        <f t="shared" si="209"/>
        <v>1</v>
      </c>
      <c r="AM213" s="798">
        <f t="shared" si="209"/>
        <v>1</v>
      </c>
      <c r="AN213" s="798">
        <f t="shared" si="209"/>
        <v>1</v>
      </c>
      <c r="AO213" s="798">
        <f t="shared" si="209"/>
        <v>1</v>
      </c>
      <c r="AP213" s="798">
        <f t="shared" si="209"/>
        <v>1</v>
      </c>
      <c r="AQ213" s="798">
        <f t="shared" si="209"/>
        <v>1</v>
      </c>
      <c r="AR213" s="798">
        <f t="shared" si="209"/>
        <v>1</v>
      </c>
      <c r="AS213" s="798">
        <f t="shared" si="209"/>
        <v>1</v>
      </c>
      <c r="AT213" s="798">
        <f t="shared" si="209"/>
        <v>1</v>
      </c>
      <c r="AU213" s="798">
        <f t="shared" si="209"/>
        <v>1</v>
      </c>
      <c r="AV213" s="798">
        <f t="shared" si="209"/>
        <v>1</v>
      </c>
      <c r="AW213" s="798">
        <f t="shared" si="209"/>
        <v>1</v>
      </c>
      <c r="AX213" s="798">
        <f t="shared" si="209"/>
        <v>1</v>
      </c>
      <c r="AY213" s="798">
        <f t="shared" si="209"/>
        <v>1</v>
      </c>
      <c r="AZ213" s="798">
        <f t="shared" si="209"/>
        <v>1</v>
      </c>
      <c r="BA213" s="798">
        <f t="shared" si="209"/>
        <v>1</v>
      </c>
      <c r="BB213" s="798">
        <f t="shared" si="209"/>
        <v>1</v>
      </c>
      <c r="BC213" s="798">
        <f t="shared" si="209"/>
        <v>1</v>
      </c>
      <c r="BD213" s="798">
        <f t="shared" si="209"/>
        <v>1</v>
      </c>
      <c r="BE213" s="798">
        <f t="shared" si="209"/>
        <v>1</v>
      </c>
      <c r="BF213" s="798">
        <f t="shared" si="209"/>
        <v>1</v>
      </c>
      <c r="BG213" s="798">
        <f t="shared" si="209"/>
        <v>1</v>
      </c>
      <c r="BH213" s="798">
        <f t="shared" si="209"/>
        <v>1</v>
      </c>
      <c r="BI213" s="798">
        <f t="shared" si="209"/>
        <v>1</v>
      </c>
      <c r="BJ213" s="798">
        <f t="shared" si="209"/>
        <v>1</v>
      </c>
      <c r="BK213" s="798">
        <f t="shared" si="209"/>
        <v>1</v>
      </c>
      <c r="BL213" s="765"/>
      <c r="BM213" s="817"/>
      <c r="BN213" s="817"/>
    </row>
    <row r="214" hidden="1">
      <c r="A214" s="765"/>
      <c r="B214" s="765"/>
      <c r="C214" s="765"/>
      <c r="D214" s="765"/>
      <c r="E214" s="765"/>
      <c r="F214" s="765"/>
      <c r="G214" s="765"/>
      <c r="H214" s="765"/>
      <c r="I214" s="765">
        <f t="shared" si="17"/>
        <v>203</v>
      </c>
      <c r="J214" s="763">
        <f t="shared" si="5"/>
        <v>192894918984</v>
      </c>
      <c r="K214" s="796">
        <f t="shared" si="7"/>
        <v>0.33529</v>
      </c>
      <c r="L214" s="796">
        <v>5.0E-4</v>
      </c>
      <c r="M214" s="763">
        <v>2.1994859633296E11</v>
      </c>
      <c r="N214" s="797">
        <f t="shared" si="8"/>
        <v>0</v>
      </c>
      <c r="O214" s="798">
        <f t="shared" ref="O214:BK214" si="210">FLOOR(MIN((((N("value of ELS upgrade")+N$8*($K214-$K213))*(N("Check checkbox")+(IF($G$6=TRUE,$G$7,$G$8))/$G$8))/(N("ROI of ELS and multiply by 2 if ELS is 1:1")+IF($G$12 = True, 2, 1) * $J214))/((N("difference in ELS+ and the cost of it")+(($K213*O$8)-($K213*N$8)) / O$7)),(N("MIN lets it return 0 or 1 after floored")+1)),1)</f>
        <v>0</v>
      </c>
      <c r="P214" s="798">
        <f t="shared" si="210"/>
        <v>0</v>
      </c>
      <c r="Q214" s="798">
        <f t="shared" si="210"/>
        <v>0</v>
      </c>
      <c r="R214" s="798">
        <f t="shared" si="210"/>
        <v>0</v>
      </c>
      <c r="S214" s="798">
        <f t="shared" si="210"/>
        <v>1</v>
      </c>
      <c r="T214" s="798">
        <f t="shared" si="210"/>
        <v>1</v>
      </c>
      <c r="U214" s="798">
        <f t="shared" si="210"/>
        <v>1</v>
      </c>
      <c r="V214" s="798">
        <f t="shared" si="210"/>
        <v>1</v>
      </c>
      <c r="W214" s="798">
        <f t="shared" si="210"/>
        <v>1</v>
      </c>
      <c r="X214" s="798">
        <f t="shared" si="210"/>
        <v>1</v>
      </c>
      <c r="Y214" s="798">
        <f t="shared" si="210"/>
        <v>1</v>
      </c>
      <c r="Z214" s="798">
        <f t="shared" si="210"/>
        <v>1</v>
      </c>
      <c r="AA214" s="798">
        <f t="shared" si="210"/>
        <v>1</v>
      </c>
      <c r="AB214" s="798">
        <f t="shared" si="210"/>
        <v>1</v>
      </c>
      <c r="AC214" s="798">
        <f t="shared" si="210"/>
        <v>1</v>
      </c>
      <c r="AD214" s="798">
        <f t="shared" si="210"/>
        <v>1</v>
      </c>
      <c r="AE214" s="798">
        <f t="shared" si="210"/>
        <v>1</v>
      </c>
      <c r="AF214" s="798">
        <f t="shared" si="210"/>
        <v>1</v>
      </c>
      <c r="AG214" s="798">
        <f t="shared" si="210"/>
        <v>1</v>
      </c>
      <c r="AH214" s="798">
        <f t="shared" si="210"/>
        <v>1</v>
      </c>
      <c r="AI214" s="798">
        <f t="shared" si="210"/>
        <v>1</v>
      </c>
      <c r="AJ214" s="798">
        <f t="shared" si="210"/>
        <v>1</v>
      </c>
      <c r="AK214" s="798">
        <f t="shared" si="210"/>
        <v>1</v>
      </c>
      <c r="AL214" s="798">
        <f t="shared" si="210"/>
        <v>1</v>
      </c>
      <c r="AM214" s="798">
        <f t="shared" si="210"/>
        <v>1</v>
      </c>
      <c r="AN214" s="798">
        <f t="shared" si="210"/>
        <v>1</v>
      </c>
      <c r="AO214" s="798">
        <f t="shared" si="210"/>
        <v>1</v>
      </c>
      <c r="AP214" s="798">
        <f t="shared" si="210"/>
        <v>1</v>
      </c>
      <c r="AQ214" s="798">
        <f t="shared" si="210"/>
        <v>1</v>
      </c>
      <c r="AR214" s="798">
        <f t="shared" si="210"/>
        <v>1</v>
      </c>
      <c r="AS214" s="798">
        <f t="shared" si="210"/>
        <v>1</v>
      </c>
      <c r="AT214" s="798">
        <f t="shared" si="210"/>
        <v>1</v>
      </c>
      <c r="AU214" s="798">
        <f t="shared" si="210"/>
        <v>1</v>
      </c>
      <c r="AV214" s="798">
        <f t="shared" si="210"/>
        <v>1</v>
      </c>
      <c r="AW214" s="798">
        <f t="shared" si="210"/>
        <v>1</v>
      </c>
      <c r="AX214" s="798">
        <f t="shared" si="210"/>
        <v>1</v>
      </c>
      <c r="AY214" s="798">
        <f t="shared" si="210"/>
        <v>1</v>
      </c>
      <c r="AZ214" s="798">
        <f t="shared" si="210"/>
        <v>1</v>
      </c>
      <c r="BA214" s="798">
        <f t="shared" si="210"/>
        <v>1</v>
      </c>
      <c r="BB214" s="798">
        <f t="shared" si="210"/>
        <v>1</v>
      </c>
      <c r="BC214" s="798">
        <f t="shared" si="210"/>
        <v>1</v>
      </c>
      <c r="BD214" s="798">
        <f t="shared" si="210"/>
        <v>1</v>
      </c>
      <c r="BE214" s="798">
        <f t="shared" si="210"/>
        <v>1</v>
      </c>
      <c r="BF214" s="798">
        <f t="shared" si="210"/>
        <v>1</v>
      </c>
      <c r="BG214" s="798">
        <f t="shared" si="210"/>
        <v>1</v>
      </c>
      <c r="BH214" s="798">
        <f t="shared" si="210"/>
        <v>1</v>
      </c>
      <c r="BI214" s="798">
        <f t="shared" si="210"/>
        <v>1</v>
      </c>
      <c r="BJ214" s="798">
        <f t="shared" si="210"/>
        <v>1</v>
      </c>
      <c r="BK214" s="798">
        <f t="shared" si="210"/>
        <v>1</v>
      </c>
      <c r="BL214" s="765"/>
      <c r="BM214" s="817"/>
      <c r="BN214" s="817"/>
    </row>
    <row r="215" hidden="1">
      <c r="A215" s="765"/>
      <c r="B215" s="765"/>
      <c r="C215" s="765"/>
      <c r="D215" s="765"/>
      <c r="E215" s="765"/>
      <c r="F215" s="765"/>
      <c r="G215" s="765"/>
      <c r="H215" s="765"/>
      <c r="I215" s="765">
        <f t="shared" si="17"/>
        <v>204</v>
      </c>
      <c r="J215" s="763">
        <f t="shared" si="5"/>
        <v>193901063285</v>
      </c>
      <c r="K215" s="796">
        <f t="shared" si="7"/>
        <v>0.33579</v>
      </c>
      <c r="L215" s="796">
        <v>5.0E-4</v>
      </c>
      <c r="M215" s="763">
        <v>2.21095853232677E11</v>
      </c>
      <c r="N215" s="797">
        <f t="shared" si="8"/>
        <v>0</v>
      </c>
      <c r="O215" s="798">
        <f t="shared" ref="O215:BK215" si="211">FLOOR(MIN((((N("value of ELS upgrade")+N$8*($K215-$K214))*(N("Check checkbox")+(IF($G$6=TRUE,$G$7,$G$8))/$G$8))/(N("ROI of ELS and multiply by 2 if ELS is 1:1")+IF($G$12 = True, 2, 1) * $J215))/((N("difference in ELS+ and the cost of it")+(($K214*O$8)-($K214*N$8)) / O$7)),(N("MIN lets it return 0 or 1 after floored")+1)),1)</f>
        <v>0</v>
      </c>
      <c r="P215" s="798">
        <f t="shared" si="211"/>
        <v>0</v>
      </c>
      <c r="Q215" s="798">
        <f t="shared" si="211"/>
        <v>0</v>
      </c>
      <c r="R215" s="798">
        <f t="shared" si="211"/>
        <v>0</v>
      </c>
      <c r="S215" s="798">
        <f t="shared" si="211"/>
        <v>1</v>
      </c>
      <c r="T215" s="798">
        <f t="shared" si="211"/>
        <v>1</v>
      </c>
      <c r="U215" s="798">
        <f t="shared" si="211"/>
        <v>1</v>
      </c>
      <c r="V215" s="798">
        <f t="shared" si="211"/>
        <v>1</v>
      </c>
      <c r="W215" s="798">
        <f t="shared" si="211"/>
        <v>1</v>
      </c>
      <c r="X215" s="798">
        <f t="shared" si="211"/>
        <v>1</v>
      </c>
      <c r="Y215" s="798">
        <f t="shared" si="211"/>
        <v>1</v>
      </c>
      <c r="Z215" s="798">
        <f t="shared" si="211"/>
        <v>1</v>
      </c>
      <c r="AA215" s="798">
        <f t="shared" si="211"/>
        <v>1</v>
      </c>
      <c r="AB215" s="798">
        <f t="shared" si="211"/>
        <v>1</v>
      </c>
      <c r="AC215" s="798">
        <f t="shared" si="211"/>
        <v>1</v>
      </c>
      <c r="AD215" s="798">
        <f t="shared" si="211"/>
        <v>1</v>
      </c>
      <c r="AE215" s="798">
        <f t="shared" si="211"/>
        <v>1</v>
      </c>
      <c r="AF215" s="798">
        <f t="shared" si="211"/>
        <v>1</v>
      </c>
      <c r="AG215" s="798">
        <f t="shared" si="211"/>
        <v>1</v>
      </c>
      <c r="AH215" s="798">
        <f t="shared" si="211"/>
        <v>1</v>
      </c>
      <c r="AI215" s="798">
        <f t="shared" si="211"/>
        <v>1</v>
      </c>
      <c r="AJ215" s="798">
        <f t="shared" si="211"/>
        <v>1</v>
      </c>
      <c r="AK215" s="798">
        <f t="shared" si="211"/>
        <v>1</v>
      </c>
      <c r="AL215" s="798">
        <f t="shared" si="211"/>
        <v>1</v>
      </c>
      <c r="AM215" s="798">
        <f t="shared" si="211"/>
        <v>1</v>
      </c>
      <c r="AN215" s="798">
        <f t="shared" si="211"/>
        <v>1</v>
      </c>
      <c r="AO215" s="798">
        <f t="shared" si="211"/>
        <v>1</v>
      </c>
      <c r="AP215" s="798">
        <f t="shared" si="211"/>
        <v>1</v>
      </c>
      <c r="AQ215" s="798">
        <f t="shared" si="211"/>
        <v>1</v>
      </c>
      <c r="AR215" s="798">
        <f t="shared" si="211"/>
        <v>1</v>
      </c>
      <c r="AS215" s="798">
        <f t="shared" si="211"/>
        <v>1</v>
      </c>
      <c r="AT215" s="798">
        <f t="shared" si="211"/>
        <v>1</v>
      </c>
      <c r="AU215" s="798">
        <f t="shared" si="211"/>
        <v>1</v>
      </c>
      <c r="AV215" s="798">
        <f t="shared" si="211"/>
        <v>1</v>
      </c>
      <c r="AW215" s="798">
        <f t="shared" si="211"/>
        <v>1</v>
      </c>
      <c r="AX215" s="798">
        <f t="shared" si="211"/>
        <v>1</v>
      </c>
      <c r="AY215" s="798">
        <f t="shared" si="211"/>
        <v>1</v>
      </c>
      <c r="AZ215" s="798">
        <f t="shared" si="211"/>
        <v>1</v>
      </c>
      <c r="BA215" s="798">
        <f t="shared" si="211"/>
        <v>1</v>
      </c>
      <c r="BB215" s="798">
        <f t="shared" si="211"/>
        <v>1</v>
      </c>
      <c r="BC215" s="798">
        <f t="shared" si="211"/>
        <v>1</v>
      </c>
      <c r="BD215" s="798">
        <f t="shared" si="211"/>
        <v>1</v>
      </c>
      <c r="BE215" s="798">
        <f t="shared" si="211"/>
        <v>1</v>
      </c>
      <c r="BF215" s="798">
        <f t="shared" si="211"/>
        <v>1</v>
      </c>
      <c r="BG215" s="798">
        <f t="shared" si="211"/>
        <v>1</v>
      </c>
      <c r="BH215" s="798">
        <f t="shared" si="211"/>
        <v>1</v>
      </c>
      <c r="BI215" s="798">
        <f t="shared" si="211"/>
        <v>1</v>
      </c>
      <c r="BJ215" s="798">
        <f t="shared" si="211"/>
        <v>1</v>
      </c>
      <c r="BK215" s="798">
        <f t="shared" si="211"/>
        <v>1</v>
      </c>
      <c r="BL215" s="765"/>
      <c r="BM215" s="817"/>
      <c r="BN215" s="817"/>
    </row>
    <row r="216" hidden="1">
      <c r="A216" s="765"/>
      <c r="B216" s="765"/>
      <c r="C216" s="765"/>
      <c r="D216" s="765"/>
      <c r="E216" s="765"/>
      <c r="F216" s="765"/>
      <c r="G216" s="765"/>
      <c r="H216" s="765"/>
      <c r="I216" s="765">
        <f t="shared" si="17"/>
        <v>205</v>
      </c>
      <c r="J216" s="763">
        <f t="shared" si="5"/>
        <v>194909324032</v>
      </c>
      <c r="K216" s="796">
        <f t="shared" si="7"/>
        <v>0.33629</v>
      </c>
      <c r="L216" s="796">
        <v>5.0E-4</v>
      </c>
      <c r="M216" s="763">
        <v>2.22245523411093E11</v>
      </c>
      <c r="N216" s="797">
        <f t="shared" si="8"/>
        <v>0</v>
      </c>
      <c r="O216" s="798">
        <f t="shared" ref="O216:BK216" si="212">FLOOR(MIN((((N("value of ELS upgrade")+N$8*($K216-$K215))*(N("Check checkbox")+(IF($G$6=TRUE,$G$7,$G$8))/$G$8))/(N("ROI of ELS and multiply by 2 if ELS is 1:1")+IF($G$12 = True, 2, 1) * $J216))/((N("difference in ELS+ and the cost of it")+(($K215*O$8)-($K215*N$8)) / O$7)),(N("MIN lets it return 0 or 1 after floored")+1)),1)</f>
        <v>0</v>
      </c>
      <c r="P216" s="798">
        <f t="shared" si="212"/>
        <v>0</v>
      </c>
      <c r="Q216" s="798">
        <f t="shared" si="212"/>
        <v>0</v>
      </c>
      <c r="R216" s="798">
        <f t="shared" si="212"/>
        <v>0</v>
      </c>
      <c r="S216" s="798">
        <f t="shared" si="212"/>
        <v>1</v>
      </c>
      <c r="T216" s="798">
        <f t="shared" si="212"/>
        <v>1</v>
      </c>
      <c r="U216" s="798">
        <f t="shared" si="212"/>
        <v>1</v>
      </c>
      <c r="V216" s="798">
        <f t="shared" si="212"/>
        <v>1</v>
      </c>
      <c r="W216" s="798">
        <f t="shared" si="212"/>
        <v>1</v>
      </c>
      <c r="X216" s="798">
        <f t="shared" si="212"/>
        <v>1</v>
      </c>
      <c r="Y216" s="798">
        <f t="shared" si="212"/>
        <v>1</v>
      </c>
      <c r="Z216" s="798">
        <f t="shared" si="212"/>
        <v>1</v>
      </c>
      <c r="AA216" s="798">
        <f t="shared" si="212"/>
        <v>1</v>
      </c>
      <c r="AB216" s="798">
        <f t="shared" si="212"/>
        <v>1</v>
      </c>
      <c r="AC216" s="798">
        <f t="shared" si="212"/>
        <v>1</v>
      </c>
      <c r="AD216" s="798">
        <f t="shared" si="212"/>
        <v>1</v>
      </c>
      <c r="AE216" s="798">
        <f t="shared" si="212"/>
        <v>1</v>
      </c>
      <c r="AF216" s="798">
        <f t="shared" si="212"/>
        <v>1</v>
      </c>
      <c r="AG216" s="798">
        <f t="shared" si="212"/>
        <v>1</v>
      </c>
      <c r="AH216" s="798">
        <f t="shared" si="212"/>
        <v>1</v>
      </c>
      <c r="AI216" s="798">
        <f t="shared" si="212"/>
        <v>1</v>
      </c>
      <c r="AJ216" s="798">
        <f t="shared" si="212"/>
        <v>1</v>
      </c>
      <c r="AK216" s="798">
        <f t="shared" si="212"/>
        <v>1</v>
      </c>
      <c r="AL216" s="798">
        <f t="shared" si="212"/>
        <v>1</v>
      </c>
      <c r="AM216" s="798">
        <f t="shared" si="212"/>
        <v>1</v>
      </c>
      <c r="AN216" s="798">
        <f t="shared" si="212"/>
        <v>1</v>
      </c>
      <c r="AO216" s="798">
        <f t="shared" si="212"/>
        <v>1</v>
      </c>
      <c r="AP216" s="798">
        <f t="shared" si="212"/>
        <v>1</v>
      </c>
      <c r="AQ216" s="798">
        <f t="shared" si="212"/>
        <v>1</v>
      </c>
      <c r="AR216" s="798">
        <f t="shared" si="212"/>
        <v>1</v>
      </c>
      <c r="AS216" s="798">
        <f t="shared" si="212"/>
        <v>1</v>
      </c>
      <c r="AT216" s="798">
        <f t="shared" si="212"/>
        <v>1</v>
      </c>
      <c r="AU216" s="798">
        <f t="shared" si="212"/>
        <v>1</v>
      </c>
      <c r="AV216" s="798">
        <f t="shared" si="212"/>
        <v>1</v>
      </c>
      <c r="AW216" s="798">
        <f t="shared" si="212"/>
        <v>1</v>
      </c>
      <c r="AX216" s="798">
        <f t="shared" si="212"/>
        <v>1</v>
      </c>
      <c r="AY216" s="798">
        <f t="shared" si="212"/>
        <v>1</v>
      </c>
      <c r="AZ216" s="798">
        <f t="shared" si="212"/>
        <v>1</v>
      </c>
      <c r="BA216" s="798">
        <f t="shared" si="212"/>
        <v>1</v>
      </c>
      <c r="BB216" s="798">
        <f t="shared" si="212"/>
        <v>1</v>
      </c>
      <c r="BC216" s="798">
        <f t="shared" si="212"/>
        <v>1</v>
      </c>
      <c r="BD216" s="798">
        <f t="shared" si="212"/>
        <v>1</v>
      </c>
      <c r="BE216" s="798">
        <f t="shared" si="212"/>
        <v>1</v>
      </c>
      <c r="BF216" s="798">
        <f t="shared" si="212"/>
        <v>1</v>
      </c>
      <c r="BG216" s="798">
        <f t="shared" si="212"/>
        <v>1</v>
      </c>
      <c r="BH216" s="798">
        <f t="shared" si="212"/>
        <v>1</v>
      </c>
      <c r="BI216" s="798">
        <f t="shared" si="212"/>
        <v>1</v>
      </c>
      <c r="BJ216" s="798">
        <f t="shared" si="212"/>
        <v>1</v>
      </c>
      <c r="BK216" s="798">
        <f t="shared" si="212"/>
        <v>1</v>
      </c>
      <c r="BL216" s="765"/>
      <c r="BM216" s="817"/>
      <c r="BN216" s="817"/>
    </row>
    <row r="217" hidden="1">
      <c r="A217" s="765"/>
      <c r="B217" s="765"/>
      <c r="C217" s="765"/>
      <c r="D217" s="765"/>
      <c r="E217" s="765"/>
      <c r="F217" s="765"/>
      <c r="G217" s="765"/>
      <c r="H217" s="765"/>
      <c r="I217" s="765">
        <f t="shared" si="17"/>
        <v>206</v>
      </c>
      <c r="J217" s="763">
        <f t="shared" si="5"/>
        <v>195919713591</v>
      </c>
      <c r="K217" s="796">
        <f t="shared" si="7"/>
        <v>0.33679</v>
      </c>
      <c r="L217" s="796">
        <v>5.0E-4</v>
      </c>
      <c r="M217" s="763">
        <v>2.23397620969954E11</v>
      </c>
      <c r="N217" s="797">
        <f t="shared" si="8"/>
        <v>0</v>
      </c>
      <c r="O217" s="798">
        <f t="shared" ref="O217:BK217" si="213">FLOOR(MIN((((N("value of ELS upgrade")+N$8*($K217-$K216))*(N("Check checkbox")+(IF($G$6=TRUE,$G$7,$G$8))/$G$8))/(N("ROI of ELS and multiply by 2 if ELS is 1:1")+IF($G$12 = True, 2, 1) * $J217))/((N("difference in ELS+ and the cost of it")+(($K216*O$8)-($K216*N$8)) / O$7)),(N("MIN lets it return 0 or 1 after floored")+1)),1)</f>
        <v>0</v>
      </c>
      <c r="P217" s="798">
        <f t="shared" si="213"/>
        <v>0</v>
      </c>
      <c r="Q217" s="798">
        <f t="shared" si="213"/>
        <v>0</v>
      </c>
      <c r="R217" s="798">
        <f t="shared" si="213"/>
        <v>0</v>
      </c>
      <c r="S217" s="798">
        <f t="shared" si="213"/>
        <v>1</v>
      </c>
      <c r="T217" s="798">
        <f t="shared" si="213"/>
        <v>1</v>
      </c>
      <c r="U217" s="798">
        <f t="shared" si="213"/>
        <v>1</v>
      </c>
      <c r="V217" s="798">
        <f t="shared" si="213"/>
        <v>1</v>
      </c>
      <c r="W217" s="798">
        <f t="shared" si="213"/>
        <v>1</v>
      </c>
      <c r="X217" s="798">
        <f t="shared" si="213"/>
        <v>1</v>
      </c>
      <c r="Y217" s="798">
        <f t="shared" si="213"/>
        <v>1</v>
      </c>
      <c r="Z217" s="798">
        <f t="shared" si="213"/>
        <v>1</v>
      </c>
      <c r="AA217" s="798">
        <f t="shared" si="213"/>
        <v>1</v>
      </c>
      <c r="AB217" s="798">
        <f t="shared" si="213"/>
        <v>1</v>
      </c>
      <c r="AC217" s="798">
        <f t="shared" si="213"/>
        <v>1</v>
      </c>
      <c r="AD217" s="798">
        <f t="shared" si="213"/>
        <v>1</v>
      </c>
      <c r="AE217" s="798">
        <f t="shared" si="213"/>
        <v>1</v>
      </c>
      <c r="AF217" s="798">
        <f t="shared" si="213"/>
        <v>1</v>
      </c>
      <c r="AG217" s="798">
        <f t="shared" si="213"/>
        <v>1</v>
      </c>
      <c r="AH217" s="798">
        <f t="shared" si="213"/>
        <v>1</v>
      </c>
      <c r="AI217" s="798">
        <f t="shared" si="213"/>
        <v>1</v>
      </c>
      <c r="AJ217" s="798">
        <f t="shared" si="213"/>
        <v>1</v>
      </c>
      <c r="AK217" s="798">
        <f t="shared" si="213"/>
        <v>1</v>
      </c>
      <c r="AL217" s="798">
        <f t="shared" si="213"/>
        <v>1</v>
      </c>
      <c r="AM217" s="798">
        <f t="shared" si="213"/>
        <v>1</v>
      </c>
      <c r="AN217" s="798">
        <f t="shared" si="213"/>
        <v>1</v>
      </c>
      <c r="AO217" s="798">
        <f t="shared" si="213"/>
        <v>1</v>
      </c>
      <c r="AP217" s="798">
        <f t="shared" si="213"/>
        <v>1</v>
      </c>
      <c r="AQ217" s="798">
        <f t="shared" si="213"/>
        <v>1</v>
      </c>
      <c r="AR217" s="798">
        <f t="shared" si="213"/>
        <v>1</v>
      </c>
      <c r="AS217" s="798">
        <f t="shared" si="213"/>
        <v>1</v>
      </c>
      <c r="AT217" s="798">
        <f t="shared" si="213"/>
        <v>1</v>
      </c>
      <c r="AU217" s="798">
        <f t="shared" si="213"/>
        <v>1</v>
      </c>
      <c r="AV217" s="798">
        <f t="shared" si="213"/>
        <v>1</v>
      </c>
      <c r="AW217" s="798">
        <f t="shared" si="213"/>
        <v>1</v>
      </c>
      <c r="AX217" s="798">
        <f t="shared" si="213"/>
        <v>1</v>
      </c>
      <c r="AY217" s="798">
        <f t="shared" si="213"/>
        <v>1</v>
      </c>
      <c r="AZ217" s="798">
        <f t="shared" si="213"/>
        <v>1</v>
      </c>
      <c r="BA217" s="798">
        <f t="shared" si="213"/>
        <v>1</v>
      </c>
      <c r="BB217" s="798">
        <f t="shared" si="213"/>
        <v>1</v>
      </c>
      <c r="BC217" s="798">
        <f t="shared" si="213"/>
        <v>1</v>
      </c>
      <c r="BD217" s="798">
        <f t="shared" si="213"/>
        <v>1</v>
      </c>
      <c r="BE217" s="798">
        <f t="shared" si="213"/>
        <v>1</v>
      </c>
      <c r="BF217" s="798">
        <f t="shared" si="213"/>
        <v>1</v>
      </c>
      <c r="BG217" s="798">
        <f t="shared" si="213"/>
        <v>1</v>
      </c>
      <c r="BH217" s="798">
        <f t="shared" si="213"/>
        <v>1</v>
      </c>
      <c r="BI217" s="798">
        <f t="shared" si="213"/>
        <v>1</v>
      </c>
      <c r="BJ217" s="798">
        <f t="shared" si="213"/>
        <v>1</v>
      </c>
      <c r="BK217" s="798">
        <f t="shared" si="213"/>
        <v>1</v>
      </c>
      <c r="BL217" s="765"/>
      <c r="BM217" s="817"/>
      <c r="BN217" s="817"/>
    </row>
    <row r="218" hidden="1">
      <c r="A218" s="765"/>
      <c r="B218" s="765"/>
      <c r="C218" s="765"/>
      <c r="D218" s="765"/>
      <c r="E218" s="765"/>
      <c r="F218" s="765"/>
      <c r="G218" s="765"/>
      <c r="H218" s="765"/>
      <c r="I218" s="765">
        <f t="shared" si="17"/>
        <v>207</v>
      </c>
      <c r="J218" s="763">
        <f t="shared" si="5"/>
        <v>196932245979</v>
      </c>
      <c r="K218" s="796">
        <f t="shared" si="7"/>
        <v>0.33729</v>
      </c>
      <c r="L218" s="796">
        <v>5.0E-4</v>
      </c>
      <c r="M218" s="763">
        <v>2.24552161891238E11</v>
      </c>
      <c r="N218" s="797">
        <f t="shared" si="8"/>
        <v>0</v>
      </c>
      <c r="O218" s="798">
        <f t="shared" ref="O218:BK218" si="214">FLOOR(MIN((((N("value of ELS upgrade")+N$8*($K218-$K217))*(N("Check checkbox")+(IF($G$6=TRUE,$G$7,$G$8))/$G$8))/(N("ROI of ELS and multiply by 2 if ELS is 1:1")+IF($G$12 = True, 2, 1) * $J218))/((N("difference in ELS+ and the cost of it")+(($K217*O$8)-($K217*N$8)) / O$7)),(N("MIN lets it return 0 or 1 after floored")+1)),1)</f>
        <v>0</v>
      </c>
      <c r="P218" s="798">
        <f t="shared" si="214"/>
        <v>0</v>
      </c>
      <c r="Q218" s="798">
        <f t="shared" si="214"/>
        <v>0</v>
      </c>
      <c r="R218" s="798">
        <f t="shared" si="214"/>
        <v>0</v>
      </c>
      <c r="S218" s="798">
        <f t="shared" si="214"/>
        <v>1</v>
      </c>
      <c r="T218" s="798">
        <f t="shared" si="214"/>
        <v>1</v>
      </c>
      <c r="U218" s="798">
        <f t="shared" si="214"/>
        <v>1</v>
      </c>
      <c r="V218" s="798">
        <f t="shared" si="214"/>
        <v>1</v>
      </c>
      <c r="W218" s="798">
        <f t="shared" si="214"/>
        <v>1</v>
      </c>
      <c r="X218" s="798">
        <f t="shared" si="214"/>
        <v>1</v>
      </c>
      <c r="Y218" s="798">
        <f t="shared" si="214"/>
        <v>1</v>
      </c>
      <c r="Z218" s="798">
        <f t="shared" si="214"/>
        <v>1</v>
      </c>
      <c r="AA218" s="798">
        <f t="shared" si="214"/>
        <v>1</v>
      </c>
      <c r="AB218" s="798">
        <f t="shared" si="214"/>
        <v>1</v>
      </c>
      <c r="AC218" s="798">
        <f t="shared" si="214"/>
        <v>1</v>
      </c>
      <c r="AD218" s="798">
        <f t="shared" si="214"/>
        <v>1</v>
      </c>
      <c r="AE218" s="798">
        <f t="shared" si="214"/>
        <v>1</v>
      </c>
      <c r="AF218" s="798">
        <f t="shared" si="214"/>
        <v>1</v>
      </c>
      <c r="AG218" s="798">
        <f t="shared" si="214"/>
        <v>1</v>
      </c>
      <c r="AH218" s="798">
        <f t="shared" si="214"/>
        <v>1</v>
      </c>
      <c r="AI218" s="798">
        <f t="shared" si="214"/>
        <v>1</v>
      </c>
      <c r="AJ218" s="798">
        <f t="shared" si="214"/>
        <v>1</v>
      </c>
      <c r="AK218" s="798">
        <f t="shared" si="214"/>
        <v>1</v>
      </c>
      <c r="AL218" s="798">
        <f t="shared" si="214"/>
        <v>1</v>
      </c>
      <c r="AM218" s="798">
        <f t="shared" si="214"/>
        <v>1</v>
      </c>
      <c r="AN218" s="798">
        <f t="shared" si="214"/>
        <v>1</v>
      </c>
      <c r="AO218" s="798">
        <f t="shared" si="214"/>
        <v>1</v>
      </c>
      <c r="AP218" s="798">
        <f t="shared" si="214"/>
        <v>1</v>
      </c>
      <c r="AQ218" s="798">
        <f t="shared" si="214"/>
        <v>1</v>
      </c>
      <c r="AR218" s="798">
        <f t="shared" si="214"/>
        <v>1</v>
      </c>
      <c r="AS218" s="798">
        <f t="shared" si="214"/>
        <v>1</v>
      </c>
      <c r="AT218" s="798">
        <f t="shared" si="214"/>
        <v>1</v>
      </c>
      <c r="AU218" s="798">
        <f t="shared" si="214"/>
        <v>1</v>
      </c>
      <c r="AV218" s="798">
        <f t="shared" si="214"/>
        <v>1</v>
      </c>
      <c r="AW218" s="798">
        <f t="shared" si="214"/>
        <v>1</v>
      </c>
      <c r="AX218" s="798">
        <f t="shared" si="214"/>
        <v>1</v>
      </c>
      <c r="AY218" s="798">
        <f t="shared" si="214"/>
        <v>1</v>
      </c>
      <c r="AZ218" s="798">
        <f t="shared" si="214"/>
        <v>1</v>
      </c>
      <c r="BA218" s="798">
        <f t="shared" si="214"/>
        <v>1</v>
      </c>
      <c r="BB218" s="798">
        <f t="shared" si="214"/>
        <v>1</v>
      </c>
      <c r="BC218" s="798">
        <f t="shared" si="214"/>
        <v>1</v>
      </c>
      <c r="BD218" s="798">
        <f t="shared" si="214"/>
        <v>1</v>
      </c>
      <c r="BE218" s="798">
        <f t="shared" si="214"/>
        <v>1</v>
      </c>
      <c r="BF218" s="798">
        <f t="shared" si="214"/>
        <v>1</v>
      </c>
      <c r="BG218" s="798">
        <f t="shared" si="214"/>
        <v>1</v>
      </c>
      <c r="BH218" s="798">
        <f t="shared" si="214"/>
        <v>1</v>
      </c>
      <c r="BI218" s="798">
        <f t="shared" si="214"/>
        <v>1</v>
      </c>
      <c r="BJ218" s="798">
        <f t="shared" si="214"/>
        <v>1</v>
      </c>
      <c r="BK218" s="798">
        <f t="shared" si="214"/>
        <v>1</v>
      </c>
      <c r="BL218" s="765"/>
      <c r="BM218" s="817"/>
      <c r="BN218" s="817"/>
    </row>
    <row r="219" hidden="1">
      <c r="A219" s="765"/>
      <c r="B219" s="765"/>
      <c r="C219" s="765"/>
      <c r="D219" s="765"/>
      <c r="E219" s="765"/>
      <c r="F219" s="765"/>
      <c r="G219" s="765"/>
      <c r="H219" s="765"/>
      <c r="I219" s="765">
        <f t="shared" si="17"/>
        <v>208</v>
      </c>
      <c r="J219" s="763">
        <f t="shared" si="5"/>
        <v>197946936036</v>
      </c>
      <c r="K219" s="796">
        <f t="shared" si="7"/>
        <v>0.33779</v>
      </c>
      <c r="L219" s="796">
        <v>5.0E-4</v>
      </c>
      <c r="M219" s="763">
        <v>2.2570916309704E11</v>
      </c>
      <c r="N219" s="797">
        <f t="shared" si="8"/>
        <v>0</v>
      </c>
      <c r="O219" s="798">
        <f t="shared" ref="O219:BK219" si="215">FLOOR(MIN((((N("value of ELS upgrade")+N$8*($K219-$K218))*(N("Check checkbox")+(IF($G$6=TRUE,$G$7,$G$8))/$G$8))/(N("ROI of ELS and multiply by 2 if ELS is 1:1")+IF($G$12 = True, 2, 1) * $J219))/((N("difference in ELS+ and the cost of it")+(($K218*O$8)-($K218*N$8)) / O$7)),(N("MIN lets it return 0 or 1 after floored")+1)),1)</f>
        <v>0</v>
      </c>
      <c r="P219" s="798">
        <f t="shared" si="215"/>
        <v>0</v>
      </c>
      <c r="Q219" s="798">
        <f t="shared" si="215"/>
        <v>0</v>
      </c>
      <c r="R219" s="798">
        <f t="shared" si="215"/>
        <v>0</v>
      </c>
      <c r="S219" s="798">
        <f t="shared" si="215"/>
        <v>1</v>
      </c>
      <c r="T219" s="798">
        <f t="shared" si="215"/>
        <v>1</v>
      </c>
      <c r="U219" s="798">
        <f t="shared" si="215"/>
        <v>1</v>
      </c>
      <c r="V219" s="798">
        <f t="shared" si="215"/>
        <v>1</v>
      </c>
      <c r="W219" s="798">
        <f t="shared" si="215"/>
        <v>1</v>
      </c>
      <c r="X219" s="798">
        <f t="shared" si="215"/>
        <v>1</v>
      </c>
      <c r="Y219" s="798">
        <f t="shared" si="215"/>
        <v>1</v>
      </c>
      <c r="Z219" s="798">
        <f t="shared" si="215"/>
        <v>1</v>
      </c>
      <c r="AA219" s="798">
        <f t="shared" si="215"/>
        <v>1</v>
      </c>
      <c r="AB219" s="798">
        <f t="shared" si="215"/>
        <v>1</v>
      </c>
      <c r="AC219" s="798">
        <f t="shared" si="215"/>
        <v>1</v>
      </c>
      <c r="AD219" s="798">
        <f t="shared" si="215"/>
        <v>1</v>
      </c>
      <c r="AE219" s="798">
        <f t="shared" si="215"/>
        <v>1</v>
      </c>
      <c r="AF219" s="798">
        <f t="shared" si="215"/>
        <v>1</v>
      </c>
      <c r="AG219" s="798">
        <f t="shared" si="215"/>
        <v>1</v>
      </c>
      <c r="AH219" s="798">
        <f t="shared" si="215"/>
        <v>1</v>
      </c>
      <c r="AI219" s="798">
        <f t="shared" si="215"/>
        <v>1</v>
      </c>
      <c r="AJ219" s="798">
        <f t="shared" si="215"/>
        <v>1</v>
      </c>
      <c r="AK219" s="798">
        <f t="shared" si="215"/>
        <v>1</v>
      </c>
      <c r="AL219" s="798">
        <f t="shared" si="215"/>
        <v>1</v>
      </c>
      <c r="AM219" s="798">
        <f t="shared" si="215"/>
        <v>1</v>
      </c>
      <c r="AN219" s="798">
        <f t="shared" si="215"/>
        <v>1</v>
      </c>
      <c r="AO219" s="798">
        <f t="shared" si="215"/>
        <v>1</v>
      </c>
      <c r="AP219" s="798">
        <f t="shared" si="215"/>
        <v>1</v>
      </c>
      <c r="AQ219" s="798">
        <f t="shared" si="215"/>
        <v>1</v>
      </c>
      <c r="AR219" s="798">
        <f t="shared" si="215"/>
        <v>1</v>
      </c>
      <c r="AS219" s="798">
        <f t="shared" si="215"/>
        <v>1</v>
      </c>
      <c r="AT219" s="798">
        <f t="shared" si="215"/>
        <v>1</v>
      </c>
      <c r="AU219" s="798">
        <f t="shared" si="215"/>
        <v>1</v>
      </c>
      <c r="AV219" s="798">
        <f t="shared" si="215"/>
        <v>1</v>
      </c>
      <c r="AW219" s="798">
        <f t="shared" si="215"/>
        <v>1</v>
      </c>
      <c r="AX219" s="798">
        <f t="shared" si="215"/>
        <v>1</v>
      </c>
      <c r="AY219" s="798">
        <f t="shared" si="215"/>
        <v>1</v>
      </c>
      <c r="AZ219" s="798">
        <f t="shared" si="215"/>
        <v>1</v>
      </c>
      <c r="BA219" s="798">
        <f t="shared" si="215"/>
        <v>1</v>
      </c>
      <c r="BB219" s="798">
        <f t="shared" si="215"/>
        <v>1</v>
      </c>
      <c r="BC219" s="798">
        <f t="shared" si="215"/>
        <v>1</v>
      </c>
      <c r="BD219" s="798">
        <f t="shared" si="215"/>
        <v>1</v>
      </c>
      <c r="BE219" s="798">
        <f t="shared" si="215"/>
        <v>1</v>
      </c>
      <c r="BF219" s="798">
        <f t="shared" si="215"/>
        <v>1</v>
      </c>
      <c r="BG219" s="798">
        <f t="shared" si="215"/>
        <v>1</v>
      </c>
      <c r="BH219" s="798">
        <f t="shared" si="215"/>
        <v>1</v>
      </c>
      <c r="BI219" s="798">
        <f t="shared" si="215"/>
        <v>1</v>
      </c>
      <c r="BJ219" s="798">
        <f t="shared" si="215"/>
        <v>1</v>
      </c>
      <c r="BK219" s="798">
        <f t="shared" si="215"/>
        <v>1</v>
      </c>
      <c r="BL219" s="765"/>
      <c r="BM219" s="817"/>
      <c r="BN219" s="817"/>
    </row>
    <row r="220" hidden="1">
      <c r="A220" s="765"/>
      <c r="B220" s="765"/>
      <c r="C220" s="765"/>
      <c r="D220" s="765"/>
      <c r="E220" s="765"/>
      <c r="F220" s="765"/>
      <c r="G220" s="765"/>
      <c r="H220" s="765"/>
      <c r="I220" s="765">
        <f t="shared" si="17"/>
        <v>209</v>
      </c>
      <c r="J220" s="763">
        <f t="shared" si="5"/>
        <v>198963797779</v>
      </c>
      <c r="K220" s="796">
        <f t="shared" si="7"/>
        <v>0.33829</v>
      </c>
      <c r="L220" s="796">
        <v>5.0E-4</v>
      </c>
      <c r="M220" s="763">
        <v>2.26868640569337E11</v>
      </c>
      <c r="N220" s="797">
        <f t="shared" si="8"/>
        <v>0</v>
      </c>
      <c r="O220" s="798">
        <f t="shared" ref="O220:BK220" si="216">FLOOR(MIN((((N("value of ELS upgrade")+N$8*($K220-$K219))*(N("Check checkbox")+(IF($G$6=TRUE,$G$7,$G$8))/$G$8))/(N("ROI of ELS and multiply by 2 if ELS is 1:1")+IF($G$12 = True, 2, 1) * $J220))/((N("difference in ELS+ and the cost of it")+(($K219*O$8)-($K219*N$8)) / O$7)),(N("MIN lets it return 0 or 1 after floored")+1)),1)</f>
        <v>0</v>
      </c>
      <c r="P220" s="798">
        <f t="shared" si="216"/>
        <v>0</v>
      </c>
      <c r="Q220" s="798">
        <f t="shared" si="216"/>
        <v>0</v>
      </c>
      <c r="R220" s="798">
        <f t="shared" si="216"/>
        <v>0</v>
      </c>
      <c r="S220" s="798">
        <f t="shared" si="216"/>
        <v>1</v>
      </c>
      <c r="T220" s="798">
        <f t="shared" si="216"/>
        <v>1</v>
      </c>
      <c r="U220" s="798">
        <f t="shared" si="216"/>
        <v>1</v>
      </c>
      <c r="V220" s="798">
        <f t="shared" si="216"/>
        <v>1</v>
      </c>
      <c r="W220" s="798">
        <f t="shared" si="216"/>
        <v>1</v>
      </c>
      <c r="X220" s="798">
        <f t="shared" si="216"/>
        <v>1</v>
      </c>
      <c r="Y220" s="798">
        <f t="shared" si="216"/>
        <v>1</v>
      </c>
      <c r="Z220" s="798">
        <f t="shared" si="216"/>
        <v>1</v>
      </c>
      <c r="AA220" s="798">
        <f t="shared" si="216"/>
        <v>1</v>
      </c>
      <c r="AB220" s="798">
        <f t="shared" si="216"/>
        <v>1</v>
      </c>
      <c r="AC220" s="798">
        <f t="shared" si="216"/>
        <v>1</v>
      </c>
      <c r="AD220" s="798">
        <f t="shared" si="216"/>
        <v>1</v>
      </c>
      <c r="AE220" s="798">
        <f t="shared" si="216"/>
        <v>1</v>
      </c>
      <c r="AF220" s="798">
        <f t="shared" si="216"/>
        <v>1</v>
      </c>
      <c r="AG220" s="798">
        <f t="shared" si="216"/>
        <v>1</v>
      </c>
      <c r="AH220" s="798">
        <f t="shared" si="216"/>
        <v>1</v>
      </c>
      <c r="AI220" s="798">
        <f t="shared" si="216"/>
        <v>1</v>
      </c>
      <c r="AJ220" s="798">
        <f t="shared" si="216"/>
        <v>1</v>
      </c>
      <c r="AK220" s="798">
        <f t="shared" si="216"/>
        <v>1</v>
      </c>
      <c r="AL220" s="798">
        <f t="shared" si="216"/>
        <v>1</v>
      </c>
      <c r="AM220" s="798">
        <f t="shared" si="216"/>
        <v>1</v>
      </c>
      <c r="AN220" s="798">
        <f t="shared" si="216"/>
        <v>1</v>
      </c>
      <c r="AO220" s="798">
        <f t="shared" si="216"/>
        <v>1</v>
      </c>
      <c r="AP220" s="798">
        <f t="shared" si="216"/>
        <v>1</v>
      </c>
      <c r="AQ220" s="798">
        <f t="shared" si="216"/>
        <v>1</v>
      </c>
      <c r="AR220" s="798">
        <f t="shared" si="216"/>
        <v>1</v>
      </c>
      <c r="AS220" s="798">
        <f t="shared" si="216"/>
        <v>1</v>
      </c>
      <c r="AT220" s="798">
        <f t="shared" si="216"/>
        <v>1</v>
      </c>
      <c r="AU220" s="798">
        <f t="shared" si="216"/>
        <v>1</v>
      </c>
      <c r="AV220" s="798">
        <f t="shared" si="216"/>
        <v>1</v>
      </c>
      <c r="AW220" s="798">
        <f t="shared" si="216"/>
        <v>1</v>
      </c>
      <c r="AX220" s="798">
        <f t="shared" si="216"/>
        <v>1</v>
      </c>
      <c r="AY220" s="798">
        <f t="shared" si="216"/>
        <v>1</v>
      </c>
      <c r="AZ220" s="798">
        <f t="shared" si="216"/>
        <v>1</v>
      </c>
      <c r="BA220" s="798">
        <f t="shared" si="216"/>
        <v>1</v>
      </c>
      <c r="BB220" s="798">
        <f t="shared" si="216"/>
        <v>1</v>
      </c>
      <c r="BC220" s="798">
        <f t="shared" si="216"/>
        <v>1</v>
      </c>
      <c r="BD220" s="798">
        <f t="shared" si="216"/>
        <v>1</v>
      </c>
      <c r="BE220" s="798">
        <f t="shared" si="216"/>
        <v>1</v>
      </c>
      <c r="BF220" s="798">
        <f t="shared" si="216"/>
        <v>1</v>
      </c>
      <c r="BG220" s="798">
        <f t="shared" si="216"/>
        <v>1</v>
      </c>
      <c r="BH220" s="798">
        <f t="shared" si="216"/>
        <v>1</v>
      </c>
      <c r="BI220" s="798">
        <f t="shared" si="216"/>
        <v>1</v>
      </c>
      <c r="BJ220" s="798">
        <f t="shared" si="216"/>
        <v>1</v>
      </c>
      <c r="BK220" s="798">
        <f t="shared" si="216"/>
        <v>1</v>
      </c>
      <c r="BL220" s="765"/>
      <c r="BM220" s="817"/>
      <c r="BN220" s="817"/>
    </row>
    <row r="221" hidden="1">
      <c r="A221" s="765"/>
      <c r="B221" s="765"/>
      <c r="C221" s="765"/>
      <c r="D221" s="765"/>
      <c r="E221" s="765"/>
      <c r="F221" s="765"/>
      <c r="G221" s="765"/>
      <c r="H221" s="765"/>
      <c r="I221" s="765">
        <f t="shared" si="17"/>
        <v>210</v>
      </c>
      <c r="J221" s="763">
        <f t="shared" si="5"/>
        <v>199982846049</v>
      </c>
      <c r="K221" s="796">
        <f t="shared" si="7"/>
        <v>0.33879</v>
      </c>
      <c r="L221" s="796">
        <v>5.0E-4</v>
      </c>
      <c r="M221" s="763">
        <v>2.28030611230224E11</v>
      </c>
      <c r="N221" s="797">
        <f t="shared" si="8"/>
        <v>0</v>
      </c>
      <c r="O221" s="798">
        <f t="shared" ref="O221:BK221" si="217">FLOOR(MIN((((N("value of ELS upgrade")+N$8*($K221-$K220))*(N("Check checkbox")+(IF($G$6=TRUE,$G$7,$G$8))/$G$8))/(N("ROI of ELS and multiply by 2 if ELS is 1:1")+IF($G$12 = True, 2, 1) * $J221))/((N("difference in ELS+ and the cost of it")+(($K220*O$8)-($K220*N$8)) / O$7)),(N("MIN lets it return 0 or 1 after floored")+1)),1)</f>
        <v>0</v>
      </c>
      <c r="P221" s="798">
        <f t="shared" si="217"/>
        <v>0</v>
      </c>
      <c r="Q221" s="798">
        <f t="shared" si="217"/>
        <v>0</v>
      </c>
      <c r="R221" s="798">
        <f t="shared" si="217"/>
        <v>0</v>
      </c>
      <c r="S221" s="798">
        <f t="shared" si="217"/>
        <v>1</v>
      </c>
      <c r="T221" s="798">
        <f t="shared" si="217"/>
        <v>1</v>
      </c>
      <c r="U221" s="798">
        <f t="shared" si="217"/>
        <v>1</v>
      </c>
      <c r="V221" s="798">
        <f t="shared" si="217"/>
        <v>1</v>
      </c>
      <c r="W221" s="798">
        <f t="shared" si="217"/>
        <v>1</v>
      </c>
      <c r="X221" s="798">
        <f t="shared" si="217"/>
        <v>1</v>
      </c>
      <c r="Y221" s="798">
        <f t="shared" si="217"/>
        <v>1</v>
      </c>
      <c r="Z221" s="798">
        <f t="shared" si="217"/>
        <v>1</v>
      </c>
      <c r="AA221" s="798">
        <f t="shared" si="217"/>
        <v>1</v>
      </c>
      <c r="AB221" s="798">
        <f t="shared" si="217"/>
        <v>1</v>
      </c>
      <c r="AC221" s="798">
        <f t="shared" si="217"/>
        <v>1</v>
      </c>
      <c r="AD221" s="798">
        <f t="shared" si="217"/>
        <v>1</v>
      </c>
      <c r="AE221" s="798">
        <f t="shared" si="217"/>
        <v>1</v>
      </c>
      <c r="AF221" s="798">
        <f t="shared" si="217"/>
        <v>1</v>
      </c>
      <c r="AG221" s="798">
        <f t="shared" si="217"/>
        <v>1</v>
      </c>
      <c r="AH221" s="798">
        <f t="shared" si="217"/>
        <v>1</v>
      </c>
      <c r="AI221" s="798">
        <f t="shared" si="217"/>
        <v>1</v>
      </c>
      <c r="AJ221" s="798">
        <f t="shared" si="217"/>
        <v>1</v>
      </c>
      <c r="AK221" s="798">
        <f t="shared" si="217"/>
        <v>1</v>
      </c>
      <c r="AL221" s="798">
        <f t="shared" si="217"/>
        <v>1</v>
      </c>
      <c r="AM221" s="798">
        <f t="shared" si="217"/>
        <v>1</v>
      </c>
      <c r="AN221" s="798">
        <f t="shared" si="217"/>
        <v>1</v>
      </c>
      <c r="AO221" s="798">
        <f t="shared" si="217"/>
        <v>1</v>
      </c>
      <c r="AP221" s="798">
        <f t="shared" si="217"/>
        <v>1</v>
      </c>
      <c r="AQ221" s="798">
        <f t="shared" si="217"/>
        <v>1</v>
      </c>
      <c r="AR221" s="798">
        <f t="shared" si="217"/>
        <v>1</v>
      </c>
      <c r="AS221" s="798">
        <f t="shared" si="217"/>
        <v>1</v>
      </c>
      <c r="AT221" s="798">
        <f t="shared" si="217"/>
        <v>1</v>
      </c>
      <c r="AU221" s="798">
        <f t="shared" si="217"/>
        <v>1</v>
      </c>
      <c r="AV221" s="798">
        <f t="shared" si="217"/>
        <v>1</v>
      </c>
      <c r="AW221" s="798">
        <f t="shared" si="217"/>
        <v>1</v>
      </c>
      <c r="AX221" s="798">
        <f t="shared" si="217"/>
        <v>1</v>
      </c>
      <c r="AY221" s="798">
        <f t="shared" si="217"/>
        <v>1</v>
      </c>
      <c r="AZ221" s="798">
        <f t="shared" si="217"/>
        <v>1</v>
      </c>
      <c r="BA221" s="798">
        <f t="shared" si="217"/>
        <v>1</v>
      </c>
      <c r="BB221" s="798">
        <f t="shared" si="217"/>
        <v>1</v>
      </c>
      <c r="BC221" s="798">
        <f t="shared" si="217"/>
        <v>1</v>
      </c>
      <c r="BD221" s="798">
        <f t="shared" si="217"/>
        <v>1</v>
      </c>
      <c r="BE221" s="798">
        <f t="shared" si="217"/>
        <v>1</v>
      </c>
      <c r="BF221" s="798">
        <f t="shared" si="217"/>
        <v>1</v>
      </c>
      <c r="BG221" s="798">
        <f t="shared" si="217"/>
        <v>1</v>
      </c>
      <c r="BH221" s="798">
        <f t="shared" si="217"/>
        <v>1</v>
      </c>
      <c r="BI221" s="798">
        <f t="shared" si="217"/>
        <v>1</v>
      </c>
      <c r="BJ221" s="798">
        <f t="shared" si="217"/>
        <v>1</v>
      </c>
      <c r="BK221" s="798">
        <f t="shared" si="217"/>
        <v>1</v>
      </c>
      <c r="BL221" s="765"/>
      <c r="BM221" s="817"/>
      <c r="BN221" s="817"/>
    </row>
    <row r="222" hidden="1">
      <c r="A222" s="765"/>
      <c r="B222" s="765"/>
      <c r="C222" s="765"/>
      <c r="D222" s="765"/>
      <c r="E222" s="765"/>
      <c r="F222" s="765"/>
      <c r="G222" s="765"/>
      <c r="H222" s="765"/>
      <c r="I222" s="765">
        <f t="shared" si="17"/>
        <v>211</v>
      </c>
      <c r="J222" s="763">
        <f t="shared" si="5"/>
        <v>201004093212</v>
      </c>
      <c r="K222" s="796">
        <f t="shared" si="7"/>
        <v>0.33929</v>
      </c>
      <c r="L222" s="796">
        <v>5.0E-4</v>
      </c>
      <c r="M222" s="763">
        <v>2.29195089181446E11</v>
      </c>
      <c r="N222" s="797">
        <f t="shared" si="8"/>
        <v>0</v>
      </c>
      <c r="O222" s="798">
        <f t="shared" ref="O222:BK222" si="218">FLOOR(MIN((((N("value of ELS upgrade")+N$8*($K222-$K221))*(N("Check checkbox")+(IF($G$6=TRUE,$G$7,$G$8))/$G$8))/(N("ROI of ELS and multiply by 2 if ELS is 1:1")+IF($G$12 = True, 2, 1) * $J222))/((N("difference in ELS+ and the cost of it")+(($K221*O$8)-($K221*N$8)) / O$7)),(N("MIN lets it return 0 or 1 after floored")+1)),1)</f>
        <v>0</v>
      </c>
      <c r="P222" s="798">
        <f t="shared" si="218"/>
        <v>0</v>
      </c>
      <c r="Q222" s="798">
        <f t="shared" si="218"/>
        <v>0</v>
      </c>
      <c r="R222" s="798">
        <f t="shared" si="218"/>
        <v>0</v>
      </c>
      <c r="S222" s="798">
        <f t="shared" si="218"/>
        <v>1</v>
      </c>
      <c r="T222" s="798">
        <f t="shared" si="218"/>
        <v>1</v>
      </c>
      <c r="U222" s="798">
        <f t="shared" si="218"/>
        <v>1</v>
      </c>
      <c r="V222" s="798">
        <f t="shared" si="218"/>
        <v>1</v>
      </c>
      <c r="W222" s="798">
        <f t="shared" si="218"/>
        <v>1</v>
      </c>
      <c r="X222" s="798">
        <f t="shared" si="218"/>
        <v>1</v>
      </c>
      <c r="Y222" s="798">
        <f t="shared" si="218"/>
        <v>1</v>
      </c>
      <c r="Z222" s="798">
        <f t="shared" si="218"/>
        <v>1</v>
      </c>
      <c r="AA222" s="798">
        <f t="shared" si="218"/>
        <v>1</v>
      </c>
      <c r="AB222" s="798">
        <f t="shared" si="218"/>
        <v>1</v>
      </c>
      <c r="AC222" s="798">
        <f t="shared" si="218"/>
        <v>1</v>
      </c>
      <c r="AD222" s="798">
        <f t="shared" si="218"/>
        <v>1</v>
      </c>
      <c r="AE222" s="798">
        <f t="shared" si="218"/>
        <v>1</v>
      </c>
      <c r="AF222" s="798">
        <f t="shared" si="218"/>
        <v>1</v>
      </c>
      <c r="AG222" s="798">
        <f t="shared" si="218"/>
        <v>1</v>
      </c>
      <c r="AH222" s="798">
        <f t="shared" si="218"/>
        <v>1</v>
      </c>
      <c r="AI222" s="798">
        <f t="shared" si="218"/>
        <v>1</v>
      </c>
      <c r="AJ222" s="798">
        <f t="shared" si="218"/>
        <v>1</v>
      </c>
      <c r="AK222" s="798">
        <f t="shared" si="218"/>
        <v>1</v>
      </c>
      <c r="AL222" s="798">
        <f t="shared" si="218"/>
        <v>1</v>
      </c>
      <c r="AM222" s="798">
        <f t="shared" si="218"/>
        <v>1</v>
      </c>
      <c r="AN222" s="798">
        <f t="shared" si="218"/>
        <v>1</v>
      </c>
      <c r="AO222" s="798">
        <f t="shared" si="218"/>
        <v>1</v>
      </c>
      <c r="AP222" s="798">
        <f t="shared" si="218"/>
        <v>1</v>
      </c>
      <c r="AQ222" s="798">
        <f t="shared" si="218"/>
        <v>1</v>
      </c>
      <c r="AR222" s="798">
        <f t="shared" si="218"/>
        <v>1</v>
      </c>
      <c r="AS222" s="798">
        <f t="shared" si="218"/>
        <v>1</v>
      </c>
      <c r="AT222" s="798">
        <f t="shared" si="218"/>
        <v>1</v>
      </c>
      <c r="AU222" s="798">
        <f t="shared" si="218"/>
        <v>1</v>
      </c>
      <c r="AV222" s="798">
        <f t="shared" si="218"/>
        <v>1</v>
      </c>
      <c r="AW222" s="798">
        <f t="shared" si="218"/>
        <v>1</v>
      </c>
      <c r="AX222" s="798">
        <f t="shared" si="218"/>
        <v>1</v>
      </c>
      <c r="AY222" s="798">
        <f t="shared" si="218"/>
        <v>1</v>
      </c>
      <c r="AZ222" s="798">
        <f t="shared" si="218"/>
        <v>1</v>
      </c>
      <c r="BA222" s="798">
        <f t="shared" si="218"/>
        <v>1</v>
      </c>
      <c r="BB222" s="798">
        <f t="shared" si="218"/>
        <v>1</v>
      </c>
      <c r="BC222" s="798">
        <f t="shared" si="218"/>
        <v>1</v>
      </c>
      <c r="BD222" s="798">
        <f t="shared" si="218"/>
        <v>1</v>
      </c>
      <c r="BE222" s="798">
        <f t="shared" si="218"/>
        <v>1</v>
      </c>
      <c r="BF222" s="798">
        <f t="shared" si="218"/>
        <v>1</v>
      </c>
      <c r="BG222" s="798">
        <f t="shared" si="218"/>
        <v>1</v>
      </c>
      <c r="BH222" s="798">
        <f t="shared" si="218"/>
        <v>1</v>
      </c>
      <c r="BI222" s="798">
        <f t="shared" si="218"/>
        <v>1</v>
      </c>
      <c r="BJ222" s="798">
        <f t="shared" si="218"/>
        <v>1</v>
      </c>
      <c r="BK222" s="798">
        <f t="shared" si="218"/>
        <v>1</v>
      </c>
      <c r="BL222" s="765"/>
      <c r="BM222" s="817"/>
      <c r="BN222" s="817"/>
    </row>
    <row r="223" hidden="1">
      <c r="A223" s="765"/>
      <c r="B223" s="765"/>
      <c r="C223" s="765"/>
      <c r="D223" s="765"/>
      <c r="E223" s="765"/>
      <c r="F223" s="765"/>
      <c r="G223" s="765"/>
      <c r="H223" s="765"/>
      <c r="I223" s="765">
        <f t="shared" si="17"/>
        <v>212</v>
      </c>
      <c r="J223" s="763">
        <f t="shared" si="5"/>
        <v>202027555759</v>
      </c>
      <c r="K223" s="796">
        <f t="shared" si="7"/>
        <v>0.33979</v>
      </c>
      <c r="L223" s="796">
        <v>5.0E-4</v>
      </c>
      <c r="M223" s="763">
        <v>2.30362093225331E11</v>
      </c>
      <c r="N223" s="797">
        <f t="shared" si="8"/>
        <v>0</v>
      </c>
      <c r="O223" s="798">
        <f t="shared" ref="O223:BK223" si="219">FLOOR(MIN((((N("value of ELS upgrade")+N$8*($K223-$K222))*(N("Check checkbox")+(IF($G$6=TRUE,$G$7,$G$8))/$G$8))/(N("ROI of ELS and multiply by 2 if ELS is 1:1")+IF($G$12 = True, 2, 1) * $J223))/((N("difference in ELS+ and the cost of it")+(($K222*O$8)-($K222*N$8)) / O$7)),(N("MIN lets it return 0 or 1 after floored")+1)),1)</f>
        <v>0</v>
      </c>
      <c r="P223" s="798">
        <f t="shared" si="219"/>
        <v>0</v>
      </c>
      <c r="Q223" s="798">
        <f t="shared" si="219"/>
        <v>0</v>
      </c>
      <c r="R223" s="798">
        <f t="shared" si="219"/>
        <v>0</v>
      </c>
      <c r="S223" s="798">
        <f t="shared" si="219"/>
        <v>1</v>
      </c>
      <c r="T223" s="798">
        <f t="shared" si="219"/>
        <v>1</v>
      </c>
      <c r="U223" s="798">
        <f t="shared" si="219"/>
        <v>1</v>
      </c>
      <c r="V223" s="798">
        <f t="shared" si="219"/>
        <v>1</v>
      </c>
      <c r="W223" s="798">
        <f t="shared" si="219"/>
        <v>1</v>
      </c>
      <c r="X223" s="798">
        <f t="shared" si="219"/>
        <v>1</v>
      </c>
      <c r="Y223" s="798">
        <f t="shared" si="219"/>
        <v>1</v>
      </c>
      <c r="Z223" s="798">
        <f t="shared" si="219"/>
        <v>1</v>
      </c>
      <c r="AA223" s="798">
        <f t="shared" si="219"/>
        <v>1</v>
      </c>
      <c r="AB223" s="798">
        <f t="shared" si="219"/>
        <v>1</v>
      </c>
      <c r="AC223" s="798">
        <f t="shared" si="219"/>
        <v>1</v>
      </c>
      <c r="AD223" s="798">
        <f t="shared" si="219"/>
        <v>1</v>
      </c>
      <c r="AE223" s="798">
        <f t="shared" si="219"/>
        <v>1</v>
      </c>
      <c r="AF223" s="798">
        <f t="shared" si="219"/>
        <v>1</v>
      </c>
      <c r="AG223" s="798">
        <f t="shared" si="219"/>
        <v>1</v>
      </c>
      <c r="AH223" s="798">
        <f t="shared" si="219"/>
        <v>1</v>
      </c>
      <c r="AI223" s="798">
        <f t="shared" si="219"/>
        <v>1</v>
      </c>
      <c r="AJ223" s="798">
        <f t="shared" si="219"/>
        <v>1</v>
      </c>
      <c r="AK223" s="798">
        <f t="shared" si="219"/>
        <v>1</v>
      </c>
      <c r="AL223" s="798">
        <f t="shared" si="219"/>
        <v>1</v>
      </c>
      <c r="AM223" s="798">
        <f t="shared" si="219"/>
        <v>1</v>
      </c>
      <c r="AN223" s="798">
        <f t="shared" si="219"/>
        <v>1</v>
      </c>
      <c r="AO223" s="798">
        <f t="shared" si="219"/>
        <v>1</v>
      </c>
      <c r="AP223" s="798">
        <f t="shared" si="219"/>
        <v>1</v>
      </c>
      <c r="AQ223" s="798">
        <f t="shared" si="219"/>
        <v>1</v>
      </c>
      <c r="AR223" s="798">
        <f t="shared" si="219"/>
        <v>1</v>
      </c>
      <c r="AS223" s="798">
        <f t="shared" si="219"/>
        <v>1</v>
      </c>
      <c r="AT223" s="798">
        <f t="shared" si="219"/>
        <v>1</v>
      </c>
      <c r="AU223" s="798">
        <f t="shared" si="219"/>
        <v>1</v>
      </c>
      <c r="AV223" s="798">
        <f t="shared" si="219"/>
        <v>1</v>
      </c>
      <c r="AW223" s="798">
        <f t="shared" si="219"/>
        <v>1</v>
      </c>
      <c r="AX223" s="798">
        <f t="shared" si="219"/>
        <v>1</v>
      </c>
      <c r="AY223" s="798">
        <f t="shared" si="219"/>
        <v>1</v>
      </c>
      <c r="AZ223" s="798">
        <f t="shared" si="219"/>
        <v>1</v>
      </c>
      <c r="BA223" s="798">
        <f t="shared" si="219"/>
        <v>1</v>
      </c>
      <c r="BB223" s="798">
        <f t="shared" si="219"/>
        <v>1</v>
      </c>
      <c r="BC223" s="798">
        <f t="shared" si="219"/>
        <v>1</v>
      </c>
      <c r="BD223" s="798">
        <f t="shared" si="219"/>
        <v>1</v>
      </c>
      <c r="BE223" s="798">
        <f t="shared" si="219"/>
        <v>1</v>
      </c>
      <c r="BF223" s="798">
        <f t="shared" si="219"/>
        <v>1</v>
      </c>
      <c r="BG223" s="798">
        <f t="shared" si="219"/>
        <v>1</v>
      </c>
      <c r="BH223" s="798">
        <f t="shared" si="219"/>
        <v>1</v>
      </c>
      <c r="BI223" s="798">
        <f t="shared" si="219"/>
        <v>1</v>
      </c>
      <c r="BJ223" s="798">
        <f t="shared" si="219"/>
        <v>1</v>
      </c>
      <c r="BK223" s="798">
        <f t="shared" si="219"/>
        <v>1</v>
      </c>
      <c r="BL223" s="765"/>
      <c r="BM223" s="817"/>
      <c r="BN223" s="817"/>
    </row>
    <row r="224" hidden="1">
      <c r="A224" s="765"/>
      <c r="B224" s="765"/>
      <c r="C224" s="765"/>
      <c r="D224" s="765"/>
      <c r="E224" s="765"/>
      <c r="F224" s="765"/>
      <c r="G224" s="765"/>
      <c r="H224" s="765"/>
      <c r="I224" s="765">
        <f t="shared" si="17"/>
        <v>213</v>
      </c>
      <c r="J224" s="763">
        <f t="shared" si="5"/>
        <v>203053246056</v>
      </c>
      <c r="K224" s="796">
        <f t="shared" si="7"/>
        <v>0.34029</v>
      </c>
      <c r="L224" s="796">
        <v>5.0E-4</v>
      </c>
      <c r="M224" s="763">
        <v>2.31531637463625E11</v>
      </c>
      <c r="N224" s="797">
        <f t="shared" si="8"/>
        <v>0</v>
      </c>
      <c r="O224" s="798">
        <f t="shared" ref="O224:BK224" si="220">FLOOR(MIN((((N("value of ELS upgrade")+N$8*($K224-$K223))*(N("Check checkbox")+(IF($G$6=TRUE,$G$7,$G$8))/$G$8))/(N("ROI of ELS and multiply by 2 if ELS is 1:1")+IF($G$12 = True, 2, 1) * $J224))/((N("difference in ELS+ and the cost of it")+(($K223*O$8)-($K223*N$8)) / O$7)),(N("MIN lets it return 0 or 1 after floored")+1)),1)</f>
        <v>0</v>
      </c>
      <c r="P224" s="798">
        <f t="shared" si="220"/>
        <v>0</v>
      </c>
      <c r="Q224" s="798">
        <f t="shared" si="220"/>
        <v>0</v>
      </c>
      <c r="R224" s="798">
        <f t="shared" si="220"/>
        <v>0</v>
      </c>
      <c r="S224" s="798">
        <f t="shared" si="220"/>
        <v>1</v>
      </c>
      <c r="T224" s="798">
        <f t="shared" si="220"/>
        <v>1</v>
      </c>
      <c r="U224" s="798">
        <f t="shared" si="220"/>
        <v>1</v>
      </c>
      <c r="V224" s="798">
        <f t="shared" si="220"/>
        <v>1</v>
      </c>
      <c r="W224" s="798">
        <f t="shared" si="220"/>
        <v>1</v>
      </c>
      <c r="X224" s="798">
        <f t="shared" si="220"/>
        <v>1</v>
      </c>
      <c r="Y224" s="798">
        <f t="shared" si="220"/>
        <v>1</v>
      </c>
      <c r="Z224" s="798">
        <f t="shared" si="220"/>
        <v>1</v>
      </c>
      <c r="AA224" s="798">
        <f t="shared" si="220"/>
        <v>1</v>
      </c>
      <c r="AB224" s="798">
        <f t="shared" si="220"/>
        <v>1</v>
      </c>
      <c r="AC224" s="798">
        <f t="shared" si="220"/>
        <v>1</v>
      </c>
      <c r="AD224" s="798">
        <f t="shared" si="220"/>
        <v>1</v>
      </c>
      <c r="AE224" s="798">
        <f t="shared" si="220"/>
        <v>1</v>
      </c>
      <c r="AF224" s="798">
        <f t="shared" si="220"/>
        <v>1</v>
      </c>
      <c r="AG224" s="798">
        <f t="shared" si="220"/>
        <v>1</v>
      </c>
      <c r="AH224" s="798">
        <f t="shared" si="220"/>
        <v>1</v>
      </c>
      <c r="AI224" s="798">
        <f t="shared" si="220"/>
        <v>1</v>
      </c>
      <c r="AJ224" s="798">
        <f t="shared" si="220"/>
        <v>1</v>
      </c>
      <c r="AK224" s="798">
        <f t="shared" si="220"/>
        <v>1</v>
      </c>
      <c r="AL224" s="798">
        <f t="shared" si="220"/>
        <v>1</v>
      </c>
      <c r="AM224" s="798">
        <f t="shared" si="220"/>
        <v>1</v>
      </c>
      <c r="AN224" s="798">
        <f t="shared" si="220"/>
        <v>1</v>
      </c>
      <c r="AO224" s="798">
        <f t="shared" si="220"/>
        <v>1</v>
      </c>
      <c r="AP224" s="798">
        <f t="shared" si="220"/>
        <v>1</v>
      </c>
      <c r="AQ224" s="798">
        <f t="shared" si="220"/>
        <v>1</v>
      </c>
      <c r="AR224" s="798">
        <f t="shared" si="220"/>
        <v>1</v>
      </c>
      <c r="AS224" s="798">
        <f t="shared" si="220"/>
        <v>1</v>
      </c>
      <c r="AT224" s="798">
        <f t="shared" si="220"/>
        <v>1</v>
      </c>
      <c r="AU224" s="798">
        <f t="shared" si="220"/>
        <v>1</v>
      </c>
      <c r="AV224" s="798">
        <f t="shared" si="220"/>
        <v>1</v>
      </c>
      <c r="AW224" s="798">
        <f t="shared" si="220"/>
        <v>1</v>
      </c>
      <c r="AX224" s="798">
        <f t="shared" si="220"/>
        <v>1</v>
      </c>
      <c r="AY224" s="798">
        <f t="shared" si="220"/>
        <v>1</v>
      </c>
      <c r="AZ224" s="798">
        <f t="shared" si="220"/>
        <v>1</v>
      </c>
      <c r="BA224" s="798">
        <f t="shared" si="220"/>
        <v>1</v>
      </c>
      <c r="BB224" s="798">
        <f t="shared" si="220"/>
        <v>1</v>
      </c>
      <c r="BC224" s="798">
        <f t="shared" si="220"/>
        <v>1</v>
      </c>
      <c r="BD224" s="798">
        <f t="shared" si="220"/>
        <v>1</v>
      </c>
      <c r="BE224" s="798">
        <f t="shared" si="220"/>
        <v>1</v>
      </c>
      <c r="BF224" s="798">
        <f t="shared" si="220"/>
        <v>1</v>
      </c>
      <c r="BG224" s="798">
        <f t="shared" si="220"/>
        <v>1</v>
      </c>
      <c r="BH224" s="798">
        <f t="shared" si="220"/>
        <v>1</v>
      </c>
      <c r="BI224" s="798">
        <f t="shared" si="220"/>
        <v>1</v>
      </c>
      <c r="BJ224" s="798">
        <f t="shared" si="220"/>
        <v>1</v>
      </c>
      <c r="BK224" s="798">
        <f t="shared" si="220"/>
        <v>1</v>
      </c>
      <c r="BL224" s="765"/>
      <c r="BM224" s="817"/>
      <c r="BN224" s="817"/>
    </row>
    <row r="225" hidden="1">
      <c r="A225" s="765"/>
      <c r="B225" s="765"/>
      <c r="C225" s="765"/>
      <c r="D225" s="765"/>
      <c r="E225" s="765"/>
      <c r="F225" s="765"/>
      <c r="G225" s="765"/>
      <c r="H225" s="765"/>
      <c r="I225" s="765">
        <f t="shared" si="17"/>
        <v>214</v>
      </c>
      <c r="J225" s="763">
        <f t="shared" si="5"/>
        <v>204081179768</v>
      </c>
      <c r="K225" s="796">
        <f t="shared" si="7"/>
        <v>0.34079</v>
      </c>
      <c r="L225" s="796">
        <v>5.0E-4</v>
      </c>
      <c r="M225" s="763">
        <v>2.32703739758537E11</v>
      </c>
      <c r="N225" s="797">
        <f t="shared" si="8"/>
        <v>0</v>
      </c>
      <c r="O225" s="798">
        <f t="shared" ref="O225:BK225" si="221">FLOOR(MIN((((N("value of ELS upgrade")+N$8*($K225-$K224))*(N("Check checkbox")+(IF($G$6=TRUE,$G$7,$G$8))/$G$8))/(N("ROI of ELS and multiply by 2 if ELS is 1:1")+IF($G$12 = True, 2, 1) * $J225))/((N("difference in ELS+ and the cost of it")+(($K224*O$8)-($K224*N$8)) / O$7)),(N("MIN lets it return 0 or 1 after floored")+1)),1)</f>
        <v>0</v>
      </c>
      <c r="P225" s="798">
        <f t="shared" si="221"/>
        <v>0</v>
      </c>
      <c r="Q225" s="798">
        <f t="shared" si="221"/>
        <v>0</v>
      </c>
      <c r="R225" s="798">
        <f t="shared" si="221"/>
        <v>0</v>
      </c>
      <c r="S225" s="798">
        <f t="shared" si="221"/>
        <v>1</v>
      </c>
      <c r="T225" s="798">
        <f t="shared" si="221"/>
        <v>1</v>
      </c>
      <c r="U225" s="798">
        <f t="shared" si="221"/>
        <v>1</v>
      </c>
      <c r="V225" s="798">
        <f t="shared" si="221"/>
        <v>1</v>
      </c>
      <c r="W225" s="798">
        <f t="shared" si="221"/>
        <v>1</v>
      </c>
      <c r="X225" s="798">
        <f t="shared" si="221"/>
        <v>1</v>
      </c>
      <c r="Y225" s="798">
        <f t="shared" si="221"/>
        <v>1</v>
      </c>
      <c r="Z225" s="798">
        <f t="shared" si="221"/>
        <v>1</v>
      </c>
      <c r="AA225" s="798">
        <f t="shared" si="221"/>
        <v>1</v>
      </c>
      <c r="AB225" s="798">
        <f t="shared" si="221"/>
        <v>1</v>
      </c>
      <c r="AC225" s="798">
        <f t="shared" si="221"/>
        <v>1</v>
      </c>
      <c r="AD225" s="798">
        <f t="shared" si="221"/>
        <v>1</v>
      </c>
      <c r="AE225" s="798">
        <f t="shared" si="221"/>
        <v>1</v>
      </c>
      <c r="AF225" s="798">
        <f t="shared" si="221"/>
        <v>1</v>
      </c>
      <c r="AG225" s="798">
        <f t="shared" si="221"/>
        <v>1</v>
      </c>
      <c r="AH225" s="798">
        <f t="shared" si="221"/>
        <v>1</v>
      </c>
      <c r="AI225" s="798">
        <f t="shared" si="221"/>
        <v>1</v>
      </c>
      <c r="AJ225" s="798">
        <f t="shared" si="221"/>
        <v>1</v>
      </c>
      <c r="AK225" s="798">
        <f t="shared" si="221"/>
        <v>1</v>
      </c>
      <c r="AL225" s="798">
        <f t="shared" si="221"/>
        <v>1</v>
      </c>
      <c r="AM225" s="798">
        <f t="shared" si="221"/>
        <v>1</v>
      </c>
      <c r="AN225" s="798">
        <f t="shared" si="221"/>
        <v>1</v>
      </c>
      <c r="AO225" s="798">
        <f t="shared" si="221"/>
        <v>1</v>
      </c>
      <c r="AP225" s="798">
        <f t="shared" si="221"/>
        <v>1</v>
      </c>
      <c r="AQ225" s="798">
        <f t="shared" si="221"/>
        <v>1</v>
      </c>
      <c r="AR225" s="798">
        <f t="shared" si="221"/>
        <v>1</v>
      </c>
      <c r="AS225" s="798">
        <f t="shared" si="221"/>
        <v>1</v>
      </c>
      <c r="AT225" s="798">
        <f t="shared" si="221"/>
        <v>1</v>
      </c>
      <c r="AU225" s="798">
        <f t="shared" si="221"/>
        <v>1</v>
      </c>
      <c r="AV225" s="798">
        <f t="shared" si="221"/>
        <v>1</v>
      </c>
      <c r="AW225" s="798">
        <f t="shared" si="221"/>
        <v>1</v>
      </c>
      <c r="AX225" s="798">
        <f t="shared" si="221"/>
        <v>1</v>
      </c>
      <c r="AY225" s="798">
        <f t="shared" si="221"/>
        <v>1</v>
      </c>
      <c r="AZ225" s="798">
        <f t="shared" si="221"/>
        <v>1</v>
      </c>
      <c r="BA225" s="798">
        <f t="shared" si="221"/>
        <v>1</v>
      </c>
      <c r="BB225" s="798">
        <f t="shared" si="221"/>
        <v>1</v>
      </c>
      <c r="BC225" s="798">
        <f t="shared" si="221"/>
        <v>1</v>
      </c>
      <c r="BD225" s="798">
        <f t="shared" si="221"/>
        <v>1</v>
      </c>
      <c r="BE225" s="798">
        <f t="shared" si="221"/>
        <v>1</v>
      </c>
      <c r="BF225" s="798">
        <f t="shared" si="221"/>
        <v>1</v>
      </c>
      <c r="BG225" s="798">
        <f t="shared" si="221"/>
        <v>1</v>
      </c>
      <c r="BH225" s="798">
        <f t="shared" si="221"/>
        <v>1</v>
      </c>
      <c r="BI225" s="798">
        <f t="shared" si="221"/>
        <v>1</v>
      </c>
      <c r="BJ225" s="798">
        <f t="shared" si="221"/>
        <v>1</v>
      </c>
      <c r="BK225" s="798">
        <f t="shared" si="221"/>
        <v>1</v>
      </c>
      <c r="BL225" s="765"/>
      <c r="BM225" s="817"/>
      <c r="BN225" s="817"/>
    </row>
    <row r="226" hidden="1">
      <c r="A226" s="765"/>
      <c r="B226" s="765"/>
      <c r="C226" s="765"/>
      <c r="D226" s="765"/>
      <c r="E226" s="765"/>
      <c r="F226" s="765"/>
      <c r="G226" s="765"/>
      <c r="H226" s="765"/>
      <c r="I226" s="765">
        <f t="shared" si="17"/>
        <v>215</v>
      </c>
      <c r="J226" s="763">
        <f t="shared" si="5"/>
        <v>205111370088</v>
      </c>
      <c r="K226" s="796">
        <f t="shared" si="7"/>
        <v>0.34129</v>
      </c>
      <c r="L226" s="796">
        <v>5.0E-4</v>
      </c>
      <c r="M226" s="763">
        <v>2.3387841515193E11</v>
      </c>
      <c r="N226" s="797">
        <f t="shared" si="8"/>
        <v>0</v>
      </c>
      <c r="O226" s="798">
        <f t="shared" ref="O226:BK226" si="222">FLOOR(MIN((((N("value of ELS upgrade")+N$8*($K226-$K225))*(N("Check checkbox")+(IF($G$6=TRUE,$G$7,$G$8))/$G$8))/(N("ROI of ELS and multiply by 2 if ELS is 1:1")+IF($G$12 = True, 2, 1) * $J226))/((N("difference in ELS+ and the cost of it")+(($K225*O$8)-($K225*N$8)) / O$7)),(N("MIN lets it return 0 or 1 after floored")+1)),1)</f>
        <v>0</v>
      </c>
      <c r="P226" s="798">
        <f t="shared" si="222"/>
        <v>0</v>
      </c>
      <c r="Q226" s="798">
        <f t="shared" si="222"/>
        <v>0</v>
      </c>
      <c r="R226" s="798">
        <f t="shared" si="222"/>
        <v>0</v>
      </c>
      <c r="S226" s="798">
        <f t="shared" si="222"/>
        <v>1</v>
      </c>
      <c r="T226" s="798">
        <f t="shared" si="222"/>
        <v>1</v>
      </c>
      <c r="U226" s="798">
        <f t="shared" si="222"/>
        <v>1</v>
      </c>
      <c r="V226" s="798">
        <f t="shared" si="222"/>
        <v>1</v>
      </c>
      <c r="W226" s="798">
        <f t="shared" si="222"/>
        <v>1</v>
      </c>
      <c r="X226" s="798">
        <f t="shared" si="222"/>
        <v>1</v>
      </c>
      <c r="Y226" s="798">
        <f t="shared" si="222"/>
        <v>1</v>
      </c>
      <c r="Z226" s="798">
        <f t="shared" si="222"/>
        <v>1</v>
      </c>
      <c r="AA226" s="798">
        <f t="shared" si="222"/>
        <v>1</v>
      </c>
      <c r="AB226" s="798">
        <f t="shared" si="222"/>
        <v>1</v>
      </c>
      <c r="AC226" s="798">
        <f t="shared" si="222"/>
        <v>1</v>
      </c>
      <c r="AD226" s="798">
        <f t="shared" si="222"/>
        <v>1</v>
      </c>
      <c r="AE226" s="798">
        <f t="shared" si="222"/>
        <v>1</v>
      </c>
      <c r="AF226" s="798">
        <f t="shared" si="222"/>
        <v>1</v>
      </c>
      <c r="AG226" s="798">
        <f t="shared" si="222"/>
        <v>1</v>
      </c>
      <c r="AH226" s="798">
        <f t="shared" si="222"/>
        <v>1</v>
      </c>
      <c r="AI226" s="798">
        <f t="shared" si="222"/>
        <v>1</v>
      </c>
      <c r="AJ226" s="798">
        <f t="shared" si="222"/>
        <v>1</v>
      </c>
      <c r="AK226" s="798">
        <f t="shared" si="222"/>
        <v>1</v>
      </c>
      <c r="AL226" s="798">
        <f t="shared" si="222"/>
        <v>1</v>
      </c>
      <c r="AM226" s="798">
        <f t="shared" si="222"/>
        <v>1</v>
      </c>
      <c r="AN226" s="798">
        <f t="shared" si="222"/>
        <v>1</v>
      </c>
      <c r="AO226" s="798">
        <f t="shared" si="222"/>
        <v>1</v>
      </c>
      <c r="AP226" s="798">
        <f t="shared" si="222"/>
        <v>1</v>
      </c>
      <c r="AQ226" s="798">
        <f t="shared" si="222"/>
        <v>1</v>
      </c>
      <c r="AR226" s="798">
        <f t="shared" si="222"/>
        <v>1</v>
      </c>
      <c r="AS226" s="798">
        <f t="shared" si="222"/>
        <v>1</v>
      </c>
      <c r="AT226" s="798">
        <f t="shared" si="222"/>
        <v>1</v>
      </c>
      <c r="AU226" s="798">
        <f t="shared" si="222"/>
        <v>1</v>
      </c>
      <c r="AV226" s="798">
        <f t="shared" si="222"/>
        <v>1</v>
      </c>
      <c r="AW226" s="798">
        <f t="shared" si="222"/>
        <v>1</v>
      </c>
      <c r="AX226" s="798">
        <f t="shared" si="222"/>
        <v>1</v>
      </c>
      <c r="AY226" s="798">
        <f t="shared" si="222"/>
        <v>1</v>
      </c>
      <c r="AZ226" s="798">
        <f t="shared" si="222"/>
        <v>1</v>
      </c>
      <c r="BA226" s="798">
        <f t="shared" si="222"/>
        <v>1</v>
      </c>
      <c r="BB226" s="798">
        <f t="shared" si="222"/>
        <v>1</v>
      </c>
      <c r="BC226" s="798">
        <f t="shared" si="222"/>
        <v>1</v>
      </c>
      <c r="BD226" s="798">
        <f t="shared" si="222"/>
        <v>1</v>
      </c>
      <c r="BE226" s="798">
        <f t="shared" si="222"/>
        <v>1</v>
      </c>
      <c r="BF226" s="798">
        <f t="shared" si="222"/>
        <v>1</v>
      </c>
      <c r="BG226" s="798">
        <f t="shared" si="222"/>
        <v>1</v>
      </c>
      <c r="BH226" s="798">
        <f t="shared" si="222"/>
        <v>1</v>
      </c>
      <c r="BI226" s="798">
        <f t="shared" si="222"/>
        <v>1</v>
      </c>
      <c r="BJ226" s="798">
        <f t="shared" si="222"/>
        <v>1</v>
      </c>
      <c r="BK226" s="798">
        <f t="shared" si="222"/>
        <v>1</v>
      </c>
      <c r="BL226" s="765"/>
      <c r="BM226" s="817"/>
      <c r="BN226" s="817"/>
    </row>
    <row r="227" hidden="1">
      <c r="A227" s="765"/>
      <c r="B227" s="765"/>
      <c r="C227" s="765"/>
      <c r="D227" s="765"/>
      <c r="E227" s="765"/>
      <c r="F227" s="765"/>
      <c r="G227" s="765"/>
      <c r="H227" s="765"/>
      <c r="I227" s="765">
        <f t="shared" si="17"/>
        <v>216</v>
      </c>
      <c r="J227" s="763">
        <f t="shared" si="5"/>
        <v>206143831856</v>
      </c>
      <c r="K227" s="796">
        <f t="shared" si="7"/>
        <v>0.34179</v>
      </c>
      <c r="L227" s="796">
        <v>5.0E-4</v>
      </c>
      <c r="M227" s="763">
        <v>2.35055680565898E11</v>
      </c>
      <c r="N227" s="797">
        <f t="shared" si="8"/>
        <v>0</v>
      </c>
      <c r="O227" s="798">
        <f t="shared" ref="O227:BK227" si="223">FLOOR(MIN((((N("value of ELS upgrade")+N$8*($K227-$K226))*(N("Check checkbox")+(IF($G$6=TRUE,$G$7,$G$8))/$G$8))/(N("ROI of ELS and multiply by 2 if ELS is 1:1")+IF($G$12 = True, 2, 1) * $J227))/((N("difference in ELS+ and the cost of it")+(($K226*O$8)-($K226*N$8)) / O$7)),(N("MIN lets it return 0 or 1 after floored")+1)),1)</f>
        <v>0</v>
      </c>
      <c r="P227" s="798">
        <f t="shared" si="223"/>
        <v>0</v>
      </c>
      <c r="Q227" s="798">
        <f t="shared" si="223"/>
        <v>0</v>
      </c>
      <c r="R227" s="798">
        <f t="shared" si="223"/>
        <v>0</v>
      </c>
      <c r="S227" s="798">
        <f t="shared" si="223"/>
        <v>1</v>
      </c>
      <c r="T227" s="798">
        <f t="shared" si="223"/>
        <v>1</v>
      </c>
      <c r="U227" s="798">
        <f t="shared" si="223"/>
        <v>1</v>
      </c>
      <c r="V227" s="798">
        <f t="shared" si="223"/>
        <v>1</v>
      </c>
      <c r="W227" s="798">
        <f t="shared" si="223"/>
        <v>1</v>
      </c>
      <c r="X227" s="798">
        <f t="shared" si="223"/>
        <v>1</v>
      </c>
      <c r="Y227" s="798">
        <f t="shared" si="223"/>
        <v>1</v>
      </c>
      <c r="Z227" s="798">
        <f t="shared" si="223"/>
        <v>1</v>
      </c>
      <c r="AA227" s="798">
        <f t="shared" si="223"/>
        <v>1</v>
      </c>
      <c r="AB227" s="798">
        <f t="shared" si="223"/>
        <v>1</v>
      </c>
      <c r="AC227" s="798">
        <f t="shared" si="223"/>
        <v>1</v>
      </c>
      <c r="AD227" s="798">
        <f t="shared" si="223"/>
        <v>1</v>
      </c>
      <c r="AE227" s="798">
        <f t="shared" si="223"/>
        <v>1</v>
      </c>
      <c r="AF227" s="798">
        <f t="shared" si="223"/>
        <v>1</v>
      </c>
      <c r="AG227" s="798">
        <f t="shared" si="223"/>
        <v>1</v>
      </c>
      <c r="AH227" s="798">
        <f t="shared" si="223"/>
        <v>1</v>
      </c>
      <c r="AI227" s="798">
        <f t="shared" si="223"/>
        <v>1</v>
      </c>
      <c r="AJ227" s="798">
        <f t="shared" si="223"/>
        <v>1</v>
      </c>
      <c r="AK227" s="798">
        <f t="shared" si="223"/>
        <v>1</v>
      </c>
      <c r="AL227" s="798">
        <f t="shared" si="223"/>
        <v>1</v>
      </c>
      <c r="AM227" s="798">
        <f t="shared" si="223"/>
        <v>1</v>
      </c>
      <c r="AN227" s="798">
        <f t="shared" si="223"/>
        <v>1</v>
      </c>
      <c r="AO227" s="798">
        <f t="shared" si="223"/>
        <v>1</v>
      </c>
      <c r="AP227" s="798">
        <f t="shared" si="223"/>
        <v>1</v>
      </c>
      <c r="AQ227" s="798">
        <f t="shared" si="223"/>
        <v>1</v>
      </c>
      <c r="AR227" s="798">
        <f t="shared" si="223"/>
        <v>1</v>
      </c>
      <c r="AS227" s="798">
        <f t="shared" si="223"/>
        <v>1</v>
      </c>
      <c r="AT227" s="798">
        <f t="shared" si="223"/>
        <v>1</v>
      </c>
      <c r="AU227" s="798">
        <f t="shared" si="223"/>
        <v>1</v>
      </c>
      <c r="AV227" s="798">
        <f t="shared" si="223"/>
        <v>1</v>
      </c>
      <c r="AW227" s="798">
        <f t="shared" si="223"/>
        <v>1</v>
      </c>
      <c r="AX227" s="798">
        <f t="shared" si="223"/>
        <v>1</v>
      </c>
      <c r="AY227" s="798">
        <f t="shared" si="223"/>
        <v>1</v>
      </c>
      <c r="AZ227" s="798">
        <f t="shared" si="223"/>
        <v>1</v>
      </c>
      <c r="BA227" s="798">
        <f t="shared" si="223"/>
        <v>1</v>
      </c>
      <c r="BB227" s="798">
        <f t="shared" si="223"/>
        <v>1</v>
      </c>
      <c r="BC227" s="798">
        <f t="shared" si="223"/>
        <v>1</v>
      </c>
      <c r="BD227" s="798">
        <f t="shared" si="223"/>
        <v>1</v>
      </c>
      <c r="BE227" s="798">
        <f t="shared" si="223"/>
        <v>1</v>
      </c>
      <c r="BF227" s="798">
        <f t="shared" si="223"/>
        <v>1</v>
      </c>
      <c r="BG227" s="798">
        <f t="shared" si="223"/>
        <v>1</v>
      </c>
      <c r="BH227" s="798">
        <f t="shared" si="223"/>
        <v>1</v>
      </c>
      <c r="BI227" s="798">
        <f t="shared" si="223"/>
        <v>1</v>
      </c>
      <c r="BJ227" s="798">
        <f t="shared" si="223"/>
        <v>1</v>
      </c>
      <c r="BK227" s="798">
        <f t="shared" si="223"/>
        <v>1</v>
      </c>
      <c r="BL227" s="765"/>
      <c r="BM227" s="817"/>
      <c r="BN227" s="817"/>
    </row>
    <row r="228" hidden="1">
      <c r="A228" s="765"/>
      <c r="B228" s="765"/>
      <c r="C228" s="765"/>
      <c r="D228" s="765"/>
      <c r="E228" s="765"/>
      <c r="F228" s="765"/>
      <c r="G228" s="765"/>
      <c r="H228" s="765"/>
      <c r="I228" s="765">
        <f t="shared" si="17"/>
        <v>217</v>
      </c>
      <c r="J228" s="763">
        <f t="shared" si="5"/>
        <v>207178579913</v>
      </c>
      <c r="K228" s="796">
        <f t="shared" si="7"/>
        <v>0.34229</v>
      </c>
      <c r="L228" s="796">
        <v>5.0E-4</v>
      </c>
      <c r="M228" s="763">
        <v>2.36235552922536E11</v>
      </c>
      <c r="N228" s="797">
        <f t="shared" si="8"/>
        <v>0</v>
      </c>
      <c r="O228" s="798">
        <f t="shared" ref="O228:BK228" si="224">FLOOR(MIN((((N("value of ELS upgrade")+N$8*($K228-$K227))*(N("Check checkbox")+(IF($G$6=TRUE,$G$7,$G$8))/$G$8))/(N("ROI of ELS and multiply by 2 if ELS is 1:1")+IF($G$12 = True, 2, 1) * $J228))/((N("difference in ELS+ and the cost of it")+(($K227*O$8)-($K227*N$8)) / O$7)),(N("MIN lets it return 0 or 1 after floored")+1)),1)</f>
        <v>0</v>
      </c>
      <c r="P228" s="798">
        <f t="shared" si="224"/>
        <v>0</v>
      </c>
      <c r="Q228" s="798">
        <f t="shared" si="224"/>
        <v>0</v>
      </c>
      <c r="R228" s="798">
        <f t="shared" si="224"/>
        <v>0</v>
      </c>
      <c r="S228" s="798">
        <f t="shared" si="224"/>
        <v>1</v>
      </c>
      <c r="T228" s="798">
        <f t="shared" si="224"/>
        <v>1</v>
      </c>
      <c r="U228" s="798">
        <f t="shared" si="224"/>
        <v>1</v>
      </c>
      <c r="V228" s="798">
        <f t="shared" si="224"/>
        <v>1</v>
      </c>
      <c r="W228" s="798">
        <f t="shared" si="224"/>
        <v>1</v>
      </c>
      <c r="X228" s="798">
        <f t="shared" si="224"/>
        <v>1</v>
      </c>
      <c r="Y228" s="798">
        <f t="shared" si="224"/>
        <v>1</v>
      </c>
      <c r="Z228" s="798">
        <f t="shared" si="224"/>
        <v>1</v>
      </c>
      <c r="AA228" s="798">
        <f t="shared" si="224"/>
        <v>1</v>
      </c>
      <c r="AB228" s="798">
        <f t="shared" si="224"/>
        <v>1</v>
      </c>
      <c r="AC228" s="798">
        <f t="shared" si="224"/>
        <v>1</v>
      </c>
      <c r="AD228" s="798">
        <f t="shared" si="224"/>
        <v>1</v>
      </c>
      <c r="AE228" s="798">
        <f t="shared" si="224"/>
        <v>1</v>
      </c>
      <c r="AF228" s="798">
        <f t="shared" si="224"/>
        <v>1</v>
      </c>
      <c r="AG228" s="798">
        <f t="shared" si="224"/>
        <v>1</v>
      </c>
      <c r="AH228" s="798">
        <f t="shared" si="224"/>
        <v>1</v>
      </c>
      <c r="AI228" s="798">
        <f t="shared" si="224"/>
        <v>1</v>
      </c>
      <c r="AJ228" s="798">
        <f t="shared" si="224"/>
        <v>1</v>
      </c>
      <c r="AK228" s="798">
        <f t="shared" si="224"/>
        <v>1</v>
      </c>
      <c r="AL228" s="798">
        <f t="shared" si="224"/>
        <v>1</v>
      </c>
      <c r="AM228" s="798">
        <f t="shared" si="224"/>
        <v>1</v>
      </c>
      <c r="AN228" s="798">
        <f t="shared" si="224"/>
        <v>1</v>
      </c>
      <c r="AO228" s="798">
        <f t="shared" si="224"/>
        <v>1</v>
      </c>
      <c r="AP228" s="798">
        <f t="shared" si="224"/>
        <v>1</v>
      </c>
      <c r="AQ228" s="798">
        <f t="shared" si="224"/>
        <v>1</v>
      </c>
      <c r="AR228" s="798">
        <f t="shared" si="224"/>
        <v>1</v>
      </c>
      <c r="AS228" s="798">
        <f t="shared" si="224"/>
        <v>1</v>
      </c>
      <c r="AT228" s="798">
        <f t="shared" si="224"/>
        <v>1</v>
      </c>
      <c r="AU228" s="798">
        <f t="shared" si="224"/>
        <v>1</v>
      </c>
      <c r="AV228" s="798">
        <f t="shared" si="224"/>
        <v>1</v>
      </c>
      <c r="AW228" s="798">
        <f t="shared" si="224"/>
        <v>1</v>
      </c>
      <c r="AX228" s="798">
        <f t="shared" si="224"/>
        <v>1</v>
      </c>
      <c r="AY228" s="798">
        <f t="shared" si="224"/>
        <v>1</v>
      </c>
      <c r="AZ228" s="798">
        <f t="shared" si="224"/>
        <v>1</v>
      </c>
      <c r="BA228" s="798">
        <f t="shared" si="224"/>
        <v>1</v>
      </c>
      <c r="BB228" s="798">
        <f t="shared" si="224"/>
        <v>1</v>
      </c>
      <c r="BC228" s="798">
        <f t="shared" si="224"/>
        <v>1</v>
      </c>
      <c r="BD228" s="798">
        <f t="shared" si="224"/>
        <v>1</v>
      </c>
      <c r="BE228" s="798">
        <f t="shared" si="224"/>
        <v>1</v>
      </c>
      <c r="BF228" s="798">
        <f t="shared" si="224"/>
        <v>1</v>
      </c>
      <c r="BG228" s="798">
        <f t="shared" si="224"/>
        <v>1</v>
      </c>
      <c r="BH228" s="798">
        <f t="shared" si="224"/>
        <v>1</v>
      </c>
      <c r="BI228" s="798">
        <f t="shared" si="224"/>
        <v>1</v>
      </c>
      <c r="BJ228" s="798">
        <f t="shared" si="224"/>
        <v>1</v>
      </c>
      <c r="BK228" s="798">
        <f t="shared" si="224"/>
        <v>1</v>
      </c>
      <c r="BL228" s="765"/>
      <c r="BM228" s="817"/>
      <c r="BN228" s="817"/>
    </row>
    <row r="229" hidden="1">
      <c r="A229" s="765"/>
      <c r="B229" s="765"/>
      <c r="C229" s="765"/>
      <c r="D229" s="765"/>
      <c r="E229" s="765"/>
      <c r="F229" s="765"/>
      <c r="G229" s="765"/>
      <c r="H229" s="765"/>
      <c r="I229" s="765">
        <f t="shared" si="17"/>
        <v>218</v>
      </c>
      <c r="J229" s="763">
        <f t="shared" si="5"/>
        <v>208215626626</v>
      </c>
      <c r="K229" s="796">
        <f t="shared" si="7"/>
        <v>0.34279</v>
      </c>
      <c r="L229" s="796">
        <v>5.0E-4</v>
      </c>
      <c r="M229" s="763">
        <v>2.3741804632359E11</v>
      </c>
      <c r="N229" s="797">
        <f t="shared" si="8"/>
        <v>0</v>
      </c>
      <c r="O229" s="798">
        <f t="shared" ref="O229:BK229" si="225">FLOOR(MIN((((N("value of ELS upgrade")+N$8*($K229-$K228))*(N("Check checkbox")+(IF($G$6=TRUE,$G$7,$G$8))/$G$8))/(N("ROI of ELS and multiply by 2 if ELS is 1:1")+IF($G$12 = True, 2, 1) * $J229))/((N("difference in ELS+ and the cost of it")+(($K228*O$8)-($K228*N$8)) / O$7)),(N("MIN lets it return 0 or 1 after floored")+1)),1)</f>
        <v>0</v>
      </c>
      <c r="P229" s="798">
        <f t="shared" si="225"/>
        <v>0</v>
      </c>
      <c r="Q229" s="798">
        <f t="shared" si="225"/>
        <v>0</v>
      </c>
      <c r="R229" s="798">
        <f t="shared" si="225"/>
        <v>0</v>
      </c>
      <c r="S229" s="798">
        <f t="shared" si="225"/>
        <v>1</v>
      </c>
      <c r="T229" s="798">
        <f t="shared" si="225"/>
        <v>1</v>
      </c>
      <c r="U229" s="798">
        <f t="shared" si="225"/>
        <v>1</v>
      </c>
      <c r="V229" s="798">
        <f t="shared" si="225"/>
        <v>1</v>
      </c>
      <c r="W229" s="798">
        <f t="shared" si="225"/>
        <v>1</v>
      </c>
      <c r="X229" s="798">
        <f t="shared" si="225"/>
        <v>1</v>
      </c>
      <c r="Y229" s="798">
        <f t="shared" si="225"/>
        <v>1</v>
      </c>
      <c r="Z229" s="798">
        <f t="shared" si="225"/>
        <v>1</v>
      </c>
      <c r="AA229" s="798">
        <f t="shared" si="225"/>
        <v>1</v>
      </c>
      <c r="AB229" s="798">
        <f t="shared" si="225"/>
        <v>1</v>
      </c>
      <c r="AC229" s="798">
        <f t="shared" si="225"/>
        <v>1</v>
      </c>
      <c r="AD229" s="798">
        <f t="shared" si="225"/>
        <v>1</v>
      </c>
      <c r="AE229" s="798">
        <f t="shared" si="225"/>
        <v>1</v>
      </c>
      <c r="AF229" s="798">
        <f t="shared" si="225"/>
        <v>1</v>
      </c>
      <c r="AG229" s="798">
        <f t="shared" si="225"/>
        <v>1</v>
      </c>
      <c r="AH229" s="798">
        <f t="shared" si="225"/>
        <v>1</v>
      </c>
      <c r="AI229" s="798">
        <f t="shared" si="225"/>
        <v>1</v>
      </c>
      <c r="AJ229" s="798">
        <f t="shared" si="225"/>
        <v>1</v>
      </c>
      <c r="AK229" s="798">
        <f t="shared" si="225"/>
        <v>1</v>
      </c>
      <c r="AL229" s="798">
        <f t="shared" si="225"/>
        <v>1</v>
      </c>
      <c r="AM229" s="798">
        <f t="shared" si="225"/>
        <v>1</v>
      </c>
      <c r="AN229" s="798">
        <f t="shared" si="225"/>
        <v>1</v>
      </c>
      <c r="AO229" s="798">
        <f t="shared" si="225"/>
        <v>1</v>
      </c>
      <c r="AP229" s="798">
        <f t="shared" si="225"/>
        <v>1</v>
      </c>
      <c r="AQ229" s="798">
        <f t="shared" si="225"/>
        <v>1</v>
      </c>
      <c r="AR229" s="798">
        <f t="shared" si="225"/>
        <v>1</v>
      </c>
      <c r="AS229" s="798">
        <f t="shared" si="225"/>
        <v>1</v>
      </c>
      <c r="AT229" s="798">
        <f t="shared" si="225"/>
        <v>1</v>
      </c>
      <c r="AU229" s="798">
        <f t="shared" si="225"/>
        <v>1</v>
      </c>
      <c r="AV229" s="798">
        <f t="shared" si="225"/>
        <v>1</v>
      </c>
      <c r="AW229" s="798">
        <f t="shared" si="225"/>
        <v>1</v>
      </c>
      <c r="AX229" s="798">
        <f t="shared" si="225"/>
        <v>1</v>
      </c>
      <c r="AY229" s="798">
        <f t="shared" si="225"/>
        <v>1</v>
      </c>
      <c r="AZ229" s="798">
        <f t="shared" si="225"/>
        <v>1</v>
      </c>
      <c r="BA229" s="798">
        <f t="shared" si="225"/>
        <v>1</v>
      </c>
      <c r="BB229" s="798">
        <f t="shared" si="225"/>
        <v>1</v>
      </c>
      <c r="BC229" s="798">
        <f t="shared" si="225"/>
        <v>1</v>
      </c>
      <c r="BD229" s="798">
        <f t="shared" si="225"/>
        <v>1</v>
      </c>
      <c r="BE229" s="798">
        <f t="shared" si="225"/>
        <v>1</v>
      </c>
      <c r="BF229" s="798">
        <f t="shared" si="225"/>
        <v>1</v>
      </c>
      <c r="BG229" s="798">
        <f t="shared" si="225"/>
        <v>1</v>
      </c>
      <c r="BH229" s="798">
        <f t="shared" si="225"/>
        <v>1</v>
      </c>
      <c r="BI229" s="798">
        <f t="shared" si="225"/>
        <v>1</v>
      </c>
      <c r="BJ229" s="798">
        <f t="shared" si="225"/>
        <v>1</v>
      </c>
      <c r="BK229" s="798">
        <f t="shared" si="225"/>
        <v>1</v>
      </c>
      <c r="BL229" s="765"/>
      <c r="BM229" s="817"/>
      <c r="BN229" s="817"/>
    </row>
    <row r="230" hidden="1">
      <c r="A230" s="765"/>
      <c r="B230" s="765"/>
      <c r="C230" s="765"/>
      <c r="D230" s="765"/>
      <c r="E230" s="765"/>
      <c r="F230" s="765"/>
      <c r="G230" s="765"/>
      <c r="H230" s="765"/>
      <c r="I230" s="765">
        <f t="shared" si="17"/>
        <v>219</v>
      </c>
      <c r="J230" s="763">
        <f t="shared" si="5"/>
        <v>209254990133</v>
      </c>
      <c r="K230" s="796">
        <f t="shared" si="7"/>
        <v>0.34329</v>
      </c>
      <c r="L230" s="796">
        <v>5.0E-4</v>
      </c>
      <c r="M230" s="763">
        <v>2.38603181451618E11</v>
      </c>
      <c r="N230" s="797">
        <f t="shared" si="8"/>
        <v>0</v>
      </c>
      <c r="O230" s="798">
        <f t="shared" ref="O230:BK230" si="226">FLOOR(MIN((((N("value of ELS upgrade")+N$8*($K230-$K229))*(N("Check checkbox")+(IF($G$6=TRUE,$G$7,$G$8))/$G$8))/(N("ROI of ELS and multiply by 2 if ELS is 1:1")+IF($G$12 = True, 2, 1) * $J230))/((N("difference in ELS+ and the cost of it")+(($K229*O$8)-($K229*N$8)) / O$7)),(N("MIN lets it return 0 or 1 after floored")+1)),1)</f>
        <v>0</v>
      </c>
      <c r="P230" s="798">
        <f t="shared" si="226"/>
        <v>0</v>
      </c>
      <c r="Q230" s="798">
        <f t="shared" si="226"/>
        <v>0</v>
      </c>
      <c r="R230" s="798">
        <f t="shared" si="226"/>
        <v>0</v>
      </c>
      <c r="S230" s="798">
        <f t="shared" si="226"/>
        <v>1</v>
      </c>
      <c r="T230" s="798">
        <f t="shared" si="226"/>
        <v>1</v>
      </c>
      <c r="U230" s="798">
        <f t="shared" si="226"/>
        <v>1</v>
      </c>
      <c r="V230" s="798">
        <f t="shared" si="226"/>
        <v>1</v>
      </c>
      <c r="W230" s="798">
        <f t="shared" si="226"/>
        <v>1</v>
      </c>
      <c r="X230" s="798">
        <f t="shared" si="226"/>
        <v>1</v>
      </c>
      <c r="Y230" s="798">
        <f t="shared" si="226"/>
        <v>1</v>
      </c>
      <c r="Z230" s="798">
        <f t="shared" si="226"/>
        <v>1</v>
      </c>
      <c r="AA230" s="798">
        <f t="shared" si="226"/>
        <v>1</v>
      </c>
      <c r="AB230" s="798">
        <f t="shared" si="226"/>
        <v>1</v>
      </c>
      <c r="AC230" s="798">
        <f t="shared" si="226"/>
        <v>1</v>
      </c>
      <c r="AD230" s="798">
        <f t="shared" si="226"/>
        <v>1</v>
      </c>
      <c r="AE230" s="798">
        <f t="shared" si="226"/>
        <v>1</v>
      </c>
      <c r="AF230" s="798">
        <f t="shared" si="226"/>
        <v>1</v>
      </c>
      <c r="AG230" s="798">
        <f t="shared" si="226"/>
        <v>1</v>
      </c>
      <c r="AH230" s="798">
        <f t="shared" si="226"/>
        <v>1</v>
      </c>
      <c r="AI230" s="798">
        <f t="shared" si="226"/>
        <v>1</v>
      </c>
      <c r="AJ230" s="798">
        <f t="shared" si="226"/>
        <v>1</v>
      </c>
      <c r="AK230" s="798">
        <f t="shared" si="226"/>
        <v>1</v>
      </c>
      <c r="AL230" s="798">
        <f t="shared" si="226"/>
        <v>1</v>
      </c>
      <c r="AM230" s="798">
        <f t="shared" si="226"/>
        <v>1</v>
      </c>
      <c r="AN230" s="798">
        <f t="shared" si="226"/>
        <v>1</v>
      </c>
      <c r="AO230" s="798">
        <f t="shared" si="226"/>
        <v>1</v>
      </c>
      <c r="AP230" s="798">
        <f t="shared" si="226"/>
        <v>1</v>
      </c>
      <c r="AQ230" s="798">
        <f t="shared" si="226"/>
        <v>1</v>
      </c>
      <c r="AR230" s="798">
        <f t="shared" si="226"/>
        <v>1</v>
      </c>
      <c r="AS230" s="798">
        <f t="shared" si="226"/>
        <v>1</v>
      </c>
      <c r="AT230" s="798">
        <f t="shared" si="226"/>
        <v>1</v>
      </c>
      <c r="AU230" s="798">
        <f t="shared" si="226"/>
        <v>1</v>
      </c>
      <c r="AV230" s="798">
        <f t="shared" si="226"/>
        <v>1</v>
      </c>
      <c r="AW230" s="798">
        <f t="shared" si="226"/>
        <v>1</v>
      </c>
      <c r="AX230" s="798">
        <f t="shared" si="226"/>
        <v>1</v>
      </c>
      <c r="AY230" s="798">
        <f t="shared" si="226"/>
        <v>1</v>
      </c>
      <c r="AZ230" s="798">
        <f t="shared" si="226"/>
        <v>1</v>
      </c>
      <c r="BA230" s="798">
        <f t="shared" si="226"/>
        <v>1</v>
      </c>
      <c r="BB230" s="798">
        <f t="shared" si="226"/>
        <v>1</v>
      </c>
      <c r="BC230" s="798">
        <f t="shared" si="226"/>
        <v>1</v>
      </c>
      <c r="BD230" s="798">
        <f t="shared" si="226"/>
        <v>1</v>
      </c>
      <c r="BE230" s="798">
        <f t="shared" si="226"/>
        <v>1</v>
      </c>
      <c r="BF230" s="798">
        <f t="shared" si="226"/>
        <v>1</v>
      </c>
      <c r="BG230" s="798">
        <f t="shared" si="226"/>
        <v>1</v>
      </c>
      <c r="BH230" s="798">
        <f t="shared" si="226"/>
        <v>1</v>
      </c>
      <c r="BI230" s="798">
        <f t="shared" si="226"/>
        <v>1</v>
      </c>
      <c r="BJ230" s="798">
        <f t="shared" si="226"/>
        <v>1</v>
      </c>
      <c r="BK230" s="798">
        <f t="shared" si="226"/>
        <v>1</v>
      </c>
      <c r="BL230" s="765"/>
      <c r="BM230" s="817"/>
      <c r="BN230" s="817"/>
    </row>
    <row r="231" hidden="1">
      <c r="A231" s="765"/>
      <c r="B231" s="765"/>
      <c r="C231" s="765"/>
      <c r="D231" s="765"/>
      <c r="E231" s="765"/>
      <c r="F231" s="765"/>
      <c r="G231" s="765"/>
      <c r="H231" s="765"/>
      <c r="I231" s="765">
        <f t="shared" si="17"/>
        <v>220</v>
      </c>
      <c r="J231" s="763">
        <f t="shared" si="5"/>
        <v>210296680329</v>
      </c>
      <c r="K231" s="796">
        <f t="shared" si="7"/>
        <v>0.34379</v>
      </c>
      <c r="L231" s="796">
        <v>5.0E-4</v>
      </c>
      <c r="M231" s="763">
        <v>2.39790969588018E11</v>
      </c>
      <c r="N231" s="797">
        <f t="shared" si="8"/>
        <v>0</v>
      </c>
      <c r="O231" s="798">
        <f t="shared" ref="O231:BK231" si="227">FLOOR(MIN((((N("value of ELS upgrade")+N$8*($K231-$K230))*(N("Check checkbox")+(IF($G$6=TRUE,$G$7,$G$8))/$G$8))/(N("ROI of ELS and multiply by 2 if ELS is 1:1")+IF($G$12 = True, 2, 1) * $J231))/((N("difference in ELS+ and the cost of it")+(($K230*O$8)-($K230*N$8)) / O$7)),(N("MIN lets it return 0 or 1 after floored")+1)),1)</f>
        <v>0</v>
      </c>
      <c r="P231" s="798">
        <f t="shared" si="227"/>
        <v>0</v>
      </c>
      <c r="Q231" s="798">
        <f t="shared" si="227"/>
        <v>0</v>
      </c>
      <c r="R231" s="798">
        <f t="shared" si="227"/>
        <v>0</v>
      </c>
      <c r="S231" s="798">
        <f t="shared" si="227"/>
        <v>1</v>
      </c>
      <c r="T231" s="798">
        <f t="shared" si="227"/>
        <v>1</v>
      </c>
      <c r="U231" s="798">
        <f t="shared" si="227"/>
        <v>1</v>
      </c>
      <c r="V231" s="798">
        <f t="shared" si="227"/>
        <v>1</v>
      </c>
      <c r="W231" s="798">
        <f t="shared" si="227"/>
        <v>1</v>
      </c>
      <c r="X231" s="798">
        <f t="shared" si="227"/>
        <v>1</v>
      </c>
      <c r="Y231" s="798">
        <f t="shared" si="227"/>
        <v>1</v>
      </c>
      <c r="Z231" s="798">
        <f t="shared" si="227"/>
        <v>1</v>
      </c>
      <c r="AA231" s="798">
        <f t="shared" si="227"/>
        <v>1</v>
      </c>
      <c r="AB231" s="798">
        <f t="shared" si="227"/>
        <v>1</v>
      </c>
      <c r="AC231" s="798">
        <f t="shared" si="227"/>
        <v>1</v>
      </c>
      <c r="AD231" s="798">
        <f t="shared" si="227"/>
        <v>1</v>
      </c>
      <c r="AE231" s="798">
        <f t="shared" si="227"/>
        <v>1</v>
      </c>
      <c r="AF231" s="798">
        <f t="shared" si="227"/>
        <v>1</v>
      </c>
      <c r="AG231" s="798">
        <f t="shared" si="227"/>
        <v>1</v>
      </c>
      <c r="AH231" s="798">
        <f t="shared" si="227"/>
        <v>1</v>
      </c>
      <c r="AI231" s="798">
        <f t="shared" si="227"/>
        <v>1</v>
      </c>
      <c r="AJ231" s="798">
        <f t="shared" si="227"/>
        <v>1</v>
      </c>
      <c r="AK231" s="798">
        <f t="shared" si="227"/>
        <v>1</v>
      </c>
      <c r="AL231" s="798">
        <f t="shared" si="227"/>
        <v>1</v>
      </c>
      <c r="AM231" s="798">
        <f t="shared" si="227"/>
        <v>1</v>
      </c>
      <c r="AN231" s="798">
        <f t="shared" si="227"/>
        <v>1</v>
      </c>
      <c r="AO231" s="798">
        <f t="shared" si="227"/>
        <v>1</v>
      </c>
      <c r="AP231" s="798">
        <f t="shared" si="227"/>
        <v>1</v>
      </c>
      <c r="AQ231" s="798">
        <f t="shared" si="227"/>
        <v>1</v>
      </c>
      <c r="AR231" s="798">
        <f t="shared" si="227"/>
        <v>1</v>
      </c>
      <c r="AS231" s="798">
        <f t="shared" si="227"/>
        <v>1</v>
      </c>
      <c r="AT231" s="798">
        <f t="shared" si="227"/>
        <v>1</v>
      </c>
      <c r="AU231" s="798">
        <f t="shared" si="227"/>
        <v>1</v>
      </c>
      <c r="AV231" s="798">
        <f t="shared" si="227"/>
        <v>1</v>
      </c>
      <c r="AW231" s="798">
        <f t="shared" si="227"/>
        <v>1</v>
      </c>
      <c r="AX231" s="798">
        <f t="shared" si="227"/>
        <v>1</v>
      </c>
      <c r="AY231" s="798">
        <f t="shared" si="227"/>
        <v>1</v>
      </c>
      <c r="AZ231" s="798">
        <f t="shared" si="227"/>
        <v>1</v>
      </c>
      <c r="BA231" s="798">
        <f t="shared" si="227"/>
        <v>1</v>
      </c>
      <c r="BB231" s="798">
        <f t="shared" si="227"/>
        <v>1</v>
      </c>
      <c r="BC231" s="798">
        <f t="shared" si="227"/>
        <v>1</v>
      </c>
      <c r="BD231" s="798">
        <f t="shared" si="227"/>
        <v>1</v>
      </c>
      <c r="BE231" s="798">
        <f t="shared" si="227"/>
        <v>1</v>
      </c>
      <c r="BF231" s="798">
        <f t="shared" si="227"/>
        <v>1</v>
      </c>
      <c r="BG231" s="798">
        <f t="shared" si="227"/>
        <v>1</v>
      </c>
      <c r="BH231" s="798">
        <f t="shared" si="227"/>
        <v>1</v>
      </c>
      <c r="BI231" s="798">
        <f t="shared" si="227"/>
        <v>1</v>
      </c>
      <c r="BJ231" s="798">
        <f t="shared" si="227"/>
        <v>1</v>
      </c>
      <c r="BK231" s="798">
        <f t="shared" si="227"/>
        <v>1</v>
      </c>
      <c r="BL231" s="765"/>
      <c r="BM231" s="817"/>
      <c r="BN231" s="817"/>
    </row>
    <row r="232" hidden="1">
      <c r="A232" s="765"/>
      <c r="B232" s="765"/>
      <c r="C232" s="765"/>
      <c r="D232" s="765"/>
      <c r="E232" s="765"/>
      <c r="F232" s="765"/>
      <c r="G232" s="765"/>
      <c r="H232" s="765"/>
      <c r="I232" s="765">
        <f t="shared" si="17"/>
        <v>221</v>
      </c>
      <c r="J232" s="763">
        <f t="shared" si="5"/>
        <v>211340715351</v>
      </c>
      <c r="K232" s="796">
        <f t="shared" si="7"/>
        <v>0.34429</v>
      </c>
      <c r="L232" s="796">
        <v>5.0E-4</v>
      </c>
      <c r="M232" s="763">
        <v>2.40981431415349E11</v>
      </c>
      <c r="N232" s="797">
        <f t="shared" si="8"/>
        <v>0</v>
      </c>
      <c r="O232" s="798">
        <f t="shared" ref="O232:BK232" si="228">FLOOR(MIN((((N("value of ELS upgrade")+N$8*($K232-$K231))*(N("Check checkbox")+(IF($G$6=TRUE,$G$7,$G$8))/$G$8))/(N("ROI of ELS and multiply by 2 if ELS is 1:1")+IF($G$12 = True, 2, 1) * $J232))/((N("difference in ELS+ and the cost of it")+(($K231*O$8)-($K231*N$8)) / O$7)),(N("MIN lets it return 0 or 1 after floored")+1)),1)</f>
        <v>0</v>
      </c>
      <c r="P232" s="798">
        <f t="shared" si="228"/>
        <v>0</v>
      </c>
      <c r="Q232" s="798">
        <f t="shared" si="228"/>
        <v>0</v>
      </c>
      <c r="R232" s="798">
        <f t="shared" si="228"/>
        <v>0</v>
      </c>
      <c r="S232" s="798">
        <f t="shared" si="228"/>
        <v>1</v>
      </c>
      <c r="T232" s="798">
        <f t="shared" si="228"/>
        <v>1</v>
      </c>
      <c r="U232" s="798">
        <f t="shared" si="228"/>
        <v>1</v>
      </c>
      <c r="V232" s="798">
        <f t="shared" si="228"/>
        <v>1</v>
      </c>
      <c r="W232" s="798">
        <f t="shared" si="228"/>
        <v>1</v>
      </c>
      <c r="X232" s="798">
        <f t="shared" si="228"/>
        <v>1</v>
      </c>
      <c r="Y232" s="798">
        <f t="shared" si="228"/>
        <v>1</v>
      </c>
      <c r="Z232" s="798">
        <f t="shared" si="228"/>
        <v>1</v>
      </c>
      <c r="AA232" s="798">
        <f t="shared" si="228"/>
        <v>1</v>
      </c>
      <c r="AB232" s="798">
        <f t="shared" si="228"/>
        <v>1</v>
      </c>
      <c r="AC232" s="798">
        <f t="shared" si="228"/>
        <v>1</v>
      </c>
      <c r="AD232" s="798">
        <f t="shared" si="228"/>
        <v>1</v>
      </c>
      <c r="AE232" s="798">
        <f t="shared" si="228"/>
        <v>1</v>
      </c>
      <c r="AF232" s="798">
        <f t="shared" si="228"/>
        <v>1</v>
      </c>
      <c r="AG232" s="798">
        <f t="shared" si="228"/>
        <v>1</v>
      </c>
      <c r="AH232" s="798">
        <f t="shared" si="228"/>
        <v>1</v>
      </c>
      <c r="AI232" s="798">
        <f t="shared" si="228"/>
        <v>1</v>
      </c>
      <c r="AJ232" s="798">
        <f t="shared" si="228"/>
        <v>1</v>
      </c>
      <c r="AK232" s="798">
        <f t="shared" si="228"/>
        <v>1</v>
      </c>
      <c r="AL232" s="798">
        <f t="shared" si="228"/>
        <v>1</v>
      </c>
      <c r="AM232" s="798">
        <f t="shared" si="228"/>
        <v>1</v>
      </c>
      <c r="AN232" s="798">
        <f t="shared" si="228"/>
        <v>1</v>
      </c>
      <c r="AO232" s="798">
        <f t="shared" si="228"/>
        <v>1</v>
      </c>
      <c r="AP232" s="798">
        <f t="shared" si="228"/>
        <v>1</v>
      </c>
      <c r="AQ232" s="798">
        <f t="shared" si="228"/>
        <v>1</v>
      </c>
      <c r="AR232" s="798">
        <f t="shared" si="228"/>
        <v>1</v>
      </c>
      <c r="AS232" s="798">
        <f t="shared" si="228"/>
        <v>1</v>
      </c>
      <c r="AT232" s="798">
        <f t="shared" si="228"/>
        <v>1</v>
      </c>
      <c r="AU232" s="798">
        <f t="shared" si="228"/>
        <v>1</v>
      </c>
      <c r="AV232" s="798">
        <f t="shared" si="228"/>
        <v>1</v>
      </c>
      <c r="AW232" s="798">
        <f t="shared" si="228"/>
        <v>1</v>
      </c>
      <c r="AX232" s="798">
        <f t="shared" si="228"/>
        <v>1</v>
      </c>
      <c r="AY232" s="798">
        <f t="shared" si="228"/>
        <v>1</v>
      </c>
      <c r="AZ232" s="798">
        <f t="shared" si="228"/>
        <v>1</v>
      </c>
      <c r="BA232" s="798">
        <f t="shared" si="228"/>
        <v>1</v>
      </c>
      <c r="BB232" s="798">
        <f t="shared" si="228"/>
        <v>1</v>
      </c>
      <c r="BC232" s="798">
        <f t="shared" si="228"/>
        <v>1</v>
      </c>
      <c r="BD232" s="798">
        <f t="shared" si="228"/>
        <v>1</v>
      </c>
      <c r="BE232" s="798">
        <f t="shared" si="228"/>
        <v>1</v>
      </c>
      <c r="BF232" s="798">
        <f t="shared" si="228"/>
        <v>1</v>
      </c>
      <c r="BG232" s="798">
        <f t="shared" si="228"/>
        <v>1</v>
      </c>
      <c r="BH232" s="798">
        <f t="shared" si="228"/>
        <v>1</v>
      </c>
      <c r="BI232" s="798">
        <f t="shared" si="228"/>
        <v>1</v>
      </c>
      <c r="BJ232" s="798">
        <f t="shared" si="228"/>
        <v>1</v>
      </c>
      <c r="BK232" s="798">
        <f t="shared" si="228"/>
        <v>1</v>
      </c>
      <c r="BL232" s="765"/>
      <c r="BM232" s="817"/>
      <c r="BN232" s="817"/>
    </row>
    <row r="233" hidden="1">
      <c r="A233" s="765"/>
      <c r="B233" s="765"/>
      <c r="C233" s="765"/>
      <c r="D233" s="765"/>
      <c r="E233" s="765"/>
      <c r="F233" s="765"/>
      <c r="G233" s="765"/>
      <c r="H233" s="765"/>
      <c r="I233" s="765">
        <f t="shared" si="17"/>
        <v>222</v>
      </c>
      <c r="J233" s="763">
        <f t="shared" si="5"/>
        <v>212387106744</v>
      </c>
      <c r="K233" s="796">
        <f t="shared" si="7"/>
        <v>0.34479</v>
      </c>
      <c r="L233" s="796">
        <v>5.0E-4</v>
      </c>
      <c r="M233" s="763">
        <v>2.42174580095241E11</v>
      </c>
      <c r="N233" s="797">
        <f t="shared" si="8"/>
        <v>0</v>
      </c>
      <c r="O233" s="798">
        <f t="shared" ref="O233:BK233" si="229">FLOOR(MIN((((N("value of ELS upgrade")+N$8*($K233-$K232))*(N("Check checkbox")+(IF($G$6=TRUE,$G$7,$G$8))/$G$8))/(N("ROI of ELS and multiply by 2 if ELS is 1:1")+IF($G$12 = True, 2, 1) * $J233))/((N("difference in ELS+ and the cost of it")+(($K232*O$8)-($K232*N$8)) / O$7)),(N("MIN lets it return 0 or 1 after floored")+1)),1)</f>
        <v>0</v>
      </c>
      <c r="P233" s="798">
        <f t="shared" si="229"/>
        <v>0</v>
      </c>
      <c r="Q233" s="798">
        <f t="shared" si="229"/>
        <v>0</v>
      </c>
      <c r="R233" s="798">
        <f t="shared" si="229"/>
        <v>0</v>
      </c>
      <c r="S233" s="798">
        <f t="shared" si="229"/>
        <v>1</v>
      </c>
      <c r="T233" s="798">
        <f t="shared" si="229"/>
        <v>1</v>
      </c>
      <c r="U233" s="798">
        <f t="shared" si="229"/>
        <v>1</v>
      </c>
      <c r="V233" s="798">
        <f t="shared" si="229"/>
        <v>1</v>
      </c>
      <c r="W233" s="798">
        <f t="shared" si="229"/>
        <v>1</v>
      </c>
      <c r="X233" s="798">
        <f t="shared" si="229"/>
        <v>1</v>
      </c>
      <c r="Y233" s="798">
        <f t="shared" si="229"/>
        <v>1</v>
      </c>
      <c r="Z233" s="798">
        <f t="shared" si="229"/>
        <v>1</v>
      </c>
      <c r="AA233" s="798">
        <f t="shared" si="229"/>
        <v>1</v>
      </c>
      <c r="AB233" s="798">
        <f t="shared" si="229"/>
        <v>1</v>
      </c>
      <c r="AC233" s="798">
        <f t="shared" si="229"/>
        <v>1</v>
      </c>
      <c r="AD233" s="798">
        <f t="shared" si="229"/>
        <v>1</v>
      </c>
      <c r="AE233" s="798">
        <f t="shared" si="229"/>
        <v>1</v>
      </c>
      <c r="AF233" s="798">
        <f t="shared" si="229"/>
        <v>1</v>
      </c>
      <c r="AG233" s="798">
        <f t="shared" si="229"/>
        <v>1</v>
      </c>
      <c r="AH233" s="798">
        <f t="shared" si="229"/>
        <v>1</v>
      </c>
      <c r="AI233" s="798">
        <f t="shared" si="229"/>
        <v>1</v>
      </c>
      <c r="AJ233" s="798">
        <f t="shared" si="229"/>
        <v>1</v>
      </c>
      <c r="AK233" s="798">
        <f t="shared" si="229"/>
        <v>1</v>
      </c>
      <c r="AL233" s="798">
        <f t="shared" si="229"/>
        <v>1</v>
      </c>
      <c r="AM233" s="798">
        <f t="shared" si="229"/>
        <v>1</v>
      </c>
      <c r="AN233" s="798">
        <f t="shared" si="229"/>
        <v>1</v>
      </c>
      <c r="AO233" s="798">
        <f t="shared" si="229"/>
        <v>1</v>
      </c>
      <c r="AP233" s="798">
        <f t="shared" si="229"/>
        <v>1</v>
      </c>
      <c r="AQ233" s="798">
        <f t="shared" si="229"/>
        <v>1</v>
      </c>
      <c r="AR233" s="798">
        <f t="shared" si="229"/>
        <v>1</v>
      </c>
      <c r="AS233" s="798">
        <f t="shared" si="229"/>
        <v>1</v>
      </c>
      <c r="AT233" s="798">
        <f t="shared" si="229"/>
        <v>1</v>
      </c>
      <c r="AU233" s="798">
        <f t="shared" si="229"/>
        <v>1</v>
      </c>
      <c r="AV233" s="798">
        <f t="shared" si="229"/>
        <v>1</v>
      </c>
      <c r="AW233" s="798">
        <f t="shared" si="229"/>
        <v>1</v>
      </c>
      <c r="AX233" s="798">
        <f t="shared" si="229"/>
        <v>1</v>
      </c>
      <c r="AY233" s="798">
        <f t="shared" si="229"/>
        <v>1</v>
      </c>
      <c r="AZ233" s="798">
        <f t="shared" si="229"/>
        <v>1</v>
      </c>
      <c r="BA233" s="798">
        <f t="shared" si="229"/>
        <v>1</v>
      </c>
      <c r="BB233" s="798">
        <f t="shared" si="229"/>
        <v>1</v>
      </c>
      <c r="BC233" s="798">
        <f t="shared" si="229"/>
        <v>1</v>
      </c>
      <c r="BD233" s="798">
        <f t="shared" si="229"/>
        <v>1</v>
      </c>
      <c r="BE233" s="798">
        <f t="shared" si="229"/>
        <v>1</v>
      </c>
      <c r="BF233" s="798">
        <f t="shared" si="229"/>
        <v>1</v>
      </c>
      <c r="BG233" s="798">
        <f t="shared" si="229"/>
        <v>1</v>
      </c>
      <c r="BH233" s="798">
        <f t="shared" si="229"/>
        <v>1</v>
      </c>
      <c r="BI233" s="798">
        <f t="shared" si="229"/>
        <v>1</v>
      </c>
      <c r="BJ233" s="798">
        <f t="shared" si="229"/>
        <v>1</v>
      </c>
      <c r="BK233" s="798">
        <f t="shared" si="229"/>
        <v>1</v>
      </c>
      <c r="BL233" s="765"/>
      <c r="BM233" s="817"/>
      <c r="BN233" s="817"/>
    </row>
    <row r="234" hidden="1">
      <c r="A234" s="765"/>
      <c r="B234" s="765"/>
      <c r="C234" s="765"/>
      <c r="D234" s="765"/>
      <c r="E234" s="765"/>
      <c r="F234" s="765"/>
      <c r="G234" s="765"/>
      <c r="H234" s="765"/>
      <c r="I234" s="765">
        <f t="shared" si="17"/>
        <v>223</v>
      </c>
      <c r="J234" s="763">
        <f t="shared" si="5"/>
        <v>213435870995</v>
      </c>
      <c r="K234" s="796">
        <f t="shared" si="7"/>
        <v>0.34529</v>
      </c>
      <c r="L234" s="796">
        <v>5.0E-4</v>
      </c>
      <c r="M234" s="763">
        <v>2.43370434430021E11</v>
      </c>
      <c r="N234" s="797">
        <f t="shared" si="8"/>
        <v>0</v>
      </c>
      <c r="O234" s="798">
        <f t="shared" ref="O234:BK234" si="230">FLOOR(MIN((((N("value of ELS upgrade")+N$8*($K234-$K233))*(N("Check checkbox")+(IF($G$6=TRUE,$G$7,$G$8))/$G$8))/(N("ROI of ELS and multiply by 2 if ELS is 1:1")+IF($G$12 = True, 2, 1) * $J234))/((N("difference in ELS+ and the cost of it")+(($K233*O$8)-($K233*N$8)) / O$7)),(N("MIN lets it return 0 or 1 after floored")+1)),1)</f>
        <v>0</v>
      </c>
      <c r="P234" s="798">
        <f t="shared" si="230"/>
        <v>0</v>
      </c>
      <c r="Q234" s="798">
        <f t="shared" si="230"/>
        <v>0</v>
      </c>
      <c r="R234" s="798">
        <f t="shared" si="230"/>
        <v>0</v>
      </c>
      <c r="S234" s="798">
        <f t="shared" si="230"/>
        <v>1</v>
      </c>
      <c r="T234" s="798">
        <f t="shared" si="230"/>
        <v>1</v>
      </c>
      <c r="U234" s="798">
        <f t="shared" si="230"/>
        <v>1</v>
      </c>
      <c r="V234" s="798">
        <f t="shared" si="230"/>
        <v>1</v>
      </c>
      <c r="W234" s="798">
        <f t="shared" si="230"/>
        <v>1</v>
      </c>
      <c r="X234" s="798">
        <f t="shared" si="230"/>
        <v>1</v>
      </c>
      <c r="Y234" s="798">
        <f t="shared" si="230"/>
        <v>1</v>
      </c>
      <c r="Z234" s="798">
        <f t="shared" si="230"/>
        <v>1</v>
      </c>
      <c r="AA234" s="798">
        <f t="shared" si="230"/>
        <v>1</v>
      </c>
      <c r="AB234" s="798">
        <f t="shared" si="230"/>
        <v>1</v>
      </c>
      <c r="AC234" s="798">
        <f t="shared" si="230"/>
        <v>1</v>
      </c>
      <c r="AD234" s="798">
        <f t="shared" si="230"/>
        <v>1</v>
      </c>
      <c r="AE234" s="798">
        <f t="shared" si="230"/>
        <v>1</v>
      </c>
      <c r="AF234" s="798">
        <f t="shared" si="230"/>
        <v>1</v>
      </c>
      <c r="AG234" s="798">
        <f t="shared" si="230"/>
        <v>1</v>
      </c>
      <c r="AH234" s="798">
        <f t="shared" si="230"/>
        <v>1</v>
      </c>
      <c r="AI234" s="798">
        <f t="shared" si="230"/>
        <v>1</v>
      </c>
      <c r="AJ234" s="798">
        <f t="shared" si="230"/>
        <v>1</v>
      </c>
      <c r="AK234" s="798">
        <f t="shared" si="230"/>
        <v>1</v>
      </c>
      <c r="AL234" s="798">
        <f t="shared" si="230"/>
        <v>1</v>
      </c>
      <c r="AM234" s="798">
        <f t="shared" si="230"/>
        <v>1</v>
      </c>
      <c r="AN234" s="798">
        <f t="shared" si="230"/>
        <v>1</v>
      </c>
      <c r="AO234" s="798">
        <f t="shared" si="230"/>
        <v>1</v>
      </c>
      <c r="AP234" s="798">
        <f t="shared" si="230"/>
        <v>1</v>
      </c>
      <c r="AQ234" s="798">
        <f t="shared" si="230"/>
        <v>1</v>
      </c>
      <c r="AR234" s="798">
        <f t="shared" si="230"/>
        <v>1</v>
      </c>
      <c r="AS234" s="798">
        <f t="shared" si="230"/>
        <v>1</v>
      </c>
      <c r="AT234" s="798">
        <f t="shared" si="230"/>
        <v>1</v>
      </c>
      <c r="AU234" s="798">
        <f t="shared" si="230"/>
        <v>1</v>
      </c>
      <c r="AV234" s="798">
        <f t="shared" si="230"/>
        <v>1</v>
      </c>
      <c r="AW234" s="798">
        <f t="shared" si="230"/>
        <v>1</v>
      </c>
      <c r="AX234" s="798">
        <f t="shared" si="230"/>
        <v>1</v>
      </c>
      <c r="AY234" s="798">
        <f t="shared" si="230"/>
        <v>1</v>
      </c>
      <c r="AZ234" s="798">
        <f t="shared" si="230"/>
        <v>1</v>
      </c>
      <c r="BA234" s="798">
        <f t="shared" si="230"/>
        <v>1</v>
      </c>
      <c r="BB234" s="798">
        <f t="shared" si="230"/>
        <v>1</v>
      </c>
      <c r="BC234" s="798">
        <f t="shared" si="230"/>
        <v>1</v>
      </c>
      <c r="BD234" s="798">
        <f t="shared" si="230"/>
        <v>1</v>
      </c>
      <c r="BE234" s="798">
        <f t="shared" si="230"/>
        <v>1</v>
      </c>
      <c r="BF234" s="798">
        <f t="shared" si="230"/>
        <v>1</v>
      </c>
      <c r="BG234" s="798">
        <f t="shared" si="230"/>
        <v>1</v>
      </c>
      <c r="BH234" s="798">
        <f t="shared" si="230"/>
        <v>1</v>
      </c>
      <c r="BI234" s="798">
        <f t="shared" si="230"/>
        <v>1</v>
      </c>
      <c r="BJ234" s="798">
        <f t="shared" si="230"/>
        <v>1</v>
      </c>
      <c r="BK234" s="798">
        <f t="shared" si="230"/>
        <v>1</v>
      </c>
      <c r="BL234" s="765"/>
      <c r="BM234" s="817"/>
      <c r="BN234" s="817"/>
    </row>
    <row r="235" hidden="1">
      <c r="A235" s="765"/>
      <c r="B235" s="765"/>
      <c r="C235" s="765"/>
      <c r="D235" s="765"/>
      <c r="E235" s="765"/>
      <c r="F235" s="765"/>
      <c r="G235" s="765"/>
      <c r="H235" s="765"/>
      <c r="I235" s="765">
        <f t="shared" si="17"/>
        <v>224</v>
      </c>
      <c r="J235" s="763">
        <f t="shared" si="5"/>
        <v>214487022947</v>
      </c>
      <c r="K235" s="796">
        <f t="shared" si="7"/>
        <v>0.34579</v>
      </c>
      <c r="L235" s="796">
        <v>5.0E-4</v>
      </c>
      <c r="M235" s="763">
        <v>2.44569011341782E11</v>
      </c>
      <c r="N235" s="797">
        <f t="shared" si="8"/>
        <v>0</v>
      </c>
      <c r="O235" s="798">
        <f t="shared" ref="O235:BK235" si="231">FLOOR(MIN((((N("value of ELS upgrade")+N$8*($K235-$K234))*(N("Check checkbox")+(IF($G$6=TRUE,$G$7,$G$8))/$G$8))/(N("ROI of ELS and multiply by 2 if ELS is 1:1")+IF($G$12 = True, 2, 1) * $J235))/((N("difference in ELS+ and the cost of it")+(($K234*O$8)-($K234*N$8)) / O$7)),(N("MIN lets it return 0 or 1 after floored")+1)),1)</f>
        <v>0</v>
      </c>
      <c r="P235" s="798">
        <f t="shared" si="231"/>
        <v>0</v>
      </c>
      <c r="Q235" s="798">
        <f t="shared" si="231"/>
        <v>0</v>
      </c>
      <c r="R235" s="798">
        <f t="shared" si="231"/>
        <v>0</v>
      </c>
      <c r="S235" s="798">
        <f t="shared" si="231"/>
        <v>1</v>
      </c>
      <c r="T235" s="798">
        <f t="shared" si="231"/>
        <v>1</v>
      </c>
      <c r="U235" s="798">
        <f t="shared" si="231"/>
        <v>1</v>
      </c>
      <c r="V235" s="798">
        <f t="shared" si="231"/>
        <v>1</v>
      </c>
      <c r="W235" s="798">
        <f t="shared" si="231"/>
        <v>1</v>
      </c>
      <c r="X235" s="798">
        <f t="shared" si="231"/>
        <v>1</v>
      </c>
      <c r="Y235" s="798">
        <f t="shared" si="231"/>
        <v>1</v>
      </c>
      <c r="Z235" s="798">
        <f t="shared" si="231"/>
        <v>1</v>
      </c>
      <c r="AA235" s="798">
        <f t="shared" si="231"/>
        <v>1</v>
      </c>
      <c r="AB235" s="798">
        <f t="shared" si="231"/>
        <v>1</v>
      </c>
      <c r="AC235" s="798">
        <f t="shared" si="231"/>
        <v>1</v>
      </c>
      <c r="AD235" s="798">
        <f t="shared" si="231"/>
        <v>1</v>
      </c>
      <c r="AE235" s="798">
        <f t="shared" si="231"/>
        <v>1</v>
      </c>
      <c r="AF235" s="798">
        <f t="shared" si="231"/>
        <v>1</v>
      </c>
      <c r="AG235" s="798">
        <f t="shared" si="231"/>
        <v>1</v>
      </c>
      <c r="AH235" s="798">
        <f t="shared" si="231"/>
        <v>1</v>
      </c>
      <c r="AI235" s="798">
        <f t="shared" si="231"/>
        <v>1</v>
      </c>
      <c r="AJ235" s="798">
        <f t="shared" si="231"/>
        <v>1</v>
      </c>
      <c r="AK235" s="798">
        <f t="shared" si="231"/>
        <v>1</v>
      </c>
      <c r="AL235" s="798">
        <f t="shared" si="231"/>
        <v>1</v>
      </c>
      <c r="AM235" s="798">
        <f t="shared" si="231"/>
        <v>1</v>
      </c>
      <c r="AN235" s="798">
        <f t="shared" si="231"/>
        <v>1</v>
      </c>
      <c r="AO235" s="798">
        <f t="shared" si="231"/>
        <v>1</v>
      </c>
      <c r="AP235" s="798">
        <f t="shared" si="231"/>
        <v>1</v>
      </c>
      <c r="AQ235" s="798">
        <f t="shared" si="231"/>
        <v>1</v>
      </c>
      <c r="AR235" s="798">
        <f t="shared" si="231"/>
        <v>1</v>
      </c>
      <c r="AS235" s="798">
        <f t="shared" si="231"/>
        <v>1</v>
      </c>
      <c r="AT235" s="798">
        <f t="shared" si="231"/>
        <v>1</v>
      </c>
      <c r="AU235" s="798">
        <f t="shared" si="231"/>
        <v>1</v>
      </c>
      <c r="AV235" s="798">
        <f t="shared" si="231"/>
        <v>1</v>
      </c>
      <c r="AW235" s="798">
        <f t="shared" si="231"/>
        <v>1</v>
      </c>
      <c r="AX235" s="798">
        <f t="shared" si="231"/>
        <v>1</v>
      </c>
      <c r="AY235" s="798">
        <f t="shared" si="231"/>
        <v>1</v>
      </c>
      <c r="AZ235" s="798">
        <f t="shared" si="231"/>
        <v>1</v>
      </c>
      <c r="BA235" s="798">
        <f t="shared" si="231"/>
        <v>1</v>
      </c>
      <c r="BB235" s="798">
        <f t="shared" si="231"/>
        <v>1</v>
      </c>
      <c r="BC235" s="798">
        <f t="shared" si="231"/>
        <v>1</v>
      </c>
      <c r="BD235" s="798">
        <f t="shared" si="231"/>
        <v>1</v>
      </c>
      <c r="BE235" s="798">
        <f t="shared" si="231"/>
        <v>1</v>
      </c>
      <c r="BF235" s="798">
        <f t="shared" si="231"/>
        <v>1</v>
      </c>
      <c r="BG235" s="798">
        <f t="shared" si="231"/>
        <v>1</v>
      </c>
      <c r="BH235" s="798">
        <f t="shared" si="231"/>
        <v>1</v>
      </c>
      <c r="BI235" s="798">
        <f t="shared" si="231"/>
        <v>1</v>
      </c>
      <c r="BJ235" s="798">
        <f t="shared" si="231"/>
        <v>1</v>
      </c>
      <c r="BK235" s="798">
        <f t="shared" si="231"/>
        <v>1</v>
      </c>
      <c r="BL235" s="765"/>
      <c r="BM235" s="817"/>
      <c r="BN235" s="817"/>
    </row>
    <row r="236" hidden="1">
      <c r="A236" s="765"/>
      <c r="B236" s="765"/>
      <c r="C236" s="765"/>
      <c r="D236" s="765"/>
      <c r="E236" s="765"/>
      <c r="F236" s="765"/>
      <c r="G236" s="765"/>
      <c r="H236" s="765"/>
      <c r="I236" s="765">
        <f t="shared" si="17"/>
        <v>225</v>
      </c>
      <c r="J236" s="763">
        <f t="shared" si="5"/>
        <v>215540575790</v>
      </c>
      <c r="K236" s="796">
        <f t="shared" si="7"/>
        <v>0.34629</v>
      </c>
      <c r="L236" s="796">
        <v>5.0E-4</v>
      </c>
      <c r="M236" s="763">
        <v>2.45770325872388E11</v>
      </c>
      <c r="N236" s="797">
        <f t="shared" si="8"/>
        <v>0</v>
      </c>
      <c r="O236" s="798">
        <f t="shared" ref="O236:BK236" si="232">FLOOR(MIN((((N("value of ELS upgrade")+N$8*($K236-$K235))*(N("Check checkbox")+(IF($G$6=TRUE,$G$7,$G$8))/$G$8))/(N("ROI of ELS and multiply by 2 if ELS is 1:1")+IF($G$12 = True, 2, 1) * $J236))/((N("difference in ELS+ and the cost of it")+(($K235*O$8)-($K235*N$8)) / O$7)),(N("MIN lets it return 0 or 1 after floored")+1)),1)</f>
        <v>0</v>
      </c>
      <c r="P236" s="798">
        <f t="shared" si="232"/>
        <v>0</v>
      </c>
      <c r="Q236" s="798">
        <f t="shared" si="232"/>
        <v>0</v>
      </c>
      <c r="R236" s="798">
        <f t="shared" si="232"/>
        <v>0</v>
      </c>
      <c r="S236" s="798">
        <f t="shared" si="232"/>
        <v>0</v>
      </c>
      <c r="T236" s="798">
        <f t="shared" si="232"/>
        <v>1</v>
      </c>
      <c r="U236" s="798">
        <f t="shared" si="232"/>
        <v>1</v>
      </c>
      <c r="V236" s="798">
        <f t="shared" si="232"/>
        <v>1</v>
      </c>
      <c r="W236" s="798">
        <f t="shared" si="232"/>
        <v>1</v>
      </c>
      <c r="X236" s="798">
        <f t="shared" si="232"/>
        <v>1</v>
      </c>
      <c r="Y236" s="798">
        <f t="shared" si="232"/>
        <v>1</v>
      </c>
      <c r="Z236" s="798">
        <f t="shared" si="232"/>
        <v>1</v>
      </c>
      <c r="AA236" s="798">
        <f t="shared" si="232"/>
        <v>1</v>
      </c>
      <c r="AB236" s="798">
        <f t="shared" si="232"/>
        <v>1</v>
      </c>
      <c r="AC236" s="798">
        <f t="shared" si="232"/>
        <v>1</v>
      </c>
      <c r="AD236" s="798">
        <f t="shared" si="232"/>
        <v>1</v>
      </c>
      <c r="AE236" s="798">
        <f t="shared" si="232"/>
        <v>1</v>
      </c>
      <c r="AF236" s="798">
        <f t="shared" si="232"/>
        <v>1</v>
      </c>
      <c r="AG236" s="798">
        <f t="shared" si="232"/>
        <v>1</v>
      </c>
      <c r="AH236" s="798">
        <f t="shared" si="232"/>
        <v>1</v>
      </c>
      <c r="AI236" s="798">
        <f t="shared" si="232"/>
        <v>1</v>
      </c>
      <c r="AJ236" s="798">
        <f t="shared" si="232"/>
        <v>1</v>
      </c>
      <c r="AK236" s="798">
        <f t="shared" si="232"/>
        <v>1</v>
      </c>
      <c r="AL236" s="798">
        <f t="shared" si="232"/>
        <v>1</v>
      </c>
      <c r="AM236" s="798">
        <f t="shared" si="232"/>
        <v>1</v>
      </c>
      <c r="AN236" s="798">
        <f t="shared" si="232"/>
        <v>1</v>
      </c>
      <c r="AO236" s="798">
        <f t="shared" si="232"/>
        <v>1</v>
      </c>
      <c r="AP236" s="798">
        <f t="shared" si="232"/>
        <v>1</v>
      </c>
      <c r="AQ236" s="798">
        <f t="shared" si="232"/>
        <v>1</v>
      </c>
      <c r="AR236" s="798">
        <f t="shared" si="232"/>
        <v>1</v>
      </c>
      <c r="AS236" s="798">
        <f t="shared" si="232"/>
        <v>1</v>
      </c>
      <c r="AT236" s="798">
        <f t="shared" si="232"/>
        <v>1</v>
      </c>
      <c r="AU236" s="798">
        <f t="shared" si="232"/>
        <v>1</v>
      </c>
      <c r="AV236" s="798">
        <f t="shared" si="232"/>
        <v>1</v>
      </c>
      <c r="AW236" s="798">
        <f t="shared" si="232"/>
        <v>1</v>
      </c>
      <c r="AX236" s="798">
        <f t="shared" si="232"/>
        <v>1</v>
      </c>
      <c r="AY236" s="798">
        <f t="shared" si="232"/>
        <v>1</v>
      </c>
      <c r="AZ236" s="798">
        <f t="shared" si="232"/>
        <v>1</v>
      </c>
      <c r="BA236" s="798">
        <f t="shared" si="232"/>
        <v>1</v>
      </c>
      <c r="BB236" s="798">
        <f t="shared" si="232"/>
        <v>1</v>
      </c>
      <c r="BC236" s="798">
        <f t="shared" si="232"/>
        <v>1</v>
      </c>
      <c r="BD236" s="798">
        <f t="shared" si="232"/>
        <v>1</v>
      </c>
      <c r="BE236" s="798">
        <f t="shared" si="232"/>
        <v>1</v>
      </c>
      <c r="BF236" s="798">
        <f t="shared" si="232"/>
        <v>1</v>
      </c>
      <c r="BG236" s="798">
        <f t="shared" si="232"/>
        <v>1</v>
      </c>
      <c r="BH236" s="798">
        <f t="shared" si="232"/>
        <v>1</v>
      </c>
      <c r="BI236" s="798">
        <f t="shared" si="232"/>
        <v>1</v>
      </c>
      <c r="BJ236" s="798">
        <f t="shared" si="232"/>
        <v>1</v>
      </c>
      <c r="BK236" s="798">
        <f t="shared" si="232"/>
        <v>1</v>
      </c>
      <c r="BL236" s="765"/>
      <c r="BM236" s="817"/>
      <c r="BN236" s="817"/>
    </row>
    <row r="237" hidden="1">
      <c r="A237" s="765"/>
      <c r="B237" s="765"/>
      <c r="C237" s="765"/>
      <c r="D237" s="765"/>
      <c r="E237" s="765"/>
      <c r="F237" s="765"/>
      <c r="G237" s="765"/>
      <c r="H237" s="765"/>
      <c r="I237" s="765">
        <f t="shared" si="17"/>
        <v>226</v>
      </c>
      <c r="J237" s="763">
        <f t="shared" si="5"/>
        <v>216596544366</v>
      </c>
      <c r="K237" s="796">
        <f t="shared" si="7"/>
        <v>0.34679</v>
      </c>
      <c r="L237" s="796">
        <v>5.0E-4</v>
      </c>
      <c r="M237" s="763">
        <v>2.46974394943932E11</v>
      </c>
      <c r="N237" s="797">
        <f t="shared" si="8"/>
        <v>0</v>
      </c>
      <c r="O237" s="798">
        <f t="shared" ref="O237:BK237" si="233">FLOOR(MIN((((N("value of ELS upgrade")+N$8*($K237-$K236))*(N("Check checkbox")+(IF($G$6=TRUE,$G$7,$G$8))/$G$8))/(N("ROI of ELS and multiply by 2 if ELS is 1:1")+IF($G$12 = True, 2, 1) * $J237))/((N("difference in ELS+ and the cost of it")+(($K236*O$8)-($K236*N$8)) / O$7)),(N("MIN lets it return 0 or 1 after floored")+1)),1)</f>
        <v>0</v>
      </c>
      <c r="P237" s="798">
        <f t="shared" si="233"/>
        <v>0</v>
      </c>
      <c r="Q237" s="798">
        <f t="shared" si="233"/>
        <v>0</v>
      </c>
      <c r="R237" s="798">
        <f t="shared" si="233"/>
        <v>0</v>
      </c>
      <c r="S237" s="798">
        <f t="shared" si="233"/>
        <v>0</v>
      </c>
      <c r="T237" s="798">
        <f t="shared" si="233"/>
        <v>1</v>
      </c>
      <c r="U237" s="798">
        <f t="shared" si="233"/>
        <v>1</v>
      </c>
      <c r="V237" s="798">
        <f t="shared" si="233"/>
        <v>1</v>
      </c>
      <c r="W237" s="798">
        <f t="shared" si="233"/>
        <v>1</v>
      </c>
      <c r="X237" s="798">
        <f t="shared" si="233"/>
        <v>1</v>
      </c>
      <c r="Y237" s="798">
        <f t="shared" si="233"/>
        <v>1</v>
      </c>
      <c r="Z237" s="798">
        <f t="shared" si="233"/>
        <v>1</v>
      </c>
      <c r="AA237" s="798">
        <f t="shared" si="233"/>
        <v>1</v>
      </c>
      <c r="AB237" s="798">
        <f t="shared" si="233"/>
        <v>1</v>
      </c>
      <c r="AC237" s="798">
        <f t="shared" si="233"/>
        <v>1</v>
      </c>
      <c r="AD237" s="798">
        <f t="shared" si="233"/>
        <v>1</v>
      </c>
      <c r="AE237" s="798">
        <f t="shared" si="233"/>
        <v>1</v>
      </c>
      <c r="AF237" s="798">
        <f t="shared" si="233"/>
        <v>1</v>
      </c>
      <c r="AG237" s="798">
        <f t="shared" si="233"/>
        <v>1</v>
      </c>
      <c r="AH237" s="798">
        <f t="shared" si="233"/>
        <v>1</v>
      </c>
      <c r="AI237" s="798">
        <f t="shared" si="233"/>
        <v>1</v>
      </c>
      <c r="AJ237" s="798">
        <f t="shared" si="233"/>
        <v>1</v>
      </c>
      <c r="AK237" s="798">
        <f t="shared" si="233"/>
        <v>1</v>
      </c>
      <c r="AL237" s="798">
        <f t="shared" si="233"/>
        <v>1</v>
      </c>
      <c r="AM237" s="798">
        <f t="shared" si="233"/>
        <v>1</v>
      </c>
      <c r="AN237" s="798">
        <f t="shared" si="233"/>
        <v>1</v>
      </c>
      <c r="AO237" s="798">
        <f t="shared" si="233"/>
        <v>1</v>
      </c>
      <c r="AP237" s="798">
        <f t="shared" si="233"/>
        <v>1</v>
      </c>
      <c r="AQ237" s="798">
        <f t="shared" si="233"/>
        <v>1</v>
      </c>
      <c r="AR237" s="798">
        <f t="shared" si="233"/>
        <v>1</v>
      </c>
      <c r="AS237" s="798">
        <f t="shared" si="233"/>
        <v>1</v>
      </c>
      <c r="AT237" s="798">
        <f t="shared" si="233"/>
        <v>1</v>
      </c>
      <c r="AU237" s="798">
        <f t="shared" si="233"/>
        <v>1</v>
      </c>
      <c r="AV237" s="798">
        <f t="shared" si="233"/>
        <v>1</v>
      </c>
      <c r="AW237" s="798">
        <f t="shared" si="233"/>
        <v>1</v>
      </c>
      <c r="AX237" s="798">
        <f t="shared" si="233"/>
        <v>1</v>
      </c>
      <c r="AY237" s="798">
        <f t="shared" si="233"/>
        <v>1</v>
      </c>
      <c r="AZ237" s="798">
        <f t="shared" si="233"/>
        <v>1</v>
      </c>
      <c r="BA237" s="798">
        <f t="shared" si="233"/>
        <v>1</v>
      </c>
      <c r="BB237" s="798">
        <f t="shared" si="233"/>
        <v>1</v>
      </c>
      <c r="BC237" s="798">
        <f t="shared" si="233"/>
        <v>1</v>
      </c>
      <c r="BD237" s="798">
        <f t="shared" si="233"/>
        <v>1</v>
      </c>
      <c r="BE237" s="798">
        <f t="shared" si="233"/>
        <v>1</v>
      </c>
      <c r="BF237" s="798">
        <f t="shared" si="233"/>
        <v>1</v>
      </c>
      <c r="BG237" s="798">
        <f t="shared" si="233"/>
        <v>1</v>
      </c>
      <c r="BH237" s="798">
        <f t="shared" si="233"/>
        <v>1</v>
      </c>
      <c r="BI237" s="798">
        <f t="shared" si="233"/>
        <v>1</v>
      </c>
      <c r="BJ237" s="798">
        <f t="shared" si="233"/>
        <v>1</v>
      </c>
      <c r="BK237" s="798">
        <f t="shared" si="233"/>
        <v>1</v>
      </c>
      <c r="BL237" s="765"/>
      <c r="BM237" s="817"/>
      <c r="BN237" s="817"/>
    </row>
    <row r="238" hidden="1">
      <c r="A238" s="765"/>
      <c r="B238" s="765"/>
      <c r="C238" s="765"/>
      <c r="D238" s="765"/>
      <c r="E238" s="765"/>
      <c r="F238" s="765"/>
      <c r="G238" s="765"/>
      <c r="H238" s="765"/>
      <c r="I238" s="765">
        <f t="shared" si="17"/>
        <v>227</v>
      </c>
      <c r="J238" s="763">
        <f t="shared" si="5"/>
        <v>217654941866</v>
      </c>
      <c r="K238" s="796">
        <f t="shared" si="7"/>
        <v>0.34729</v>
      </c>
      <c r="L238" s="796">
        <v>5.0E-4</v>
      </c>
      <c r="M238" s="763">
        <v>2.48181233598277E11</v>
      </c>
      <c r="N238" s="797">
        <f t="shared" si="8"/>
        <v>0</v>
      </c>
      <c r="O238" s="798">
        <f t="shared" ref="O238:BK238" si="234">FLOOR(MIN((((N("value of ELS upgrade")+N$8*($K238-$K237))*(N("Check checkbox")+(IF($G$6=TRUE,$G$7,$G$8))/$G$8))/(N("ROI of ELS and multiply by 2 if ELS is 1:1")+IF($G$12 = True, 2, 1) * $J238))/((N("difference in ELS+ and the cost of it")+(($K237*O$8)-($K237*N$8)) / O$7)),(N("MIN lets it return 0 or 1 after floored")+1)),1)</f>
        <v>0</v>
      </c>
      <c r="P238" s="798">
        <f t="shared" si="234"/>
        <v>0</v>
      </c>
      <c r="Q238" s="798">
        <f t="shared" si="234"/>
        <v>0</v>
      </c>
      <c r="R238" s="798">
        <f t="shared" si="234"/>
        <v>0</v>
      </c>
      <c r="S238" s="798">
        <f t="shared" si="234"/>
        <v>0</v>
      </c>
      <c r="T238" s="798">
        <f t="shared" si="234"/>
        <v>1</v>
      </c>
      <c r="U238" s="798">
        <f t="shared" si="234"/>
        <v>1</v>
      </c>
      <c r="V238" s="798">
        <f t="shared" si="234"/>
        <v>1</v>
      </c>
      <c r="W238" s="798">
        <f t="shared" si="234"/>
        <v>1</v>
      </c>
      <c r="X238" s="798">
        <f t="shared" si="234"/>
        <v>1</v>
      </c>
      <c r="Y238" s="798">
        <f t="shared" si="234"/>
        <v>1</v>
      </c>
      <c r="Z238" s="798">
        <f t="shared" si="234"/>
        <v>1</v>
      </c>
      <c r="AA238" s="798">
        <f t="shared" si="234"/>
        <v>1</v>
      </c>
      <c r="AB238" s="798">
        <f t="shared" si="234"/>
        <v>1</v>
      </c>
      <c r="AC238" s="798">
        <f t="shared" si="234"/>
        <v>1</v>
      </c>
      <c r="AD238" s="798">
        <f t="shared" si="234"/>
        <v>1</v>
      </c>
      <c r="AE238" s="798">
        <f t="shared" si="234"/>
        <v>1</v>
      </c>
      <c r="AF238" s="798">
        <f t="shared" si="234"/>
        <v>1</v>
      </c>
      <c r="AG238" s="798">
        <f t="shared" si="234"/>
        <v>1</v>
      </c>
      <c r="AH238" s="798">
        <f t="shared" si="234"/>
        <v>1</v>
      </c>
      <c r="AI238" s="798">
        <f t="shared" si="234"/>
        <v>1</v>
      </c>
      <c r="AJ238" s="798">
        <f t="shared" si="234"/>
        <v>1</v>
      </c>
      <c r="AK238" s="798">
        <f t="shared" si="234"/>
        <v>1</v>
      </c>
      <c r="AL238" s="798">
        <f t="shared" si="234"/>
        <v>1</v>
      </c>
      <c r="AM238" s="798">
        <f t="shared" si="234"/>
        <v>1</v>
      </c>
      <c r="AN238" s="798">
        <f t="shared" si="234"/>
        <v>1</v>
      </c>
      <c r="AO238" s="798">
        <f t="shared" si="234"/>
        <v>1</v>
      </c>
      <c r="AP238" s="798">
        <f t="shared" si="234"/>
        <v>1</v>
      </c>
      <c r="AQ238" s="798">
        <f t="shared" si="234"/>
        <v>1</v>
      </c>
      <c r="AR238" s="798">
        <f t="shared" si="234"/>
        <v>1</v>
      </c>
      <c r="AS238" s="798">
        <f t="shared" si="234"/>
        <v>1</v>
      </c>
      <c r="AT238" s="798">
        <f t="shared" si="234"/>
        <v>1</v>
      </c>
      <c r="AU238" s="798">
        <f t="shared" si="234"/>
        <v>1</v>
      </c>
      <c r="AV238" s="798">
        <f t="shared" si="234"/>
        <v>1</v>
      </c>
      <c r="AW238" s="798">
        <f t="shared" si="234"/>
        <v>1</v>
      </c>
      <c r="AX238" s="798">
        <f t="shared" si="234"/>
        <v>1</v>
      </c>
      <c r="AY238" s="798">
        <f t="shared" si="234"/>
        <v>1</v>
      </c>
      <c r="AZ238" s="798">
        <f t="shared" si="234"/>
        <v>1</v>
      </c>
      <c r="BA238" s="798">
        <f t="shared" si="234"/>
        <v>1</v>
      </c>
      <c r="BB238" s="798">
        <f t="shared" si="234"/>
        <v>1</v>
      </c>
      <c r="BC238" s="798">
        <f t="shared" si="234"/>
        <v>1</v>
      </c>
      <c r="BD238" s="798">
        <f t="shared" si="234"/>
        <v>1</v>
      </c>
      <c r="BE238" s="798">
        <f t="shared" si="234"/>
        <v>1</v>
      </c>
      <c r="BF238" s="798">
        <f t="shared" si="234"/>
        <v>1</v>
      </c>
      <c r="BG238" s="798">
        <f t="shared" si="234"/>
        <v>1</v>
      </c>
      <c r="BH238" s="798">
        <f t="shared" si="234"/>
        <v>1</v>
      </c>
      <c r="BI238" s="798">
        <f t="shared" si="234"/>
        <v>1</v>
      </c>
      <c r="BJ238" s="798">
        <f t="shared" si="234"/>
        <v>1</v>
      </c>
      <c r="BK238" s="798">
        <f t="shared" si="234"/>
        <v>1</v>
      </c>
      <c r="BL238" s="765"/>
      <c r="BM238" s="817"/>
      <c r="BN238" s="817"/>
    </row>
    <row r="239" hidden="1">
      <c r="A239" s="765"/>
      <c r="B239" s="765"/>
      <c r="C239" s="765"/>
      <c r="D239" s="765"/>
      <c r="E239" s="765"/>
      <c r="F239" s="765"/>
      <c r="G239" s="765"/>
      <c r="H239" s="765"/>
      <c r="I239" s="765">
        <f t="shared" si="17"/>
        <v>228</v>
      </c>
      <c r="J239" s="763">
        <f t="shared" si="5"/>
        <v>218715786428</v>
      </c>
      <c r="K239" s="796">
        <f t="shared" si="7"/>
        <v>0.34779</v>
      </c>
      <c r="L239" s="796">
        <v>5.0E-4</v>
      </c>
      <c r="M239" s="763">
        <v>2.49390862517981E11</v>
      </c>
      <c r="N239" s="797">
        <f t="shared" si="8"/>
        <v>0</v>
      </c>
      <c r="O239" s="798">
        <f t="shared" ref="O239:BK239" si="235">FLOOR(MIN((((N("value of ELS upgrade")+N$8*($K239-$K238))*(N("Check checkbox")+(IF($G$6=TRUE,$G$7,$G$8))/$G$8))/(N("ROI of ELS and multiply by 2 if ELS is 1:1")+IF($G$12 = True, 2, 1) * $J239))/((N("difference in ELS+ and the cost of it")+(($K238*O$8)-($K238*N$8)) / O$7)),(N("MIN lets it return 0 or 1 after floored")+1)),1)</f>
        <v>0</v>
      </c>
      <c r="P239" s="798">
        <f t="shared" si="235"/>
        <v>0</v>
      </c>
      <c r="Q239" s="798">
        <f t="shared" si="235"/>
        <v>0</v>
      </c>
      <c r="R239" s="798">
        <f t="shared" si="235"/>
        <v>0</v>
      </c>
      <c r="S239" s="798">
        <f t="shared" si="235"/>
        <v>0</v>
      </c>
      <c r="T239" s="798">
        <f t="shared" si="235"/>
        <v>1</v>
      </c>
      <c r="U239" s="798">
        <f t="shared" si="235"/>
        <v>1</v>
      </c>
      <c r="V239" s="798">
        <f t="shared" si="235"/>
        <v>1</v>
      </c>
      <c r="W239" s="798">
        <f t="shared" si="235"/>
        <v>1</v>
      </c>
      <c r="X239" s="798">
        <f t="shared" si="235"/>
        <v>1</v>
      </c>
      <c r="Y239" s="798">
        <f t="shared" si="235"/>
        <v>1</v>
      </c>
      <c r="Z239" s="798">
        <f t="shared" si="235"/>
        <v>1</v>
      </c>
      <c r="AA239" s="798">
        <f t="shared" si="235"/>
        <v>1</v>
      </c>
      <c r="AB239" s="798">
        <f t="shared" si="235"/>
        <v>1</v>
      </c>
      <c r="AC239" s="798">
        <f t="shared" si="235"/>
        <v>1</v>
      </c>
      <c r="AD239" s="798">
        <f t="shared" si="235"/>
        <v>1</v>
      </c>
      <c r="AE239" s="798">
        <f t="shared" si="235"/>
        <v>1</v>
      </c>
      <c r="AF239" s="798">
        <f t="shared" si="235"/>
        <v>1</v>
      </c>
      <c r="AG239" s="798">
        <f t="shared" si="235"/>
        <v>1</v>
      </c>
      <c r="AH239" s="798">
        <f t="shared" si="235"/>
        <v>1</v>
      </c>
      <c r="AI239" s="798">
        <f t="shared" si="235"/>
        <v>1</v>
      </c>
      <c r="AJ239" s="798">
        <f t="shared" si="235"/>
        <v>1</v>
      </c>
      <c r="AK239" s="798">
        <f t="shared" si="235"/>
        <v>1</v>
      </c>
      <c r="AL239" s="798">
        <f t="shared" si="235"/>
        <v>1</v>
      </c>
      <c r="AM239" s="798">
        <f t="shared" si="235"/>
        <v>1</v>
      </c>
      <c r="AN239" s="798">
        <f t="shared" si="235"/>
        <v>1</v>
      </c>
      <c r="AO239" s="798">
        <f t="shared" si="235"/>
        <v>1</v>
      </c>
      <c r="AP239" s="798">
        <f t="shared" si="235"/>
        <v>1</v>
      </c>
      <c r="AQ239" s="798">
        <f t="shared" si="235"/>
        <v>1</v>
      </c>
      <c r="AR239" s="798">
        <f t="shared" si="235"/>
        <v>1</v>
      </c>
      <c r="AS239" s="798">
        <f t="shared" si="235"/>
        <v>1</v>
      </c>
      <c r="AT239" s="798">
        <f t="shared" si="235"/>
        <v>1</v>
      </c>
      <c r="AU239" s="798">
        <f t="shared" si="235"/>
        <v>1</v>
      </c>
      <c r="AV239" s="798">
        <f t="shared" si="235"/>
        <v>1</v>
      </c>
      <c r="AW239" s="798">
        <f t="shared" si="235"/>
        <v>1</v>
      </c>
      <c r="AX239" s="798">
        <f t="shared" si="235"/>
        <v>1</v>
      </c>
      <c r="AY239" s="798">
        <f t="shared" si="235"/>
        <v>1</v>
      </c>
      <c r="AZ239" s="798">
        <f t="shared" si="235"/>
        <v>1</v>
      </c>
      <c r="BA239" s="798">
        <f t="shared" si="235"/>
        <v>1</v>
      </c>
      <c r="BB239" s="798">
        <f t="shared" si="235"/>
        <v>1</v>
      </c>
      <c r="BC239" s="798">
        <f t="shared" si="235"/>
        <v>1</v>
      </c>
      <c r="BD239" s="798">
        <f t="shared" si="235"/>
        <v>1</v>
      </c>
      <c r="BE239" s="798">
        <f t="shared" si="235"/>
        <v>1</v>
      </c>
      <c r="BF239" s="798">
        <f t="shared" si="235"/>
        <v>1</v>
      </c>
      <c r="BG239" s="798">
        <f t="shared" si="235"/>
        <v>1</v>
      </c>
      <c r="BH239" s="798">
        <f t="shared" si="235"/>
        <v>1</v>
      </c>
      <c r="BI239" s="798">
        <f t="shared" si="235"/>
        <v>1</v>
      </c>
      <c r="BJ239" s="798">
        <f t="shared" si="235"/>
        <v>1</v>
      </c>
      <c r="BK239" s="798">
        <f t="shared" si="235"/>
        <v>1</v>
      </c>
      <c r="BL239" s="765"/>
      <c r="BM239" s="817"/>
      <c r="BN239" s="817"/>
    </row>
    <row r="240" hidden="1">
      <c r="A240" s="765"/>
      <c r="B240" s="765"/>
      <c r="C240" s="765"/>
      <c r="D240" s="765"/>
      <c r="E240" s="765"/>
      <c r="F240" s="765"/>
      <c r="G240" s="765"/>
      <c r="H240" s="765"/>
      <c r="I240" s="765">
        <f t="shared" si="17"/>
        <v>229</v>
      </c>
      <c r="J240" s="763">
        <f t="shared" si="5"/>
        <v>219779089596</v>
      </c>
      <c r="K240" s="796">
        <f t="shared" si="7"/>
        <v>0.34829</v>
      </c>
      <c r="L240" s="796">
        <v>5.0E-4</v>
      </c>
      <c r="M240" s="763">
        <v>2.50603294864675E11</v>
      </c>
      <c r="N240" s="797">
        <f t="shared" si="8"/>
        <v>0</v>
      </c>
      <c r="O240" s="798">
        <f t="shared" ref="O240:BK240" si="236">FLOOR(MIN((((N("value of ELS upgrade")+N$8*($K240-$K239))*(N("Check checkbox")+(IF($G$6=TRUE,$G$7,$G$8))/$G$8))/(N("ROI of ELS and multiply by 2 if ELS is 1:1")+IF($G$12 = True, 2, 1) * $J240))/((N("difference in ELS+ and the cost of it")+(($K239*O$8)-($K239*N$8)) / O$7)),(N("MIN lets it return 0 or 1 after floored")+1)),1)</f>
        <v>0</v>
      </c>
      <c r="P240" s="798">
        <f t="shared" si="236"/>
        <v>0</v>
      </c>
      <c r="Q240" s="798">
        <f t="shared" si="236"/>
        <v>0</v>
      </c>
      <c r="R240" s="798">
        <f t="shared" si="236"/>
        <v>0</v>
      </c>
      <c r="S240" s="798">
        <f t="shared" si="236"/>
        <v>0</v>
      </c>
      <c r="T240" s="798">
        <f t="shared" si="236"/>
        <v>1</v>
      </c>
      <c r="U240" s="798">
        <f t="shared" si="236"/>
        <v>1</v>
      </c>
      <c r="V240" s="798">
        <f t="shared" si="236"/>
        <v>1</v>
      </c>
      <c r="W240" s="798">
        <f t="shared" si="236"/>
        <v>1</v>
      </c>
      <c r="X240" s="798">
        <f t="shared" si="236"/>
        <v>1</v>
      </c>
      <c r="Y240" s="798">
        <f t="shared" si="236"/>
        <v>1</v>
      </c>
      <c r="Z240" s="798">
        <f t="shared" si="236"/>
        <v>1</v>
      </c>
      <c r="AA240" s="798">
        <f t="shared" si="236"/>
        <v>1</v>
      </c>
      <c r="AB240" s="798">
        <f t="shared" si="236"/>
        <v>1</v>
      </c>
      <c r="AC240" s="798">
        <f t="shared" si="236"/>
        <v>1</v>
      </c>
      <c r="AD240" s="798">
        <f t="shared" si="236"/>
        <v>1</v>
      </c>
      <c r="AE240" s="798">
        <f t="shared" si="236"/>
        <v>1</v>
      </c>
      <c r="AF240" s="798">
        <f t="shared" si="236"/>
        <v>1</v>
      </c>
      <c r="AG240" s="798">
        <f t="shared" si="236"/>
        <v>1</v>
      </c>
      <c r="AH240" s="798">
        <f t="shared" si="236"/>
        <v>1</v>
      </c>
      <c r="AI240" s="798">
        <f t="shared" si="236"/>
        <v>1</v>
      </c>
      <c r="AJ240" s="798">
        <f t="shared" si="236"/>
        <v>1</v>
      </c>
      <c r="AK240" s="798">
        <f t="shared" si="236"/>
        <v>1</v>
      </c>
      <c r="AL240" s="798">
        <f t="shared" si="236"/>
        <v>1</v>
      </c>
      <c r="AM240" s="798">
        <f t="shared" si="236"/>
        <v>1</v>
      </c>
      <c r="AN240" s="798">
        <f t="shared" si="236"/>
        <v>1</v>
      </c>
      <c r="AO240" s="798">
        <f t="shared" si="236"/>
        <v>1</v>
      </c>
      <c r="AP240" s="798">
        <f t="shared" si="236"/>
        <v>1</v>
      </c>
      <c r="AQ240" s="798">
        <f t="shared" si="236"/>
        <v>1</v>
      </c>
      <c r="AR240" s="798">
        <f t="shared" si="236"/>
        <v>1</v>
      </c>
      <c r="AS240" s="798">
        <f t="shared" si="236"/>
        <v>1</v>
      </c>
      <c r="AT240" s="798">
        <f t="shared" si="236"/>
        <v>1</v>
      </c>
      <c r="AU240" s="798">
        <f t="shared" si="236"/>
        <v>1</v>
      </c>
      <c r="AV240" s="798">
        <f t="shared" si="236"/>
        <v>1</v>
      </c>
      <c r="AW240" s="798">
        <f t="shared" si="236"/>
        <v>1</v>
      </c>
      <c r="AX240" s="798">
        <f t="shared" si="236"/>
        <v>1</v>
      </c>
      <c r="AY240" s="798">
        <f t="shared" si="236"/>
        <v>1</v>
      </c>
      <c r="AZ240" s="798">
        <f t="shared" si="236"/>
        <v>1</v>
      </c>
      <c r="BA240" s="798">
        <f t="shared" si="236"/>
        <v>1</v>
      </c>
      <c r="BB240" s="798">
        <f t="shared" si="236"/>
        <v>1</v>
      </c>
      <c r="BC240" s="798">
        <f t="shared" si="236"/>
        <v>1</v>
      </c>
      <c r="BD240" s="798">
        <f t="shared" si="236"/>
        <v>1</v>
      </c>
      <c r="BE240" s="798">
        <f t="shared" si="236"/>
        <v>1</v>
      </c>
      <c r="BF240" s="798">
        <f t="shared" si="236"/>
        <v>1</v>
      </c>
      <c r="BG240" s="798">
        <f t="shared" si="236"/>
        <v>1</v>
      </c>
      <c r="BH240" s="798">
        <f t="shared" si="236"/>
        <v>1</v>
      </c>
      <c r="BI240" s="798">
        <f t="shared" si="236"/>
        <v>1</v>
      </c>
      <c r="BJ240" s="798">
        <f t="shared" si="236"/>
        <v>1</v>
      </c>
      <c r="BK240" s="798">
        <f t="shared" si="236"/>
        <v>1</v>
      </c>
      <c r="BL240" s="765"/>
      <c r="BM240" s="817"/>
      <c r="BN240" s="817"/>
    </row>
    <row r="241" hidden="1">
      <c r="A241" s="765"/>
      <c r="B241" s="765"/>
      <c r="C241" s="765"/>
      <c r="D241" s="765"/>
      <c r="E241" s="765"/>
      <c r="F241" s="765"/>
      <c r="G241" s="765"/>
      <c r="H241" s="765"/>
      <c r="I241" s="765">
        <f t="shared" si="17"/>
        <v>230</v>
      </c>
      <c r="J241" s="763">
        <f t="shared" si="5"/>
        <v>220844867859</v>
      </c>
      <c r="K241" s="796">
        <f t="shared" si="7"/>
        <v>0.34879</v>
      </c>
      <c r="L241" s="796">
        <v>5.0E-4</v>
      </c>
      <c r="M241" s="763">
        <v>2.51818549440686E11</v>
      </c>
      <c r="N241" s="797">
        <f t="shared" si="8"/>
        <v>0</v>
      </c>
      <c r="O241" s="798">
        <f t="shared" ref="O241:BK241" si="237">FLOOR(MIN((((N("value of ELS upgrade")+N$8*($K241-$K240))*(N("Check checkbox")+(IF($G$6=TRUE,$G$7,$G$8))/$G$8))/(N("ROI of ELS and multiply by 2 if ELS is 1:1")+IF($G$12 = True, 2, 1) * $J241))/((N("difference in ELS+ and the cost of it")+(($K240*O$8)-($K240*N$8)) / O$7)),(N("MIN lets it return 0 or 1 after floored")+1)),1)</f>
        <v>0</v>
      </c>
      <c r="P241" s="798">
        <f t="shared" si="237"/>
        <v>0</v>
      </c>
      <c r="Q241" s="798">
        <f t="shared" si="237"/>
        <v>0</v>
      </c>
      <c r="R241" s="798">
        <f t="shared" si="237"/>
        <v>0</v>
      </c>
      <c r="S241" s="798">
        <f t="shared" si="237"/>
        <v>0</v>
      </c>
      <c r="T241" s="798">
        <f t="shared" si="237"/>
        <v>1</v>
      </c>
      <c r="U241" s="798">
        <f t="shared" si="237"/>
        <v>1</v>
      </c>
      <c r="V241" s="798">
        <f t="shared" si="237"/>
        <v>1</v>
      </c>
      <c r="W241" s="798">
        <f t="shared" si="237"/>
        <v>1</v>
      </c>
      <c r="X241" s="798">
        <f t="shared" si="237"/>
        <v>1</v>
      </c>
      <c r="Y241" s="798">
        <f t="shared" si="237"/>
        <v>1</v>
      </c>
      <c r="Z241" s="798">
        <f t="shared" si="237"/>
        <v>1</v>
      </c>
      <c r="AA241" s="798">
        <f t="shared" si="237"/>
        <v>1</v>
      </c>
      <c r="AB241" s="798">
        <f t="shared" si="237"/>
        <v>1</v>
      </c>
      <c r="AC241" s="798">
        <f t="shared" si="237"/>
        <v>1</v>
      </c>
      <c r="AD241" s="798">
        <f t="shared" si="237"/>
        <v>1</v>
      </c>
      <c r="AE241" s="798">
        <f t="shared" si="237"/>
        <v>1</v>
      </c>
      <c r="AF241" s="798">
        <f t="shared" si="237"/>
        <v>1</v>
      </c>
      <c r="AG241" s="798">
        <f t="shared" si="237"/>
        <v>1</v>
      </c>
      <c r="AH241" s="798">
        <f t="shared" si="237"/>
        <v>1</v>
      </c>
      <c r="AI241" s="798">
        <f t="shared" si="237"/>
        <v>1</v>
      </c>
      <c r="AJ241" s="798">
        <f t="shared" si="237"/>
        <v>1</v>
      </c>
      <c r="AK241" s="798">
        <f t="shared" si="237"/>
        <v>1</v>
      </c>
      <c r="AL241" s="798">
        <f t="shared" si="237"/>
        <v>1</v>
      </c>
      <c r="AM241" s="798">
        <f t="shared" si="237"/>
        <v>1</v>
      </c>
      <c r="AN241" s="798">
        <f t="shared" si="237"/>
        <v>1</v>
      </c>
      <c r="AO241" s="798">
        <f t="shared" si="237"/>
        <v>1</v>
      </c>
      <c r="AP241" s="798">
        <f t="shared" si="237"/>
        <v>1</v>
      </c>
      <c r="AQ241" s="798">
        <f t="shared" si="237"/>
        <v>1</v>
      </c>
      <c r="AR241" s="798">
        <f t="shared" si="237"/>
        <v>1</v>
      </c>
      <c r="AS241" s="798">
        <f t="shared" si="237"/>
        <v>1</v>
      </c>
      <c r="AT241" s="798">
        <f t="shared" si="237"/>
        <v>1</v>
      </c>
      <c r="AU241" s="798">
        <f t="shared" si="237"/>
        <v>1</v>
      </c>
      <c r="AV241" s="798">
        <f t="shared" si="237"/>
        <v>1</v>
      </c>
      <c r="AW241" s="798">
        <f t="shared" si="237"/>
        <v>1</v>
      </c>
      <c r="AX241" s="798">
        <f t="shared" si="237"/>
        <v>1</v>
      </c>
      <c r="AY241" s="798">
        <f t="shared" si="237"/>
        <v>1</v>
      </c>
      <c r="AZ241" s="798">
        <f t="shared" si="237"/>
        <v>1</v>
      </c>
      <c r="BA241" s="798">
        <f t="shared" si="237"/>
        <v>1</v>
      </c>
      <c r="BB241" s="798">
        <f t="shared" si="237"/>
        <v>1</v>
      </c>
      <c r="BC241" s="798">
        <f t="shared" si="237"/>
        <v>1</v>
      </c>
      <c r="BD241" s="798">
        <f t="shared" si="237"/>
        <v>1</v>
      </c>
      <c r="BE241" s="798">
        <f t="shared" si="237"/>
        <v>1</v>
      </c>
      <c r="BF241" s="798">
        <f t="shared" si="237"/>
        <v>1</v>
      </c>
      <c r="BG241" s="798">
        <f t="shared" si="237"/>
        <v>1</v>
      </c>
      <c r="BH241" s="798">
        <f t="shared" si="237"/>
        <v>1</v>
      </c>
      <c r="BI241" s="798">
        <f t="shared" si="237"/>
        <v>1</v>
      </c>
      <c r="BJ241" s="798">
        <f t="shared" si="237"/>
        <v>1</v>
      </c>
      <c r="BK241" s="798">
        <f t="shared" si="237"/>
        <v>1</v>
      </c>
      <c r="BL241" s="765"/>
      <c r="BM241" s="817"/>
      <c r="BN241" s="817"/>
    </row>
    <row r="242" hidden="1">
      <c r="A242" s="765"/>
      <c r="B242" s="765"/>
      <c r="C242" s="765"/>
      <c r="D242" s="765"/>
      <c r="E242" s="765"/>
      <c r="F242" s="765"/>
      <c r="G242" s="765"/>
      <c r="H242" s="765"/>
      <c r="I242" s="765">
        <f t="shared" si="17"/>
        <v>231</v>
      </c>
      <c r="J242" s="763">
        <f t="shared" si="5"/>
        <v>221913134409</v>
      </c>
      <c r="K242" s="796">
        <f t="shared" si="7"/>
        <v>0.34929</v>
      </c>
      <c r="L242" s="796">
        <v>5.0E-4</v>
      </c>
      <c r="M242" s="763">
        <v>2.53036641287874E11</v>
      </c>
      <c r="N242" s="797">
        <f t="shared" si="8"/>
        <v>0</v>
      </c>
      <c r="O242" s="798">
        <f t="shared" ref="O242:BK242" si="238">FLOOR(MIN((((N("value of ELS upgrade")+N$8*($K242-$K241))*(N("Check checkbox")+(IF($G$6=TRUE,$G$7,$G$8))/$G$8))/(N("ROI of ELS and multiply by 2 if ELS is 1:1")+IF($G$12 = True, 2, 1) * $J242))/((N("difference in ELS+ and the cost of it")+(($K241*O$8)-($K241*N$8)) / O$7)),(N("MIN lets it return 0 or 1 after floored")+1)),1)</f>
        <v>0</v>
      </c>
      <c r="P242" s="798">
        <f t="shared" si="238"/>
        <v>0</v>
      </c>
      <c r="Q242" s="798">
        <f t="shared" si="238"/>
        <v>0</v>
      </c>
      <c r="R242" s="798">
        <f t="shared" si="238"/>
        <v>0</v>
      </c>
      <c r="S242" s="798">
        <f t="shared" si="238"/>
        <v>0</v>
      </c>
      <c r="T242" s="798">
        <f t="shared" si="238"/>
        <v>1</v>
      </c>
      <c r="U242" s="798">
        <f t="shared" si="238"/>
        <v>1</v>
      </c>
      <c r="V242" s="798">
        <f t="shared" si="238"/>
        <v>1</v>
      </c>
      <c r="W242" s="798">
        <f t="shared" si="238"/>
        <v>1</v>
      </c>
      <c r="X242" s="798">
        <f t="shared" si="238"/>
        <v>1</v>
      </c>
      <c r="Y242" s="798">
        <f t="shared" si="238"/>
        <v>1</v>
      </c>
      <c r="Z242" s="798">
        <f t="shared" si="238"/>
        <v>1</v>
      </c>
      <c r="AA242" s="798">
        <f t="shared" si="238"/>
        <v>1</v>
      </c>
      <c r="AB242" s="798">
        <f t="shared" si="238"/>
        <v>1</v>
      </c>
      <c r="AC242" s="798">
        <f t="shared" si="238"/>
        <v>1</v>
      </c>
      <c r="AD242" s="798">
        <f t="shared" si="238"/>
        <v>1</v>
      </c>
      <c r="AE242" s="798">
        <f t="shared" si="238"/>
        <v>1</v>
      </c>
      <c r="AF242" s="798">
        <f t="shared" si="238"/>
        <v>1</v>
      </c>
      <c r="AG242" s="798">
        <f t="shared" si="238"/>
        <v>1</v>
      </c>
      <c r="AH242" s="798">
        <f t="shared" si="238"/>
        <v>1</v>
      </c>
      <c r="AI242" s="798">
        <f t="shared" si="238"/>
        <v>1</v>
      </c>
      <c r="AJ242" s="798">
        <f t="shared" si="238"/>
        <v>1</v>
      </c>
      <c r="AK242" s="798">
        <f t="shared" si="238"/>
        <v>1</v>
      </c>
      <c r="AL242" s="798">
        <f t="shared" si="238"/>
        <v>1</v>
      </c>
      <c r="AM242" s="798">
        <f t="shared" si="238"/>
        <v>1</v>
      </c>
      <c r="AN242" s="798">
        <f t="shared" si="238"/>
        <v>1</v>
      </c>
      <c r="AO242" s="798">
        <f t="shared" si="238"/>
        <v>1</v>
      </c>
      <c r="AP242" s="798">
        <f t="shared" si="238"/>
        <v>1</v>
      </c>
      <c r="AQ242" s="798">
        <f t="shared" si="238"/>
        <v>1</v>
      </c>
      <c r="AR242" s="798">
        <f t="shared" si="238"/>
        <v>1</v>
      </c>
      <c r="AS242" s="798">
        <f t="shared" si="238"/>
        <v>1</v>
      </c>
      <c r="AT242" s="798">
        <f t="shared" si="238"/>
        <v>1</v>
      </c>
      <c r="AU242" s="798">
        <f t="shared" si="238"/>
        <v>1</v>
      </c>
      <c r="AV242" s="798">
        <f t="shared" si="238"/>
        <v>1</v>
      </c>
      <c r="AW242" s="798">
        <f t="shared" si="238"/>
        <v>1</v>
      </c>
      <c r="AX242" s="798">
        <f t="shared" si="238"/>
        <v>1</v>
      </c>
      <c r="AY242" s="798">
        <f t="shared" si="238"/>
        <v>1</v>
      </c>
      <c r="AZ242" s="798">
        <f t="shared" si="238"/>
        <v>1</v>
      </c>
      <c r="BA242" s="798">
        <f t="shared" si="238"/>
        <v>1</v>
      </c>
      <c r="BB242" s="798">
        <f t="shared" si="238"/>
        <v>1</v>
      </c>
      <c r="BC242" s="798">
        <f t="shared" si="238"/>
        <v>1</v>
      </c>
      <c r="BD242" s="798">
        <f t="shared" si="238"/>
        <v>1</v>
      </c>
      <c r="BE242" s="798">
        <f t="shared" si="238"/>
        <v>1</v>
      </c>
      <c r="BF242" s="798">
        <f t="shared" si="238"/>
        <v>1</v>
      </c>
      <c r="BG242" s="798">
        <f t="shared" si="238"/>
        <v>1</v>
      </c>
      <c r="BH242" s="798">
        <f t="shared" si="238"/>
        <v>1</v>
      </c>
      <c r="BI242" s="798">
        <f t="shared" si="238"/>
        <v>1</v>
      </c>
      <c r="BJ242" s="798">
        <f t="shared" si="238"/>
        <v>1</v>
      </c>
      <c r="BK242" s="798">
        <f t="shared" si="238"/>
        <v>1</v>
      </c>
      <c r="BL242" s="765"/>
      <c r="BM242" s="817"/>
      <c r="BN242" s="817"/>
    </row>
    <row r="243" hidden="1">
      <c r="A243" s="765"/>
      <c r="B243" s="765"/>
      <c r="C243" s="765"/>
      <c r="D243" s="765"/>
      <c r="E243" s="765"/>
      <c r="F243" s="765"/>
      <c r="G243" s="765"/>
      <c r="H243" s="765"/>
      <c r="I243" s="765">
        <f t="shared" si="17"/>
        <v>232</v>
      </c>
      <c r="J243" s="763">
        <f t="shared" si="5"/>
        <v>222983904087</v>
      </c>
      <c r="K243" s="796">
        <f t="shared" si="7"/>
        <v>0.34979</v>
      </c>
      <c r="L243" s="796">
        <v>5.0E-4</v>
      </c>
      <c r="M243" s="763">
        <v>2.54257587328336E11</v>
      </c>
      <c r="N243" s="797">
        <f t="shared" si="8"/>
        <v>0</v>
      </c>
      <c r="O243" s="798">
        <f t="shared" ref="O243:BK243" si="239">FLOOR(MIN((((N("value of ELS upgrade")+N$8*($K243-$K242))*(N("Check checkbox")+(IF($G$6=TRUE,$G$7,$G$8))/$G$8))/(N("ROI of ELS and multiply by 2 if ELS is 1:1")+IF($G$12 = True, 2, 1) * $J243))/((N("difference in ELS+ and the cost of it")+(($K242*O$8)-($K242*N$8)) / O$7)),(N("MIN lets it return 0 or 1 after floored")+1)),1)</f>
        <v>0</v>
      </c>
      <c r="P243" s="798">
        <f t="shared" si="239"/>
        <v>0</v>
      </c>
      <c r="Q243" s="798">
        <f t="shared" si="239"/>
        <v>0</v>
      </c>
      <c r="R243" s="798">
        <f t="shared" si="239"/>
        <v>0</v>
      </c>
      <c r="S243" s="798">
        <f t="shared" si="239"/>
        <v>0</v>
      </c>
      <c r="T243" s="798">
        <f t="shared" si="239"/>
        <v>1</v>
      </c>
      <c r="U243" s="798">
        <f t="shared" si="239"/>
        <v>1</v>
      </c>
      <c r="V243" s="798">
        <f t="shared" si="239"/>
        <v>1</v>
      </c>
      <c r="W243" s="798">
        <f t="shared" si="239"/>
        <v>1</v>
      </c>
      <c r="X243" s="798">
        <f t="shared" si="239"/>
        <v>1</v>
      </c>
      <c r="Y243" s="798">
        <f t="shared" si="239"/>
        <v>1</v>
      </c>
      <c r="Z243" s="798">
        <f t="shared" si="239"/>
        <v>1</v>
      </c>
      <c r="AA243" s="798">
        <f t="shared" si="239"/>
        <v>1</v>
      </c>
      <c r="AB243" s="798">
        <f t="shared" si="239"/>
        <v>1</v>
      </c>
      <c r="AC243" s="798">
        <f t="shared" si="239"/>
        <v>1</v>
      </c>
      <c r="AD243" s="798">
        <f t="shared" si="239"/>
        <v>1</v>
      </c>
      <c r="AE243" s="798">
        <f t="shared" si="239"/>
        <v>1</v>
      </c>
      <c r="AF243" s="798">
        <f t="shared" si="239"/>
        <v>1</v>
      </c>
      <c r="AG243" s="798">
        <f t="shared" si="239"/>
        <v>1</v>
      </c>
      <c r="AH243" s="798">
        <f t="shared" si="239"/>
        <v>1</v>
      </c>
      <c r="AI243" s="798">
        <f t="shared" si="239"/>
        <v>1</v>
      </c>
      <c r="AJ243" s="798">
        <f t="shared" si="239"/>
        <v>1</v>
      </c>
      <c r="AK243" s="798">
        <f t="shared" si="239"/>
        <v>1</v>
      </c>
      <c r="AL243" s="798">
        <f t="shared" si="239"/>
        <v>1</v>
      </c>
      <c r="AM243" s="798">
        <f t="shared" si="239"/>
        <v>1</v>
      </c>
      <c r="AN243" s="798">
        <f t="shared" si="239"/>
        <v>1</v>
      </c>
      <c r="AO243" s="798">
        <f t="shared" si="239"/>
        <v>1</v>
      </c>
      <c r="AP243" s="798">
        <f t="shared" si="239"/>
        <v>1</v>
      </c>
      <c r="AQ243" s="798">
        <f t="shared" si="239"/>
        <v>1</v>
      </c>
      <c r="AR243" s="798">
        <f t="shared" si="239"/>
        <v>1</v>
      </c>
      <c r="AS243" s="798">
        <f t="shared" si="239"/>
        <v>1</v>
      </c>
      <c r="AT243" s="798">
        <f t="shared" si="239"/>
        <v>1</v>
      </c>
      <c r="AU243" s="798">
        <f t="shared" si="239"/>
        <v>1</v>
      </c>
      <c r="AV243" s="798">
        <f t="shared" si="239"/>
        <v>1</v>
      </c>
      <c r="AW243" s="798">
        <f t="shared" si="239"/>
        <v>1</v>
      </c>
      <c r="AX243" s="798">
        <f t="shared" si="239"/>
        <v>1</v>
      </c>
      <c r="AY243" s="798">
        <f t="shared" si="239"/>
        <v>1</v>
      </c>
      <c r="AZ243" s="798">
        <f t="shared" si="239"/>
        <v>1</v>
      </c>
      <c r="BA243" s="798">
        <f t="shared" si="239"/>
        <v>1</v>
      </c>
      <c r="BB243" s="798">
        <f t="shared" si="239"/>
        <v>1</v>
      </c>
      <c r="BC243" s="798">
        <f t="shared" si="239"/>
        <v>1</v>
      </c>
      <c r="BD243" s="798">
        <f t="shared" si="239"/>
        <v>1</v>
      </c>
      <c r="BE243" s="798">
        <f t="shared" si="239"/>
        <v>1</v>
      </c>
      <c r="BF243" s="798">
        <f t="shared" si="239"/>
        <v>1</v>
      </c>
      <c r="BG243" s="798">
        <f t="shared" si="239"/>
        <v>1</v>
      </c>
      <c r="BH243" s="798">
        <f t="shared" si="239"/>
        <v>1</v>
      </c>
      <c r="BI243" s="798">
        <f t="shared" si="239"/>
        <v>1</v>
      </c>
      <c r="BJ243" s="798">
        <f t="shared" si="239"/>
        <v>1</v>
      </c>
      <c r="BK243" s="798">
        <f t="shared" si="239"/>
        <v>1</v>
      </c>
      <c r="BL243" s="765"/>
      <c r="BM243" s="817"/>
      <c r="BN243" s="817"/>
    </row>
    <row r="244" hidden="1">
      <c r="A244" s="765"/>
      <c r="B244" s="765"/>
      <c r="C244" s="765"/>
      <c r="D244" s="765"/>
      <c r="E244" s="765"/>
      <c r="F244" s="765"/>
      <c r="G244" s="765"/>
      <c r="H244" s="765"/>
      <c r="I244" s="765">
        <f t="shared" si="17"/>
        <v>233</v>
      </c>
      <c r="J244" s="763">
        <f t="shared" si="5"/>
        <v>224057193382</v>
      </c>
      <c r="K244" s="796">
        <f t="shared" si="7"/>
        <v>0.35029</v>
      </c>
      <c r="L244" s="796">
        <v>5.0E-4</v>
      </c>
      <c r="M244" s="763">
        <v>2.55481406364397E11</v>
      </c>
      <c r="N244" s="797">
        <f t="shared" si="8"/>
        <v>0</v>
      </c>
      <c r="O244" s="798">
        <f t="shared" ref="O244:BK244" si="240">FLOOR(MIN((((N("value of ELS upgrade")+N$8*($K244-$K243))*(N("Check checkbox")+(IF($G$6=TRUE,$G$7,$G$8))/$G$8))/(N("ROI of ELS and multiply by 2 if ELS is 1:1")+IF($G$12 = True, 2, 1) * $J244))/((N("difference in ELS+ and the cost of it")+(($K243*O$8)-($K243*N$8)) / O$7)),(N("MIN lets it return 0 or 1 after floored")+1)),1)</f>
        <v>0</v>
      </c>
      <c r="P244" s="798">
        <f t="shared" si="240"/>
        <v>0</v>
      </c>
      <c r="Q244" s="798">
        <f t="shared" si="240"/>
        <v>0</v>
      </c>
      <c r="R244" s="798">
        <f t="shared" si="240"/>
        <v>0</v>
      </c>
      <c r="S244" s="798">
        <f t="shared" si="240"/>
        <v>0</v>
      </c>
      <c r="T244" s="798">
        <f t="shared" si="240"/>
        <v>1</v>
      </c>
      <c r="U244" s="798">
        <f t="shared" si="240"/>
        <v>1</v>
      </c>
      <c r="V244" s="798">
        <f t="shared" si="240"/>
        <v>1</v>
      </c>
      <c r="W244" s="798">
        <f t="shared" si="240"/>
        <v>1</v>
      </c>
      <c r="X244" s="798">
        <f t="shared" si="240"/>
        <v>1</v>
      </c>
      <c r="Y244" s="798">
        <f t="shared" si="240"/>
        <v>1</v>
      </c>
      <c r="Z244" s="798">
        <f t="shared" si="240"/>
        <v>1</v>
      </c>
      <c r="AA244" s="798">
        <f t="shared" si="240"/>
        <v>1</v>
      </c>
      <c r="AB244" s="798">
        <f t="shared" si="240"/>
        <v>1</v>
      </c>
      <c r="AC244" s="798">
        <f t="shared" si="240"/>
        <v>1</v>
      </c>
      <c r="AD244" s="798">
        <f t="shared" si="240"/>
        <v>1</v>
      </c>
      <c r="AE244" s="798">
        <f t="shared" si="240"/>
        <v>1</v>
      </c>
      <c r="AF244" s="798">
        <f t="shared" si="240"/>
        <v>1</v>
      </c>
      <c r="AG244" s="798">
        <f t="shared" si="240"/>
        <v>1</v>
      </c>
      <c r="AH244" s="798">
        <f t="shared" si="240"/>
        <v>1</v>
      </c>
      <c r="AI244" s="798">
        <f t="shared" si="240"/>
        <v>1</v>
      </c>
      <c r="AJ244" s="798">
        <f t="shared" si="240"/>
        <v>1</v>
      </c>
      <c r="AK244" s="798">
        <f t="shared" si="240"/>
        <v>1</v>
      </c>
      <c r="AL244" s="798">
        <f t="shared" si="240"/>
        <v>1</v>
      </c>
      <c r="AM244" s="798">
        <f t="shared" si="240"/>
        <v>1</v>
      </c>
      <c r="AN244" s="798">
        <f t="shared" si="240"/>
        <v>1</v>
      </c>
      <c r="AO244" s="798">
        <f t="shared" si="240"/>
        <v>1</v>
      </c>
      <c r="AP244" s="798">
        <f t="shared" si="240"/>
        <v>1</v>
      </c>
      <c r="AQ244" s="798">
        <f t="shared" si="240"/>
        <v>1</v>
      </c>
      <c r="AR244" s="798">
        <f t="shared" si="240"/>
        <v>1</v>
      </c>
      <c r="AS244" s="798">
        <f t="shared" si="240"/>
        <v>1</v>
      </c>
      <c r="AT244" s="798">
        <f t="shared" si="240"/>
        <v>1</v>
      </c>
      <c r="AU244" s="798">
        <f t="shared" si="240"/>
        <v>1</v>
      </c>
      <c r="AV244" s="798">
        <f t="shared" si="240"/>
        <v>1</v>
      </c>
      <c r="AW244" s="798">
        <f t="shared" si="240"/>
        <v>1</v>
      </c>
      <c r="AX244" s="798">
        <f t="shared" si="240"/>
        <v>1</v>
      </c>
      <c r="AY244" s="798">
        <f t="shared" si="240"/>
        <v>1</v>
      </c>
      <c r="AZ244" s="798">
        <f t="shared" si="240"/>
        <v>1</v>
      </c>
      <c r="BA244" s="798">
        <f t="shared" si="240"/>
        <v>1</v>
      </c>
      <c r="BB244" s="798">
        <f t="shared" si="240"/>
        <v>1</v>
      </c>
      <c r="BC244" s="798">
        <f t="shared" si="240"/>
        <v>1</v>
      </c>
      <c r="BD244" s="798">
        <f t="shared" si="240"/>
        <v>1</v>
      </c>
      <c r="BE244" s="798">
        <f t="shared" si="240"/>
        <v>1</v>
      </c>
      <c r="BF244" s="798">
        <f t="shared" si="240"/>
        <v>1</v>
      </c>
      <c r="BG244" s="798">
        <f t="shared" si="240"/>
        <v>1</v>
      </c>
      <c r="BH244" s="798">
        <f t="shared" si="240"/>
        <v>1</v>
      </c>
      <c r="BI244" s="798">
        <f t="shared" si="240"/>
        <v>1</v>
      </c>
      <c r="BJ244" s="798">
        <f t="shared" si="240"/>
        <v>1</v>
      </c>
      <c r="BK244" s="798">
        <f t="shared" si="240"/>
        <v>1</v>
      </c>
      <c r="BL244" s="765"/>
      <c r="BM244" s="817"/>
      <c r="BN244" s="817"/>
    </row>
    <row r="245" hidden="1">
      <c r="A245" s="765"/>
      <c r="B245" s="765"/>
      <c r="C245" s="765"/>
      <c r="D245" s="765"/>
      <c r="E245" s="765"/>
      <c r="F245" s="765"/>
      <c r="G245" s="765"/>
      <c r="H245" s="765"/>
      <c r="I245" s="765">
        <f t="shared" si="17"/>
        <v>234</v>
      </c>
      <c r="J245" s="763">
        <f t="shared" si="5"/>
        <v>225133013836</v>
      </c>
      <c r="K245" s="796">
        <f t="shared" si="7"/>
        <v>0.35079</v>
      </c>
      <c r="L245" s="796">
        <v>5.0E-4</v>
      </c>
      <c r="M245" s="763">
        <v>2.56708111557688E11</v>
      </c>
      <c r="N245" s="797">
        <f t="shared" si="8"/>
        <v>0</v>
      </c>
      <c r="O245" s="798">
        <f t="shared" ref="O245:BK245" si="241">FLOOR(MIN((((N("value of ELS upgrade")+N$8*($K245-$K244))*(N("Check checkbox")+(IF($G$6=TRUE,$G$7,$G$8))/$G$8))/(N("ROI of ELS and multiply by 2 if ELS is 1:1")+IF($G$12 = True, 2, 1) * $J245))/((N("difference in ELS+ and the cost of it")+(($K244*O$8)-($K244*N$8)) / O$7)),(N("MIN lets it return 0 or 1 after floored")+1)),1)</f>
        <v>0</v>
      </c>
      <c r="P245" s="798">
        <f t="shared" si="241"/>
        <v>0</v>
      </c>
      <c r="Q245" s="798">
        <f t="shared" si="241"/>
        <v>0</v>
      </c>
      <c r="R245" s="798">
        <f t="shared" si="241"/>
        <v>0</v>
      </c>
      <c r="S245" s="798">
        <f t="shared" si="241"/>
        <v>0</v>
      </c>
      <c r="T245" s="798">
        <f t="shared" si="241"/>
        <v>1</v>
      </c>
      <c r="U245" s="798">
        <f t="shared" si="241"/>
        <v>1</v>
      </c>
      <c r="V245" s="798">
        <f t="shared" si="241"/>
        <v>1</v>
      </c>
      <c r="W245" s="798">
        <f t="shared" si="241"/>
        <v>1</v>
      </c>
      <c r="X245" s="798">
        <f t="shared" si="241"/>
        <v>1</v>
      </c>
      <c r="Y245" s="798">
        <f t="shared" si="241"/>
        <v>1</v>
      </c>
      <c r="Z245" s="798">
        <f t="shared" si="241"/>
        <v>1</v>
      </c>
      <c r="AA245" s="798">
        <f t="shared" si="241"/>
        <v>1</v>
      </c>
      <c r="AB245" s="798">
        <f t="shared" si="241"/>
        <v>1</v>
      </c>
      <c r="AC245" s="798">
        <f t="shared" si="241"/>
        <v>1</v>
      </c>
      <c r="AD245" s="798">
        <f t="shared" si="241"/>
        <v>1</v>
      </c>
      <c r="AE245" s="798">
        <f t="shared" si="241"/>
        <v>1</v>
      </c>
      <c r="AF245" s="798">
        <f t="shared" si="241"/>
        <v>1</v>
      </c>
      <c r="AG245" s="798">
        <f t="shared" si="241"/>
        <v>1</v>
      </c>
      <c r="AH245" s="798">
        <f t="shared" si="241"/>
        <v>1</v>
      </c>
      <c r="AI245" s="798">
        <f t="shared" si="241"/>
        <v>1</v>
      </c>
      <c r="AJ245" s="798">
        <f t="shared" si="241"/>
        <v>1</v>
      </c>
      <c r="AK245" s="798">
        <f t="shared" si="241"/>
        <v>1</v>
      </c>
      <c r="AL245" s="798">
        <f t="shared" si="241"/>
        <v>1</v>
      </c>
      <c r="AM245" s="798">
        <f t="shared" si="241"/>
        <v>1</v>
      </c>
      <c r="AN245" s="798">
        <f t="shared" si="241"/>
        <v>1</v>
      </c>
      <c r="AO245" s="798">
        <f t="shared" si="241"/>
        <v>1</v>
      </c>
      <c r="AP245" s="798">
        <f t="shared" si="241"/>
        <v>1</v>
      </c>
      <c r="AQ245" s="798">
        <f t="shared" si="241"/>
        <v>1</v>
      </c>
      <c r="AR245" s="798">
        <f t="shared" si="241"/>
        <v>1</v>
      </c>
      <c r="AS245" s="798">
        <f t="shared" si="241"/>
        <v>1</v>
      </c>
      <c r="AT245" s="798">
        <f t="shared" si="241"/>
        <v>1</v>
      </c>
      <c r="AU245" s="798">
        <f t="shared" si="241"/>
        <v>1</v>
      </c>
      <c r="AV245" s="798">
        <f t="shared" si="241"/>
        <v>1</v>
      </c>
      <c r="AW245" s="798">
        <f t="shared" si="241"/>
        <v>1</v>
      </c>
      <c r="AX245" s="798">
        <f t="shared" si="241"/>
        <v>1</v>
      </c>
      <c r="AY245" s="798">
        <f t="shared" si="241"/>
        <v>1</v>
      </c>
      <c r="AZ245" s="798">
        <f t="shared" si="241"/>
        <v>1</v>
      </c>
      <c r="BA245" s="798">
        <f t="shared" si="241"/>
        <v>1</v>
      </c>
      <c r="BB245" s="798">
        <f t="shared" si="241"/>
        <v>1</v>
      </c>
      <c r="BC245" s="798">
        <f t="shared" si="241"/>
        <v>1</v>
      </c>
      <c r="BD245" s="798">
        <f t="shared" si="241"/>
        <v>1</v>
      </c>
      <c r="BE245" s="798">
        <f t="shared" si="241"/>
        <v>1</v>
      </c>
      <c r="BF245" s="798">
        <f t="shared" si="241"/>
        <v>1</v>
      </c>
      <c r="BG245" s="798">
        <f t="shared" si="241"/>
        <v>1</v>
      </c>
      <c r="BH245" s="798">
        <f t="shared" si="241"/>
        <v>1</v>
      </c>
      <c r="BI245" s="798">
        <f t="shared" si="241"/>
        <v>1</v>
      </c>
      <c r="BJ245" s="798">
        <f t="shared" si="241"/>
        <v>1</v>
      </c>
      <c r="BK245" s="798">
        <f t="shared" si="241"/>
        <v>1</v>
      </c>
      <c r="BL245" s="765"/>
      <c r="BM245" s="817"/>
      <c r="BN245" s="817"/>
    </row>
    <row r="246" hidden="1">
      <c r="A246" s="765"/>
      <c r="B246" s="765"/>
      <c r="C246" s="765"/>
      <c r="D246" s="765"/>
      <c r="E246" s="765"/>
      <c r="F246" s="765"/>
      <c r="G246" s="765"/>
      <c r="H246" s="765"/>
      <c r="I246" s="765">
        <f t="shared" si="17"/>
        <v>235</v>
      </c>
      <c r="J246" s="763">
        <f t="shared" si="5"/>
        <v>226211383589</v>
      </c>
      <c r="K246" s="796">
        <f t="shared" si="7"/>
        <v>0.35129</v>
      </c>
      <c r="L246" s="796">
        <v>5.0E-4</v>
      </c>
      <c r="M246" s="763">
        <v>2.57937723590767E11</v>
      </c>
      <c r="N246" s="797">
        <f t="shared" si="8"/>
        <v>0</v>
      </c>
      <c r="O246" s="798">
        <f t="shared" ref="O246:BK246" si="242">FLOOR(MIN((((N("value of ELS upgrade")+N$8*($K246-$K245))*(N("Check checkbox")+(IF($G$6=TRUE,$G$7,$G$8))/$G$8))/(N("ROI of ELS and multiply by 2 if ELS is 1:1")+IF($G$12 = True, 2, 1) * $J246))/((N("difference in ELS+ and the cost of it")+(($K245*O$8)-($K245*N$8)) / O$7)),(N("MIN lets it return 0 or 1 after floored")+1)),1)</f>
        <v>0</v>
      </c>
      <c r="P246" s="798">
        <f t="shared" si="242"/>
        <v>0</v>
      </c>
      <c r="Q246" s="798">
        <f t="shared" si="242"/>
        <v>0</v>
      </c>
      <c r="R246" s="798">
        <f t="shared" si="242"/>
        <v>0</v>
      </c>
      <c r="S246" s="798">
        <f t="shared" si="242"/>
        <v>0</v>
      </c>
      <c r="T246" s="798">
        <f t="shared" si="242"/>
        <v>1</v>
      </c>
      <c r="U246" s="798">
        <f t="shared" si="242"/>
        <v>1</v>
      </c>
      <c r="V246" s="798">
        <f t="shared" si="242"/>
        <v>1</v>
      </c>
      <c r="W246" s="798">
        <f t="shared" si="242"/>
        <v>1</v>
      </c>
      <c r="X246" s="798">
        <f t="shared" si="242"/>
        <v>1</v>
      </c>
      <c r="Y246" s="798">
        <f t="shared" si="242"/>
        <v>1</v>
      </c>
      <c r="Z246" s="798">
        <f t="shared" si="242"/>
        <v>1</v>
      </c>
      <c r="AA246" s="798">
        <f t="shared" si="242"/>
        <v>1</v>
      </c>
      <c r="AB246" s="798">
        <f t="shared" si="242"/>
        <v>1</v>
      </c>
      <c r="AC246" s="798">
        <f t="shared" si="242"/>
        <v>1</v>
      </c>
      <c r="AD246" s="798">
        <f t="shared" si="242"/>
        <v>1</v>
      </c>
      <c r="AE246" s="798">
        <f t="shared" si="242"/>
        <v>1</v>
      </c>
      <c r="AF246" s="798">
        <f t="shared" si="242"/>
        <v>1</v>
      </c>
      <c r="AG246" s="798">
        <f t="shared" si="242"/>
        <v>1</v>
      </c>
      <c r="AH246" s="798">
        <f t="shared" si="242"/>
        <v>1</v>
      </c>
      <c r="AI246" s="798">
        <f t="shared" si="242"/>
        <v>1</v>
      </c>
      <c r="AJ246" s="798">
        <f t="shared" si="242"/>
        <v>1</v>
      </c>
      <c r="AK246" s="798">
        <f t="shared" si="242"/>
        <v>1</v>
      </c>
      <c r="AL246" s="798">
        <f t="shared" si="242"/>
        <v>1</v>
      </c>
      <c r="AM246" s="798">
        <f t="shared" si="242"/>
        <v>1</v>
      </c>
      <c r="AN246" s="798">
        <f t="shared" si="242"/>
        <v>1</v>
      </c>
      <c r="AO246" s="798">
        <f t="shared" si="242"/>
        <v>1</v>
      </c>
      <c r="AP246" s="798">
        <f t="shared" si="242"/>
        <v>1</v>
      </c>
      <c r="AQ246" s="798">
        <f t="shared" si="242"/>
        <v>1</v>
      </c>
      <c r="AR246" s="798">
        <f t="shared" si="242"/>
        <v>1</v>
      </c>
      <c r="AS246" s="798">
        <f t="shared" si="242"/>
        <v>1</v>
      </c>
      <c r="AT246" s="798">
        <f t="shared" si="242"/>
        <v>1</v>
      </c>
      <c r="AU246" s="798">
        <f t="shared" si="242"/>
        <v>1</v>
      </c>
      <c r="AV246" s="798">
        <f t="shared" si="242"/>
        <v>1</v>
      </c>
      <c r="AW246" s="798">
        <f t="shared" si="242"/>
        <v>1</v>
      </c>
      <c r="AX246" s="798">
        <f t="shared" si="242"/>
        <v>1</v>
      </c>
      <c r="AY246" s="798">
        <f t="shared" si="242"/>
        <v>1</v>
      </c>
      <c r="AZ246" s="798">
        <f t="shared" si="242"/>
        <v>1</v>
      </c>
      <c r="BA246" s="798">
        <f t="shared" si="242"/>
        <v>1</v>
      </c>
      <c r="BB246" s="798">
        <f t="shared" si="242"/>
        <v>1</v>
      </c>
      <c r="BC246" s="798">
        <f t="shared" si="242"/>
        <v>1</v>
      </c>
      <c r="BD246" s="798">
        <f t="shared" si="242"/>
        <v>1</v>
      </c>
      <c r="BE246" s="798">
        <f t="shared" si="242"/>
        <v>1</v>
      </c>
      <c r="BF246" s="798">
        <f t="shared" si="242"/>
        <v>1</v>
      </c>
      <c r="BG246" s="798">
        <f t="shared" si="242"/>
        <v>1</v>
      </c>
      <c r="BH246" s="798">
        <f t="shared" si="242"/>
        <v>1</v>
      </c>
      <c r="BI246" s="798">
        <f t="shared" si="242"/>
        <v>1</v>
      </c>
      <c r="BJ246" s="798">
        <f t="shared" si="242"/>
        <v>1</v>
      </c>
      <c r="BK246" s="798">
        <f t="shared" si="242"/>
        <v>1</v>
      </c>
      <c r="BL246" s="765"/>
      <c r="BM246" s="817"/>
      <c r="BN246" s="817"/>
    </row>
    <row r="247" hidden="1">
      <c r="A247" s="765"/>
      <c r="B247" s="765"/>
      <c r="C247" s="765"/>
      <c r="D247" s="765"/>
      <c r="E247" s="765"/>
      <c r="F247" s="765"/>
      <c r="G247" s="765"/>
      <c r="H247" s="765"/>
      <c r="I247" s="765">
        <f t="shared" si="17"/>
        <v>236</v>
      </c>
      <c r="J247" s="763">
        <f t="shared" si="5"/>
        <v>227292315832</v>
      </c>
      <c r="K247" s="796">
        <f t="shared" si="7"/>
        <v>0.35179</v>
      </c>
      <c r="L247" s="796">
        <v>5.0E-4</v>
      </c>
      <c r="M247" s="763">
        <v>2.59170257505498E11</v>
      </c>
      <c r="N247" s="797">
        <f t="shared" si="8"/>
        <v>0</v>
      </c>
      <c r="O247" s="798">
        <f t="shared" ref="O247:BK247" si="243">FLOOR(MIN((((N("value of ELS upgrade")+N$8*($K247-$K246))*(N("Check checkbox")+(IF($G$6=TRUE,$G$7,$G$8))/$G$8))/(N("ROI of ELS and multiply by 2 if ELS is 1:1")+IF($G$12 = True, 2, 1) * $J247))/((N("difference in ELS+ and the cost of it")+(($K246*O$8)-($K246*N$8)) / O$7)),(N("MIN lets it return 0 or 1 after floored")+1)),1)</f>
        <v>0</v>
      </c>
      <c r="P247" s="798">
        <f t="shared" si="243"/>
        <v>0</v>
      </c>
      <c r="Q247" s="798">
        <f t="shared" si="243"/>
        <v>0</v>
      </c>
      <c r="R247" s="798">
        <f t="shared" si="243"/>
        <v>0</v>
      </c>
      <c r="S247" s="798">
        <f t="shared" si="243"/>
        <v>0</v>
      </c>
      <c r="T247" s="798">
        <f t="shared" si="243"/>
        <v>1</v>
      </c>
      <c r="U247" s="798">
        <f t="shared" si="243"/>
        <v>1</v>
      </c>
      <c r="V247" s="798">
        <f t="shared" si="243"/>
        <v>1</v>
      </c>
      <c r="W247" s="798">
        <f t="shared" si="243"/>
        <v>1</v>
      </c>
      <c r="X247" s="798">
        <f t="shared" si="243"/>
        <v>1</v>
      </c>
      <c r="Y247" s="798">
        <f t="shared" si="243"/>
        <v>1</v>
      </c>
      <c r="Z247" s="798">
        <f t="shared" si="243"/>
        <v>1</v>
      </c>
      <c r="AA247" s="798">
        <f t="shared" si="243"/>
        <v>1</v>
      </c>
      <c r="AB247" s="798">
        <f t="shared" si="243"/>
        <v>1</v>
      </c>
      <c r="AC247" s="798">
        <f t="shared" si="243"/>
        <v>1</v>
      </c>
      <c r="AD247" s="798">
        <f t="shared" si="243"/>
        <v>1</v>
      </c>
      <c r="AE247" s="798">
        <f t="shared" si="243"/>
        <v>1</v>
      </c>
      <c r="AF247" s="798">
        <f t="shared" si="243"/>
        <v>1</v>
      </c>
      <c r="AG247" s="798">
        <f t="shared" si="243"/>
        <v>1</v>
      </c>
      <c r="AH247" s="798">
        <f t="shared" si="243"/>
        <v>1</v>
      </c>
      <c r="AI247" s="798">
        <f t="shared" si="243"/>
        <v>1</v>
      </c>
      <c r="AJ247" s="798">
        <f t="shared" si="243"/>
        <v>1</v>
      </c>
      <c r="AK247" s="798">
        <f t="shared" si="243"/>
        <v>1</v>
      </c>
      <c r="AL247" s="798">
        <f t="shared" si="243"/>
        <v>1</v>
      </c>
      <c r="AM247" s="798">
        <f t="shared" si="243"/>
        <v>1</v>
      </c>
      <c r="AN247" s="798">
        <f t="shared" si="243"/>
        <v>1</v>
      </c>
      <c r="AO247" s="798">
        <f t="shared" si="243"/>
        <v>1</v>
      </c>
      <c r="AP247" s="798">
        <f t="shared" si="243"/>
        <v>1</v>
      </c>
      <c r="AQ247" s="798">
        <f t="shared" si="243"/>
        <v>1</v>
      </c>
      <c r="AR247" s="798">
        <f t="shared" si="243"/>
        <v>1</v>
      </c>
      <c r="AS247" s="798">
        <f t="shared" si="243"/>
        <v>1</v>
      </c>
      <c r="AT247" s="798">
        <f t="shared" si="243"/>
        <v>1</v>
      </c>
      <c r="AU247" s="798">
        <f t="shared" si="243"/>
        <v>1</v>
      </c>
      <c r="AV247" s="798">
        <f t="shared" si="243"/>
        <v>1</v>
      </c>
      <c r="AW247" s="798">
        <f t="shared" si="243"/>
        <v>1</v>
      </c>
      <c r="AX247" s="798">
        <f t="shared" si="243"/>
        <v>1</v>
      </c>
      <c r="AY247" s="798">
        <f t="shared" si="243"/>
        <v>1</v>
      </c>
      <c r="AZ247" s="798">
        <f t="shared" si="243"/>
        <v>1</v>
      </c>
      <c r="BA247" s="798">
        <f t="shared" si="243"/>
        <v>1</v>
      </c>
      <c r="BB247" s="798">
        <f t="shared" si="243"/>
        <v>1</v>
      </c>
      <c r="BC247" s="798">
        <f t="shared" si="243"/>
        <v>1</v>
      </c>
      <c r="BD247" s="798">
        <f t="shared" si="243"/>
        <v>1</v>
      </c>
      <c r="BE247" s="798">
        <f t="shared" si="243"/>
        <v>1</v>
      </c>
      <c r="BF247" s="798">
        <f t="shared" si="243"/>
        <v>1</v>
      </c>
      <c r="BG247" s="798">
        <f t="shared" si="243"/>
        <v>1</v>
      </c>
      <c r="BH247" s="798">
        <f t="shared" si="243"/>
        <v>1</v>
      </c>
      <c r="BI247" s="798">
        <f t="shared" si="243"/>
        <v>1</v>
      </c>
      <c r="BJ247" s="798">
        <f t="shared" si="243"/>
        <v>1</v>
      </c>
      <c r="BK247" s="798">
        <f t="shared" si="243"/>
        <v>1</v>
      </c>
      <c r="BL247" s="765"/>
      <c r="BM247" s="817"/>
      <c r="BN247" s="817"/>
    </row>
    <row r="248" hidden="1">
      <c r="A248" s="765"/>
      <c r="B248" s="765"/>
      <c r="C248" s="765"/>
      <c r="D248" s="765"/>
      <c r="E248" s="765"/>
      <c r="F248" s="765"/>
      <c r="G248" s="765"/>
      <c r="H248" s="765"/>
      <c r="I248" s="765">
        <f t="shared" si="17"/>
        <v>237</v>
      </c>
      <c r="J248" s="763">
        <f t="shared" si="5"/>
        <v>228375825406</v>
      </c>
      <c r="K248" s="796">
        <f t="shared" si="7"/>
        <v>0.35229</v>
      </c>
      <c r="L248" s="796">
        <v>5.0E-4</v>
      </c>
      <c r="M248" s="763">
        <v>2.60405730223974E11</v>
      </c>
      <c r="N248" s="797">
        <f t="shared" si="8"/>
        <v>0</v>
      </c>
      <c r="O248" s="798">
        <f t="shared" ref="O248:BK248" si="244">FLOOR(MIN((((N("value of ELS upgrade")+N$8*($K248-$K247))*(N("Check checkbox")+(IF($G$6=TRUE,$G$7,$G$8))/$G$8))/(N("ROI of ELS and multiply by 2 if ELS is 1:1")+IF($G$12 = True, 2, 1) * $J248))/((N("difference in ELS+ and the cost of it")+(($K247*O$8)-($K247*N$8)) / O$7)),(N("MIN lets it return 0 or 1 after floored")+1)),1)</f>
        <v>0</v>
      </c>
      <c r="P248" s="798">
        <f t="shared" si="244"/>
        <v>0</v>
      </c>
      <c r="Q248" s="798">
        <f t="shared" si="244"/>
        <v>0</v>
      </c>
      <c r="R248" s="798">
        <f t="shared" si="244"/>
        <v>0</v>
      </c>
      <c r="S248" s="798">
        <f t="shared" si="244"/>
        <v>0</v>
      </c>
      <c r="T248" s="798">
        <f t="shared" si="244"/>
        <v>1</v>
      </c>
      <c r="U248" s="798">
        <f t="shared" si="244"/>
        <v>1</v>
      </c>
      <c r="V248" s="798">
        <f t="shared" si="244"/>
        <v>1</v>
      </c>
      <c r="W248" s="798">
        <f t="shared" si="244"/>
        <v>1</v>
      </c>
      <c r="X248" s="798">
        <f t="shared" si="244"/>
        <v>1</v>
      </c>
      <c r="Y248" s="798">
        <f t="shared" si="244"/>
        <v>1</v>
      </c>
      <c r="Z248" s="798">
        <f t="shared" si="244"/>
        <v>1</v>
      </c>
      <c r="AA248" s="798">
        <f t="shared" si="244"/>
        <v>1</v>
      </c>
      <c r="AB248" s="798">
        <f t="shared" si="244"/>
        <v>1</v>
      </c>
      <c r="AC248" s="798">
        <f t="shared" si="244"/>
        <v>1</v>
      </c>
      <c r="AD248" s="798">
        <f t="shared" si="244"/>
        <v>1</v>
      </c>
      <c r="AE248" s="798">
        <f t="shared" si="244"/>
        <v>1</v>
      </c>
      <c r="AF248" s="798">
        <f t="shared" si="244"/>
        <v>1</v>
      </c>
      <c r="AG248" s="798">
        <f t="shared" si="244"/>
        <v>1</v>
      </c>
      <c r="AH248" s="798">
        <f t="shared" si="244"/>
        <v>1</v>
      </c>
      <c r="AI248" s="798">
        <f t="shared" si="244"/>
        <v>1</v>
      </c>
      <c r="AJ248" s="798">
        <f t="shared" si="244"/>
        <v>1</v>
      </c>
      <c r="AK248" s="798">
        <f t="shared" si="244"/>
        <v>1</v>
      </c>
      <c r="AL248" s="798">
        <f t="shared" si="244"/>
        <v>1</v>
      </c>
      <c r="AM248" s="798">
        <f t="shared" si="244"/>
        <v>1</v>
      </c>
      <c r="AN248" s="798">
        <f t="shared" si="244"/>
        <v>1</v>
      </c>
      <c r="AO248" s="798">
        <f t="shared" si="244"/>
        <v>1</v>
      </c>
      <c r="AP248" s="798">
        <f t="shared" si="244"/>
        <v>1</v>
      </c>
      <c r="AQ248" s="798">
        <f t="shared" si="244"/>
        <v>1</v>
      </c>
      <c r="AR248" s="798">
        <f t="shared" si="244"/>
        <v>1</v>
      </c>
      <c r="AS248" s="798">
        <f t="shared" si="244"/>
        <v>1</v>
      </c>
      <c r="AT248" s="798">
        <f t="shared" si="244"/>
        <v>1</v>
      </c>
      <c r="AU248" s="798">
        <f t="shared" si="244"/>
        <v>1</v>
      </c>
      <c r="AV248" s="798">
        <f t="shared" si="244"/>
        <v>1</v>
      </c>
      <c r="AW248" s="798">
        <f t="shared" si="244"/>
        <v>1</v>
      </c>
      <c r="AX248" s="798">
        <f t="shared" si="244"/>
        <v>1</v>
      </c>
      <c r="AY248" s="798">
        <f t="shared" si="244"/>
        <v>1</v>
      </c>
      <c r="AZ248" s="798">
        <f t="shared" si="244"/>
        <v>1</v>
      </c>
      <c r="BA248" s="798">
        <f t="shared" si="244"/>
        <v>1</v>
      </c>
      <c r="BB248" s="798">
        <f t="shared" si="244"/>
        <v>1</v>
      </c>
      <c r="BC248" s="798">
        <f t="shared" si="244"/>
        <v>1</v>
      </c>
      <c r="BD248" s="798">
        <f t="shared" si="244"/>
        <v>1</v>
      </c>
      <c r="BE248" s="798">
        <f t="shared" si="244"/>
        <v>1</v>
      </c>
      <c r="BF248" s="798">
        <f t="shared" si="244"/>
        <v>1</v>
      </c>
      <c r="BG248" s="798">
        <f t="shared" si="244"/>
        <v>1</v>
      </c>
      <c r="BH248" s="798">
        <f t="shared" si="244"/>
        <v>1</v>
      </c>
      <c r="BI248" s="798">
        <f t="shared" si="244"/>
        <v>1</v>
      </c>
      <c r="BJ248" s="798">
        <f t="shared" si="244"/>
        <v>1</v>
      </c>
      <c r="BK248" s="798">
        <f t="shared" si="244"/>
        <v>1</v>
      </c>
      <c r="BL248" s="765"/>
      <c r="BM248" s="817"/>
      <c r="BN248" s="817"/>
    </row>
    <row r="249" hidden="1">
      <c r="A249" s="765"/>
      <c r="B249" s="765"/>
      <c r="C249" s="765"/>
      <c r="D249" s="765"/>
      <c r="E249" s="765"/>
      <c r="F249" s="765"/>
      <c r="G249" s="765"/>
      <c r="H249" s="765"/>
      <c r="I249" s="765">
        <f t="shared" si="17"/>
        <v>238</v>
      </c>
      <c r="J249" s="763">
        <f t="shared" si="5"/>
        <v>229461925503</v>
      </c>
      <c r="K249" s="796">
        <f t="shared" si="7"/>
        <v>0.35279</v>
      </c>
      <c r="L249" s="796">
        <v>5.0E-4</v>
      </c>
      <c r="M249" s="763">
        <v>2.61644156788056E11</v>
      </c>
      <c r="N249" s="797">
        <f t="shared" si="8"/>
        <v>0</v>
      </c>
      <c r="O249" s="798">
        <f t="shared" ref="O249:BK249" si="245">FLOOR(MIN((((N("value of ELS upgrade")+N$8*($K249-$K248))*(N("Check checkbox")+(IF($G$6=TRUE,$G$7,$G$8))/$G$8))/(N("ROI of ELS and multiply by 2 if ELS is 1:1")+IF($G$12 = True, 2, 1) * $J249))/((N("difference in ELS+ and the cost of it")+(($K248*O$8)-($K248*N$8)) / O$7)),(N("MIN lets it return 0 or 1 after floored")+1)),1)</f>
        <v>0</v>
      </c>
      <c r="P249" s="798">
        <f t="shared" si="245"/>
        <v>0</v>
      </c>
      <c r="Q249" s="798">
        <f t="shared" si="245"/>
        <v>0</v>
      </c>
      <c r="R249" s="798">
        <f t="shared" si="245"/>
        <v>0</v>
      </c>
      <c r="S249" s="798">
        <f t="shared" si="245"/>
        <v>0</v>
      </c>
      <c r="T249" s="798">
        <f t="shared" si="245"/>
        <v>1</v>
      </c>
      <c r="U249" s="798">
        <f t="shared" si="245"/>
        <v>1</v>
      </c>
      <c r="V249" s="798">
        <f t="shared" si="245"/>
        <v>1</v>
      </c>
      <c r="W249" s="798">
        <f t="shared" si="245"/>
        <v>1</v>
      </c>
      <c r="X249" s="798">
        <f t="shared" si="245"/>
        <v>1</v>
      </c>
      <c r="Y249" s="798">
        <f t="shared" si="245"/>
        <v>1</v>
      </c>
      <c r="Z249" s="798">
        <f t="shared" si="245"/>
        <v>1</v>
      </c>
      <c r="AA249" s="798">
        <f t="shared" si="245"/>
        <v>1</v>
      </c>
      <c r="AB249" s="798">
        <f t="shared" si="245"/>
        <v>1</v>
      </c>
      <c r="AC249" s="798">
        <f t="shared" si="245"/>
        <v>1</v>
      </c>
      <c r="AD249" s="798">
        <f t="shared" si="245"/>
        <v>1</v>
      </c>
      <c r="AE249" s="798">
        <f t="shared" si="245"/>
        <v>1</v>
      </c>
      <c r="AF249" s="798">
        <f t="shared" si="245"/>
        <v>1</v>
      </c>
      <c r="AG249" s="798">
        <f t="shared" si="245"/>
        <v>1</v>
      </c>
      <c r="AH249" s="798">
        <f t="shared" si="245"/>
        <v>1</v>
      </c>
      <c r="AI249" s="798">
        <f t="shared" si="245"/>
        <v>1</v>
      </c>
      <c r="AJ249" s="798">
        <f t="shared" si="245"/>
        <v>1</v>
      </c>
      <c r="AK249" s="798">
        <f t="shared" si="245"/>
        <v>1</v>
      </c>
      <c r="AL249" s="798">
        <f t="shared" si="245"/>
        <v>1</v>
      </c>
      <c r="AM249" s="798">
        <f t="shared" si="245"/>
        <v>1</v>
      </c>
      <c r="AN249" s="798">
        <f t="shared" si="245"/>
        <v>1</v>
      </c>
      <c r="AO249" s="798">
        <f t="shared" si="245"/>
        <v>1</v>
      </c>
      <c r="AP249" s="798">
        <f t="shared" si="245"/>
        <v>1</v>
      </c>
      <c r="AQ249" s="798">
        <f t="shared" si="245"/>
        <v>1</v>
      </c>
      <c r="AR249" s="798">
        <f t="shared" si="245"/>
        <v>1</v>
      </c>
      <c r="AS249" s="798">
        <f t="shared" si="245"/>
        <v>1</v>
      </c>
      <c r="AT249" s="798">
        <f t="shared" si="245"/>
        <v>1</v>
      </c>
      <c r="AU249" s="798">
        <f t="shared" si="245"/>
        <v>1</v>
      </c>
      <c r="AV249" s="798">
        <f t="shared" si="245"/>
        <v>1</v>
      </c>
      <c r="AW249" s="798">
        <f t="shared" si="245"/>
        <v>1</v>
      </c>
      <c r="AX249" s="798">
        <f t="shared" si="245"/>
        <v>1</v>
      </c>
      <c r="AY249" s="798">
        <f t="shared" si="245"/>
        <v>1</v>
      </c>
      <c r="AZ249" s="798">
        <f t="shared" si="245"/>
        <v>1</v>
      </c>
      <c r="BA249" s="798">
        <f t="shared" si="245"/>
        <v>1</v>
      </c>
      <c r="BB249" s="798">
        <f t="shared" si="245"/>
        <v>1</v>
      </c>
      <c r="BC249" s="798">
        <f t="shared" si="245"/>
        <v>1</v>
      </c>
      <c r="BD249" s="798">
        <f t="shared" si="245"/>
        <v>1</v>
      </c>
      <c r="BE249" s="798">
        <f t="shared" si="245"/>
        <v>1</v>
      </c>
      <c r="BF249" s="798">
        <f t="shared" si="245"/>
        <v>1</v>
      </c>
      <c r="BG249" s="798">
        <f t="shared" si="245"/>
        <v>1</v>
      </c>
      <c r="BH249" s="798">
        <f t="shared" si="245"/>
        <v>1</v>
      </c>
      <c r="BI249" s="798">
        <f t="shared" si="245"/>
        <v>1</v>
      </c>
      <c r="BJ249" s="798">
        <f t="shared" si="245"/>
        <v>1</v>
      </c>
      <c r="BK249" s="798">
        <f t="shared" si="245"/>
        <v>1</v>
      </c>
      <c r="BL249" s="765"/>
      <c r="BM249" s="817"/>
      <c r="BN249" s="817"/>
    </row>
    <row r="250" hidden="1">
      <c r="A250" s="765"/>
      <c r="B250" s="765"/>
      <c r="C250" s="765"/>
      <c r="D250" s="765"/>
      <c r="E250" s="765"/>
      <c r="F250" s="765"/>
      <c r="G250" s="765"/>
      <c r="H250" s="765"/>
      <c r="I250" s="765">
        <f t="shared" si="17"/>
        <v>239</v>
      </c>
      <c r="J250" s="763">
        <f t="shared" si="5"/>
        <v>230550634261</v>
      </c>
      <c r="K250" s="796">
        <f t="shared" si="7"/>
        <v>0.35329</v>
      </c>
      <c r="L250" s="796">
        <v>5.0E-4</v>
      </c>
      <c r="M250" s="763">
        <v>2.62885557880306E11</v>
      </c>
      <c r="N250" s="797">
        <f t="shared" si="8"/>
        <v>0</v>
      </c>
      <c r="O250" s="798">
        <f t="shared" ref="O250:BK250" si="246">FLOOR(MIN((((N("value of ELS upgrade")+N$8*($K250-$K249))*(N("Check checkbox")+(IF($G$6=TRUE,$G$7,$G$8))/$G$8))/(N("ROI of ELS and multiply by 2 if ELS is 1:1")+IF($G$12 = True, 2, 1) * $J250))/((N("difference in ELS+ and the cost of it")+(($K249*O$8)-($K249*N$8)) / O$7)),(N("MIN lets it return 0 or 1 after floored")+1)),1)</f>
        <v>0</v>
      </c>
      <c r="P250" s="798">
        <f t="shared" si="246"/>
        <v>0</v>
      </c>
      <c r="Q250" s="798">
        <f t="shared" si="246"/>
        <v>0</v>
      </c>
      <c r="R250" s="798">
        <f t="shared" si="246"/>
        <v>0</v>
      </c>
      <c r="S250" s="798">
        <f t="shared" si="246"/>
        <v>0</v>
      </c>
      <c r="T250" s="798">
        <f t="shared" si="246"/>
        <v>1</v>
      </c>
      <c r="U250" s="798">
        <f t="shared" si="246"/>
        <v>1</v>
      </c>
      <c r="V250" s="798">
        <f t="shared" si="246"/>
        <v>1</v>
      </c>
      <c r="W250" s="798">
        <f t="shared" si="246"/>
        <v>1</v>
      </c>
      <c r="X250" s="798">
        <f t="shared" si="246"/>
        <v>1</v>
      </c>
      <c r="Y250" s="798">
        <f t="shared" si="246"/>
        <v>1</v>
      </c>
      <c r="Z250" s="798">
        <f t="shared" si="246"/>
        <v>1</v>
      </c>
      <c r="AA250" s="798">
        <f t="shared" si="246"/>
        <v>1</v>
      </c>
      <c r="AB250" s="798">
        <f t="shared" si="246"/>
        <v>1</v>
      </c>
      <c r="AC250" s="798">
        <f t="shared" si="246"/>
        <v>1</v>
      </c>
      <c r="AD250" s="798">
        <f t="shared" si="246"/>
        <v>1</v>
      </c>
      <c r="AE250" s="798">
        <f t="shared" si="246"/>
        <v>1</v>
      </c>
      <c r="AF250" s="798">
        <f t="shared" si="246"/>
        <v>1</v>
      </c>
      <c r="AG250" s="798">
        <f t="shared" si="246"/>
        <v>1</v>
      </c>
      <c r="AH250" s="798">
        <f t="shared" si="246"/>
        <v>1</v>
      </c>
      <c r="AI250" s="798">
        <f t="shared" si="246"/>
        <v>1</v>
      </c>
      <c r="AJ250" s="798">
        <f t="shared" si="246"/>
        <v>1</v>
      </c>
      <c r="AK250" s="798">
        <f t="shared" si="246"/>
        <v>1</v>
      </c>
      <c r="AL250" s="798">
        <f t="shared" si="246"/>
        <v>1</v>
      </c>
      <c r="AM250" s="798">
        <f t="shared" si="246"/>
        <v>1</v>
      </c>
      <c r="AN250" s="798">
        <f t="shared" si="246"/>
        <v>1</v>
      </c>
      <c r="AO250" s="798">
        <f t="shared" si="246"/>
        <v>1</v>
      </c>
      <c r="AP250" s="798">
        <f t="shared" si="246"/>
        <v>1</v>
      </c>
      <c r="AQ250" s="798">
        <f t="shared" si="246"/>
        <v>1</v>
      </c>
      <c r="AR250" s="798">
        <f t="shared" si="246"/>
        <v>1</v>
      </c>
      <c r="AS250" s="798">
        <f t="shared" si="246"/>
        <v>1</v>
      </c>
      <c r="AT250" s="798">
        <f t="shared" si="246"/>
        <v>1</v>
      </c>
      <c r="AU250" s="798">
        <f t="shared" si="246"/>
        <v>1</v>
      </c>
      <c r="AV250" s="798">
        <f t="shared" si="246"/>
        <v>1</v>
      </c>
      <c r="AW250" s="798">
        <f t="shared" si="246"/>
        <v>1</v>
      </c>
      <c r="AX250" s="798">
        <f t="shared" si="246"/>
        <v>1</v>
      </c>
      <c r="AY250" s="798">
        <f t="shared" si="246"/>
        <v>1</v>
      </c>
      <c r="AZ250" s="798">
        <f t="shared" si="246"/>
        <v>1</v>
      </c>
      <c r="BA250" s="798">
        <f t="shared" si="246"/>
        <v>1</v>
      </c>
      <c r="BB250" s="798">
        <f t="shared" si="246"/>
        <v>1</v>
      </c>
      <c r="BC250" s="798">
        <f t="shared" si="246"/>
        <v>1</v>
      </c>
      <c r="BD250" s="798">
        <f t="shared" si="246"/>
        <v>1</v>
      </c>
      <c r="BE250" s="798">
        <f t="shared" si="246"/>
        <v>1</v>
      </c>
      <c r="BF250" s="798">
        <f t="shared" si="246"/>
        <v>1</v>
      </c>
      <c r="BG250" s="798">
        <f t="shared" si="246"/>
        <v>1</v>
      </c>
      <c r="BH250" s="798">
        <f t="shared" si="246"/>
        <v>1</v>
      </c>
      <c r="BI250" s="798">
        <f t="shared" si="246"/>
        <v>1</v>
      </c>
      <c r="BJ250" s="798">
        <f t="shared" si="246"/>
        <v>1</v>
      </c>
      <c r="BK250" s="798">
        <f t="shared" si="246"/>
        <v>1</v>
      </c>
      <c r="BL250" s="765"/>
      <c r="BM250" s="817"/>
      <c r="BN250" s="817"/>
    </row>
    <row r="251" hidden="1">
      <c r="A251" s="765"/>
      <c r="B251" s="765"/>
      <c r="C251" s="765"/>
      <c r="D251" s="765"/>
      <c r="E251" s="765"/>
      <c r="F251" s="765"/>
      <c r="G251" s="765"/>
      <c r="H251" s="765"/>
      <c r="I251" s="765">
        <f t="shared" si="17"/>
        <v>240</v>
      </c>
      <c r="J251" s="763">
        <f t="shared" si="5"/>
        <v>231641964872</v>
      </c>
      <c r="K251" s="796">
        <f t="shared" si="7"/>
        <v>0.35379</v>
      </c>
      <c r="L251" s="796">
        <v>5.0E-4</v>
      </c>
      <c r="M251" s="763">
        <v>2.64129948542585E11</v>
      </c>
      <c r="N251" s="797">
        <f t="shared" si="8"/>
        <v>0</v>
      </c>
      <c r="O251" s="798">
        <f t="shared" ref="O251:BK251" si="247">FLOOR(MIN((((N("value of ELS upgrade")+N$8*($K251-$K250))*(N("Check checkbox")+(IF($G$6=TRUE,$G$7,$G$8))/$G$8))/(N("ROI of ELS and multiply by 2 if ELS is 1:1")+IF($G$12 = True, 2, 1) * $J251))/((N("difference in ELS+ and the cost of it")+(($K250*O$8)-($K250*N$8)) / O$7)),(N("MIN lets it return 0 or 1 after floored")+1)),1)</f>
        <v>0</v>
      </c>
      <c r="P251" s="798">
        <f t="shared" si="247"/>
        <v>0</v>
      </c>
      <c r="Q251" s="798">
        <f t="shared" si="247"/>
        <v>0</v>
      </c>
      <c r="R251" s="798">
        <f t="shared" si="247"/>
        <v>0</v>
      </c>
      <c r="S251" s="798">
        <f t="shared" si="247"/>
        <v>0</v>
      </c>
      <c r="T251" s="798">
        <f t="shared" si="247"/>
        <v>1</v>
      </c>
      <c r="U251" s="798">
        <f t="shared" si="247"/>
        <v>1</v>
      </c>
      <c r="V251" s="798">
        <f t="shared" si="247"/>
        <v>1</v>
      </c>
      <c r="W251" s="798">
        <f t="shared" si="247"/>
        <v>1</v>
      </c>
      <c r="X251" s="798">
        <f t="shared" si="247"/>
        <v>1</v>
      </c>
      <c r="Y251" s="798">
        <f t="shared" si="247"/>
        <v>1</v>
      </c>
      <c r="Z251" s="798">
        <f t="shared" si="247"/>
        <v>1</v>
      </c>
      <c r="AA251" s="798">
        <f t="shared" si="247"/>
        <v>1</v>
      </c>
      <c r="AB251" s="798">
        <f t="shared" si="247"/>
        <v>1</v>
      </c>
      <c r="AC251" s="798">
        <f t="shared" si="247"/>
        <v>1</v>
      </c>
      <c r="AD251" s="798">
        <f t="shared" si="247"/>
        <v>1</v>
      </c>
      <c r="AE251" s="798">
        <f t="shared" si="247"/>
        <v>1</v>
      </c>
      <c r="AF251" s="798">
        <f t="shared" si="247"/>
        <v>1</v>
      </c>
      <c r="AG251" s="798">
        <f t="shared" si="247"/>
        <v>1</v>
      </c>
      <c r="AH251" s="798">
        <f t="shared" si="247"/>
        <v>1</v>
      </c>
      <c r="AI251" s="798">
        <f t="shared" si="247"/>
        <v>1</v>
      </c>
      <c r="AJ251" s="798">
        <f t="shared" si="247"/>
        <v>1</v>
      </c>
      <c r="AK251" s="798">
        <f t="shared" si="247"/>
        <v>1</v>
      </c>
      <c r="AL251" s="798">
        <f t="shared" si="247"/>
        <v>1</v>
      </c>
      <c r="AM251" s="798">
        <f t="shared" si="247"/>
        <v>1</v>
      </c>
      <c r="AN251" s="798">
        <f t="shared" si="247"/>
        <v>1</v>
      </c>
      <c r="AO251" s="798">
        <f t="shared" si="247"/>
        <v>1</v>
      </c>
      <c r="AP251" s="798">
        <f t="shared" si="247"/>
        <v>1</v>
      </c>
      <c r="AQ251" s="798">
        <f t="shared" si="247"/>
        <v>1</v>
      </c>
      <c r="AR251" s="798">
        <f t="shared" si="247"/>
        <v>1</v>
      </c>
      <c r="AS251" s="798">
        <f t="shared" si="247"/>
        <v>1</v>
      </c>
      <c r="AT251" s="798">
        <f t="shared" si="247"/>
        <v>1</v>
      </c>
      <c r="AU251" s="798">
        <f t="shared" si="247"/>
        <v>1</v>
      </c>
      <c r="AV251" s="798">
        <f t="shared" si="247"/>
        <v>1</v>
      </c>
      <c r="AW251" s="798">
        <f t="shared" si="247"/>
        <v>1</v>
      </c>
      <c r="AX251" s="798">
        <f t="shared" si="247"/>
        <v>1</v>
      </c>
      <c r="AY251" s="798">
        <f t="shared" si="247"/>
        <v>1</v>
      </c>
      <c r="AZ251" s="798">
        <f t="shared" si="247"/>
        <v>1</v>
      </c>
      <c r="BA251" s="798">
        <f t="shared" si="247"/>
        <v>1</v>
      </c>
      <c r="BB251" s="798">
        <f t="shared" si="247"/>
        <v>1</v>
      </c>
      <c r="BC251" s="798">
        <f t="shared" si="247"/>
        <v>1</v>
      </c>
      <c r="BD251" s="798">
        <f t="shared" si="247"/>
        <v>1</v>
      </c>
      <c r="BE251" s="798">
        <f t="shared" si="247"/>
        <v>1</v>
      </c>
      <c r="BF251" s="798">
        <f t="shared" si="247"/>
        <v>1</v>
      </c>
      <c r="BG251" s="798">
        <f t="shared" si="247"/>
        <v>1</v>
      </c>
      <c r="BH251" s="798">
        <f t="shared" si="247"/>
        <v>1</v>
      </c>
      <c r="BI251" s="798">
        <f t="shared" si="247"/>
        <v>1</v>
      </c>
      <c r="BJ251" s="798">
        <f t="shared" si="247"/>
        <v>1</v>
      </c>
      <c r="BK251" s="798">
        <f t="shared" si="247"/>
        <v>1</v>
      </c>
      <c r="BL251" s="765"/>
      <c r="BM251" s="817"/>
      <c r="BN251" s="817"/>
    </row>
    <row r="252" hidden="1">
      <c r="A252" s="765"/>
      <c r="B252" s="765"/>
      <c r="C252" s="765"/>
      <c r="D252" s="765"/>
      <c r="E252" s="765"/>
      <c r="F252" s="765"/>
      <c r="G252" s="765"/>
      <c r="H252" s="765"/>
      <c r="I252" s="765">
        <f t="shared" si="17"/>
        <v>241</v>
      </c>
      <c r="J252" s="763">
        <f t="shared" si="5"/>
        <v>465471864353</v>
      </c>
      <c r="K252" s="796">
        <f t="shared" si="7"/>
        <v>0.35429</v>
      </c>
      <c r="L252" s="796">
        <v>5.0E-4</v>
      </c>
      <c r="M252" s="763">
        <v>5.30754691393973E11</v>
      </c>
      <c r="N252" s="797">
        <f t="shared" si="8"/>
        <v>0</v>
      </c>
      <c r="O252" s="798">
        <f t="shared" ref="O252:BK252" si="248">FLOOR(MIN((((N("value of ELS upgrade")+N$8*($K252-$K251))*(N("Check checkbox")+(IF($G$6=TRUE,$G$7,$G$8))/$G$8))/(N("ROI of ELS and multiply by 2 if ELS is 1:1")+IF($G$12 = True, 2, 1) * $J252))/((N("difference in ELS+ and the cost of it")+(($K251*O$8)-($K251*N$8)) / O$7)),(N("MIN lets it return 0 or 1 after floored")+1)),1)</f>
        <v>0</v>
      </c>
      <c r="P252" s="798">
        <f t="shared" si="248"/>
        <v>0</v>
      </c>
      <c r="Q252" s="798">
        <f t="shared" si="248"/>
        <v>0</v>
      </c>
      <c r="R252" s="798">
        <f t="shared" si="248"/>
        <v>0</v>
      </c>
      <c r="S252" s="798">
        <f t="shared" si="248"/>
        <v>0</v>
      </c>
      <c r="T252" s="798">
        <f t="shared" si="248"/>
        <v>0</v>
      </c>
      <c r="U252" s="798">
        <f t="shared" si="248"/>
        <v>1</v>
      </c>
      <c r="V252" s="798">
        <f t="shared" si="248"/>
        <v>1</v>
      </c>
      <c r="W252" s="798">
        <f t="shared" si="248"/>
        <v>1</v>
      </c>
      <c r="X252" s="798">
        <f t="shared" si="248"/>
        <v>1</v>
      </c>
      <c r="Y252" s="798">
        <f t="shared" si="248"/>
        <v>1</v>
      </c>
      <c r="Z252" s="798">
        <f t="shared" si="248"/>
        <v>1</v>
      </c>
      <c r="AA252" s="798">
        <f t="shared" si="248"/>
        <v>1</v>
      </c>
      <c r="AB252" s="798">
        <f t="shared" si="248"/>
        <v>1</v>
      </c>
      <c r="AC252" s="798">
        <f t="shared" si="248"/>
        <v>1</v>
      </c>
      <c r="AD252" s="798">
        <f t="shared" si="248"/>
        <v>1</v>
      </c>
      <c r="AE252" s="798">
        <f t="shared" si="248"/>
        <v>1</v>
      </c>
      <c r="AF252" s="798">
        <f t="shared" si="248"/>
        <v>1</v>
      </c>
      <c r="AG252" s="798">
        <f t="shared" si="248"/>
        <v>1</v>
      </c>
      <c r="AH252" s="798">
        <f t="shared" si="248"/>
        <v>1</v>
      </c>
      <c r="AI252" s="798">
        <f t="shared" si="248"/>
        <v>1</v>
      </c>
      <c r="AJ252" s="798">
        <f t="shared" si="248"/>
        <v>1</v>
      </c>
      <c r="AK252" s="798">
        <f t="shared" si="248"/>
        <v>1</v>
      </c>
      <c r="AL252" s="798">
        <f t="shared" si="248"/>
        <v>1</v>
      </c>
      <c r="AM252" s="798">
        <f t="shared" si="248"/>
        <v>1</v>
      </c>
      <c r="AN252" s="798">
        <f t="shared" si="248"/>
        <v>1</v>
      </c>
      <c r="AO252" s="798">
        <f t="shared" si="248"/>
        <v>1</v>
      </c>
      <c r="AP252" s="798">
        <f t="shared" si="248"/>
        <v>1</v>
      </c>
      <c r="AQ252" s="798">
        <f t="shared" si="248"/>
        <v>1</v>
      </c>
      <c r="AR252" s="798">
        <f t="shared" si="248"/>
        <v>1</v>
      </c>
      <c r="AS252" s="798">
        <f t="shared" si="248"/>
        <v>1</v>
      </c>
      <c r="AT252" s="798">
        <f t="shared" si="248"/>
        <v>1</v>
      </c>
      <c r="AU252" s="798">
        <f t="shared" si="248"/>
        <v>1</v>
      </c>
      <c r="AV252" s="798">
        <f t="shared" si="248"/>
        <v>1</v>
      </c>
      <c r="AW252" s="798">
        <f t="shared" si="248"/>
        <v>1</v>
      </c>
      <c r="AX252" s="798">
        <f t="shared" si="248"/>
        <v>1</v>
      </c>
      <c r="AY252" s="798">
        <f t="shared" si="248"/>
        <v>1</v>
      </c>
      <c r="AZ252" s="798">
        <f t="shared" si="248"/>
        <v>1</v>
      </c>
      <c r="BA252" s="798">
        <f t="shared" si="248"/>
        <v>1</v>
      </c>
      <c r="BB252" s="798">
        <f t="shared" si="248"/>
        <v>1</v>
      </c>
      <c r="BC252" s="798">
        <f t="shared" si="248"/>
        <v>1</v>
      </c>
      <c r="BD252" s="798">
        <f t="shared" si="248"/>
        <v>1</v>
      </c>
      <c r="BE252" s="798">
        <f t="shared" si="248"/>
        <v>1</v>
      </c>
      <c r="BF252" s="798">
        <f t="shared" si="248"/>
        <v>1</v>
      </c>
      <c r="BG252" s="798">
        <f t="shared" si="248"/>
        <v>1</v>
      </c>
      <c r="BH252" s="798">
        <f t="shared" si="248"/>
        <v>1</v>
      </c>
      <c r="BI252" s="798">
        <f t="shared" si="248"/>
        <v>1</v>
      </c>
      <c r="BJ252" s="798">
        <f t="shared" si="248"/>
        <v>1</v>
      </c>
      <c r="BK252" s="798">
        <f t="shared" si="248"/>
        <v>1</v>
      </c>
      <c r="BL252" s="765"/>
      <c r="BM252" s="817"/>
      <c r="BN252" s="817"/>
    </row>
    <row r="253" hidden="1">
      <c r="A253" s="765"/>
      <c r="B253" s="765"/>
      <c r="C253" s="765"/>
      <c r="D253" s="765"/>
      <c r="E253" s="765"/>
      <c r="F253" s="765"/>
      <c r="G253" s="765"/>
      <c r="H253" s="765"/>
      <c r="I253" s="765">
        <f t="shared" si="17"/>
        <v>242</v>
      </c>
      <c r="J253" s="763">
        <f t="shared" si="5"/>
        <v>467665102030</v>
      </c>
      <c r="K253" s="796">
        <f t="shared" si="7"/>
        <v>0.35479</v>
      </c>
      <c r="L253" s="796">
        <v>5.0E-4</v>
      </c>
      <c r="M253" s="763">
        <v>5.33255532531212E11</v>
      </c>
      <c r="N253" s="797">
        <f t="shared" si="8"/>
        <v>0</v>
      </c>
      <c r="O253" s="798">
        <f t="shared" ref="O253:BK253" si="249">FLOOR(MIN((((N("value of ELS upgrade")+N$8*($K253-$K252))*(N("Check checkbox")+(IF($G$6=TRUE,$G$7,$G$8))/$G$8))/(N("ROI of ELS and multiply by 2 if ELS is 1:1")+IF($G$12 = True, 2, 1) * $J253))/((N("difference in ELS+ and the cost of it")+(($K252*O$8)-($K252*N$8)) / O$7)),(N("MIN lets it return 0 or 1 after floored")+1)),1)</f>
        <v>0</v>
      </c>
      <c r="P253" s="798">
        <f t="shared" si="249"/>
        <v>0</v>
      </c>
      <c r="Q253" s="798">
        <f t="shared" si="249"/>
        <v>0</v>
      </c>
      <c r="R253" s="798">
        <f t="shared" si="249"/>
        <v>0</v>
      </c>
      <c r="S253" s="798">
        <f t="shared" si="249"/>
        <v>0</v>
      </c>
      <c r="T253" s="798">
        <f t="shared" si="249"/>
        <v>0</v>
      </c>
      <c r="U253" s="798">
        <f t="shared" si="249"/>
        <v>1</v>
      </c>
      <c r="V253" s="798">
        <f t="shared" si="249"/>
        <v>1</v>
      </c>
      <c r="W253" s="798">
        <f t="shared" si="249"/>
        <v>1</v>
      </c>
      <c r="X253" s="798">
        <f t="shared" si="249"/>
        <v>1</v>
      </c>
      <c r="Y253" s="798">
        <f t="shared" si="249"/>
        <v>1</v>
      </c>
      <c r="Z253" s="798">
        <f t="shared" si="249"/>
        <v>1</v>
      </c>
      <c r="AA253" s="798">
        <f t="shared" si="249"/>
        <v>1</v>
      </c>
      <c r="AB253" s="798">
        <f t="shared" si="249"/>
        <v>1</v>
      </c>
      <c r="AC253" s="798">
        <f t="shared" si="249"/>
        <v>1</v>
      </c>
      <c r="AD253" s="798">
        <f t="shared" si="249"/>
        <v>1</v>
      </c>
      <c r="AE253" s="798">
        <f t="shared" si="249"/>
        <v>1</v>
      </c>
      <c r="AF253" s="798">
        <f t="shared" si="249"/>
        <v>1</v>
      </c>
      <c r="AG253" s="798">
        <f t="shared" si="249"/>
        <v>1</v>
      </c>
      <c r="AH253" s="798">
        <f t="shared" si="249"/>
        <v>1</v>
      </c>
      <c r="AI253" s="798">
        <f t="shared" si="249"/>
        <v>1</v>
      </c>
      <c r="AJ253" s="798">
        <f t="shared" si="249"/>
        <v>1</v>
      </c>
      <c r="AK253" s="798">
        <f t="shared" si="249"/>
        <v>1</v>
      </c>
      <c r="AL253" s="798">
        <f t="shared" si="249"/>
        <v>1</v>
      </c>
      <c r="AM253" s="798">
        <f t="shared" si="249"/>
        <v>1</v>
      </c>
      <c r="AN253" s="798">
        <f t="shared" si="249"/>
        <v>1</v>
      </c>
      <c r="AO253" s="798">
        <f t="shared" si="249"/>
        <v>1</v>
      </c>
      <c r="AP253" s="798">
        <f t="shared" si="249"/>
        <v>1</v>
      </c>
      <c r="AQ253" s="798">
        <f t="shared" si="249"/>
        <v>1</v>
      </c>
      <c r="AR253" s="798">
        <f t="shared" si="249"/>
        <v>1</v>
      </c>
      <c r="AS253" s="798">
        <f t="shared" si="249"/>
        <v>1</v>
      </c>
      <c r="AT253" s="798">
        <f t="shared" si="249"/>
        <v>1</v>
      </c>
      <c r="AU253" s="798">
        <f t="shared" si="249"/>
        <v>1</v>
      </c>
      <c r="AV253" s="798">
        <f t="shared" si="249"/>
        <v>1</v>
      </c>
      <c r="AW253" s="798">
        <f t="shared" si="249"/>
        <v>1</v>
      </c>
      <c r="AX253" s="798">
        <f t="shared" si="249"/>
        <v>1</v>
      </c>
      <c r="AY253" s="798">
        <f t="shared" si="249"/>
        <v>1</v>
      </c>
      <c r="AZ253" s="798">
        <f t="shared" si="249"/>
        <v>1</v>
      </c>
      <c r="BA253" s="798">
        <f t="shared" si="249"/>
        <v>1</v>
      </c>
      <c r="BB253" s="798">
        <f t="shared" si="249"/>
        <v>1</v>
      </c>
      <c r="BC253" s="798">
        <f t="shared" si="249"/>
        <v>1</v>
      </c>
      <c r="BD253" s="798">
        <f t="shared" si="249"/>
        <v>1</v>
      </c>
      <c r="BE253" s="798">
        <f t="shared" si="249"/>
        <v>1</v>
      </c>
      <c r="BF253" s="798">
        <f t="shared" si="249"/>
        <v>1</v>
      </c>
      <c r="BG253" s="798">
        <f t="shared" si="249"/>
        <v>1</v>
      </c>
      <c r="BH253" s="798">
        <f t="shared" si="249"/>
        <v>1</v>
      </c>
      <c r="BI253" s="798">
        <f t="shared" si="249"/>
        <v>1</v>
      </c>
      <c r="BJ253" s="798">
        <f t="shared" si="249"/>
        <v>1</v>
      </c>
      <c r="BK253" s="798">
        <f t="shared" si="249"/>
        <v>1</v>
      </c>
      <c r="BL253" s="765"/>
      <c r="BM253" s="817"/>
      <c r="BN253" s="817"/>
    </row>
    <row r="254" hidden="1">
      <c r="A254" s="765"/>
      <c r="B254" s="765"/>
      <c r="C254" s="765"/>
      <c r="D254" s="765"/>
      <c r="E254" s="765"/>
      <c r="F254" s="765"/>
      <c r="G254" s="765"/>
      <c r="H254" s="765"/>
      <c r="I254" s="765">
        <f t="shared" si="17"/>
        <v>243</v>
      </c>
      <c r="J254" s="763">
        <f t="shared" si="5"/>
        <v>469863672457</v>
      </c>
      <c r="K254" s="796">
        <f t="shared" si="7"/>
        <v>0.35529</v>
      </c>
      <c r="L254" s="796">
        <v>5.0E-4</v>
      </c>
      <c r="M254" s="763">
        <v>5.35762454341076E11</v>
      </c>
      <c r="N254" s="797">
        <f t="shared" si="8"/>
        <v>0</v>
      </c>
      <c r="O254" s="798">
        <f t="shared" ref="O254:BK254" si="250">FLOOR(MIN((((N("value of ELS upgrade")+N$8*($K254-$K253))*(N("Check checkbox")+(IF($G$6=TRUE,$G$7,$G$8))/$G$8))/(N("ROI of ELS and multiply by 2 if ELS is 1:1")+IF($G$12 = True, 2, 1) * $J254))/((N("difference in ELS+ and the cost of it")+(($K253*O$8)-($K253*N$8)) / O$7)),(N("MIN lets it return 0 or 1 after floored")+1)),1)</f>
        <v>0</v>
      </c>
      <c r="P254" s="798">
        <f t="shared" si="250"/>
        <v>0</v>
      </c>
      <c r="Q254" s="798">
        <f t="shared" si="250"/>
        <v>0</v>
      </c>
      <c r="R254" s="798">
        <f t="shared" si="250"/>
        <v>0</v>
      </c>
      <c r="S254" s="798">
        <f t="shared" si="250"/>
        <v>0</v>
      </c>
      <c r="T254" s="798">
        <f t="shared" si="250"/>
        <v>0</v>
      </c>
      <c r="U254" s="798">
        <f t="shared" si="250"/>
        <v>1</v>
      </c>
      <c r="V254" s="798">
        <f t="shared" si="250"/>
        <v>1</v>
      </c>
      <c r="W254" s="798">
        <f t="shared" si="250"/>
        <v>1</v>
      </c>
      <c r="X254" s="798">
        <f t="shared" si="250"/>
        <v>1</v>
      </c>
      <c r="Y254" s="798">
        <f t="shared" si="250"/>
        <v>1</v>
      </c>
      <c r="Z254" s="798">
        <f t="shared" si="250"/>
        <v>1</v>
      </c>
      <c r="AA254" s="798">
        <f t="shared" si="250"/>
        <v>1</v>
      </c>
      <c r="AB254" s="798">
        <f t="shared" si="250"/>
        <v>1</v>
      </c>
      <c r="AC254" s="798">
        <f t="shared" si="250"/>
        <v>1</v>
      </c>
      <c r="AD254" s="798">
        <f t="shared" si="250"/>
        <v>1</v>
      </c>
      <c r="AE254" s="798">
        <f t="shared" si="250"/>
        <v>1</v>
      </c>
      <c r="AF254" s="798">
        <f t="shared" si="250"/>
        <v>1</v>
      </c>
      <c r="AG254" s="798">
        <f t="shared" si="250"/>
        <v>1</v>
      </c>
      <c r="AH254" s="798">
        <f t="shared" si="250"/>
        <v>1</v>
      </c>
      <c r="AI254" s="798">
        <f t="shared" si="250"/>
        <v>1</v>
      </c>
      <c r="AJ254" s="798">
        <f t="shared" si="250"/>
        <v>1</v>
      </c>
      <c r="AK254" s="798">
        <f t="shared" si="250"/>
        <v>1</v>
      </c>
      <c r="AL254" s="798">
        <f t="shared" si="250"/>
        <v>1</v>
      </c>
      <c r="AM254" s="798">
        <f t="shared" si="250"/>
        <v>1</v>
      </c>
      <c r="AN254" s="798">
        <f t="shared" si="250"/>
        <v>1</v>
      </c>
      <c r="AO254" s="798">
        <f t="shared" si="250"/>
        <v>1</v>
      </c>
      <c r="AP254" s="798">
        <f t="shared" si="250"/>
        <v>1</v>
      </c>
      <c r="AQ254" s="798">
        <f t="shared" si="250"/>
        <v>1</v>
      </c>
      <c r="AR254" s="798">
        <f t="shared" si="250"/>
        <v>1</v>
      </c>
      <c r="AS254" s="798">
        <f t="shared" si="250"/>
        <v>1</v>
      </c>
      <c r="AT254" s="798">
        <f t="shared" si="250"/>
        <v>1</v>
      </c>
      <c r="AU254" s="798">
        <f t="shared" si="250"/>
        <v>1</v>
      </c>
      <c r="AV254" s="798">
        <f t="shared" si="250"/>
        <v>1</v>
      </c>
      <c r="AW254" s="798">
        <f t="shared" si="250"/>
        <v>1</v>
      </c>
      <c r="AX254" s="798">
        <f t="shared" si="250"/>
        <v>1</v>
      </c>
      <c r="AY254" s="798">
        <f t="shared" si="250"/>
        <v>1</v>
      </c>
      <c r="AZ254" s="798">
        <f t="shared" si="250"/>
        <v>1</v>
      </c>
      <c r="BA254" s="798">
        <f t="shared" si="250"/>
        <v>1</v>
      </c>
      <c r="BB254" s="798">
        <f t="shared" si="250"/>
        <v>1</v>
      </c>
      <c r="BC254" s="798">
        <f t="shared" si="250"/>
        <v>1</v>
      </c>
      <c r="BD254" s="798">
        <f t="shared" si="250"/>
        <v>1</v>
      </c>
      <c r="BE254" s="798">
        <f t="shared" si="250"/>
        <v>1</v>
      </c>
      <c r="BF254" s="798">
        <f t="shared" si="250"/>
        <v>1</v>
      </c>
      <c r="BG254" s="798">
        <f t="shared" si="250"/>
        <v>1</v>
      </c>
      <c r="BH254" s="798">
        <f t="shared" si="250"/>
        <v>1</v>
      </c>
      <c r="BI254" s="798">
        <f t="shared" si="250"/>
        <v>1</v>
      </c>
      <c r="BJ254" s="798">
        <f t="shared" si="250"/>
        <v>1</v>
      </c>
      <c r="BK254" s="798">
        <f t="shared" si="250"/>
        <v>1</v>
      </c>
      <c r="BL254" s="765"/>
      <c r="BM254" s="817"/>
      <c r="BN254" s="817"/>
    </row>
    <row r="255" hidden="1">
      <c r="A255" s="765"/>
      <c r="B255" s="765"/>
      <c r="C255" s="765"/>
      <c r="D255" s="765"/>
      <c r="E255" s="765"/>
      <c r="F255" s="765"/>
      <c r="G255" s="765"/>
      <c r="H255" s="765"/>
      <c r="I255" s="765">
        <f t="shared" si="17"/>
        <v>244</v>
      </c>
      <c r="J255" s="763">
        <f t="shared" si="5"/>
        <v>472067605316</v>
      </c>
      <c r="K255" s="796">
        <f t="shared" si="7"/>
        <v>0.35579</v>
      </c>
      <c r="L255" s="796">
        <v>5.0E-4</v>
      </c>
      <c r="M255" s="763">
        <v>5.38275490667754E11</v>
      </c>
      <c r="N255" s="797">
        <f t="shared" si="8"/>
        <v>0</v>
      </c>
      <c r="O255" s="798">
        <f t="shared" ref="O255:BK255" si="251">FLOOR(MIN((((N("value of ELS upgrade")+N$8*($K255-$K254))*(N("Check checkbox")+(IF($G$6=TRUE,$G$7,$G$8))/$G$8))/(N("ROI of ELS and multiply by 2 if ELS is 1:1")+IF($G$12 = True, 2, 1) * $J255))/((N("difference in ELS+ and the cost of it")+(($K254*O$8)-($K254*N$8)) / O$7)),(N("MIN lets it return 0 or 1 after floored")+1)),1)</f>
        <v>0</v>
      </c>
      <c r="P255" s="798">
        <f t="shared" si="251"/>
        <v>0</v>
      </c>
      <c r="Q255" s="798">
        <f t="shared" si="251"/>
        <v>0</v>
      </c>
      <c r="R255" s="798">
        <f t="shared" si="251"/>
        <v>0</v>
      </c>
      <c r="S255" s="798">
        <f t="shared" si="251"/>
        <v>0</v>
      </c>
      <c r="T255" s="798">
        <f t="shared" si="251"/>
        <v>0</v>
      </c>
      <c r="U255" s="798">
        <f t="shared" si="251"/>
        <v>1</v>
      </c>
      <c r="V255" s="798">
        <f t="shared" si="251"/>
        <v>1</v>
      </c>
      <c r="W255" s="798">
        <f t="shared" si="251"/>
        <v>1</v>
      </c>
      <c r="X255" s="798">
        <f t="shared" si="251"/>
        <v>1</v>
      </c>
      <c r="Y255" s="798">
        <f t="shared" si="251"/>
        <v>1</v>
      </c>
      <c r="Z255" s="798">
        <f t="shared" si="251"/>
        <v>1</v>
      </c>
      <c r="AA255" s="798">
        <f t="shared" si="251"/>
        <v>1</v>
      </c>
      <c r="AB255" s="798">
        <f t="shared" si="251"/>
        <v>1</v>
      </c>
      <c r="AC255" s="798">
        <f t="shared" si="251"/>
        <v>1</v>
      </c>
      <c r="AD255" s="798">
        <f t="shared" si="251"/>
        <v>1</v>
      </c>
      <c r="AE255" s="798">
        <f t="shared" si="251"/>
        <v>1</v>
      </c>
      <c r="AF255" s="798">
        <f t="shared" si="251"/>
        <v>1</v>
      </c>
      <c r="AG255" s="798">
        <f t="shared" si="251"/>
        <v>1</v>
      </c>
      <c r="AH255" s="798">
        <f t="shared" si="251"/>
        <v>1</v>
      </c>
      <c r="AI255" s="798">
        <f t="shared" si="251"/>
        <v>1</v>
      </c>
      <c r="AJ255" s="798">
        <f t="shared" si="251"/>
        <v>1</v>
      </c>
      <c r="AK255" s="798">
        <f t="shared" si="251"/>
        <v>1</v>
      </c>
      <c r="AL255" s="798">
        <f t="shared" si="251"/>
        <v>1</v>
      </c>
      <c r="AM255" s="798">
        <f t="shared" si="251"/>
        <v>1</v>
      </c>
      <c r="AN255" s="798">
        <f t="shared" si="251"/>
        <v>1</v>
      </c>
      <c r="AO255" s="798">
        <f t="shared" si="251"/>
        <v>1</v>
      </c>
      <c r="AP255" s="798">
        <f t="shared" si="251"/>
        <v>1</v>
      </c>
      <c r="AQ255" s="798">
        <f t="shared" si="251"/>
        <v>1</v>
      </c>
      <c r="AR255" s="798">
        <f t="shared" si="251"/>
        <v>1</v>
      </c>
      <c r="AS255" s="798">
        <f t="shared" si="251"/>
        <v>1</v>
      </c>
      <c r="AT255" s="798">
        <f t="shared" si="251"/>
        <v>1</v>
      </c>
      <c r="AU255" s="798">
        <f t="shared" si="251"/>
        <v>1</v>
      </c>
      <c r="AV255" s="798">
        <f t="shared" si="251"/>
        <v>1</v>
      </c>
      <c r="AW255" s="798">
        <f t="shared" si="251"/>
        <v>1</v>
      </c>
      <c r="AX255" s="798">
        <f t="shared" si="251"/>
        <v>1</v>
      </c>
      <c r="AY255" s="798">
        <f t="shared" si="251"/>
        <v>1</v>
      </c>
      <c r="AZ255" s="798">
        <f t="shared" si="251"/>
        <v>1</v>
      </c>
      <c r="BA255" s="798">
        <f t="shared" si="251"/>
        <v>1</v>
      </c>
      <c r="BB255" s="798">
        <f t="shared" si="251"/>
        <v>1</v>
      </c>
      <c r="BC255" s="798">
        <f t="shared" si="251"/>
        <v>1</v>
      </c>
      <c r="BD255" s="798">
        <f t="shared" si="251"/>
        <v>1</v>
      </c>
      <c r="BE255" s="798">
        <f t="shared" si="251"/>
        <v>1</v>
      </c>
      <c r="BF255" s="798">
        <f t="shared" si="251"/>
        <v>1</v>
      </c>
      <c r="BG255" s="798">
        <f t="shared" si="251"/>
        <v>1</v>
      </c>
      <c r="BH255" s="798">
        <f t="shared" si="251"/>
        <v>1</v>
      </c>
      <c r="BI255" s="798">
        <f t="shared" si="251"/>
        <v>1</v>
      </c>
      <c r="BJ255" s="798">
        <f t="shared" si="251"/>
        <v>1</v>
      </c>
      <c r="BK255" s="798">
        <f t="shared" si="251"/>
        <v>1</v>
      </c>
      <c r="BL255" s="765"/>
      <c r="BM255" s="817"/>
      <c r="BN255" s="817"/>
    </row>
    <row r="256" hidden="1">
      <c r="A256" s="765"/>
      <c r="B256" s="765"/>
      <c r="C256" s="765"/>
      <c r="D256" s="765"/>
      <c r="E256" s="765"/>
      <c r="F256" s="765"/>
      <c r="G256" s="765"/>
      <c r="H256" s="765"/>
      <c r="I256" s="765">
        <f t="shared" si="17"/>
        <v>245</v>
      </c>
      <c r="J256" s="763">
        <f t="shared" si="5"/>
        <v>474276933585</v>
      </c>
      <c r="K256" s="796">
        <f t="shared" si="7"/>
        <v>0.35629</v>
      </c>
      <c r="L256" s="796">
        <v>5.0E-4</v>
      </c>
      <c r="M256" s="763">
        <v>5.407946791159E11</v>
      </c>
      <c r="N256" s="797">
        <f t="shared" si="8"/>
        <v>0</v>
      </c>
      <c r="O256" s="798">
        <f t="shared" ref="O256:BK256" si="252">FLOOR(MIN((((N("value of ELS upgrade")+N$8*($K256-$K255))*(N("Check checkbox")+(IF($G$6=TRUE,$G$7,$G$8))/$G$8))/(N("ROI of ELS and multiply by 2 if ELS is 1:1")+IF($G$12 = True, 2, 1) * $J256))/((N("difference in ELS+ and the cost of it")+(($K255*O$8)-($K255*N$8)) / O$7)),(N("MIN lets it return 0 or 1 after floored")+1)),1)</f>
        <v>0</v>
      </c>
      <c r="P256" s="798">
        <f t="shared" si="252"/>
        <v>0</v>
      </c>
      <c r="Q256" s="798">
        <f t="shared" si="252"/>
        <v>0</v>
      </c>
      <c r="R256" s="798">
        <f t="shared" si="252"/>
        <v>0</v>
      </c>
      <c r="S256" s="798">
        <f t="shared" si="252"/>
        <v>0</v>
      </c>
      <c r="T256" s="798">
        <f t="shared" si="252"/>
        <v>0</v>
      </c>
      <c r="U256" s="798">
        <f t="shared" si="252"/>
        <v>1</v>
      </c>
      <c r="V256" s="798">
        <f t="shared" si="252"/>
        <v>1</v>
      </c>
      <c r="W256" s="798">
        <f t="shared" si="252"/>
        <v>1</v>
      </c>
      <c r="X256" s="798">
        <f t="shared" si="252"/>
        <v>1</v>
      </c>
      <c r="Y256" s="798">
        <f t="shared" si="252"/>
        <v>1</v>
      </c>
      <c r="Z256" s="798">
        <f t="shared" si="252"/>
        <v>1</v>
      </c>
      <c r="AA256" s="798">
        <f t="shared" si="252"/>
        <v>1</v>
      </c>
      <c r="AB256" s="798">
        <f t="shared" si="252"/>
        <v>1</v>
      </c>
      <c r="AC256" s="798">
        <f t="shared" si="252"/>
        <v>1</v>
      </c>
      <c r="AD256" s="798">
        <f t="shared" si="252"/>
        <v>1</v>
      </c>
      <c r="AE256" s="798">
        <f t="shared" si="252"/>
        <v>1</v>
      </c>
      <c r="AF256" s="798">
        <f t="shared" si="252"/>
        <v>1</v>
      </c>
      <c r="AG256" s="798">
        <f t="shared" si="252"/>
        <v>1</v>
      </c>
      <c r="AH256" s="798">
        <f t="shared" si="252"/>
        <v>1</v>
      </c>
      <c r="AI256" s="798">
        <f t="shared" si="252"/>
        <v>1</v>
      </c>
      <c r="AJ256" s="798">
        <f t="shared" si="252"/>
        <v>1</v>
      </c>
      <c r="AK256" s="798">
        <f t="shared" si="252"/>
        <v>1</v>
      </c>
      <c r="AL256" s="798">
        <f t="shared" si="252"/>
        <v>1</v>
      </c>
      <c r="AM256" s="798">
        <f t="shared" si="252"/>
        <v>1</v>
      </c>
      <c r="AN256" s="798">
        <f t="shared" si="252"/>
        <v>1</v>
      </c>
      <c r="AO256" s="798">
        <f t="shared" si="252"/>
        <v>1</v>
      </c>
      <c r="AP256" s="798">
        <f t="shared" si="252"/>
        <v>1</v>
      </c>
      <c r="AQ256" s="798">
        <f t="shared" si="252"/>
        <v>1</v>
      </c>
      <c r="AR256" s="798">
        <f t="shared" si="252"/>
        <v>1</v>
      </c>
      <c r="AS256" s="798">
        <f t="shared" si="252"/>
        <v>1</v>
      </c>
      <c r="AT256" s="798">
        <f t="shared" si="252"/>
        <v>1</v>
      </c>
      <c r="AU256" s="798">
        <f t="shared" si="252"/>
        <v>1</v>
      </c>
      <c r="AV256" s="798">
        <f t="shared" si="252"/>
        <v>1</v>
      </c>
      <c r="AW256" s="798">
        <f t="shared" si="252"/>
        <v>1</v>
      </c>
      <c r="AX256" s="798">
        <f t="shared" si="252"/>
        <v>1</v>
      </c>
      <c r="AY256" s="798">
        <f t="shared" si="252"/>
        <v>1</v>
      </c>
      <c r="AZ256" s="798">
        <f t="shared" si="252"/>
        <v>1</v>
      </c>
      <c r="BA256" s="798">
        <f t="shared" si="252"/>
        <v>1</v>
      </c>
      <c r="BB256" s="798">
        <f t="shared" si="252"/>
        <v>1</v>
      </c>
      <c r="BC256" s="798">
        <f t="shared" si="252"/>
        <v>1</v>
      </c>
      <c r="BD256" s="798">
        <f t="shared" si="252"/>
        <v>1</v>
      </c>
      <c r="BE256" s="798">
        <f t="shared" si="252"/>
        <v>1</v>
      </c>
      <c r="BF256" s="798">
        <f t="shared" si="252"/>
        <v>1</v>
      </c>
      <c r="BG256" s="798">
        <f t="shared" si="252"/>
        <v>1</v>
      </c>
      <c r="BH256" s="798">
        <f t="shared" si="252"/>
        <v>1</v>
      </c>
      <c r="BI256" s="798">
        <f t="shared" si="252"/>
        <v>1</v>
      </c>
      <c r="BJ256" s="798">
        <f t="shared" si="252"/>
        <v>1</v>
      </c>
      <c r="BK256" s="798">
        <f t="shared" si="252"/>
        <v>1</v>
      </c>
      <c r="BL256" s="765"/>
      <c r="BM256" s="817"/>
      <c r="BN256" s="817"/>
    </row>
    <row r="257" hidden="1">
      <c r="A257" s="765"/>
      <c r="B257" s="765"/>
      <c r="C257" s="765"/>
      <c r="D257" s="765"/>
      <c r="E257" s="765"/>
      <c r="F257" s="765"/>
      <c r="G257" s="765"/>
      <c r="H257" s="765"/>
      <c r="I257" s="765">
        <f t="shared" si="17"/>
        <v>246</v>
      </c>
      <c r="J257" s="763">
        <f t="shared" si="5"/>
        <v>476491683648</v>
      </c>
      <c r="K257" s="796">
        <f t="shared" si="7"/>
        <v>0.35679</v>
      </c>
      <c r="L257" s="796">
        <v>5.0E-4</v>
      </c>
      <c r="M257" s="763">
        <v>5.43320049769237E11</v>
      </c>
      <c r="N257" s="797">
        <f t="shared" si="8"/>
        <v>0</v>
      </c>
      <c r="O257" s="798">
        <f t="shared" ref="O257:BK257" si="253">FLOOR(MIN((((N("value of ELS upgrade")+N$8*($K257-$K256))*(N("Check checkbox")+(IF($G$6=TRUE,$G$7,$G$8))/$G$8))/(N("ROI of ELS and multiply by 2 if ELS is 1:1")+IF($G$12 = True, 2, 1) * $J257))/((N("difference in ELS+ and the cost of it")+(($K256*O$8)-($K256*N$8)) / O$7)),(N("MIN lets it return 0 or 1 after floored")+1)),1)</f>
        <v>0</v>
      </c>
      <c r="P257" s="798">
        <f t="shared" si="253"/>
        <v>0</v>
      </c>
      <c r="Q257" s="798">
        <f t="shared" si="253"/>
        <v>0</v>
      </c>
      <c r="R257" s="798">
        <f t="shared" si="253"/>
        <v>0</v>
      </c>
      <c r="S257" s="798">
        <f t="shared" si="253"/>
        <v>0</v>
      </c>
      <c r="T257" s="798">
        <f t="shared" si="253"/>
        <v>0</v>
      </c>
      <c r="U257" s="798">
        <f t="shared" si="253"/>
        <v>1</v>
      </c>
      <c r="V257" s="798">
        <f t="shared" si="253"/>
        <v>1</v>
      </c>
      <c r="W257" s="798">
        <f t="shared" si="253"/>
        <v>1</v>
      </c>
      <c r="X257" s="798">
        <f t="shared" si="253"/>
        <v>1</v>
      </c>
      <c r="Y257" s="798">
        <f t="shared" si="253"/>
        <v>1</v>
      </c>
      <c r="Z257" s="798">
        <f t="shared" si="253"/>
        <v>1</v>
      </c>
      <c r="AA257" s="798">
        <f t="shared" si="253"/>
        <v>1</v>
      </c>
      <c r="AB257" s="798">
        <f t="shared" si="253"/>
        <v>1</v>
      </c>
      <c r="AC257" s="798">
        <f t="shared" si="253"/>
        <v>1</v>
      </c>
      <c r="AD257" s="798">
        <f t="shared" si="253"/>
        <v>1</v>
      </c>
      <c r="AE257" s="798">
        <f t="shared" si="253"/>
        <v>1</v>
      </c>
      <c r="AF257" s="798">
        <f t="shared" si="253"/>
        <v>1</v>
      </c>
      <c r="AG257" s="798">
        <f t="shared" si="253"/>
        <v>1</v>
      </c>
      <c r="AH257" s="798">
        <f t="shared" si="253"/>
        <v>1</v>
      </c>
      <c r="AI257" s="798">
        <f t="shared" si="253"/>
        <v>1</v>
      </c>
      <c r="AJ257" s="798">
        <f t="shared" si="253"/>
        <v>1</v>
      </c>
      <c r="AK257" s="798">
        <f t="shared" si="253"/>
        <v>1</v>
      </c>
      <c r="AL257" s="798">
        <f t="shared" si="253"/>
        <v>1</v>
      </c>
      <c r="AM257" s="798">
        <f t="shared" si="253"/>
        <v>1</v>
      </c>
      <c r="AN257" s="798">
        <f t="shared" si="253"/>
        <v>1</v>
      </c>
      <c r="AO257" s="798">
        <f t="shared" si="253"/>
        <v>1</v>
      </c>
      <c r="AP257" s="798">
        <f t="shared" si="253"/>
        <v>1</v>
      </c>
      <c r="AQ257" s="798">
        <f t="shared" si="253"/>
        <v>1</v>
      </c>
      <c r="AR257" s="798">
        <f t="shared" si="253"/>
        <v>1</v>
      </c>
      <c r="AS257" s="798">
        <f t="shared" si="253"/>
        <v>1</v>
      </c>
      <c r="AT257" s="798">
        <f t="shared" si="253"/>
        <v>1</v>
      </c>
      <c r="AU257" s="798">
        <f t="shared" si="253"/>
        <v>1</v>
      </c>
      <c r="AV257" s="798">
        <f t="shared" si="253"/>
        <v>1</v>
      </c>
      <c r="AW257" s="798">
        <f t="shared" si="253"/>
        <v>1</v>
      </c>
      <c r="AX257" s="798">
        <f t="shared" si="253"/>
        <v>1</v>
      </c>
      <c r="AY257" s="798">
        <f t="shared" si="253"/>
        <v>1</v>
      </c>
      <c r="AZ257" s="798">
        <f t="shared" si="253"/>
        <v>1</v>
      </c>
      <c r="BA257" s="798">
        <f t="shared" si="253"/>
        <v>1</v>
      </c>
      <c r="BB257" s="798">
        <f t="shared" si="253"/>
        <v>1</v>
      </c>
      <c r="BC257" s="798">
        <f t="shared" si="253"/>
        <v>1</v>
      </c>
      <c r="BD257" s="798">
        <f t="shared" si="253"/>
        <v>1</v>
      </c>
      <c r="BE257" s="798">
        <f t="shared" si="253"/>
        <v>1</v>
      </c>
      <c r="BF257" s="798">
        <f t="shared" si="253"/>
        <v>1</v>
      </c>
      <c r="BG257" s="798">
        <f t="shared" si="253"/>
        <v>1</v>
      </c>
      <c r="BH257" s="798">
        <f t="shared" si="253"/>
        <v>1</v>
      </c>
      <c r="BI257" s="798">
        <f t="shared" si="253"/>
        <v>1</v>
      </c>
      <c r="BJ257" s="798">
        <f t="shared" si="253"/>
        <v>1</v>
      </c>
      <c r="BK257" s="798">
        <f t="shared" si="253"/>
        <v>1</v>
      </c>
      <c r="BL257" s="765"/>
      <c r="BM257" s="817"/>
      <c r="BN257" s="817"/>
    </row>
    <row r="258" hidden="1">
      <c r="A258" s="765"/>
      <c r="B258" s="765"/>
      <c r="C258" s="765"/>
      <c r="D258" s="765"/>
      <c r="E258" s="765"/>
      <c r="F258" s="765"/>
      <c r="G258" s="765"/>
      <c r="H258" s="765"/>
      <c r="I258" s="765">
        <f t="shared" si="17"/>
        <v>247</v>
      </c>
      <c r="J258" s="763">
        <f t="shared" si="5"/>
        <v>478711888484</v>
      </c>
      <c r="K258" s="796">
        <f t="shared" si="7"/>
        <v>0.35729</v>
      </c>
      <c r="L258" s="796">
        <v>5.0E-4</v>
      </c>
      <c r="M258" s="763">
        <v>5.4585164023242E11</v>
      </c>
      <c r="N258" s="797">
        <f t="shared" si="8"/>
        <v>0</v>
      </c>
      <c r="O258" s="798">
        <f t="shared" ref="O258:BK258" si="254">FLOOR(MIN((((N("value of ELS upgrade")+N$8*($K258-$K257))*(N("Check checkbox")+(IF($G$6=TRUE,$G$7,$G$8))/$G$8))/(N("ROI of ELS and multiply by 2 if ELS is 1:1")+IF($G$12 = True, 2, 1) * $J258))/((N("difference in ELS+ and the cost of it")+(($K257*O$8)-($K257*N$8)) / O$7)),(N("MIN lets it return 0 or 1 after floored")+1)),1)</f>
        <v>0</v>
      </c>
      <c r="P258" s="798">
        <f t="shared" si="254"/>
        <v>0</v>
      </c>
      <c r="Q258" s="798">
        <f t="shared" si="254"/>
        <v>0</v>
      </c>
      <c r="R258" s="798">
        <f t="shared" si="254"/>
        <v>0</v>
      </c>
      <c r="S258" s="798">
        <f t="shared" si="254"/>
        <v>0</v>
      </c>
      <c r="T258" s="798">
        <f t="shared" si="254"/>
        <v>0</v>
      </c>
      <c r="U258" s="798">
        <f t="shared" si="254"/>
        <v>1</v>
      </c>
      <c r="V258" s="798">
        <f t="shared" si="254"/>
        <v>1</v>
      </c>
      <c r="W258" s="798">
        <f t="shared" si="254"/>
        <v>1</v>
      </c>
      <c r="X258" s="798">
        <f t="shared" si="254"/>
        <v>1</v>
      </c>
      <c r="Y258" s="798">
        <f t="shared" si="254"/>
        <v>1</v>
      </c>
      <c r="Z258" s="798">
        <f t="shared" si="254"/>
        <v>1</v>
      </c>
      <c r="AA258" s="798">
        <f t="shared" si="254"/>
        <v>1</v>
      </c>
      <c r="AB258" s="798">
        <f t="shared" si="254"/>
        <v>1</v>
      </c>
      <c r="AC258" s="798">
        <f t="shared" si="254"/>
        <v>1</v>
      </c>
      <c r="AD258" s="798">
        <f t="shared" si="254"/>
        <v>1</v>
      </c>
      <c r="AE258" s="798">
        <f t="shared" si="254"/>
        <v>1</v>
      </c>
      <c r="AF258" s="798">
        <f t="shared" si="254"/>
        <v>1</v>
      </c>
      <c r="AG258" s="798">
        <f t="shared" si="254"/>
        <v>1</v>
      </c>
      <c r="AH258" s="798">
        <f t="shared" si="254"/>
        <v>1</v>
      </c>
      <c r="AI258" s="798">
        <f t="shared" si="254"/>
        <v>1</v>
      </c>
      <c r="AJ258" s="798">
        <f t="shared" si="254"/>
        <v>1</v>
      </c>
      <c r="AK258" s="798">
        <f t="shared" si="254"/>
        <v>1</v>
      </c>
      <c r="AL258" s="798">
        <f t="shared" si="254"/>
        <v>1</v>
      </c>
      <c r="AM258" s="798">
        <f t="shared" si="254"/>
        <v>1</v>
      </c>
      <c r="AN258" s="798">
        <f t="shared" si="254"/>
        <v>1</v>
      </c>
      <c r="AO258" s="798">
        <f t="shared" si="254"/>
        <v>1</v>
      </c>
      <c r="AP258" s="798">
        <f t="shared" si="254"/>
        <v>1</v>
      </c>
      <c r="AQ258" s="798">
        <f t="shared" si="254"/>
        <v>1</v>
      </c>
      <c r="AR258" s="798">
        <f t="shared" si="254"/>
        <v>1</v>
      </c>
      <c r="AS258" s="798">
        <f t="shared" si="254"/>
        <v>1</v>
      </c>
      <c r="AT258" s="798">
        <f t="shared" si="254"/>
        <v>1</v>
      </c>
      <c r="AU258" s="798">
        <f t="shared" si="254"/>
        <v>1</v>
      </c>
      <c r="AV258" s="798">
        <f t="shared" si="254"/>
        <v>1</v>
      </c>
      <c r="AW258" s="798">
        <f t="shared" si="254"/>
        <v>1</v>
      </c>
      <c r="AX258" s="798">
        <f t="shared" si="254"/>
        <v>1</v>
      </c>
      <c r="AY258" s="798">
        <f t="shared" si="254"/>
        <v>1</v>
      </c>
      <c r="AZ258" s="798">
        <f t="shared" si="254"/>
        <v>1</v>
      </c>
      <c r="BA258" s="798">
        <f t="shared" si="254"/>
        <v>1</v>
      </c>
      <c r="BB258" s="798">
        <f t="shared" si="254"/>
        <v>1</v>
      </c>
      <c r="BC258" s="798">
        <f t="shared" si="254"/>
        <v>1</v>
      </c>
      <c r="BD258" s="798">
        <f t="shared" si="254"/>
        <v>1</v>
      </c>
      <c r="BE258" s="798">
        <f t="shared" si="254"/>
        <v>1</v>
      </c>
      <c r="BF258" s="798">
        <f t="shared" si="254"/>
        <v>1</v>
      </c>
      <c r="BG258" s="798">
        <f t="shared" si="254"/>
        <v>1</v>
      </c>
      <c r="BH258" s="798">
        <f t="shared" si="254"/>
        <v>1</v>
      </c>
      <c r="BI258" s="798">
        <f t="shared" si="254"/>
        <v>1</v>
      </c>
      <c r="BJ258" s="798">
        <f t="shared" si="254"/>
        <v>1</v>
      </c>
      <c r="BK258" s="798">
        <f t="shared" si="254"/>
        <v>1</v>
      </c>
      <c r="BL258" s="765"/>
      <c r="BM258" s="817"/>
      <c r="BN258" s="817"/>
    </row>
    <row r="259" hidden="1">
      <c r="A259" s="765"/>
      <c r="B259" s="765"/>
      <c r="C259" s="765"/>
      <c r="D259" s="765"/>
      <c r="E259" s="765"/>
      <c r="F259" s="765"/>
      <c r="G259" s="765"/>
      <c r="H259" s="765"/>
      <c r="I259" s="765">
        <f t="shared" si="17"/>
        <v>248</v>
      </c>
      <c r="J259" s="763">
        <f t="shared" si="5"/>
        <v>480937574477</v>
      </c>
      <c r="K259" s="796">
        <f t="shared" si="7"/>
        <v>0.35779</v>
      </c>
      <c r="L259" s="796">
        <v>5.0E-4</v>
      </c>
      <c r="M259" s="763">
        <v>5.48389480589174E11</v>
      </c>
      <c r="N259" s="797">
        <f t="shared" si="8"/>
        <v>0</v>
      </c>
      <c r="O259" s="798">
        <f t="shared" ref="O259:BK259" si="255">FLOOR(MIN((((N("value of ELS upgrade")+N$8*($K259-$K258))*(N("Check checkbox")+(IF($G$6=TRUE,$G$7,$G$8))/$G$8))/(N("ROI of ELS and multiply by 2 if ELS is 1:1")+IF($G$12 = True, 2, 1) * $J259))/((N("difference in ELS+ and the cost of it")+(($K258*O$8)-($K258*N$8)) / O$7)),(N("MIN lets it return 0 or 1 after floored")+1)),1)</f>
        <v>0</v>
      </c>
      <c r="P259" s="798">
        <f t="shared" si="255"/>
        <v>0</v>
      </c>
      <c r="Q259" s="798">
        <f t="shared" si="255"/>
        <v>0</v>
      </c>
      <c r="R259" s="798">
        <f t="shared" si="255"/>
        <v>0</v>
      </c>
      <c r="S259" s="798">
        <f t="shared" si="255"/>
        <v>0</v>
      </c>
      <c r="T259" s="798">
        <f t="shared" si="255"/>
        <v>0</v>
      </c>
      <c r="U259" s="798">
        <f t="shared" si="255"/>
        <v>1</v>
      </c>
      <c r="V259" s="798">
        <f t="shared" si="255"/>
        <v>1</v>
      </c>
      <c r="W259" s="798">
        <f t="shared" si="255"/>
        <v>1</v>
      </c>
      <c r="X259" s="798">
        <f t="shared" si="255"/>
        <v>1</v>
      </c>
      <c r="Y259" s="798">
        <f t="shared" si="255"/>
        <v>1</v>
      </c>
      <c r="Z259" s="798">
        <f t="shared" si="255"/>
        <v>1</v>
      </c>
      <c r="AA259" s="798">
        <f t="shared" si="255"/>
        <v>1</v>
      </c>
      <c r="AB259" s="798">
        <f t="shared" si="255"/>
        <v>1</v>
      </c>
      <c r="AC259" s="798">
        <f t="shared" si="255"/>
        <v>1</v>
      </c>
      <c r="AD259" s="798">
        <f t="shared" si="255"/>
        <v>1</v>
      </c>
      <c r="AE259" s="798">
        <f t="shared" si="255"/>
        <v>1</v>
      </c>
      <c r="AF259" s="798">
        <f t="shared" si="255"/>
        <v>1</v>
      </c>
      <c r="AG259" s="798">
        <f t="shared" si="255"/>
        <v>1</v>
      </c>
      <c r="AH259" s="798">
        <f t="shared" si="255"/>
        <v>1</v>
      </c>
      <c r="AI259" s="798">
        <f t="shared" si="255"/>
        <v>1</v>
      </c>
      <c r="AJ259" s="798">
        <f t="shared" si="255"/>
        <v>1</v>
      </c>
      <c r="AK259" s="798">
        <f t="shared" si="255"/>
        <v>1</v>
      </c>
      <c r="AL259" s="798">
        <f t="shared" si="255"/>
        <v>1</v>
      </c>
      <c r="AM259" s="798">
        <f t="shared" si="255"/>
        <v>1</v>
      </c>
      <c r="AN259" s="798">
        <f t="shared" si="255"/>
        <v>1</v>
      </c>
      <c r="AO259" s="798">
        <f t="shared" si="255"/>
        <v>1</v>
      </c>
      <c r="AP259" s="798">
        <f t="shared" si="255"/>
        <v>1</v>
      </c>
      <c r="AQ259" s="798">
        <f t="shared" si="255"/>
        <v>1</v>
      </c>
      <c r="AR259" s="798">
        <f t="shared" si="255"/>
        <v>1</v>
      </c>
      <c r="AS259" s="798">
        <f t="shared" si="255"/>
        <v>1</v>
      </c>
      <c r="AT259" s="798">
        <f t="shared" si="255"/>
        <v>1</v>
      </c>
      <c r="AU259" s="798">
        <f t="shared" si="255"/>
        <v>1</v>
      </c>
      <c r="AV259" s="798">
        <f t="shared" si="255"/>
        <v>1</v>
      </c>
      <c r="AW259" s="798">
        <f t="shared" si="255"/>
        <v>1</v>
      </c>
      <c r="AX259" s="798">
        <f t="shared" si="255"/>
        <v>1</v>
      </c>
      <c r="AY259" s="798">
        <f t="shared" si="255"/>
        <v>1</v>
      </c>
      <c r="AZ259" s="798">
        <f t="shared" si="255"/>
        <v>1</v>
      </c>
      <c r="BA259" s="798">
        <f t="shared" si="255"/>
        <v>1</v>
      </c>
      <c r="BB259" s="798">
        <f t="shared" si="255"/>
        <v>1</v>
      </c>
      <c r="BC259" s="798">
        <f t="shared" si="255"/>
        <v>1</v>
      </c>
      <c r="BD259" s="798">
        <f t="shared" si="255"/>
        <v>1</v>
      </c>
      <c r="BE259" s="798">
        <f t="shared" si="255"/>
        <v>1</v>
      </c>
      <c r="BF259" s="798">
        <f t="shared" si="255"/>
        <v>1</v>
      </c>
      <c r="BG259" s="798">
        <f t="shared" si="255"/>
        <v>1</v>
      </c>
      <c r="BH259" s="798">
        <f t="shared" si="255"/>
        <v>1</v>
      </c>
      <c r="BI259" s="798">
        <f t="shared" si="255"/>
        <v>1</v>
      </c>
      <c r="BJ259" s="798">
        <f t="shared" si="255"/>
        <v>1</v>
      </c>
      <c r="BK259" s="798">
        <f t="shared" si="255"/>
        <v>1</v>
      </c>
      <c r="BL259" s="765"/>
      <c r="BM259" s="817"/>
      <c r="BN259" s="817"/>
    </row>
    <row r="260" hidden="1">
      <c r="A260" s="765"/>
      <c r="B260" s="765"/>
      <c r="C260" s="765"/>
      <c r="D260" s="765"/>
      <c r="E260" s="765"/>
      <c r="F260" s="765"/>
      <c r="G260" s="765"/>
      <c r="H260" s="765"/>
      <c r="I260" s="765">
        <f t="shared" si="17"/>
        <v>249</v>
      </c>
      <c r="J260" s="763">
        <f t="shared" si="5"/>
        <v>483168774606</v>
      </c>
      <c r="K260" s="796">
        <f t="shared" si="7"/>
        <v>0.35829</v>
      </c>
      <c r="L260" s="796">
        <v>5.0E-4</v>
      </c>
      <c r="M260" s="763">
        <v>5.50933608444151E11</v>
      </c>
      <c r="N260" s="797">
        <f t="shared" si="8"/>
        <v>0</v>
      </c>
      <c r="O260" s="798">
        <f t="shared" ref="O260:BK260" si="256">FLOOR(MIN((((N("value of ELS upgrade")+N$8*($K260-$K259))*(N("Check checkbox")+(IF($G$6=TRUE,$G$7,$G$8))/$G$8))/(N("ROI of ELS and multiply by 2 if ELS is 1:1")+IF($G$12 = True, 2, 1) * $J260))/((N("difference in ELS+ and the cost of it")+(($K259*O$8)-($K259*N$8)) / O$7)),(N("MIN lets it return 0 or 1 after floored")+1)),1)</f>
        <v>0</v>
      </c>
      <c r="P260" s="798">
        <f t="shared" si="256"/>
        <v>0</v>
      </c>
      <c r="Q260" s="798">
        <f t="shared" si="256"/>
        <v>0</v>
      </c>
      <c r="R260" s="798">
        <f t="shared" si="256"/>
        <v>0</v>
      </c>
      <c r="S260" s="798">
        <f t="shared" si="256"/>
        <v>0</v>
      </c>
      <c r="T260" s="798">
        <f t="shared" si="256"/>
        <v>0</v>
      </c>
      <c r="U260" s="798">
        <f t="shared" si="256"/>
        <v>1</v>
      </c>
      <c r="V260" s="798">
        <f t="shared" si="256"/>
        <v>1</v>
      </c>
      <c r="W260" s="798">
        <f t="shared" si="256"/>
        <v>1</v>
      </c>
      <c r="X260" s="798">
        <f t="shared" si="256"/>
        <v>1</v>
      </c>
      <c r="Y260" s="798">
        <f t="shared" si="256"/>
        <v>1</v>
      </c>
      <c r="Z260" s="798">
        <f t="shared" si="256"/>
        <v>1</v>
      </c>
      <c r="AA260" s="798">
        <f t="shared" si="256"/>
        <v>1</v>
      </c>
      <c r="AB260" s="798">
        <f t="shared" si="256"/>
        <v>1</v>
      </c>
      <c r="AC260" s="798">
        <f t="shared" si="256"/>
        <v>1</v>
      </c>
      <c r="AD260" s="798">
        <f t="shared" si="256"/>
        <v>1</v>
      </c>
      <c r="AE260" s="798">
        <f t="shared" si="256"/>
        <v>1</v>
      </c>
      <c r="AF260" s="798">
        <f t="shared" si="256"/>
        <v>1</v>
      </c>
      <c r="AG260" s="798">
        <f t="shared" si="256"/>
        <v>1</v>
      </c>
      <c r="AH260" s="798">
        <f t="shared" si="256"/>
        <v>1</v>
      </c>
      <c r="AI260" s="798">
        <f t="shared" si="256"/>
        <v>1</v>
      </c>
      <c r="AJ260" s="798">
        <f t="shared" si="256"/>
        <v>1</v>
      </c>
      <c r="AK260" s="798">
        <f t="shared" si="256"/>
        <v>1</v>
      </c>
      <c r="AL260" s="798">
        <f t="shared" si="256"/>
        <v>1</v>
      </c>
      <c r="AM260" s="798">
        <f t="shared" si="256"/>
        <v>1</v>
      </c>
      <c r="AN260" s="798">
        <f t="shared" si="256"/>
        <v>1</v>
      </c>
      <c r="AO260" s="798">
        <f t="shared" si="256"/>
        <v>1</v>
      </c>
      <c r="AP260" s="798">
        <f t="shared" si="256"/>
        <v>1</v>
      </c>
      <c r="AQ260" s="798">
        <f t="shared" si="256"/>
        <v>1</v>
      </c>
      <c r="AR260" s="798">
        <f t="shared" si="256"/>
        <v>1</v>
      </c>
      <c r="AS260" s="798">
        <f t="shared" si="256"/>
        <v>1</v>
      </c>
      <c r="AT260" s="798">
        <f t="shared" si="256"/>
        <v>1</v>
      </c>
      <c r="AU260" s="798">
        <f t="shared" si="256"/>
        <v>1</v>
      </c>
      <c r="AV260" s="798">
        <f t="shared" si="256"/>
        <v>1</v>
      </c>
      <c r="AW260" s="798">
        <f t="shared" si="256"/>
        <v>1</v>
      </c>
      <c r="AX260" s="798">
        <f t="shared" si="256"/>
        <v>1</v>
      </c>
      <c r="AY260" s="798">
        <f t="shared" si="256"/>
        <v>1</v>
      </c>
      <c r="AZ260" s="798">
        <f t="shared" si="256"/>
        <v>1</v>
      </c>
      <c r="BA260" s="798">
        <f t="shared" si="256"/>
        <v>1</v>
      </c>
      <c r="BB260" s="798">
        <f t="shared" si="256"/>
        <v>1</v>
      </c>
      <c r="BC260" s="798">
        <f t="shared" si="256"/>
        <v>1</v>
      </c>
      <c r="BD260" s="798">
        <f t="shared" si="256"/>
        <v>1</v>
      </c>
      <c r="BE260" s="798">
        <f t="shared" si="256"/>
        <v>1</v>
      </c>
      <c r="BF260" s="798">
        <f t="shared" si="256"/>
        <v>1</v>
      </c>
      <c r="BG260" s="798">
        <f t="shared" si="256"/>
        <v>1</v>
      </c>
      <c r="BH260" s="798">
        <f t="shared" si="256"/>
        <v>1</v>
      </c>
      <c r="BI260" s="798">
        <f t="shared" si="256"/>
        <v>1</v>
      </c>
      <c r="BJ260" s="798">
        <f t="shared" si="256"/>
        <v>1</v>
      </c>
      <c r="BK260" s="798">
        <f t="shared" si="256"/>
        <v>1</v>
      </c>
      <c r="BL260" s="765"/>
      <c r="BM260" s="817"/>
      <c r="BN260" s="817"/>
    </row>
    <row r="261" hidden="1">
      <c r="A261" s="765"/>
      <c r="B261" s="765"/>
      <c r="C261" s="765"/>
      <c r="D261" s="765"/>
      <c r="E261" s="765"/>
      <c r="F261" s="765"/>
      <c r="G261" s="765"/>
      <c r="H261" s="765"/>
      <c r="I261" s="765">
        <f t="shared" si="17"/>
        <v>250</v>
      </c>
      <c r="J261" s="763">
        <f t="shared" si="5"/>
        <v>485405515254</v>
      </c>
      <c r="K261" s="796">
        <f t="shared" si="7"/>
        <v>0.35879</v>
      </c>
      <c r="L261" s="796">
        <v>5.0E-4</v>
      </c>
      <c r="M261" s="763">
        <v>5.53484053881076E11</v>
      </c>
      <c r="N261" s="797">
        <f t="shared" si="8"/>
        <v>0</v>
      </c>
      <c r="O261" s="798">
        <f t="shared" ref="O261:BK261" si="257">FLOOR(MIN((((N("value of ELS upgrade")+N$8*($K261-$K260))*(N("Check checkbox")+(IF($G$6=TRUE,$G$7,$G$8))/$G$8))/(N("ROI of ELS and multiply by 2 if ELS is 1:1")+IF($G$12 = True, 2, 1) * $J261))/((N("difference in ELS+ and the cost of it")+(($K260*O$8)-($K260*N$8)) / O$7)),(N("MIN lets it return 0 or 1 after floored")+1)),1)</f>
        <v>0</v>
      </c>
      <c r="P261" s="798">
        <f t="shared" si="257"/>
        <v>0</v>
      </c>
      <c r="Q261" s="798">
        <f t="shared" si="257"/>
        <v>0</v>
      </c>
      <c r="R261" s="798">
        <f t="shared" si="257"/>
        <v>0</v>
      </c>
      <c r="S261" s="798">
        <f t="shared" si="257"/>
        <v>0</v>
      </c>
      <c r="T261" s="798">
        <f t="shared" si="257"/>
        <v>0</v>
      </c>
      <c r="U261" s="798">
        <f t="shared" si="257"/>
        <v>1</v>
      </c>
      <c r="V261" s="798">
        <f t="shared" si="257"/>
        <v>1</v>
      </c>
      <c r="W261" s="798">
        <f t="shared" si="257"/>
        <v>1</v>
      </c>
      <c r="X261" s="798">
        <f t="shared" si="257"/>
        <v>1</v>
      </c>
      <c r="Y261" s="798">
        <f t="shared" si="257"/>
        <v>1</v>
      </c>
      <c r="Z261" s="798">
        <f t="shared" si="257"/>
        <v>1</v>
      </c>
      <c r="AA261" s="798">
        <f t="shared" si="257"/>
        <v>1</v>
      </c>
      <c r="AB261" s="798">
        <f t="shared" si="257"/>
        <v>1</v>
      </c>
      <c r="AC261" s="798">
        <f t="shared" si="257"/>
        <v>1</v>
      </c>
      <c r="AD261" s="798">
        <f t="shared" si="257"/>
        <v>1</v>
      </c>
      <c r="AE261" s="798">
        <f t="shared" si="257"/>
        <v>1</v>
      </c>
      <c r="AF261" s="798">
        <f t="shared" si="257"/>
        <v>1</v>
      </c>
      <c r="AG261" s="798">
        <f t="shared" si="257"/>
        <v>1</v>
      </c>
      <c r="AH261" s="798">
        <f t="shared" si="257"/>
        <v>1</v>
      </c>
      <c r="AI261" s="798">
        <f t="shared" si="257"/>
        <v>1</v>
      </c>
      <c r="AJ261" s="798">
        <f t="shared" si="257"/>
        <v>1</v>
      </c>
      <c r="AK261" s="798">
        <f t="shared" si="257"/>
        <v>1</v>
      </c>
      <c r="AL261" s="798">
        <f t="shared" si="257"/>
        <v>1</v>
      </c>
      <c r="AM261" s="798">
        <f t="shared" si="257"/>
        <v>1</v>
      </c>
      <c r="AN261" s="798">
        <f t="shared" si="257"/>
        <v>1</v>
      </c>
      <c r="AO261" s="798">
        <f t="shared" si="257"/>
        <v>1</v>
      </c>
      <c r="AP261" s="798">
        <f t="shared" si="257"/>
        <v>1</v>
      </c>
      <c r="AQ261" s="798">
        <f t="shared" si="257"/>
        <v>1</v>
      </c>
      <c r="AR261" s="798">
        <f t="shared" si="257"/>
        <v>1</v>
      </c>
      <c r="AS261" s="798">
        <f t="shared" si="257"/>
        <v>1</v>
      </c>
      <c r="AT261" s="798">
        <f t="shared" si="257"/>
        <v>1</v>
      </c>
      <c r="AU261" s="798">
        <f t="shared" si="257"/>
        <v>1</v>
      </c>
      <c r="AV261" s="798">
        <f t="shared" si="257"/>
        <v>1</v>
      </c>
      <c r="AW261" s="798">
        <f t="shared" si="257"/>
        <v>1</v>
      </c>
      <c r="AX261" s="798">
        <f t="shared" si="257"/>
        <v>1</v>
      </c>
      <c r="AY261" s="798">
        <f t="shared" si="257"/>
        <v>1</v>
      </c>
      <c r="AZ261" s="798">
        <f t="shared" si="257"/>
        <v>1</v>
      </c>
      <c r="BA261" s="798">
        <f t="shared" si="257"/>
        <v>1</v>
      </c>
      <c r="BB261" s="798">
        <f t="shared" si="257"/>
        <v>1</v>
      </c>
      <c r="BC261" s="798">
        <f t="shared" si="257"/>
        <v>1</v>
      </c>
      <c r="BD261" s="798">
        <f t="shared" si="257"/>
        <v>1</v>
      </c>
      <c r="BE261" s="798">
        <f t="shared" si="257"/>
        <v>1</v>
      </c>
      <c r="BF261" s="798">
        <f t="shared" si="257"/>
        <v>1</v>
      </c>
      <c r="BG261" s="798">
        <f t="shared" si="257"/>
        <v>1</v>
      </c>
      <c r="BH261" s="798">
        <f t="shared" si="257"/>
        <v>1</v>
      </c>
      <c r="BI261" s="798">
        <f t="shared" si="257"/>
        <v>1</v>
      </c>
      <c r="BJ261" s="798">
        <f t="shared" si="257"/>
        <v>1</v>
      </c>
      <c r="BK261" s="798">
        <f t="shared" si="257"/>
        <v>1</v>
      </c>
      <c r="BL261" s="765"/>
      <c r="BM261" s="817"/>
      <c r="BN261" s="817"/>
    </row>
    <row r="262" hidden="1">
      <c r="A262" s="765"/>
      <c r="B262" s="765"/>
      <c r="C262" s="765"/>
      <c r="D262" s="765"/>
      <c r="E262" s="765"/>
      <c r="F262" s="765"/>
      <c r="G262" s="765"/>
      <c r="H262" s="765"/>
      <c r="I262" s="765">
        <f t="shared" si="17"/>
        <v>251</v>
      </c>
      <c r="J262" s="763">
        <f t="shared" si="5"/>
        <v>487647829401</v>
      </c>
      <c r="K262" s="796">
        <f t="shared" si="7"/>
        <v>0.35929</v>
      </c>
      <c r="L262" s="796">
        <v>5.0E-4</v>
      </c>
      <c r="M262" s="763">
        <v>5.56040854504603E11</v>
      </c>
      <c r="N262" s="797">
        <f t="shared" si="8"/>
        <v>0</v>
      </c>
      <c r="O262" s="798">
        <f t="shared" ref="O262:BK262" si="258">FLOOR(MIN((((N("value of ELS upgrade")+N$8*($K262-$K261))*(N("Check checkbox")+(IF($G$6=TRUE,$G$7,$G$8))/$G$8))/(N("ROI of ELS and multiply by 2 if ELS is 1:1")+IF($G$12 = True, 2, 1) * $J262))/((N("difference in ELS+ and the cost of it")+(($K261*O$8)-($K261*N$8)) / O$7)),(N("MIN lets it return 0 or 1 after floored")+1)),1)</f>
        <v>0</v>
      </c>
      <c r="P262" s="798">
        <f t="shared" si="258"/>
        <v>0</v>
      </c>
      <c r="Q262" s="798">
        <f t="shared" si="258"/>
        <v>0</v>
      </c>
      <c r="R262" s="798">
        <f t="shared" si="258"/>
        <v>0</v>
      </c>
      <c r="S262" s="798">
        <f t="shared" si="258"/>
        <v>0</v>
      </c>
      <c r="T262" s="798">
        <f t="shared" si="258"/>
        <v>0</v>
      </c>
      <c r="U262" s="798">
        <f t="shared" si="258"/>
        <v>1</v>
      </c>
      <c r="V262" s="798">
        <f t="shared" si="258"/>
        <v>1</v>
      </c>
      <c r="W262" s="798">
        <f t="shared" si="258"/>
        <v>1</v>
      </c>
      <c r="X262" s="798">
        <f t="shared" si="258"/>
        <v>1</v>
      </c>
      <c r="Y262" s="798">
        <f t="shared" si="258"/>
        <v>1</v>
      </c>
      <c r="Z262" s="798">
        <f t="shared" si="258"/>
        <v>1</v>
      </c>
      <c r="AA262" s="798">
        <f t="shared" si="258"/>
        <v>1</v>
      </c>
      <c r="AB262" s="798">
        <f t="shared" si="258"/>
        <v>1</v>
      </c>
      <c r="AC262" s="798">
        <f t="shared" si="258"/>
        <v>1</v>
      </c>
      <c r="AD262" s="798">
        <f t="shared" si="258"/>
        <v>1</v>
      </c>
      <c r="AE262" s="798">
        <f t="shared" si="258"/>
        <v>1</v>
      </c>
      <c r="AF262" s="798">
        <f t="shared" si="258"/>
        <v>1</v>
      </c>
      <c r="AG262" s="798">
        <f t="shared" si="258"/>
        <v>1</v>
      </c>
      <c r="AH262" s="798">
        <f t="shared" si="258"/>
        <v>1</v>
      </c>
      <c r="AI262" s="798">
        <f t="shared" si="258"/>
        <v>1</v>
      </c>
      <c r="AJ262" s="798">
        <f t="shared" si="258"/>
        <v>1</v>
      </c>
      <c r="AK262" s="798">
        <f t="shared" si="258"/>
        <v>1</v>
      </c>
      <c r="AL262" s="798">
        <f t="shared" si="258"/>
        <v>1</v>
      </c>
      <c r="AM262" s="798">
        <f t="shared" si="258"/>
        <v>1</v>
      </c>
      <c r="AN262" s="798">
        <f t="shared" si="258"/>
        <v>1</v>
      </c>
      <c r="AO262" s="798">
        <f t="shared" si="258"/>
        <v>1</v>
      </c>
      <c r="AP262" s="798">
        <f t="shared" si="258"/>
        <v>1</v>
      </c>
      <c r="AQ262" s="798">
        <f t="shared" si="258"/>
        <v>1</v>
      </c>
      <c r="AR262" s="798">
        <f t="shared" si="258"/>
        <v>1</v>
      </c>
      <c r="AS262" s="798">
        <f t="shared" si="258"/>
        <v>1</v>
      </c>
      <c r="AT262" s="798">
        <f t="shared" si="258"/>
        <v>1</v>
      </c>
      <c r="AU262" s="798">
        <f t="shared" si="258"/>
        <v>1</v>
      </c>
      <c r="AV262" s="798">
        <f t="shared" si="258"/>
        <v>1</v>
      </c>
      <c r="AW262" s="798">
        <f t="shared" si="258"/>
        <v>1</v>
      </c>
      <c r="AX262" s="798">
        <f t="shared" si="258"/>
        <v>1</v>
      </c>
      <c r="AY262" s="798">
        <f t="shared" si="258"/>
        <v>1</v>
      </c>
      <c r="AZ262" s="798">
        <f t="shared" si="258"/>
        <v>1</v>
      </c>
      <c r="BA262" s="798">
        <f t="shared" si="258"/>
        <v>1</v>
      </c>
      <c r="BB262" s="798">
        <f t="shared" si="258"/>
        <v>1</v>
      </c>
      <c r="BC262" s="798">
        <f t="shared" si="258"/>
        <v>1</v>
      </c>
      <c r="BD262" s="798">
        <f t="shared" si="258"/>
        <v>1</v>
      </c>
      <c r="BE262" s="798">
        <f t="shared" si="258"/>
        <v>1</v>
      </c>
      <c r="BF262" s="798">
        <f t="shared" si="258"/>
        <v>1</v>
      </c>
      <c r="BG262" s="798">
        <f t="shared" si="258"/>
        <v>1</v>
      </c>
      <c r="BH262" s="798">
        <f t="shared" si="258"/>
        <v>1</v>
      </c>
      <c r="BI262" s="798">
        <f t="shared" si="258"/>
        <v>1</v>
      </c>
      <c r="BJ262" s="798">
        <f t="shared" si="258"/>
        <v>1</v>
      </c>
      <c r="BK262" s="798">
        <f t="shared" si="258"/>
        <v>1</v>
      </c>
      <c r="BL262" s="765"/>
      <c r="BM262" s="817"/>
      <c r="BN262" s="817"/>
    </row>
    <row r="263" hidden="1">
      <c r="A263" s="765"/>
      <c r="B263" s="765"/>
      <c r="C263" s="765"/>
      <c r="D263" s="765"/>
      <c r="E263" s="765"/>
      <c r="F263" s="765"/>
      <c r="G263" s="765"/>
      <c r="H263" s="765"/>
      <c r="I263" s="765">
        <f t="shared" si="17"/>
        <v>252</v>
      </c>
      <c r="J263" s="763">
        <f t="shared" si="5"/>
        <v>489895750025</v>
      </c>
      <c r="K263" s="796">
        <f t="shared" si="7"/>
        <v>0.35979</v>
      </c>
      <c r="L263" s="796">
        <v>5.0E-4</v>
      </c>
      <c r="M263" s="763">
        <v>5.58604047919386E11</v>
      </c>
      <c r="N263" s="797">
        <f t="shared" si="8"/>
        <v>0</v>
      </c>
      <c r="O263" s="798">
        <f t="shared" ref="O263:BK263" si="259">FLOOR(MIN((((N("value of ELS upgrade")+N$8*($K263-$K262))*(N("Check checkbox")+(IF($G$6=TRUE,$G$7,$G$8))/$G$8))/(N("ROI of ELS and multiply by 2 if ELS is 1:1")+IF($G$12 = True, 2, 1) * $J263))/((N("difference in ELS+ and the cost of it")+(($K262*O$8)-($K262*N$8)) / O$7)),(N("MIN lets it return 0 or 1 after floored")+1)),1)</f>
        <v>0</v>
      </c>
      <c r="P263" s="798">
        <f t="shared" si="259"/>
        <v>0</v>
      </c>
      <c r="Q263" s="798">
        <f t="shared" si="259"/>
        <v>0</v>
      </c>
      <c r="R263" s="798">
        <f t="shared" si="259"/>
        <v>0</v>
      </c>
      <c r="S263" s="798">
        <f t="shared" si="259"/>
        <v>0</v>
      </c>
      <c r="T263" s="798">
        <f t="shared" si="259"/>
        <v>0</v>
      </c>
      <c r="U263" s="798">
        <f t="shared" si="259"/>
        <v>1</v>
      </c>
      <c r="V263" s="798">
        <f t="shared" si="259"/>
        <v>1</v>
      </c>
      <c r="W263" s="798">
        <f t="shared" si="259"/>
        <v>1</v>
      </c>
      <c r="X263" s="798">
        <f t="shared" si="259"/>
        <v>1</v>
      </c>
      <c r="Y263" s="798">
        <f t="shared" si="259"/>
        <v>1</v>
      </c>
      <c r="Z263" s="798">
        <f t="shared" si="259"/>
        <v>1</v>
      </c>
      <c r="AA263" s="798">
        <f t="shared" si="259"/>
        <v>1</v>
      </c>
      <c r="AB263" s="798">
        <f t="shared" si="259"/>
        <v>1</v>
      </c>
      <c r="AC263" s="798">
        <f t="shared" si="259"/>
        <v>1</v>
      </c>
      <c r="AD263" s="798">
        <f t="shared" si="259"/>
        <v>1</v>
      </c>
      <c r="AE263" s="798">
        <f t="shared" si="259"/>
        <v>1</v>
      </c>
      <c r="AF263" s="798">
        <f t="shared" si="259"/>
        <v>1</v>
      </c>
      <c r="AG263" s="798">
        <f t="shared" si="259"/>
        <v>1</v>
      </c>
      <c r="AH263" s="798">
        <f t="shared" si="259"/>
        <v>1</v>
      </c>
      <c r="AI263" s="798">
        <f t="shared" si="259"/>
        <v>1</v>
      </c>
      <c r="AJ263" s="798">
        <f t="shared" si="259"/>
        <v>1</v>
      </c>
      <c r="AK263" s="798">
        <f t="shared" si="259"/>
        <v>1</v>
      </c>
      <c r="AL263" s="798">
        <f t="shared" si="259"/>
        <v>1</v>
      </c>
      <c r="AM263" s="798">
        <f t="shared" si="259"/>
        <v>1</v>
      </c>
      <c r="AN263" s="798">
        <f t="shared" si="259"/>
        <v>1</v>
      </c>
      <c r="AO263" s="798">
        <f t="shared" si="259"/>
        <v>1</v>
      </c>
      <c r="AP263" s="798">
        <f t="shared" si="259"/>
        <v>1</v>
      </c>
      <c r="AQ263" s="798">
        <f t="shared" si="259"/>
        <v>1</v>
      </c>
      <c r="AR263" s="798">
        <f t="shared" si="259"/>
        <v>1</v>
      </c>
      <c r="AS263" s="798">
        <f t="shared" si="259"/>
        <v>1</v>
      </c>
      <c r="AT263" s="798">
        <f t="shared" si="259"/>
        <v>1</v>
      </c>
      <c r="AU263" s="798">
        <f t="shared" si="259"/>
        <v>1</v>
      </c>
      <c r="AV263" s="798">
        <f t="shared" si="259"/>
        <v>1</v>
      </c>
      <c r="AW263" s="798">
        <f t="shared" si="259"/>
        <v>1</v>
      </c>
      <c r="AX263" s="798">
        <f t="shared" si="259"/>
        <v>1</v>
      </c>
      <c r="AY263" s="798">
        <f t="shared" si="259"/>
        <v>1</v>
      </c>
      <c r="AZ263" s="798">
        <f t="shared" si="259"/>
        <v>1</v>
      </c>
      <c r="BA263" s="798">
        <f t="shared" si="259"/>
        <v>1</v>
      </c>
      <c r="BB263" s="798">
        <f t="shared" si="259"/>
        <v>1</v>
      </c>
      <c r="BC263" s="798">
        <f t="shared" si="259"/>
        <v>1</v>
      </c>
      <c r="BD263" s="798">
        <f t="shared" si="259"/>
        <v>1</v>
      </c>
      <c r="BE263" s="798">
        <f t="shared" si="259"/>
        <v>1</v>
      </c>
      <c r="BF263" s="798">
        <f t="shared" si="259"/>
        <v>1</v>
      </c>
      <c r="BG263" s="798">
        <f t="shared" si="259"/>
        <v>1</v>
      </c>
      <c r="BH263" s="798">
        <f t="shared" si="259"/>
        <v>1</v>
      </c>
      <c r="BI263" s="798">
        <f t="shared" si="259"/>
        <v>1</v>
      </c>
      <c r="BJ263" s="798">
        <f t="shared" si="259"/>
        <v>1</v>
      </c>
      <c r="BK263" s="798">
        <f t="shared" si="259"/>
        <v>1</v>
      </c>
      <c r="BL263" s="765"/>
      <c r="BM263" s="817"/>
      <c r="BN263" s="817"/>
    </row>
    <row r="264" hidden="1">
      <c r="A264" s="765"/>
      <c r="B264" s="765"/>
      <c r="C264" s="765"/>
      <c r="D264" s="765"/>
      <c r="E264" s="765"/>
      <c r="F264" s="765"/>
      <c r="G264" s="765"/>
      <c r="H264" s="765"/>
      <c r="I264" s="765">
        <f t="shared" si="17"/>
        <v>253</v>
      </c>
      <c r="J264" s="763">
        <f t="shared" si="5"/>
        <v>492149303511</v>
      </c>
      <c r="K264" s="796">
        <f t="shared" si="7"/>
        <v>0.36029</v>
      </c>
      <c r="L264" s="796">
        <v>5.0E-4</v>
      </c>
      <c r="M264" s="763">
        <v>5.6117366420915E11</v>
      </c>
      <c r="N264" s="797">
        <f t="shared" si="8"/>
        <v>0</v>
      </c>
      <c r="O264" s="798">
        <f t="shared" ref="O264:BK264" si="260">FLOOR(MIN((((N("value of ELS upgrade")+N$8*($K264-$K263))*(N("Check checkbox")+(IF($G$6=TRUE,$G$7,$G$8))/$G$8))/(N("ROI of ELS and multiply by 2 if ELS is 1:1")+IF($G$12 = True, 2, 1) * $J264))/((N("difference in ELS+ and the cost of it")+(($K263*O$8)-($K263*N$8)) / O$7)),(N("MIN lets it return 0 or 1 after floored")+1)),1)</f>
        <v>0</v>
      </c>
      <c r="P264" s="798">
        <f t="shared" si="260"/>
        <v>0</v>
      </c>
      <c r="Q264" s="798">
        <f t="shared" si="260"/>
        <v>0</v>
      </c>
      <c r="R264" s="798">
        <f t="shared" si="260"/>
        <v>0</v>
      </c>
      <c r="S264" s="798">
        <f t="shared" si="260"/>
        <v>0</v>
      </c>
      <c r="T264" s="798">
        <f t="shared" si="260"/>
        <v>0</v>
      </c>
      <c r="U264" s="798">
        <f t="shared" si="260"/>
        <v>1</v>
      </c>
      <c r="V264" s="798">
        <f t="shared" si="260"/>
        <v>1</v>
      </c>
      <c r="W264" s="798">
        <f t="shared" si="260"/>
        <v>1</v>
      </c>
      <c r="X264" s="798">
        <f t="shared" si="260"/>
        <v>1</v>
      </c>
      <c r="Y264" s="798">
        <f t="shared" si="260"/>
        <v>1</v>
      </c>
      <c r="Z264" s="798">
        <f t="shared" si="260"/>
        <v>1</v>
      </c>
      <c r="AA264" s="798">
        <f t="shared" si="260"/>
        <v>1</v>
      </c>
      <c r="AB264" s="798">
        <f t="shared" si="260"/>
        <v>1</v>
      </c>
      <c r="AC264" s="798">
        <f t="shared" si="260"/>
        <v>1</v>
      </c>
      <c r="AD264" s="798">
        <f t="shared" si="260"/>
        <v>1</v>
      </c>
      <c r="AE264" s="798">
        <f t="shared" si="260"/>
        <v>1</v>
      </c>
      <c r="AF264" s="798">
        <f t="shared" si="260"/>
        <v>1</v>
      </c>
      <c r="AG264" s="798">
        <f t="shared" si="260"/>
        <v>1</v>
      </c>
      <c r="AH264" s="798">
        <f t="shared" si="260"/>
        <v>1</v>
      </c>
      <c r="AI264" s="798">
        <f t="shared" si="260"/>
        <v>1</v>
      </c>
      <c r="AJ264" s="798">
        <f t="shared" si="260"/>
        <v>1</v>
      </c>
      <c r="AK264" s="798">
        <f t="shared" si="260"/>
        <v>1</v>
      </c>
      <c r="AL264" s="798">
        <f t="shared" si="260"/>
        <v>1</v>
      </c>
      <c r="AM264" s="798">
        <f t="shared" si="260"/>
        <v>1</v>
      </c>
      <c r="AN264" s="798">
        <f t="shared" si="260"/>
        <v>1</v>
      </c>
      <c r="AO264" s="798">
        <f t="shared" si="260"/>
        <v>1</v>
      </c>
      <c r="AP264" s="798">
        <f t="shared" si="260"/>
        <v>1</v>
      </c>
      <c r="AQ264" s="798">
        <f t="shared" si="260"/>
        <v>1</v>
      </c>
      <c r="AR264" s="798">
        <f t="shared" si="260"/>
        <v>1</v>
      </c>
      <c r="AS264" s="798">
        <f t="shared" si="260"/>
        <v>1</v>
      </c>
      <c r="AT264" s="798">
        <f t="shared" si="260"/>
        <v>1</v>
      </c>
      <c r="AU264" s="798">
        <f t="shared" si="260"/>
        <v>1</v>
      </c>
      <c r="AV264" s="798">
        <f t="shared" si="260"/>
        <v>1</v>
      </c>
      <c r="AW264" s="798">
        <f t="shared" si="260"/>
        <v>1</v>
      </c>
      <c r="AX264" s="798">
        <f t="shared" si="260"/>
        <v>1</v>
      </c>
      <c r="AY264" s="798">
        <f t="shared" si="260"/>
        <v>1</v>
      </c>
      <c r="AZ264" s="798">
        <f t="shared" si="260"/>
        <v>1</v>
      </c>
      <c r="BA264" s="798">
        <f t="shared" si="260"/>
        <v>1</v>
      </c>
      <c r="BB264" s="798">
        <f t="shared" si="260"/>
        <v>1</v>
      </c>
      <c r="BC264" s="798">
        <f t="shared" si="260"/>
        <v>1</v>
      </c>
      <c r="BD264" s="798">
        <f t="shared" si="260"/>
        <v>1</v>
      </c>
      <c r="BE264" s="798">
        <f t="shared" si="260"/>
        <v>1</v>
      </c>
      <c r="BF264" s="798">
        <f t="shared" si="260"/>
        <v>1</v>
      </c>
      <c r="BG264" s="798">
        <f t="shared" si="260"/>
        <v>1</v>
      </c>
      <c r="BH264" s="798">
        <f t="shared" si="260"/>
        <v>1</v>
      </c>
      <c r="BI264" s="798">
        <f t="shared" si="260"/>
        <v>1</v>
      </c>
      <c r="BJ264" s="798">
        <f t="shared" si="260"/>
        <v>1</v>
      </c>
      <c r="BK264" s="798">
        <f t="shared" si="260"/>
        <v>1</v>
      </c>
      <c r="BL264" s="765"/>
      <c r="BM264" s="817"/>
      <c r="BN264" s="817"/>
    </row>
    <row r="265" hidden="1">
      <c r="A265" s="765"/>
      <c r="B265" s="765"/>
      <c r="C265" s="765"/>
      <c r="D265" s="765"/>
      <c r="E265" s="765"/>
      <c r="F265" s="765"/>
      <c r="G265" s="765"/>
      <c r="H265" s="765"/>
      <c r="I265" s="765">
        <f t="shared" si="17"/>
        <v>254</v>
      </c>
      <c r="J265" s="763">
        <f t="shared" si="5"/>
        <v>494408522838</v>
      </c>
      <c r="K265" s="796">
        <f t="shared" si="7"/>
        <v>0.36079</v>
      </c>
      <c r="L265" s="796">
        <v>5.0E-4</v>
      </c>
      <c r="M265" s="763">
        <v>5.63749740978548E11</v>
      </c>
      <c r="N265" s="797">
        <f t="shared" si="8"/>
        <v>0</v>
      </c>
      <c r="O265" s="798">
        <f t="shared" ref="O265:BK265" si="261">FLOOR(MIN((((N("value of ELS upgrade")+N$8*($K265-$K264))*(N("Check checkbox")+(IF($G$6=TRUE,$G$7,$G$8))/$G$8))/(N("ROI of ELS and multiply by 2 if ELS is 1:1")+IF($G$12 = True, 2, 1) * $J265))/((N("difference in ELS+ and the cost of it")+(($K264*O$8)-($K264*N$8)) / O$7)),(N("MIN lets it return 0 or 1 after floored")+1)),1)</f>
        <v>0</v>
      </c>
      <c r="P265" s="798">
        <f t="shared" si="261"/>
        <v>0</v>
      </c>
      <c r="Q265" s="798">
        <f t="shared" si="261"/>
        <v>0</v>
      </c>
      <c r="R265" s="798">
        <f t="shared" si="261"/>
        <v>0</v>
      </c>
      <c r="S265" s="798">
        <f t="shared" si="261"/>
        <v>0</v>
      </c>
      <c r="T265" s="798">
        <f t="shared" si="261"/>
        <v>0</v>
      </c>
      <c r="U265" s="798">
        <f t="shared" si="261"/>
        <v>1</v>
      </c>
      <c r="V265" s="798">
        <f t="shared" si="261"/>
        <v>1</v>
      </c>
      <c r="W265" s="798">
        <f t="shared" si="261"/>
        <v>1</v>
      </c>
      <c r="X265" s="798">
        <f t="shared" si="261"/>
        <v>1</v>
      </c>
      <c r="Y265" s="798">
        <f t="shared" si="261"/>
        <v>1</v>
      </c>
      <c r="Z265" s="798">
        <f t="shared" si="261"/>
        <v>1</v>
      </c>
      <c r="AA265" s="798">
        <f t="shared" si="261"/>
        <v>1</v>
      </c>
      <c r="AB265" s="798">
        <f t="shared" si="261"/>
        <v>1</v>
      </c>
      <c r="AC265" s="798">
        <f t="shared" si="261"/>
        <v>1</v>
      </c>
      <c r="AD265" s="798">
        <f t="shared" si="261"/>
        <v>1</v>
      </c>
      <c r="AE265" s="798">
        <f t="shared" si="261"/>
        <v>1</v>
      </c>
      <c r="AF265" s="798">
        <f t="shared" si="261"/>
        <v>1</v>
      </c>
      <c r="AG265" s="798">
        <f t="shared" si="261"/>
        <v>1</v>
      </c>
      <c r="AH265" s="798">
        <f t="shared" si="261"/>
        <v>1</v>
      </c>
      <c r="AI265" s="798">
        <f t="shared" si="261"/>
        <v>1</v>
      </c>
      <c r="AJ265" s="798">
        <f t="shared" si="261"/>
        <v>1</v>
      </c>
      <c r="AK265" s="798">
        <f t="shared" si="261"/>
        <v>1</v>
      </c>
      <c r="AL265" s="798">
        <f t="shared" si="261"/>
        <v>1</v>
      </c>
      <c r="AM265" s="798">
        <f t="shared" si="261"/>
        <v>1</v>
      </c>
      <c r="AN265" s="798">
        <f t="shared" si="261"/>
        <v>1</v>
      </c>
      <c r="AO265" s="798">
        <f t="shared" si="261"/>
        <v>1</v>
      </c>
      <c r="AP265" s="798">
        <f t="shared" si="261"/>
        <v>1</v>
      </c>
      <c r="AQ265" s="798">
        <f t="shared" si="261"/>
        <v>1</v>
      </c>
      <c r="AR265" s="798">
        <f t="shared" si="261"/>
        <v>1</v>
      </c>
      <c r="AS265" s="798">
        <f t="shared" si="261"/>
        <v>1</v>
      </c>
      <c r="AT265" s="798">
        <f t="shared" si="261"/>
        <v>1</v>
      </c>
      <c r="AU265" s="798">
        <f t="shared" si="261"/>
        <v>1</v>
      </c>
      <c r="AV265" s="798">
        <f t="shared" si="261"/>
        <v>1</v>
      </c>
      <c r="AW265" s="798">
        <f t="shared" si="261"/>
        <v>1</v>
      </c>
      <c r="AX265" s="798">
        <f t="shared" si="261"/>
        <v>1</v>
      </c>
      <c r="AY265" s="798">
        <f t="shared" si="261"/>
        <v>1</v>
      </c>
      <c r="AZ265" s="798">
        <f t="shared" si="261"/>
        <v>1</v>
      </c>
      <c r="BA265" s="798">
        <f t="shared" si="261"/>
        <v>1</v>
      </c>
      <c r="BB265" s="798">
        <f t="shared" si="261"/>
        <v>1</v>
      </c>
      <c r="BC265" s="798">
        <f t="shared" si="261"/>
        <v>1</v>
      </c>
      <c r="BD265" s="798">
        <f t="shared" si="261"/>
        <v>1</v>
      </c>
      <c r="BE265" s="798">
        <f t="shared" si="261"/>
        <v>1</v>
      </c>
      <c r="BF265" s="798">
        <f t="shared" si="261"/>
        <v>1</v>
      </c>
      <c r="BG265" s="798">
        <f t="shared" si="261"/>
        <v>1</v>
      </c>
      <c r="BH265" s="798">
        <f t="shared" si="261"/>
        <v>1</v>
      </c>
      <c r="BI265" s="798">
        <f t="shared" si="261"/>
        <v>1</v>
      </c>
      <c r="BJ265" s="798">
        <f t="shared" si="261"/>
        <v>1</v>
      </c>
      <c r="BK265" s="798">
        <f t="shared" si="261"/>
        <v>1</v>
      </c>
      <c r="BL265" s="765"/>
      <c r="BM265" s="817"/>
      <c r="BN265" s="817"/>
    </row>
    <row r="266" hidden="1">
      <c r="A266" s="765"/>
      <c r="B266" s="765"/>
      <c r="C266" s="765"/>
      <c r="D266" s="765"/>
      <c r="E266" s="765"/>
      <c r="F266" s="765"/>
      <c r="G266" s="765"/>
      <c r="H266" s="765"/>
      <c r="I266" s="765">
        <f t="shared" si="17"/>
        <v>255</v>
      </c>
      <c r="J266" s="763">
        <f t="shared" si="5"/>
        <v>496673437687</v>
      </c>
      <c r="K266" s="796">
        <f t="shared" si="7"/>
        <v>0.36129</v>
      </c>
      <c r="L266" s="796">
        <v>5.0E-4</v>
      </c>
      <c r="M266" s="763">
        <v>5.6633231207177E11</v>
      </c>
      <c r="N266" s="797">
        <f t="shared" si="8"/>
        <v>0</v>
      </c>
      <c r="O266" s="798">
        <f t="shared" ref="O266:BK266" si="262">FLOOR(MIN((((N("value of ELS upgrade")+N$8*($K266-$K265))*(N("Check checkbox")+(IF($G$6=TRUE,$G$7,$G$8))/$G$8))/(N("ROI of ELS and multiply by 2 if ELS is 1:1")+IF($G$12 = True, 2, 1) * $J266))/((N("difference in ELS+ and the cost of it")+(($K265*O$8)-($K265*N$8)) / O$7)),(N("MIN lets it return 0 or 1 after floored")+1)),1)</f>
        <v>0</v>
      </c>
      <c r="P266" s="798">
        <f t="shared" si="262"/>
        <v>0</v>
      </c>
      <c r="Q266" s="798">
        <f t="shared" si="262"/>
        <v>0</v>
      </c>
      <c r="R266" s="798">
        <f t="shared" si="262"/>
        <v>0</v>
      </c>
      <c r="S266" s="798">
        <f t="shared" si="262"/>
        <v>0</v>
      </c>
      <c r="T266" s="798">
        <f t="shared" si="262"/>
        <v>0</v>
      </c>
      <c r="U266" s="798">
        <f t="shared" si="262"/>
        <v>1</v>
      </c>
      <c r="V266" s="798">
        <f t="shared" si="262"/>
        <v>1</v>
      </c>
      <c r="W266" s="798">
        <f t="shared" si="262"/>
        <v>1</v>
      </c>
      <c r="X266" s="798">
        <f t="shared" si="262"/>
        <v>1</v>
      </c>
      <c r="Y266" s="798">
        <f t="shared" si="262"/>
        <v>1</v>
      </c>
      <c r="Z266" s="798">
        <f t="shared" si="262"/>
        <v>1</v>
      </c>
      <c r="AA266" s="798">
        <f t="shared" si="262"/>
        <v>1</v>
      </c>
      <c r="AB266" s="798">
        <f t="shared" si="262"/>
        <v>1</v>
      </c>
      <c r="AC266" s="798">
        <f t="shared" si="262"/>
        <v>1</v>
      </c>
      <c r="AD266" s="798">
        <f t="shared" si="262"/>
        <v>1</v>
      </c>
      <c r="AE266" s="798">
        <f t="shared" si="262"/>
        <v>1</v>
      </c>
      <c r="AF266" s="798">
        <f t="shared" si="262"/>
        <v>1</v>
      </c>
      <c r="AG266" s="798">
        <f t="shared" si="262"/>
        <v>1</v>
      </c>
      <c r="AH266" s="798">
        <f t="shared" si="262"/>
        <v>1</v>
      </c>
      <c r="AI266" s="798">
        <f t="shared" si="262"/>
        <v>1</v>
      </c>
      <c r="AJ266" s="798">
        <f t="shared" si="262"/>
        <v>1</v>
      </c>
      <c r="AK266" s="798">
        <f t="shared" si="262"/>
        <v>1</v>
      </c>
      <c r="AL266" s="798">
        <f t="shared" si="262"/>
        <v>1</v>
      </c>
      <c r="AM266" s="798">
        <f t="shared" si="262"/>
        <v>1</v>
      </c>
      <c r="AN266" s="798">
        <f t="shared" si="262"/>
        <v>1</v>
      </c>
      <c r="AO266" s="798">
        <f t="shared" si="262"/>
        <v>1</v>
      </c>
      <c r="AP266" s="798">
        <f t="shared" si="262"/>
        <v>1</v>
      </c>
      <c r="AQ266" s="798">
        <f t="shared" si="262"/>
        <v>1</v>
      </c>
      <c r="AR266" s="798">
        <f t="shared" si="262"/>
        <v>1</v>
      </c>
      <c r="AS266" s="798">
        <f t="shared" si="262"/>
        <v>1</v>
      </c>
      <c r="AT266" s="798">
        <f t="shared" si="262"/>
        <v>1</v>
      </c>
      <c r="AU266" s="798">
        <f t="shared" si="262"/>
        <v>1</v>
      </c>
      <c r="AV266" s="798">
        <f t="shared" si="262"/>
        <v>1</v>
      </c>
      <c r="AW266" s="798">
        <f t="shared" si="262"/>
        <v>1</v>
      </c>
      <c r="AX266" s="798">
        <f t="shared" si="262"/>
        <v>1</v>
      </c>
      <c r="AY266" s="798">
        <f t="shared" si="262"/>
        <v>1</v>
      </c>
      <c r="AZ266" s="798">
        <f t="shared" si="262"/>
        <v>1</v>
      </c>
      <c r="BA266" s="798">
        <f t="shared" si="262"/>
        <v>1</v>
      </c>
      <c r="BB266" s="798">
        <f t="shared" si="262"/>
        <v>1</v>
      </c>
      <c r="BC266" s="798">
        <f t="shared" si="262"/>
        <v>1</v>
      </c>
      <c r="BD266" s="798">
        <f t="shared" si="262"/>
        <v>1</v>
      </c>
      <c r="BE266" s="798">
        <f t="shared" si="262"/>
        <v>1</v>
      </c>
      <c r="BF266" s="798">
        <f t="shared" si="262"/>
        <v>1</v>
      </c>
      <c r="BG266" s="798">
        <f t="shared" si="262"/>
        <v>1</v>
      </c>
      <c r="BH266" s="798">
        <f t="shared" si="262"/>
        <v>1</v>
      </c>
      <c r="BI266" s="798">
        <f t="shared" si="262"/>
        <v>1</v>
      </c>
      <c r="BJ266" s="798">
        <f t="shared" si="262"/>
        <v>1</v>
      </c>
      <c r="BK266" s="798">
        <f t="shared" si="262"/>
        <v>1</v>
      </c>
      <c r="BL266" s="765"/>
      <c r="BM266" s="817"/>
      <c r="BN266" s="817"/>
    </row>
    <row r="267" hidden="1">
      <c r="A267" s="765"/>
      <c r="B267" s="765"/>
      <c r="C267" s="765"/>
      <c r="D267" s="765"/>
      <c r="E267" s="765"/>
      <c r="F267" s="765"/>
      <c r="G267" s="765"/>
      <c r="H267" s="765"/>
      <c r="I267" s="765">
        <f t="shared" si="17"/>
        <v>256</v>
      </c>
      <c r="J267" s="763">
        <f t="shared" si="5"/>
        <v>498944077739</v>
      </c>
      <c r="K267" s="796">
        <f t="shared" si="7"/>
        <v>0.36179</v>
      </c>
      <c r="L267" s="796">
        <v>5.0E-4</v>
      </c>
      <c r="M267" s="763">
        <v>5.68921411333004E11</v>
      </c>
      <c r="N267" s="797">
        <f t="shared" si="8"/>
        <v>0</v>
      </c>
      <c r="O267" s="798">
        <f t="shared" ref="O267:BK267" si="263">FLOOR(MIN((((N("value of ELS upgrade")+N$8*($K267-$K266))*(N("Check checkbox")+(IF($G$6=TRUE,$G$7,$G$8))/$G$8))/(N("ROI of ELS and multiply by 2 if ELS is 1:1")+IF($G$12 = True, 2, 1) * $J267))/((N("difference in ELS+ and the cost of it")+(($K266*O$8)-($K266*N$8)) / O$7)),(N("MIN lets it return 0 or 1 after floored")+1)),1)</f>
        <v>0</v>
      </c>
      <c r="P267" s="798">
        <f t="shared" si="263"/>
        <v>0</v>
      </c>
      <c r="Q267" s="798">
        <f t="shared" si="263"/>
        <v>0</v>
      </c>
      <c r="R267" s="798">
        <f t="shared" si="263"/>
        <v>0</v>
      </c>
      <c r="S267" s="798">
        <f t="shared" si="263"/>
        <v>0</v>
      </c>
      <c r="T267" s="798">
        <f t="shared" si="263"/>
        <v>0</v>
      </c>
      <c r="U267" s="798">
        <f t="shared" si="263"/>
        <v>1</v>
      </c>
      <c r="V267" s="798">
        <f t="shared" si="263"/>
        <v>1</v>
      </c>
      <c r="W267" s="798">
        <f t="shared" si="263"/>
        <v>1</v>
      </c>
      <c r="X267" s="798">
        <f t="shared" si="263"/>
        <v>1</v>
      </c>
      <c r="Y267" s="798">
        <f t="shared" si="263"/>
        <v>1</v>
      </c>
      <c r="Z267" s="798">
        <f t="shared" si="263"/>
        <v>1</v>
      </c>
      <c r="AA267" s="798">
        <f t="shared" si="263"/>
        <v>1</v>
      </c>
      <c r="AB267" s="798">
        <f t="shared" si="263"/>
        <v>1</v>
      </c>
      <c r="AC267" s="798">
        <f t="shared" si="263"/>
        <v>1</v>
      </c>
      <c r="AD267" s="798">
        <f t="shared" si="263"/>
        <v>1</v>
      </c>
      <c r="AE267" s="798">
        <f t="shared" si="263"/>
        <v>1</v>
      </c>
      <c r="AF267" s="798">
        <f t="shared" si="263"/>
        <v>1</v>
      </c>
      <c r="AG267" s="798">
        <f t="shared" si="263"/>
        <v>1</v>
      </c>
      <c r="AH267" s="798">
        <f t="shared" si="263"/>
        <v>1</v>
      </c>
      <c r="AI267" s="798">
        <f t="shared" si="263"/>
        <v>1</v>
      </c>
      <c r="AJ267" s="798">
        <f t="shared" si="263"/>
        <v>1</v>
      </c>
      <c r="AK267" s="798">
        <f t="shared" si="263"/>
        <v>1</v>
      </c>
      <c r="AL267" s="798">
        <f t="shared" si="263"/>
        <v>1</v>
      </c>
      <c r="AM267" s="798">
        <f t="shared" si="263"/>
        <v>1</v>
      </c>
      <c r="AN267" s="798">
        <f t="shared" si="263"/>
        <v>1</v>
      </c>
      <c r="AO267" s="798">
        <f t="shared" si="263"/>
        <v>1</v>
      </c>
      <c r="AP267" s="798">
        <f t="shared" si="263"/>
        <v>1</v>
      </c>
      <c r="AQ267" s="798">
        <f t="shared" si="263"/>
        <v>1</v>
      </c>
      <c r="AR267" s="798">
        <f t="shared" si="263"/>
        <v>1</v>
      </c>
      <c r="AS267" s="798">
        <f t="shared" si="263"/>
        <v>1</v>
      </c>
      <c r="AT267" s="798">
        <f t="shared" si="263"/>
        <v>1</v>
      </c>
      <c r="AU267" s="798">
        <f t="shared" si="263"/>
        <v>1</v>
      </c>
      <c r="AV267" s="798">
        <f t="shared" si="263"/>
        <v>1</v>
      </c>
      <c r="AW267" s="798">
        <f t="shared" si="263"/>
        <v>1</v>
      </c>
      <c r="AX267" s="798">
        <f t="shared" si="263"/>
        <v>1</v>
      </c>
      <c r="AY267" s="798">
        <f t="shared" si="263"/>
        <v>1</v>
      </c>
      <c r="AZ267" s="798">
        <f t="shared" si="263"/>
        <v>1</v>
      </c>
      <c r="BA267" s="798">
        <f t="shared" si="263"/>
        <v>1</v>
      </c>
      <c r="BB267" s="798">
        <f t="shared" si="263"/>
        <v>1</v>
      </c>
      <c r="BC267" s="798">
        <f t="shared" si="263"/>
        <v>1</v>
      </c>
      <c r="BD267" s="798">
        <f t="shared" si="263"/>
        <v>1</v>
      </c>
      <c r="BE267" s="798">
        <f t="shared" si="263"/>
        <v>1</v>
      </c>
      <c r="BF267" s="798">
        <f t="shared" si="263"/>
        <v>1</v>
      </c>
      <c r="BG267" s="798">
        <f t="shared" si="263"/>
        <v>1</v>
      </c>
      <c r="BH267" s="798">
        <f t="shared" si="263"/>
        <v>1</v>
      </c>
      <c r="BI267" s="798">
        <f t="shared" si="263"/>
        <v>1</v>
      </c>
      <c r="BJ267" s="798">
        <f t="shared" si="263"/>
        <v>1</v>
      </c>
      <c r="BK267" s="798">
        <f t="shared" si="263"/>
        <v>1</v>
      </c>
      <c r="BL267" s="765"/>
      <c r="BM267" s="817"/>
      <c r="BN267" s="817"/>
    </row>
    <row r="268" hidden="1">
      <c r="A268" s="765"/>
      <c r="B268" s="765"/>
      <c r="C268" s="765"/>
      <c r="D268" s="765"/>
      <c r="E268" s="765"/>
      <c r="F268" s="765"/>
      <c r="G268" s="765"/>
      <c r="H268" s="765"/>
      <c r="I268" s="765">
        <f t="shared" si="17"/>
        <v>257</v>
      </c>
      <c r="J268" s="763">
        <f t="shared" si="5"/>
        <v>501220469378</v>
      </c>
      <c r="K268" s="796">
        <f t="shared" si="7"/>
        <v>0.36229</v>
      </c>
      <c r="L268" s="796">
        <v>5.0E-4</v>
      </c>
      <c r="M268" s="763">
        <v>5.71517068845975E11</v>
      </c>
      <c r="N268" s="797">
        <f t="shared" si="8"/>
        <v>0</v>
      </c>
      <c r="O268" s="798">
        <f t="shared" ref="O268:BK268" si="264">FLOOR(MIN((((N("value of ELS upgrade")+N$8*($K268-$K267))*(N("Check checkbox")+(IF($G$6=TRUE,$G$7,$G$8))/$G$8))/(N("ROI of ELS and multiply by 2 if ELS is 1:1")+IF($G$12 = True, 2, 1) * $J268))/((N("difference in ELS+ and the cost of it")+(($K267*O$8)-($K267*N$8)) / O$7)),(N("MIN lets it return 0 or 1 after floored")+1)),1)</f>
        <v>0</v>
      </c>
      <c r="P268" s="798">
        <f t="shared" si="264"/>
        <v>0</v>
      </c>
      <c r="Q268" s="798">
        <f t="shared" si="264"/>
        <v>0</v>
      </c>
      <c r="R268" s="798">
        <f t="shared" si="264"/>
        <v>0</v>
      </c>
      <c r="S268" s="798">
        <f t="shared" si="264"/>
        <v>0</v>
      </c>
      <c r="T268" s="798">
        <f t="shared" si="264"/>
        <v>0</v>
      </c>
      <c r="U268" s="798">
        <f t="shared" si="264"/>
        <v>1</v>
      </c>
      <c r="V268" s="798">
        <f t="shared" si="264"/>
        <v>1</v>
      </c>
      <c r="W268" s="798">
        <f t="shared" si="264"/>
        <v>1</v>
      </c>
      <c r="X268" s="798">
        <f t="shared" si="264"/>
        <v>1</v>
      </c>
      <c r="Y268" s="798">
        <f t="shared" si="264"/>
        <v>1</v>
      </c>
      <c r="Z268" s="798">
        <f t="shared" si="264"/>
        <v>1</v>
      </c>
      <c r="AA268" s="798">
        <f t="shared" si="264"/>
        <v>1</v>
      </c>
      <c r="AB268" s="798">
        <f t="shared" si="264"/>
        <v>1</v>
      </c>
      <c r="AC268" s="798">
        <f t="shared" si="264"/>
        <v>1</v>
      </c>
      <c r="AD268" s="798">
        <f t="shared" si="264"/>
        <v>1</v>
      </c>
      <c r="AE268" s="798">
        <f t="shared" si="264"/>
        <v>1</v>
      </c>
      <c r="AF268" s="798">
        <f t="shared" si="264"/>
        <v>1</v>
      </c>
      <c r="AG268" s="798">
        <f t="shared" si="264"/>
        <v>1</v>
      </c>
      <c r="AH268" s="798">
        <f t="shared" si="264"/>
        <v>1</v>
      </c>
      <c r="AI268" s="798">
        <f t="shared" si="264"/>
        <v>1</v>
      </c>
      <c r="AJ268" s="798">
        <f t="shared" si="264"/>
        <v>1</v>
      </c>
      <c r="AK268" s="798">
        <f t="shared" si="264"/>
        <v>1</v>
      </c>
      <c r="AL268" s="798">
        <f t="shared" si="264"/>
        <v>1</v>
      </c>
      <c r="AM268" s="798">
        <f t="shared" si="264"/>
        <v>1</v>
      </c>
      <c r="AN268" s="798">
        <f t="shared" si="264"/>
        <v>1</v>
      </c>
      <c r="AO268" s="798">
        <f t="shared" si="264"/>
        <v>1</v>
      </c>
      <c r="AP268" s="798">
        <f t="shared" si="264"/>
        <v>1</v>
      </c>
      <c r="AQ268" s="798">
        <f t="shared" si="264"/>
        <v>1</v>
      </c>
      <c r="AR268" s="798">
        <f t="shared" si="264"/>
        <v>1</v>
      </c>
      <c r="AS268" s="798">
        <f t="shared" si="264"/>
        <v>1</v>
      </c>
      <c r="AT268" s="798">
        <f t="shared" si="264"/>
        <v>1</v>
      </c>
      <c r="AU268" s="798">
        <f t="shared" si="264"/>
        <v>1</v>
      </c>
      <c r="AV268" s="798">
        <f t="shared" si="264"/>
        <v>1</v>
      </c>
      <c r="AW268" s="798">
        <f t="shared" si="264"/>
        <v>1</v>
      </c>
      <c r="AX268" s="798">
        <f t="shared" si="264"/>
        <v>1</v>
      </c>
      <c r="AY268" s="798">
        <f t="shared" si="264"/>
        <v>1</v>
      </c>
      <c r="AZ268" s="798">
        <f t="shared" si="264"/>
        <v>1</v>
      </c>
      <c r="BA268" s="798">
        <f t="shared" si="264"/>
        <v>1</v>
      </c>
      <c r="BB268" s="798">
        <f t="shared" si="264"/>
        <v>1</v>
      </c>
      <c r="BC268" s="798">
        <f t="shared" si="264"/>
        <v>1</v>
      </c>
      <c r="BD268" s="798">
        <f t="shared" si="264"/>
        <v>1</v>
      </c>
      <c r="BE268" s="798">
        <f t="shared" si="264"/>
        <v>1</v>
      </c>
      <c r="BF268" s="798">
        <f t="shared" si="264"/>
        <v>1</v>
      </c>
      <c r="BG268" s="798">
        <f t="shared" si="264"/>
        <v>1</v>
      </c>
      <c r="BH268" s="798">
        <f t="shared" si="264"/>
        <v>1</v>
      </c>
      <c r="BI268" s="798">
        <f t="shared" si="264"/>
        <v>1</v>
      </c>
      <c r="BJ268" s="798">
        <f t="shared" si="264"/>
        <v>1</v>
      </c>
      <c r="BK268" s="798">
        <f t="shared" si="264"/>
        <v>1</v>
      </c>
      <c r="BL268" s="765"/>
      <c r="BM268" s="817"/>
      <c r="BN268" s="817"/>
    </row>
    <row r="269" hidden="1">
      <c r="A269" s="765"/>
      <c r="B269" s="765"/>
      <c r="C269" s="765"/>
      <c r="D269" s="765"/>
      <c r="E269" s="765"/>
      <c r="F269" s="765"/>
      <c r="G269" s="765"/>
      <c r="H269" s="765"/>
      <c r="I269" s="765">
        <f t="shared" si="17"/>
        <v>258</v>
      </c>
      <c r="J269" s="763">
        <f t="shared" si="5"/>
        <v>503502648881</v>
      </c>
      <c r="K269" s="796">
        <f t="shared" si="7"/>
        <v>0.36279</v>
      </c>
      <c r="L269" s="796">
        <v>5.0E-4</v>
      </c>
      <c r="M269" s="763">
        <v>5.74119325975801E11</v>
      </c>
      <c r="N269" s="797">
        <f t="shared" si="8"/>
        <v>0</v>
      </c>
      <c r="O269" s="798">
        <f t="shared" ref="O269:BK269" si="265">FLOOR(MIN((((N("value of ELS upgrade")+N$8*($K269-$K268))*(N("Check checkbox")+(IF($G$6=TRUE,$G$7,$G$8))/$G$8))/(N("ROI of ELS and multiply by 2 if ELS is 1:1")+IF($G$12 = True, 2, 1) * $J269))/((N("difference in ELS+ and the cost of it")+(($K268*O$8)-($K268*N$8)) / O$7)),(N("MIN lets it return 0 or 1 after floored")+1)),1)</f>
        <v>0</v>
      </c>
      <c r="P269" s="798">
        <f t="shared" si="265"/>
        <v>0</v>
      </c>
      <c r="Q269" s="798">
        <f t="shared" si="265"/>
        <v>0</v>
      </c>
      <c r="R269" s="798">
        <f t="shared" si="265"/>
        <v>0</v>
      </c>
      <c r="S269" s="798">
        <f t="shared" si="265"/>
        <v>0</v>
      </c>
      <c r="T269" s="798">
        <f t="shared" si="265"/>
        <v>0</v>
      </c>
      <c r="U269" s="798">
        <f t="shared" si="265"/>
        <v>1</v>
      </c>
      <c r="V269" s="798">
        <f t="shared" si="265"/>
        <v>1</v>
      </c>
      <c r="W269" s="798">
        <f t="shared" si="265"/>
        <v>1</v>
      </c>
      <c r="X269" s="798">
        <f t="shared" si="265"/>
        <v>1</v>
      </c>
      <c r="Y269" s="798">
        <f t="shared" si="265"/>
        <v>1</v>
      </c>
      <c r="Z269" s="798">
        <f t="shared" si="265"/>
        <v>1</v>
      </c>
      <c r="AA269" s="798">
        <f t="shared" si="265"/>
        <v>1</v>
      </c>
      <c r="AB269" s="798">
        <f t="shared" si="265"/>
        <v>1</v>
      </c>
      <c r="AC269" s="798">
        <f t="shared" si="265"/>
        <v>1</v>
      </c>
      <c r="AD269" s="798">
        <f t="shared" si="265"/>
        <v>1</v>
      </c>
      <c r="AE269" s="798">
        <f t="shared" si="265"/>
        <v>1</v>
      </c>
      <c r="AF269" s="798">
        <f t="shared" si="265"/>
        <v>1</v>
      </c>
      <c r="AG269" s="798">
        <f t="shared" si="265"/>
        <v>1</v>
      </c>
      <c r="AH269" s="798">
        <f t="shared" si="265"/>
        <v>1</v>
      </c>
      <c r="AI269" s="798">
        <f t="shared" si="265"/>
        <v>1</v>
      </c>
      <c r="AJ269" s="798">
        <f t="shared" si="265"/>
        <v>1</v>
      </c>
      <c r="AK269" s="798">
        <f t="shared" si="265"/>
        <v>1</v>
      </c>
      <c r="AL269" s="798">
        <f t="shared" si="265"/>
        <v>1</v>
      </c>
      <c r="AM269" s="798">
        <f t="shared" si="265"/>
        <v>1</v>
      </c>
      <c r="AN269" s="798">
        <f t="shared" si="265"/>
        <v>1</v>
      </c>
      <c r="AO269" s="798">
        <f t="shared" si="265"/>
        <v>1</v>
      </c>
      <c r="AP269" s="798">
        <f t="shared" si="265"/>
        <v>1</v>
      </c>
      <c r="AQ269" s="798">
        <f t="shared" si="265"/>
        <v>1</v>
      </c>
      <c r="AR269" s="798">
        <f t="shared" si="265"/>
        <v>1</v>
      </c>
      <c r="AS269" s="798">
        <f t="shared" si="265"/>
        <v>1</v>
      </c>
      <c r="AT269" s="798">
        <f t="shared" si="265"/>
        <v>1</v>
      </c>
      <c r="AU269" s="798">
        <f t="shared" si="265"/>
        <v>1</v>
      </c>
      <c r="AV269" s="798">
        <f t="shared" si="265"/>
        <v>1</v>
      </c>
      <c r="AW269" s="798">
        <f t="shared" si="265"/>
        <v>1</v>
      </c>
      <c r="AX269" s="798">
        <f t="shared" si="265"/>
        <v>1</v>
      </c>
      <c r="AY269" s="798">
        <f t="shared" si="265"/>
        <v>1</v>
      </c>
      <c r="AZ269" s="798">
        <f t="shared" si="265"/>
        <v>1</v>
      </c>
      <c r="BA269" s="798">
        <f t="shared" si="265"/>
        <v>1</v>
      </c>
      <c r="BB269" s="798">
        <f t="shared" si="265"/>
        <v>1</v>
      </c>
      <c r="BC269" s="798">
        <f t="shared" si="265"/>
        <v>1</v>
      </c>
      <c r="BD269" s="798">
        <f t="shared" si="265"/>
        <v>1</v>
      </c>
      <c r="BE269" s="798">
        <f t="shared" si="265"/>
        <v>1</v>
      </c>
      <c r="BF269" s="798">
        <f t="shared" si="265"/>
        <v>1</v>
      </c>
      <c r="BG269" s="798">
        <f t="shared" si="265"/>
        <v>1</v>
      </c>
      <c r="BH269" s="798">
        <f t="shared" si="265"/>
        <v>1</v>
      </c>
      <c r="BI269" s="798">
        <f t="shared" si="265"/>
        <v>1</v>
      </c>
      <c r="BJ269" s="798">
        <f t="shared" si="265"/>
        <v>1</v>
      </c>
      <c r="BK269" s="798">
        <f t="shared" si="265"/>
        <v>1</v>
      </c>
      <c r="BL269" s="765"/>
      <c r="BM269" s="817"/>
      <c r="BN269" s="817"/>
    </row>
    <row r="270" hidden="1">
      <c r="A270" s="765"/>
      <c r="B270" s="765"/>
      <c r="C270" s="765"/>
      <c r="D270" s="765"/>
      <c r="E270" s="765"/>
      <c r="F270" s="765"/>
      <c r="G270" s="765"/>
      <c r="H270" s="765"/>
      <c r="I270" s="765">
        <f t="shared" si="17"/>
        <v>259</v>
      </c>
      <c r="J270" s="763">
        <f t="shared" si="5"/>
        <v>505790645929</v>
      </c>
      <c r="K270" s="796">
        <f t="shared" si="7"/>
        <v>0.36329</v>
      </c>
      <c r="L270" s="796">
        <v>5.0E-4</v>
      </c>
      <c r="M270" s="763">
        <v>5.76728216566673E11</v>
      </c>
      <c r="N270" s="797">
        <f t="shared" si="8"/>
        <v>0</v>
      </c>
      <c r="O270" s="798">
        <f t="shared" ref="O270:BK270" si="266">FLOOR(MIN((((N("value of ELS upgrade")+N$8*($K270-$K269))*(N("Check checkbox")+(IF($G$6=TRUE,$G$7,$G$8))/$G$8))/(N("ROI of ELS and multiply by 2 if ELS is 1:1")+IF($G$12 = True, 2, 1) * $J270))/((N("difference in ELS+ and the cost of it")+(($K269*O$8)-($K269*N$8)) / O$7)),(N("MIN lets it return 0 or 1 after floored")+1)),1)</f>
        <v>0</v>
      </c>
      <c r="P270" s="798">
        <f t="shared" si="266"/>
        <v>0</v>
      </c>
      <c r="Q270" s="798">
        <f t="shared" si="266"/>
        <v>0</v>
      </c>
      <c r="R270" s="798">
        <f t="shared" si="266"/>
        <v>0</v>
      </c>
      <c r="S270" s="798">
        <f t="shared" si="266"/>
        <v>0</v>
      </c>
      <c r="T270" s="798">
        <f t="shared" si="266"/>
        <v>0</v>
      </c>
      <c r="U270" s="798">
        <f t="shared" si="266"/>
        <v>1</v>
      </c>
      <c r="V270" s="798">
        <f t="shared" si="266"/>
        <v>1</v>
      </c>
      <c r="W270" s="798">
        <f t="shared" si="266"/>
        <v>1</v>
      </c>
      <c r="X270" s="798">
        <f t="shared" si="266"/>
        <v>1</v>
      </c>
      <c r="Y270" s="798">
        <f t="shared" si="266"/>
        <v>1</v>
      </c>
      <c r="Z270" s="798">
        <f t="shared" si="266"/>
        <v>1</v>
      </c>
      <c r="AA270" s="798">
        <f t="shared" si="266"/>
        <v>1</v>
      </c>
      <c r="AB270" s="798">
        <f t="shared" si="266"/>
        <v>1</v>
      </c>
      <c r="AC270" s="798">
        <f t="shared" si="266"/>
        <v>1</v>
      </c>
      <c r="AD270" s="798">
        <f t="shared" si="266"/>
        <v>1</v>
      </c>
      <c r="AE270" s="798">
        <f t="shared" si="266"/>
        <v>1</v>
      </c>
      <c r="AF270" s="798">
        <f t="shared" si="266"/>
        <v>1</v>
      </c>
      <c r="AG270" s="798">
        <f t="shared" si="266"/>
        <v>1</v>
      </c>
      <c r="AH270" s="798">
        <f t="shared" si="266"/>
        <v>1</v>
      </c>
      <c r="AI270" s="798">
        <f t="shared" si="266"/>
        <v>1</v>
      </c>
      <c r="AJ270" s="798">
        <f t="shared" si="266"/>
        <v>1</v>
      </c>
      <c r="AK270" s="798">
        <f t="shared" si="266"/>
        <v>1</v>
      </c>
      <c r="AL270" s="798">
        <f t="shared" si="266"/>
        <v>1</v>
      </c>
      <c r="AM270" s="798">
        <f t="shared" si="266"/>
        <v>1</v>
      </c>
      <c r="AN270" s="798">
        <f t="shared" si="266"/>
        <v>1</v>
      </c>
      <c r="AO270" s="798">
        <f t="shared" si="266"/>
        <v>1</v>
      </c>
      <c r="AP270" s="798">
        <f t="shared" si="266"/>
        <v>1</v>
      </c>
      <c r="AQ270" s="798">
        <f t="shared" si="266"/>
        <v>1</v>
      </c>
      <c r="AR270" s="798">
        <f t="shared" si="266"/>
        <v>1</v>
      </c>
      <c r="AS270" s="798">
        <f t="shared" si="266"/>
        <v>1</v>
      </c>
      <c r="AT270" s="798">
        <f t="shared" si="266"/>
        <v>1</v>
      </c>
      <c r="AU270" s="798">
        <f t="shared" si="266"/>
        <v>1</v>
      </c>
      <c r="AV270" s="798">
        <f t="shared" si="266"/>
        <v>1</v>
      </c>
      <c r="AW270" s="798">
        <f t="shared" si="266"/>
        <v>1</v>
      </c>
      <c r="AX270" s="798">
        <f t="shared" si="266"/>
        <v>1</v>
      </c>
      <c r="AY270" s="798">
        <f t="shared" si="266"/>
        <v>1</v>
      </c>
      <c r="AZ270" s="798">
        <f t="shared" si="266"/>
        <v>1</v>
      </c>
      <c r="BA270" s="798">
        <f t="shared" si="266"/>
        <v>1</v>
      </c>
      <c r="BB270" s="798">
        <f t="shared" si="266"/>
        <v>1</v>
      </c>
      <c r="BC270" s="798">
        <f t="shared" si="266"/>
        <v>1</v>
      </c>
      <c r="BD270" s="798">
        <f t="shared" si="266"/>
        <v>1</v>
      </c>
      <c r="BE270" s="798">
        <f t="shared" si="266"/>
        <v>1</v>
      </c>
      <c r="BF270" s="798">
        <f t="shared" si="266"/>
        <v>1</v>
      </c>
      <c r="BG270" s="798">
        <f t="shared" si="266"/>
        <v>1</v>
      </c>
      <c r="BH270" s="798">
        <f t="shared" si="266"/>
        <v>1</v>
      </c>
      <c r="BI270" s="798">
        <f t="shared" si="266"/>
        <v>1</v>
      </c>
      <c r="BJ270" s="798">
        <f t="shared" si="266"/>
        <v>1</v>
      </c>
      <c r="BK270" s="798">
        <f t="shared" si="266"/>
        <v>1</v>
      </c>
      <c r="BL270" s="765"/>
      <c r="BM270" s="817"/>
      <c r="BN270" s="817"/>
    </row>
    <row r="271" hidden="1">
      <c r="A271" s="765"/>
      <c r="B271" s="765"/>
      <c r="C271" s="765"/>
      <c r="D271" s="765"/>
      <c r="E271" s="765"/>
      <c r="F271" s="765"/>
      <c r="G271" s="765"/>
      <c r="H271" s="765"/>
      <c r="I271" s="765">
        <f t="shared" si="17"/>
        <v>260</v>
      </c>
      <c r="J271" s="763">
        <f t="shared" si="5"/>
        <v>508084490204</v>
      </c>
      <c r="K271" s="796">
        <f t="shared" si="7"/>
        <v>0.36379</v>
      </c>
      <c r="L271" s="796">
        <v>5.0E-4</v>
      </c>
      <c r="M271" s="763">
        <v>5.79343774462778E11</v>
      </c>
      <c r="N271" s="797">
        <f t="shared" si="8"/>
        <v>0</v>
      </c>
      <c r="O271" s="798">
        <f t="shared" ref="O271:BK271" si="267">FLOOR(MIN((((N("value of ELS upgrade")+N$8*($K271-$K270))*(N("Check checkbox")+(IF($G$6=TRUE,$G$7,$G$8))/$G$8))/(N("ROI of ELS and multiply by 2 if ELS is 1:1")+IF($G$12 = True, 2, 1) * $J271))/((N("difference in ELS+ and the cost of it")+(($K270*O$8)-($K270*N$8)) / O$7)),(N("MIN lets it return 0 or 1 after floored")+1)),1)</f>
        <v>0</v>
      </c>
      <c r="P271" s="798">
        <f t="shared" si="267"/>
        <v>0</v>
      </c>
      <c r="Q271" s="798">
        <f t="shared" si="267"/>
        <v>0</v>
      </c>
      <c r="R271" s="798">
        <f t="shared" si="267"/>
        <v>0</v>
      </c>
      <c r="S271" s="798">
        <f t="shared" si="267"/>
        <v>0</v>
      </c>
      <c r="T271" s="798">
        <f t="shared" si="267"/>
        <v>0</v>
      </c>
      <c r="U271" s="798">
        <f t="shared" si="267"/>
        <v>1</v>
      </c>
      <c r="V271" s="798">
        <f t="shared" si="267"/>
        <v>1</v>
      </c>
      <c r="W271" s="798">
        <f t="shared" si="267"/>
        <v>1</v>
      </c>
      <c r="X271" s="798">
        <f t="shared" si="267"/>
        <v>1</v>
      </c>
      <c r="Y271" s="798">
        <f t="shared" si="267"/>
        <v>1</v>
      </c>
      <c r="Z271" s="798">
        <f t="shared" si="267"/>
        <v>1</v>
      </c>
      <c r="AA271" s="798">
        <f t="shared" si="267"/>
        <v>1</v>
      </c>
      <c r="AB271" s="798">
        <f t="shared" si="267"/>
        <v>1</v>
      </c>
      <c r="AC271" s="798">
        <f t="shared" si="267"/>
        <v>1</v>
      </c>
      <c r="AD271" s="798">
        <f t="shared" si="267"/>
        <v>1</v>
      </c>
      <c r="AE271" s="798">
        <f t="shared" si="267"/>
        <v>1</v>
      </c>
      <c r="AF271" s="798">
        <f t="shared" si="267"/>
        <v>1</v>
      </c>
      <c r="AG271" s="798">
        <f t="shared" si="267"/>
        <v>1</v>
      </c>
      <c r="AH271" s="798">
        <f t="shared" si="267"/>
        <v>1</v>
      </c>
      <c r="AI271" s="798">
        <f t="shared" si="267"/>
        <v>1</v>
      </c>
      <c r="AJ271" s="798">
        <f t="shared" si="267"/>
        <v>1</v>
      </c>
      <c r="AK271" s="798">
        <f t="shared" si="267"/>
        <v>1</v>
      </c>
      <c r="AL271" s="798">
        <f t="shared" si="267"/>
        <v>1</v>
      </c>
      <c r="AM271" s="798">
        <f t="shared" si="267"/>
        <v>1</v>
      </c>
      <c r="AN271" s="798">
        <f t="shared" si="267"/>
        <v>1</v>
      </c>
      <c r="AO271" s="798">
        <f t="shared" si="267"/>
        <v>1</v>
      </c>
      <c r="AP271" s="798">
        <f t="shared" si="267"/>
        <v>1</v>
      </c>
      <c r="AQ271" s="798">
        <f t="shared" si="267"/>
        <v>1</v>
      </c>
      <c r="AR271" s="798">
        <f t="shared" si="267"/>
        <v>1</v>
      </c>
      <c r="AS271" s="798">
        <f t="shared" si="267"/>
        <v>1</v>
      </c>
      <c r="AT271" s="798">
        <f t="shared" si="267"/>
        <v>1</v>
      </c>
      <c r="AU271" s="798">
        <f t="shared" si="267"/>
        <v>1</v>
      </c>
      <c r="AV271" s="798">
        <f t="shared" si="267"/>
        <v>1</v>
      </c>
      <c r="AW271" s="798">
        <f t="shared" si="267"/>
        <v>1</v>
      </c>
      <c r="AX271" s="798">
        <f t="shared" si="267"/>
        <v>1</v>
      </c>
      <c r="AY271" s="798">
        <f t="shared" si="267"/>
        <v>1</v>
      </c>
      <c r="AZ271" s="798">
        <f t="shared" si="267"/>
        <v>1</v>
      </c>
      <c r="BA271" s="798">
        <f t="shared" si="267"/>
        <v>1</v>
      </c>
      <c r="BB271" s="798">
        <f t="shared" si="267"/>
        <v>1</v>
      </c>
      <c r="BC271" s="798">
        <f t="shared" si="267"/>
        <v>1</v>
      </c>
      <c r="BD271" s="798">
        <f t="shared" si="267"/>
        <v>1</v>
      </c>
      <c r="BE271" s="798">
        <f t="shared" si="267"/>
        <v>1</v>
      </c>
      <c r="BF271" s="798">
        <f t="shared" si="267"/>
        <v>1</v>
      </c>
      <c r="BG271" s="798">
        <f t="shared" si="267"/>
        <v>1</v>
      </c>
      <c r="BH271" s="798">
        <f t="shared" si="267"/>
        <v>1</v>
      </c>
      <c r="BI271" s="798">
        <f t="shared" si="267"/>
        <v>1</v>
      </c>
      <c r="BJ271" s="798">
        <f t="shared" si="267"/>
        <v>1</v>
      </c>
      <c r="BK271" s="798">
        <f t="shared" si="267"/>
        <v>1</v>
      </c>
      <c r="BL271" s="765"/>
      <c r="BM271" s="817"/>
      <c r="BN271" s="817"/>
    </row>
    <row r="272" hidden="1">
      <c r="A272" s="765"/>
      <c r="B272" s="765"/>
      <c r="C272" s="765"/>
      <c r="D272" s="765"/>
      <c r="E272" s="765"/>
      <c r="F272" s="765"/>
      <c r="G272" s="765"/>
      <c r="H272" s="765"/>
      <c r="I272" s="765">
        <f t="shared" si="17"/>
        <v>261</v>
      </c>
      <c r="J272" s="763">
        <f t="shared" si="5"/>
        <v>510384214685</v>
      </c>
      <c r="K272" s="796">
        <f t="shared" si="7"/>
        <v>0.36429</v>
      </c>
      <c r="L272" s="796">
        <v>5.0E-4</v>
      </c>
      <c r="M272" s="763">
        <v>5.81966037268772E11</v>
      </c>
      <c r="N272" s="797">
        <f t="shared" si="8"/>
        <v>0</v>
      </c>
      <c r="O272" s="798">
        <f t="shared" ref="O272:BK272" si="268">FLOOR(MIN((((N("value of ELS upgrade")+N$8*($K272-$K271))*(N("Check checkbox")+(IF($G$6=TRUE,$G$7,$G$8))/$G$8))/(N("ROI of ELS and multiply by 2 if ELS is 1:1")+IF($G$12 = True, 2, 1) * $J272))/((N("difference in ELS+ and the cost of it")+(($K271*O$8)-($K271*N$8)) / O$7)),(N("MIN lets it return 0 or 1 after floored")+1)),1)</f>
        <v>0</v>
      </c>
      <c r="P272" s="798">
        <f t="shared" si="268"/>
        <v>0</v>
      </c>
      <c r="Q272" s="798">
        <f t="shared" si="268"/>
        <v>0</v>
      </c>
      <c r="R272" s="798">
        <f t="shared" si="268"/>
        <v>0</v>
      </c>
      <c r="S272" s="798">
        <f t="shared" si="268"/>
        <v>0</v>
      </c>
      <c r="T272" s="798">
        <f t="shared" si="268"/>
        <v>0</v>
      </c>
      <c r="U272" s="798">
        <f t="shared" si="268"/>
        <v>1</v>
      </c>
      <c r="V272" s="798">
        <f t="shared" si="268"/>
        <v>1</v>
      </c>
      <c r="W272" s="798">
        <f t="shared" si="268"/>
        <v>1</v>
      </c>
      <c r="X272" s="798">
        <f t="shared" si="268"/>
        <v>1</v>
      </c>
      <c r="Y272" s="798">
        <f t="shared" si="268"/>
        <v>1</v>
      </c>
      <c r="Z272" s="798">
        <f t="shared" si="268"/>
        <v>1</v>
      </c>
      <c r="AA272" s="798">
        <f t="shared" si="268"/>
        <v>1</v>
      </c>
      <c r="AB272" s="798">
        <f t="shared" si="268"/>
        <v>1</v>
      </c>
      <c r="AC272" s="798">
        <f t="shared" si="268"/>
        <v>1</v>
      </c>
      <c r="AD272" s="798">
        <f t="shared" si="268"/>
        <v>1</v>
      </c>
      <c r="AE272" s="798">
        <f t="shared" si="268"/>
        <v>1</v>
      </c>
      <c r="AF272" s="798">
        <f t="shared" si="268"/>
        <v>1</v>
      </c>
      <c r="AG272" s="798">
        <f t="shared" si="268"/>
        <v>1</v>
      </c>
      <c r="AH272" s="798">
        <f t="shared" si="268"/>
        <v>1</v>
      </c>
      <c r="AI272" s="798">
        <f t="shared" si="268"/>
        <v>1</v>
      </c>
      <c r="AJ272" s="798">
        <f t="shared" si="268"/>
        <v>1</v>
      </c>
      <c r="AK272" s="798">
        <f t="shared" si="268"/>
        <v>1</v>
      </c>
      <c r="AL272" s="798">
        <f t="shared" si="268"/>
        <v>1</v>
      </c>
      <c r="AM272" s="798">
        <f t="shared" si="268"/>
        <v>1</v>
      </c>
      <c r="AN272" s="798">
        <f t="shared" si="268"/>
        <v>1</v>
      </c>
      <c r="AO272" s="798">
        <f t="shared" si="268"/>
        <v>1</v>
      </c>
      <c r="AP272" s="798">
        <f t="shared" si="268"/>
        <v>1</v>
      </c>
      <c r="AQ272" s="798">
        <f t="shared" si="268"/>
        <v>1</v>
      </c>
      <c r="AR272" s="798">
        <f t="shared" si="268"/>
        <v>1</v>
      </c>
      <c r="AS272" s="798">
        <f t="shared" si="268"/>
        <v>1</v>
      </c>
      <c r="AT272" s="798">
        <f t="shared" si="268"/>
        <v>1</v>
      </c>
      <c r="AU272" s="798">
        <f t="shared" si="268"/>
        <v>1</v>
      </c>
      <c r="AV272" s="798">
        <f t="shared" si="268"/>
        <v>1</v>
      </c>
      <c r="AW272" s="798">
        <f t="shared" si="268"/>
        <v>1</v>
      </c>
      <c r="AX272" s="798">
        <f t="shared" si="268"/>
        <v>1</v>
      </c>
      <c r="AY272" s="798">
        <f t="shared" si="268"/>
        <v>1</v>
      </c>
      <c r="AZ272" s="798">
        <f t="shared" si="268"/>
        <v>1</v>
      </c>
      <c r="BA272" s="798">
        <f t="shared" si="268"/>
        <v>1</v>
      </c>
      <c r="BB272" s="798">
        <f t="shared" si="268"/>
        <v>1</v>
      </c>
      <c r="BC272" s="798">
        <f t="shared" si="268"/>
        <v>1</v>
      </c>
      <c r="BD272" s="798">
        <f t="shared" si="268"/>
        <v>1</v>
      </c>
      <c r="BE272" s="798">
        <f t="shared" si="268"/>
        <v>1</v>
      </c>
      <c r="BF272" s="798">
        <f t="shared" si="268"/>
        <v>1</v>
      </c>
      <c r="BG272" s="798">
        <f t="shared" si="268"/>
        <v>1</v>
      </c>
      <c r="BH272" s="798">
        <f t="shared" si="268"/>
        <v>1</v>
      </c>
      <c r="BI272" s="798">
        <f t="shared" si="268"/>
        <v>1</v>
      </c>
      <c r="BJ272" s="798">
        <f t="shared" si="268"/>
        <v>1</v>
      </c>
      <c r="BK272" s="798">
        <f t="shared" si="268"/>
        <v>1</v>
      </c>
      <c r="BL272" s="765"/>
      <c r="BM272" s="817"/>
      <c r="BN272" s="817"/>
    </row>
    <row r="273" hidden="1">
      <c r="A273" s="765"/>
      <c r="B273" s="765"/>
      <c r="C273" s="765"/>
      <c r="D273" s="765"/>
      <c r="E273" s="765"/>
      <c r="F273" s="765"/>
      <c r="G273" s="765"/>
      <c r="H273" s="765"/>
      <c r="I273" s="765">
        <f t="shared" si="17"/>
        <v>262</v>
      </c>
      <c r="J273" s="763">
        <f t="shared" si="5"/>
        <v>512689842457</v>
      </c>
      <c r="K273" s="796">
        <f t="shared" si="7"/>
        <v>0.36479</v>
      </c>
      <c r="L273" s="796">
        <v>5.0E-4</v>
      </c>
      <c r="M273" s="763">
        <v>5.84595031307913E11</v>
      </c>
      <c r="N273" s="797">
        <f t="shared" si="8"/>
        <v>0</v>
      </c>
      <c r="O273" s="798">
        <f t="shared" ref="O273:BK273" si="269">FLOOR(MIN((((N("value of ELS upgrade")+N$8*($K273-$K272))*(N("Check checkbox")+(IF($G$6=TRUE,$G$7,$G$8))/$G$8))/(N("ROI of ELS and multiply by 2 if ELS is 1:1")+IF($G$12 = True, 2, 1) * $J273))/((N("difference in ELS+ and the cost of it")+(($K272*O$8)-($K272*N$8)) / O$7)),(N("MIN lets it return 0 or 1 after floored")+1)),1)</f>
        <v>0</v>
      </c>
      <c r="P273" s="798">
        <f t="shared" si="269"/>
        <v>0</v>
      </c>
      <c r="Q273" s="798">
        <f t="shared" si="269"/>
        <v>0</v>
      </c>
      <c r="R273" s="798">
        <f t="shared" si="269"/>
        <v>0</v>
      </c>
      <c r="S273" s="798">
        <f t="shared" si="269"/>
        <v>0</v>
      </c>
      <c r="T273" s="798">
        <f t="shared" si="269"/>
        <v>0</v>
      </c>
      <c r="U273" s="798">
        <f t="shared" si="269"/>
        <v>1</v>
      </c>
      <c r="V273" s="798">
        <f t="shared" si="269"/>
        <v>1</v>
      </c>
      <c r="W273" s="798">
        <f t="shared" si="269"/>
        <v>1</v>
      </c>
      <c r="X273" s="798">
        <f t="shared" si="269"/>
        <v>1</v>
      </c>
      <c r="Y273" s="798">
        <f t="shared" si="269"/>
        <v>1</v>
      </c>
      <c r="Z273" s="798">
        <f t="shared" si="269"/>
        <v>1</v>
      </c>
      <c r="AA273" s="798">
        <f t="shared" si="269"/>
        <v>1</v>
      </c>
      <c r="AB273" s="798">
        <f t="shared" si="269"/>
        <v>1</v>
      </c>
      <c r="AC273" s="798">
        <f t="shared" si="269"/>
        <v>1</v>
      </c>
      <c r="AD273" s="798">
        <f t="shared" si="269"/>
        <v>1</v>
      </c>
      <c r="AE273" s="798">
        <f t="shared" si="269"/>
        <v>1</v>
      </c>
      <c r="AF273" s="798">
        <f t="shared" si="269"/>
        <v>1</v>
      </c>
      <c r="AG273" s="798">
        <f t="shared" si="269"/>
        <v>1</v>
      </c>
      <c r="AH273" s="798">
        <f t="shared" si="269"/>
        <v>1</v>
      </c>
      <c r="AI273" s="798">
        <f t="shared" si="269"/>
        <v>1</v>
      </c>
      <c r="AJ273" s="798">
        <f t="shared" si="269"/>
        <v>1</v>
      </c>
      <c r="AK273" s="798">
        <f t="shared" si="269"/>
        <v>1</v>
      </c>
      <c r="AL273" s="798">
        <f t="shared" si="269"/>
        <v>1</v>
      </c>
      <c r="AM273" s="798">
        <f t="shared" si="269"/>
        <v>1</v>
      </c>
      <c r="AN273" s="798">
        <f t="shared" si="269"/>
        <v>1</v>
      </c>
      <c r="AO273" s="798">
        <f t="shared" si="269"/>
        <v>1</v>
      </c>
      <c r="AP273" s="798">
        <f t="shared" si="269"/>
        <v>1</v>
      </c>
      <c r="AQ273" s="798">
        <f t="shared" si="269"/>
        <v>1</v>
      </c>
      <c r="AR273" s="798">
        <f t="shared" si="269"/>
        <v>1</v>
      </c>
      <c r="AS273" s="798">
        <f t="shared" si="269"/>
        <v>1</v>
      </c>
      <c r="AT273" s="798">
        <f t="shared" si="269"/>
        <v>1</v>
      </c>
      <c r="AU273" s="798">
        <f t="shared" si="269"/>
        <v>1</v>
      </c>
      <c r="AV273" s="798">
        <f t="shared" si="269"/>
        <v>1</v>
      </c>
      <c r="AW273" s="798">
        <f t="shared" si="269"/>
        <v>1</v>
      </c>
      <c r="AX273" s="798">
        <f t="shared" si="269"/>
        <v>1</v>
      </c>
      <c r="AY273" s="798">
        <f t="shared" si="269"/>
        <v>1</v>
      </c>
      <c r="AZ273" s="798">
        <f t="shared" si="269"/>
        <v>1</v>
      </c>
      <c r="BA273" s="798">
        <f t="shared" si="269"/>
        <v>1</v>
      </c>
      <c r="BB273" s="798">
        <f t="shared" si="269"/>
        <v>1</v>
      </c>
      <c r="BC273" s="798">
        <f t="shared" si="269"/>
        <v>1</v>
      </c>
      <c r="BD273" s="798">
        <f t="shared" si="269"/>
        <v>1</v>
      </c>
      <c r="BE273" s="798">
        <f t="shared" si="269"/>
        <v>1</v>
      </c>
      <c r="BF273" s="798">
        <f t="shared" si="269"/>
        <v>1</v>
      </c>
      <c r="BG273" s="798">
        <f t="shared" si="269"/>
        <v>1</v>
      </c>
      <c r="BH273" s="798">
        <f t="shared" si="269"/>
        <v>1</v>
      </c>
      <c r="BI273" s="798">
        <f t="shared" si="269"/>
        <v>1</v>
      </c>
      <c r="BJ273" s="798">
        <f t="shared" si="269"/>
        <v>1</v>
      </c>
      <c r="BK273" s="798">
        <f t="shared" si="269"/>
        <v>1</v>
      </c>
      <c r="BL273" s="765"/>
      <c r="BM273" s="817"/>
      <c r="BN273" s="817"/>
    </row>
    <row r="274" hidden="1">
      <c r="A274" s="765"/>
      <c r="B274" s="765"/>
      <c r="C274" s="765"/>
      <c r="D274" s="765"/>
      <c r="E274" s="765"/>
      <c r="F274" s="765"/>
      <c r="G274" s="765"/>
      <c r="H274" s="765"/>
      <c r="I274" s="765">
        <f t="shared" si="17"/>
        <v>263</v>
      </c>
      <c r="J274" s="763">
        <f t="shared" si="5"/>
        <v>515001413096</v>
      </c>
      <c r="K274" s="796">
        <f t="shared" si="7"/>
        <v>0.36529</v>
      </c>
      <c r="L274" s="796">
        <v>5.0E-4</v>
      </c>
      <c r="M274" s="763">
        <v>5.87230801705786E11</v>
      </c>
      <c r="N274" s="797">
        <f t="shared" si="8"/>
        <v>0</v>
      </c>
      <c r="O274" s="798">
        <f t="shared" ref="O274:BK274" si="270">FLOOR(MIN((((N("value of ELS upgrade")+N$8*($K274-$K273))*(N("Check checkbox")+(IF($G$6=TRUE,$G$7,$G$8))/$G$8))/(N("ROI of ELS and multiply by 2 if ELS is 1:1")+IF($G$12 = True, 2, 1) * $J274))/((N("difference in ELS+ and the cost of it")+(($K273*O$8)-($K273*N$8)) / O$7)),(N("MIN lets it return 0 or 1 after floored")+1)),1)</f>
        <v>0</v>
      </c>
      <c r="P274" s="798">
        <f t="shared" si="270"/>
        <v>0</v>
      </c>
      <c r="Q274" s="798">
        <f t="shared" si="270"/>
        <v>0</v>
      </c>
      <c r="R274" s="798">
        <f t="shared" si="270"/>
        <v>0</v>
      </c>
      <c r="S274" s="798">
        <f t="shared" si="270"/>
        <v>0</v>
      </c>
      <c r="T274" s="798">
        <f t="shared" si="270"/>
        <v>0</v>
      </c>
      <c r="U274" s="798">
        <f t="shared" si="270"/>
        <v>1</v>
      </c>
      <c r="V274" s="798">
        <f t="shared" si="270"/>
        <v>1</v>
      </c>
      <c r="W274" s="798">
        <f t="shared" si="270"/>
        <v>1</v>
      </c>
      <c r="X274" s="798">
        <f t="shared" si="270"/>
        <v>1</v>
      </c>
      <c r="Y274" s="798">
        <f t="shared" si="270"/>
        <v>1</v>
      </c>
      <c r="Z274" s="798">
        <f t="shared" si="270"/>
        <v>1</v>
      </c>
      <c r="AA274" s="798">
        <f t="shared" si="270"/>
        <v>1</v>
      </c>
      <c r="AB274" s="798">
        <f t="shared" si="270"/>
        <v>1</v>
      </c>
      <c r="AC274" s="798">
        <f t="shared" si="270"/>
        <v>1</v>
      </c>
      <c r="AD274" s="798">
        <f t="shared" si="270"/>
        <v>1</v>
      </c>
      <c r="AE274" s="798">
        <f t="shared" si="270"/>
        <v>1</v>
      </c>
      <c r="AF274" s="798">
        <f t="shared" si="270"/>
        <v>1</v>
      </c>
      <c r="AG274" s="798">
        <f t="shared" si="270"/>
        <v>1</v>
      </c>
      <c r="AH274" s="798">
        <f t="shared" si="270"/>
        <v>1</v>
      </c>
      <c r="AI274" s="798">
        <f t="shared" si="270"/>
        <v>1</v>
      </c>
      <c r="AJ274" s="798">
        <f t="shared" si="270"/>
        <v>1</v>
      </c>
      <c r="AK274" s="798">
        <f t="shared" si="270"/>
        <v>1</v>
      </c>
      <c r="AL274" s="798">
        <f t="shared" si="270"/>
        <v>1</v>
      </c>
      <c r="AM274" s="798">
        <f t="shared" si="270"/>
        <v>1</v>
      </c>
      <c r="AN274" s="798">
        <f t="shared" si="270"/>
        <v>1</v>
      </c>
      <c r="AO274" s="798">
        <f t="shared" si="270"/>
        <v>1</v>
      </c>
      <c r="AP274" s="798">
        <f t="shared" si="270"/>
        <v>1</v>
      </c>
      <c r="AQ274" s="798">
        <f t="shared" si="270"/>
        <v>1</v>
      </c>
      <c r="AR274" s="798">
        <f t="shared" si="270"/>
        <v>1</v>
      </c>
      <c r="AS274" s="798">
        <f t="shared" si="270"/>
        <v>1</v>
      </c>
      <c r="AT274" s="798">
        <f t="shared" si="270"/>
        <v>1</v>
      </c>
      <c r="AU274" s="798">
        <f t="shared" si="270"/>
        <v>1</v>
      </c>
      <c r="AV274" s="798">
        <f t="shared" si="270"/>
        <v>1</v>
      </c>
      <c r="AW274" s="798">
        <f t="shared" si="270"/>
        <v>1</v>
      </c>
      <c r="AX274" s="798">
        <f t="shared" si="270"/>
        <v>1</v>
      </c>
      <c r="AY274" s="798">
        <f t="shared" si="270"/>
        <v>1</v>
      </c>
      <c r="AZ274" s="798">
        <f t="shared" si="270"/>
        <v>1</v>
      </c>
      <c r="BA274" s="798">
        <f t="shared" si="270"/>
        <v>1</v>
      </c>
      <c r="BB274" s="798">
        <f t="shared" si="270"/>
        <v>1</v>
      </c>
      <c r="BC274" s="798">
        <f t="shared" si="270"/>
        <v>1</v>
      </c>
      <c r="BD274" s="798">
        <f t="shared" si="270"/>
        <v>1</v>
      </c>
      <c r="BE274" s="798">
        <f t="shared" si="270"/>
        <v>1</v>
      </c>
      <c r="BF274" s="798">
        <f t="shared" si="270"/>
        <v>1</v>
      </c>
      <c r="BG274" s="798">
        <f t="shared" si="270"/>
        <v>1</v>
      </c>
      <c r="BH274" s="798">
        <f t="shared" si="270"/>
        <v>1</v>
      </c>
      <c r="BI274" s="798">
        <f t="shared" si="270"/>
        <v>1</v>
      </c>
      <c r="BJ274" s="798">
        <f t="shared" si="270"/>
        <v>1</v>
      </c>
      <c r="BK274" s="798">
        <f t="shared" si="270"/>
        <v>1</v>
      </c>
      <c r="BL274" s="765"/>
      <c r="BM274" s="817"/>
      <c r="BN274" s="817"/>
    </row>
    <row r="275" hidden="1">
      <c r="A275" s="765"/>
      <c r="B275" s="765"/>
      <c r="C275" s="765"/>
      <c r="D275" s="765"/>
      <c r="E275" s="765"/>
      <c r="F275" s="765"/>
      <c r="G275" s="765"/>
      <c r="H275" s="765"/>
      <c r="I275" s="765">
        <f t="shared" si="17"/>
        <v>264</v>
      </c>
      <c r="J275" s="763">
        <f t="shared" si="5"/>
        <v>517318952985</v>
      </c>
      <c r="K275" s="796">
        <f t="shared" si="7"/>
        <v>0.36579</v>
      </c>
      <c r="L275" s="796">
        <v>5.0E-4</v>
      </c>
      <c r="M275" s="763">
        <v>5.89873378546114E11</v>
      </c>
      <c r="N275" s="797">
        <f t="shared" si="8"/>
        <v>0</v>
      </c>
      <c r="O275" s="798">
        <f t="shared" ref="O275:BK275" si="271">FLOOR(MIN((((N("value of ELS upgrade")+N$8*($K275-$K274))*(N("Check checkbox")+(IF($G$6=TRUE,$G$7,$G$8))/$G$8))/(N("ROI of ELS and multiply by 2 if ELS is 1:1")+IF($G$12 = True, 2, 1) * $J275))/((N("difference in ELS+ and the cost of it")+(($K274*O$8)-($K274*N$8)) / O$7)),(N("MIN lets it return 0 or 1 after floored")+1)),1)</f>
        <v>0</v>
      </c>
      <c r="P275" s="798">
        <f t="shared" si="271"/>
        <v>0</v>
      </c>
      <c r="Q275" s="798">
        <f t="shared" si="271"/>
        <v>0</v>
      </c>
      <c r="R275" s="798">
        <f t="shared" si="271"/>
        <v>0</v>
      </c>
      <c r="S275" s="798">
        <f t="shared" si="271"/>
        <v>0</v>
      </c>
      <c r="T275" s="798">
        <f t="shared" si="271"/>
        <v>0</v>
      </c>
      <c r="U275" s="798">
        <f t="shared" si="271"/>
        <v>1</v>
      </c>
      <c r="V275" s="798">
        <f t="shared" si="271"/>
        <v>1</v>
      </c>
      <c r="W275" s="798">
        <f t="shared" si="271"/>
        <v>1</v>
      </c>
      <c r="X275" s="798">
        <f t="shared" si="271"/>
        <v>1</v>
      </c>
      <c r="Y275" s="798">
        <f t="shared" si="271"/>
        <v>1</v>
      </c>
      <c r="Z275" s="798">
        <f t="shared" si="271"/>
        <v>1</v>
      </c>
      <c r="AA275" s="798">
        <f t="shared" si="271"/>
        <v>1</v>
      </c>
      <c r="AB275" s="798">
        <f t="shared" si="271"/>
        <v>1</v>
      </c>
      <c r="AC275" s="798">
        <f t="shared" si="271"/>
        <v>1</v>
      </c>
      <c r="AD275" s="798">
        <f t="shared" si="271"/>
        <v>1</v>
      </c>
      <c r="AE275" s="798">
        <f t="shared" si="271"/>
        <v>1</v>
      </c>
      <c r="AF275" s="798">
        <f t="shared" si="271"/>
        <v>1</v>
      </c>
      <c r="AG275" s="798">
        <f t="shared" si="271"/>
        <v>1</v>
      </c>
      <c r="AH275" s="798">
        <f t="shared" si="271"/>
        <v>1</v>
      </c>
      <c r="AI275" s="798">
        <f t="shared" si="271"/>
        <v>1</v>
      </c>
      <c r="AJ275" s="798">
        <f t="shared" si="271"/>
        <v>1</v>
      </c>
      <c r="AK275" s="798">
        <f t="shared" si="271"/>
        <v>1</v>
      </c>
      <c r="AL275" s="798">
        <f t="shared" si="271"/>
        <v>1</v>
      </c>
      <c r="AM275" s="798">
        <f t="shared" si="271"/>
        <v>1</v>
      </c>
      <c r="AN275" s="798">
        <f t="shared" si="271"/>
        <v>1</v>
      </c>
      <c r="AO275" s="798">
        <f t="shared" si="271"/>
        <v>1</v>
      </c>
      <c r="AP275" s="798">
        <f t="shared" si="271"/>
        <v>1</v>
      </c>
      <c r="AQ275" s="798">
        <f t="shared" si="271"/>
        <v>1</v>
      </c>
      <c r="AR275" s="798">
        <f t="shared" si="271"/>
        <v>1</v>
      </c>
      <c r="AS275" s="798">
        <f t="shared" si="271"/>
        <v>1</v>
      </c>
      <c r="AT275" s="798">
        <f t="shared" si="271"/>
        <v>1</v>
      </c>
      <c r="AU275" s="798">
        <f t="shared" si="271"/>
        <v>1</v>
      </c>
      <c r="AV275" s="798">
        <f t="shared" si="271"/>
        <v>1</v>
      </c>
      <c r="AW275" s="798">
        <f t="shared" si="271"/>
        <v>1</v>
      </c>
      <c r="AX275" s="798">
        <f t="shared" si="271"/>
        <v>1</v>
      </c>
      <c r="AY275" s="798">
        <f t="shared" si="271"/>
        <v>1</v>
      </c>
      <c r="AZ275" s="798">
        <f t="shared" si="271"/>
        <v>1</v>
      </c>
      <c r="BA275" s="798">
        <f t="shared" si="271"/>
        <v>1</v>
      </c>
      <c r="BB275" s="798">
        <f t="shared" si="271"/>
        <v>1</v>
      </c>
      <c r="BC275" s="798">
        <f t="shared" si="271"/>
        <v>1</v>
      </c>
      <c r="BD275" s="798">
        <f t="shared" si="271"/>
        <v>1</v>
      </c>
      <c r="BE275" s="798">
        <f t="shared" si="271"/>
        <v>1</v>
      </c>
      <c r="BF275" s="798">
        <f t="shared" si="271"/>
        <v>1</v>
      </c>
      <c r="BG275" s="798">
        <f t="shared" si="271"/>
        <v>1</v>
      </c>
      <c r="BH275" s="798">
        <f t="shared" si="271"/>
        <v>1</v>
      </c>
      <c r="BI275" s="798">
        <f t="shared" si="271"/>
        <v>1</v>
      </c>
      <c r="BJ275" s="798">
        <f t="shared" si="271"/>
        <v>1</v>
      </c>
      <c r="BK275" s="798">
        <f t="shared" si="271"/>
        <v>1</v>
      </c>
      <c r="BL275" s="765"/>
      <c r="BM275" s="817"/>
      <c r="BN275" s="817"/>
    </row>
    <row r="276" hidden="1">
      <c r="A276" s="765"/>
      <c r="B276" s="765"/>
      <c r="C276" s="765"/>
      <c r="D276" s="765"/>
      <c r="E276" s="765"/>
      <c r="F276" s="765"/>
      <c r="G276" s="765"/>
      <c r="H276" s="765"/>
      <c r="I276" s="765">
        <f t="shared" si="17"/>
        <v>265</v>
      </c>
      <c r="J276" s="763">
        <f t="shared" si="5"/>
        <v>519642491805</v>
      </c>
      <c r="K276" s="796">
        <f t="shared" si="7"/>
        <v>0.36629</v>
      </c>
      <c r="L276" s="796">
        <v>5.0E-4</v>
      </c>
      <c r="M276" s="763">
        <v>5.92522795673087E11</v>
      </c>
      <c r="N276" s="797">
        <f t="shared" si="8"/>
        <v>0</v>
      </c>
      <c r="O276" s="798">
        <f t="shared" ref="O276:BK276" si="272">FLOOR(MIN((((N("value of ELS upgrade")+N$8*($K276-$K275))*(N("Check checkbox")+(IF($G$6=TRUE,$G$7,$G$8))/$G$8))/(N("ROI of ELS and multiply by 2 if ELS is 1:1")+IF($G$12 = True, 2, 1) * $J276))/((N("difference in ELS+ and the cost of it")+(($K275*O$8)-($K275*N$8)) / O$7)),(N("MIN lets it return 0 or 1 after floored")+1)),1)</f>
        <v>0</v>
      </c>
      <c r="P276" s="798">
        <f t="shared" si="272"/>
        <v>0</v>
      </c>
      <c r="Q276" s="798">
        <f t="shared" si="272"/>
        <v>0</v>
      </c>
      <c r="R276" s="798">
        <f t="shared" si="272"/>
        <v>0</v>
      </c>
      <c r="S276" s="798">
        <f t="shared" si="272"/>
        <v>0</v>
      </c>
      <c r="T276" s="798">
        <f t="shared" si="272"/>
        <v>0</v>
      </c>
      <c r="U276" s="798">
        <f t="shared" si="272"/>
        <v>1</v>
      </c>
      <c r="V276" s="798">
        <f t="shared" si="272"/>
        <v>1</v>
      </c>
      <c r="W276" s="798">
        <f t="shared" si="272"/>
        <v>1</v>
      </c>
      <c r="X276" s="798">
        <f t="shared" si="272"/>
        <v>1</v>
      </c>
      <c r="Y276" s="798">
        <f t="shared" si="272"/>
        <v>1</v>
      </c>
      <c r="Z276" s="798">
        <f t="shared" si="272"/>
        <v>1</v>
      </c>
      <c r="AA276" s="798">
        <f t="shared" si="272"/>
        <v>1</v>
      </c>
      <c r="AB276" s="798">
        <f t="shared" si="272"/>
        <v>1</v>
      </c>
      <c r="AC276" s="798">
        <f t="shared" si="272"/>
        <v>1</v>
      </c>
      <c r="AD276" s="798">
        <f t="shared" si="272"/>
        <v>1</v>
      </c>
      <c r="AE276" s="798">
        <f t="shared" si="272"/>
        <v>1</v>
      </c>
      <c r="AF276" s="798">
        <f t="shared" si="272"/>
        <v>1</v>
      </c>
      <c r="AG276" s="798">
        <f t="shared" si="272"/>
        <v>1</v>
      </c>
      <c r="AH276" s="798">
        <f t="shared" si="272"/>
        <v>1</v>
      </c>
      <c r="AI276" s="798">
        <f t="shared" si="272"/>
        <v>1</v>
      </c>
      <c r="AJ276" s="798">
        <f t="shared" si="272"/>
        <v>1</v>
      </c>
      <c r="AK276" s="798">
        <f t="shared" si="272"/>
        <v>1</v>
      </c>
      <c r="AL276" s="798">
        <f t="shared" si="272"/>
        <v>1</v>
      </c>
      <c r="AM276" s="798">
        <f t="shared" si="272"/>
        <v>1</v>
      </c>
      <c r="AN276" s="798">
        <f t="shared" si="272"/>
        <v>1</v>
      </c>
      <c r="AO276" s="798">
        <f t="shared" si="272"/>
        <v>1</v>
      </c>
      <c r="AP276" s="798">
        <f t="shared" si="272"/>
        <v>1</v>
      </c>
      <c r="AQ276" s="798">
        <f t="shared" si="272"/>
        <v>1</v>
      </c>
      <c r="AR276" s="798">
        <f t="shared" si="272"/>
        <v>1</v>
      </c>
      <c r="AS276" s="798">
        <f t="shared" si="272"/>
        <v>1</v>
      </c>
      <c r="AT276" s="798">
        <f t="shared" si="272"/>
        <v>1</v>
      </c>
      <c r="AU276" s="798">
        <f t="shared" si="272"/>
        <v>1</v>
      </c>
      <c r="AV276" s="798">
        <f t="shared" si="272"/>
        <v>1</v>
      </c>
      <c r="AW276" s="798">
        <f t="shared" si="272"/>
        <v>1</v>
      </c>
      <c r="AX276" s="798">
        <f t="shared" si="272"/>
        <v>1</v>
      </c>
      <c r="AY276" s="798">
        <f t="shared" si="272"/>
        <v>1</v>
      </c>
      <c r="AZ276" s="798">
        <f t="shared" si="272"/>
        <v>1</v>
      </c>
      <c r="BA276" s="798">
        <f t="shared" si="272"/>
        <v>1</v>
      </c>
      <c r="BB276" s="798">
        <f t="shared" si="272"/>
        <v>1</v>
      </c>
      <c r="BC276" s="798">
        <f t="shared" si="272"/>
        <v>1</v>
      </c>
      <c r="BD276" s="798">
        <f t="shared" si="272"/>
        <v>1</v>
      </c>
      <c r="BE276" s="798">
        <f t="shared" si="272"/>
        <v>1</v>
      </c>
      <c r="BF276" s="798">
        <f t="shared" si="272"/>
        <v>1</v>
      </c>
      <c r="BG276" s="798">
        <f t="shared" si="272"/>
        <v>1</v>
      </c>
      <c r="BH276" s="798">
        <f t="shared" si="272"/>
        <v>1</v>
      </c>
      <c r="BI276" s="798">
        <f t="shared" si="272"/>
        <v>1</v>
      </c>
      <c r="BJ276" s="798">
        <f t="shared" si="272"/>
        <v>1</v>
      </c>
      <c r="BK276" s="798">
        <f t="shared" si="272"/>
        <v>1</v>
      </c>
      <c r="BL276" s="765"/>
      <c r="BM276" s="817"/>
      <c r="BN276" s="817"/>
    </row>
    <row r="277" hidden="1">
      <c r="A277" s="765"/>
      <c r="B277" s="765"/>
      <c r="C277" s="765"/>
      <c r="D277" s="765"/>
      <c r="E277" s="765"/>
      <c r="F277" s="765"/>
      <c r="G277" s="765"/>
      <c r="H277" s="765"/>
      <c r="I277" s="765">
        <f t="shared" si="17"/>
        <v>266</v>
      </c>
      <c r="J277" s="763">
        <f t="shared" si="5"/>
        <v>521972065834</v>
      </c>
      <c r="K277" s="796">
        <f t="shared" si="7"/>
        <v>0.36679</v>
      </c>
      <c r="L277" s="796">
        <v>5.0E-4</v>
      </c>
      <c r="M277" s="763">
        <v>5.95179094451824E11</v>
      </c>
      <c r="N277" s="797">
        <f t="shared" si="8"/>
        <v>0</v>
      </c>
      <c r="O277" s="798">
        <f t="shared" ref="O277:BK277" si="273">FLOOR(MIN((((N("value of ELS upgrade")+N$8*($K277-$K276))*(N("Check checkbox")+(IF($G$6=TRUE,$G$7,$G$8))/$G$8))/(N("ROI of ELS and multiply by 2 if ELS is 1:1")+IF($G$12 = True, 2, 1) * $J277))/((N("difference in ELS+ and the cost of it")+(($K276*O$8)-($K276*N$8)) / O$7)),(N("MIN lets it return 0 or 1 after floored")+1)),1)</f>
        <v>0</v>
      </c>
      <c r="P277" s="798">
        <f t="shared" si="273"/>
        <v>0</v>
      </c>
      <c r="Q277" s="798">
        <f t="shared" si="273"/>
        <v>0</v>
      </c>
      <c r="R277" s="798">
        <f t="shared" si="273"/>
        <v>0</v>
      </c>
      <c r="S277" s="798">
        <f t="shared" si="273"/>
        <v>0</v>
      </c>
      <c r="T277" s="798">
        <f t="shared" si="273"/>
        <v>0</v>
      </c>
      <c r="U277" s="798">
        <f t="shared" si="273"/>
        <v>1</v>
      </c>
      <c r="V277" s="798">
        <f t="shared" si="273"/>
        <v>1</v>
      </c>
      <c r="W277" s="798">
        <f t="shared" si="273"/>
        <v>1</v>
      </c>
      <c r="X277" s="798">
        <f t="shared" si="273"/>
        <v>1</v>
      </c>
      <c r="Y277" s="798">
        <f t="shared" si="273"/>
        <v>1</v>
      </c>
      <c r="Z277" s="798">
        <f t="shared" si="273"/>
        <v>1</v>
      </c>
      <c r="AA277" s="798">
        <f t="shared" si="273"/>
        <v>1</v>
      </c>
      <c r="AB277" s="798">
        <f t="shared" si="273"/>
        <v>1</v>
      </c>
      <c r="AC277" s="798">
        <f t="shared" si="273"/>
        <v>1</v>
      </c>
      <c r="AD277" s="798">
        <f t="shared" si="273"/>
        <v>1</v>
      </c>
      <c r="AE277" s="798">
        <f t="shared" si="273"/>
        <v>1</v>
      </c>
      <c r="AF277" s="798">
        <f t="shared" si="273"/>
        <v>1</v>
      </c>
      <c r="AG277" s="798">
        <f t="shared" si="273"/>
        <v>1</v>
      </c>
      <c r="AH277" s="798">
        <f t="shared" si="273"/>
        <v>1</v>
      </c>
      <c r="AI277" s="798">
        <f t="shared" si="273"/>
        <v>1</v>
      </c>
      <c r="AJ277" s="798">
        <f t="shared" si="273"/>
        <v>1</v>
      </c>
      <c r="AK277" s="798">
        <f t="shared" si="273"/>
        <v>1</v>
      </c>
      <c r="AL277" s="798">
        <f t="shared" si="273"/>
        <v>1</v>
      </c>
      <c r="AM277" s="798">
        <f t="shared" si="273"/>
        <v>1</v>
      </c>
      <c r="AN277" s="798">
        <f t="shared" si="273"/>
        <v>1</v>
      </c>
      <c r="AO277" s="798">
        <f t="shared" si="273"/>
        <v>1</v>
      </c>
      <c r="AP277" s="798">
        <f t="shared" si="273"/>
        <v>1</v>
      </c>
      <c r="AQ277" s="798">
        <f t="shared" si="273"/>
        <v>1</v>
      </c>
      <c r="AR277" s="798">
        <f t="shared" si="273"/>
        <v>1</v>
      </c>
      <c r="AS277" s="798">
        <f t="shared" si="273"/>
        <v>1</v>
      </c>
      <c r="AT277" s="798">
        <f t="shared" si="273"/>
        <v>1</v>
      </c>
      <c r="AU277" s="798">
        <f t="shared" si="273"/>
        <v>1</v>
      </c>
      <c r="AV277" s="798">
        <f t="shared" si="273"/>
        <v>1</v>
      </c>
      <c r="AW277" s="798">
        <f t="shared" si="273"/>
        <v>1</v>
      </c>
      <c r="AX277" s="798">
        <f t="shared" si="273"/>
        <v>1</v>
      </c>
      <c r="AY277" s="798">
        <f t="shared" si="273"/>
        <v>1</v>
      </c>
      <c r="AZ277" s="798">
        <f t="shared" si="273"/>
        <v>1</v>
      </c>
      <c r="BA277" s="798">
        <f t="shared" si="273"/>
        <v>1</v>
      </c>
      <c r="BB277" s="798">
        <f t="shared" si="273"/>
        <v>1</v>
      </c>
      <c r="BC277" s="798">
        <f t="shared" si="273"/>
        <v>1</v>
      </c>
      <c r="BD277" s="798">
        <f t="shared" si="273"/>
        <v>1</v>
      </c>
      <c r="BE277" s="798">
        <f t="shared" si="273"/>
        <v>1</v>
      </c>
      <c r="BF277" s="798">
        <f t="shared" si="273"/>
        <v>1</v>
      </c>
      <c r="BG277" s="798">
        <f t="shared" si="273"/>
        <v>1</v>
      </c>
      <c r="BH277" s="798">
        <f t="shared" si="273"/>
        <v>1</v>
      </c>
      <c r="BI277" s="798">
        <f t="shared" si="273"/>
        <v>1</v>
      </c>
      <c r="BJ277" s="798">
        <f t="shared" si="273"/>
        <v>1</v>
      </c>
      <c r="BK277" s="798">
        <f t="shared" si="273"/>
        <v>1</v>
      </c>
      <c r="BL277" s="765"/>
      <c r="BM277" s="817"/>
      <c r="BN277" s="817"/>
    </row>
    <row r="278" hidden="1">
      <c r="A278" s="765"/>
      <c r="B278" s="765"/>
      <c r="C278" s="765"/>
      <c r="D278" s="765"/>
      <c r="E278" s="765"/>
      <c r="F278" s="765"/>
      <c r="G278" s="765"/>
      <c r="H278" s="765"/>
      <c r="I278" s="765">
        <f t="shared" si="17"/>
        <v>267</v>
      </c>
      <c r="J278" s="763">
        <f t="shared" si="5"/>
        <v>524307698157</v>
      </c>
      <c r="K278" s="796">
        <f t="shared" si="7"/>
        <v>0.36729</v>
      </c>
      <c r="L278" s="796">
        <v>5.0E-4</v>
      </c>
      <c r="M278" s="763">
        <v>5.97842301205584E11</v>
      </c>
      <c r="N278" s="797">
        <f t="shared" si="8"/>
        <v>0</v>
      </c>
      <c r="O278" s="798">
        <f t="shared" ref="O278:BK278" si="274">FLOOR(MIN((((N("value of ELS upgrade")+N$8*($K278-$K277))*(N("Check checkbox")+(IF($G$6=TRUE,$G$7,$G$8))/$G$8))/(N("ROI of ELS and multiply by 2 if ELS is 1:1")+IF($G$12 = True, 2, 1) * $J278))/((N("difference in ELS+ and the cost of it")+(($K277*O$8)-($K277*N$8)) / O$7)),(N("MIN lets it return 0 or 1 after floored")+1)),1)</f>
        <v>0</v>
      </c>
      <c r="P278" s="798">
        <f t="shared" si="274"/>
        <v>0</v>
      </c>
      <c r="Q278" s="798">
        <f t="shared" si="274"/>
        <v>0</v>
      </c>
      <c r="R278" s="798">
        <f t="shared" si="274"/>
        <v>0</v>
      </c>
      <c r="S278" s="798">
        <f t="shared" si="274"/>
        <v>0</v>
      </c>
      <c r="T278" s="798">
        <f t="shared" si="274"/>
        <v>0</v>
      </c>
      <c r="U278" s="798">
        <f t="shared" si="274"/>
        <v>1</v>
      </c>
      <c r="V278" s="798">
        <f t="shared" si="274"/>
        <v>1</v>
      </c>
      <c r="W278" s="798">
        <f t="shared" si="274"/>
        <v>1</v>
      </c>
      <c r="X278" s="798">
        <f t="shared" si="274"/>
        <v>1</v>
      </c>
      <c r="Y278" s="798">
        <f t="shared" si="274"/>
        <v>1</v>
      </c>
      <c r="Z278" s="798">
        <f t="shared" si="274"/>
        <v>1</v>
      </c>
      <c r="AA278" s="798">
        <f t="shared" si="274"/>
        <v>1</v>
      </c>
      <c r="AB278" s="798">
        <f t="shared" si="274"/>
        <v>1</v>
      </c>
      <c r="AC278" s="798">
        <f t="shared" si="274"/>
        <v>1</v>
      </c>
      <c r="AD278" s="798">
        <f t="shared" si="274"/>
        <v>1</v>
      </c>
      <c r="AE278" s="798">
        <f t="shared" si="274"/>
        <v>1</v>
      </c>
      <c r="AF278" s="798">
        <f t="shared" si="274"/>
        <v>1</v>
      </c>
      <c r="AG278" s="798">
        <f t="shared" si="274"/>
        <v>1</v>
      </c>
      <c r="AH278" s="798">
        <f t="shared" si="274"/>
        <v>1</v>
      </c>
      <c r="AI278" s="798">
        <f t="shared" si="274"/>
        <v>1</v>
      </c>
      <c r="AJ278" s="798">
        <f t="shared" si="274"/>
        <v>1</v>
      </c>
      <c r="AK278" s="798">
        <f t="shared" si="274"/>
        <v>1</v>
      </c>
      <c r="AL278" s="798">
        <f t="shared" si="274"/>
        <v>1</v>
      </c>
      <c r="AM278" s="798">
        <f t="shared" si="274"/>
        <v>1</v>
      </c>
      <c r="AN278" s="798">
        <f t="shared" si="274"/>
        <v>1</v>
      </c>
      <c r="AO278" s="798">
        <f t="shared" si="274"/>
        <v>1</v>
      </c>
      <c r="AP278" s="798">
        <f t="shared" si="274"/>
        <v>1</v>
      </c>
      <c r="AQ278" s="798">
        <f t="shared" si="274"/>
        <v>1</v>
      </c>
      <c r="AR278" s="798">
        <f t="shared" si="274"/>
        <v>1</v>
      </c>
      <c r="AS278" s="798">
        <f t="shared" si="274"/>
        <v>1</v>
      </c>
      <c r="AT278" s="798">
        <f t="shared" si="274"/>
        <v>1</v>
      </c>
      <c r="AU278" s="798">
        <f t="shared" si="274"/>
        <v>1</v>
      </c>
      <c r="AV278" s="798">
        <f t="shared" si="274"/>
        <v>1</v>
      </c>
      <c r="AW278" s="798">
        <f t="shared" si="274"/>
        <v>1</v>
      </c>
      <c r="AX278" s="798">
        <f t="shared" si="274"/>
        <v>1</v>
      </c>
      <c r="AY278" s="798">
        <f t="shared" si="274"/>
        <v>1</v>
      </c>
      <c r="AZ278" s="798">
        <f t="shared" si="274"/>
        <v>1</v>
      </c>
      <c r="BA278" s="798">
        <f t="shared" si="274"/>
        <v>1</v>
      </c>
      <c r="BB278" s="798">
        <f t="shared" si="274"/>
        <v>1</v>
      </c>
      <c r="BC278" s="798">
        <f t="shared" si="274"/>
        <v>1</v>
      </c>
      <c r="BD278" s="798">
        <f t="shared" si="274"/>
        <v>1</v>
      </c>
      <c r="BE278" s="798">
        <f t="shared" si="274"/>
        <v>1</v>
      </c>
      <c r="BF278" s="798">
        <f t="shared" si="274"/>
        <v>1</v>
      </c>
      <c r="BG278" s="798">
        <f t="shared" si="274"/>
        <v>1</v>
      </c>
      <c r="BH278" s="798">
        <f t="shared" si="274"/>
        <v>1</v>
      </c>
      <c r="BI278" s="798">
        <f t="shared" si="274"/>
        <v>1</v>
      </c>
      <c r="BJ278" s="798">
        <f t="shared" si="274"/>
        <v>1</v>
      </c>
      <c r="BK278" s="798">
        <f t="shared" si="274"/>
        <v>1</v>
      </c>
      <c r="BL278" s="765"/>
      <c r="BM278" s="817"/>
      <c r="BN278" s="817"/>
    </row>
    <row r="279" hidden="1">
      <c r="A279" s="765"/>
      <c r="B279" s="765"/>
      <c r="C279" s="765"/>
      <c r="D279" s="765"/>
      <c r="E279" s="765"/>
      <c r="F279" s="765"/>
      <c r="G279" s="765"/>
      <c r="H279" s="765"/>
      <c r="I279" s="765">
        <f t="shared" si="17"/>
        <v>268</v>
      </c>
      <c r="J279" s="763">
        <f t="shared" si="5"/>
        <v>526649425052</v>
      </c>
      <c r="K279" s="796">
        <f t="shared" si="7"/>
        <v>0.36779</v>
      </c>
      <c r="L279" s="796">
        <v>5.0E-4</v>
      </c>
      <c r="M279" s="763">
        <v>6.00512457299486E11</v>
      </c>
      <c r="N279" s="797">
        <f t="shared" si="8"/>
        <v>0</v>
      </c>
      <c r="O279" s="798">
        <f t="shared" ref="O279:BK279" si="275">FLOOR(MIN((((N("value of ELS upgrade")+N$8*($K279-$K278))*(N("Check checkbox")+(IF($G$6=TRUE,$G$7,$G$8))/$G$8))/(N("ROI of ELS and multiply by 2 if ELS is 1:1")+IF($G$12 = True, 2, 1) * $J279))/((N("difference in ELS+ and the cost of it")+(($K278*O$8)-($K278*N$8)) / O$7)),(N("MIN lets it return 0 or 1 after floored")+1)),1)</f>
        <v>0</v>
      </c>
      <c r="P279" s="798">
        <f t="shared" si="275"/>
        <v>0</v>
      </c>
      <c r="Q279" s="798">
        <f t="shared" si="275"/>
        <v>0</v>
      </c>
      <c r="R279" s="798">
        <f t="shared" si="275"/>
        <v>0</v>
      </c>
      <c r="S279" s="798">
        <f t="shared" si="275"/>
        <v>0</v>
      </c>
      <c r="T279" s="798">
        <f t="shared" si="275"/>
        <v>0</v>
      </c>
      <c r="U279" s="798">
        <f t="shared" si="275"/>
        <v>1</v>
      </c>
      <c r="V279" s="798">
        <f t="shared" si="275"/>
        <v>1</v>
      </c>
      <c r="W279" s="798">
        <f t="shared" si="275"/>
        <v>1</v>
      </c>
      <c r="X279" s="798">
        <f t="shared" si="275"/>
        <v>1</v>
      </c>
      <c r="Y279" s="798">
        <f t="shared" si="275"/>
        <v>1</v>
      </c>
      <c r="Z279" s="798">
        <f t="shared" si="275"/>
        <v>1</v>
      </c>
      <c r="AA279" s="798">
        <f t="shared" si="275"/>
        <v>1</v>
      </c>
      <c r="AB279" s="798">
        <f t="shared" si="275"/>
        <v>1</v>
      </c>
      <c r="AC279" s="798">
        <f t="shared" si="275"/>
        <v>1</v>
      </c>
      <c r="AD279" s="798">
        <f t="shared" si="275"/>
        <v>1</v>
      </c>
      <c r="AE279" s="798">
        <f t="shared" si="275"/>
        <v>1</v>
      </c>
      <c r="AF279" s="798">
        <f t="shared" si="275"/>
        <v>1</v>
      </c>
      <c r="AG279" s="798">
        <f t="shared" si="275"/>
        <v>1</v>
      </c>
      <c r="AH279" s="798">
        <f t="shared" si="275"/>
        <v>1</v>
      </c>
      <c r="AI279" s="798">
        <f t="shared" si="275"/>
        <v>1</v>
      </c>
      <c r="AJ279" s="798">
        <f t="shared" si="275"/>
        <v>1</v>
      </c>
      <c r="AK279" s="798">
        <f t="shared" si="275"/>
        <v>1</v>
      </c>
      <c r="AL279" s="798">
        <f t="shared" si="275"/>
        <v>1</v>
      </c>
      <c r="AM279" s="798">
        <f t="shared" si="275"/>
        <v>1</v>
      </c>
      <c r="AN279" s="798">
        <f t="shared" si="275"/>
        <v>1</v>
      </c>
      <c r="AO279" s="798">
        <f t="shared" si="275"/>
        <v>1</v>
      </c>
      <c r="AP279" s="798">
        <f t="shared" si="275"/>
        <v>1</v>
      </c>
      <c r="AQ279" s="798">
        <f t="shared" si="275"/>
        <v>1</v>
      </c>
      <c r="AR279" s="798">
        <f t="shared" si="275"/>
        <v>1</v>
      </c>
      <c r="AS279" s="798">
        <f t="shared" si="275"/>
        <v>1</v>
      </c>
      <c r="AT279" s="798">
        <f t="shared" si="275"/>
        <v>1</v>
      </c>
      <c r="AU279" s="798">
        <f t="shared" si="275"/>
        <v>1</v>
      </c>
      <c r="AV279" s="798">
        <f t="shared" si="275"/>
        <v>1</v>
      </c>
      <c r="AW279" s="798">
        <f t="shared" si="275"/>
        <v>1</v>
      </c>
      <c r="AX279" s="798">
        <f t="shared" si="275"/>
        <v>1</v>
      </c>
      <c r="AY279" s="798">
        <f t="shared" si="275"/>
        <v>1</v>
      </c>
      <c r="AZ279" s="798">
        <f t="shared" si="275"/>
        <v>1</v>
      </c>
      <c r="BA279" s="798">
        <f t="shared" si="275"/>
        <v>1</v>
      </c>
      <c r="BB279" s="798">
        <f t="shared" si="275"/>
        <v>1</v>
      </c>
      <c r="BC279" s="798">
        <f t="shared" si="275"/>
        <v>1</v>
      </c>
      <c r="BD279" s="798">
        <f t="shared" si="275"/>
        <v>1</v>
      </c>
      <c r="BE279" s="798">
        <f t="shared" si="275"/>
        <v>1</v>
      </c>
      <c r="BF279" s="798">
        <f t="shared" si="275"/>
        <v>1</v>
      </c>
      <c r="BG279" s="798">
        <f t="shared" si="275"/>
        <v>1</v>
      </c>
      <c r="BH279" s="798">
        <f t="shared" si="275"/>
        <v>1</v>
      </c>
      <c r="BI279" s="798">
        <f t="shared" si="275"/>
        <v>1</v>
      </c>
      <c r="BJ279" s="798">
        <f t="shared" si="275"/>
        <v>1</v>
      </c>
      <c r="BK279" s="798">
        <f t="shared" si="275"/>
        <v>1</v>
      </c>
      <c r="BL279" s="765"/>
      <c r="BM279" s="817"/>
      <c r="BN279" s="817"/>
    </row>
    <row r="280" hidden="1">
      <c r="A280" s="765"/>
      <c r="B280" s="765"/>
      <c r="C280" s="765"/>
      <c r="D280" s="765"/>
      <c r="E280" s="765"/>
      <c r="F280" s="765"/>
      <c r="G280" s="765"/>
      <c r="H280" s="765"/>
      <c r="I280" s="765">
        <f t="shared" si="17"/>
        <v>269</v>
      </c>
      <c r="J280" s="763">
        <f t="shared" si="5"/>
        <v>528997279497</v>
      </c>
      <c r="K280" s="796">
        <f t="shared" si="7"/>
        <v>0.36829</v>
      </c>
      <c r="L280" s="796">
        <v>5.0E-4</v>
      </c>
      <c r="M280" s="763">
        <v>6.03189600338185E11</v>
      </c>
      <c r="N280" s="797">
        <f t="shared" si="8"/>
        <v>0</v>
      </c>
      <c r="O280" s="798">
        <f t="shared" ref="O280:BK280" si="276">FLOOR(MIN((((N("value of ELS upgrade")+N$8*($K280-$K279))*(N("Check checkbox")+(IF($G$6=TRUE,$G$7,$G$8))/$G$8))/(N("ROI of ELS and multiply by 2 if ELS is 1:1")+IF($G$12 = True, 2, 1) * $J280))/((N("difference in ELS+ and the cost of it")+(($K279*O$8)-($K279*N$8)) / O$7)),(N("MIN lets it return 0 or 1 after floored")+1)),1)</f>
        <v>0</v>
      </c>
      <c r="P280" s="798">
        <f t="shared" si="276"/>
        <v>0</v>
      </c>
      <c r="Q280" s="798">
        <f t="shared" si="276"/>
        <v>0</v>
      </c>
      <c r="R280" s="798">
        <f t="shared" si="276"/>
        <v>0</v>
      </c>
      <c r="S280" s="798">
        <f t="shared" si="276"/>
        <v>0</v>
      </c>
      <c r="T280" s="798">
        <f t="shared" si="276"/>
        <v>0</v>
      </c>
      <c r="U280" s="798">
        <f t="shared" si="276"/>
        <v>1</v>
      </c>
      <c r="V280" s="798">
        <f t="shared" si="276"/>
        <v>1</v>
      </c>
      <c r="W280" s="798">
        <f t="shared" si="276"/>
        <v>1</v>
      </c>
      <c r="X280" s="798">
        <f t="shared" si="276"/>
        <v>1</v>
      </c>
      <c r="Y280" s="798">
        <f t="shared" si="276"/>
        <v>1</v>
      </c>
      <c r="Z280" s="798">
        <f t="shared" si="276"/>
        <v>1</v>
      </c>
      <c r="AA280" s="798">
        <f t="shared" si="276"/>
        <v>1</v>
      </c>
      <c r="AB280" s="798">
        <f t="shared" si="276"/>
        <v>1</v>
      </c>
      <c r="AC280" s="798">
        <f t="shared" si="276"/>
        <v>1</v>
      </c>
      <c r="AD280" s="798">
        <f t="shared" si="276"/>
        <v>1</v>
      </c>
      <c r="AE280" s="798">
        <f t="shared" si="276"/>
        <v>1</v>
      </c>
      <c r="AF280" s="798">
        <f t="shared" si="276"/>
        <v>1</v>
      </c>
      <c r="AG280" s="798">
        <f t="shared" si="276"/>
        <v>1</v>
      </c>
      <c r="AH280" s="798">
        <f t="shared" si="276"/>
        <v>1</v>
      </c>
      <c r="AI280" s="798">
        <f t="shared" si="276"/>
        <v>1</v>
      </c>
      <c r="AJ280" s="798">
        <f t="shared" si="276"/>
        <v>1</v>
      </c>
      <c r="AK280" s="798">
        <f t="shared" si="276"/>
        <v>1</v>
      </c>
      <c r="AL280" s="798">
        <f t="shared" si="276"/>
        <v>1</v>
      </c>
      <c r="AM280" s="798">
        <f t="shared" si="276"/>
        <v>1</v>
      </c>
      <c r="AN280" s="798">
        <f t="shared" si="276"/>
        <v>1</v>
      </c>
      <c r="AO280" s="798">
        <f t="shared" si="276"/>
        <v>1</v>
      </c>
      <c r="AP280" s="798">
        <f t="shared" si="276"/>
        <v>1</v>
      </c>
      <c r="AQ280" s="798">
        <f t="shared" si="276"/>
        <v>1</v>
      </c>
      <c r="AR280" s="798">
        <f t="shared" si="276"/>
        <v>1</v>
      </c>
      <c r="AS280" s="798">
        <f t="shared" si="276"/>
        <v>1</v>
      </c>
      <c r="AT280" s="798">
        <f t="shared" si="276"/>
        <v>1</v>
      </c>
      <c r="AU280" s="798">
        <f t="shared" si="276"/>
        <v>1</v>
      </c>
      <c r="AV280" s="798">
        <f t="shared" si="276"/>
        <v>1</v>
      </c>
      <c r="AW280" s="798">
        <f t="shared" si="276"/>
        <v>1</v>
      </c>
      <c r="AX280" s="798">
        <f t="shared" si="276"/>
        <v>1</v>
      </c>
      <c r="AY280" s="798">
        <f t="shared" si="276"/>
        <v>1</v>
      </c>
      <c r="AZ280" s="798">
        <f t="shared" si="276"/>
        <v>1</v>
      </c>
      <c r="BA280" s="798">
        <f t="shared" si="276"/>
        <v>1</v>
      </c>
      <c r="BB280" s="798">
        <f t="shared" si="276"/>
        <v>1</v>
      </c>
      <c r="BC280" s="798">
        <f t="shared" si="276"/>
        <v>1</v>
      </c>
      <c r="BD280" s="798">
        <f t="shared" si="276"/>
        <v>1</v>
      </c>
      <c r="BE280" s="798">
        <f t="shared" si="276"/>
        <v>1</v>
      </c>
      <c r="BF280" s="798">
        <f t="shared" si="276"/>
        <v>1</v>
      </c>
      <c r="BG280" s="798">
        <f t="shared" si="276"/>
        <v>1</v>
      </c>
      <c r="BH280" s="798">
        <f t="shared" si="276"/>
        <v>1</v>
      </c>
      <c r="BI280" s="798">
        <f t="shared" si="276"/>
        <v>1</v>
      </c>
      <c r="BJ280" s="798">
        <f t="shared" si="276"/>
        <v>1</v>
      </c>
      <c r="BK280" s="798">
        <f t="shared" si="276"/>
        <v>1</v>
      </c>
      <c r="BL280" s="765"/>
      <c r="BM280" s="817"/>
      <c r="BN280" s="817"/>
    </row>
    <row r="281" hidden="1">
      <c r="A281" s="765"/>
      <c r="B281" s="765"/>
      <c r="C281" s="765"/>
      <c r="D281" s="765"/>
      <c r="E281" s="765"/>
      <c r="F281" s="765"/>
      <c r="G281" s="765"/>
      <c r="H281" s="765"/>
      <c r="I281" s="765">
        <f t="shared" si="17"/>
        <v>270</v>
      </c>
      <c r="J281" s="763">
        <f t="shared" si="5"/>
        <v>531351287876</v>
      </c>
      <c r="K281" s="796">
        <f t="shared" si="7"/>
        <v>0.36879</v>
      </c>
      <c r="L281" s="796">
        <v>5.0E-4</v>
      </c>
      <c r="M281" s="763">
        <v>6.05873760405404E11</v>
      </c>
      <c r="N281" s="797">
        <f t="shared" si="8"/>
        <v>0</v>
      </c>
      <c r="O281" s="798">
        <f t="shared" ref="O281:BK281" si="277">FLOOR(MIN((((N("value of ELS upgrade")+N$8*($K281-$K280))*(N("Check checkbox")+(IF($G$6=TRUE,$G$7,$G$8))/$G$8))/(N("ROI of ELS and multiply by 2 if ELS is 1:1")+IF($G$12 = True, 2, 1) * $J281))/((N("difference in ELS+ and the cost of it")+(($K280*O$8)-($K280*N$8)) / O$7)),(N("MIN lets it return 0 or 1 after floored")+1)),1)</f>
        <v>0</v>
      </c>
      <c r="P281" s="798">
        <f t="shared" si="277"/>
        <v>0</v>
      </c>
      <c r="Q281" s="798">
        <f t="shared" si="277"/>
        <v>0</v>
      </c>
      <c r="R281" s="798">
        <f t="shared" si="277"/>
        <v>0</v>
      </c>
      <c r="S281" s="798">
        <f t="shared" si="277"/>
        <v>0</v>
      </c>
      <c r="T281" s="798">
        <f t="shared" si="277"/>
        <v>0</v>
      </c>
      <c r="U281" s="798">
        <f t="shared" si="277"/>
        <v>1</v>
      </c>
      <c r="V281" s="798">
        <f t="shared" si="277"/>
        <v>1</v>
      </c>
      <c r="W281" s="798">
        <f t="shared" si="277"/>
        <v>1</v>
      </c>
      <c r="X281" s="798">
        <f t="shared" si="277"/>
        <v>1</v>
      </c>
      <c r="Y281" s="798">
        <f t="shared" si="277"/>
        <v>1</v>
      </c>
      <c r="Z281" s="798">
        <f t="shared" si="277"/>
        <v>1</v>
      </c>
      <c r="AA281" s="798">
        <f t="shared" si="277"/>
        <v>1</v>
      </c>
      <c r="AB281" s="798">
        <f t="shared" si="277"/>
        <v>1</v>
      </c>
      <c r="AC281" s="798">
        <f t="shared" si="277"/>
        <v>1</v>
      </c>
      <c r="AD281" s="798">
        <f t="shared" si="277"/>
        <v>1</v>
      </c>
      <c r="AE281" s="798">
        <f t="shared" si="277"/>
        <v>1</v>
      </c>
      <c r="AF281" s="798">
        <f t="shared" si="277"/>
        <v>1</v>
      </c>
      <c r="AG281" s="798">
        <f t="shared" si="277"/>
        <v>1</v>
      </c>
      <c r="AH281" s="798">
        <f t="shared" si="277"/>
        <v>1</v>
      </c>
      <c r="AI281" s="798">
        <f t="shared" si="277"/>
        <v>1</v>
      </c>
      <c r="AJ281" s="798">
        <f t="shared" si="277"/>
        <v>1</v>
      </c>
      <c r="AK281" s="798">
        <f t="shared" si="277"/>
        <v>1</v>
      </c>
      <c r="AL281" s="798">
        <f t="shared" si="277"/>
        <v>1</v>
      </c>
      <c r="AM281" s="798">
        <f t="shared" si="277"/>
        <v>1</v>
      </c>
      <c r="AN281" s="798">
        <f t="shared" si="277"/>
        <v>1</v>
      </c>
      <c r="AO281" s="798">
        <f t="shared" si="277"/>
        <v>1</v>
      </c>
      <c r="AP281" s="798">
        <f t="shared" si="277"/>
        <v>1</v>
      </c>
      <c r="AQ281" s="798">
        <f t="shared" si="277"/>
        <v>1</v>
      </c>
      <c r="AR281" s="798">
        <f t="shared" si="277"/>
        <v>1</v>
      </c>
      <c r="AS281" s="798">
        <f t="shared" si="277"/>
        <v>1</v>
      </c>
      <c r="AT281" s="798">
        <f t="shared" si="277"/>
        <v>1</v>
      </c>
      <c r="AU281" s="798">
        <f t="shared" si="277"/>
        <v>1</v>
      </c>
      <c r="AV281" s="798">
        <f t="shared" si="277"/>
        <v>1</v>
      </c>
      <c r="AW281" s="798">
        <f t="shared" si="277"/>
        <v>1</v>
      </c>
      <c r="AX281" s="798">
        <f t="shared" si="277"/>
        <v>1</v>
      </c>
      <c r="AY281" s="798">
        <f t="shared" si="277"/>
        <v>1</v>
      </c>
      <c r="AZ281" s="798">
        <f t="shared" si="277"/>
        <v>1</v>
      </c>
      <c r="BA281" s="798">
        <f t="shared" si="277"/>
        <v>1</v>
      </c>
      <c r="BB281" s="798">
        <f t="shared" si="277"/>
        <v>1</v>
      </c>
      <c r="BC281" s="798">
        <f t="shared" si="277"/>
        <v>1</v>
      </c>
      <c r="BD281" s="798">
        <f t="shared" si="277"/>
        <v>1</v>
      </c>
      <c r="BE281" s="798">
        <f t="shared" si="277"/>
        <v>1</v>
      </c>
      <c r="BF281" s="798">
        <f t="shared" si="277"/>
        <v>1</v>
      </c>
      <c r="BG281" s="798">
        <f t="shared" si="277"/>
        <v>1</v>
      </c>
      <c r="BH281" s="798">
        <f t="shared" si="277"/>
        <v>1</v>
      </c>
      <c r="BI281" s="798">
        <f t="shared" si="277"/>
        <v>1</v>
      </c>
      <c r="BJ281" s="798">
        <f t="shared" si="277"/>
        <v>1</v>
      </c>
      <c r="BK281" s="798">
        <f t="shared" si="277"/>
        <v>1</v>
      </c>
      <c r="BL281" s="765"/>
      <c r="BM281" s="817"/>
      <c r="BN281" s="817"/>
    </row>
    <row r="282" hidden="1">
      <c r="A282" s="765"/>
      <c r="B282" s="765"/>
      <c r="C282" s="765"/>
      <c r="D282" s="765"/>
      <c r="E282" s="765"/>
      <c r="F282" s="765"/>
      <c r="G282" s="765"/>
      <c r="H282" s="765"/>
      <c r="I282" s="765">
        <f t="shared" si="17"/>
        <v>271</v>
      </c>
      <c r="J282" s="763">
        <f t="shared" si="5"/>
        <v>533711476572</v>
      </c>
      <c r="K282" s="796">
        <f t="shared" si="7"/>
        <v>0.36929</v>
      </c>
      <c r="L282" s="796">
        <v>5.0E-4</v>
      </c>
      <c r="M282" s="763">
        <v>6.08564967584868E11</v>
      </c>
      <c r="N282" s="797">
        <f t="shared" si="8"/>
        <v>0</v>
      </c>
      <c r="O282" s="798">
        <f t="shared" ref="O282:BK282" si="278">FLOOR(MIN((((N("value of ELS upgrade")+N$8*($K282-$K281))*(N("Check checkbox")+(IF($G$6=TRUE,$G$7,$G$8))/$G$8))/(N("ROI of ELS and multiply by 2 if ELS is 1:1")+IF($G$12 = True, 2, 1) * $J282))/((N("difference in ELS+ and the cost of it")+(($K281*O$8)-($K281*N$8)) / O$7)),(N("MIN lets it return 0 or 1 after floored")+1)),1)</f>
        <v>0</v>
      </c>
      <c r="P282" s="798">
        <f t="shared" si="278"/>
        <v>0</v>
      </c>
      <c r="Q282" s="798">
        <f t="shared" si="278"/>
        <v>0</v>
      </c>
      <c r="R282" s="798">
        <f t="shared" si="278"/>
        <v>0</v>
      </c>
      <c r="S282" s="798">
        <f t="shared" si="278"/>
        <v>0</v>
      </c>
      <c r="T282" s="798">
        <f t="shared" si="278"/>
        <v>0</v>
      </c>
      <c r="U282" s="798">
        <f t="shared" si="278"/>
        <v>1</v>
      </c>
      <c r="V282" s="798">
        <f t="shared" si="278"/>
        <v>1</v>
      </c>
      <c r="W282" s="798">
        <f t="shared" si="278"/>
        <v>1</v>
      </c>
      <c r="X282" s="798">
        <f t="shared" si="278"/>
        <v>1</v>
      </c>
      <c r="Y282" s="798">
        <f t="shared" si="278"/>
        <v>1</v>
      </c>
      <c r="Z282" s="798">
        <f t="shared" si="278"/>
        <v>1</v>
      </c>
      <c r="AA282" s="798">
        <f t="shared" si="278"/>
        <v>1</v>
      </c>
      <c r="AB282" s="798">
        <f t="shared" si="278"/>
        <v>1</v>
      </c>
      <c r="AC282" s="798">
        <f t="shared" si="278"/>
        <v>1</v>
      </c>
      <c r="AD282" s="798">
        <f t="shared" si="278"/>
        <v>1</v>
      </c>
      <c r="AE282" s="798">
        <f t="shared" si="278"/>
        <v>1</v>
      </c>
      <c r="AF282" s="798">
        <f t="shared" si="278"/>
        <v>1</v>
      </c>
      <c r="AG282" s="798">
        <f t="shared" si="278"/>
        <v>1</v>
      </c>
      <c r="AH282" s="798">
        <f t="shared" si="278"/>
        <v>1</v>
      </c>
      <c r="AI282" s="798">
        <f t="shared" si="278"/>
        <v>1</v>
      </c>
      <c r="AJ282" s="798">
        <f t="shared" si="278"/>
        <v>1</v>
      </c>
      <c r="AK282" s="798">
        <f t="shared" si="278"/>
        <v>1</v>
      </c>
      <c r="AL282" s="798">
        <f t="shared" si="278"/>
        <v>1</v>
      </c>
      <c r="AM282" s="798">
        <f t="shared" si="278"/>
        <v>1</v>
      </c>
      <c r="AN282" s="798">
        <f t="shared" si="278"/>
        <v>1</v>
      </c>
      <c r="AO282" s="798">
        <f t="shared" si="278"/>
        <v>1</v>
      </c>
      <c r="AP282" s="798">
        <f t="shared" si="278"/>
        <v>1</v>
      </c>
      <c r="AQ282" s="798">
        <f t="shared" si="278"/>
        <v>1</v>
      </c>
      <c r="AR282" s="798">
        <f t="shared" si="278"/>
        <v>1</v>
      </c>
      <c r="AS282" s="798">
        <f t="shared" si="278"/>
        <v>1</v>
      </c>
      <c r="AT282" s="798">
        <f t="shared" si="278"/>
        <v>1</v>
      </c>
      <c r="AU282" s="798">
        <f t="shared" si="278"/>
        <v>1</v>
      </c>
      <c r="AV282" s="798">
        <f t="shared" si="278"/>
        <v>1</v>
      </c>
      <c r="AW282" s="798">
        <f t="shared" si="278"/>
        <v>1</v>
      </c>
      <c r="AX282" s="798">
        <f t="shared" si="278"/>
        <v>1</v>
      </c>
      <c r="AY282" s="798">
        <f t="shared" si="278"/>
        <v>1</v>
      </c>
      <c r="AZ282" s="798">
        <f t="shared" si="278"/>
        <v>1</v>
      </c>
      <c r="BA282" s="798">
        <f t="shared" si="278"/>
        <v>1</v>
      </c>
      <c r="BB282" s="798">
        <f t="shared" si="278"/>
        <v>1</v>
      </c>
      <c r="BC282" s="798">
        <f t="shared" si="278"/>
        <v>1</v>
      </c>
      <c r="BD282" s="798">
        <f t="shared" si="278"/>
        <v>1</v>
      </c>
      <c r="BE282" s="798">
        <f t="shared" si="278"/>
        <v>1</v>
      </c>
      <c r="BF282" s="798">
        <f t="shared" si="278"/>
        <v>1</v>
      </c>
      <c r="BG282" s="798">
        <f t="shared" si="278"/>
        <v>1</v>
      </c>
      <c r="BH282" s="798">
        <f t="shared" si="278"/>
        <v>1</v>
      </c>
      <c r="BI282" s="798">
        <f t="shared" si="278"/>
        <v>1</v>
      </c>
      <c r="BJ282" s="798">
        <f t="shared" si="278"/>
        <v>1</v>
      </c>
      <c r="BK282" s="798">
        <f t="shared" si="278"/>
        <v>1</v>
      </c>
      <c r="BL282" s="765"/>
      <c r="BM282" s="817"/>
      <c r="BN282" s="817"/>
    </row>
    <row r="283" hidden="1">
      <c r="A283" s="765"/>
      <c r="B283" s="765"/>
      <c r="C283" s="765"/>
      <c r="D283" s="765"/>
      <c r="E283" s="765"/>
      <c r="F283" s="765"/>
      <c r="G283" s="765"/>
      <c r="H283" s="765"/>
      <c r="I283" s="765">
        <f t="shared" si="17"/>
        <v>272</v>
      </c>
      <c r="J283" s="763">
        <f t="shared" si="5"/>
        <v>536077891757</v>
      </c>
      <c r="K283" s="796">
        <f t="shared" si="7"/>
        <v>0.36979</v>
      </c>
      <c r="L283" s="796">
        <v>5.0E-4</v>
      </c>
      <c r="M283" s="763">
        <v>6.11263274523091E11</v>
      </c>
      <c r="N283" s="797">
        <f t="shared" si="8"/>
        <v>0</v>
      </c>
      <c r="O283" s="798">
        <f t="shared" ref="O283:BK283" si="279">FLOOR(MIN((((N("value of ELS upgrade")+N$8*($K283-$K282))*(N("Check checkbox")+(IF($G$6=TRUE,$G$7,$G$8))/$G$8))/(N("ROI of ELS and multiply by 2 if ELS is 1:1")+IF($G$12 = True, 2, 1) * $J283))/((N("difference in ELS+ and the cost of it")+(($K282*O$8)-($K282*N$8)) / O$7)),(N("MIN lets it return 0 or 1 after floored")+1)),1)</f>
        <v>0</v>
      </c>
      <c r="P283" s="798">
        <f t="shared" si="279"/>
        <v>0</v>
      </c>
      <c r="Q283" s="798">
        <f t="shared" si="279"/>
        <v>0</v>
      </c>
      <c r="R283" s="798">
        <f t="shared" si="279"/>
        <v>0</v>
      </c>
      <c r="S283" s="798">
        <f t="shared" si="279"/>
        <v>0</v>
      </c>
      <c r="T283" s="798">
        <f t="shared" si="279"/>
        <v>0</v>
      </c>
      <c r="U283" s="798">
        <f t="shared" si="279"/>
        <v>1</v>
      </c>
      <c r="V283" s="798">
        <f t="shared" si="279"/>
        <v>1</v>
      </c>
      <c r="W283" s="798">
        <f t="shared" si="279"/>
        <v>1</v>
      </c>
      <c r="X283" s="798">
        <f t="shared" si="279"/>
        <v>1</v>
      </c>
      <c r="Y283" s="798">
        <f t="shared" si="279"/>
        <v>1</v>
      </c>
      <c r="Z283" s="798">
        <f t="shared" si="279"/>
        <v>1</v>
      </c>
      <c r="AA283" s="798">
        <f t="shared" si="279"/>
        <v>1</v>
      </c>
      <c r="AB283" s="798">
        <f t="shared" si="279"/>
        <v>1</v>
      </c>
      <c r="AC283" s="798">
        <f t="shared" si="279"/>
        <v>1</v>
      </c>
      <c r="AD283" s="798">
        <f t="shared" si="279"/>
        <v>1</v>
      </c>
      <c r="AE283" s="798">
        <f t="shared" si="279"/>
        <v>1</v>
      </c>
      <c r="AF283" s="798">
        <f t="shared" si="279"/>
        <v>1</v>
      </c>
      <c r="AG283" s="798">
        <f t="shared" si="279"/>
        <v>1</v>
      </c>
      <c r="AH283" s="798">
        <f t="shared" si="279"/>
        <v>1</v>
      </c>
      <c r="AI283" s="798">
        <f t="shared" si="279"/>
        <v>1</v>
      </c>
      <c r="AJ283" s="798">
        <f t="shared" si="279"/>
        <v>1</v>
      </c>
      <c r="AK283" s="798">
        <f t="shared" si="279"/>
        <v>1</v>
      </c>
      <c r="AL283" s="798">
        <f t="shared" si="279"/>
        <v>1</v>
      </c>
      <c r="AM283" s="798">
        <f t="shared" si="279"/>
        <v>1</v>
      </c>
      <c r="AN283" s="798">
        <f t="shared" si="279"/>
        <v>1</v>
      </c>
      <c r="AO283" s="798">
        <f t="shared" si="279"/>
        <v>1</v>
      </c>
      <c r="AP283" s="798">
        <f t="shared" si="279"/>
        <v>1</v>
      </c>
      <c r="AQ283" s="798">
        <f t="shared" si="279"/>
        <v>1</v>
      </c>
      <c r="AR283" s="798">
        <f t="shared" si="279"/>
        <v>1</v>
      </c>
      <c r="AS283" s="798">
        <f t="shared" si="279"/>
        <v>1</v>
      </c>
      <c r="AT283" s="798">
        <f t="shared" si="279"/>
        <v>1</v>
      </c>
      <c r="AU283" s="798">
        <f t="shared" si="279"/>
        <v>1</v>
      </c>
      <c r="AV283" s="798">
        <f t="shared" si="279"/>
        <v>1</v>
      </c>
      <c r="AW283" s="798">
        <f t="shared" si="279"/>
        <v>1</v>
      </c>
      <c r="AX283" s="798">
        <f t="shared" si="279"/>
        <v>1</v>
      </c>
      <c r="AY283" s="798">
        <f t="shared" si="279"/>
        <v>1</v>
      </c>
      <c r="AZ283" s="798">
        <f t="shared" si="279"/>
        <v>1</v>
      </c>
      <c r="BA283" s="798">
        <f t="shared" si="279"/>
        <v>1</v>
      </c>
      <c r="BB283" s="798">
        <f t="shared" si="279"/>
        <v>1</v>
      </c>
      <c r="BC283" s="798">
        <f t="shared" si="279"/>
        <v>1</v>
      </c>
      <c r="BD283" s="798">
        <f t="shared" si="279"/>
        <v>1</v>
      </c>
      <c r="BE283" s="798">
        <f t="shared" si="279"/>
        <v>1</v>
      </c>
      <c r="BF283" s="798">
        <f t="shared" si="279"/>
        <v>1</v>
      </c>
      <c r="BG283" s="798">
        <f t="shared" si="279"/>
        <v>1</v>
      </c>
      <c r="BH283" s="798">
        <f t="shared" si="279"/>
        <v>1</v>
      </c>
      <c r="BI283" s="798">
        <f t="shared" si="279"/>
        <v>1</v>
      </c>
      <c r="BJ283" s="798">
        <f t="shared" si="279"/>
        <v>1</v>
      </c>
      <c r="BK283" s="798">
        <f t="shared" si="279"/>
        <v>1</v>
      </c>
      <c r="BL283" s="765"/>
      <c r="BM283" s="817"/>
      <c r="BN283" s="817"/>
    </row>
    <row r="284" hidden="1">
      <c r="A284" s="765"/>
      <c r="B284" s="765"/>
      <c r="C284" s="765"/>
      <c r="D284" s="765"/>
      <c r="E284" s="765"/>
      <c r="F284" s="765"/>
      <c r="G284" s="765"/>
      <c r="H284" s="765"/>
      <c r="I284" s="765">
        <f t="shared" si="17"/>
        <v>273</v>
      </c>
      <c r="J284" s="763">
        <f t="shared" si="5"/>
        <v>538450546622</v>
      </c>
      <c r="K284" s="796">
        <f t="shared" si="7"/>
        <v>0.37029</v>
      </c>
      <c r="L284" s="796">
        <v>5.0E-4</v>
      </c>
      <c r="M284" s="763">
        <v>6.13968696261937E11</v>
      </c>
      <c r="N284" s="797">
        <f t="shared" si="8"/>
        <v>0</v>
      </c>
      <c r="O284" s="798">
        <f t="shared" ref="O284:BK284" si="280">FLOOR(MIN((((N("value of ELS upgrade")+N$8*($K284-$K283))*(N("Check checkbox")+(IF($G$6=TRUE,$G$7,$G$8))/$G$8))/(N("ROI of ELS and multiply by 2 if ELS is 1:1")+IF($G$12 = True, 2, 1) * $J284))/((N("difference in ELS+ and the cost of it")+(($K283*O$8)-($K283*N$8)) / O$7)),(N("MIN lets it return 0 or 1 after floored")+1)),1)</f>
        <v>0</v>
      </c>
      <c r="P284" s="798">
        <f t="shared" si="280"/>
        <v>0</v>
      </c>
      <c r="Q284" s="798">
        <f t="shared" si="280"/>
        <v>0</v>
      </c>
      <c r="R284" s="798">
        <f t="shared" si="280"/>
        <v>0</v>
      </c>
      <c r="S284" s="798">
        <f t="shared" si="280"/>
        <v>0</v>
      </c>
      <c r="T284" s="798">
        <f t="shared" si="280"/>
        <v>0</v>
      </c>
      <c r="U284" s="798">
        <f t="shared" si="280"/>
        <v>1</v>
      </c>
      <c r="V284" s="798">
        <f t="shared" si="280"/>
        <v>1</v>
      </c>
      <c r="W284" s="798">
        <f t="shared" si="280"/>
        <v>1</v>
      </c>
      <c r="X284" s="798">
        <f t="shared" si="280"/>
        <v>1</v>
      </c>
      <c r="Y284" s="798">
        <f t="shared" si="280"/>
        <v>1</v>
      </c>
      <c r="Z284" s="798">
        <f t="shared" si="280"/>
        <v>1</v>
      </c>
      <c r="AA284" s="798">
        <f t="shared" si="280"/>
        <v>1</v>
      </c>
      <c r="AB284" s="798">
        <f t="shared" si="280"/>
        <v>1</v>
      </c>
      <c r="AC284" s="798">
        <f t="shared" si="280"/>
        <v>1</v>
      </c>
      <c r="AD284" s="798">
        <f t="shared" si="280"/>
        <v>1</v>
      </c>
      <c r="AE284" s="798">
        <f t="shared" si="280"/>
        <v>1</v>
      </c>
      <c r="AF284" s="798">
        <f t="shared" si="280"/>
        <v>1</v>
      </c>
      <c r="AG284" s="798">
        <f t="shared" si="280"/>
        <v>1</v>
      </c>
      <c r="AH284" s="798">
        <f t="shared" si="280"/>
        <v>1</v>
      </c>
      <c r="AI284" s="798">
        <f t="shared" si="280"/>
        <v>1</v>
      </c>
      <c r="AJ284" s="798">
        <f t="shared" si="280"/>
        <v>1</v>
      </c>
      <c r="AK284" s="798">
        <f t="shared" si="280"/>
        <v>1</v>
      </c>
      <c r="AL284" s="798">
        <f t="shared" si="280"/>
        <v>1</v>
      </c>
      <c r="AM284" s="798">
        <f t="shared" si="280"/>
        <v>1</v>
      </c>
      <c r="AN284" s="798">
        <f t="shared" si="280"/>
        <v>1</v>
      </c>
      <c r="AO284" s="798">
        <f t="shared" si="280"/>
        <v>1</v>
      </c>
      <c r="AP284" s="798">
        <f t="shared" si="280"/>
        <v>1</v>
      </c>
      <c r="AQ284" s="798">
        <f t="shared" si="280"/>
        <v>1</v>
      </c>
      <c r="AR284" s="798">
        <f t="shared" si="280"/>
        <v>1</v>
      </c>
      <c r="AS284" s="798">
        <f t="shared" si="280"/>
        <v>1</v>
      </c>
      <c r="AT284" s="798">
        <f t="shared" si="280"/>
        <v>1</v>
      </c>
      <c r="AU284" s="798">
        <f t="shared" si="280"/>
        <v>1</v>
      </c>
      <c r="AV284" s="798">
        <f t="shared" si="280"/>
        <v>1</v>
      </c>
      <c r="AW284" s="798">
        <f t="shared" si="280"/>
        <v>1</v>
      </c>
      <c r="AX284" s="798">
        <f t="shared" si="280"/>
        <v>1</v>
      </c>
      <c r="AY284" s="798">
        <f t="shared" si="280"/>
        <v>1</v>
      </c>
      <c r="AZ284" s="798">
        <f t="shared" si="280"/>
        <v>1</v>
      </c>
      <c r="BA284" s="798">
        <f t="shared" si="280"/>
        <v>1</v>
      </c>
      <c r="BB284" s="798">
        <f t="shared" si="280"/>
        <v>1</v>
      </c>
      <c r="BC284" s="798">
        <f t="shared" si="280"/>
        <v>1</v>
      </c>
      <c r="BD284" s="798">
        <f t="shared" si="280"/>
        <v>1</v>
      </c>
      <c r="BE284" s="798">
        <f t="shared" si="280"/>
        <v>1</v>
      </c>
      <c r="BF284" s="798">
        <f t="shared" si="280"/>
        <v>1</v>
      </c>
      <c r="BG284" s="798">
        <f t="shared" si="280"/>
        <v>1</v>
      </c>
      <c r="BH284" s="798">
        <f t="shared" si="280"/>
        <v>1</v>
      </c>
      <c r="BI284" s="798">
        <f t="shared" si="280"/>
        <v>1</v>
      </c>
      <c r="BJ284" s="798">
        <f t="shared" si="280"/>
        <v>1</v>
      </c>
      <c r="BK284" s="798">
        <f t="shared" si="280"/>
        <v>1</v>
      </c>
      <c r="BL284" s="765"/>
      <c r="BM284" s="817"/>
      <c r="BN284" s="817"/>
    </row>
    <row r="285" hidden="1">
      <c r="A285" s="765"/>
      <c r="B285" s="765"/>
      <c r="C285" s="765"/>
      <c r="D285" s="765"/>
      <c r="E285" s="765"/>
      <c r="F285" s="765"/>
      <c r="G285" s="765"/>
      <c r="H285" s="765"/>
      <c r="I285" s="765">
        <f t="shared" si="17"/>
        <v>274</v>
      </c>
      <c r="J285" s="763">
        <f t="shared" si="5"/>
        <v>540829487338</v>
      </c>
      <c r="K285" s="796">
        <f t="shared" si="7"/>
        <v>0.37079</v>
      </c>
      <c r="L285" s="796">
        <v>5.0E-4</v>
      </c>
      <c r="M285" s="763">
        <v>6.16681285447921E11</v>
      </c>
      <c r="N285" s="797">
        <f t="shared" si="8"/>
        <v>0</v>
      </c>
      <c r="O285" s="798">
        <f t="shared" ref="O285:BK285" si="281">FLOOR(MIN((((N("value of ELS upgrade")+N$8*($K285-$K284))*(N("Check checkbox")+(IF($G$6=TRUE,$G$7,$G$8))/$G$8))/(N("ROI of ELS and multiply by 2 if ELS is 1:1")+IF($G$12 = True, 2, 1) * $J285))/((N("difference in ELS+ and the cost of it")+(($K284*O$8)-($K284*N$8)) / O$7)),(N("MIN lets it return 0 or 1 after floored")+1)),1)</f>
        <v>0</v>
      </c>
      <c r="P285" s="798">
        <f t="shared" si="281"/>
        <v>0</v>
      </c>
      <c r="Q285" s="798">
        <f t="shared" si="281"/>
        <v>0</v>
      </c>
      <c r="R285" s="798">
        <f t="shared" si="281"/>
        <v>0</v>
      </c>
      <c r="S285" s="798">
        <f t="shared" si="281"/>
        <v>0</v>
      </c>
      <c r="T285" s="798">
        <f t="shared" si="281"/>
        <v>0</v>
      </c>
      <c r="U285" s="798">
        <f t="shared" si="281"/>
        <v>1</v>
      </c>
      <c r="V285" s="798">
        <f t="shared" si="281"/>
        <v>1</v>
      </c>
      <c r="W285" s="798">
        <f t="shared" si="281"/>
        <v>1</v>
      </c>
      <c r="X285" s="798">
        <f t="shared" si="281"/>
        <v>1</v>
      </c>
      <c r="Y285" s="798">
        <f t="shared" si="281"/>
        <v>1</v>
      </c>
      <c r="Z285" s="798">
        <f t="shared" si="281"/>
        <v>1</v>
      </c>
      <c r="AA285" s="798">
        <f t="shared" si="281"/>
        <v>1</v>
      </c>
      <c r="AB285" s="798">
        <f t="shared" si="281"/>
        <v>1</v>
      </c>
      <c r="AC285" s="798">
        <f t="shared" si="281"/>
        <v>1</v>
      </c>
      <c r="AD285" s="798">
        <f t="shared" si="281"/>
        <v>1</v>
      </c>
      <c r="AE285" s="798">
        <f t="shared" si="281"/>
        <v>1</v>
      </c>
      <c r="AF285" s="798">
        <f t="shared" si="281"/>
        <v>1</v>
      </c>
      <c r="AG285" s="798">
        <f t="shared" si="281"/>
        <v>1</v>
      </c>
      <c r="AH285" s="798">
        <f t="shared" si="281"/>
        <v>1</v>
      </c>
      <c r="AI285" s="798">
        <f t="shared" si="281"/>
        <v>1</v>
      </c>
      <c r="AJ285" s="798">
        <f t="shared" si="281"/>
        <v>1</v>
      </c>
      <c r="AK285" s="798">
        <f t="shared" si="281"/>
        <v>1</v>
      </c>
      <c r="AL285" s="798">
        <f t="shared" si="281"/>
        <v>1</v>
      </c>
      <c r="AM285" s="798">
        <f t="shared" si="281"/>
        <v>1</v>
      </c>
      <c r="AN285" s="798">
        <f t="shared" si="281"/>
        <v>1</v>
      </c>
      <c r="AO285" s="798">
        <f t="shared" si="281"/>
        <v>1</v>
      </c>
      <c r="AP285" s="798">
        <f t="shared" si="281"/>
        <v>1</v>
      </c>
      <c r="AQ285" s="798">
        <f t="shared" si="281"/>
        <v>1</v>
      </c>
      <c r="AR285" s="798">
        <f t="shared" si="281"/>
        <v>1</v>
      </c>
      <c r="AS285" s="798">
        <f t="shared" si="281"/>
        <v>1</v>
      </c>
      <c r="AT285" s="798">
        <f t="shared" si="281"/>
        <v>1</v>
      </c>
      <c r="AU285" s="798">
        <f t="shared" si="281"/>
        <v>1</v>
      </c>
      <c r="AV285" s="798">
        <f t="shared" si="281"/>
        <v>1</v>
      </c>
      <c r="AW285" s="798">
        <f t="shared" si="281"/>
        <v>1</v>
      </c>
      <c r="AX285" s="798">
        <f t="shared" si="281"/>
        <v>1</v>
      </c>
      <c r="AY285" s="798">
        <f t="shared" si="281"/>
        <v>1</v>
      </c>
      <c r="AZ285" s="798">
        <f t="shared" si="281"/>
        <v>1</v>
      </c>
      <c r="BA285" s="798">
        <f t="shared" si="281"/>
        <v>1</v>
      </c>
      <c r="BB285" s="798">
        <f t="shared" si="281"/>
        <v>1</v>
      </c>
      <c r="BC285" s="798">
        <f t="shared" si="281"/>
        <v>1</v>
      </c>
      <c r="BD285" s="798">
        <f t="shared" si="281"/>
        <v>1</v>
      </c>
      <c r="BE285" s="798">
        <f t="shared" si="281"/>
        <v>1</v>
      </c>
      <c r="BF285" s="798">
        <f t="shared" si="281"/>
        <v>1</v>
      </c>
      <c r="BG285" s="798">
        <f t="shared" si="281"/>
        <v>1</v>
      </c>
      <c r="BH285" s="798">
        <f t="shared" si="281"/>
        <v>1</v>
      </c>
      <c r="BI285" s="798">
        <f t="shared" si="281"/>
        <v>1</v>
      </c>
      <c r="BJ285" s="798">
        <f t="shared" si="281"/>
        <v>1</v>
      </c>
      <c r="BK285" s="798">
        <f t="shared" si="281"/>
        <v>1</v>
      </c>
      <c r="BL285" s="765"/>
      <c r="BM285" s="817"/>
      <c r="BN285" s="817"/>
    </row>
    <row r="286" hidden="1">
      <c r="A286" s="765"/>
      <c r="B286" s="765"/>
      <c r="C286" s="765"/>
      <c r="D286" s="765"/>
      <c r="E286" s="765"/>
      <c r="F286" s="765"/>
      <c r="G286" s="765"/>
      <c r="H286" s="765"/>
      <c r="I286" s="765">
        <f t="shared" si="17"/>
        <v>275</v>
      </c>
      <c r="J286" s="763">
        <f t="shared" si="5"/>
        <v>543214740289</v>
      </c>
      <c r="K286" s="796">
        <f t="shared" si="7"/>
        <v>0.37129</v>
      </c>
      <c r="L286" s="796">
        <v>5.0E-4</v>
      </c>
      <c r="M286" s="763">
        <v>6.19401072164766E11</v>
      </c>
      <c r="N286" s="797">
        <f t="shared" si="8"/>
        <v>0</v>
      </c>
      <c r="O286" s="798">
        <f t="shared" ref="O286:BK286" si="282">FLOOR(MIN((((N("value of ELS upgrade")+N$8*($K286-$K285))*(N("Check checkbox")+(IF($G$6=TRUE,$G$7,$G$8))/$G$8))/(N("ROI of ELS and multiply by 2 if ELS is 1:1")+IF($G$12 = True, 2, 1) * $J286))/((N("difference in ELS+ and the cost of it")+(($K285*O$8)-($K285*N$8)) / O$7)),(N("MIN lets it return 0 or 1 after floored")+1)),1)</f>
        <v>0</v>
      </c>
      <c r="P286" s="798">
        <f t="shared" si="282"/>
        <v>0</v>
      </c>
      <c r="Q286" s="798">
        <f t="shared" si="282"/>
        <v>0</v>
      </c>
      <c r="R286" s="798">
        <f t="shared" si="282"/>
        <v>0</v>
      </c>
      <c r="S286" s="798">
        <f t="shared" si="282"/>
        <v>0</v>
      </c>
      <c r="T286" s="798">
        <f t="shared" si="282"/>
        <v>0</v>
      </c>
      <c r="U286" s="798">
        <f t="shared" si="282"/>
        <v>1</v>
      </c>
      <c r="V286" s="798">
        <f t="shared" si="282"/>
        <v>1</v>
      </c>
      <c r="W286" s="798">
        <f t="shared" si="282"/>
        <v>1</v>
      </c>
      <c r="X286" s="798">
        <f t="shared" si="282"/>
        <v>1</v>
      </c>
      <c r="Y286" s="798">
        <f t="shared" si="282"/>
        <v>1</v>
      </c>
      <c r="Z286" s="798">
        <f t="shared" si="282"/>
        <v>1</v>
      </c>
      <c r="AA286" s="798">
        <f t="shared" si="282"/>
        <v>1</v>
      </c>
      <c r="AB286" s="798">
        <f t="shared" si="282"/>
        <v>1</v>
      </c>
      <c r="AC286" s="798">
        <f t="shared" si="282"/>
        <v>1</v>
      </c>
      <c r="AD286" s="798">
        <f t="shared" si="282"/>
        <v>1</v>
      </c>
      <c r="AE286" s="798">
        <f t="shared" si="282"/>
        <v>1</v>
      </c>
      <c r="AF286" s="798">
        <f t="shared" si="282"/>
        <v>1</v>
      </c>
      <c r="AG286" s="798">
        <f t="shared" si="282"/>
        <v>1</v>
      </c>
      <c r="AH286" s="798">
        <f t="shared" si="282"/>
        <v>1</v>
      </c>
      <c r="AI286" s="798">
        <f t="shared" si="282"/>
        <v>1</v>
      </c>
      <c r="AJ286" s="798">
        <f t="shared" si="282"/>
        <v>1</v>
      </c>
      <c r="AK286" s="798">
        <f t="shared" si="282"/>
        <v>1</v>
      </c>
      <c r="AL286" s="798">
        <f t="shared" si="282"/>
        <v>1</v>
      </c>
      <c r="AM286" s="798">
        <f t="shared" si="282"/>
        <v>1</v>
      </c>
      <c r="AN286" s="798">
        <f t="shared" si="282"/>
        <v>1</v>
      </c>
      <c r="AO286" s="798">
        <f t="shared" si="282"/>
        <v>1</v>
      </c>
      <c r="AP286" s="798">
        <f t="shared" si="282"/>
        <v>1</v>
      </c>
      <c r="AQ286" s="798">
        <f t="shared" si="282"/>
        <v>1</v>
      </c>
      <c r="AR286" s="798">
        <f t="shared" si="282"/>
        <v>1</v>
      </c>
      <c r="AS286" s="798">
        <f t="shared" si="282"/>
        <v>1</v>
      </c>
      <c r="AT286" s="798">
        <f t="shared" si="282"/>
        <v>1</v>
      </c>
      <c r="AU286" s="798">
        <f t="shared" si="282"/>
        <v>1</v>
      </c>
      <c r="AV286" s="798">
        <f t="shared" si="282"/>
        <v>1</v>
      </c>
      <c r="AW286" s="798">
        <f t="shared" si="282"/>
        <v>1</v>
      </c>
      <c r="AX286" s="798">
        <f t="shared" si="282"/>
        <v>1</v>
      </c>
      <c r="AY286" s="798">
        <f t="shared" si="282"/>
        <v>1</v>
      </c>
      <c r="AZ286" s="798">
        <f t="shared" si="282"/>
        <v>1</v>
      </c>
      <c r="BA286" s="798">
        <f t="shared" si="282"/>
        <v>1</v>
      </c>
      <c r="BB286" s="798">
        <f t="shared" si="282"/>
        <v>1</v>
      </c>
      <c r="BC286" s="798">
        <f t="shared" si="282"/>
        <v>1</v>
      </c>
      <c r="BD286" s="798">
        <f t="shared" si="282"/>
        <v>1</v>
      </c>
      <c r="BE286" s="798">
        <f t="shared" si="282"/>
        <v>1</v>
      </c>
      <c r="BF286" s="798">
        <f t="shared" si="282"/>
        <v>1</v>
      </c>
      <c r="BG286" s="798">
        <f t="shared" si="282"/>
        <v>1</v>
      </c>
      <c r="BH286" s="798">
        <f t="shared" si="282"/>
        <v>1</v>
      </c>
      <c r="BI286" s="798">
        <f t="shared" si="282"/>
        <v>1</v>
      </c>
      <c r="BJ286" s="798">
        <f t="shared" si="282"/>
        <v>1</v>
      </c>
      <c r="BK286" s="798">
        <f t="shared" si="282"/>
        <v>1</v>
      </c>
      <c r="BL286" s="765"/>
      <c r="BM286" s="817"/>
      <c r="BN286" s="817"/>
    </row>
    <row r="287" hidden="1">
      <c r="A287" s="765"/>
      <c r="B287" s="765"/>
      <c r="C287" s="765"/>
      <c r="D287" s="765"/>
      <c r="E287" s="765"/>
      <c r="F287" s="765"/>
      <c r="G287" s="765"/>
      <c r="H287" s="765"/>
      <c r="I287" s="765">
        <f t="shared" si="17"/>
        <v>276</v>
      </c>
      <c r="J287" s="763">
        <f t="shared" si="5"/>
        <v>545606331857</v>
      </c>
      <c r="K287" s="796">
        <f t="shared" si="7"/>
        <v>0.37179</v>
      </c>
      <c r="L287" s="796">
        <v>5.0E-4</v>
      </c>
      <c r="M287" s="763">
        <v>6.22128086496198E11</v>
      </c>
      <c r="N287" s="797">
        <f t="shared" si="8"/>
        <v>0</v>
      </c>
      <c r="O287" s="798">
        <f t="shared" ref="O287:BK287" si="283">FLOOR(MIN((((N("value of ELS upgrade")+N$8*($K287-$K286))*(N("Check checkbox")+(IF($G$6=TRUE,$G$7,$G$8))/$G$8))/(N("ROI of ELS and multiply by 2 if ELS is 1:1")+IF($G$12 = True, 2, 1) * $J287))/((N("difference in ELS+ and the cost of it")+(($K286*O$8)-($K286*N$8)) / O$7)),(N("MIN lets it return 0 or 1 after floored")+1)),1)</f>
        <v>0</v>
      </c>
      <c r="P287" s="798">
        <f t="shared" si="283"/>
        <v>0</v>
      </c>
      <c r="Q287" s="798">
        <f t="shared" si="283"/>
        <v>0</v>
      </c>
      <c r="R287" s="798">
        <f t="shared" si="283"/>
        <v>0</v>
      </c>
      <c r="S287" s="798">
        <f t="shared" si="283"/>
        <v>0</v>
      </c>
      <c r="T287" s="798">
        <f t="shared" si="283"/>
        <v>0</v>
      </c>
      <c r="U287" s="798">
        <f t="shared" si="283"/>
        <v>1</v>
      </c>
      <c r="V287" s="798">
        <f t="shared" si="283"/>
        <v>1</v>
      </c>
      <c r="W287" s="798">
        <f t="shared" si="283"/>
        <v>1</v>
      </c>
      <c r="X287" s="798">
        <f t="shared" si="283"/>
        <v>1</v>
      </c>
      <c r="Y287" s="798">
        <f t="shared" si="283"/>
        <v>1</v>
      </c>
      <c r="Z287" s="798">
        <f t="shared" si="283"/>
        <v>1</v>
      </c>
      <c r="AA287" s="798">
        <f t="shared" si="283"/>
        <v>1</v>
      </c>
      <c r="AB287" s="798">
        <f t="shared" si="283"/>
        <v>1</v>
      </c>
      <c r="AC287" s="798">
        <f t="shared" si="283"/>
        <v>1</v>
      </c>
      <c r="AD287" s="798">
        <f t="shared" si="283"/>
        <v>1</v>
      </c>
      <c r="AE287" s="798">
        <f t="shared" si="283"/>
        <v>1</v>
      </c>
      <c r="AF287" s="798">
        <f t="shared" si="283"/>
        <v>1</v>
      </c>
      <c r="AG287" s="798">
        <f t="shared" si="283"/>
        <v>1</v>
      </c>
      <c r="AH287" s="798">
        <f t="shared" si="283"/>
        <v>1</v>
      </c>
      <c r="AI287" s="798">
        <f t="shared" si="283"/>
        <v>1</v>
      </c>
      <c r="AJ287" s="798">
        <f t="shared" si="283"/>
        <v>1</v>
      </c>
      <c r="AK287" s="798">
        <f t="shared" si="283"/>
        <v>1</v>
      </c>
      <c r="AL287" s="798">
        <f t="shared" si="283"/>
        <v>1</v>
      </c>
      <c r="AM287" s="798">
        <f t="shared" si="283"/>
        <v>1</v>
      </c>
      <c r="AN287" s="798">
        <f t="shared" si="283"/>
        <v>1</v>
      </c>
      <c r="AO287" s="798">
        <f t="shared" si="283"/>
        <v>1</v>
      </c>
      <c r="AP287" s="798">
        <f t="shared" si="283"/>
        <v>1</v>
      </c>
      <c r="AQ287" s="798">
        <f t="shared" si="283"/>
        <v>1</v>
      </c>
      <c r="AR287" s="798">
        <f t="shared" si="283"/>
        <v>1</v>
      </c>
      <c r="AS287" s="798">
        <f t="shared" si="283"/>
        <v>1</v>
      </c>
      <c r="AT287" s="798">
        <f t="shared" si="283"/>
        <v>1</v>
      </c>
      <c r="AU287" s="798">
        <f t="shared" si="283"/>
        <v>1</v>
      </c>
      <c r="AV287" s="798">
        <f t="shared" si="283"/>
        <v>1</v>
      </c>
      <c r="AW287" s="798">
        <f t="shared" si="283"/>
        <v>1</v>
      </c>
      <c r="AX287" s="798">
        <f t="shared" si="283"/>
        <v>1</v>
      </c>
      <c r="AY287" s="798">
        <f t="shared" si="283"/>
        <v>1</v>
      </c>
      <c r="AZ287" s="798">
        <f t="shared" si="283"/>
        <v>1</v>
      </c>
      <c r="BA287" s="798">
        <f t="shared" si="283"/>
        <v>1</v>
      </c>
      <c r="BB287" s="798">
        <f t="shared" si="283"/>
        <v>1</v>
      </c>
      <c r="BC287" s="798">
        <f t="shared" si="283"/>
        <v>1</v>
      </c>
      <c r="BD287" s="798">
        <f t="shared" si="283"/>
        <v>1</v>
      </c>
      <c r="BE287" s="798">
        <f t="shared" si="283"/>
        <v>1</v>
      </c>
      <c r="BF287" s="798">
        <f t="shared" si="283"/>
        <v>1</v>
      </c>
      <c r="BG287" s="798">
        <f t="shared" si="283"/>
        <v>1</v>
      </c>
      <c r="BH287" s="798">
        <f t="shared" si="283"/>
        <v>1</v>
      </c>
      <c r="BI287" s="798">
        <f t="shared" si="283"/>
        <v>1</v>
      </c>
      <c r="BJ287" s="798">
        <f t="shared" si="283"/>
        <v>1</v>
      </c>
      <c r="BK287" s="798">
        <f t="shared" si="283"/>
        <v>1</v>
      </c>
      <c r="BL287" s="765"/>
      <c r="BM287" s="817"/>
      <c r="BN287" s="817"/>
    </row>
    <row r="288" hidden="1">
      <c r="A288" s="765"/>
      <c r="B288" s="765"/>
      <c r="C288" s="765"/>
      <c r="D288" s="765"/>
      <c r="E288" s="765"/>
      <c r="F288" s="765"/>
      <c r="G288" s="765"/>
      <c r="H288" s="765"/>
      <c r="I288" s="765">
        <f t="shared" si="17"/>
        <v>277</v>
      </c>
      <c r="J288" s="763">
        <f t="shared" si="5"/>
        <v>548004295023</v>
      </c>
      <c r="K288" s="796">
        <f t="shared" si="7"/>
        <v>0.37229</v>
      </c>
      <c r="L288" s="796">
        <v>5.0E-4</v>
      </c>
      <c r="M288" s="763">
        <v>6.24862366046868E11</v>
      </c>
      <c r="N288" s="797">
        <f t="shared" si="8"/>
        <v>0</v>
      </c>
      <c r="O288" s="798">
        <f t="shared" ref="O288:BK288" si="284">FLOOR(MIN((((N("value of ELS upgrade")+N$8*($K288-$K287))*(N("Check checkbox")+(IF($G$6=TRUE,$G$7,$G$8))/$G$8))/(N("ROI of ELS and multiply by 2 if ELS is 1:1")+IF($G$12 = True, 2, 1) * $J288))/((N("difference in ELS+ and the cost of it")+(($K287*O$8)-($K287*N$8)) / O$7)),(N("MIN lets it return 0 or 1 after floored")+1)),1)</f>
        <v>0</v>
      </c>
      <c r="P288" s="798">
        <f t="shared" si="284"/>
        <v>0</v>
      </c>
      <c r="Q288" s="798">
        <f t="shared" si="284"/>
        <v>0</v>
      </c>
      <c r="R288" s="798">
        <f t="shared" si="284"/>
        <v>0</v>
      </c>
      <c r="S288" s="798">
        <f t="shared" si="284"/>
        <v>0</v>
      </c>
      <c r="T288" s="798">
        <f t="shared" si="284"/>
        <v>0</v>
      </c>
      <c r="U288" s="798">
        <f t="shared" si="284"/>
        <v>1</v>
      </c>
      <c r="V288" s="798">
        <f t="shared" si="284"/>
        <v>1</v>
      </c>
      <c r="W288" s="798">
        <f t="shared" si="284"/>
        <v>1</v>
      </c>
      <c r="X288" s="798">
        <f t="shared" si="284"/>
        <v>1</v>
      </c>
      <c r="Y288" s="798">
        <f t="shared" si="284"/>
        <v>1</v>
      </c>
      <c r="Z288" s="798">
        <f t="shared" si="284"/>
        <v>1</v>
      </c>
      <c r="AA288" s="798">
        <f t="shared" si="284"/>
        <v>1</v>
      </c>
      <c r="AB288" s="798">
        <f t="shared" si="284"/>
        <v>1</v>
      </c>
      <c r="AC288" s="798">
        <f t="shared" si="284"/>
        <v>1</v>
      </c>
      <c r="AD288" s="798">
        <f t="shared" si="284"/>
        <v>1</v>
      </c>
      <c r="AE288" s="798">
        <f t="shared" si="284"/>
        <v>1</v>
      </c>
      <c r="AF288" s="798">
        <f t="shared" si="284"/>
        <v>1</v>
      </c>
      <c r="AG288" s="798">
        <f t="shared" si="284"/>
        <v>1</v>
      </c>
      <c r="AH288" s="798">
        <f t="shared" si="284"/>
        <v>1</v>
      </c>
      <c r="AI288" s="798">
        <f t="shared" si="284"/>
        <v>1</v>
      </c>
      <c r="AJ288" s="798">
        <f t="shared" si="284"/>
        <v>1</v>
      </c>
      <c r="AK288" s="798">
        <f t="shared" si="284"/>
        <v>1</v>
      </c>
      <c r="AL288" s="798">
        <f t="shared" si="284"/>
        <v>1</v>
      </c>
      <c r="AM288" s="798">
        <f t="shared" si="284"/>
        <v>1</v>
      </c>
      <c r="AN288" s="798">
        <f t="shared" si="284"/>
        <v>1</v>
      </c>
      <c r="AO288" s="798">
        <f t="shared" si="284"/>
        <v>1</v>
      </c>
      <c r="AP288" s="798">
        <f t="shared" si="284"/>
        <v>1</v>
      </c>
      <c r="AQ288" s="798">
        <f t="shared" si="284"/>
        <v>1</v>
      </c>
      <c r="AR288" s="798">
        <f t="shared" si="284"/>
        <v>1</v>
      </c>
      <c r="AS288" s="798">
        <f t="shared" si="284"/>
        <v>1</v>
      </c>
      <c r="AT288" s="798">
        <f t="shared" si="284"/>
        <v>1</v>
      </c>
      <c r="AU288" s="798">
        <f t="shared" si="284"/>
        <v>1</v>
      </c>
      <c r="AV288" s="798">
        <f t="shared" si="284"/>
        <v>1</v>
      </c>
      <c r="AW288" s="798">
        <f t="shared" si="284"/>
        <v>1</v>
      </c>
      <c r="AX288" s="798">
        <f t="shared" si="284"/>
        <v>1</v>
      </c>
      <c r="AY288" s="798">
        <f t="shared" si="284"/>
        <v>1</v>
      </c>
      <c r="AZ288" s="798">
        <f t="shared" si="284"/>
        <v>1</v>
      </c>
      <c r="BA288" s="798">
        <f t="shared" si="284"/>
        <v>1</v>
      </c>
      <c r="BB288" s="798">
        <f t="shared" si="284"/>
        <v>1</v>
      </c>
      <c r="BC288" s="798">
        <f t="shared" si="284"/>
        <v>1</v>
      </c>
      <c r="BD288" s="798">
        <f t="shared" si="284"/>
        <v>1</v>
      </c>
      <c r="BE288" s="798">
        <f t="shared" si="284"/>
        <v>1</v>
      </c>
      <c r="BF288" s="798">
        <f t="shared" si="284"/>
        <v>1</v>
      </c>
      <c r="BG288" s="798">
        <f t="shared" si="284"/>
        <v>1</v>
      </c>
      <c r="BH288" s="798">
        <f t="shared" si="284"/>
        <v>1</v>
      </c>
      <c r="BI288" s="798">
        <f t="shared" si="284"/>
        <v>1</v>
      </c>
      <c r="BJ288" s="798">
        <f t="shared" si="284"/>
        <v>1</v>
      </c>
      <c r="BK288" s="798">
        <f t="shared" si="284"/>
        <v>1</v>
      </c>
      <c r="BL288" s="765"/>
      <c r="BM288" s="817"/>
      <c r="BN288" s="817"/>
    </row>
    <row r="289" hidden="1">
      <c r="A289" s="765"/>
      <c r="B289" s="765"/>
      <c r="C289" s="765"/>
      <c r="D289" s="765"/>
      <c r="E289" s="765"/>
      <c r="F289" s="765"/>
      <c r="G289" s="765"/>
      <c r="H289" s="765"/>
      <c r="I289" s="765">
        <f t="shared" si="17"/>
        <v>278</v>
      </c>
      <c r="J289" s="763">
        <f t="shared" si="5"/>
        <v>550408662766</v>
      </c>
      <c r="K289" s="796">
        <f t="shared" si="7"/>
        <v>0.37279</v>
      </c>
      <c r="L289" s="796">
        <v>5.0E-4</v>
      </c>
      <c r="M289" s="763">
        <v>6.27603948421433E11</v>
      </c>
      <c r="N289" s="797">
        <f t="shared" si="8"/>
        <v>0</v>
      </c>
      <c r="O289" s="798">
        <f t="shared" ref="O289:BK289" si="285">FLOOR(MIN((((N("value of ELS upgrade")+N$8*($K289-$K288))*(N("Check checkbox")+(IF($G$6=TRUE,$G$7,$G$8))/$G$8))/(N("ROI of ELS and multiply by 2 if ELS is 1:1")+IF($G$12 = True, 2, 1) * $J289))/((N("difference in ELS+ and the cost of it")+(($K288*O$8)-($K288*N$8)) / O$7)),(N("MIN lets it return 0 or 1 after floored")+1)),1)</f>
        <v>0</v>
      </c>
      <c r="P289" s="798">
        <f t="shared" si="285"/>
        <v>0</v>
      </c>
      <c r="Q289" s="798">
        <f t="shared" si="285"/>
        <v>0</v>
      </c>
      <c r="R289" s="798">
        <f t="shared" si="285"/>
        <v>0</v>
      </c>
      <c r="S289" s="798">
        <f t="shared" si="285"/>
        <v>0</v>
      </c>
      <c r="T289" s="798">
        <f t="shared" si="285"/>
        <v>0</v>
      </c>
      <c r="U289" s="798">
        <f t="shared" si="285"/>
        <v>1</v>
      </c>
      <c r="V289" s="798">
        <f t="shared" si="285"/>
        <v>1</v>
      </c>
      <c r="W289" s="798">
        <f t="shared" si="285"/>
        <v>1</v>
      </c>
      <c r="X289" s="798">
        <f t="shared" si="285"/>
        <v>1</v>
      </c>
      <c r="Y289" s="798">
        <f t="shared" si="285"/>
        <v>1</v>
      </c>
      <c r="Z289" s="798">
        <f t="shared" si="285"/>
        <v>1</v>
      </c>
      <c r="AA289" s="798">
        <f t="shared" si="285"/>
        <v>1</v>
      </c>
      <c r="AB289" s="798">
        <f t="shared" si="285"/>
        <v>1</v>
      </c>
      <c r="AC289" s="798">
        <f t="shared" si="285"/>
        <v>1</v>
      </c>
      <c r="AD289" s="798">
        <f t="shared" si="285"/>
        <v>1</v>
      </c>
      <c r="AE289" s="798">
        <f t="shared" si="285"/>
        <v>1</v>
      </c>
      <c r="AF289" s="798">
        <f t="shared" si="285"/>
        <v>1</v>
      </c>
      <c r="AG289" s="798">
        <f t="shared" si="285"/>
        <v>1</v>
      </c>
      <c r="AH289" s="798">
        <f t="shared" si="285"/>
        <v>1</v>
      </c>
      <c r="AI289" s="798">
        <f t="shared" si="285"/>
        <v>1</v>
      </c>
      <c r="AJ289" s="798">
        <f t="shared" si="285"/>
        <v>1</v>
      </c>
      <c r="AK289" s="798">
        <f t="shared" si="285"/>
        <v>1</v>
      </c>
      <c r="AL289" s="798">
        <f t="shared" si="285"/>
        <v>1</v>
      </c>
      <c r="AM289" s="798">
        <f t="shared" si="285"/>
        <v>1</v>
      </c>
      <c r="AN289" s="798">
        <f t="shared" si="285"/>
        <v>1</v>
      </c>
      <c r="AO289" s="798">
        <f t="shared" si="285"/>
        <v>1</v>
      </c>
      <c r="AP289" s="798">
        <f t="shared" si="285"/>
        <v>1</v>
      </c>
      <c r="AQ289" s="798">
        <f t="shared" si="285"/>
        <v>1</v>
      </c>
      <c r="AR289" s="798">
        <f t="shared" si="285"/>
        <v>1</v>
      </c>
      <c r="AS289" s="798">
        <f t="shared" si="285"/>
        <v>1</v>
      </c>
      <c r="AT289" s="798">
        <f t="shared" si="285"/>
        <v>1</v>
      </c>
      <c r="AU289" s="798">
        <f t="shared" si="285"/>
        <v>1</v>
      </c>
      <c r="AV289" s="798">
        <f t="shared" si="285"/>
        <v>1</v>
      </c>
      <c r="AW289" s="798">
        <f t="shared" si="285"/>
        <v>1</v>
      </c>
      <c r="AX289" s="798">
        <f t="shared" si="285"/>
        <v>1</v>
      </c>
      <c r="AY289" s="798">
        <f t="shared" si="285"/>
        <v>1</v>
      </c>
      <c r="AZ289" s="798">
        <f t="shared" si="285"/>
        <v>1</v>
      </c>
      <c r="BA289" s="798">
        <f t="shared" si="285"/>
        <v>1</v>
      </c>
      <c r="BB289" s="798">
        <f t="shared" si="285"/>
        <v>1</v>
      </c>
      <c r="BC289" s="798">
        <f t="shared" si="285"/>
        <v>1</v>
      </c>
      <c r="BD289" s="798">
        <f t="shared" si="285"/>
        <v>1</v>
      </c>
      <c r="BE289" s="798">
        <f t="shared" si="285"/>
        <v>1</v>
      </c>
      <c r="BF289" s="798">
        <f t="shared" si="285"/>
        <v>1</v>
      </c>
      <c r="BG289" s="798">
        <f t="shared" si="285"/>
        <v>1</v>
      </c>
      <c r="BH289" s="798">
        <f t="shared" si="285"/>
        <v>1</v>
      </c>
      <c r="BI289" s="798">
        <f t="shared" si="285"/>
        <v>1</v>
      </c>
      <c r="BJ289" s="798">
        <f t="shared" si="285"/>
        <v>1</v>
      </c>
      <c r="BK289" s="798">
        <f t="shared" si="285"/>
        <v>1</v>
      </c>
      <c r="BL289" s="765"/>
      <c r="BM289" s="817"/>
      <c r="BN289" s="817"/>
    </row>
    <row r="290" hidden="1">
      <c r="A290" s="765"/>
      <c r="B290" s="765"/>
      <c r="C290" s="765"/>
      <c r="D290" s="765"/>
      <c r="E290" s="765"/>
      <c r="F290" s="765"/>
      <c r="G290" s="765"/>
      <c r="H290" s="765"/>
      <c r="I290" s="765">
        <f t="shared" si="17"/>
        <v>279</v>
      </c>
      <c r="J290" s="763">
        <f t="shared" si="5"/>
        <v>552819468064</v>
      </c>
      <c r="K290" s="796">
        <f t="shared" si="7"/>
        <v>0.37329</v>
      </c>
      <c r="L290" s="796">
        <v>5.0E-4</v>
      </c>
      <c r="M290" s="763">
        <v>6.30352871224547E11</v>
      </c>
      <c r="N290" s="797">
        <f t="shared" si="8"/>
        <v>0</v>
      </c>
      <c r="O290" s="798">
        <f t="shared" ref="O290:BK290" si="286">FLOOR(MIN((((N("value of ELS upgrade")+N$8*($K290-$K289))*(N("Check checkbox")+(IF($G$6=TRUE,$G$7,$G$8))/$G$8))/(N("ROI of ELS and multiply by 2 if ELS is 1:1")+IF($G$12 = True, 2, 1) * $J290))/((N("difference in ELS+ and the cost of it")+(($K289*O$8)-($K289*N$8)) / O$7)),(N("MIN lets it return 0 or 1 after floored")+1)),1)</f>
        <v>0</v>
      </c>
      <c r="P290" s="798">
        <f t="shared" si="286"/>
        <v>0</v>
      </c>
      <c r="Q290" s="798">
        <f t="shared" si="286"/>
        <v>0</v>
      </c>
      <c r="R290" s="798">
        <f t="shared" si="286"/>
        <v>0</v>
      </c>
      <c r="S290" s="798">
        <f t="shared" si="286"/>
        <v>0</v>
      </c>
      <c r="T290" s="798">
        <f t="shared" si="286"/>
        <v>0</v>
      </c>
      <c r="U290" s="798">
        <f t="shared" si="286"/>
        <v>1</v>
      </c>
      <c r="V290" s="798">
        <f t="shared" si="286"/>
        <v>1</v>
      </c>
      <c r="W290" s="798">
        <f t="shared" si="286"/>
        <v>1</v>
      </c>
      <c r="X290" s="798">
        <f t="shared" si="286"/>
        <v>1</v>
      </c>
      <c r="Y290" s="798">
        <f t="shared" si="286"/>
        <v>1</v>
      </c>
      <c r="Z290" s="798">
        <f t="shared" si="286"/>
        <v>1</v>
      </c>
      <c r="AA290" s="798">
        <f t="shared" si="286"/>
        <v>1</v>
      </c>
      <c r="AB290" s="798">
        <f t="shared" si="286"/>
        <v>1</v>
      </c>
      <c r="AC290" s="798">
        <f t="shared" si="286"/>
        <v>1</v>
      </c>
      <c r="AD290" s="798">
        <f t="shared" si="286"/>
        <v>1</v>
      </c>
      <c r="AE290" s="798">
        <f t="shared" si="286"/>
        <v>1</v>
      </c>
      <c r="AF290" s="798">
        <f t="shared" si="286"/>
        <v>1</v>
      </c>
      <c r="AG290" s="798">
        <f t="shared" si="286"/>
        <v>1</v>
      </c>
      <c r="AH290" s="798">
        <f t="shared" si="286"/>
        <v>1</v>
      </c>
      <c r="AI290" s="798">
        <f t="shared" si="286"/>
        <v>1</v>
      </c>
      <c r="AJ290" s="798">
        <f t="shared" si="286"/>
        <v>1</v>
      </c>
      <c r="AK290" s="798">
        <f t="shared" si="286"/>
        <v>1</v>
      </c>
      <c r="AL290" s="798">
        <f t="shared" si="286"/>
        <v>1</v>
      </c>
      <c r="AM290" s="798">
        <f t="shared" si="286"/>
        <v>1</v>
      </c>
      <c r="AN290" s="798">
        <f t="shared" si="286"/>
        <v>1</v>
      </c>
      <c r="AO290" s="798">
        <f t="shared" si="286"/>
        <v>1</v>
      </c>
      <c r="AP290" s="798">
        <f t="shared" si="286"/>
        <v>1</v>
      </c>
      <c r="AQ290" s="798">
        <f t="shared" si="286"/>
        <v>1</v>
      </c>
      <c r="AR290" s="798">
        <f t="shared" si="286"/>
        <v>1</v>
      </c>
      <c r="AS290" s="798">
        <f t="shared" si="286"/>
        <v>1</v>
      </c>
      <c r="AT290" s="798">
        <f t="shared" si="286"/>
        <v>1</v>
      </c>
      <c r="AU290" s="798">
        <f t="shared" si="286"/>
        <v>1</v>
      </c>
      <c r="AV290" s="798">
        <f t="shared" si="286"/>
        <v>1</v>
      </c>
      <c r="AW290" s="798">
        <f t="shared" si="286"/>
        <v>1</v>
      </c>
      <c r="AX290" s="798">
        <f t="shared" si="286"/>
        <v>1</v>
      </c>
      <c r="AY290" s="798">
        <f t="shared" si="286"/>
        <v>1</v>
      </c>
      <c r="AZ290" s="798">
        <f t="shared" si="286"/>
        <v>1</v>
      </c>
      <c r="BA290" s="798">
        <f t="shared" si="286"/>
        <v>1</v>
      </c>
      <c r="BB290" s="798">
        <f t="shared" si="286"/>
        <v>1</v>
      </c>
      <c r="BC290" s="798">
        <f t="shared" si="286"/>
        <v>1</v>
      </c>
      <c r="BD290" s="798">
        <f t="shared" si="286"/>
        <v>1</v>
      </c>
      <c r="BE290" s="798">
        <f t="shared" si="286"/>
        <v>1</v>
      </c>
      <c r="BF290" s="798">
        <f t="shared" si="286"/>
        <v>1</v>
      </c>
      <c r="BG290" s="798">
        <f t="shared" si="286"/>
        <v>1</v>
      </c>
      <c r="BH290" s="798">
        <f t="shared" si="286"/>
        <v>1</v>
      </c>
      <c r="BI290" s="798">
        <f t="shared" si="286"/>
        <v>1</v>
      </c>
      <c r="BJ290" s="798">
        <f t="shared" si="286"/>
        <v>1</v>
      </c>
      <c r="BK290" s="798">
        <f t="shared" si="286"/>
        <v>1</v>
      </c>
      <c r="BL290" s="765"/>
      <c r="BM290" s="817"/>
      <c r="BN290" s="817"/>
    </row>
    <row r="291" hidden="1">
      <c r="A291" s="765"/>
      <c r="B291" s="765"/>
      <c r="C291" s="765"/>
      <c r="D291" s="765"/>
      <c r="E291" s="765"/>
      <c r="F291" s="765"/>
      <c r="G291" s="765"/>
      <c r="H291" s="765"/>
      <c r="I291" s="765">
        <f t="shared" si="17"/>
        <v>280</v>
      </c>
      <c r="J291" s="763">
        <f t="shared" si="5"/>
        <v>555236743897</v>
      </c>
      <c r="K291" s="796">
        <f t="shared" si="7"/>
        <v>0.37379</v>
      </c>
      <c r="L291" s="796">
        <v>5.0E-4</v>
      </c>
      <c r="M291" s="763">
        <v>6.33109172060864E11</v>
      </c>
      <c r="N291" s="797">
        <f t="shared" si="8"/>
        <v>0</v>
      </c>
      <c r="O291" s="798">
        <f t="shared" ref="O291:BK291" si="287">FLOOR(MIN((((N("value of ELS upgrade")+N$8*($K291-$K290))*(N("Check checkbox")+(IF($G$6=TRUE,$G$7,$G$8))/$G$8))/(N("ROI of ELS and multiply by 2 if ELS is 1:1")+IF($G$12 = True, 2, 1) * $J291))/((N("difference in ELS+ and the cost of it")+(($K290*O$8)-($K290*N$8)) / O$7)),(N("MIN lets it return 0 or 1 after floored")+1)),1)</f>
        <v>0</v>
      </c>
      <c r="P291" s="798">
        <f t="shared" si="287"/>
        <v>0</v>
      </c>
      <c r="Q291" s="798">
        <f t="shared" si="287"/>
        <v>0</v>
      </c>
      <c r="R291" s="798">
        <f t="shared" si="287"/>
        <v>0</v>
      </c>
      <c r="S291" s="798">
        <f t="shared" si="287"/>
        <v>0</v>
      </c>
      <c r="T291" s="798">
        <f t="shared" si="287"/>
        <v>0</v>
      </c>
      <c r="U291" s="798">
        <f t="shared" si="287"/>
        <v>1</v>
      </c>
      <c r="V291" s="798">
        <f t="shared" si="287"/>
        <v>1</v>
      </c>
      <c r="W291" s="798">
        <f t="shared" si="287"/>
        <v>1</v>
      </c>
      <c r="X291" s="798">
        <f t="shared" si="287"/>
        <v>1</v>
      </c>
      <c r="Y291" s="798">
        <f t="shared" si="287"/>
        <v>1</v>
      </c>
      <c r="Z291" s="798">
        <f t="shared" si="287"/>
        <v>1</v>
      </c>
      <c r="AA291" s="798">
        <f t="shared" si="287"/>
        <v>1</v>
      </c>
      <c r="AB291" s="798">
        <f t="shared" si="287"/>
        <v>1</v>
      </c>
      <c r="AC291" s="798">
        <f t="shared" si="287"/>
        <v>1</v>
      </c>
      <c r="AD291" s="798">
        <f t="shared" si="287"/>
        <v>1</v>
      </c>
      <c r="AE291" s="798">
        <f t="shared" si="287"/>
        <v>1</v>
      </c>
      <c r="AF291" s="798">
        <f t="shared" si="287"/>
        <v>1</v>
      </c>
      <c r="AG291" s="798">
        <f t="shared" si="287"/>
        <v>1</v>
      </c>
      <c r="AH291" s="798">
        <f t="shared" si="287"/>
        <v>1</v>
      </c>
      <c r="AI291" s="798">
        <f t="shared" si="287"/>
        <v>1</v>
      </c>
      <c r="AJ291" s="798">
        <f t="shared" si="287"/>
        <v>1</v>
      </c>
      <c r="AK291" s="798">
        <f t="shared" si="287"/>
        <v>1</v>
      </c>
      <c r="AL291" s="798">
        <f t="shared" si="287"/>
        <v>1</v>
      </c>
      <c r="AM291" s="798">
        <f t="shared" si="287"/>
        <v>1</v>
      </c>
      <c r="AN291" s="798">
        <f t="shared" si="287"/>
        <v>1</v>
      </c>
      <c r="AO291" s="798">
        <f t="shared" si="287"/>
        <v>1</v>
      </c>
      <c r="AP291" s="798">
        <f t="shared" si="287"/>
        <v>1</v>
      </c>
      <c r="AQ291" s="798">
        <f t="shared" si="287"/>
        <v>1</v>
      </c>
      <c r="AR291" s="798">
        <f t="shared" si="287"/>
        <v>1</v>
      </c>
      <c r="AS291" s="798">
        <f t="shared" si="287"/>
        <v>1</v>
      </c>
      <c r="AT291" s="798">
        <f t="shared" si="287"/>
        <v>1</v>
      </c>
      <c r="AU291" s="798">
        <f t="shared" si="287"/>
        <v>1</v>
      </c>
      <c r="AV291" s="798">
        <f t="shared" si="287"/>
        <v>1</v>
      </c>
      <c r="AW291" s="798">
        <f t="shared" si="287"/>
        <v>1</v>
      </c>
      <c r="AX291" s="798">
        <f t="shared" si="287"/>
        <v>1</v>
      </c>
      <c r="AY291" s="798">
        <f t="shared" si="287"/>
        <v>1</v>
      </c>
      <c r="AZ291" s="798">
        <f t="shared" si="287"/>
        <v>1</v>
      </c>
      <c r="BA291" s="798">
        <f t="shared" si="287"/>
        <v>1</v>
      </c>
      <c r="BB291" s="798">
        <f t="shared" si="287"/>
        <v>1</v>
      </c>
      <c r="BC291" s="798">
        <f t="shared" si="287"/>
        <v>1</v>
      </c>
      <c r="BD291" s="798">
        <f t="shared" si="287"/>
        <v>1</v>
      </c>
      <c r="BE291" s="798">
        <f t="shared" si="287"/>
        <v>1</v>
      </c>
      <c r="BF291" s="798">
        <f t="shared" si="287"/>
        <v>1</v>
      </c>
      <c r="BG291" s="798">
        <f t="shared" si="287"/>
        <v>1</v>
      </c>
      <c r="BH291" s="798">
        <f t="shared" si="287"/>
        <v>1</v>
      </c>
      <c r="BI291" s="798">
        <f t="shared" si="287"/>
        <v>1</v>
      </c>
      <c r="BJ291" s="798">
        <f t="shared" si="287"/>
        <v>1</v>
      </c>
      <c r="BK291" s="798">
        <f t="shared" si="287"/>
        <v>1</v>
      </c>
      <c r="BL291" s="765"/>
      <c r="BM291" s="817"/>
      <c r="BN291" s="817"/>
    </row>
    <row r="292" hidden="1">
      <c r="A292" s="765"/>
      <c r="B292" s="765"/>
      <c r="C292" s="765"/>
      <c r="D292" s="765"/>
      <c r="E292" s="765"/>
      <c r="F292" s="765"/>
      <c r="G292" s="765"/>
      <c r="H292" s="765"/>
      <c r="I292" s="765">
        <f t="shared" si="17"/>
        <v>281</v>
      </c>
      <c r="J292" s="763">
        <f t="shared" si="5"/>
        <v>1672981549948</v>
      </c>
      <c r="K292" s="796">
        <f t="shared" si="7"/>
        <v>0.37429</v>
      </c>
      <c r="L292" s="796">
        <v>5.0E-4</v>
      </c>
      <c r="M292" s="763">
        <v>1.90761864304232E12</v>
      </c>
      <c r="N292" s="797">
        <f t="shared" si="8"/>
        <v>0</v>
      </c>
      <c r="O292" s="798">
        <f t="shared" ref="O292:BK292" si="288">FLOOR(MIN((((N("value of ELS upgrade")+N$8*($K292-$K291))*(N("Check checkbox")+(IF($G$6=TRUE,$G$7,$G$8))/$G$8))/(N("ROI of ELS and multiply by 2 if ELS is 1:1")+IF($G$12 = True, 2, 1) * $J292))/((N("difference in ELS+ and the cost of it")+(($K291*O$8)-($K291*N$8)) / O$7)),(N("MIN lets it return 0 or 1 after floored")+1)),1)</f>
        <v>0</v>
      </c>
      <c r="P292" s="798">
        <f t="shared" si="288"/>
        <v>0</v>
      </c>
      <c r="Q292" s="798">
        <f t="shared" si="288"/>
        <v>0</v>
      </c>
      <c r="R292" s="798">
        <f t="shared" si="288"/>
        <v>0</v>
      </c>
      <c r="S292" s="798">
        <f t="shared" si="288"/>
        <v>0</v>
      </c>
      <c r="T292" s="798">
        <f t="shared" si="288"/>
        <v>0</v>
      </c>
      <c r="U292" s="798">
        <f t="shared" si="288"/>
        <v>0</v>
      </c>
      <c r="V292" s="798">
        <f t="shared" si="288"/>
        <v>0</v>
      </c>
      <c r="W292" s="798">
        <f t="shared" si="288"/>
        <v>1</v>
      </c>
      <c r="X292" s="798">
        <f t="shared" si="288"/>
        <v>1</v>
      </c>
      <c r="Y292" s="798">
        <f t="shared" si="288"/>
        <v>1</v>
      </c>
      <c r="Z292" s="798">
        <f t="shared" si="288"/>
        <v>1</v>
      </c>
      <c r="AA292" s="798">
        <f t="shared" si="288"/>
        <v>1</v>
      </c>
      <c r="AB292" s="798">
        <f t="shared" si="288"/>
        <v>1</v>
      </c>
      <c r="AC292" s="798">
        <f t="shared" si="288"/>
        <v>1</v>
      </c>
      <c r="AD292" s="798">
        <f t="shared" si="288"/>
        <v>1</v>
      </c>
      <c r="AE292" s="798">
        <f t="shared" si="288"/>
        <v>1</v>
      </c>
      <c r="AF292" s="798">
        <f t="shared" si="288"/>
        <v>1</v>
      </c>
      <c r="AG292" s="798">
        <f t="shared" si="288"/>
        <v>1</v>
      </c>
      <c r="AH292" s="798">
        <f t="shared" si="288"/>
        <v>1</v>
      </c>
      <c r="AI292" s="798">
        <f t="shared" si="288"/>
        <v>1</v>
      </c>
      <c r="AJ292" s="798">
        <f t="shared" si="288"/>
        <v>1</v>
      </c>
      <c r="AK292" s="798">
        <f t="shared" si="288"/>
        <v>1</v>
      </c>
      <c r="AL292" s="798">
        <f t="shared" si="288"/>
        <v>1</v>
      </c>
      <c r="AM292" s="798">
        <f t="shared" si="288"/>
        <v>1</v>
      </c>
      <c r="AN292" s="798">
        <f t="shared" si="288"/>
        <v>1</v>
      </c>
      <c r="AO292" s="798">
        <f t="shared" si="288"/>
        <v>1</v>
      </c>
      <c r="AP292" s="798">
        <f t="shared" si="288"/>
        <v>1</v>
      </c>
      <c r="AQ292" s="798">
        <f t="shared" si="288"/>
        <v>1</v>
      </c>
      <c r="AR292" s="798">
        <f t="shared" si="288"/>
        <v>1</v>
      </c>
      <c r="AS292" s="798">
        <f t="shared" si="288"/>
        <v>1</v>
      </c>
      <c r="AT292" s="798">
        <f t="shared" si="288"/>
        <v>1</v>
      </c>
      <c r="AU292" s="798">
        <f t="shared" si="288"/>
        <v>1</v>
      </c>
      <c r="AV292" s="798">
        <f t="shared" si="288"/>
        <v>1</v>
      </c>
      <c r="AW292" s="798">
        <f t="shared" si="288"/>
        <v>1</v>
      </c>
      <c r="AX292" s="798">
        <f t="shared" si="288"/>
        <v>1</v>
      </c>
      <c r="AY292" s="798">
        <f t="shared" si="288"/>
        <v>1</v>
      </c>
      <c r="AZ292" s="798">
        <f t="shared" si="288"/>
        <v>1</v>
      </c>
      <c r="BA292" s="798">
        <f t="shared" si="288"/>
        <v>1</v>
      </c>
      <c r="BB292" s="798">
        <f t="shared" si="288"/>
        <v>1</v>
      </c>
      <c r="BC292" s="798">
        <f t="shared" si="288"/>
        <v>1</v>
      </c>
      <c r="BD292" s="798">
        <f t="shared" si="288"/>
        <v>1</v>
      </c>
      <c r="BE292" s="798">
        <f t="shared" si="288"/>
        <v>1</v>
      </c>
      <c r="BF292" s="798">
        <f t="shared" si="288"/>
        <v>1</v>
      </c>
      <c r="BG292" s="798">
        <f t="shared" si="288"/>
        <v>1</v>
      </c>
      <c r="BH292" s="798">
        <f t="shared" si="288"/>
        <v>1</v>
      </c>
      <c r="BI292" s="798">
        <f t="shared" si="288"/>
        <v>1</v>
      </c>
      <c r="BJ292" s="798">
        <f t="shared" si="288"/>
        <v>1</v>
      </c>
      <c r="BK292" s="798">
        <f t="shared" si="288"/>
        <v>1</v>
      </c>
      <c r="BL292" s="765"/>
      <c r="BM292" s="817"/>
      <c r="BN292" s="817"/>
    </row>
    <row r="293" hidden="1">
      <c r="A293" s="765"/>
      <c r="B293" s="765"/>
      <c r="C293" s="765"/>
      <c r="D293" s="765"/>
      <c r="E293" s="765"/>
      <c r="F293" s="765"/>
      <c r="G293" s="765"/>
      <c r="H293" s="765"/>
      <c r="I293" s="765">
        <f t="shared" si="17"/>
        <v>282</v>
      </c>
      <c r="J293" s="763">
        <f t="shared" si="5"/>
        <v>1680272438110</v>
      </c>
      <c r="K293" s="796">
        <f t="shared" si="7"/>
        <v>0.37479</v>
      </c>
      <c r="L293" s="796">
        <v>5.0E-4</v>
      </c>
      <c r="M293" s="763">
        <v>1.91593208450401E12</v>
      </c>
      <c r="N293" s="797">
        <f t="shared" si="8"/>
        <v>0</v>
      </c>
      <c r="O293" s="798">
        <f t="shared" ref="O293:BK293" si="289">FLOOR(MIN((((N("value of ELS upgrade")+N$8*($K293-$K292))*(N("Check checkbox")+(IF($G$6=TRUE,$G$7,$G$8))/$G$8))/(N("ROI of ELS and multiply by 2 if ELS is 1:1")+IF($G$12 = True, 2, 1) * $J293))/((N("difference in ELS+ and the cost of it")+(($K292*O$8)-($K292*N$8)) / O$7)),(N("MIN lets it return 0 or 1 after floored")+1)),1)</f>
        <v>0</v>
      </c>
      <c r="P293" s="798">
        <f t="shared" si="289"/>
        <v>0</v>
      </c>
      <c r="Q293" s="798">
        <f t="shared" si="289"/>
        <v>0</v>
      </c>
      <c r="R293" s="798">
        <f t="shared" si="289"/>
        <v>0</v>
      </c>
      <c r="S293" s="798">
        <f t="shared" si="289"/>
        <v>0</v>
      </c>
      <c r="T293" s="798">
        <f t="shared" si="289"/>
        <v>0</v>
      </c>
      <c r="U293" s="798">
        <f t="shared" si="289"/>
        <v>0</v>
      </c>
      <c r="V293" s="798">
        <f t="shared" si="289"/>
        <v>0</v>
      </c>
      <c r="W293" s="798">
        <f t="shared" si="289"/>
        <v>1</v>
      </c>
      <c r="X293" s="798">
        <f t="shared" si="289"/>
        <v>1</v>
      </c>
      <c r="Y293" s="798">
        <f t="shared" si="289"/>
        <v>1</v>
      </c>
      <c r="Z293" s="798">
        <f t="shared" si="289"/>
        <v>1</v>
      </c>
      <c r="AA293" s="798">
        <f t="shared" si="289"/>
        <v>1</v>
      </c>
      <c r="AB293" s="798">
        <f t="shared" si="289"/>
        <v>1</v>
      </c>
      <c r="AC293" s="798">
        <f t="shared" si="289"/>
        <v>1</v>
      </c>
      <c r="AD293" s="798">
        <f t="shared" si="289"/>
        <v>1</v>
      </c>
      <c r="AE293" s="798">
        <f t="shared" si="289"/>
        <v>1</v>
      </c>
      <c r="AF293" s="798">
        <f t="shared" si="289"/>
        <v>1</v>
      </c>
      <c r="AG293" s="798">
        <f t="shared" si="289"/>
        <v>1</v>
      </c>
      <c r="AH293" s="798">
        <f t="shared" si="289"/>
        <v>1</v>
      </c>
      <c r="AI293" s="798">
        <f t="shared" si="289"/>
        <v>1</v>
      </c>
      <c r="AJ293" s="798">
        <f t="shared" si="289"/>
        <v>1</v>
      </c>
      <c r="AK293" s="798">
        <f t="shared" si="289"/>
        <v>1</v>
      </c>
      <c r="AL293" s="798">
        <f t="shared" si="289"/>
        <v>1</v>
      </c>
      <c r="AM293" s="798">
        <f t="shared" si="289"/>
        <v>1</v>
      </c>
      <c r="AN293" s="798">
        <f t="shared" si="289"/>
        <v>1</v>
      </c>
      <c r="AO293" s="798">
        <f t="shared" si="289"/>
        <v>1</v>
      </c>
      <c r="AP293" s="798">
        <f t="shared" si="289"/>
        <v>1</v>
      </c>
      <c r="AQ293" s="798">
        <f t="shared" si="289"/>
        <v>1</v>
      </c>
      <c r="AR293" s="798">
        <f t="shared" si="289"/>
        <v>1</v>
      </c>
      <c r="AS293" s="798">
        <f t="shared" si="289"/>
        <v>1</v>
      </c>
      <c r="AT293" s="798">
        <f t="shared" si="289"/>
        <v>1</v>
      </c>
      <c r="AU293" s="798">
        <f t="shared" si="289"/>
        <v>1</v>
      </c>
      <c r="AV293" s="798">
        <f t="shared" si="289"/>
        <v>1</v>
      </c>
      <c r="AW293" s="798">
        <f t="shared" si="289"/>
        <v>1</v>
      </c>
      <c r="AX293" s="798">
        <f t="shared" si="289"/>
        <v>1</v>
      </c>
      <c r="AY293" s="798">
        <f t="shared" si="289"/>
        <v>1</v>
      </c>
      <c r="AZ293" s="798">
        <f t="shared" si="289"/>
        <v>1</v>
      </c>
      <c r="BA293" s="798">
        <f t="shared" si="289"/>
        <v>1</v>
      </c>
      <c r="BB293" s="798">
        <f t="shared" si="289"/>
        <v>1</v>
      </c>
      <c r="BC293" s="798">
        <f t="shared" si="289"/>
        <v>1</v>
      </c>
      <c r="BD293" s="798">
        <f t="shared" si="289"/>
        <v>1</v>
      </c>
      <c r="BE293" s="798">
        <f t="shared" si="289"/>
        <v>1</v>
      </c>
      <c r="BF293" s="798">
        <f t="shared" si="289"/>
        <v>1</v>
      </c>
      <c r="BG293" s="798">
        <f t="shared" si="289"/>
        <v>1</v>
      </c>
      <c r="BH293" s="798">
        <f t="shared" si="289"/>
        <v>1</v>
      </c>
      <c r="BI293" s="798">
        <f t="shared" si="289"/>
        <v>1</v>
      </c>
      <c r="BJ293" s="798">
        <f t="shared" si="289"/>
        <v>1</v>
      </c>
      <c r="BK293" s="798">
        <f t="shared" si="289"/>
        <v>1</v>
      </c>
      <c r="BL293" s="765"/>
      <c r="BM293" s="817"/>
      <c r="BN293" s="817"/>
    </row>
    <row r="294" hidden="1">
      <c r="A294" s="765"/>
      <c r="B294" s="765"/>
      <c r="C294" s="765"/>
      <c r="D294" s="765"/>
      <c r="E294" s="765"/>
      <c r="F294" s="765"/>
      <c r="G294" s="765"/>
      <c r="H294" s="765"/>
      <c r="I294" s="765">
        <f t="shared" si="17"/>
        <v>283</v>
      </c>
      <c r="J294" s="763">
        <f t="shared" si="5"/>
        <v>1687583034691</v>
      </c>
      <c r="K294" s="796">
        <f t="shared" si="7"/>
        <v>0.37529</v>
      </c>
      <c r="L294" s="796">
        <v>5.0E-4</v>
      </c>
      <c r="M294" s="763">
        <v>1.92426799850719E12</v>
      </c>
      <c r="N294" s="797">
        <f t="shared" si="8"/>
        <v>0</v>
      </c>
      <c r="O294" s="798">
        <f t="shared" ref="O294:BK294" si="290">FLOOR(MIN((((N("value of ELS upgrade")+N$8*($K294-$K293))*(N("Check checkbox")+(IF($G$6=TRUE,$G$7,$G$8))/$G$8))/(N("ROI of ELS and multiply by 2 if ELS is 1:1")+IF($G$12 = True, 2, 1) * $J294))/((N("difference in ELS+ and the cost of it")+(($K293*O$8)-($K293*N$8)) / O$7)),(N("MIN lets it return 0 or 1 after floored")+1)),1)</f>
        <v>0</v>
      </c>
      <c r="P294" s="798">
        <f t="shared" si="290"/>
        <v>0</v>
      </c>
      <c r="Q294" s="798">
        <f t="shared" si="290"/>
        <v>0</v>
      </c>
      <c r="R294" s="798">
        <f t="shared" si="290"/>
        <v>0</v>
      </c>
      <c r="S294" s="798">
        <f t="shared" si="290"/>
        <v>0</v>
      </c>
      <c r="T294" s="798">
        <f t="shared" si="290"/>
        <v>0</v>
      </c>
      <c r="U294" s="798">
        <f t="shared" si="290"/>
        <v>0</v>
      </c>
      <c r="V294" s="798">
        <f t="shared" si="290"/>
        <v>0</v>
      </c>
      <c r="W294" s="798">
        <f t="shared" si="290"/>
        <v>1</v>
      </c>
      <c r="X294" s="798">
        <f t="shared" si="290"/>
        <v>1</v>
      </c>
      <c r="Y294" s="798">
        <f t="shared" si="290"/>
        <v>1</v>
      </c>
      <c r="Z294" s="798">
        <f t="shared" si="290"/>
        <v>1</v>
      </c>
      <c r="AA294" s="798">
        <f t="shared" si="290"/>
        <v>1</v>
      </c>
      <c r="AB294" s="798">
        <f t="shared" si="290"/>
        <v>1</v>
      </c>
      <c r="AC294" s="798">
        <f t="shared" si="290"/>
        <v>1</v>
      </c>
      <c r="AD294" s="798">
        <f t="shared" si="290"/>
        <v>1</v>
      </c>
      <c r="AE294" s="798">
        <f t="shared" si="290"/>
        <v>1</v>
      </c>
      <c r="AF294" s="798">
        <f t="shared" si="290"/>
        <v>1</v>
      </c>
      <c r="AG294" s="798">
        <f t="shared" si="290"/>
        <v>1</v>
      </c>
      <c r="AH294" s="798">
        <f t="shared" si="290"/>
        <v>1</v>
      </c>
      <c r="AI294" s="798">
        <f t="shared" si="290"/>
        <v>1</v>
      </c>
      <c r="AJ294" s="798">
        <f t="shared" si="290"/>
        <v>1</v>
      </c>
      <c r="AK294" s="798">
        <f t="shared" si="290"/>
        <v>1</v>
      </c>
      <c r="AL294" s="798">
        <f t="shared" si="290"/>
        <v>1</v>
      </c>
      <c r="AM294" s="798">
        <f t="shared" si="290"/>
        <v>1</v>
      </c>
      <c r="AN294" s="798">
        <f t="shared" si="290"/>
        <v>1</v>
      </c>
      <c r="AO294" s="798">
        <f t="shared" si="290"/>
        <v>1</v>
      </c>
      <c r="AP294" s="798">
        <f t="shared" si="290"/>
        <v>1</v>
      </c>
      <c r="AQ294" s="798">
        <f t="shared" si="290"/>
        <v>1</v>
      </c>
      <c r="AR294" s="798">
        <f t="shared" si="290"/>
        <v>1</v>
      </c>
      <c r="AS294" s="798">
        <f t="shared" si="290"/>
        <v>1</v>
      </c>
      <c r="AT294" s="798">
        <f t="shared" si="290"/>
        <v>1</v>
      </c>
      <c r="AU294" s="798">
        <f t="shared" si="290"/>
        <v>1</v>
      </c>
      <c r="AV294" s="798">
        <f t="shared" si="290"/>
        <v>1</v>
      </c>
      <c r="AW294" s="798">
        <f t="shared" si="290"/>
        <v>1</v>
      </c>
      <c r="AX294" s="798">
        <f t="shared" si="290"/>
        <v>1</v>
      </c>
      <c r="AY294" s="798">
        <f t="shared" si="290"/>
        <v>1</v>
      </c>
      <c r="AZ294" s="798">
        <f t="shared" si="290"/>
        <v>1</v>
      </c>
      <c r="BA294" s="798">
        <f t="shared" si="290"/>
        <v>1</v>
      </c>
      <c r="BB294" s="798">
        <f t="shared" si="290"/>
        <v>1</v>
      </c>
      <c r="BC294" s="798">
        <f t="shared" si="290"/>
        <v>1</v>
      </c>
      <c r="BD294" s="798">
        <f t="shared" si="290"/>
        <v>1</v>
      </c>
      <c r="BE294" s="798">
        <f t="shared" si="290"/>
        <v>1</v>
      </c>
      <c r="BF294" s="798">
        <f t="shared" si="290"/>
        <v>1</v>
      </c>
      <c r="BG294" s="798">
        <f t="shared" si="290"/>
        <v>1</v>
      </c>
      <c r="BH294" s="798">
        <f t="shared" si="290"/>
        <v>1</v>
      </c>
      <c r="BI294" s="798">
        <f t="shared" si="290"/>
        <v>1</v>
      </c>
      <c r="BJ294" s="798">
        <f t="shared" si="290"/>
        <v>1</v>
      </c>
      <c r="BK294" s="798">
        <f t="shared" si="290"/>
        <v>1</v>
      </c>
      <c r="BL294" s="765"/>
      <c r="BM294" s="817"/>
      <c r="BN294" s="817"/>
    </row>
    <row r="295" hidden="1">
      <c r="A295" s="765"/>
      <c r="B295" s="765"/>
      <c r="C295" s="765"/>
      <c r="D295" s="765"/>
      <c r="E295" s="765"/>
      <c r="F295" s="765"/>
      <c r="G295" s="765"/>
      <c r="H295" s="765"/>
      <c r="I295" s="765">
        <f t="shared" si="17"/>
        <v>284</v>
      </c>
      <c r="J295" s="763">
        <f t="shared" si="5"/>
        <v>1694913399053</v>
      </c>
      <c r="K295" s="796">
        <f t="shared" si="7"/>
        <v>0.37579</v>
      </c>
      <c r="L295" s="796">
        <v>5.0E-4</v>
      </c>
      <c r="M295" s="763">
        <v>1.93262645274025E12</v>
      </c>
      <c r="N295" s="797">
        <f t="shared" si="8"/>
        <v>0</v>
      </c>
      <c r="O295" s="798">
        <f t="shared" ref="O295:BK295" si="291">FLOOR(MIN((((N("value of ELS upgrade")+N$8*($K295-$K294))*(N("Check checkbox")+(IF($G$6=TRUE,$G$7,$G$8))/$G$8))/(N("ROI of ELS and multiply by 2 if ELS is 1:1")+IF($G$12 = True, 2, 1) * $J295))/((N("difference in ELS+ and the cost of it")+(($K294*O$8)-($K294*N$8)) / O$7)),(N("MIN lets it return 0 or 1 after floored")+1)),1)</f>
        <v>0</v>
      </c>
      <c r="P295" s="798">
        <f t="shared" si="291"/>
        <v>0</v>
      </c>
      <c r="Q295" s="798">
        <f t="shared" si="291"/>
        <v>0</v>
      </c>
      <c r="R295" s="798">
        <f t="shared" si="291"/>
        <v>0</v>
      </c>
      <c r="S295" s="798">
        <f t="shared" si="291"/>
        <v>0</v>
      </c>
      <c r="T295" s="798">
        <f t="shared" si="291"/>
        <v>0</v>
      </c>
      <c r="U295" s="798">
        <f t="shared" si="291"/>
        <v>0</v>
      </c>
      <c r="V295" s="798">
        <f t="shared" si="291"/>
        <v>0</v>
      </c>
      <c r="W295" s="798">
        <f t="shared" si="291"/>
        <v>1</v>
      </c>
      <c r="X295" s="798">
        <f t="shared" si="291"/>
        <v>1</v>
      </c>
      <c r="Y295" s="798">
        <f t="shared" si="291"/>
        <v>1</v>
      </c>
      <c r="Z295" s="798">
        <f t="shared" si="291"/>
        <v>1</v>
      </c>
      <c r="AA295" s="798">
        <f t="shared" si="291"/>
        <v>1</v>
      </c>
      <c r="AB295" s="798">
        <f t="shared" si="291"/>
        <v>1</v>
      </c>
      <c r="AC295" s="798">
        <f t="shared" si="291"/>
        <v>1</v>
      </c>
      <c r="AD295" s="798">
        <f t="shared" si="291"/>
        <v>1</v>
      </c>
      <c r="AE295" s="798">
        <f t="shared" si="291"/>
        <v>1</v>
      </c>
      <c r="AF295" s="798">
        <f t="shared" si="291"/>
        <v>1</v>
      </c>
      <c r="AG295" s="798">
        <f t="shared" si="291"/>
        <v>1</v>
      </c>
      <c r="AH295" s="798">
        <f t="shared" si="291"/>
        <v>1</v>
      </c>
      <c r="AI295" s="798">
        <f t="shared" si="291"/>
        <v>1</v>
      </c>
      <c r="AJ295" s="798">
        <f t="shared" si="291"/>
        <v>1</v>
      </c>
      <c r="AK295" s="798">
        <f t="shared" si="291"/>
        <v>1</v>
      </c>
      <c r="AL295" s="798">
        <f t="shared" si="291"/>
        <v>1</v>
      </c>
      <c r="AM295" s="798">
        <f t="shared" si="291"/>
        <v>1</v>
      </c>
      <c r="AN295" s="798">
        <f t="shared" si="291"/>
        <v>1</v>
      </c>
      <c r="AO295" s="798">
        <f t="shared" si="291"/>
        <v>1</v>
      </c>
      <c r="AP295" s="798">
        <f t="shared" si="291"/>
        <v>1</v>
      </c>
      <c r="AQ295" s="798">
        <f t="shared" si="291"/>
        <v>1</v>
      </c>
      <c r="AR295" s="798">
        <f t="shared" si="291"/>
        <v>1</v>
      </c>
      <c r="AS295" s="798">
        <f t="shared" si="291"/>
        <v>1</v>
      </c>
      <c r="AT295" s="798">
        <f t="shared" si="291"/>
        <v>1</v>
      </c>
      <c r="AU295" s="798">
        <f t="shared" si="291"/>
        <v>1</v>
      </c>
      <c r="AV295" s="798">
        <f t="shared" si="291"/>
        <v>1</v>
      </c>
      <c r="AW295" s="798">
        <f t="shared" si="291"/>
        <v>1</v>
      </c>
      <c r="AX295" s="798">
        <f t="shared" si="291"/>
        <v>1</v>
      </c>
      <c r="AY295" s="798">
        <f t="shared" si="291"/>
        <v>1</v>
      </c>
      <c r="AZ295" s="798">
        <f t="shared" si="291"/>
        <v>1</v>
      </c>
      <c r="BA295" s="798">
        <f t="shared" si="291"/>
        <v>1</v>
      </c>
      <c r="BB295" s="798">
        <f t="shared" si="291"/>
        <v>1</v>
      </c>
      <c r="BC295" s="798">
        <f t="shared" si="291"/>
        <v>1</v>
      </c>
      <c r="BD295" s="798">
        <f t="shared" si="291"/>
        <v>1</v>
      </c>
      <c r="BE295" s="798">
        <f t="shared" si="291"/>
        <v>1</v>
      </c>
      <c r="BF295" s="798">
        <f t="shared" si="291"/>
        <v>1</v>
      </c>
      <c r="BG295" s="798">
        <f t="shared" si="291"/>
        <v>1</v>
      </c>
      <c r="BH295" s="798">
        <f t="shared" si="291"/>
        <v>1</v>
      </c>
      <c r="BI295" s="798">
        <f t="shared" si="291"/>
        <v>1</v>
      </c>
      <c r="BJ295" s="798">
        <f t="shared" si="291"/>
        <v>1</v>
      </c>
      <c r="BK295" s="798">
        <f t="shared" si="291"/>
        <v>1</v>
      </c>
      <c r="BL295" s="765"/>
      <c r="BM295" s="817"/>
      <c r="BN295" s="817"/>
    </row>
    <row r="296" hidden="1">
      <c r="A296" s="765"/>
      <c r="B296" s="765"/>
      <c r="C296" s="765"/>
      <c r="D296" s="765"/>
      <c r="E296" s="765"/>
      <c r="F296" s="765"/>
      <c r="G296" s="765"/>
      <c r="H296" s="765"/>
      <c r="I296" s="765">
        <f t="shared" si="17"/>
        <v>285</v>
      </c>
      <c r="J296" s="763">
        <f t="shared" si="5"/>
        <v>1702263649923</v>
      </c>
      <c r="K296" s="796">
        <f t="shared" si="7"/>
        <v>0.37629</v>
      </c>
      <c r="L296" s="796">
        <v>5.0E-4</v>
      </c>
      <c r="M296" s="763">
        <v>1.94100758257994E12</v>
      </c>
      <c r="N296" s="797">
        <f t="shared" si="8"/>
        <v>0</v>
      </c>
      <c r="O296" s="798">
        <f t="shared" ref="O296:BK296" si="292">FLOOR(MIN((((N("value of ELS upgrade")+N$8*($K296-$K295))*(N("Check checkbox")+(IF($G$6=TRUE,$G$7,$G$8))/$G$8))/(N("ROI of ELS and multiply by 2 if ELS is 1:1")+IF($G$12 = True, 2, 1) * $J296))/((N("difference in ELS+ and the cost of it")+(($K295*O$8)-($K295*N$8)) / O$7)),(N("MIN lets it return 0 or 1 after floored")+1)),1)</f>
        <v>0</v>
      </c>
      <c r="P296" s="798">
        <f t="shared" si="292"/>
        <v>0</v>
      </c>
      <c r="Q296" s="798">
        <f t="shared" si="292"/>
        <v>0</v>
      </c>
      <c r="R296" s="798">
        <f t="shared" si="292"/>
        <v>0</v>
      </c>
      <c r="S296" s="798">
        <f t="shared" si="292"/>
        <v>0</v>
      </c>
      <c r="T296" s="798">
        <f t="shared" si="292"/>
        <v>0</v>
      </c>
      <c r="U296" s="798">
        <f t="shared" si="292"/>
        <v>0</v>
      </c>
      <c r="V296" s="798">
        <f t="shared" si="292"/>
        <v>0</v>
      </c>
      <c r="W296" s="798">
        <f t="shared" si="292"/>
        <v>1</v>
      </c>
      <c r="X296" s="798">
        <f t="shared" si="292"/>
        <v>1</v>
      </c>
      <c r="Y296" s="798">
        <f t="shared" si="292"/>
        <v>1</v>
      </c>
      <c r="Z296" s="798">
        <f t="shared" si="292"/>
        <v>1</v>
      </c>
      <c r="AA296" s="798">
        <f t="shared" si="292"/>
        <v>1</v>
      </c>
      <c r="AB296" s="798">
        <f t="shared" si="292"/>
        <v>1</v>
      </c>
      <c r="AC296" s="798">
        <f t="shared" si="292"/>
        <v>1</v>
      </c>
      <c r="AD296" s="798">
        <f t="shared" si="292"/>
        <v>1</v>
      </c>
      <c r="AE296" s="798">
        <f t="shared" si="292"/>
        <v>1</v>
      </c>
      <c r="AF296" s="798">
        <f t="shared" si="292"/>
        <v>1</v>
      </c>
      <c r="AG296" s="798">
        <f t="shared" si="292"/>
        <v>1</v>
      </c>
      <c r="AH296" s="798">
        <f t="shared" si="292"/>
        <v>1</v>
      </c>
      <c r="AI296" s="798">
        <f t="shared" si="292"/>
        <v>1</v>
      </c>
      <c r="AJ296" s="798">
        <f t="shared" si="292"/>
        <v>1</v>
      </c>
      <c r="AK296" s="798">
        <f t="shared" si="292"/>
        <v>1</v>
      </c>
      <c r="AL296" s="798">
        <f t="shared" si="292"/>
        <v>1</v>
      </c>
      <c r="AM296" s="798">
        <f t="shared" si="292"/>
        <v>1</v>
      </c>
      <c r="AN296" s="798">
        <f t="shared" si="292"/>
        <v>1</v>
      </c>
      <c r="AO296" s="798">
        <f t="shared" si="292"/>
        <v>1</v>
      </c>
      <c r="AP296" s="798">
        <f t="shared" si="292"/>
        <v>1</v>
      </c>
      <c r="AQ296" s="798">
        <f t="shared" si="292"/>
        <v>1</v>
      </c>
      <c r="AR296" s="798">
        <f t="shared" si="292"/>
        <v>1</v>
      </c>
      <c r="AS296" s="798">
        <f t="shared" si="292"/>
        <v>1</v>
      </c>
      <c r="AT296" s="798">
        <f t="shared" si="292"/>
        <v>1</v>
      </c>
      <c r="AU296" s="798">
        <f t="shared" si="292"/>
        <v>1</v>
      </c>
      <c r="AV296" s="798">
        <f t="shared" si="292"/>
        <v>1</v>
      </c>
      <c r="AW296" s="798">
        <f t="shared" si="292"/>
        <v>1</v>
      </c>
      <c r="AX296" s="798">
        <f t="shared" si="292"/>
        <v>1</v>
      </c>
      <c r="AY296" s="798">
        <f t="shared" si="292"/>
        <v>1</v>
      </c>
      <c r="AZ296" s="798">
        <f t="shared" si="292"/>
        <v>1</v>
      </c>
      <c r="BA296" s="798">
        <f t="shared" si="292"/>
        <v>1</v>
      </c>
      <c r="BB296" s="798">
        <f t="shared" si="292"/>
        <v>1</v>
      </c>
      <c r="BC296" s="798">
        <f t="shared" si="292"/>
        <v>1</v>
      </c>
      <c r="BD296" s="798">
        <f t="shared" si="292"/>
        <v>1</v>
      </c>
      <c r="BE296" s="798">
        <f t="shared" si="292"/>
        <v>1</v>
      </c>
      <c r="BF296" s="798">
        <f t="shared" si="292"/>
        <v>1</v>
      </c>
      <c r="BG296" s="798">
        <f t="shared" si="292"/>
        <v>1</v>
      </c>
      <c r="BH296" s="798">
        <f t="shared" si="292"/>
        <v>1</v>
      </c>
      <c r="BI296" s="798">
        <f t="shared" si="292"/>
        <v>1</v>
      </c>
      <c r="BJ296" s="798">
        <f t="shared" si="292"/>
        <v>1</v>
      </c>
      <c r="BK296" s="798">
        <f t="shared" si="292"/>
        <v>1</v>
      </c>
      <c r="BL296" s="765"/>
      <c r="BM296" s="817"/>
      <c r="BN296" s="817"/>
    </row>
    <row r="297" hidden="1">
      <c r="A297" s="765"/>
      <c r="B297" s="765"/>
      <c r="C297" s="765"/>
      <c r="D297" s="765"/>
      <c r="E297" s="765"/>
      <c r="F297" s="765"/>
      <c r="G297" s="765"/>
      <c r="H297" s="765"/>
      <c r="I297" s="765">
        <f t="shared" si="17"/>
        <v>286</v>
      </c>
      <c r="J297" s="763">
        <f t="shared" si="5"/>
        <v>1709633866449</v>
      </c>
      <c r="K297" s="796">
        <f t="shared" si="7"/>
        <v>0.37679</v>
      </c>
      <c r="L297" s="796">
        <v>5.0E-4</v>
      </c>
      <c r="M297" s="763">
        <v>1.94941147827744E12</v>
      </c>
      <c r="N297" s="797">
        <f t="shared" si="8"/>
        <v>0</v>
      </c>
      <c r="O297" s="798">
        <f t="shared" ref="O297:BK297" si="293">FLOOR(MIN((((N("value of ELS upgrade")+N$8*($K297-$K296))*(N("Check checkbox")+(IF($G$6=TRUE,$G$7,$G$8))/$G$8))/(N("ROI of ELS and multiply by 2 if ELS is 1:1")+IF($G$12 = True, 2, 1) * $J297))/((N("difference in ELS+ and the cost of it")+(($K296*O$8)-($K296*N$8)) / O$7)),(N("MIN lets it return 0 or 1 after floored")+1)),1)</f>
        <v>0</v>
      </c>
      <c r="P297" s="798">
        <f t="shared" si="293"/>
        <v>0</v>
      </c>
      <c r="Q297" s="798">
        <f t="shared" si="293"/>
        <v>0</v>
      </c>
      <c r="R297" s="798">
        <f t="shared" si="293"/>
        <v>0</v>
      </c>
      <c r="S297" s="798">
        <f t="shared" si="293"/>
        <v>0</v>
      </c>
      <c r="T297" s="798">
        <f t="shared" si="293"/>
        <v>0</v>
      </c>
      <c r="U297" s="798">
        <f t="shared" si="293"/>
        <v>0</v>
      </c>
      <c r="V297" s="798">
        <f t="shared" si="293"/>
        <v>0</v>
      </c>
      <c r="W297" s="798">
        <f t="shared" si="293"/>
        <v>1</v>
      </c>
      <c r="X297" s="798">
        <f t="shared" si="293"/>
        <v>1</v>
      </c>
      <c r="Y297" s="798">
        <f t="shared" si="293"/>
        <v>1</v>
      </c>
      <c r="Z297" s="798">
        <f t="shared" si="293"/>
        <v>1</v>
      </c>
      <c r="AA297" s="798">
        <f t="shared" si="293"/>
        <v>1</v>
      </c>
      <c r="AB297" s="798">
        <f t="shared" si="293"/>
        <v>1</v>
      </c>
      <c r="AC297" s="798">
        <f t="shared" si="293"/>
        <v>1</v>
      </c>
      <c r="AD297" s="798">
        <f t="shared" si="293"/>
        <v>1</v>
      </c>
      <c r="AE297" s="798">
        <f t="shared" si="293"/>
        <v>1</v>
      </c>
      <c r="AF297" s="798">
        <f t="shared" si="293"/>
        <v>1</v>
      </c>
      <c r="AG297" s="798">
        <f t="shared" si="293"/>
        <v>1</v>
      </c>
      <c r="AH297" s="798">
        <f t="shared" si="293"/>
        <v>1</v>
      </c>
      <c r="AI297" s="798">
        <f t="shared" si="293"/>
        <v>1</v>
      </c>
      <c r="AJ297" s="798">
        <f t="shared" si="293"/>
        <v>1</v>
      </c>
      <c r="AK297" s="798">
        <f t="shared" si="293"/>
        <v>1</v>
      </c>
      <c r="AL297" s="798">
        <f t="shared" si="293"/>
        <v>1</v>
      </c>
      <c r="AM297" s="798">
        <f t="shared" si="293"/>
        <v>1</v>
      </c>
      <c r="AN297" s="798">
        <f t="shared" si="293"/>
        <v>1</v>
      </c>
      <c r="AO297" s="798">
        <f t="shared" si="293"/>
        <v>1</v>
      </c>
      <c r="AP297" s="798">
        <f t="shared" si="293"/>
        <v>1</v>
      </c>
      <c r="AQ297" s="798">
        <f t="shared" si="293"/>
        <v>1</v>
      </c>
      <c r="AR297" s="798">
        <f t="shared" si="293"/>
        <v>1</v>
      </c>
      <c r="AS297" s="798">
        <f t="shared" si="293"/>
        <v>1</v>
      </c>
      <c r="AT297" s="798">
        <f t="shared" si="293"/>
        <v>1</v>
      </c>
      <c r="AU297" s="798">
        <f t="shared" si="293"/>
        <v>1</v>
      </c>
      <c r="AV297" s="798">
        <f t="shared" si="293"/>
        <v>1</v>
      </c>
      <c r="AW297" s="798">
        <f t="shared" si="293"/>
        <v>1</v>
      </c>
      <c r="AX297" s="798">
        <f t="shared" si="293"/>
        <v>1</v>
      </c>
      <c r="AY297" s="798">
        <f t="shared" si="293"/>
        <v>1</v>
      </c>
      <c r="AZ297" s="798">
        <f t="shared" si="293"/>
        <v>1</v>
      </c>
      <c r="BA297" s="798">
        <f t="shared" si="293"/>
        <v>1</v>
      </c>
      <c r="BB297" s="798">
        <f t="shared" si="293"/>
        <v>1</v>
      </c>
      <c r="BC297" s="798">
        <f t="shared" si="293"/>
        <v>1</v>
      </c>
      <c r="BD297" s="798">
        <f t="shared" si="293"/>
        <v>1</v>
      </c>
      <c r="BE297" s="798">
        <f t="shared" si="293"/>
        <v>1</v>
      </c>
      <c r="BF297" s="798">
        <f t="shared" si="293"/>
        <v>1</v>
      </c>
      <c r="BG297" s="798">
        <f t="shared" si="293"/>
        <v>1</v>
      </c>
      <c r="BH297" s="798">
        <f t="shared" si="293"/>
        <v>1</v>
      </c>
      <c r="BI297" s="798">
        <f t="shared" si="293"/>
        <v>1</v>
      </c>
      <c r="BJ297" s="798">
        <f t="shared" si="293"/>
        <v>1</v>
      </c>
      <c r="BK297" s="798">
        <f t="shared" si="293"/>
        <v>1</v>
      </c>
      <c r="BL297" s="765"/>
      <c r="BM297" s="817"/>
      <c r="BN297" s="817"/>
    </row>
    <row r="298" hidden="1">
      <c r="A298" s="765"/>
      <c r="B298" s="765"/>
      <c r="C298" s="765"/>
      <c r="D298" s="765"/>
      <c r="E298" s="765"/>
      <c r="F298" s="765"/>
      <c r="G298" s="765"/>
      <c r="H298" s="765"/>
      <c r="I298" s="765">
        <f t="shared" si="17"/>
        <v>287</v>
      </c>
      <c r="J298" s="763">
        <f t="shared" si="5"/>
        <v>1717024147571</v>
      </c>
      <c r="K298" s="796">
        <f t="shared" si="7"/>
        <v>0.37729</v>
      </c>
      <c r="L298" s="796">
        <v>5.0E-4</v>
      </c>
      <c r="M298" s="763">
        <v>1.9578382526467E12</v>
      </c>
      <c r="N298" s="797">
        <f t="shared" si="8"/>
        <v>0</v>
      </c>
      <c r="O298" s="798">
        <f t="shared" ref="O298:BK298" si="294">FLOOR(MIN((((N("value of ELS upgrade")+N$8*($K298-$K297))*(N("Check checkbox")+(IF($G$6=TRUE,$G$7,$G$8))/$G$8))/(N("ROI of ELS and multiply by 2 if ELS is 1:1")+IF($G$12 = True, 2, 1) * $J298))/((N("difference in ELS+ and the cost of it")+(($K297*O$8)-($K297*N$8)) / O$7)),(N("MIN lets it return 0 or 1 after floored")+1)),1)</f>
        <v>0</v>
      </c>
      <c r="P298" s="798">
        <f t="shared" si="294"/>
        <v>0</v>
      </c>
      <c r="Q298" s="798">
        <f t="shared" si="294"/>
        <v>0</v>
      </c>
      <c r="R298" s="798">
        <f t="shared" si="294"/>
        <v>0</v>
      </c>
      <c r="S298" s="798">
        <f t="shared" si="294"/>
        <v>0</v>
      </c>
      <c r="T298" s="798">
        <f t="shared" si="294"/>
        <v>0</v>
      </c>
      <c r="U298" s="798">
        <f t="shared" si="294"/>
        <v>0</v>
      </c>
      <c r="V298" s="798">
        <f t="shared" si="294"/>
        <v>0</v>
      </c>
      <c r="W298" s="798">
        <f t="shared" si="294"/>
        <v>1</v>
      </c>
      <c r="X298" s="798">
        <f t="shared" si="294"/>
        <v>1</v>
      </c>
      <c r="Y298" s="798">
        <f t="shared" si="294"/>
        <v>1</v>
      </c>
      <c r="Z298" s="798">
        <f t="shared" si="294"/>
        <v>1</v>
      </c>
      <c r="AA298" s="798">
        <f t="shared" si="294"/>
        <v>1</v>
      </c>
      <c r="AB298" s="798">
        <f t="shared" si="294"/>
        <v>1</v>
      </c>
      <c r="AC298" s="798">
        <f t="shared" si="294"/>
        <v>1</v>
      </c>
      <c r="AD298" s="798">
        <f t="shared" si="294"/>
        <v>1</v>
      </c>
      <c r="AE298" s="798">
        <f t="shared" si="294"/>
        <v>1</v>
      </c>
      <c r="AF298" s="798">
        <f t="shared" si="294"/>
        <v>1</v>
      </c>
      <c r="AG298" s="798">
        <f t="shared" si="294"/>
        <v>1</v>
      </c>
      <c r="AH298" s="798">
        <f t="shared" si="294"/>
        <v>1</v>
      </c>
      <c r="AI298" s="798">
        <f t="shared" si="294"/>
        <v>1</v>
      </c>
      <c r="AJ298" s="798">
        <f t="shared" si="294"/>
        <v>1</v>
      </c>
      <c r="AK298" s="798">
        <f t="shared" si="294"/>
        <v>1</v>
      </c>
      <c r="AL298" s="798">
        <f t="shared" si="294"/>
        <v>1</v>
      </c>
      <c r="AM298" s="798">
        <f t="shared" si="294"/>
        <v>1</v>
      </c>
      <c r="AN298" s="798">
        <f t="shared" si="294"/>
        <v>1</v>
      </c>
      <c r="AO298" s="798">
        <f t="shared" si="294"/>
        <v>1</v>
      </c>
      <c r="AP298" s="798">
        <f t="shared" si="294"/>
        <v>1</v>
      </c>
      <c r="AQ298" s="798">
        <f t="shared" si="294"/>
        <v>1</v>
      </c>
      <c r="AR298" s="798">
        <f t="shared" si="294"/>
        <v>1</v>
      </c>
      <c r="AS298" s="798">
        <f t="shared" si="294"/>
        <v>1</v>
      </c>
      <c r="AT298" s="798">
        <f t="shared" si="294"/>
        <v>1</v>
      </c>
      <c r="AU298" s="798">
        <f t="shared" si="294"/>
        <v>1</v>
      </c>
      <c r="AV298" s="798">
        <f t="shared" si="294"/>
        <v>1</v>
      </c>
      <c r="AW298" s="798">
        <f t="shared" si="294"/>
        <v>1</v>
      </c>
      <c r="AX298" s="798">
        <f t="shared" si="294"/>
        <v>1</v>
      </c>
      <c r="AY298" s="798">
        <f t="shared" si="294"/>
        <v>1</v>
      </c>
      <c r="AZ298" s="798">
        <f t="shared" si="294"/>
        <v>1</v>
      </c>
      <c r="BA298" s="798">
        <f t="shared" si="294"/>
        <v>1</v>
      </c>
      <c r="BB298" s="798">
        <f t="shared" si="294"/>
        <v>1</v>
      </c>
      <c r="BC298" s="798">
        <f t="shared" si="294"/>
        <v>1</v>
      </c>
      <c r="BD298" s="798">
        <f t="shared" si="294"/>
        <v>1</v>
      </c>
      <c r="BE298" s="798">
        <f t="shared" si="294"/>
        <v>1</v>
      </c>
      <c r="BF298" s="798">
        <f t="shared" si="294"/>
        <v>1</v>
      </c>
      <c r="BG298" s="798">
        <f t="shared" si="294"/>
        <v>1</v>
      </c>
      <c r="BH298" s="798">
        <f t="shared" si="294"/>
        <v>1</v>
      </c>
      <c r="BI298" s="798">
        <f t="shared" si="294"/>
        <v>1</v>
      </c>
      <c r="BJ298" s="798">
        <f t="shared" si="294"/>
        <v>1</v>
      </c>
      <c r="BK298" s="798">
        <f t="shared" si="294"/>
        <v>1</v>
      </c>
      <c r="BL298" s="765"/>
      <c r="BM298" s="817"/>
      <c r="BN298" s="817"/>
    </row>
    <row r="299" hidden="1">
      <c r="A299" s="765"/>
      <c r="B299" s="765"/>
      <c r="C299" s="765"/>
      <c r="D299" s="765"/>
      <c r="E299" s="765"/>
      <c r="F299" s="765"/>
      <c r="G299" s="765"/>
      <c r="H299" s="765"/>
      <c r="I299" s="765">
        <f t="shared" si="17"/>
        <v>288</v>
      </c>
      <c r="J299" s="763">
        <f t="shared" si="5"/>
        <v>1724434572438</v>
      </c>
      <c r="K299" s="796">
        <f t="shared" si="7"/>
        <v>0.37779</v>
      </c>
      <c r="L299" s="796">
        <v>5.0E-4</v>
      </c>
      <c r="M299" s="763">
        <v>1.9662879959389E12</v>
      </c>
      <c r="N299" s="797">
        <f t="shared" si="8"/>
        <v>0</v>
      </c>
      <c r="O299" s="798">
        <f t="shared" ref="O299:BK299" si="295">FLOOR(MIN((((N("value of ELS upgrade")+N$8*($K299-$K298))*(N("Check checkbox")+(IF($G$6=TRUE,$G$7,$G$8))/$G$8))/(N("ROI of ELS and multiply by 2 if ELS is 1:1")+IF($G$12 = True, 2, 1) * $J299))/((N("difference in ELS+ and the cost of it")+(($K298*O$8)-($K298*N$8)) / O$7)),(N("MIN lets it return 0 or 1 after floored")+1)),1)</f>
        <v>0</v>
      </c>
      <c r="P299" s="798">
        <f t="shared" si="295"/>
        <v>0</v>
      </c>
      <c r="Q299" s="798">
        <f t="shared" si="295"/>
        <v>0</v>
      </c>
      <c r="R299" s="798">
        <f t="shared" si="295"/>
        <v>0</v>
      </c>
      <c r="S299" s="798">
        <f t="shared" si="295"/>
        <v>0</v>
      </c>
      <c r="T299" s="798">
        <f t="shared" si="295"/>
        <v>0</v>
      </c>
      <c r="U299" s="798">
        <f t="shared" si="295"/>
        <v>0</v>
      </c>
      <c r="V299" s="798">
        <f t="shared" si="295"/>
        <v>0</v>
      </c>
      <c r="W299" s="798">
        <f t="shared" si="295"/>
        <v>1</v>
      </c>
      <c r="X299" s="798">
        <f t="shared" si="295"/>
        <v>1</v>
      </c>
      <c r="Y299" s="798">
        <f t="shared" si="295"/>
        <v>1</v>
      </c>
      <c r="Z299" s="798">
        <f t="shared" si="295"/>
        <v>1</v>
      </c>
      <c r="AA299" s="798">
        <f t="shared" si="295"/>
        <v>1</v>
      </c>
      <c r="AB299" s="798">
        <f t="shared" si="295"/>
        <v>1</v>
      </c>
      <c r="AC299" s="798">
        <f t="shared" si="295"/>
        <v>1</v>
      </c>
      <c r="AD299" s="798">
        <f t="shared" si="295"/>
        <v>1</v>
      </c>
      <c r="AE299" s="798">
        <f t="shared" si="295"/>
        <v>1</v>
      </c>
      <c r="AF299" s="798">
        <f t="shared" si="295"/>
        <v>1</v>
      </c>
      <c r="AG299" s="798">
        <f t="shared" si="295"/>
        <v>1</v>
      </c>
      <c r="AH299" s="798">
        <f t="shared" si="295"/>
        <v>1</v>
      </c>
      <c r="AI299" s="798">
        <f t="shared" si="295"/>
        <v>1</v>
      </c>
      <c r="AJ299" s="798">
        <f t="shared" si="295"/>
        <v>1</v>
      </c>
      <c r="AK299" s="798">
        <f t="shared" si="295"/>
        <v>1</v>
      </c>
      <c r="AL299" s="798">
        <f t="shared" si="295"/>
        <v>1</v>
      </c>
      <c r="AM299" s="798">
        <f t="shared" si="295"/>
        <v>1</v>
      </c>
      <c r="AN299" s="798">
        <f t="shared" si="295"/>
        <v>1</v>
      </c>
      <c r="AO299" s="798">
        <f t="shared" si="295"/>
        <v>1</v>
      </c>
      <c r="AP299" s="798">
        <f t="shared" si="295"/>
        <v>1</v>
      </c>
      <c r="AQ299" s="798">
        <f t="shared" si="295"/>
        <v>1</v>
      </c>
      <c r="AR299" s="798">
        <f t="shared" si="295"/>
        <v>1</v>
      </c>
      <c r="AS299" s="798">
        <f t="shared" si="295"/>
        <v>1</v>
      </c>
      <c r="AT299" s="798">
        <f t="shared" si="295"/>
        <v>1</v>
      </c>
      <c r="AU299" s="798">
        <f t="shared" si="295"/>
        <v>1</v>
      </c>
      <c r="AV299" s="798">
        <f t="shared" si="295"/>
        <v>1</v>
      </c>
      <c r="AW299" s="798">
        <f t="shared" si="295"/>
        <v>1</v>
      </c>
      <c r="AX299" s="798">
        <f t="shared" si="295"/>
        <v>1</v>
      </c>
      <c r="AY299" s="798">
        <f t="shared" si="295"/>
        <v>1</v>
      </c>
      <c r="AZ299" s="798">
        <f t="shared" si="295"/>
        <v>1</v>
      </c>
      <c r="BA299" s="798">
        <f t="shared" si="295"/>
        <v>1</v>
      </c>
      <c r="BB299" s="798">
        <f t="shared" si="295"/>
        <v>1</v>
      </c>
      <c r="BC299" s="798">
        <f t="shared" si="295"/>
        <v>1</v>
      </c>
      <c r="BD299" s="798">
        <f t="shared" si="295"/>
        <v>1</v>
      </c>
      <c r="BE299" s="798">
        <f t="shared" si="295"/>
        <v>1</v>
      </c>
      <c r="BF299" s="798">
        <f t="shared" si="295"/>
        <v>1</v>
      </c>
      <c r="BG299" s="798">
        <f t="shared" si="295"/>
        <v>1</v>
      </c>
      <c r="BH299" s="798">
        <f t="shared" si="295"/>
        <v>1</v>
      </c>
      <c r="BI299" s="798">
        <f t="shared" si="295"/>
        <v>1</v>
      </c>
      <c r="BJ299" s="798">
        <f t="shared" si="295"/>
        <v>1</v>
      </c>
      <c r="BK299" s="798">
        <f t="shared" si="295"/>
        <v>1</v>
      </c>
      <c r="BL299" s="765"/>
      <c r="BM299" s="817"/>
      <c r="BN299" s="817"/>
    </row>
    <row r="300" hidden="1">
      <c r="A300" s="765"/>
      <c r="B300" s="765"/>
      <c r="C300" s="765"/>
      <c r="D300" s="765"/>
      <c r="E300" s="765"/>
      <c r="F300" s="765"/>
      <c r="G300" s="765"/>
      <c r="H300" s="765"/>
      <c r="I300" s="765">
        <f t="shared" si="17"/>
        <v>289</v>
      </c>
      <c r="J300" s="763">
        <f t="shared" si="5"/>
        <v>1731865279564</v>
      </c>
      <c r="K300" s="796">
        <f t="shared" si="7"/>
        <v>0.37829</v>
      </c>
      <c r="L300" s="796">
        <v>5.0E-4</v>
      </c>
      <c r="M300" s="763">
        <v>1.97476086609359E12</v>
      </c>
      <c r="N300" s="797">
        <f t="shared" si="8"/>
        <v>0</v>
      </c>
      <c r="O300" s="798">
        <f t="shared" ref="O300:BK300" si="296">FLOOR(MIN((((N("value of ELS upgrade")+N$8*($K300-$K299))*(N("Check checkbox")+(IF($G$6=TRUE,$G$7,$G$8))/$G$8))/(N("ROI of ELS and multiply by 2 if ELS is 1:1")+IF($G$12 = True, 2, 1) * $J300))/((N("difference in ELS+ and the cost of it")+(($K299*O$8)-($K299*N$8)) / O$7)),(N("MIN lets it return 0 or 1 after floored")+1)),1)</f>
        <v>0</v>
      </c>
      <c r="P300" s="798">
        <f t="shared" si="296"/>
        <v>0</v>
      </c>
      <c r="Q300" s="798">
        <f t="shared" si="296"/>
        <v>0</v>
      </c>
      <c r="R300" s="798">
        <f t="shared" si="296"/>
        <v>0</v>
      </c>
      <c r="S300" s="798">
        <f t="shared" si="296"/>
        <v>0</v>
      </c>
      <c r="T300" s="798">
        <f t="shared" si="296"/>
        <v>0</v>
      </c>
      <c r="U300" s="798">
        <f t="shared" si="296"/>
        <v>0</v>
      </c>
      <c r="V300" s="798">
        <f t="shared" si="296"/>
        <v>0</v>
      </c>
      <c r="W300" s="798">
        <f t="shared" si="296"/>
        <v>1</v>
      </c>
      <c r="X300" s="798">
        <f t="shared" si="296"/>
        <v>1</v>
      </c>
      <c r="Y300" s="798">
        <f t="shared" si="296"/>
        <v>1</v>
      </c>
      <c r="Z300" s="798">
        <f t="shared" si="296"/>
        <v>1</v>
      </c>
      <c r="AA300" s="798">
        <f t="shared" si="296"/>
        <v>1</v>
      </c>
      <c r="AB300" s="798">
        <f t="shared" si="296"/>
        <v>1</v>
      </c>
      <c r="AC300" s="798">
        <f t="shared" si="296"/>
        <v>1</v>
      </c>
      <c r="AD300" s="798">
        <f t="shared" si="296"/>
        <v>1</v>
      </c>
      <c r="AE300" s="798">
        <f t="shared" si="296"/>
        <v>1</v>
      </c>
      <c r="AF300" s="798">
        <f t="shared" si="296"/>
        <v>1</v>
      </c>
      <c r="AG300" s="798">
        <f t="shared" si="296"/>
        <v>1</v>
      </c>
      <c r="AH300" s="798">
        <f t="shared" si="296"/>
        <v>1</v>
      </c>
      <c r="AI300" s="798">
        <f t="shared" si="296"/>
        <v>1</v>
      </c>
      <c r="AJ300" s="798">
        <f t="shared" si="296"/>
        <v>1</v>
      </c>
      <c r="AK300" s="798">
        <f t="shared" si="296"/>
        <v>1</v>
      </c>
      <c r="AL300" s="798">
        <f t="shared" si="296"/>
        <v>1</v>
      </c>
      <c r="AM300" s="798">
        <f t="shared" si="296"/>
        <v>1</v>
      </c>
      <c r="AN300" s="798">
        <f t="shared" si="296"/>
        <v>1</v>
      </c>
      <c r="AO300" s="798">
        <f t="shared" si="296"/>
        <v>1</v>
      </c>
      <c r="AP300" s="798">
        <f t="shared" si="296"/>
        <v>1</v>
      </c>
      <c r="AQ300" s="798">
        <f t="shared" si="296"/>
        <v>1</v>
      </c>
      <c r="AR300" s="798">
        <f t="shared" si="296"/>
        <v>1</v>
      </c>
      <c r="AS300" s="798">
        <f t="shared" si="296"/>
        <v>1</v>
      </c>
      <c r="AT300" s="798">
        <f t="shared" si="296"/>
        <v>1</v>
      </c>
      <c r="AU300" s="798">
        <f t="shared" si="296"/>
        <v>1</v>
      </c>
      <c r="AV300" s="798">
        <f t="shared" si="296"/>
        <v>1</v>
      </c>
      <c r="AW300" s="798">
        <f t="shared" si="296"/>
        <v>1</v>
      </c>
      <c r="AX300" s="798">
        <f t="shared" si="296"/>
        <v>1</v>
      </c>
      <c r="AY300" s="798">
        <f t="shared" si="296"/>
        <v>1</v>
      </c>
      <c r="AZ300" s="798">
        <f t="shared" si="296"/>
        <v>1</v>
      </c>
      <c r="BA300" s="798">
        <f t="shared" si="296"/>
        <v>1</v>
      </c>
      <c r="BB300" s="798">
        <f t="shared" si="296"/>
        <v>1</v>
      </c>
      <c r="BC300" s="798">
        <f t="shared" si="296"/>
        <v>1</v>
      </c>
      <c r="BD300" s="798">
        <f t="shared" si="296"/>
        <v>1</v>
      </c>
      <c r="BE300" s="798">
        <f t="shared" si="296"/>
        <v>1</v>
      </c>
      <c r="BF300" s="798">
        <f t="shared" si="296"/>
        <v>1</v>
      </c>
      <c r="BG300" s="798">
        <f t="shared" si="296"/>
        <v>1</v>
      </c>
      <c r="BH300" s="798">
        <f t="shared" si="296"/>
        <v>1</v>
      </c>
      <c r="BI300" s="798">
        <f t="shared" si="296"/>
        <v>1</v>
      </c>
      <c r="BJ300" s="798">
        <f t="shared" si="296"/>
        <v>1</v>
      </c>
      <c r="BK300" s="798">
        <f t="shared" si="296"/>
        <v>1</v>
      </c>
      <c r="BL300" s="765"/>
      <c r="BM300" s="817"/>
      <c r="BN300" s="817"/>
    </row>
    <row r="301" hidden="1">
      <c r="A301" s="765"/>
      <c r="B301" s="765"/>
      <c r="C301" s="765"/>
      <c r="D301" s="765"/>
      <c r="E301" s="765"/>
      <c r="F301" s="765"/>
      <c r="G301" s="765"/>
      <c r="H301" s="765"/>
      <c r="I301" s="765">
        <f t="shared" si="17"/>
        <v>290</v>
      </c>
      <c r="J301" s="763">
        <f t="shared" si="5"/>
        <v>1739316328311</v>
      </c>
      <c r="K301" s="796">
        <f t="shared" si="7"/>
        <v>0.37879</v>
      </c>
      <c r="L301" s="796">
        <v>5.0E-4</v>
      </c>
      <c r="M301" s="763">
        <v>1.98325693079915E12</v>
      </c>
      <c r="N301" s="797">
        <f t="shared" si="8"/>
        <v>0</v>
      </c>
      <c r="O301" s="798">
        <f t="shared" ref="O301:BK301" si="297">FLOOR(MIN((((N("value of ELS upgrade")+N$8*($K301-$K300))*(N("Check checkbox")+(IF($G$6=TRUE,$G$7,$G$8))/$G$8))/(N("ROI of ELS and multiply by 2 if ELS is 1:1")+IF($G$12 = True, 2, 1) * $J301))/((N("difference in ELS+ and the cost of it")+(($K300*O$8)-($K300*N$8)) / O$7)),(N("MIN lets it return 0 or 1 after floored")+1)),1)</f>
        <v>0</v>
      </c>
      <c r="P301" s="798">
        <f t="shared" si="297"/>
        <v>0</v>
      </c>
      <c r="Q301" s="798">
        <f t="shared" si="297"/>
        <v>0</v>
      </c>
      <c r="R301" s="798">
        <f t="shared" si="297"/>
        <v>0</v>
      </c>
      <c r="S301" s="798">
        <f t="shared" si="297"/>
        <v>0</v>
      </c>
      <c r="T301" s="798">
        <f t="shared" si="297"/>
        <v>0</v>
      </c>
      <c r="U301" s="798">
        <f t="shared" si="297"/>
        <v>0</v>
      </c>
      <c r="V301" s="798">
        <f t="shared" si="297"/>
        <v>0</v>
      </c>
      <c r="W301" s="798">
        <f t="shared" si="297"/>
        <v>1</v>
      </c>
      <c r="X301" s="798">
        <f t="shared" si="297"/>
        <v>1</v>
      </c>
      <c r="Y301" s="798">
        <f t="shared" si="297"/>
        <v>1</v>
      </c>
      <c r="Z301" s="798">
        <f t="shared" si="297"/>
        <v>1</v>
      </c>
      <c r="AA301" s="798">
        <f t="shared" si="297"/>
        <v>1</v>
      </c>
      <c r="AB301" s="798">
        <f t="shared" si="297"/>
        <v>1</v>
      </c>
      <c r="AC301" s="798">
        <f t="shared" si="297"/>
        <v>1</v>
      </c>
      <c r="AD301" s="798">
        <f t="shared" si="297"/>
        <v>1</v>
      </c>
      <c r="AE301" s="798">
        <f t="shared" si="297"/>
        <v>1</v>
      </c>
      <c r="AF301" s="798">
        <f t="shared" si="297"/>
        <v>1</v>
      </c>
      <c r="AG301" s="798">
        <f t="shared" si="297"/>
        <v>1</v>
      </c>
      <c r="AH301" s="798">
        <f t="shared" si="297"/>
        <v>1</v>
      </c>
      <c r="AI301" s="798">
        <f t="shared" si="297"/>
        <v>1</v>
      </c>
      <c r="AJ301" s="798">
        <f t="shared" si="297"/>
        <v>1</v>
      </c>
      <c r="AK301" s="798">
        <f t="shared" si="297"/>
        <v>1</v>
      </c>
      <c r="AL301" s="798">
        <f t="shared" si="297"/>
        <v>1</v>
      </c>
      <c r="AM301" s="798">
        <f t="shared" si="297"/>
        <v>1</v>
      </c>
      <c r="AN301" s="798">
        <f t="shared" si="297"/>
        <v>1</v>
      </c>
      <c r="AO301" s="798">
        <f t="shared" si="297"/>
        <v>1</v>
      </c>
      <c r="AP301" s="798">
        <f t="shared" si="297"/>
        <v>1</v>
      </c>
      <c r="AQ301" s="798">
        <f t="shared" si="297"/>
        <v>1</v>
      </c>
      <c r="AR301" s="798">
        <f t="shared" si="297"/>
        <v>1</v>
      </c>
      <c r="AS301" s="798">
        <f t="shared" si="297"/>
        <v>1</v>
      </c>
      <c r="AT301" s="798">
        <f t="shared" si="297"/>
        <v>1</v>
      </c>
      <c r="AU301" s="798">
        <f t="shared" si="297"/>
        <v>1</v>
      </c>
      <c r="AV301" s="798">
        <f t="shared" si="297"/>
        <v>1</v>
      </c>
      <c r="AW301" s="798">
        <f t="shared" si="297"/>
        <v>1</v>
      </c>
      <c r="AX301" s="798">
        <f t="shared" si="297"/>
        <v>1</v>
      </c>
      <c r="AY301" s="798">
        <f t="shared" si="297"/>
        <v>1</v>
      </c>
      <c r="AZ301" s="798">
        <f t="shared" si="297"/>
        <v>1</v>
      </c>
      <c r="BA301" s="798">
        <f t="shared" si="297"/>
        <v>1</v>
      </c>
      <c r="BB301" s="798">
        <f t="shared" si="297"/>
        <v>1</v>
      </c>
      <c r="BC301" s="798">
        <f t="shared" si="297"/>
        <v>1</v>
      </c>
      <c r="BD301" s="798">
        <f t="shared" si="297"/>
        <v>1</v>
      </c>
      <c r="BE301" s="798">
        <f t="shared" si="297"/>
        <v>1</v>
      </c>
      <c r="BF301" s="798">
        <f t="shared" si="297"/>
        <v>1</v>
      </c>
      <c r="BG301" s="798">
        <f t="shared" si="297"/>
        <v>1</v>
      </c>
      <c r="BH301" s="798">
        <f t="shared" si="297"/>
        <v>1</v>
      </c>
      <c r="BI301" s="798">
        <f t="shared" si="297"/>
        <v>1</v>
      </c>
      <c r="BJ301" s="798">
        <f t="shared" si="297"/>
        <v>1</v>
      </c>
      <c r="BK301" s="798">
        <f t="shared" si="297"/>
        <v>1</v>
      </c>
      <c r="BL301" s="765"/>
      <c r="BM301" s="817"/>
      <c r="BN301" s="817"/>
    </row>
    <row r="302" hidden="1">
      <c r="A302" s="765"/>
      <c r="B302" s="765"/>
      <c r="C302" s="765"/>
      <c r="D302" s="765"/>
      <c r="E302" s="765"/>
      <c r="F302" s="765"/>
      <c r="G302" s="765"/>
      <c r="H302" s="765"/>
      <c r="I302" s="765">
        <f t="shared" si="17"/>
        <v>291</v>
      </c>
      <c r="J302" s="763">
        <f t="shared" si="5"/>
        <v>1746787797829</v>
      </c>
      <c r="K302" s="796">
        <f t="shared" si="7"/>
        <v>0.37929</v>
      </c>
      <c r="L302" s="796">
        <v>5.0E-4</v>
      </c>
      <c r="M302" s="763">
        <v>1.99177628030674E12</v>
      </c>
      <c r="N302" s="797">
        <f t="shared" si="8"/>
        <v>0</v>
      </c>
      <c r="O302" s="798">
        <f t="shared" ref="O302:BK302" si="298">FLOOR(MIN((((N("value of ELS upgrade")+N$8*($K302-$K301))*(N("Check checkbox")+(IF($G$6=TRUE,$G$7,$G$8))/$G$8))/(N("ROI of ELS and multiply by 2 if ELS is 1:1")+IF($G$12 = True, 2, 1) * $J302))/((N("difference in ELS+ and the cost of it")+(($K301*O$8)-($K301*N$8)) / O$7)),(N("MIN lets it return 0 or 1 after floored")+1)),1)</f>
        <v>0</v>
      </c>
      <c r="P302" s="798">
        <f t="shared" si="298"/>
        <v>0</v>
      </c>
      <c r="Q302" s="798">
        <f t="shared" si="298"/>
        <v>0</v>
      </c>
      <c r="R302" s="798">
        <f t="shared" si="298"/>
        <v>0</v>
      </c>
      <c r="S302" s="798">
        <f t="shared" si="298"/>
        <v>0</v>
      </c>
      <c r="T302" s="798">
        <f t="shared" si="298"/>
        <v>0</v>
      </c>
      <c r="U302" s="798">
        <f t="shared" si="298"/>
        <v>0</v>
      </c>
      <c r="V302" s="798">
        <f t="shared" si="298"/>
        <v>0</v>
      </c>
      <c r="W302" s="798">
        <f t="shared" si="298"/>
        <v>1</v>
      </c>
      <c r="X302" s="798">
        <f t="shared" si="298"/>
        <v>1</v>
      </c>
      <c r="Y302" s="798">
        <f t="shared" si="298"/>
        <v>1</v>
      </c>
      <c r="Z302" s="798">
        <f t="shared" si="298"/>
        <v>1</v>
      </c>
      <c r="AA302" s="798">
        <f t="shared" si="298"/>
        <v>1</v>
      </c>
      <c r="AB302" s="798">
        <f t="shared" si="298"/>
        <v>1</v>
      </c>
      <c r="AC302" s="798">
        <f t="shared" si="298"/>
        <v>1</v>
      </c>
      <c r="AD302" s="798">
        <f t="shared" si="298"/>
        <v>1</v>
      </c>
      <c r="AE302" s="798">
        <f t="shared" si="298"/>
        <v>1</v>
      </c>
      <c r="AF302" s="798">
        <f t="shared" si="298"/>
        <v>1</v>
      </c>
      <c r="AG302" s="798">
        <f t="shared" si="298"/>
        <v>1</v>
      </c>
      <c r="AH302" s="798">
        <f t="shared" si="298"/>
        <v>1</v>
      </c>
      <c r="AI302" s="798">
        <f t="shared" si="298"/>
        <v>1</v>
      </c>
      <c r="AJ302" s="798">
        <f t="shared" si="298"/>
        <v>1</v>
      </c>
      <c r="AK302" s="798">
        <f t="shared" si="298"/>
        <v>1</v>
      </c>
      <c r="AL302" s="798">
        <f t="shared" si="298"/>
        <v>1</v>
      </c>
      <c r="AM302" s="798">
        <f t="shared" si="298"/>
        <v>1</v>
      </c>
      <c r="AN302" s="798">
        <f t="shared" si="298"/>
        <v>1</v>
      </c>
      <c r="AO302" s="798">
        <f t="shared" si="298"/>
        <v>1</v>
      </c>
      <c r="AP302" s="798">
        <f t="shared" si="298"/>
        <v>1</v>
      </c>
      <c r="AQ302" s="798">
        <f t="shared" si="298"/>
        <v>1</v>
      </c>
      <c r="AR302" s="798">
        <f t="shared" si="298"/>
        <v>1</v>
      </c>
      <c r="AS302" s="798">
        <f t="shared" si="298"/>
        <v>1</v>
      </c>
      <c r="AT302" s="798">
        <f t="shared" si="298"/>
        <v>1</v>
      </c>
      <c r="AU302" s="798">
        <f t="shared" si="298"/>
        <v>1</v>
      </c>
      <c r="AV302" s="798">
        <f t="shared" si="298"/>
        <v>1</v>
      </c>
      <c r="AW302" s="798">
        <f t="shared" si="298"/>
        <v>1</v>
      </c>
      <c r="AX302" s="798">
        <f t="shared" si="298"/>
        <v>1</v>
      </c>
      <c r="AY302" s="798">
        <f t="shared" si="298"/>
        <v>1</v>
      </c>
      <c r="AZ302" s="798">
        <f t="shared" si="298"/>
        <v>1</v>
      </c>
      <c r="BA302" s="798">
        <f t="shared" si="298"/>
        <v>1</v>
      </c>
      <c r="BB302" s="798">
        <f t="shared" si="298"/>
        <v>1</v>
      </c>
      <c r="BC302" s="798">
        <f t="shared" si="298"/>
        <v>1</v>
      </c>
      <c r="BD302" s="798">
        <f t="shared" si="298"/>
        <v>1</v>
      </c>
      <c r="BE302" s="798">
        <f t="shared" si="298"/>
        <v>1</v>
      </c>
      <c r="BF302" s="798">
        <f t="shared" si="298"/>
        <v>1</v>
      </c>
      <c r="BG302" s="798">
        <f t="shared" si="298"/>
        <v>1</v>
      </c>
      <c r="BH302" s="798">
        <f t="shared" si="298"/>
        <v>1</v>
      </c>
      <c r="BI302" s="798">
        <f t="shared" si="298"/>
        <v>1</v>
      </c>
      <c r="BJ302" s="798">
        <f t="shared" si="298"/>
        <v>1</v>
      </c>
      <c r="BK302" s="798">
        <f t="shared" si="298"/>
        <v>1</v>
      </c>
      <c r="BL302" s="765"/>
      <c r="BM302" s="817"/>
      <c r="BN302" s="817"/>
    </row>
    <row r="303" hidden="1">
      <c r="A303" s="765"/>
      <c r="B303" s="765"/>
      <c r="C303" s="765"/>
      <c r="D303" s="765"/>
      <c r="E303" s="765"/>
      <c r="F303" s="765"/>
      <c r="G303" s="765"/>
      <c r="H303" s="765"/>
      <c r="I303" s="765">
        <f t="shared" si="17"/>
        <v>292</v>
      </c>
      <c r="J303" s="763">
        <f t="shared" si="5"/>
        <v>1754279826632</v>
      </c>
      <c r="K303" s="796">
        <f t="shared" si="7"/>
        <v>0.37979</v>
      </c>
      <c r="L303" s="796">
        <v>5.0E-4</v>
      </c>
      <c r="M303" s="763">
        <v>2.00031907255591E12</v>
      </c>
      <c r="N303" s="797">
        <f t="shared" si="8"/>
        <v>0</v>
      </c>
      <c r="O303" s="798">
        <f t="shared" ref="O303:BK303" si="299">FLOOR(MIN((((N("value of ELS upgrade")+N$8*($K303-$K302))*(N("Check checkbox")+(IF($G$6=TRUE,$G$7,$G$8))/$G$8))/(N("ROI of ELS and multiply by 2 if ELS is 1:1")+IF($G$12 = True, 2, 1) * $J303))/((N("difference in ELS+ and the cost of it")+(($K302*O$8)-($K302*N$8)) / O$7)),(N("MIN lets it return 0 or 1 after floored")+1)),1)</f>
        <v>0</v>
      </c>
      <c r="P303" s="798">
        <f t="shared" si="299"/>
        <v>0</v>
      </c>
      <c r="Q303" s="798">
        <f t="shared" si="299"/>
        <v>0</v>
      </c>
      <c r="R303" s="798">
        <f t="shared" si="299"/>
        <v>0</v>
      </c>
      <c r="S303" s="798">
        <f t="shared" si="299"/>
        <v>0</v>
      </c>
      <c r="T303" s="798">
        <f t="shared" si="299"/>
        <v>0</v>
      </c>
      <c r="U303" s="798">
        <f t="shared" si="299"/>
        <v>0</v>
      </c>
      <c r="V303" s="798">
        <f t="shared" si="299"/>
        <v>0</v>
      </c>
      <c r="W303" s="798">
        <f t="shared" si="299"/>
        <v>1</v>
      </c>
      <c r="X303" s="798">
        <f t="shared" si="299"/>
        <v>1</v>
      </c>
      <c r="Y303" s="798">
        <f t="shared" si="299"/>
        <v>1</v>
      </c>
      <c r="Z303" s="798">
        <f t="shared" si="299"/>
        <v>1</v>
      </c>
      <c r="AA303" s="798">
        <f t="shared" si="299"/>
        <v>1</v>
      </c>
      <c r="AB303" s="798">
        <f t="shared" si="299"/>
        <v>1</v>
      </c>
      <c r="AC303" s="798">
        <f t="shared" si="299"/>
        <v>1</v>
      </c>
      <c r="AD303" s="798">
        <f t="shared" si="299"/>
        <v>1</v>
      </c>
      <c r="AE303" s="798">
        <f t="shared" si="299"/>
        <v>1</v>
      </c>
      <c r="AF303" s="798">
        <f t="shared" si="299"/>
        <v>1</v>
      </c>
      <c r="AG303" s="798">
        <f t="shared" si="299"/>
        <v>1</v>
      </c>
      <c r="AH303" s="798">
        <f t="shared" si="299"/>
        <v>1</v>
      </c>
      <c r="AI303" s="798">
        <f t="shared" si="299"/>
        <v>1</v>
      </c>
      <c r="AJ303" s="798">
        <f t="shared" si="299"/>
        <v>1</v>
      </c>
      <c r="AK303" s="798">
        <f t="shared" si="299"/>
        <v>1</v>
      </c>
      <c r="AL303" s="798">
        <f t="shared" si="299"/>
        <v>1</v>
      </c>
      <c r="AM303" s="798">
        <f t="shared" si="299"/>
        <v>1</v>
      </c>
      <c r="AN303" s="798">
        <f t="shared" si="299"/>
        <v>1</v>
      </c>
      <c r="AO303" s="798">
        <f t="shared" si="299"/>
        <v>1</v>
      </c>
      <c r="AP303" s="798">
        <f t="shared" si="299"/>
        <v>1</v>
      </c>
      <c r="AQ303" s="798">
        <f t="shared" si="299"/>
        <v>1</v>
      </c>
      <c r="AR303" s="798">
        <f t="shared" si="299"/>
        <v>1</v>
      </c>
      <c r="AS303" s="798">
        <f t="shared" si="299"/>
        <v>1</v>
      </c>
      <c r="AT303" s="798">
        <f t="shared" si="299"/>
        <v>1</v>
      </c>
      <c r="AU303" s="798">
        <f t="shared" si="299"/>
        <v>1</v>
      </c>
      <c r="AV303" s="798">
        <f t="shared" si="299"/>
        <v>1</v>
      </c>
      <c r="AW303" s="798">
        <f t="shared" si="299"/>
        <v>1</v>
      </c>
      <c r="AX303" s="798">
        <f t="shared" si="299"/>
        <v>1</v>
      </c>
      <c r="AY303" s="798">
        <f t="shared" si="299"/>
        <v>1</v>
      </c>
      <c r="AZ303" s="798">
        <f t="shared" si="299"/>
        <v>1</v>
      </c>
      <c r="BA303" s="798">
        <f t="shared" si="299"/>
        <v>1</v>
      </c>
      <c r="BB303" s="798">
        <f t="shared" si="299"/>
        <v>1</v>
      </c>
      <c r="BC303" s="798">
        <f t="shared" si="299"/>
        <v>1</v>
      </c>
      <c r="BD303" s="798">
        <f t="shared" si="299"/>
        <v>1</v>
      </c>
      <c r="BE303" s="798">
        <f t="shared" si="299"/>
        <v>1</v>
      </c>
      <c r="BF303" s="798">
        <f t="shared" si="299"/>
        <v>1</v>
      </c>
      <c r="BG303" s="798">
        <f t="shared" si="299"/>
        <v>1</v>
      </c>
      <c r="BH303" s="798">
        <f t="shared" si="299"/>
        <v>1</v>
      </c>
      <c r="BI303" s="798">
        <f t="shared" si="299"/>
        <v>1</v>
      </c>
      <c r="BJ303" s="798">
        <f t="shared" si="299"/>
        <v>1</v>
      </c>
      <c r="BK303" s="798">
        <f t="shared" si="299"/>
        <v>1</v>
      </c>
      <c r="BL303" s="765"/>
      <c r="BM303" s="817"/>
      <c r="BN303" s="817"/>
    </row>
    <row r="304" hidden="1">
      <c r="A304" s="765"/>
      <c r="B304" s="765"/>
      <c r="C304" s="765"/>
      <c r="D304" s="765"/>
      <c r="E304" s="765"/>
      <c r="F304" s="765"/>
      <c r="G304" s="765"/>
      <c r="H304" s="765"/>
      <c r="I304" s="765">
        <f t="shared" si="17"/>
        <v>293</v>
      </c>
      <c r="J304" s="763">
        <f t="shared" si="5"/>
        <v>1761792493869</v>
      </c>
      <c r="K304" s="796">
        <f t="shared" si="7"/>
        <v>0.38029</v>
      </c>
      <c r="L304" s="796">
        <v>5.0E-4</v>
      </c>
      <c r="M304" s="763">
        <v>2.00888539779784E12</v>
      </c>
      <c r="N304" s="797">
        <f t="shared" si="8"/>
        <v>0</v>
      </c>
      <c r="O304" s="798">
        <f t="shared" ref="O304:BK304" si="300">FLOOR(MIN((((N("value of ELS upgrade")+N$8*($K304-$K303))*(N("Check checkbox")+(IF($G$6=TRUE,$G$7,$G$8))/$G$8))/(N("ROI of ELS and multiply by 2 if ELS is 1:1")+IF($G$12 = True, 2, 1) * $J304))/((N("difference in ELS+ and the cost of it")+(($K303*O$8)-($K303*N$8)) / O$7)),(N("MIN lets it return 0 or 1 after floored")+1)),1)</f>
        <v>0</v>
      </c>
      <c r="P304" s="798">
        <f t="shared" si="300"/>
        <v>0</v>
      </c>
      <c r="Q304" s="798">
        <f t="shared" si="300"/>
        <v>0</v>
      </c>
      <c r="R304" s="798">
        <f t="shared" si="300"/>
        <v>0</v>
      </c>
      <c r="S304" s="798">
        <f t="shared" si="300"/>
        <v>0</v>
      </c>
      <c r="T304" s="798">
        <f t="shared" si="300"/>
        <v>0</v>
      </c>
      <c r="U304" s="798">
        <f t="shared" si="300"/>
        <v>0</v>
      </c>
      <c r="V304" s="798">
        <f t="shared" si="300"/>
        <v>0</v>
      </c>
      <c r="W304" s="798">
        <f t="shared" si="300"/>
        <v>1</v>
      </c>
      <c r="X304" s="798">
        <f t="shared" si="300"/>
        <v>1</v>
      </c>
      <c r="Y304" s="798">
        <f t="shared" si="300"/>
        <v>1</v>
      </c>
      <c r="Z304" s="798">
        <f t="shared" si="300"/>
        <v>1</v>
      </c>
      <c r="AA304" s="798">
        <f t="shared" si="300"/>
        <v>1</v>
      </c>
      <c r="AB304" s="798">
        <f t="shared" si="300"/>
        <v>1</v>
      </c>
      <c r="AC304" s="798">
        <f t="shared" si="300"/>
        <v>1</v>
      </c>
      <c r="AD304" s="798">
        <f t="shared" si="300"/>
        <v>1</v>
      </c>
      <c r="AE304" s="798">
        <f t="shared" si="300"/>
        <v>1</v>
      </c>
      <c r="AF304" s="798">
        <f t="shared" si="300"/>
        <v>1</v>
      </c>
      <c r="AG304" s="798">
        <f t="shared" si="300"/>
        <v>1</v>
      </c>
      <c r="AH304" s="798">
        <f t="shared" si="300"/>
        <v>1</v>
      </c>
      <c r="AI304" s="798">
        <f t="shared" si="300"/>
        <v>1</v>
      </c>
      <c r="AJ304" s="798">
        <f t="shared" si="300"/>
        <v>1</v>
      </c>
      <c r="AK304" s="798">
        <f t="shared" si="300"/>
        <v>1</v>
      </c>
      <c r="AL304" s="798">
        <f t="shared" si="300"/>
        <v>1</v>
      </c>
      <c r="AM304" s="798">
        <f t="shared" si="300"/>
        <v>1</v>
      </c>
      <c r="AN304" s="798">
        <f t="shared" si="300"/>
        <v>1</v>
      </c>
      <c r="AO304" s="798">
        <f t="shared" si="300"/>
        <v>1</v>
      </c>
      <c r="AP304" s="798">
        <f t="shared" si="300"/>
        <v>1</v>
      </c>
      <c r="AQ304" s="798">
        <f t="shared" si="300"/>
        <v>1</v>
      </c>
      <c r="AR304" s="798">
        <f t="shared" si="300"/>
        <v>1</v>
      </c>
      <c r="AS304" s="798">
        <f t="shared" si="300"/>
        <v>1</v>
      </c>
      <c r="AT304" s="798">
        <f t="shared" si="300"/>
        <v>1</v>
      </c>
      <c r="AU304" s="798">
        <f t="shared" si="300"/>
        <v>1</v>
      </c>
      <c r="AV304" s="798">
        <f t="shared" si="300"/>
        <v>1</v>
      </c>
      <c r="AW304" s="798">
        <f t="shared" si="300"/>
        <v>1</v>
      </c>
      <c r="AX304" s="798">
        <f t="shared" si="300"/>
        <v>1</v>
      </c>
      <c r="AY304" s="798">
        <f t="shared" si="300"/>
        <v>1</v>
      </c>
      <c r="AZ304" s="798">
        <f t="shared" si="300"/>
        <v>1</v>
      </c>
      <c r="BA304" s="798">
        <f t="shared" si="300"/>
        <v>1</v>
      </c>
      <c r="BB304" s="798">
        <f t="shared" si="300"/>
        <v>1</v>
      </c>
      <c r="BC304" s="798">
        <f t="shared" si="300"/>
        <v>1</v>
      </c>
      <c r="BD304" s="798">
        <f t="shared" si="300"/>
        <v>1</v>
      </c>
      <c r="BE304" s="798">
        <f t="shared" si="300"/>
        <v>1</v>
      </c>
      <c r="BF304" s="798">
        <f t="shared" si="300"/>
        <v>1</v>
      </c>
      <c r="BG304" s="798">
        <f t="shared" si="300"/>
        <v>1</v>
      </c>
      <c r="BH304" s="798">
        <f t="shared" si="300"/>
        <v>1</v>
      </c>
      <c r="BI304" s="798">
        <f t="shared" si="300"/>
        <v>1</v>
      </c>
      <c r="BJ304" s="798">
        <f t="shared" si="300"/>
        <v>1</v>
      </c>
      <c r="BK304" s="798">
        <f t="shared" si="300"/>
        <v>1</v>
      </c>
      <c r="BL304" s="765"/>
      <c r="BM304" s="817"/>
      <c r="BN304" s="817"/>
    </row>
    <row r="305" hidden="1">
      <c r="A305" s="765"/>
      <c r="B305" s="765"/>
      <c r="C305" s="765"/>
      <c r="D305" s="765"/>
      <c r="E305" s="765"/>
      <c r="F305" s="765"/>
      <c r="G305" s="765"/>
      <c r="H305" s="765"/>
      <c r="I305" s="765">
        <f t="shared" si="17"/>
        <v>294</v>
      </c>
      <c r="J305" s="763">
        <f t="shared" si="5"/>
        <v>1769325898478</v>
      </c>
      <c r="K305" s="796">
        <f t="shared" si="7"/>
        <v>0.38079</v>
      </c>
      <c r="L305" s="796">
        <v>5.0E-4</v>
      </c>
      <c r="M305" s="763">
        <v>2.01747536884649E12</v>
      </c>
      <c r="N305" s="797">
        <f t="shared" si="8"/>
        <v>0</v>
      </c>
      <c r="O305" s="798">
        <f t="shared" ref="O305:BK305" si="301">FLOOR(MIN((((N("value of ELS upgrade")+N$8*($K305-$K304))*(N("Check checkbox")+(IF($G$6=TRUE,$G$7,$G$8))/$G$8))/(N("ROI of ELS and multiply by 2 if ELS is 1:1")+IF($G$12 = True, 2, 1) * $J305))/((N("difference in ELS+ and the cost of it")+(($K304*O$8)-($K304*N$8)) / O$7)),(N("MIN lets it return 0 or 1 after floored")+1)),1)</f>
        <v>0</v>
      </c>
      <c r="P305" s="798">
        <f t="shared" si="301"/>
        <v>0</v>
      </c>
      <c r="Q305" s="798">
        <f t="shared" si="301"/>
        <v>0</v>
      </c>
      <c r="R305" s="798">
        <f t="shared" si="301"/>
        <v>0</v>
      </c>
      <c r="S305" s="798">
        <f t="shared" si="301"/>
        <v>0</v>
      </c>
      <c r="T305" s="798">
        <f t="shared" si="301"/>
        <v>0</v>
      </c>
      <c r="U305" s="798">
        <f t="shared" si="301"/>
        <v>0</v>
      </c>
      <c r="V305" s="798">
        <f t="shared" si="301"/>
        <v>0</v>
      </c>
      <c r="W305" s="798">
        <f t="shared" si="301"/>
        <v>1</v>
      </c>
      <c r="X305" s="798">
        <f t="shared" si="301"/>
        <v>1</v>
      </c>
      <c r="Y305" s="798">
        <f t="shared" si="301"/>
        <v>1</v>
      </c>
      <c r="Z305" s="798">
        <f t="shared" si="301"/>
        <v>1</v>
      </c>
      <c r="AA305" s="798">
        <f t="shared" si="301"/>
        <v>1</v>
      </c>
      <c r="AB305" s="798">
        <f t="shared" si="301"/>
        <v>1</v>
      </c>
      <c r="AC305" s="798">
        <f t="shared" si="301"/>
        <v>1</v>
      </c>
      <c r="AD305" s="798">
        <f t="shared" si="301"/>
        <v>1</v>
      </c>
      <c r="AE305" s="798">
        <f t="shared" si="301"/>
        <v>1</v>
      </c>
      <c r="AF305" s="798">
        <f t="shared" si="301"/>
        <v>1</v>
      </c>
      <c r="AG305" s="798">
        <f t="shared" si="301"/>
        <v>1</v>
      </c>
      <c r="AH305" s="798">
        <f t="shared" si="301"/>
        <v>1</v>
      </c>
      <c r="AI305" s="798">
        <f t="shared" si="301"/>
        <v>1</v>
      </c>
      <c r="AJ305" s="798">
        <f t="shared" si="301"/>
        <v>1</v>
      </c>
      <c r="AK305" s="798">
        <f t="shared" si="301"/>
        <v>1</v>
      </c>
      <c r="AL305" s="798">
        <f t="shared" si="301"/>
        <v>1</v>
      </c>
      <c r="AM305" s="798">
        <f t="shared" si="301"/>
        <v>1</v>
      </c>
      <c r="AN305" s="798">
        <f t="shared" si="301"/>
        <v>1</v>
      </c>
      <c r="AO305" s="798">
        <f t="shared" si="301"/>
        <v>1</v>
      </c>
      <c r="AP305" s="798">
        <f t="shared" si="301"/>
        <v>1</v>
      </c>
      <c r="AQ305" s="798">
        <f t="shared" si="301"/>
        <v>1</v>
      </c>
      <c r="AR305" s="798">
        <f t="shared" si="301"/>
        <v>1</v>
      </c>
      <c r="AS305" s="798">
        <f t="shared" si="301"/>
        <v>1</v>
      </c>
      <c r="AT305" s="798">
        <f t="shared" si="301"/>
        <v>1</v>
      </c>
      <c r="AU305" s="798">
        <f t="shared" si="301"/>
        <v>1</v>
      </c>
      <c r="AV305" s="798">
        <f t="shared" si="301"/>
        <v>1</v>
      </c>
      <c r="AW305" s="798">
        <f t="shared" si="301"/>
        <v>1</v>
      </c>
      <c r="AX305" s="798">
        <f t="shared" si="301"/>
        <v>1</v>
      </c>
      <c r="AY305" s="798">
        <f t="shared" si="301"/>
        <v>1</v>
      </c>
      <c r="AZ305" s="798">
        <f t="shared" si="301"/>
        <v>1</v>
      </c>
      <c r="BA305" s="798">
        <f t="shared" si="301"/>
        <v>1</v>
      </c>
      <c r="BB305" s="798">
        <f t="shared" si="301"/>
        <v>1</v>
      </c>
      <c r="BC305" s="798">
        <f t="shared" si="301"/>
        <v>1</v>
      </c>
      <c r="BD305" s="798">
        <f t="shared" si="301"/>
        <v>1</v>
      </c>
      <c r="BE305" s="798">
        <f t="shared" si="301"/>
        <v>1</v>
      </c>
      <c r="BF305" s="798">
        <f t="shared" si="301"/>
        <v>1</v>
      </c>
      <c r="BG305" s="798">
        <f t="shared" si="301"/>
        <v>1</v>
      </c>
      <c r="BH305" s="798">
        <f t="shared" si="301"/>
        <v>1</v>
      </c>
      <c r="BI305" s="798">
        <f t="shared" si="301"/>
        <v>1</v>
      </c>
      <c r="BJ305" s="798">
        <f t="shared" si="301"/>
        <v>1</v>
      </c>
      <c r="BK305" s="798">
        <f t="shared" si="301"/>
        <v>1</v>
      </c>
      <c r="BL305" s="765"/>
      <c r="BM305" s="817"/>
      <c r="BN305" s="817"/>
    </row>
    <row r="306" hidden="1">
      <c r="A306" s="765"/>
      <c r="B306" s="765"/>
      <c r="C306" s="765"/>
      <c r="D306" s="765"/>
      <c r="E306" s="765"/>
      <c r="F306" s="765"/>
      <c r="G306" s="765"/>
      <c r="H306" s="765"/>
      <c r="I306" s="765">
        <f t="shared" si="17"/>
        <v>295</v>
      </c>
      <c r="J306" s="763">
        <f t="shared" si="5"/>
        <v>1776880119611</v>
      </c>
      <c r="K306" s="796">
        <f t="shared" si="7"/>
        <v>0.38129</v>
      </c>
      <c r="L306" s="796">
        <v>5.0E-4</v>
      </c>
      <c r="M306" s="763">
        <v>2.02608907595303E12</v>
      </c>
      <c r="N306" s="797">
        <f t="shared" si="8"/>
        <v>0</v>
      </c>
      <c r="O306" s="798">
        <f t="shared" ref="O306:BK306" si="302">FLOOR(MIN((((N("value of ELS upgrade")+N$8*($K306-$K305))*(N("Check checkbox")+(IF($G$6=TRUE,$G$7,$G$8))/$G$8))/(N("ROI of ELS and multiply by 2 if ELS is 1:1")+IF($G$12 = True, 2, 1) * $J306))/((N("difference in ELS+ and the cost of it")+(($K305*O$8)-($K305*N$8)) / O$7)),(N("MIN lets it return 0 or 1 after floored")+1)),1)</f>
        <v>0</v>
      </c>
      <c r="P306" s="798">
        <f t="shared" si="302"/>
        <v>0</v>
      </c>
      <c r="Q306" s="798">
        <f t="shared" si="302"/>
        <v>0</v>
      </c>
      <c r="R306" s="798">
        <f t="shared" si="302"/>
        <v>0</v>
      </c>
      <c r="S306" s="798">
        <f t="shared" si="302"/>
        <v>0</v>
      </c>
      <c r="T306" s="798">
        <f t="shared" si="302"/>
        <v>0</v>
      </c>
      <c r="U306" s="798">
        <f t="shared" si="302"/>
        <v>0</v>
      </c>
      <c r="V306" s="798">
        <f t="shared" si="302"/>
        <v>0</v>
      </c>
      <c r="W306" s="798">
        <f t="shared" si="302"/>
        <v>1</v>
      </c>
      <c r="X306" s="798">
        <f t="shared" si="302"/>
        <v>1</v>
      </c>
      <c r="Y306" s="798">
        <f t="shared" si="302"/>
        <v>1</v>
      </c>
      <c r="Z306" s="798">
        <f t="shared" si="302"/>
        <v>1</v>
      </c>
      <c r="AA306" s="798">
        <f t="shared" si="302"/>
        <v>1</v>
      </c>
      <c r="AB306" s="798">
        <f t="shared" si="302"/>
        <v>1</v>
      </c>
      <c r="AC306" s="798">
        <f t="shared" si="302"/>
        <v>1</v>
      </c>
      <c r="AD306" s="798">
        <f t="shared" si="302"/>
        <v>1</v>
      </c>
      <c r="AE306" s="798">
        <f t="shared" si="302"/>
        <v>1</v>
      </c>
      <c r="AF306" s="798">
        <f t="shared" si="302"/>
        <v>1</v>
      </c>
      <c r="AG306" s="798">
        <f t="shared" si="302"/>
        <v>1</v>
      </c>
      <c r="AH306" s="798">
        <f t="shared" si="302"/>
        <v>1</v>
      </c>
      <c r="AI306" s="798">
        <f t="shared" si="302"/>
        <v>1</v>
      </c>
      <c r="AJ306" s="798">
        <f t="shared" si="302"/>
        <v>1</v>
      </c>
      <c r="AK306" s="798">
        <f t="shared" si="302"/>
        <v>1</v>
      </c>
      <c r="AL306" s="798">
        <f t="shared" si="302"/>
        <v>1</v>
      </c>
      <c r="AM306" s="798">
        <f t="shared" si="302"/>
        <v>1</v>
      </c>
      <c r="AN306" s="798">
        <f t="shared" si="302"/>
        <v>1</v>
      </c>
      <c r="AO306" s="798">
        <f t="shared" si="302"/>
        <v>1</v>
      </c>
      <c r="AP306" s="798">
        <f t="shared" si="302"/>
        <v>1</v>
      </c>
      <c r="AQ306" s="798">
        <f t="shared" si="302"/>
        <v>1</v>
      </c>
      <c r="AR306" s="798">
        <f t="shared" si="302"/>
        <v>1</v>
      </c>
      <c r="AS306" s="798">
        <f t="shared" si="302"/>
        <v>1</v>
      </c>
      <c r="AT306" s="798">
        <f t="shared" si="302"/>
        <v>1</v>
      </c>
      <c r="AU306" s="798">
        <f t="shared" si="302"/>
        <v>1</v>
      </c>
      <c r="AV306" s="798">
        <f t="shared" si="302"/>
        <v>1</v>
      </c>
      <c r="AW306" s="798">
        <f t="shared" si="302"/>
        <v>1</v>
      </c>
      <c r="AX306" s="798">
        <f t="shared" si="302"/>
        <v>1</v>
      </c>
      <c r="AY306" s="798">
        <f t="shared" si="302"/>
        <v>1</v>
      </c>
      <c r="AZ306" s="798">
        <f t="shared" si="302"/>
        <v>1</v>
      </c>
      <c r="BA306" s="798">
        <f t="shared" si="302"/>
        <v>1</v>
      </c>
      <c r="BB306" s="798">
        <f t="shared" si="302"/>
        <v>1</v>
      </c>
      <c r="BC306" s="798">
        <f t="shared" si="302"/>
        <v>1</v>
      </c>
      <c r="BD306" s="798">
        <f t="shared" si="302"/>
        <v>1</v>
      </c>
      <c r="BE306" s="798">
        <f t="shared" si="302"/>
        <v>1</v>
      </c>
      <c r="BF306" s="798">
        <f t="shared" si="302"/>
        <v>1</v>
      </c>
      <c r="BG306" s="798">
        <f t="shared" si="302"/>
        <v>1</v>
      </c>
      <c r="BH306" s="798">
        <f t="shared" si="302"/>
        <v>1</v>
      </c>
      <c r="BI306" s="798">
        <f t="shared" si="302"/>
        <v>1</v>
      </c>
      <c r="BJ306" s="798">
        <f t="shared" si="302"/>
        <v>1</v>
      </c>
      <c r="BK306" s="798">
        <f t="shared" si="302"/>
        <v>1</v>
      </c>
      <c r="BL306" s="765"/>
      <c r="BM306" s="817"/>
      <c r="BN306" s="817"/>
    </row>
    <row r="307" hidden="1">
      <c r="A307" s="765"/>
      <c r="B307" s="765"/>
      <c r="C307" s="765"/>
      <c r="D307" s="765"/>
      <c r="E307" s="765"/>
      <c r="F307" s="765"/>
      <c r="G307" s="765"/>
      <c r="H307" s="765"/>
      <c r="I307" s="765">
        <f t="shared" si="17"/>
        <v>296</v>
      </c>
      <c r="J307" s="763">
        <f t="shared" si="5"/>
        <v>1784455275991</v>
      </c>
      <c r="K307" s="796">
        <f t="shared" si="7"/>
        <v>0.38179</v>
      </c>
      <c r="L307" s="796">
        <v>5.0E-4</v>
      </c>
      <c r="M307" s="763">
        <v>2.03472665449421E12</v>
      </c>
      <c r="N307" s="797">
        <f t="shared" si="8"/>
        <v>0</v>
      </c>
      <c r="O307" s="798">
        <f t="shared" ref="O307:BK307" si="303">FLOOR(MIN((((N("value of ELS upgrade")+N$8*($K307-$K306))*(N("Check checkbox")+(IF($G$6=TRUE,$G$7,$G$8))/$G$8))/(N("ROI of ELS and multiply by 2 if ELS is 1:1")+IF($G$12 = True, 2, 1) * $J307))/((N("difference in ELS+ and the cost of it")+(($K306*O$8)-($K306*N$8)) / O$7)),(N("MIN lets it return 0 or 1 after floored")+1)),1)</f>
        <v>0</v>
      </c>
      <c r="P307" s="798">
        <f t="shared" si="303"/>
        <v>0</v>
      </c>
      <c r="Q307" s="798">
        <f t="shared" si="303"/>
        <v>0</v>
      </c>
      <c r="R307" s="798">
        <f t="shared" si="303"/>
        <v>0</v>
      </c>
      <c r="S307" s="798">
        <f t="shared" si="303"/>
        <v>0</v>
      </c>
      <c r="T307" s="798">
        <f t="shared" si="303"/>
        <v>0</v>
      </c>
      <c r="U307" s="798">
        <f t="shared" si="303"/>
        <v>0</v>
      </c>
      <c r="V307" s="798">
        <f t="shared" si="303"/>
        <v>0</v>
      </c>
      <c r="W307" s="798">
        <f t="shared" si="303"/>
        <v>1</v>
      </c>
      <c r="X307" s="798">
        <f t="shared" si="303"/>
        <v>1</v>
      </c>
      <c r="Y307" s="798">
        <f t="shared" si="303"/>
        <v>1</v>
      </c>
      <c r="Z307" s="798">
        <f t="shared" si="303"/>
        <v>1</v>
      </c>
      <c r="AA307" s="798">
        <f t="shared" si="303"/>
        <v>1</v>
      </c>
      <c r="AB307" s="798">
        <f t="shared" si="303"/>
        <v>1</v>
      </c>
      <c r="AC307" s="798">
        <f t="shared" si="303"/>
        <v>1</v>
      </c>
      <c r="AD307" s="798">
        <f t="shared" si="303"/>
        <v>1</v>
      </c>
      <c r="AE307" s="798">
        <f t="shared" si="303"/>
        <v>1</v>
      </c>
      <c r="AF307" s="798">
        <f t="shared" si="303"/>
        <v>1</v>
      </c>
      <c r="AG307" s="798">
        <f t="shared" si="303"/>
        <v>1</v>
      </c>
      <c r="AH307" s="798">
        <f t="shared" si="303"/>
        <v>1</v>
      </c>
      <c r="AI307" s="798">
        <f t="shared" si="303"/>
        <v>1</v>
      </c>
      <c r="AJ307" s="798">
        <f t="shared" si="303"/>
        <v>1</v>
      </c>
      <c r="AK307" s="798">
        <f t="shared" si="303"/>
        <v>1</v>
      </c>
      <c r="AL307" s="798">
        <f t="shared" si="303"/>
        <v>1</v>
      </c>
      <c r="AM307" s="798">
        <f t="shared" si="303"/>
        <v>1</v>
      </c>
      <c r="AN307" s="798">
        <f t="shared" si="303"/>
        <v>1</v>
      </c>
      <c r="AO307" s="798">
        <f t="shared" si="303"/>
        <v>1</v>
      </c>
      <c r="AP307" s="798">
        <f t="shared" si="303"/>
        <v>1</v>
      </c>
      <c r="AQ307" s="798">
        <f t="shared" si="303"/>
        <v>1</v>
      </c>
      <c r="AR307" s="798">
        <f t="shared" si="303"/>
        <v>1</v>
      </c>
      <c r="AS307" s="798">
        <f t="shared" si="303"/>
        <v>1</v>
      </c>
      <c r="AT307" s="798">
        <f t="shared" si="303"/>
        <v>1</v>
      </c>
      <c r="AU307" s="798">
        <f t="shared" si="303"/>
        <v>1</v>
      </c>
      <c r="AV307" s="798">
        <f t="shared" si="303"/>
        <v>1</v>
      </c>
      <c r="AW307" s="798">
        <f t="shared" si="303"/>
        <v>1</v>
      </c>
      <c r="AX307" s="798">
        <f t="shared" si="303"/>
        <v>1</v>
      </c>
      <c r="AY307" s="798">
        <f t="shared" si="303"/>
        <v>1</v>
      </c>
      <c r="AZ307" s="798">
        <f t="shared" si="303"/>
        <v>1</v>
      </c>
      <c r="BA307" s="798">
        <f t="shared" si="303"/>
        <v>1</v>
      </c>
      <c r="BB307" s="798">
        <f t="shared" si="303"/>
        <v>1</v>
      </c>
      <c r="BC307" s="798">
        <f t="shared" si="303"/>
        <v>1</v>
      </c>
      <c r="BD307" s="798">
        <f t="shared" si="303"/>
        <v>1</v>
      </c>
      <c r="BE307" s="798">
        <f t="shared" si="303"/>
        <v>1</v>
      </c>
      <c r="BF307" s="798">
        <f t="shared" si="303"/>
        <v>1</v>
      </c>
      <c r="BG307" s="798">
        <f t="shared" si="303"/>
        <v>1</v>
      </c>
      <c r="BH307" s="798">
        <f t="shared" si="303"/>
        <v>1</v>
      </c>
      <c r="BI307" s="798">
        <f t="shared" si="303"/>
        <v>1</v>
      </c>
      <c r="BJ307" s="798">
        <f t="shared" si="303"/>
        <v>1</v>
      </c>
      <c r="BK307" s="798">
        <f t="shared" si="303"/>
        <v>1</v>
      </c>
      <c r="BL307" s="765"/>
      <c r="BM307" s="817"/>
      <c r="BN307" s="817"/>
    </row>
    <row r="308" hidden="1">
      <c r="A308" s="765"/>
      <c r="B308" s="765"/>
      <c r="C308" s="765"/>
      <c r="D308" s="765"/>
      <c r="E308" s="765"/>
      <c r="F308" s="765"/>
      <c r="G308" s="765"/>
      <c r="H308" s="765"/>
      <c r="I308" s="765">
        <f t="shared" si="17"/>
        <v>297</v>
      </c>
      <c r="J308" s="763">
        <f t="shared" si="5"/>
        <v>1792051446771</v>
      </c>
      <c r="K308" s="796">
        <f t="shared" si="7"/>
        <v>0.38229</v>
      </c>
      <c r="L308" s="796">
        <v>5.0E-4</v>
      </c>
      <c r="M308" s="763">
        <v>2.04338819472121E12</v>
      </c>
      <c r="N308" s="797">
        <f t="shared" si="8"/>
        <v>0</v>
      </c>
      <c r="O308" s="798">
        <f t="shared" ref="O308:BK308" si="304">FLOOR(MIN((((N("value of ELS upgrade")+N$8*($K308-$K307))*(N("Check checkbox")+(IF($G$6=TRUE,$G$7,$G$8))/$G$8))/(N("ROI of ELS and multiply by 2 if ELS is 1:1")+IF($G$12 = True, 2, 1) * $J308))/((N("difference in ELS+ and the cost of it")+(($K307*O$8)-($K307*N$8)) / O$7)),(N("MIN lets it return 0 or 1 after floored")+1)),1)</f>
        <v>0</v>
      </c>
      <c r="P308" s="798">
        <f t="shared" si="304"/>
        <v>0</v>
      </c>
      <c r="Q308" s="798">
        <f t="shared" si="304"/>
        <v>0</v>
      </c>
      <c r="R308" s="798">
        <f t="shared" si="304"/>
        <v>0</v>
      </c>
      <c r="S308" s="798">
        <f t="shared" si="304"/>
        <v>0</v>
      </c>
      <c r="T308" s="798">
        <f t="shared" si="304"/>
        <v>0</v>
      </c>
      <c r="U308" s="798">
        <f t="shared" si="304"/>
        <v>0</v>
      </c>
      <c r="V308" s="798">
        <f t="shared" si="304"/>
        <v>0</v>
      </c>
      <c r="W308" s="798">
        <f t="shared" si="304"/>
        <v>1</v>
      </c>
      <c r="X308" s="798">
        <f t="shared" si="304"/>
        <v>1</v>
      </c>
      <c r="Y308" s="798">
        <f t="shared" si="304"/>
        <v>1</v>
      </c>
      <c r="Z308" s="798">
        <f t="shared" si="304"/>
        <v>1</v>
      </c>
      <c r="AA308" s="798">
        <f t="shared" si="304"/>
        <v>1</v>
      </c>
      <c r="AB308" s="798">
        <f t="shared" si="304"/>
        <v>1</v>
      </c>
      <c r="AC308" s="798">
        <f t="shared" si="304"/>
        <v>1</v>
      </c>
      <c r="AD308" s="798">
        <f t="shared" si="304"/>
        <v>1</v>
      </c>
      <c r="AE308" s="798">
        <f t="shared" si="304"/>
        <v>1</v>
      </c>
      <c r="AF308" s="798">
        <f t="shared" si="304"/>
        <v>1</v>
      </c>
      <c r="AG308" s="798">
        <f t="shared" si="304"/>
        <v>1</v>
      </c>
      <c r="AH308" s="798">
        <f t="shared" si="304"/>
        <v>1</v>
      </c>
      <c r="AI308" s="798">
        <f t="shared" si="304"/>
        <v>1</v>
      </c>
      <c r="AJ308" s="798">
        <f t="shared" si="304"/>
        <v>1</v>
      </c>
      <c r="AK308" s="798">
        <f t="shared" si="304"/>
        <v>1</v>
      </c>
      <c r="AL308" s="798">
        <f t="shared" si="304"/>
        <v>1</v>
      </c>
      <c r="AM308" s="798">
        <f t="shared" si="304"/>
        <v>1</v>
      </c>
      <c r="AN308" s="798">
        <f t="shared" si="304"/>
        <v>1</v>
      </c>
      <c r="AO308" s="798">
        <f t="shared" si="304"/>
        <v>1</v>
      </c>
      <c r="AP308" s="798">
        <f t="shared" si="304"/>
        <v>1</v>
      </c>
      <c r="AQ308" s="798">
        <f t="shared" si="304"/>
        <v>1</v>
      </c>
      <c r="AR308" s="798">
        <f t="shared" si="304"/>
        <v>1</v>
      </c>
      <c r="AS308" s="798">
        <f t="shared" si="304"/>
        <v>1</v>
      </c>
      <c r="AT308" s="798">
        <f t="shared" si="304"/>
        <v>1</v>
      </c>
      <c r="AU308" s="798">
        <f t="shared" si="304"/>
        <v>1</v>
      </c>
      <c r="AV308" s="798">
        <f t="shared" si="304"/>
        <v>1</v>
      </c>
      <c r="AW308" s="798">
        <f t="shared" si="304"/>
        <v>1</v>
      </c>
      <c r="AX308" s="798">
        <f t="shared" si="304"/>
        <v>1</v>
      </c>
      <c r="AY308" s="798">
        <f t="shared" si="304"/>
        <v>1</v>
      </c>
      <c r="AZ308" s="798">
        <f t="shared" si="304"/>
        <v>1</v>
      </c>
      <c r="BA308" s="798">
        <f t="shared" si="304"/>
        <v>1</v>
      </c>
      <c r="BB308" s="798">
        <f t="shared" si="304"/>
        <v>1</v>
      </c>
      <c r="BC308" s="798">
        <f t="shared" si="304"/>
        <v>1</v>
      </c>
      <c r="BD308" s="798">
        <f t="shared" si="304"/>
        <v>1</v>
      </c>
      <c r="BE308" s="798">
        <f t="shared" si="304"/>
        <v>1</v>
      </c>
      <c r="BF308" s="798">
        <f t="shared" si="304"/>
        <v>1</v>
      </c>
      <c r="BG308" s="798">
        <f t="shared" si="304"/>
        <v>1</v>
      </c>
      <c r="BH308" s="798">
        <f t="shared" si="304"/>
        <v>1</v>
      </c>
      <c r="BI308" s="798">
        <f t="shared" si="304"/>
        <v>1</v>
      </c>
      <c r="BJ308" s="798">
        <f t="shared" si="304"/>
        <v>1</v>
      </c>
      <c r="BK308" s="798">
        <f t="shared" si="304"/>
        <v>1</v>
      </c>
      <c r="BL308" s="765"/>
      <c r="BM308" s="817"/>
      <c r="BN308" s="817"/>
    </row>
    <row r="309" hidden="1">
      <c r="A309" s="765"/>
      <c r="B309" s="765"/>
      <c r="C309" s="765"/>
      <c r="D309" s="765"/>
      <c r="E309" s="765"/>
      <c r="F309" s="765"/>
      <c r="G309" s="765"/>
      <c r="H309" s="765"/>
      <c r="I309" s="765">
        <f t="shared" si="17"/>
        <v>298</v>
      </c>
      <c r="J309" s="763">
        <f t="shared" si="5"/>
        <v>1799668730886</v>
      </c>
      <c r="K309" s="796">
        <f t="shared" si="7"/>
        <v>0.38279</v>
      </c>
      <c r="L309" s="796">
        <v>5.0E-4</v>
      </c>
      <c r="M309" s="763">
        <v>2.05207380944799E12</v>
      </c>
      <c r="N309" s="797">
        <f t="shared" si="8"/>
        <v>0</v>
      </c>
      <c r="O309" s="798">
        <f t="shared" ref="O309:BK309" si="305">FLOOR(MIN((((N("value of ELS upgrade")+N$8*($K309-$K308))*(N("Check checkbox")+(IF($G$6=TRUE,$G$7,$G$8))/$G$8))/(N("ROI of ELS and multiply by 2 if ELS is 1:1")+IF($G$12 = True, 2, 1) * $J309))/((N("difference in ELS+ and the cost of it")+(($K308*O$8)-($K308*N$8)) / O$7)),(N("MIN lets it return 0 or 1 after floored")+1)),1)</f>
        <v>0</v>
      </c>
      <c r="P309" s="798">
        <f t="shared" si="305"/>
        <v>0</v>
      </c>
      <c r="Q309" s="798">
        <f t="shared" si="305"/>
        <v>0</v>
      </c>
      <c r="R309" s="798">
        <f t="shared" si="305"/>
        <v>0</v>
      </c>
      <c r="S309" s="798">
        <f t="shared" si="305"/>
        <v>0</v>
      </c>
      <c r="T309" s="798">
        <f t="shared" si="305"/>
        <v>0</v>
      </c>
      <c r="U309" s="798">
        <f t="shared" si="305"/>
        <v>0</v>
      </c>
      <c r="V309" s="798">
        <f t="shared" si="305"/>
        <v>0</v>
      </c>
      <c r="W309" s="798">
        <f t="shared" si="305"/>
        <v>1</v>
      </c>
      <c r="X309" s="798">
        <f t="shared" si="305"/>
        <v>1</v>
      </c>
      <c r="Y309" s="798">
        <f t="shared" si="305"/>
        <v>1</v>
      </c>
      <c r="Z309" s="798">
        <f t="shared" si="305"/>
        <v>1</v>
      </c>
      <c r="AA309" s="798">
        <f t="shared" si="305"/>
        <v>1</v>
      </c>
      <c r="AB309" s="798">
        <f t="shared" si="305"/>
        <v>1</v>
      </c>
      <c r="AC309" s="798">
        <f t="shared" si="305"/>
        <v>1</v>
      </c>
      <c r="AD309" s="798">
        <f t="shared" si="305"/>
        <v>1</v>
      </c>
      <c r="AE309" s="798">
        <f t="shared" si="305"/>
        <v>1</v>
      </c>
      <c r="AF309" s="798">
        <f t="shared" si="305"/>
        <v>1</v>
      </c>
      <c r="AG309" s="798">
        <f t="shared" si="305"/>
        <v>1</v>
      </c>
      <c r="AH309" s="798">
        <f t="shared" si="305"/>
        <v>1</v>
      </c>
      <c r="AI309" s="798">
        <f t="shared" si="305"/>
        <v>1</v>
      </c>
      <c r="AJ309" s="798">
        <f t="shared" si="305"/>
        <v>1</v>
      </c>
      <c r="AK309" s="798">
        <f t="shared" si="305"/>
        <v>1</v>
      </c>
      <c r="AL309" s="798">
        <f t="shared" si="305"/>
        <v>1</v>
      </c>
      <c r="AM309" s="798">
        <f t="shared" si="305"/>
        <v>1</v>
      </c>
      <c r="AN309" s="798">
        <f t="shared" si="305"/>
        <v>1</v>
      </c>
      <c r="AO309" s="798">
        <f t="shared" si="305"/>
        <v>1</v>
      </c>
      <c r="AP309" s="798">
        <f t="shared" si="305"/>
        <v>1</v>
      </c>
      <c r="AQ309" s="798">
        <f t="shared" si="305"/>
        <v>1</v>
      </c>
      <c r="AR309" s="798">
        <f t="shared" si="305"/>
        <v>1</v>
      </c>
      <c r="AS309" s="798">
        <f t="shared" si="305"/>
        <v>1</v>
      </c>
      <c r="AT309" s="798">
        <f t="shared" si="305"/>
        <v>1</v>
      </c>
      <c r="AU309" s="798">
        <f t="shared" si="305"/>
        <v>1</v>
      </c>
      <c r="AV309" s="798">
        <f t="shared" si="305"/>
        <v>1</v>
      </c>
      <c r="AW309" s="798">
        <f t="shared" si="305"/>
        <v>1</v>
      </c>
      <c r="AX309" s="798">
        <f t="shared" si="305"/>
        <v>1</v>
      </c>
      <c r="AY309" s="798">
        <f t="shared" si="305"/>
        <v>1</v>
      </c>
      <c r="AZ309" s="798">
        <f t="shared" si="305"/>
        <v>1</v>
      </c>
      <c r="BA309" s="798">
        <f t="shared" si="305"/>
        <v>1</v>
      </c>
      <c r="BB309" s="798">
        <f t="shared" si="305"/>
        <v>1</v>
      </c>
      <c r="BC309" s="798">
        <f t="shared" si="305"/>
        <v>1</v>
      </c>
      <c r="BD309" s="798">
        <f t="shared" si="305"/>
        <v>1</v>
      </c>
      <c r="BE309" s="798">
        <f t="shared" si="305"/>
        <v>1</v>
      </c>
      <c r="BF309" s="798">
        <f t="shared" si="305"/>
        <v>1</v>
      </c>
      <c r="BG309" s="798">
        <f t="shared" si="305"/>
        <v>1</v>
      </c>
      <c r="BH309" s="798">
        <f t="shared" si="305"/>
        <v>1</v>
      </c>
      <c r="BI309" s="798">
        <f t="shared" si="305"/>
        <v>1</v>
      </c>
      <c r="BJ309" s="798">
        <f t="shared" si="305"/>
        <v>1</v>
      </c>
      <c r="BK309" s="798">
        <f t="shared" si="305"/>
        <v>1</v>
      </c>
      <c r="BL309" s="765"/>
      <c r="BM309" s="817"/>
      <c r="BN309" s="817"/>
    </row>
    <row r="310" hidden="1">
      <c r="A310" s="765"/>
      <c r="B310" s="765"/>
      <c r="C310" s="765"/>
      <c r="D310" s="765"/>
      <c r="E310" s="765"/>
      <c r="F310" s="765"/>
      <c r="G310" s="765"/>
      <c r="H310" s="765"/>
      <c r="I310" s="765">
        <f t="shared" si="17"/>
        <v>299</v>
      </c>
      <c r="J310" s="763">
        <f t="shared" si="5"/>
        <v>1807307247063</v>
      </c>
      <c r="K310" s="796">
        <f t="shared" si="7"/>
        <v>0.38329</v>
      </c>
      <c r="L310" s="796">
        <v>5.0E-4</v>
      </c>
      <c r="M310" s="763">
        <v>2.0607836340513E12</v>
      </c>
      <c r="N310" s="797">
        <f t="shared" si="8"/>
        <v>0</v>
      </c>
      <c r="O310" s="798">
        <f t="shared" ref="O310:BK310" si="306">FLOOR(MIN((((N("value of ELS upgrade")+N$8*($K310-$K309))*(N("Check checkbox")+(IF($G$6=TRUE,$G$7,$G$8))/$G$8))/(N("ROI of ELS and multiply by 2 if ELS is 1:1")+IF($G$12 = True, 2, 1) * $J310))/((N("difference in ELS+ and the cost of it")+(($K309*O$8)-($K309*N$8)) / O$7)),(N("MIN lets it return 0 or 1 after floored")+1)),1)</f>
        <v>0</v>
      </c>
      <c r="P310" s="798">
        <f t="shared" si="306"/>
        <v>0</v>
      </c>
      <c r="Q310" s="798">
        <f t="shared" si="306"/>
        <v>0</v>
      </c>
      <c r="R310" s="798">
        <f t="shared" si="306"/>
        <v>0</v>
      </c>
      <c r="S310" s="798">
        <f t="shared" si="306"/>
        <v>0</v>
      </c>
      <c r="T310" s="798">
        <f t="shared" si="306"/>
        <v>0</v>
      </c>
      <c r="U310" s="798">
        <f t="shared" si="306"/>
        <v>0</v>
      </c>
      <c r="V310" s="798">
        <f t="shared" si="306"/>
        <v>0</v>
      </c>
      <c r="W310" s="798">
        <f t="shared" si="306"/>
        <v>1</v>
      </c>
      <c r="X310" s="798">
        <f t="shared" si="306"/>
        <v>1</v>
      </c>
      <c r="Y310" s="798">
        <f t="shared" si="306"/>
        <v>1</v>
      </c>
      <c r="Z310" s="798">
        <f t="shared" si="306"/>
        <v>1</v>
      </c>
      <c r="AA310" s="798">
        <f t="shared" si="306"/>
        <v>1</v>
      </c>
      <c r="AB310" s="798">
        <f t="shared" si="306"/>
        <v>1</v>
      </c>
      <c r="AC310" s="798">
        <f t="shared" si="306"/>
        <v>1</v>
      </c>
      <c r="AD310" s="798">
        <f t="shared" si="306"/>
        <v>1</v>
      </c>
      <c r="AE310" s="798">
        <f t="shared" si="306"/>
        <v>1</v>
      </c>
      <c r="AF310" s="798">
        <f t="shared" si="306"/>
        <v>1</v>
      </c>
      <c r="AG310" s="798">
        <f t="shared" si="306"/>
        <v>1</v>
      </c>
      <c r="AH310" s="798">
        <f t="shared" si="306"/>
        <v>1</v>
      </c>
      <c r="AI310" s="798">
        <f t="shared" si="306"/>
        <v>1</v>
      </c>
      <c r="AJ310" s="798">
        <f t="shared" si="306"/>
        <v>1</v>
      </c>
      <c r="AK310" s="798">
        <f t="shared" si="306"/>
        <v>1</v>
      </c>
      <c r="AL310" s="798">
        <f t="shared" si="306"/>
        <v>1</v>
      </c>
      <c r="AM310" s="798">
        <f t="shared" si="306"/>
        <v>1</v>
      </c>
      <c r="AN310" s="798">
        <f t="shared" si="306"/>
        <v>1</v>
      </c>
      <c r="AO310" s="798">
        <f t="shared" si="306"/>
        <v>1</v>
      </c>
      <c r="AP310" s="798">
        <f t="shared" si="306"/>
        <v>1</v>
      </c>
      <c r="AQ310" s="798">
        <f t="shared" si="306"/>
        <v>1</v>
      </c>
      <c r="AR310" s="798">
        <f t="shared" si="306"/>
        <v>1</v>
      </c>
      <c r="AS310" s="798">
        <f t="shared" si="306"/>
        <v>1</v>
      </c>
      <c r="AT310" s="798">
        <f t="shared" si="306"/>
        <v>1</v>
      </c>
      <c r="AU310" s="798">
        <f t="shared" si="306"/>
        <v>1</v>
      </c>
      <c r="AV310" s="798">
        <f t="shared" si="306"/>
        <v>1</v>
      </c>
      <c r="AW310" s="798">
        <f t="shared" si="306"/>
        <v>1</v>
      </c>
      <c r="AX310" s="798">
        <f t="shared" si="306"/>
        <v>1</v>
      </c>
      <c r="AY310" s="798">
        <f t="shared" si="306"/>
        <v>1</v>
      </c>
      <c r="AZ310" s="798">
        <f t="shared" si="306"/>
        <v>1</v>
      </c>
      <c r="BA310" s="798">
        <f t="shared" si="306"/>
        <v>1</v>
      </c>
      <c r="BB310" s="798">
        <f t="shared" si="306"/>
        <v>1</v>
      </c>
      <c r="BC310" s="798">
        <f t="shared" si="306"/>
        <v>1</v>
      </c>
      <c r="BD310" s="798">
        <f t="shared" si="306"/>
        <v>1</v>
      </c>
      <c r="BE310" s="798">
        <f t="shared" si="306"/>
        <v>1</v>
      </c>
      <c r="BF310" s="798">
        <f t="shared" si="306"/>
        <v>1</v>
      </c>
      <c r="BG310" s="798">
        <f t="shared" si="306"/>
        <v>1</v>
      </c>
      <c r="BH310" s="798">
        <f t="shared" si="306"/>
        <v>1</v>
      </c>
      <c r="BI310" s="798">
        <f t="shared" si="306"/>
        <v>1</v>
      </c>
      <c r="BJ310" s="798">
        <f t="shared" si="306"/>
        <v>1</v>
      </c>
      <c r="BK310" s="798">
        <f t="shared" si="306"/>
        <v>1</v>
      </c>
      <c r="BL310" s="765"/>
      <c r="BM310" s="817"/>
      <c r="BN310" s="817"/>
    </row>
    <row r="311" hidden="1">
      <c r="A311" s="765"/>
      <c r="B311" s="765"/>
      <c r="C311" s="765"/>
      <c r="D311" s="765"/>
      <c r="E311" s="765"/>
      <c r="F311" s="765"/>
      <c r="G311" s="765"/>
      <c r="H311" s="765"/>
      <c r="I311" s="765">
        <f t="shared" si="17"/>
        <v>300</v>
      </c>
      <c r="J311" s="763">
        <f t="shared" si="5"/>
        <v>1814967054665</v>
      </c>
      <c r="K311" s="796">
        <f t="shared" si="7"/>
        <v>0.38379</v>
      </c>
      <c r="L311" s="796">
        <v>5.0E-4</v>
      </c>
      <c r="M311" s="763">
        <v>2.06951773621952E12</v>
      </c>
      <c r="N311" s="797">
        <f t="shared" si="8"/>
        <v>0</v>
      </c>
      <c r="O311" s="798">
        <f t="shared" ref="O311:BK311" si="307">FLOOR(MIN((((N("value of ELS upgrade")+N$8*($K311-$K310))*(N("Check checkbox")+(IF($G$6=TRUE,$G$7,$G$8))/$G$8))/(N("ROI of ELS and multiply by 2 if ELS is 1:1")+IF($G$12 = True, 2, 1) * $J311))/((N("difference in ELS+ and the cost of it")+(($K310*O$8)-($K310*N$8)) / O$7)),(N("MIN lets it return 0 or 1 after floored")+1)),1)</f>
        <v>0</v>
      </c>
      <c r="P311" s="798">
        <f t="shared" si="307"/>
        <v>0</v>
      </c>
      <c r="Q311" s="798">
        <f t="shared" si="307"/>
        <v>0</v>
      </c>
      <c r="R311" s="798">
        <f t="shared" si="307"/>
        <v>0</v>
      </c>
      <c r="S311" s="798">
        <f t="shared" si="307"/>
        <v>0</v>
      </c>
      <c r="T311" s="798">
        <f t="shared" si="307"/>
        <v>0</v>
      </c>
      <c r="U311" s="798">
        <f t="shared" si="307"/>
        <v>0</v>
      </c>
      <c r="V311" s="798">
        <f t="shared" si="307"/>
        <v>0</v>
      </c>
      <c r="W311" s="798">
        <f t="shared" si="307"/>
        <v>1</v>
      </c>
      <c r="X311" s="798">
        <f t="shared" si="307"/>
        <v>1</v>
      </c>
      <c r="Y311" s="798">
        <f t="shared" si="307"/>
        <v>1</v>
      </c>
      <c r="Z311" s="798">
        <f t="shared" si="307"/>
        <v>1</v>
      </c>
      <c r="AA311" s="798">
        <f t="shared" si="307"/>
        <v>1</v>
      </c>
      <c r="AB311" s="798">
        <f t="shared" si="307"/>
        <v>1</v>
      </c>
      <c r="AC311" s="798">
        <f t="shared" si="307"/>
        <v>1</v>
      </c>
      <c r="AD311" s="798">
        <f t="shared" si="307"/>
        <v>1</v>
      </c>
      <c r="AE311" s="798">
        <f t="shared" si="307"/>
        <v>1</v>
      </c>
      <c r="AF311" s="798">
        <f t="shared" si="307"/>
        <v>1</v>
      </c>
      <c r="AG311" s="798">
        <f t="shared" si="307"/>
        <v>1</v>
      </c>
      <c r="AH311" s="798">
        <f t="shared" si="307"/>
        <v>1</v>
      </c>
      <c r="AI311" s="798">
        <f t="shared" si="307"/>
        <v>1</v>
      </c>
      <c r="AJ311" s="798">
        <f t="shared" si="307"/>
        <v>1</v>
      </c>
      <c r="AK311" s="798">
        <f t="shared" si="307"/>
        <v>1</v>
      </c>
      <c r="AL311" s="798">
        <f t="shared" si="307"/>
        <v>1</v>
      </c>
      <c r="AM311" s="798">
        <f t="shared" si="307"/>
        <v>1</v>
      </c>
      <c r="AN311" s="798">
        <f t="shared" si="307"/>
        <v>1</v>
      </c>
      <c r="AO311" s="798">
        <f t="shared" si="307"/>
        <v>1</v>
      </c>
      <c r="AP311" s="798">
        <f t="shared" si="307"/>
        <v>1</v>
      </c>
      <c r="AQ311" s="798">
        <f t="shared" si="307"/>
        <v>1</v>
      </c>
      <c r="AR311" s="798">
        <f t="shared" si="307"/>
        <v>1</v>
      </c>
      <c r="AS311" s="798">
        <f t="shared" si="307"/>
        <v>1</v>
      </c>
      <c r="AT311" s="798">
        <f t="shared" si="307"/>
        <v>1</v>
      </c>
      <c r="AU311" s="798">
        <f t="shared" si="307"/>
        <v>1</v>
      </c>
      <c r="AV311" s="798">
        <f t="shared" si="307"/>
        <v>1</v>
      </c>
      <c r="AW311" s="798">
        <f t="shared" si="307"/>
        <v>1</v>
      </c>
      <c r="AX311" s="798">
        <f t="shared" si="307"/>
        <v>1</v>
      </c>
      <c r="AY311" s="798">
        <f t="shared" si="307"/>
        <v>1</v>
      </c>
      <c r="AZ311" s="798">
        <f t="shared" si="307"/>
        <v>1</v>
      </c>
      <c r="BA311" s="798">
        <f t="shared" si="307"/>
        <v>1</v>
      </c>
      <c r="BB311" s="798">
        <f t="shared" si="307"/>
        <v>1</v>
      </c>
      <c r="BC311" s="798">
        <f t="shared" si="307"/>
        <v>1</v>
      </c>
      <c r="BD311" s="798">
        <f t="shared" si="307"/>
        <v>1</v>
      </c>
      <c r="BE311" s="798">
        <f t="shared" si="307"/>
        <v>1</v>
      </c>
      <c r="BF311" s="798">
        <f t="shared" si="307"/>
        <v>1</v>
      </c>
      <c r="BG311" s="798">
        <f t="shared" si="307"/>
        <v>1</v>
      </c>
      <c r="BH311" s="798">
        <f t="shared" si="307"/>
        <v>1</v>
      </c>
      <c r="BI311" s="798">
        <f t="shared" si="307"/>
        <v>1</v>
      </c>
      <c r="BJ311" s="798">
        <f t="shared" si="307"/>
        <v>1</v>
      </c>
      <c r="BK311" s="798">
        <f t="shared" si="307"/>
        <v>1</v>
      </c>
      <c r="BL311" s="765"/>
      <c r="BM311" s="817"/>
      <c r="BN311" s="817"/>
    </row>
    <row r="312" hidden="1">
      <c r="A312" s="765"/>
      <c r="B312" s="765"/>
      <c r="C312" s="765"/>
      <c r="D312" s="765"/>
      <c r="E312" s="765"/>
      <c r="F312" s="765"/>
      <c r="G312" s="765"/>
      <c r="H312" s="765"/>
      <c r="I312" s="765">
        <f t="shared" si="17"/>
        <v>301</v>
      </c>
      <c r="J312" s="763">
        <f t="shared" si="5"/>
        <v>1822648272416</v>
      </c>
      <c r="K312" s="796">
        <f t="shared" si="7"/>
        <v>0.38429</v>
      </c>
      <c r="L312" s="796">
        <v>5.0E-4</v>
      </c>
      <c r="M312" s="763">
        <v>2.07827625132942E12</v>
      </c>
      <c r="N312" s="797">
        <f t="shared" si="8"/>
        <v>0</v>
      </c>
      <c r="O312" s="798">
        <f t="shared" ref="O312:BK312" si="308">FLOOR(MIN((((N("value of ELS upgrade")+N$8*($K312-$K311))*(N("Check checkbox")+(IF($G$6=TRUE,$G$7,$G$8))/$G$8))/(N("ROI of ELS and multiply by 2 if ELS is 1:1")+IF($G$12 = True, 2, 1) * $J312))/((N("difference in ELS+ and the cost of it")+(($K311*O$8)-($K311*N$8)) / O$7)),(N("MIN lets it return 0 or 1 after floored")+1)),1)</f>
        <v>0</v>
      </c>
      <c r="P312" s="798">
        <f t="shared" si="308"/>
        <v>0</v>
      </c>
      <c r="Q312" s="798">
        <f t="shared" si="308"/>
        <v>0</v>
      </c>
      <c r="R312" s="798">
        <f t="shared" si="308"/>
        <v>0</v>
      </c>
      <c r="S312" s="798">
        <f t="shared" si="308"/>
        <v>0</v>
      </c>
      <c r="T312" s="798">
        <f t="shared" si="308"/>
        <v>0</v>
      </c>
      <c r="U312" s="798">
        <f t="shared" si="308"/>
        <v>0</v>
      </c>
      <c r="V312" s="798">
        <f t="shared" si="308"/>
        <v>0</v>
      </c>
      <c r="W312" s="798">
        <f t="shared" si="308"/>
        <v>1</v>
      </c>
      <c r="X312" s="798">
        <f t="shared" si="308"/>
        <v>1</v>
      </c>
      <c r="Y312" s="798">
        <f t="shared" si="308"/>
        <v>1</v>
      </c>
      <c r="Z312" s="798">
        <f t="shared" si="308"/>
        <v>1</v>
      </c>
      <c r="AA312" s="798">
        <f t="shared" si="308"/>
        <v>1</v>
      </c>
      <c r="AB312" s="798">
        <f t="shared" si="308"/>
        <v>1</v>
      </c>
      <c r="AC312" s="798">
        <f t="shared" si="308"/>
        <v>1</v>
      </c>
      <c r="AD312" s="798">
        <f t="shared" si="308"/>
        <v>1</v>
      </c>
      <c r="AE312" s="798">
        <f t="shared" si="308"/>
        <v>1</v>
      </c>
      <c r="AF312" s="798">
        <f t="shared" si="308"/>
        <v>1</v>
      </c>
      <c r="AG312" s="798">
        <f t="shared" si="308"/>
        <v>1</v>
      </c>
      <c r="AH312" s="798">
        <f t="shared" si="308"/>
        <v>1</v>
      </c>
      <c r="AI312" s="798">
        <f t="shared" si="308"/>
        <v>1</v>
      </c>
      <c r="AJ312" s="798">
        <f t="shared" si="308"/>
        <v>1</v>
      </c>
      <c r="AK312" s="798">
        <f t="shared" si="308"/>
        <v>1</v>
      </c>
      <c r="AL312" s="798">
        <f t="shared" si="308"/>
        <v>1</v>
      </c>
      <c r="AM312" s="798">
        <f t="shared" si="308"/>
        <v>1</v>
      </c>
      <c r="AN312" s="798">
        <f t="shared" si="308"/>
        <v>1</v>
      </c>
      <c r="AO312" s="798">
        <f t="shared" si="308"/>
        <v>1</v>
      </c>
      <c r="AP312" s="798">
        <f t="shared" si="308"/>
        <v>1</v>
      </c>
      <c r="AQ312" s="798">
        <f t="shared" si="308"/>
        <v>1</v>
      </c>
      <c r="AR312" s="798">
        <f t="shared" si="308"/>
        <v>1</v>
      </c>
      <c r="AS312" s="798">
        <f t="shared" si="308"/>
        <v>1</v>
      </c>
      <c r="AT312" s="798">
        <f t="shared" si="308"/>
        <v>1</v>
      </c>
      <c r="AU312" s="798">
        <f t="shared" si="308"/>
        <v>1</v>
      </c>
      <c r="AV312" s="798">
        <f t="shared" si="308"/>
        <v>1</v>
      </c>
      <c r="AW312" s="798">
        <f t="shared" si="308"/>
        <v>1</v>
      </c>
      <c r="AX312" s="798">
        <f t="shared" si="308"/>
        <v>1</v>
      </c>
      <c r="AY312" s="798">
        <f t="shared" si="308"/>
        <v>1</v>
      </c>
      <c r="AZ312" s="798">
        <f t="shared" si="308"/>
        <v>1</v>
      </c>
      <c r="BA312" s="798">
        <f t="shared" si="308"/>
        <v>1</v>
      </c>
      <c r="BB312" s="798">
        <f t="shared" si="308"/>
        <v>1</v>
      </c>
      <c r="BC312" s="798">
        <f t="shared" si="308"/>
        <v>1</v>
      </c>
      <c r="BD312" s="798">
        <f t="shared" si="308"/>
        <v>1</v>
      </c>
      <c r="BE312" s="798">
        <f t="shared" si="308"/>
        <v>1</v>
      </c>
      <c r="BF312" s="798">
        <f t="shared" si="308"/>
        <v>1</v>
      </c>
      <c r="BG312" s="798">
        <f t="shared" si="308"/>
        <v>1</v>
      </c>
      <c r="BH312" s="798">
        <f t="shared" si="308"/>
        <v>1</v>
      </c>
      <c r="BI312" s="798">
        <f t="shared" si="308"/>
        <v>1</v>
      </c>
      <c r="BJ312" s="798">
        <f t="shared" si="308"/>
        <v>1</v>
      </c>
      <c r="BK312" s="798">
        <f t="shared" si="308"/>
        <v>1</v>
      </c>
      <c r="BL312" s="765"/>
      <c r="BM312" s="817"/>
      <c r="BN312" s="817"/>
    </row>
    <row r="313" hidden="1">
      <c r="A313" s="765"/>
      <c r="B313" s="765"/>
      <c r="C313" s="765"/>
      <c r="D313" s="765"/>
      <c r="E313" s="765"/>
      <c r="F313" s="765"/>
      <c r="G313" s="765"/>
      <c r="H313" s="765"/>
      <c r="I313" s="765">
        <f t="shared" si="17"/>
        <v>302</v>
      </c>
      <c r="J313" s="763">
        <f t="shared" si="5"/>
        <v>1830350979467</v>
      </c>
      <c r="K313" s="796">
        <f t="shared" si="7"/>
        <v>0.38479</v>
      </c>
      <c r="L313" s="796">
        <v>5.0E-4</v>
      </c>
      <c r="M313" s="763">
        <v>2.08705926963215E12</v>
      </c>
      <c r="N313" s="797">
        <f t="shared" si="8"/>
        <v>0</v>
      </c>
      <c r="O313" s="798">
        <f t="shared" ref="O313:BK313" si="309">FLOOR(MIN((((N("value of ELS upgrade")+N$8*($K313-$K312))*(N("Check checkbox")+(IF($G$6=TRUE,$G$7,$G$8))/$G$8))/(N("ROI of ELS and multiply by 2 if ELS is 1:1")+IF($G$12 = True, 2, 1) * $J313))/((N("difference in ELS+ and the cost of it")+(($K312*O$8)-($K312*N$8)) / O$7)),(N("MIN lets it return 0 or 1 after floored")+1)),1)</f>
        <v>0</v>
      </c>
      <c r="P313" s="798">
        <f t="shared" si="309"/>
        <v>0</v>
      </c>
      <c r="Q313" s="798">
        <f t="shared" si="309"/>
        <v>0</v>
      </c>
      <c r="R313" s="798">
        <f t="shared" si="309"/>
        <v>0</v>
      </c>
      <c r="S313" s="798">
        <f t="shared" si="309"/>
        <v>0</v>
      </c>
      <c r="T313" s="798">
        <f t="shared" si="309"/>
        <v>0</v>
      </c>
      <c r="U313" s="798">
        <f t="shared" si="309"/>
        <v>0</v>
      </c>
      <c r="V313" s="798">
        <f t="shared" si="309"/>
        <v>0</v>
      </c>
      <c r="W313" s="798">
        <f t="shared" si="309"/>
        <v>1</v>
      </c>
      <c r="X313" s="798">
        <f t="shared" si="309"/>
        <v>1</v>
      </c>
      <c r="Y313" s="798">
        <f t="shared" si="309"/>
        <v>1</v>
      </c>
      <c r="Z313" s="798">
        <f t="shared" si="309"/>
        <v>1</v>
      </c>
      <c r="AA313" s="798">
        <f t="shared" si="309"/>
        <v>1</v>
      </c>
      <c r="AB313" s="798">
        <f t="shared" si="309"/>
        <v>1</v>
      </c>
      <c r="AC313" s="798">
        <f t="shared" si="309"/>
        <v>1</v>
      </c>
      <c r="AD313" s="798">
        <f t="shared" si="309"/>
        <v>1</v>
      </c>
      <c r="AE313" s="798">
        <f t="shared" si="309"/>
        <v>1</v>
      </c>
      <c r="AF313" s="798">
        <f t="shared" si="309"/>
        <v>1</v>
      </c>
      <c r="AG313" s="798">
        <f t="shared" si="309"/>
        <v>1</v>
      </c>
      <c r="AH313" s="798">
        <f t="shared" si="309"/>
        <v>1</v>
      </c>
      <c r="AI313" s="798">
        <f t="shared" si="309"/>
        <v>1</v>
      </c>
      <c r="AJ313" s="798">
        <f t="shared" si="309"/>
        <v>1</v>
      </c>
      <c r="AK313" s="798">
        <f t="shared" si="309"/>
        <v>1</v>
      </c>
      <c r="AL313" s="798">
        <f t="shared" si="309"/>
        <v>1</v>
      </c>
      <c r="AM313" s="798">
        <f t="shared" si="309"/>
        <v>1</v>
      </c>
      <c r="AN313" s="798">
        <f t="shared" si="309"/>
        <v>1</v>
      </c>
      <c r="AO313" s="798">
        <f t="shared" si="309"/>
        <v>1</v>
      </c>
      <c r="AP313" s="798">
        <f t="shared" si="309"/>
        <v>1</v>
      </c>
      <c r="AQ313" s="798">
        <f t="shared" si="309"/>
        <v>1</v>
      </c>
      <c r="AR313" s="798">
        <f t="shared" si="309"/>
        <v>1</v>
      </c>
      <c r="AS313" s="798">
        <f t="shared" si="309"/>
        <v>1</v>
      </c>
      <c r="AT313" s="798">
        <f t="shared" si="309"/>
        <v>1</v>
      </c>
      <c r="AU313" s="798">
        <f t="shared" si="309"/>
        <v>1</v>
      </c>
      <c r="AV313" s="798">
        <f t="shared" si="309"/>
        <v>1</v>
      </c>
      <c r="AW313" s="798">
        <f t="shared" si="309"/>
        <v>1</v>
      </c>
      <c r="AX313" s="798">
        <f t="shared" si="309"/>
        <v>1</v>
      </c>
      <c r="AY313" s="798">
        <f t="shared" si="309"/>
        <v>1</v>
      </c>
      <c r="AZ313" s="798">
        <f t="shared" si="309"/>
        <v>1</v>
      </c>
      <c r="BA313" s="798">
        <f t="shared" si="309"/>
        <v>1</v>
      </c>
      <c r="BB313" s="798">
        <f t="shared" si="309"/>
        <v>1</v>
      </c>
      <c r="BC313" s="798">
        <f t="shared" si="309"/>
        <v>1</v>
      </c>
      <c r="BD313" s="798">
        <f t="shared" si="309"/>
        <v>1</v>
      </c>
      <c r="BE313" s="798">
        <f t="shared" si="309"/>
        <v>1</v>
      </c>
      <c r="BF313" s="798">
        <f t="shared" si="309"/>
        <v>1</v>
      </c>
      <c r="BG313" s="798">
        <f t="shared" si="309"/>
        <v>1</v>
      </c>
      <c r="BH313" s="798">
        <f t="shared" si="309"/>
        <v>1</v>
      </c>
      <c r="BI313" s="798">
        <f t="shared" si="309"/>
        <v>1</v>
      </c>
      <c r="BJ313" s="798">
        <f t="shared" si="309"/>
        <v>1</v>
      </c>
      <c r="BK313" s="798">
        <f t="shared" si="309"/>
        <v>1</v>
      </c>
      <c r="BL313" s="765"/>
      <c r="BM313" s="817"/>
      <c r="BN313" s="817"/>
    </row>
    <row r="314" hidden="1">
      <c r="A314" s="765"/>
      <c r="B314" s="765"/>
      <c r="C314" s="765"/>
      <c r="D314" s="765"/>
      <c r="E314" s="765"/>
      <c r="F314" s="765"/>
      <c r="G314" s="765"/>
      <c r="H314" s="765"/>
      <c r="I314" s="765">
        <f t="shared" si="17"/>
        <v>303</v>
      </c>
      <c r="J314" s="763">
        <f t="shared" si="5"/>
        <v>1838075314332</v>
      </c>
      <c r="K314" s="796">
        <f t="shared" si="7"/>
        <v>0.38529</v>
      </c>
      <c r="L314" s="796">
        <v>5.0E-4</v>
      </c>
      <c r="M314" s="763">
        <v>2.09586694906728E12</v>
      </c>
      <c r="N314" s="797">
        <f t="shared" si="8"/>
        <v>0</v>
      </c>
      <c r="O314" s="798">
        <f t="shared" ref="O314:BK314" si="310">FLOOR(MIN((((N("value of ELS upgrade")+N$8*($K314-$K313))*(N("Check checkbox")+(IF($G$6=TRUE,$G$7,$G$8))/$G$8))/(N("ROI of ELS and multiply by 2 if ELS is 1:1")+IF($G$12 = True, 2, 1) * $J314))/((N("difference in ELS+ and the cost of it")+(($K313*O$8)-($K313*N$8)) / O$7)),(N("MIN lets it return 0 or 1 after floored")+1)),1)</f>
        <v>0</v>
      </c>
      <c r="P314" s="798">
        <f t="shared" si="310"/>
        <v>0</v>
      </c>
      <c r="Q314" s="798">
        <f t="shared" si="310"/>
        <v>0</v>
      </c>
      <c r="R314" s="798">
        <f t="shared" si="310"/>
        <v>0</v>
      </c>
      <c r="S314" s="798">
        <f t="shared" si="310"/>
        <v>0</v>
      </c>
      <c r="T314" s="798">
        <f t="shared" si="310"/>
        <v>0</v>
      </c>
      <c r="U314" s="798">
        <f t="shared" si="310"/>
        <v>0</v>
      </c>
      <c r="V314" s="798">
        <f t="shared" si="310"/>
        <v>0</v>
      </c>
      <c r="W314" s="798">
        <f t="shared" si="310"/>
        <v>1</v>
      </c>
      <c r="X314" s="798">
        <f t="shared" si="310"/>
        <v>1</v>
      </c>
      <c r="Y314" s="798">
        <f t="shared" si="310"/>
        <v>1</v>
      </c>
      <c r="Z314" s="798">
        <f t="shared" si="310"/>
        <v>1</v>
      </c>
      <c r="AA314" s="798">
        <f t="shared" si="310"/>
        <v>1</v>
      </c>
      <c r="AB314" s="798">
        <f t="shared" si="310"/>
        <v>1</v>
      </c>
      <c r="AC314" s="798">
        <f t="shared" si="310"/>
        <v>1</v>
      </c>
      <c r="AD314" s="798">
        <f t="shared" si="310"/>
        <v>1</v>
      </c>
      <c r="AE314" s="798">
        <f t="shared" si="310"/>
        <v>1</v>
      </c>
      <c r="AF314" s="798">
        <f t="shared" si="310"/>
        <v>1</v>
      </c>
      <c r="AG314" s="798">
        <f t="shared" si="310"/>
        <v>1</v>
      </c>
      <c r="AH314" s="798">
        <f t="shared" si="310"/>
        <v>1</v>
      </c>
      <c r="AI314" s="798">
        <f t="shared" si="310"/>
        <v>1</v>
      </c>
      <c r="AJ314" s="798">
        <f t="shared" si="310"/>
        <v>1</v>
      </c>
      <c r="AK314" s="798">
        <f t="shared" si="310"/>
        <v>1</v>
      </c>
      <c r="AL314" s="798">
        <f t="shared" si="310"/>
        <v>1</v>
      </c>
      <c r="AM314" s="798">
        <f t="shared" si="310"/>
        <v>1</v>
      </c>
      <c r="AN314" s="798">
        <f t="shared" si="310"/>
        <v>1</v>
      </c>
      <c r="AO314" s="798">
        <f t="shared" si="310"/>
        <v>1</v>
      </c>
      <c r="AP314" s="798">
        <f t="shared" si="310"/>
        <v>1</v>
      </c>
      <c r="AQ314" s="798">
        <f t="shared" si="310"/>
        <v>1</v>
      </c>
      <c r="AR314" s="798">
        <f t="shared" si="310"/>
        <v>1</v>
      </c>
      <c r="AS314" s="798">
        <f t="shared" si="310"/>
        <v>1</v>
      </c>
      <c r="AT314" s="798">
        <f t="shared" si="310"/>
        <v>1</v>
      </c>
      <c r="AU314" s="798">
        <f t="shared" si="310"/>
        <v>1</v>
      </c>
      <c r="AV314" s="798">
        <f t="shared" si="310"/>
        <v>1</v>
      </c>
      <c r="AW314" s="798">
        <f t="shared" si="310"/>
        <v>1</v>
      </c>
      <c r="AX314" s="798">
        <f t="shared" si="310"/>
        <v>1</v>
      </c>
      <c r="AY314" s="798">
        <f t="shared" si="310"/>
        <v>1</v>
      </c>
      <c r="AZ314" s="798">
        <f t="shared" si="310"/>
        <v>1</v>
      </c>
      <c r="BA314" s="798">
        <f t="shared" si="310"/>
        <v>1</v>
      </c>
      <c r="BB314" s="798">
        <f t="shared" si="310"/>
        <v>1</v>
      </c>
      <c r="BC314" s="798">
        <f t="shared" si="310"/>
        <v>1</v>
      </c>
      <c r="BD314" s="798">
        <f t="shared" si="310"/>
        <v>1</v>
      </c>
      <c r="BE314" s="798">
        <f t="shared" si="310"/>
        <v>1</v>
      </c>
      <c r="BF314" s="798">
        <f t="shared" si="310"/>
        <v>1</v>
      </c>
      <c r="BG314" s="798">
        <f t="shared" si="310"/>
        <v>1</v>
      </c>
      <c r="BH314" s="798">
        <f t="shared" si="310"/>
        <v>1</v>
      </c>
      <c r="BI314" s="798">
        <f t="shared" si="310"/>
        <v>1</v>
      </c>
      <c r="BJ314" s="798">
        <f t="shared" si="310"/>
        <v>1</v>
      </c>
      <c r="BK314" s="798">
        <f t="shared" si="310"/>
        <v>1</v>
      </c>
      <c r="BL314" s="765"/>
      <c r="BM314" s="817"/>
      <c r="BN314" s="817"/>
    </row>
    <row r="315" hidden="1">
      <c r="A315" s="765"/>
      <c r="B315" s="765"/>
      <c r="C315" s="765"/>
      <c r="D315" s="765"/>
      <c r="E315" s="765"/>
      <c r="F315" s="765"/>
      <c r="G315" s="765"/>
      <c r="H315" s="765"/>
      <c r="I315" s="765">
        <f t="shared" si="17"/>
        <v>304</v>
      </c>
      <c r="J315" s="763">
        <f t="shared" si="5"/>
        <v>1845821336372</v>
      </c>
      <c r="K315" s="796">
        <f t="shared" si="7"/>
        <v>0.38579</v>
      </c>
      <c r="L315" s="796">
        <v>5.0E-4</v>
      </c>
      <c r="M315" s="763">
        <v>2.10469935732317E12</v>
      </c>
      <c r="N315" s="797">
        <f t="shared" si="8"/>
        <v>0</v>
      </c>
      <c r="O315" s="798">
        <f t="shared" ref="O315:BK315" si="311">FLOOR(MIN((((N("value of ELS upgrade")+N$8*($K315-$K314))*(N("Check checkbox")+(IF($G$6=TRUE,$G$7,$G$8))/$G$8))/(N("ROI of ELS and multiply by 2 if ELS is 1:1")+IF($G$12 = True, 2, 1) * $J315))/((N("difference in ELS+ and the cost of it")+(($K314*O$8)-($K314*N$8)) / O$7)),(N("MIN lets it return 0 or 1 after floored")+1)),1)</f>
        <v>0</v>
      </c>
      <c r="P315" s="798">
        <f t="shared" si="311"/>
        <v>0</v>
      </c>
      <c r="Q315" s="798">
        <f t="shared" si="311"/>
        <v>0</v>
      </c>
      <c r="R315" s="798">
        <f t="shared" si="311"/>
        <v>0</v>
      </c>
      <c r="S315" s="798">
        <f t="shared" si="311"/>
        <v>0</v>
      </c>
      <c r="T315" s="798">
        <f t="shared" si="311"/>
        <v>0</v>
      </c>
      <c r="U315" s="798">
        <f t="shared" si="311"/>
        <v>0</v>
      </c>
      <c r="V315" s="798">
        <f t="shared" si="311"/>
        <v>0</v>
      </c>
      <c r="W315" s="798">
        <f t="shared" si="311"/>
        <v>1</v>
      </c>
      <c r="X315" s="798">
        <f t="shared" si="311"/>
        <v>1</v>
      </c>
      <c r="Y315" s="798">
        <f t="shared" si="311"/>
        <v>1</v>
      </c>
      <c r="Z315" s="798">
        <f t="shared" si="311"/>
        <v>1</v>
      </c>
      <c r="AA315" s="798">
        <f t="shared" si="311"/>
        <v>1</v>
      </c>
      <c r="AB315" s="798">
        <f t="shared" si="311"/>
        <v>1</v>
      </c>
      <c r="AC315" s="798">
        <f t="shared" si="311"/>
        <v>1</v>
      </c>
      <c r="AD315" s="798">
        <f t="shared" si="311"/>
        <v>1</v>
      </c>
      <c r="AE315" s="798">
        <f t="shared" si="311"/>
        <v>1</v>
      </c>
      <c r="AF315" s="798">
        <f t="shared" si="311"/>
        <v>1</v>
      </c>
      <c r="AG315" s="798">
        <f t="shared" si="311"/>
        <v>1</v>
      </c>
      <c r="AH315" s="798">
        <f t="shared" si="311"/>
        <v>1</v>
      </c>
      <c r="AI315" s="798">
        <f t="shared" si="311"/>
        <v>1</v>
      </c>
      <c r="AJ315" s="798">
        <f t="shared" si="311"/>
        <v>1</v>
      </c>
      <c r="AK315" s="798">
        <f t="shared" si="311"/>
        <v>1</v>
      </c>
      <c r="AL315" s="798">
        <f t="shared" si="311"/>
        <v>1</v>
      </c>
      <c r="AM315" s="798">
        <f t="shared" si="311"/>
        <v>1</v>
      </c>
      <c r="AN315" s="798">
        <f t="shared" si="311"/>
        <v>1</v>
      </c>
      <c r="AO315" s="798">
        <f t="shared" si="311"/>
        <v>1</v>
      </c>
      <c r="AP315" s="798">
        <f t="shared" si="311"/>
        <v>1</v>
      </c>
      <c r="AQ315" s="798">
        <f t="shared" si="311"/>
        <v>1</v>
      </c>
      <c r="AR315" s="798">
        <f t="shared" si="311"/>
        <v>1</v>
      </c>
      <c r="AS315" s="798">
        <f t="shared" si="311"/>
        <v>1</v>
      </c>
      <c r="AT315" s="798">
        <f t="shared" si="311"/>
        <v>1</v>
      </c>
      <c r="AU315" s="798">
        <f t="shared" si="311"/>
        <v>1</v>
      </c>
      <c r="AV315" s="798">
        <f t="shared" si="311"/>
        <v>1</v>
      </c>
      <c r="AW315" s="798">
        <f t="shared" si="311"/>
        <v>1</v>
      </c>
      <c r="AX315" s="798">
        <f t="shared" si="311"/>
        <v>1</v>
      </c>
      <c r="AY315" s="798">
        <f t="shared" si="311"/>
        <v>1</v>
      </c>
      <c r="AZ315" s="798">
        <f t="shared" si="311"/>
        <v>1</v>
      </c>
      <c r="BA315" s="798">
        <f t="shared" si="311"/>
        <v>1</v>
      </c>
      <c r="BB315" s="798">
        <f t="shared" si="311"/>
        <v>1</v>
      </c>
      <c r="BC315" s="798">
        <f t="shared" si="311"/>
        <v>1</v>
      </c>
      <c r="BD315" s="798">
        <f t="shared" si="311"/>
        <v>1</v>
      </c>
      <c r="BE315" s="798">
        <f t="shared" si="311"/>
        <v>1</v>
      </c>
      <c r="BF315" s="798">
        <f t="shared" si="311"/>
        <v>1</v>
      </c>
      <c r="BG315" s="798">
        <f t="shared" si="311"/>
        <v>1</v>
      </c>
      <c r="BH315" s="798">
        <f t="shared" si="311"/>
        <v>1</v>
      </c>
      <c r="BI315" s="798">
        <f t="shared" si="311"/>
        <v>1</v>
      </c>
      <c r="BJ315" s="798">
        <f t="shared" si="311"/>
        <v>1</v>
      </c>
      <c r="BK315" s="798">
        <f t="shared" si="311"/>
        <v>1</v>
      </c>
      <c r="BL315" s="765"/>
      <c r="BM315" s="817"/>
      <c r="BN315" s="817"/>
    </row>
    <row r="316" hidden="1">
      <c r="A316" s="765"/>
      <c r="B316" s="765"/>
      <c r="C316" s="765"/>
      <c r="D316" s="765"/>
      <c r="E316" s="765"/>
      <c r="F316" s="765"/>
      <c r="G316" s="765"/>
      <c r="H316" s="765"/>
      <c r="I316" s="765">
        <f t="shared" si="17"/>
        <v>305</v>
      </c>
      <c r="J316" s="763">
        <f t="shared" si="5"/>
        <v>1853589144526</v>
      </c>
      <c r="K316" s="796">
        <f t="shared" si="7"/>
        <v>0.38629</v>
      </c>
      <c r="L316" s="796">
        <v>5.0E-4</v>
      </c>
      <c r="M316" s="763">
        <v>2.11355660721378E12</v>
      </c>
      <c r="N316" s="797">
        <f t="shared" si="8"/>
        <v>0</v>
      </c>
      <c r="O316" s="798">
        <f t="shared" ref="O316:BK316" si="312">FLOOR(MIN((((N("value of ELS upgrade")+N$8*($K316-$K315))*(N("Check checkbox")+(IF($G$6=TRUE,$G$7,$G$8))/$G$8))/(N("ROI of ELS and multiply by 2 if ELS is 1:1")+IF($G$12 = True, 2, 1) * $J316))/((N("difference in ELS+ and the cost of it")+(($K315*O$8)-($K315*N$8)) / O$7)),(N("MIN lets it return 0 or 1 after floored")+1)),1)</f>
        <v>0</v>
      </c>
      <c r="P316" s="798">
        <f t="shared" si="312"/>
        <v>0</v>
      </c>
      <c r="Q316" s="798">
        <f t="shared" si="312"/>
        <v>0</v>
      </c>
      <c r="R316" s="798">
        <f t="shared" si="312"/>
        <v>0</v>
      </c>
      <c r="S316" s="798">
        <f t="shared" si="312"/>
        <v>0</v>
      </c>
      <c r="T316" s="798">
        <f t="shared" si="312"/>
        <v>0</v>
      </c>
      <c r="U316" s="798">
        <f t="shared" si="312"/>
        <v>0</v>
      </c>
      <c r="V316" s="798">
        <f t="shared" si="312"/>
        <v>0</v>
      </c>
      <c r="W316" s="798">
        <f t="shared" si="312"/>
        <v>1</v>
      </c>
      <c r="X316" s="798">
        <f t="shared" si="312"/>
        <v>1</v>
      </c>
      <c r="Y316" s="798">
        <f t="shared" si="312"/>
        <v>1</v>
      </c>
      <c r="Z316" s="798">
        <f t="shared" si="312"/>
        <v>1</v>
      </c>
      <c r="AA316" s="798">
        <f t="shared" si="312"/>
        <v>1</v>
      </c>
      <c r="AB316" s="798">
        <f t="shared" si="312"/>
        <v>1</v>
      </c>
      <c r="AC316" s="798">
        <f t="shared" si="312"/>
        <v>1</v>
      </c>
      <c r="AD316" s="798">
        <f t="shared" si="312"/>
        <v>1</v>
      </c>
      <c r="AE316" s="798">
        <f t="shared" si="312"/>
        <v>1</v>
      </c>
      <c r="AF316" s="798">
        <f t="shared" si="312"/>
        <v>1</v>
      </c>
      <c r="AG316" s="798">
        <f t="shared" si="312"/>
        <v>1</v>
      </c>
      <c r="AH316" s="798">
        <f t="shared" si="312"/>
        <v>1</v>
      </c>
      <c r="AI316" s="798">
        <f t="shared" si="312"/>
        <v>1</v>
      </c>
      <c r="AJ316" s="798">
        <f t="shared" si="312"/>
        <v>1</v>
      </c>
      <c r="AK316" s="798">
        <f t="shared" si="312"/>
        <v>1</v>
      </c>
      <c r="AL316" s="798">
        <f t="shared" si="312"/>
        <v>1</v>
      </c>
      <c r="AM316" s="798">
        <f t="shared" si="312"/>
        <v>1</v>
      </c>
      <c r="AN316" s="798">
        <f t="shared" si="312"/>
        <v>1</v>
      </c>
      <c r="AO316" s="798">
        <f t="shared" si="312"/>
        <v>1</v>
      </c>
      <c r="AP316" s="798">
        <f t="shared" si="312"/>
        <v>1</v>
      </c>
      <c r="AQ316" s="798">
        <f t="shared" si="312"/>
        <v>1</v>
      </c>
      <c r="AR316" s="798">
        <f t="shared" si="312"/>
        <v>1</v>
      </c>
      <c r="AS316" s="798">
        <f t="shared" si="312"/>
        <v>1</v>
      </c>
      <c r="AT316" s="798">
        <f t="shared" si="312"/>
        <v>1</v>
      </c>
      <c r="AU316" s="798">
        <f t="shared" si="312"/>
        <v>1</v>
      </c>
      <c r="AV316" s="798">
        <f t="shared" si="312"/>
        <v>1</v>
      </c>
      <c r="AW316" s="798">
        <f t="shared" si="312"/>
        <v>1</v>
      </c>
      <c r="AX316" s="798">
        <f t="shared" si="312"/>
        <v>1</v>
      </c>
      <c r="AY316" s="798">
        <f t="shared" si="312"/>
        <v>1</v>
      </c>
      <c r="AZ316" s="798">
        <f t="shared" si="312"/>
        <v>1</v>
      </c>
      <c r="BA316" s="798">
        <f t="shared" si="312"/>
        <v>1</v>
      </c>
      <c r="BB316" s="798">
        <f t="shared" si="312"/>
        <v>1</v>
      </c>
      <c r="BC316" s="798">
        <f t="shared" si="312"/>
        <v>1</v>
      </c>
      <c r="BD316" s="798">
        <f t="shared" si="312"/>
        <v>1</v>
      </c>
      <c r="BE316" s="798">
        <f t="shared" si="312"/>
        <v>1</v>
      </c>
      <c r="BF316" s="798">
        <f t="shared" si="312"/>
        <v>1</v>
      </c>
      <c r="BG316" s="798">
        <f t="shared" si="312"/>
        <v>1</v>
      </c>
      <c r="BH316" s="798">
        <f t="shared" si="312"/>
        <v>1</v>
      </c>
      <c r="BI316" s="798">
        <f t="shared" si="312"/>
        <v>1</v>
      </c>
      <c r="BJ316" s="798">
        <f t="shared" si="312"/>
        <v>1</v>
      </c>
      <c r="BK316" s="798">
        <f t="shared" si="312"/>
        <v>1</v>
      </c>
      <c r="BL316" s="765"/>
      <c r="BM316" s="817"/>
      <c r="BN316" s="817"/>
    </row>
    <row r="317" hidden="1">
      <c r="A317" s="765"/>
      <c r="B317" s="765"/>
      <c r="C317" s="765"/>
      <c r="D317" s="765"/>
      <c r="E317" s="765"/>
      <c r="F317" s="765"/>
      <c r="G317" s="765"/>
      <c r="H317" s="765"/>
      <c r="I317" s="765">
        <f t="shared" si="17"/>
        <v>306</v>
      </c>
      <c r="J317" s="763">
        <f t="shared" si="5"/>
        <v>1861378837732</v>
      </c>
      <c r="K317" s="796">
        <f t="shared" si="7"/>
        <v>0.38679</v>
      </c>
      <c r="L317" s="796">
        <v>5.0E-4</v>
      </c>
      <c r="M317" s="763">
        <v>2.1224388115531E12</v>
      </c>
      <c r="N317" s="797">
        <f t="shared" si="8"/>
        <v>0</v>
      </c>
      <c r="O317" s="798">
        <f t="shared" ref="O317:BK317" si="313">FLOOR(MIN((((N("value of ELS upgrade")+N$8*($K317-$K316))*(N("Check checkbox")+(IF($G$6=TRUE,$G$7,$G$8))/$G$8))/(N("ROI of ELS and multiply by 2 if ELS is 1:1")+IF($G$12 = True, 2, 1) * $J317))/((N("difference in ELS+ and the cost of it")+(($K316*O$8)-($K316*N$8)) / O$7)),(N("MIN lets it return 0 or 1 after floored")+1)),1)</f>
        <v>0</v>
      </c>
      <c r="P317" s="798">
        <f t="shared" si="313"/>
        <v>0</v>
      </c>
      <c r="Q317" s="798">
        <f t="shared" si="313"/>
        <v>0</v>
      </c>
      <c r="R317" s="798">
        <f t="shared" si="313"/>
        <v>0</v>
      </c>
      <c r="S317" s="798">
        <f t="shared" si="313"/>
        <v>0</v>
      </c>
      <c r="T317" s="798">
        <f t="shared" si="313"/>
        <v>0</v>
      </c>
      <c r="U317" s="798">
        <f t="shared" si="313"/>
        <v>0</v>
      </c>
      <c r="V317" s="798">
        <f t="shared" si="313"/>
        <v>0</v>
      </c>
      <c r="W317" s="798">
        <f t="shared" si="313"/>
        <v>1</v>
      </c>
      <c r="X317" s="798">
        <f t="shared" si="313"/>
        <v>1</v>
      </c>
      <c r="Y317" s="798">
        <f t="shared" si="313"/>
        <v>1</v>
      </c>
      <c r="Z317" s="798">
        <f t="shared" si="313"/>
        <v>1</v>
      </c>
      <c r="AA317" s="798">
        <f t="shared" si="313"/>
        <v>1</v>
      </c>
      <c r="AB317" s="798">
        <f t="shared" si="313"/>
        <v>1</v>
      </c>
      <c r="AC317" s="798">
        <f t="shared" si="313"/>
        <v>1</v>
      </c>
      <c r="AD317" s="798">
        <f t="shared" si="313"/>
        <v>1</v>
      </c>
      <c r="AE317" s="798">
        <f t="shared" si="313"/>
        <v>1</v>
      </c>
      <c r="AF317" s="798">
        <f t="shared" si="313"/>
        <v>1</v>
      </c>
      <c r="AG317" s="798">
        <f t="shared" si="313"/>
        <v>1</v>
      </c>
      <c r="AH317" s="798">
        <f t="shared" si="313"/>
        <v>1</v>
      </c>
      <c r="AI317" s="798">
        <f t="shared" si="313"/>
        <v>1</v>
      </c>
      <c r="AJ317" s="798">
        <f t="shared" si="313"/>
        <v>1</v>
      </c>
      <c r="AK317" s="798">
        <f t="shared" si="313"/>
        <v>1</v>
      </c>
      <c r="AL317" s="798">
        <f t="shared" si="313"/>
        <v>1</v>
      </c>
      <c r="AM317" s="798">
        <f t="shared" si="313"/>
        <v>1</v>
      </c>
      <c r="AN317" s="798">
        <f t="shared" si="313"/>
        <v>1</v>
      </c>
      <c r="AO317" s="798">
        <f t="shared" si="313"/>
        <v>1</v>
      </c>
      <c r="AP317" s="798">
        <f t="shared" si="313"/>
        <v>1</v>
      </c>
      <c r="AQ317" s="798">
        <f t="shared" si="313"/>
        <v>1</v>
      </c>
      <c r="AR317" s="798">
        <f t="shared" si="313"/>
        <v>1</v>
      </c>
      <c r="AS317" s="798">
        <f t="shared" si="313"/>
        <v>1</v>
      </c>
      <c r="AT317" s="798">
        <f t="shared" si="313"/>
        <v>1</v>
      </c>
      <c r="AU317" s="798">
        <f t="shared" si="313"/>
        <v>1</v>
      </c>
      <c r="AV317" s="798">
        <f t="shared" si="313"/>
        <v>1</v>
      </c>
      <c r="AW317" s="798">
        <f t="shared" si="313"/>
        <v>1</v>
      </c>
      <c r="AX317" s="798">
        <f t="shared" si="313"/>
        <v>1</v>
      </c>
      <c r="AY317" s="798">
        <f t="shared" si="313"/>
        <v>1</v>
      </c>
      <c r="AZ317" s="798">
        <f t="shared" si="313"/>
        <v>1</v>
      </c>
      <c r="BA317" s="798">
        <f t="shared" si="313"/>
        <v>1</v>
      </c>
      <c r="BB317" s="798">
        <f t="shared" si="313"/>
        <v>1</v>
      </c>
      <c r="BC317" s="798">
        <f t="shared" si="313"/>
        <v>1</v>
      </c>
      <c r="BD317" s="798">
        <f t="shared" si="313"/>
        <v>1</v>
      </c>
      <c r="BE317" s="798">
        <f t="shared" si="313"/>
        <v>1</v>
      </c>
      <c r="BF317" s="798">
        <f t="shared" si="313"/>
        <v>1</v>
      </c>
      <c r="BG317" s="798">
        <f t="shared" si="313"/>
        <v>1</v>
      </c>
      <c r="BH317" s="798">
        <f t="shared" si="313"/>
        <v>1</v>
      </c>
      <c r="BI317" s="798">
        <f t="shared" si="313"/>
        <v>1</v>
      </c>
      <c r="BJ317" s="798">
        <f t="shared" si="313"/>
        <v>1</v>
      </c>
      <c r="BK317" s="798">
        <f t="shared" si="313"/>
        <v>1</v>
      </c>
      <c r="BL317" s="765"/>
      <c r="BM317" s="817"/>
      <c r="BN317" s="817"/>
    </row>
    <row r="318" hidden="1">
      <c r="A318" s="765"/>
      <c r="B318" s="765"/>
      <c r="C318" s="765"/>
      <c r="D318" s="765"/>
      <c r="E318" s="765"/>
      <c r="F318" s="765"/>
      <c r="G318" s="765"/>
      <c r="H318" s="765"/>
      <c r="I318" s="765">
        <f t="shared" si="17"/>
        <v>307</v>
      </c>
      <c r="J318" s="763">
        <f t="shared" si="5"/>
        <v>1869190534715</v>
      </c>
      <c r="K318" s="796">
        <f t="shared" si="7"/>
        <v>0.38729</v>
      </c>
      <c r="L318" s="796">
        <v>5.0E-4</v>
      </c>
      <c r="M318" s="763">
        <v>2.13134610571786E12</v>
      </c>
      <c r="N318" s="797">
        <f t="shared" si="8"/>
        <v>0</v>
      </c>
      <c r="O318" s="798">
        <f t="shared" ref="O318:BK318" si="314">FLOOR(MIN((((N("value of ELS upgrade")+N$8*($K318-$K317))*(N("Check checkbox")+(IF($G$6=TRUE,$G$7,$G$8))/$G$8))/(N("ROI of ELS and multiply by 2 if ELS is 1:1")+IF($G$12 = True, 2, 1) * $J318))/((N("difference in ELS+ and the cost of it")+(($K317*O$8)-($K317*N$8)) / O$7)),(N("MIN lets it return 0 or 1 after floored")+1)),1)</f>
        <v>0</v>
      </c>
      <c r="P318" s="798">
        <f t="shared" si="314"/>
        <v>0</v>
      </c>
      <c r="Q318" s="798">
        <f t="shared" si="314"/>
        <v>0</v>
      </c>
      <c r="R318" s="798">
        <f t="shared" si="314"/>
        <v>0</v>
      </c>
      <c r="S318" s="798">
        <f t="shared" si="314"/>
        <v>0</v>
      </c>
      <c r="T318" s="798">
        <f t="shared" si="314"/>
        <v>0</v>
      </c>
      <c r="U318" s="798">
        <f t="shared" si="314"/>
        <v>0</v>
      </c>
      <c r="V318" s="798">
        <f t="shared" si="314"/>
        <v>0</v>
      </c>
      <c r="W318" s="798">
        <f t="shared" si="314"/>
        <v>1</v>
      </c>
      <c r="X318" s="798">
        <f t="shared" si="314"/>
        <v>1</v>
      </c>
      <c r="Y318" s="798">
        <f t="shared" si="314"/>
        <v>1</v>
      </c>
      <c r="Z318" s="798">
        <f t="shared" si="314"/>
        <v>1</v>
      </c>
      <c r="AA318" s="798">
        <f t="shared" si="314"/>
        <v>1</v>
      </c>
      <c r="AB318" s="798">
        <f t="shared" si="314"/>
        <v>1</v>
      </c>
      <c r="AC318" s="798">
        <f t="shared" si="314"/>
        <v>1</v>
      </c>
      <c r="AD318" s="798">
        <f t="shared" si="314"/>
        <v>1</v>
      </c>
      <c r="AE318" s="798">
        <f t="shared" si="314"/>
        <v>1</v>
      </c>
      <c r="AF318" s="798">
        <f t="shared" si="314"/>
        <v>1</v>
      </c>
      <c r="AG318" s="798">
        <f t="shared" si="314"/>
        <v>1</v>
      </c>
      <c r="AH318" s="798">
        <f t="shared" si="314"/>
        <v>1</v>
      </c>
      <c r="AI318" s="798">
        <f t="shared" si="314"/>
        <v>1</v>
      </c>
      <c r="AJ318" s="798">
        <f t="shared" si="314"/>
        <v>1</v>
      </c>
      <c r="AK318" s="798">
        <f t="shared" si="314"/>
        <v>1</v>
      </c>
      <c r="AL318" s="798">
        <f t="shared" si="314"/>
        <v>1</v>
      </c>
      <c r="AM318" s="798">
        <f t="shared" si="314"/>
        <v>1</v>
      </c>
      <c r="AN318" s="798">
        <f t="shared" si="314"/>
        <v>1</v>
      </c>
      <c r="AO318" s="798">
        <f t="shared" si="314"/>
        <v>1</v>
      </c>
      <c r="AP318" s="798">
        <f t="shared" si="314"/>
        <v>1</v>
      </c>
      <c r="AQ318" s="798">
        <f t="shared" si="314"/>
        <v>1</v>
      </c>
      <c r="AR318" s="798">
        <f t="shared" si="314"/>
        <v>1</v>
      </c>
      <c r="AS318" s="798">
        <f t="shared" si="314"/>
        <v>1</v>
      </c>
      <c r="AT318" s="798">
        <f t="shared" si="314"/>
        <v>1</v>
      </c>
      <c r="AU318" s="798">
        <f t="shared" si="314"/>
        <v>1</v>
      </c>
      <c r="AV318" s="798">
        <f t="shared" si="314"/>
        <v>1</v>
      </c>
      <c r="AW318" s="798">
        <f t="shared" si="314"/>
        <v>1</v>
      </c>
      <c r="AX318" s="798">
        <f t="shared" si="314"/>
        <v>1</v>
      </c>
      <c r="AY318" s="798">
        <f t="shared" si="314"/>
        <v>1</v>
      </c>
      <c r="AZ318" s="798">
        <f t="shared" si="314"/>
        <v>1</v>
      </c>
      <c r="BA318" s="798">
        <f t="shared" si="314"/>
        <v>1</v>
      </c>
      <c r="BB318" s="798">
        <f t="shared" si="314"/>
        <v>1</v>
      </c>
      <c r="BC318" s="798">
        <f t="shared" si="314"/>
        <v>1</v>
      </c>
      <c r="BD318" s="798">
        <f t="shared" si="314"/>
        <v>1</v>
      </c>
      <c r="BE318" s="798">
        <f t="shared" si="314"/>
        <v>1</v>
      </c>
      <c r="BF318" s="798">
        <f t="shared" si="314"/>
        <v>1</v>
      </c>
      <c r="BG318" s="798">
        <f t="shared" si="314"/>
        <v>1</v>
      </c>
      <c r="BH318" s="798">
        <f t="shared" si="314"/>
        <v>1</v>
      </c>
      <c r="BI318" s="798">
        <f t="shared" si="314"/>
        <v>1</v>
      </c>
      <c r="BJ318" s="798">
        <f t="shared" si="314"/>
        <v>1</v>
      </c>
      <c r="BK318" s="798">
        <f t="shared" si="314"/>
        <v>1</v>
      </c>
      <c r="BL318" s="765"/>
      <c r="BM318" s="817"/>
      <c r="BN318" s="817"/>
    </row>
    <row r="319" hidden="1">
      <c r="A319" s="765"/>
      <c r="B319" s="765"/>
      <c r="C319" s="765"/>
      <c r="D319" s="765"/>
      <c r="E319" s="765"/>
      <c r="F319" s="765"/>
      <c r="G319" s="765"/>
      <c r="H319" s="765"/>
      <c r="I319" s="765">
        <f t="shared" si="17"/>
        <v>308</v>
      </c>
      <c r="J319" s="763">
        <f t="shared" si="5"/>
        <v>1877024314624</v>
      </c>
      <c r="K319" s="796">
        <f t="shared" si="7"/>
        <v>0.38779</v>
      </c>
      <c r="L319" s="796">
        <v>5.0E-4</v>
      </c>
      <c r="M319" s="763">
        <v>2.14027857995924E12</v>
      </c>
      <c r="N319" s="797">
        <f t="shared" si="8"/>
        <v>0</v>
      </c>
      <c r="O319" s="798">
        <f t="shared" ref="O319:BK319" si="315">FLOOR(MIN((((N("value of ELS upgrade")+N$8*($K319-$K318))*(N("Check checkbox")+(IF($G$6=TRUE,$G$7,$G$8))/$G$8))/(N("ROI of ELS and multiply by 2 if ELS is 1:1")+IF($G$12 = True, 2, 1) * $J319))/((N("difference in ELS+ and the cost of it")+(($K318*O$8)-($K318*N$8)) / O$7)),(N("MIN lets it return 0 or 1 after floored")+1)),1)</f>
        <v>0</v>
      </c>
      <c r="P319" s="798">
        <f t="shared" si="315"/>
        <v>0</v>
      </c>
      <c r="Q319" s="798">
        <f t="shared" si="315"/>
        <v>0</v>
      </c>
      <c r="R319" s="798">
        <f t="shared" si="315"/>
        <v>0</v>
      </c>
      <c r="S319" s="798">
        <f t="shared" si="315"/>
        <v>0</v>
      </c>
      <c r="T319" s="798">
        <f t="shared" si="315"/>
        <v>0</v>
      </c>
      <c r="U319" s="798">
        <f t="shared" si="315"/>
        <v>0</v>
      </c>
      <c r="V319" s="798">
        <f t="shared" si="315"/>
        <v>0</v>
      </c>
      <c r="W319" s="798">
        <f t="shared" si="315"/>
        <v>1</v>
      </c>
      <c r="X319" s="798">
        <f t="shared" si="315"/>
        <v>1</v>
      </c>
      <c r="Y319" s="798">
        <f t="shared" si="315"/>
        <v>1</v>
      </c>
      <c r="Z319" s="798">
        <f t="shared" si="315"/>
        <v>1</v>
      </c>
      <c r="AA319" s="798">
        <f t="shared" si="315"/>
        <v>1</v>
      </c>
      <c r="AB319" s="798">
        <f t="shared" si="315"/>
        <v>1</v>
      </c>
      <c r="AC319" s="798">
        <f t="shared" si="315"/>
        <v>1</v>
      </c>
      <c r="AD319" s="798">
        <f t="shared" si="315"/>
        <v>1</v>
      </c>
      <c r="AE319" s="798">
        <f t="shared" si="315"/>
        <v>1</v>
      </c>
      <c r="AF319" s="798">
        <f t="shared" si="315"/>
        <v>1</v>
      </c>
      <c r="AG319" s="798">
        <f t="shared" si="315"/>
        <v>1</v>
      </c>
      <c r="AH319" s="798">
        <f t="shared" si="315"/>
        <v>1</v>
      </c>
      <c r="AI319" s="798">
        <f t="shared" si="315"/>
        <v>1</v>
      </c>
      <c r="AJ319" s="798">
        <f t="shared" si="315"/>
        <v>1</v>
      </c>
      <c r="AK319" s="798">
        <f t="shared" si="315"/>
        <v>1</v>
      </c>
      <c r="AL319" s="798">
        <f t="shared" si="315"/>
        <v>1</v>
      </c>
      <c r="AM319" s="798">
        <f t="shared" si="315"/>
        <v>1</v>
      </c>
      <c r="AN319" s="798">
        <f t="shared" si="315"/>
        <v>1</v>
      </c>
      <c r="AO319" s="798">
        <f t="shared" si="315"/>
        <v>1</v>
      </c>
      <c r="AP319" s="798">
        <f t="shared" si="315"/>
        <v>1</v>
      </c>
      <c r="AQ319" s="798">
        <f t="shared" si="315"/>
        <v>1</v>
      </c>
      <c r="AR319" s="798">
        <f t="shared" si="315"/>
        <v>1</v>
      </c>
      <c r="AS319" s="798">
        <f t="shared" si="315"/>
        <v>1</v>
      </c>
      <c r="AT319" s="798">
        <f t="shared" si="315"/>
        <v>1</v>
      </c>
      <c r="AU319" s="798">
        <f t="shared" si="315"/>
        <v>1</v>
      </c>
      <c r="AV319" s="798">
        <f t="shared" si="315"/>
        <v>1</v>
      </c>
      <c r="AW319" s="798">
        <f t="shared" si="315"/>
        <v>1</v>
      </c>
      <c r="AX319" s="798">
        <f t="shared" si="315"/>
        <v>1</v>
      </c>
      <c r="AY319" s="798">
        <f t="shared" si="315"/>
        <v>1</v>
      </c>
      <c r="AZ319" s="798">
        <f t="shared" si="315"/>
        <v>1</v>
      </c>
      <c r="BA319" s="798">
        <f t="shared" si="315"/>
        <v>1</v>
      </c>
      <c r="BB319" s="798">
        <f t="shared" si="315"/>
        <v>1</v>
      </c>
      <c r="BC319" s="798">
        <f t="shared" si="315"/>
        <v>1</v>
      </c>
      <c r="BD319" s="798">
        <f t="shared" si="315"/>
        <v>1</v>
      </c>
      <c r="BE319" s="798">
        <f t="shared" si="315"/>
        <v>1</v>
      </c>
      <c r="BF319" s="798">
        <f t="shared" si="315"/>
        <v>1</v>
      </c>
      <c r="BG319" s="798">
        <f t="shared" si="315"/>
        <v>1</v>
      </c>
      <c r="BH319" s="798">
        <f t="shared" si="315"/>
        <v>1</v>
      </c>
      <c r="BI319" s="798">
        <f t="shared" si="315"/>
        <v>1</v>
      </c>
      <c r="BJ319" s="798">
        <f t="shared" si="315"/>
        <v>1</v>
      </c>
      <c r="BK319" s="798">
        <f t="shared" si="315"/>
        <v>1</v>
      </c>
      <c r="BL319" s="765"/>
      <c r="BM319" s="817"/>
      <c r="BN319" s="817"/>
    </row>
    <row r="320" hidden="1">
      <c r="A320" s="765"/>
      <c r="B320" s="765"/>
      <c r="C320" s="765"/>
      <c r="D320" s="765"/>
      <c r="E320" s="765"/>
      <c r="F320" s="765"/>
      <c r="G320" s="765"/>
      <c r="H320" s="765"/>
      <c r="I320" s="765">
        <f t="shared" si="17"/>
        <v>309</v>
      </c>
      <c r="J320" s="763">
        <f t="shared" si="5"/>
        <v>1884880256611</v>
      </c>
      <c r="K320" s="796">
        <f t="shared" si="7"/>
        <v>0.38829</v>
      </c>
      <c r="L320" s="796">
        <v>5.0E-4</v>
      </c>
      <c r="M320" s="763">
        <v>2.14923632452841E12</v>
      </c>
      <c r="N320" s="797">
        <f t="shared" si="8"/>
        <v>0</v>
      </c>
      <c r="O320" s="798">
        <f t="shared" ref="O320:BK320" si="316">FLOOR(MIN((((N("value of ELS upgrade")+N$8*($K320-$K319))*(N("Check checkbox")+(IF($G$6=TRUE,$G$7,$G$8))/$G$8))/(N("ROI of ELS and multiply by 2 if ELS is 1:1")+IF($G$12 = True, 2, 1) * $J320))/((N("difference in ELS+ and the cost of it")+(($K319*O$8)-($K319*N$8)) / O$7)),(N("MIN lets it return 0 or 1 after floored")+1)),1)</f>
        <v>0</v>
      </c>
      <c r="P320" s="798">
        <f t="shared" si="316"/>
        <v>0</v>
      </c>
      <c r="Q320" s="798">
        <f t="shared" si="316"/>
        <v>0</v>
      </c>
      <c r="R320" s="798">
        <f t="shared" si="316"/>
        <v>0</v>
      </c>
      <c r="S320" s="798">
        <f t="shared" si="316"/>
        <v>0</v>
      </c>
      <c r="T320" s="798">
        <f t="shared" si="316"/>
        <v>0</v>
      </c>
      <c r="U320" s="798">
        <f t="shared" si="316"/>
        <v>0</v>
      </c>
      <c r="V320" s="798">
        <f t="shared" si="316"/>
        <v>0</v>
      </c>
      <c r="W320" s="798">
        <f t="shared" si="316"/>
        <v>1</v>
      </c>
      <c r="X320" s="798">
        <f t="shared" si="316"/>
        <v>1</v>
      </c>
      <c r="Y320" s="798">
        <f t="shared" si="316"/>
        <v>1</v>
      </c>
      <c r="Z320" s="798">
        <f t="shared" si="316"/>
        <v>1</v>
      </c>
      <c r="AA320" s="798">
        <f t="shared" si="316"/>
        <v>1</v>
      </c>
      <c r="AB320" s="798">
        <f t="shared" si="316"/>
        <v>1</v>
      </c>
      <c r="AC320" s="798">
        <f t="shared" si="316"/>
        <v>1</v>
      </c>
      <c r="AD320" s="798">
        <f t="shared" si="316"/>
        <v>1</v>
      </c>
      <c r="AE320" s="798">
        <f t="shared" si="316"/>
        <v>1</v>
      </c>
      <c r="AF320" s="798">
        <f t="shared" si="316"/>
        <v>1</v>
      </c>
      <c r="AG320" s="798">
        <f t="shared" si="316"/>
        <v>1</v>
      </c>
      <c r="AH320" s="798">
        <f t="shared" si="316"/>
        <v>1</v>
      </c>
      <c r="AI320" s="798">
        <f t="shared" si="316"/>
        <v>1</v>
      </c>
      <c r="AJ320" s="798">
        <f t="shared" si="316"/>
        <v>1</v>
      </c>
      <c r="AK320" s="798">
        <f t="shared" si="316"/>
        <v>1</v>
      </c>
      <c r="AL320" s="798">
        <f t="shared" si="316"/>
        <v>1</v>
      </c>
      <c r="AM320" s="798">
        <f t="shared" si="316"/>
        <v>1</v>
      </c>
      <c r="AN320" s="798">
        <f t="shared" si="316"/>
        <v>1</v>
      </c>
      <c r="AO320" s="798">
        <f t="shared" si="316"/>
        <v>1</v>
      </c>
      <c r="AP320" s="798">
        <f t="shared" si="316"/>
        <v>1</v>
      </c>
      <c r="AQ320" s="798">
        <f t="shared" si="316"/>
        <v>1</v>
      </c>
      <c r="AR320" s="798">
        <f t="shared" si="316"/>
        <v>1</v>
      </c>
      <c r="AS320" s="798">
        <f t="shared" si="316"/>
        <v>1</v>
      </c>
      <c r="AT320" s="798">
        <f t="shared" si="316"/>
        <v>1</v>
      </c>
      <c r="AU320" s="798">
        <f t="shared" si="316"/>
        <v>1</v>
      </c>
      <c r="AV320" s="798">
        <f t="shared" si="316"/>
        <v>1</v>
      </c>
      <c r="AW320" s="798">
        <f t="shared" si="316"/>
        <v>1</v>
      </c>
      <c r="AX320" s="798">
        <f t="shared" si="316"/>
        <v>1</v>
      </c>
      <c r="AY320" s="798">
        <f t="shared" si="316"/>
        <v>1</v>
      </c>
      <c r="AZ320" s="798">
        <f t="shared" si="316"/>
        <v>1</v>
      </c>
      <c r="BA320" s="798">
        <f t="shared" si="316"/>
        <v>1</v>
      </c>
      <c r="BB320" s="798">
        <f t="shared" si="316"/>
        <v>1</v>
      </c>
      <c r="BC320" s="798">
        <f t="shared" si="316"/>
        <v>1</v>
      </c>
      <c r="BD320" s="798">
        <f t="shared" si="316"/>
        <v>1</v>
      </c>
      <c r="BE320" s="798">
        <f t="shared" si="316"/>
        <v>1</v>
      </c>
      <c r="BF320" s="798">
        <f t="shared" si="316"/>
        <v>1</v>
      </c>
      <c r="BG320" s="798">
        <f t="shared" si="316"/>
        <v>1</v>
      </c>
      <c r="BH320" s="798">
        <f t="shared" si="316"/>
        <v>1</v>
      </c>
      <c r="BI320" s="798">
        <f t="shared" si="316"/>
        <v>1</v>
      </c>
      <c r="BJ320" s="798">
        <f t="shared" si="316"/>
        <v>1</v>
      </c>
      <c r="BK320" s="798">
        <f t="shared" si="316"/>
        <v>1</v>
      </c>
      <c r="BL320" s="765"/>
      <c r="BM320" s="817"/>
      <c r="BN320" s="817"/>
    </row>
    <row r="321" hidden="1">
      <c r="A321" s="765"/>
      <c r="B321" s="765"/>
      <c r="C321" s="765"/>
      <c r="D321" s="765"/>
      <c r="E321" s="765"/>
      <c r="F321" s="765"/>
      <c r="G321" s="765"/>
      <c r="H321" s="765"/>
      <c r="I321" s="765">
        <f t="shared" si="17"/>
        <v>310</v>
      </c>
      <c r="J321" s="763">
        <f t="shared" si="5"/>
        <v>1892758499189</v>
      </c>
      <c r="K321" s="796">
        <f t="shared" si="7"/>
        <v>0.38879</v>
      </c>
      <c r="L321" s="796">
        <v>5.0E-4</v>
      </c>
      <c r="M321" s="763">
        <v>2.15821949736493E12</v>
      </c>
      <c r="N321" s="797">
        <f t="shared" si="8"/>
        <v>0</v>
      </c>
      <c r="O321" s="798">
        <f t="shared" ref="O321:BK321" si="317">FLOOR(MIN((((N("value of ELS upgrade")+N$8*($K321-$K320))*(N("Check checkbox")+(IF($G$6=TRUE,$G$7,$G$8))/$G$8))/(N("ROI of ELS and multiply by 2 if ELS is 1:1")+IF($G$12 = True, 2, 1) * $J321))/((N("difference in ELS+ and the cost of it")+(($K320*O$8)-($K320*N$8)) / O$7)),(N("MIN lets it return 0 or 1 after floored")+1)),1)</f>
        <v>0</v>
      </c>
      <c r="P321" s="798">
        <f t="shared" si="317"/>
        <v>0</v>
      </c>
      <c r="Q321" s="798">
        <f t="shared" si="317"/>
        <v>0</v>
      </c>
      <c r="R321" s="798">
        <f t="shared" si="317"/>
        <v>0</v>
      </c>
      <c r="S321" s="798">
        <f t="shared" si="317"/>
        <v>0</v>
      </c>
      <c r="T321" s="798">
        <f t="shared" si="317"/>
        <v>0</v>
      </c>
      <c r="U321" s="798">
        <f t="shared" si="317"/>
        <v>0</v>
      </c>
      <c r="V321" s="798">
        <f t="shared" si="317"/>
        <v>0</v>
      </c>
      <c r="W321" s="798">
        <f t="shared" si="317"/>
        <v>1</v>
      </c>
      <c r="X321" s="798">
        <f t="shared" si="317"/>
        <v>1</v>
      </c>
      <c r="Y321" s="798">
        <f t="shared" si="317"/>
        <v>1</v>
      </c>
      <c r="Z321" s="798">
        <f t="shared" si="317"/>
        <v>1</v>
      </c>
      <c r="AA321" s="798">
        <f t="shared" si="317"/>
        <v>1</v>
      </c>
      <c r="AB321" s="798">
        <f t="shared" si="317"/>
        <v>1</v>
      </c>
      <c r="AC321" s="798">
        <f t="shared" si="317"/>
        <v>1</v>
      </c>
      <c r="AD321" s="798">
        <f t="shared" si="317"/>
        <v>1</v>
      </c>
      <c r="AE321" s="798">
        <f t="shared" si="317"/>
        <v>1</v>
      </c>
      <c r="AF321" s="798">
        <f t="shared" si="317"/>
        <v>1</v>
      </c>
      <c r="AG321" s="798">
        <f t="shared" si="317"/>
        <v>1</v>
      </c>
      <c r="AH321" s="798">
        <f t="shared" si="317"/>
        <v>1</v>
      </c>
      <c r="AI321" s="798">
        <f t="shared" si="317"/>
        <v>1</v>
      </c>
      <c r="AJ321" s="798">
        <f t="shared" si="317"/>
        <v>1</v>
      </c>
      <c r="AK321" s="798">
        <f t="shared" si="317"/>
        <v>1</v>
      </c>
      <c r="AL321" s="798">
        <f t="shared" si="317"/>
        <v>1</v>
      </c>
      <c r="AM321" s="798">
        <f t="shared" si="317"/>
        <v>1</v>
      </c>
      <c r="AN321" s="798">
        <f t="shared" si="317"/>
        <v>1</v>
      </c>
      <c r="AO321" s="798">
        <f t="shared" si="317"/>
        <v>1</v>
      </c>
      <c r="AP321" s="798">
        <f t="shared" si="317"/>
        <v>1</v>
      </c>
      <c r="AQ321" s="798">
        <f t="shared" si="317"/>
        <v>1</v>
      </c>
      <c r="AR321" s="798">
        <f t="shared" si="317"/>
        <v>1</v>
      </c>
      <c r="AS321" s="798">
        <f t="shared" si="317"/>
        <v>1</v>
      </c>
      <c r="AT321" s="798">
        <f t="shared" si="317"/>
        <v>1</v>
      </c>
      <c r="AU321" s="798">
        <f t="shared" si="317"/>
        <v>1</v>
      </c>
      <c r="AV321" s="798">
        <f t="shared" si="317"/>
        <v>1</v>
      </c>
      <c r="AW321" s="798">
        <f t="shared" si="317"/>
        <v>1</v>
      </c>
      <c r="AX321" s="798">
        <f t="shared" si="317"/>
        <v>1</v>
      </c>
      <c r="AY321" s="798">
        <f t="shared" si="317"/>
        <v>1</v>
      </c>
      <c r="AZ321" s="798">
        <f t="shared" si="317"/>
        <v>1</v>
      </c>
      <c r="BA321" s="798">
        <f t="shared" si="317"/>
        <v>1</v>
      </c>
      <c r="BB321" s="798">
        <f t="shared" si="317"/>
        <v>1</v>
      </c>
      <c r="BC321" s="798">
        <f t="shared" si="317"/>
        <v>1</v>
      </c>
      <c r="BD321" s="798">
        <f t="shared" si="317"/>
        <v>1</v>
      </c>
      <c r="BE321" s="798">
        <f t="shared" si="317"/>
        <v>1</v>
      </c>
      <c r="BF321" s="798">
        <f t="shared" si="317"/>
        <v>1</v>
      </c>
      <c r="BG321" s="798">
        <f t="shared" si="317"/>
        <v>1</v>
      </c>
      <c r="BH321" s="798">
        <f t="shared" si="317"/>
        <v>1</v>
      </c>
      <c r="BI321" s="798">
        <f t="shared" si="317"/>
        <v>1</v>
      </c>
      <c r="BJ321" s="798">
        <f t="shared" si="317"/>
        <v>1</v>
      </c>
      <c r="BK321" s="798">
        <f t="shared" si="317"/>
        <v>1</v>
      </c>
      <c r="BL321" s="765"/>
      <c r="BM321" s="817"/>
      <c r="BN321" s="817"/>
    </row>
    <row r="322" hidden="1">
      <c r="A322" s="765"/>
      <c r="B322" s="765"/>
      <c r="C322" s="765"/>
      <c r="D322" s="765"/>
      <c r="E322" s="765"/>
      <c r="F322" s="765"/>
      <c r="G322" s="765"/>
      <c r="H322" s="765"/>
      <c r="I322" s="765">
        <f t="shared" si="17"/>
        <v>311</v>
      </c>
      <c r="J322" s="763">
        <f t="shared" si="5"/>
        <v>1900659121507</v>
      </c>
      <c r="K322" s="796">
        <f t="shared" si="7"/>
        <v>0.38929</v>
      </c>
      <c r="L322" s="796">
        <v>5.0E-4</v>
      </c>
      <c r="M322" s="763">
        <v>2.16722818871995E12</v>
      </c>
      <c r="N322" s="797">
        <f t="shared" si="8"/>
        <v>0</v>
      </c>
      <c r="O322" s="798">
        <f t="shared" ref="O322:BK322" si="318">FLOOR(MIN((((N("value of ELS upgrade")+N$8*($K322-$K321))*(N("Check checkbox")+(IF($G$6=TRUE,$G$7,$G$8))/$G$8))/(N("ROI of ELS and multiply by 2 if ELS is 1:1")+IF($G$12 = True, 2, 1) * $J322))/((N("difference in ELS+ and the cost of it")+(($K321*O$8)-($K321*N$8)) / O$7)),(N("MIN lets it return 0 or 1 after floored")+1)),1)</f>
        <v>0</v>
      </c>
      <c r="P322" s="798">
        <f t="shared" si="318"/>
        <v>0</v>
      </c>
      <c r="Q322" s="798">
        <f t="shared" si="318"/>
        <v>0</v>
      </c>
      <c r="R322" s="798">
        <f t="shared" si="318"/>
        <v>0</v>
      </c>
      <c r="S322" s="798">
        <f t="shared" si="318"/>
        <v>0</v>
      </c>
      <c r="T322" s="798">
        <f t="shared" si="318"/>
        <v>0</v>
      </c>
      <c r="U322" s="798">
        <f t="shared" si="318"/>
        <v>0</v>
      </c>
      <c r="V322" s="798">
        <f t="shared" si="318"/>
        <v>0</v>
      </c>
      <c r="W322" s="798">
        <f t="shared" si="318"/>
        <v>1</v>
      </c>
      <c r="X322" s="798">
        <f t="shared" si="318"/>
        <v>1</v>
      </c>
      <c r="Y322" s="798">
        <f t="shared" si="318"/>
        <v>1</v>
      </c>
      <c r="Z322" s="798">
        <f t="shared" si="318"/>
        <v>1</v>
      </c>
      <c r="AA322" s="798">
        <f t="shared" si="318"/>
        <v>1</v>
      </c>
      <c r="AB322" s="798">
        <f t="shared" si="318"/>
        <v>1</v>
      </c>
      <c r="AC322" s="798">
        <f t="shared" si="318"/>
        <v>1</v>
      </c>
      <c r="AD322" s="798">
        <f t="shared" si="318"/>
        <v>1</v>
      </c>
      <c r="AE322" s="798">
        <f t="shared" si="318"/>
        <v>1</v>
      </c>
      <c r="AF322" s="798">
        <f t="shared" si="318"/>
        <v>1</v>
      </c>
      <c r="AG322" s="798">
        <f t="shared" si="318"/>
        <v>1</v>
      </c>
      <c r="AH322" s="798">
        <f t="shared" si="318"/>
        <v>1</v>
      </c>
      <c r="AI322" s="798">
        <f t="shared" si="318"/>
        <v>1</v>
      </c>
      <c r="AJ322" s="798">
        <f t="shared" si="318"/>
        <v>1</v>
      </c>
      <c r="AK322" s="798">
        <f t="shared" si="318"/>
        <v>1</v>
      </c>
      <c r="AL322" s="798">
        <f t="shared" si="318"/>
        <v>1</v>
      </c>
      <c r="AM322" s="798">
        <f t="shared" si="318"/>
        <v>1</v>
      </c>
      <c r="AN322" s="798">
        <f t="shared" si="318"/>
        <v>1</v>
      </c>
      <c r="AO322" s="798">
        <f t="shared" si="318"/>
        <v>1</v>
      </c>
      <c r="AP322" s="798">
        <f t="shared" si="318"/>
        <v>1</v>
      </c>
      <c r="AQ322" s="798">
        <f t="shared" si="318"/>
        <v>1</v>
      </c>
      <c r="AR322" s="798">
        <f t="shared" si="318"/>
        <v>1</v>
      </c>
      <c r="AS322" s="798">
        <f t="shared" si="318"/>
        <v>1</v>
      </c>
      <c r="AT322" s="798">
        <f t="shared" si="318"/>
        <v>1</v>
      </c>
      <c r="AU322" s="798">
        <f t="shared" si="318"/>
        <v>1</v>
      </c>
      <c r="AV322" s="798">
        <f t="shared" si="318"/>
        <v>1</v>
      </c>
      <c r="AW322" s="798">
        <f t="shared" si="318"/>
        <v>1</v>
      </c>
      <c r="AX322" s="798">
        <f t="shared" si="318"/>
        <v>1</v>
      </c>
      <c r="AY322" s="798">
        <f t="shared" si="318"/>
        <v>1</v>
      </c>
      <c r="AZ322" s="798">
        <f t="shared" si="318"/>
        <v>1</v>
      </c>
      <c r="BA322" s="798">
        <f t="shared" si="318"/>
        <v>1</v>
      </c>
      <c r="BB322" s="798">
        <f t="shared" si="318"/>
        <v>1</v>
      </c>
      <c r="BC322" s="798">
        <f t="shared" si="318"/>
        <v>1</v>
      </c>
      <c r="BD322" s="798">
        <f t="shared" si="318"/>
        <v>1</v>
      </c>
      <c r="BE322" s="798">
        <f t="shared" si="318"/>
        <v>1</v>
      </c>
      <c r="BF322" s="798">
        <f t="shared" si="318"/>
        <v>1</v>
      </c>
      <c r="BG322" s="798">
        <f t="shared" si="318"/>
        <v>1</v>
      </c>
      <c r="BH322" s="798">
        <f t="shared" si="318"/>
        <v>1</v>
      </c>
      <c r="BI322" s="798">
        <f t="shared" si="318"/>
        <v>1</v>
      </c>
      <c r="BJ322" s="798">
        <f t="shared" si="318"/>
        <v>1</v>
      </c>
      <c r="BK322" s="798">
        <f t="shared" si="318"/>
        <v>1</v>
      </c>
      <c r="BL322" s="765"/>
      <c r="BM322" s="817"/>
      <c r="BN322" s="817"/>
    </row>
    <row r="323" hidden="1">
      <c r="A323" s="765"/>
      <c r="B323" s="765"/>
      <c r="C323" s="765"/>
      <c r="D323" s="765"/>
      <c r="E323" s="765"/>
      <c r="F323" s="765"/>
      <c r="G323" s="765"/>
      <c r="H323" s="765"/>
      <c r="I323" s="765">
        <f t="shared" si="17"/>
        <v>312</v>
      </c>
      <c r="J323" s="763">
        <f t="shared" si="5"/>
        <v>1908582202717</v>
      </c>
      <c r="K323" s="796">
        <f t="shared" si="7"/>
        <v>0.38979</v>
      </c>
      <c r="L323" s="796">
        <v>5.0E-4</v>
      </c>
      <c r="M323" s="763">
        <v>2.17626248884465E12</v>
      </c>
      <c r="N323" s="797">
        <f t="shared" si="8"/>
        <v>0</v>
      </c>
      <c r="O323" s="798">
        <f t="shared" ref="O323:BK323" si="319">FLOOR(MIN((((N("value of ELS upgrade")+N$8*($K323-$K322))*(N("Check checkbox")+(IF($G$6=TRUE,$G$7,$G$8))/$G$8))/(N("ROI of ELS and multiply by 2 if ELS is 1:1")+IF($G$12 = True, 2, 1) * $J323))/((N("difference in ELS+ and the cost of it")+(($K322*O$8)-($K322*N$8)) / O$7)),(N("MIN lets it return 0 or 1 after floored")+1)),1)</f>
        <v>0</v>
      </c>
      <c r="P323" s="798">
        <f t="shared" si="319"/>
        <v>0</v>
      </c>
      <c r="Q323" s="798">
        <f t="shared" si="319"/>
        <v>0</v>
      </c>
      <c r="R323" s="798">
        <f t="shared" si="319"/>
        <v>0</v>
      </c>
      <c r="S323" s="798">
        <f t="shared" si="319"/>
        <v>0</v>
      </c>
      <c r="T323" s="798">
        <f t="shared" si="319"/>
        <v>0</v>
      </c>
      <c r="U323" s="798">
        <f t="shared" si="319"/>
        <v>0</v>
      </c>
      <c r="V323" s="798">
        <f t="shared" si="319"/>
        <v>0</v>
      </c>
      <c r="W323" s="798">
        <f t="shared" si="319"/>
        <v>1</v>
      </c>
      <c r="X323" s="798">
        <f t="shared" si="319"/>
        <v>1</v>
      </c>
      <c r="Y323" s="798">
        <f t="shared" si="319"/>
        <v>1</v>
      </c>
      <c r="Z323" s="798">
        <f t="shared" si="319"/>
        <v>1</v>
      </c>
      <c r="AA323" s="798">
        <f t="shared" si="319"/>
        <v>1</v>
      </c>
      <c r="AB323" s="798">
        <f t="shared" si="319"/>
        <v>1</v>
      </c>
      <c r="AC323" s="798">
        <f t="shared" si="319"/>
        <v>1</v>
      </c>
      <c r="AD323" s="798">
        <f t="shared" si="319"/>
        <v>1</v>
      </c>
      <c r="AE323" s="798">
        <f t="shared" si="319"/>
        <v>1</v>
      </c>
      <c r="AF323" s="798">
        <f t="shared" si="319"/>
        <v>1</v>
      </c>
      <c r="AG323" s="798">
        <f t="shared" si="319"/>
        <v>1</v>
      </c>
      <c r="AH323" s="798">
        <f t="shared" si="319"/>
        <v>1</v>
      </c>
      <c r="AI323" s="798">
        <f t="shared" si="319"/>
        <v>1</v>
      </c>
      <c r="AJ323" s="798">
        <f t="shared" si="319"/>
        <v>1</v>
      </c>
      <c r="AK323" s="798">
        <f t="shared" si="319"/>
        <v>1</v>
      </c>
      <c r="AL323" s="798">
        <f t="shared" si="319"/>
        <v>1</v>
      </c>
      <c r="AM323" s="798">
        <f t="shared" si="319"/>
        <v>1</v>
      </c>
      <c r="AN323" s="798">
        <f t="shared" si="319"/>
        <v>1</v>
      </c>
      <c r="AO323" s="798">
        <f t="shared" si="319"/>
        <v>1</v>
      </c>
      <c r="AP323" s="798">
        <f t="shared" si="319"/>
        <v>1</v>
      </c>
      <c r="AQ323" s="798">
        <f t="shared" si="319"/>
        <v>1</v>
      </c>
      <c r="AR323" s="798">
        <f t="shared" si="319"/>
        <v>1</v>
      </c>
      <c r="AS323" s="798">
        <f t="shared" si="319"/>
        <v>1</v>
      </c>
      <c r="AT323" s="798">
        <f t="shared" si="319"/>
        <v>1</v>
      </c>
      <c r="AU323" s="798">
        <f t="shared" si="319"/>
        <v>1</v>
      </c>
      <c r="AV323" s="798">
        <f t="shared" si="319"/>
        <v>1</v>
      </c>
      <c r="AW323" s="798">
        <f t="shared" si="319"/>
        <v>1</v>
      </c>
      <c r="AX323" s="798">
        <f t="shared" si="319"/>
        <v>1</v>
      </c>
      <c r="AY323" s="798">
        <f t="shared" si="319"/>
        <v>1</v>
      </c>
      <c r="AZ323" s="798">
        <f t="shared" si="319"/>
        <v>1</v>
      </c>
      <c r="BA323" s="798">
        <f t="shared" si="319"/>
        <v>1</v>
      </c>
      <c r="BB323" s="798">
        <f t="shared" si="319"/>
        <v>1</v>
      </c>
      <c r="BC323" s="798">
        <f t="shared" si="319"/>
        <v>1</v>
      </c>
      <c r="BD323" s="798">
        <f t="shared" si="319"/>
        <v>1</v>
      </c>
      <c r="BE323" s="798">
        <f t="shared" si="319"/>
        <v>1</v>
      </c>
      <c r="BF323" s="798">
        <f t="shared" si="319"/>
        <v>1</v>
      </c>
      <c r="BG323" s="798">
        <f t="shared" si="319"/>
        <v>1</v>
      </c>
      <c r="BH323" s="798">
        <f t="shared" si="319"/>
        <v>1</v>
      </c>
      <c r="BI323" s="798">
        <f t="shared" si="319"/>
        <v>1</v>
      </c>
      <c r="BJ323" s="798">
        <f t="shared" si="319"/>
        <v>1</v>
      </c>
      <c r="BK323" s="798">
        <f t="shared" si="319"/>
        <v>1</v>
      </c>
      <c r="BL323" s="765"/>
      <c r="BM323" s="817"/>
      <c r="BN323" s="817"/>
    </row>
    <row r="324" hidden="1">
      <c r="A324" s="765"/>
      <c r="B324" s="765"/>
      <c r="C324" s="765"/>
      <c r="D324" s="765"/>
      <c r="E324" s="765"/>
      <c r="F324" s="765"/>
      <c r="G324" s="765"/>
      <c r="H324" s="765"/>
      <c r="I324" s="765">
        <f t="shared" si="17"/>
        <v>313</v>
      </c>
      <c r="J324" s="763">
        <f t="shared" si="5"/>
        <v>1916527881330</v>
      </c>
      <c r="K324" s="796">
        <f t="shared" si="7"/>
        <v>0.39029</v>
      </c>
      <c r="L324" s="796">
        <v>5.0E-4</v>
      </c>
      <c r="M324" s="763">
        <v>2.18532255567858E12</v>
      </c>
      <c r="N324" s="797">
        <f t="shared" si="8"/>
        <v>0</v>
      </c>
      <c r="O324" s="798">
        <f t="shared" ref="O324:BK324" si="320">FLOOR(MIN((((N("value of ELS upgrade")+N$8*($K324-$K323))*(N("Check checkbox")+(IF($G$6=TRUE,$G$7,$G$8))/$G$8))/(N("ROI of ELS and multiply by 2 if ELS is 1:1")+IF($G$12 = True, 2, 1) * $J324))/((N("difference in ELS+ and the cost of it")+(($K323*O$8)-($K323*N$8)) / O$7)),(N("MIN lets it return 0 or 1 after floored")+1)),1)</f>
        <v>0</v>
      </c>
      <c r="P324" s="798">
        <f t="shared" si="320"/>
        <v>0</v>
      </c>
      <c r="Q324" s="798">
        <f t="shared" si="320"/>
        <v>0</v>
      </c>
      <c r="R324" s="798">
        <f t="shared" si="320"/>
        <v>0</v>
      </c>
      <c r="S324" s="798">
        <f t="shared" si="320"/>
        <v>0</v>
      </c>
      <c r="T324" s="798">
        <f t="shared" si="320"/>
        <v>0</v>
      </c>
      <c r="U324" s="798">
        <f t="shared" si="320"/>
        <v>0</v>
      </c>
      <c r="V324" s="798">
        <f t="shared" si="320"/>
        <v>0</v>
      </c>
      <c r="W324" s="798">
        <f t="shared" si="320"/>
        <v>1</v>
      </c>
      <c r="X324" s="798">
        <f t="shared" si="320"/>
        <v>1</v>
      </c>
      <c r="Y324" s="798">
        <f t="shared" si="320"/>
        <v>1</v>
      </c>
      <c r="Z324" s="798">
        <f t="shared" si="320"/>
        <v>1</v>
      </c>
      <c r="AA324" s="798">
        <f t="shared" si="320"/>
        <v>1</v>
      </c>
      <c r="AB324" s="798">
        <f t="shared" si="320"/>
        <v>1</v>
      </c>
      <c r="AC324" s="798">
        <f t="shared" si="320"/>
        <v>1</v>
      </c>
      <c r="AD324" s="798">
        <f t="shared" si="320"/>
        <v>1</v>
      </c>
      <c r="AE324" s="798">
        <f t="shared" si="320"/>
        <v>1</v>
      </c>
      <c r="AF324" s="798">
        <f t="shared" si="320"/>
        <v>1</v>
      </c>
      <c r="AG324" s="798">
        <f t="shared" si="320"/>
        <v>1</v>
      </c>
      <c r="AH324" s="798">
        <f t="shared" si="320"/>
        <v>1</v>
      </c>
      <c r="AI324" s="798">
        <f t="shared" si="320"/>
        <v>1</v>
      </c>
      <c r="AJ324" s="798">
        <f t="shared" si="320"/>
        <v>1</v>
      </c>
      <c r="AK324" s="798">
        <f t="shared" si="320"/>
        <v>1</v>
      </c>
      <c r="AL324" s="798">
        <f t="shared" si="320"/>
        <v>1</v>
      </c>
      <c r="AM324" s="798">
        <f t="shared" si="320"/>
        <v>1</v>
      </c>
      <c r="AN324" s="798">
        <f t="shared" si="320"/>
        <v>1</v>
      </c>
      <c r="AO324" s="798">
        <f t="shared" si="320"/>
        <v>1</v>
      </c>
      <c r="AP324" s="798">
        <f t="shared" si="320"/>
        <v>1</v>
      </c>
      <c r="AQ324" s="798">
        <f t="shared" si="320"/>
        <v>1</v>
      </c>
      <c r="AR324" s="798">
        <f t="shared" si="320"/>
        <v>1</v>
      </c>
      <c r="AS324" s="798">
        <f t="shared" si="320"/>
        <v>1</v>
      </c>
      <c r="AT324" s="798">
        <f t="shared" si="320"/>
        <v>1</v>
      </c>
      <c r="AU324" s="798">
        <f t="shared" si="320"/>
        <v>1</v>
      </c>
      <c r="AV324" s="798">
        <f t="shared" si="320"/>
        <v>1</v>
      </c>
      <c r="AW324" s="798">
        <f t="shared" si="320"/>
        <v>1</v>
      </c>
      <c r="AX324" s="798">
        <f t="shared" si="320"/>
        <v>1</v>
      </c>
      <c r="AY324" s="798">
        <f t="shared" si="320"/>
        <v>1</v>
      </c>
      <c r="AZ324" s="798">
        <f t="shared" si="320"/>
        <v>1</v>
      </c>
      <c r="BA324" s="798">
        <f t="shared" si="320"/>
        <v>1</v>
      </c>
      <c r="BB324" s="798">
        <f t="shared" si="320"/>
        <v>1</v>
      </c>
      <c r="BC324" s="798">
        <f t="shared" si="320"/>
        <v>1</v>
      </c>
      <c r="BD324" s="798">
        <f t="shared" si="320"/>
        <v>1</v>
      </c>
      <c r="BE324" s="798">
        <f t="shared" si="320"/>
        <v>1</v>
      </c>
      <c r="BF324" s="798">
        <f t="shared" si="320"/>
        <v>1</v>
      </c>
      <c r="BG324" s="798">
        <f t="shared" si="320"/>
        <v>1</v>
      </c>
      <c r="BH324" s="798">
        <f t="shared" si="320"/>
        <v>1</v>
      </c>
      <c r="BI324" s="798">
        <f t="shared" si="320"/>
        <v>1</v>
      </c>
      <c r="BJ324" s="798">
        <f t="shared" si="320"/>
        <v>1</v>
      </c>
      <c r="BK324" s="798">
        <f t="shared" si="320"/>
        <v>1</v>
      </c>
      <c r="BL324" s="765"/>
      <c r="BM324" s="817"/>
      <c r="BN324" s="817"/>
    </row>
    <row r="325" hidden="1">
      <c r="A325" s="765"/>
      <c r="B325" s="765"/>
      <c r="C325" s="765"/>
      <c r="D325" s="765"/>
      <c r="E325" s="765"/>
      <c r="F325" s="765"/>
      <c r="G325" s="765"/>
      <c r="H325" s="765"/>
      <c r="I325" s="765">
        <f t="shared" si="17"/>
        <v>314</v>
      </c>
      <c r="J325" s="763">
        <f t="shared" si="5"/>
        <v>1924496216710</v>
      </c>
      <c r="K325" s="796">
        <f t="shared" si="7"/>
        <v>0.39079</v>
      </c>
      <c r="L325" s="796">
        <v>5.0E-4</v>
      </c>
      <c r="M325" s="763">
        <v>2.19440845691012E12</v>
      </c>
      <c r="N325" s="797">
        <f t="shared" si="8"/>
        <v>0</v>
      </c>
      <c r="O325" s="798">
        <f t="shared" ref="O325:BK325" si="321">FLOOR(MIN((((N("value of ELS upgrade")+N$8*($K325-$K324))*(N("Check checkbox")+(IF($G$6=TRUE,$G$7,$G$8))/$G$8))/(N("ROI of ELS and multiply by 2 if ELS is 1:1")+IF($G$12 = True, 2, 1) * $J325))/((N("difference in ELS+ and the cost of it")+(($K324*O$8)-($K324*N$8)) / O$7)),(N("MIN lets it return 0 or 1 after floored")+1)),1)</f>
        <v>0</v>
      </c>
      <c r="P325" s="798">
        <f t="shared" si="321"/>
        <v>0</v>
      </c>
      <c r="Q325" s="798">
        <f t="shared" si="321"/>
        <v>0</v>
      </c>
      <c r="R325" s="798">
        <f t="shared" si="321"/>
        <v>0</v>
      </c>
      <c r="S325" s="798">
        <f t="shared" si="321"/>
        <v>0</v>
      </c>
      <c r="T325" s="798">
        <f t="shared" si="321"/>
        <v>0</v>
      </c>
      <c r="U325" s="798">
        <f t="shared" si="321"/>
        <v>0</v>
      </c>
      <c r="V325" s="798">
        <f t="shared" si="321"/>
        <v>0</v>
      </c>
      <c r="W325" s="798">
        <f t="shared" si="321"/>
        <v>1</v>
      </c>
      <c r="X325" s="798">
        <f t="shared" si="321"/>
        <v>1</v>
      </c>
      <c r="Y325" s="798">
        <f t="shared" si="321"/>
        <v>1</v>
      </c>
      <c r="Z325" s="798">
        <f t="shared" si="321"/>
        <v>1</v>
      </c>
      <c r="AA325" s="798">
        <f t="shared" si="321"/>
        <v>1</v>
      </c>
      <c r="AB325" s="798">
        <f t="shared" si="321"/>
        <v>1</v>
      </c>
      <c r="AC325" s="798">
        <f t="shared" si="321"/>
        <v>1</v>
      </c>
      <c r="AD325" s="798">
        <f t="shared" si="321"/>
        <v>1</v>
      </c>
      <c r="AE325" s="798">
        <f t="shared" si="321"/>
        <v>1</v>
      </c>
      <c r="AF325" s="798">
        <f t="shared" si="321"/>
        <v>1</v>
      </c>
      <c r="AG325" s="798">
        <f t="shared" si="321"/>
        <v>1</v>
      </c>
      <c r="AH325" s="798">
        <f t="shared" si="321"/>
        <v>1</v>
      </c>
      <c r="AI325" s="798">
        <f t="shared" si="321"/>
        <v>1</v>
      </c>
      <c r="AJ325" s="798">
        <f t="shared" si="321"/>
        <v>1</v>
      </c>
      <c r="AK325" s="798">
        <f t="shared" si="321"/>
        <v>1</v>
      </c>
      <c r="AL325" s="798">
        <f t="shared" si="321"/>
        <v>1</v>
      </c>
      <c r="AM325" s="798">
        <f t="shared" si="321"/>
        <v>1</v>
      </c>
      <c r="AN325" s="798">
        <f t="shared" si="321"/>
        <v>1</v>
      </c>
      <c r="AO325" s="798">
        <f t="shared" si="321"/>
        <v>1</v>
      </c>
      <c r="AP325" s="798">
        <f t="shared" si="321"/>
        <v>1</v>
      </c>
      <c r="AQ325" s="798">
        <f t="shared" si="321"/>
        <v>1</v>
      </c>
      <c r="AR325" s="798">
        <f t="shared" si="321"/>
        <v>1</v>
      </c>
      <c r="AS325" s="798">
        <f t="shared" si="321"/>
        <v>1</v>
      </c>
      <c r="AT325" s="798">
        <f t="shared" si="321"/>
        <v>1</v>
      </c>
      <c r="AU325" s="798">
        <f t="shared" si="321"/>
        <v>1</v>
      </c>
      <c r="AV325" s="798">
        <f t="shared" si="321"/>
        <v>1</v>
      </c>
      <c r="AW325" s="798">
        <f t="shared" si="321"/>
        <v>1</v>
      </c>
      <c r="AX325" s="798">
        <f t="shared" si="321"/>
        <v>1</v>
      </c>
      <c r="AY325" s="798">
        <f t="shared" si="321"/>
        <v>1</v>
      </c>
      <c r="AZ325" s="798">
        <f t="shared" si="321"/>
        <v>1</v>
      </c>
      <c r="BA325" s="798">
        <f t="shared" si="321"/>
        <v>1</v>
      </c>
      <c r="BB325" s="798">
        <f t="shared" si="321"/>
        <v>1</v>
      </c>
      <c r="BC325" s="798">
        <f t="shared" si="321"/>
        <v>1</v>
      </c>
      <c r="BD325" s="798">
        <f t="shared" si="321"/>
        <v>1</v>
      </c>
      <c r="BE325" s="798">
        <f t="shared" si="321"/>
        <v>1</v>
      </c>
      <c r="BF325" s="798">
        <f t="shared" si="321"/>
        <v>1</v>
      </c>
      <c r="BG325" s="798">
        <f t="shared" si="321"/>
        <v>1</v>
      </c>
      <c r="BH325" s="798">
        <f t="shared" si="321"/>
        <v>1</v>
      </c>
      <c r="BI325" s="798">
        <f t="shared" si="321"/>
        <v>1</v>
      </c>
      <c r="BJ325" s="798">
        <f t="shared" si="321"/>
        <v>1</v>
      </c>
      <c r="BK325" s="798">
        <f t="shared" si="321"/>
        <v>1</v>
      </c>
      <c r="BL325" s="765"/>
      <c r="BM325" s="817"/>
      <c r="BN325" s="817"/>
    </row>
    <row r="326" hidden="1">
      <c r="A326" s="765"/>
      <c r="B326" s="765"/>
      <c r="C326" s="765"/>
      <c r="D326" s="765"/>
      <c r="E326" s="765"/>
      <c r="F326" s="765"/>
      <c r="G326" s="765"/>
      <c r="H326" s="765"/>
      <c r="I326" s="765">
        <f t="shared" si="17"/>
        <v>315</v>
      </c>
      <c r="J326" s="763">
        <f t="shared" si="5"/>
        <v>1932487327582</v>
      </c>
      <c r="K326" s="796">
        <f t="shared" si="7"/>
        <v>0.39129</v>
      </c>
      <c r="L326" s="796">
        <v>5.0E-4</v>
      </c>
      <c r="M326" s="763">
        <v>2.20352032791602E12</v>
      </c>
      <c r="N326" s="797">
        <f t="shared" si="8"/>
        <v>0</v>
      </c>
      <c r="O326" s="798">
        <f t="shared" ref="O326:BK326" si="322">FLOOR(MIN((((N("value of ELS upgrade")+N$8*($K326-$K325))*(N("Check checkbox")+(IF($G$6=TRUE,$G$7,$G$8))/$G$8))/(N("ROI of ELS and multiply by 2 if ELS is 1:1")+IF($G$12 = True, 2, 1) * $J326))/((N("difference in ELS+ and the cost of it")+(($K325*O$8)-($K325*N$8)) / O$7)),(N("MIN lets it return 0 or 1 after floored")+1)),1)</f>
        <v>0</v>
      </c>
      <c r="P326" s="798">
        <f t="shared" si="322"/>
        <v>0</v>
      </c>
      <c r="Q326" s="798">
        <f t="shared" si="322"/>
        <v>0</v>
      </c>
      <c r="R326" s="798">
        <f t="shared" si="322"/>
        <v>0</v>
      </c>
      <c r="S326" s="798">
        <f t="shared" si="322"/>
        <v>0</v>
      </c>
      <c r="T326" s="798">
        <f t="shared" si="322"/>
        <v>0</v>
      </c>
      <c r="U326" s="798">
        <f t="shared" si="322"/>
        <v>0</v>
      </c>
      <c r="V326" s="798">
        <f t="shared" si="322"/>
        <v>0</v>
      </c>
      <c r="W326" s="798">
        <f t="shared" si="322"/>
        <v>1</v>
      </c>
      <c r="X326" s="798">
        <f t="shared" si="322"/>
        <v>1</v>
      </c>
      <c r="Y326" s="798">
        <f t="shared" si="322"/>
        <v>1</v>
      </c>
      <c r="Z326" s="798">
        <f t="shared" si="322"/>
        <v>1</v>
      </c>
      <c r="AA326" s="798">
        <f t="shared" si="322"/>
        <v>1</v>
      </c>
      <c r="AB326" s="798">
        <f t="shared" si="322"/>
        <v>1</v>
      </c>
      <c r="AC326" s="798">
        <f t="shared" si="322"/>
        <v>1</v>
      </c>
      <c r="AD326" s="798">
        <f t="shared" si="322"/>
        <v>1</v>
      </c>
      <c r="AE326" s="798">
        <f t="shared" si="322"/>
        <v>1</v>
      </c>
      <c r="AF326" s="798">
        <f t="shared" si="322"/>
        <v>1</v>
      </c>
      <c r="AG326" s="798">
        <f t="shared" si="322"/>
        <v>1</v>
      </c>
      <c r="AH326" s="798">
        <f t="shared" si="322"/>
        <v>1</v>
      </c>
      <c r="AI326" s="798">
        <f t="shared" si="322"/>
        <v>1</v>
      </c>
      <c r="AJ326" s="798">
        <f t="shared" si="322"/>
        <v>1</v>
      </c>
      <c r="AK326" s="798">
        <f t="shared" si="322"/>
        <v>1</v>
      </c>
      <c r="AL326" s="798">
        <f t="shared" si="322"/>
        <v>1</v>
      </c>
      <c r="AM326" s="798">
        <f t="shared" si="322"/>
        <v>1</v>
      </c>
      <c r="AN326" s="798">
        <f t="shared" si="322"/>
        <v>1</v>
      </c>
      <c r="AO326" s="798">
        <f t="shared" si="322"/>
        <v>1</v>
      </c>
      <c r="AP326" s="798">
        <f t="shared" si="322"/>
        <v>1</v>
      </c>
      <c r="AQ326" s="798">
        <f t="shared" si="322"/>
        <v>1</v>
      </c>
      <c r="AR326" s="798">
        <f t="shared" si="322"/>
        <v>1</v>
      </c>
      <c r="AS326" s="798">
        <f t="shared" si="322"/>
        <v>1</v>
      </c>
      <c r="AT326" s="798">
        <f t="shared" si="322"/>
        <v>1</v>
      </c>
      <c r="AU326" s="798">
        <f t="shared" si="322"/>
        <v>1</v>
      </c>
      <c r="AV326" s="798">
        <f t="shared" si="322"/>
        <v>1</v>
      </c>
      <c r="AW326" s="798">
        <f t="shared" si="322"/>
        <v>1</v>
      </c>
      <c r="AX326" s="798">
        <f t="shared" si="322"/>
        <v>1</v>
      </c>
      <c r="AY326" s="798">
        <f t="shared" si="322"/>
        <v>1</v>
      </c>
      <c r="AZ326" s="798">
        <f t="shared" si="322"/>
        <v>1</v>
      </c>
      <c r="BA326" s="798">
        <f t="shared" si="322"/>
        <v>1</v>
      </c>
      <c r="BB326" s="798">
        <f t="shared" si="322"/>
        <v>1</v>
      </c>
      <c r="BC326" s="798">
        <f t="shared" si="322"/>
        <v>1</v>
      </c>
      <c r="BD326" s="798">
        <f t="shared" si="322"/>
        <v>1</v>
      </c>
      <c r="BE326" s="798">
        <f t="shared" si="322"/>
        <v>1</v>
      </c>
      <c r="BF326" s="798">
        <f t="shared" si="322"/>
        <v>1</v>
      </c>
      <c r="BG326" s="798">
        <f t="shared" si="322"/>
        <v>1</v>
      </c>
      <c r="BH326" s="798">
        <f t="shared" si="322"/>
        <v>1</v>
      </c>
      <c r="BI326" s="798">
        <f t="shared" si="322"/>
        <v>1</v>
      </c>
      <c r="BJ326" s="798">
        <f t="shared" si="322"/>
        <v>1</v>
      </c>
      <c r="BK326" s="798">
        <f t="shared" si="322"/>
        <v>1</v>
      </c>
      <c r="BL326" s="765"/>
      <c r="BM326" s="817"/>
      <c r="BN326" s="817"/>
    </row>
    <row r="327" hidden="1">
      <c r="A327" s="765"/>
      <c r="B327" s="765"/>
      <c r="C327" s="765"/>
      <c r="D327" s="765"/>
      <c r="E327" s="765"/>
      <c r="F327" s="765"/>
      <c r="G327" s="765"/>
      <c r="H327" s="765"/>
      <c r="I327" s="765">
        <f t="shared" si="17"/>
        <v>316</v>
      </c>
      <c r="J327" s="763">
        <f t="shared" si="5"/>
        <v>1940501312884</v>
      </c>
      <c r="K327" s="796">
        <f t="shared" si="7"/>
        <v>0.39179</v>
      </c>
      <c r="L327" s="796">
        <v>5.0E-4</v>
      </c>
      <c r="M327" s="763">
        <v>2.21265828151025E12</v>
      </c>
      <c r="N327" s="797">
        <f t="shared" si="8"/>
        <v>0</v>
      </c>
      <c r="O327" s="798">
        <f t="shared" ref="O327:BK327" si="323">FLOOR(MIN((((N("value of ELS upgrade")+N$8*($K327-$K326))*(N("Check checkbox")+(IF($G$6=TRUE,$G$7,$G$8))/$G$8))/(N("ROI of ELS and multiply by 2 if ELS is 1:1")+IF($G$12 = True, 2, 1) * $J327))/((N("difference in ELS+ and the cost of it")+(($K326*O$8)-($K326*N$8)) / O$7)),(N("MIN lets it return 0 or 1 after floored")+1)),1)</f>
        <v>0</v>
      </c>
      <c r="P327" s="798">
        <f t="shared" si="323"/>
        <v>0</v>
      </c>
      <c r="Q327" s="798">
        <f t="shared" si="323"/>
        <v>0</v>
      </c>
      <c r="R327" s="798">
        <f t="shared" si="323"/>
        <v>0</v>
      </c>
      <c r="S327" s="798">
        <f t="shared" si="323"/>
        <v>0</v>
      </c>
      <c r="T327" s="798">
        <f t="shared" si="323"/>
        <v>0</v>
      </c>
      <c r="U327" s="798">
        <f t="shared" si="323"/>
        <v>0</v>
      </c>
      <c r="V327" s="798">
        <f t="shared" si="323"/>
        <v>0</v>
      </c>
      <c r="W327" s="798">
        <f t="shared" si="323"/>
        <v>1</v>
      </c>
      <c r="X327" s="798">
        <f t="shared" si="323"/>
        <v>1</v>
      </c>
      <c r="Y327" s="798">
        <f t="shared" si="323"/>
        <v>1</v>
      </c>
      <c r="Z327" s="798">
        <f t="shared" si="323"/>
        <v>1</v>
      </c>
      <c r="AA327" s="798">
        <f t="shared" si="323"/>
        <v>1</v>
      </c>
      <c r="AB327" s="798">
        <f t="shared" si="323"/>
        <v>1</v>
      </c>
      <c r="AC327" s="798">
        <f t="shared" si="323"/>
        <v>1</v>
      </c>
      <c r="AD327" s="798">
        <f t="shared" si="323"/>
        <v>1</v>
      </c>
      <c r="AE327" s="798">
        <f t="shared" si="323"/>
        <v>1</v>
      </c>
      <c r="AF327" s="798">
        <f t="shared" si="323"/>
        <v>1</v>
      </c>
      <c r="AG327" s="798">
        <f t="shared" si="323"/>
        <v>1</v>
      </c>
      <c r="AH327" s="798">
        <f t="shared" si="323"/>
        <v>1</v>
      </c>
      <c r="AI327" s="798">
        <f t="shared" si="323"/>
        <v>1</v>
      </c>
      <c r="AJ327" s="798">
        <f t="shared" si="323"/>
        <v>1</v>
      </c>
      <c r="AK327" s="798">
        <f t="shared" si="323"/>
        <v>1</v>
      </c>
      <c r="AL327" s="798">
        <f t="shared" si="323"/>
        <v>1</v>
      </c>
      <c r="AM327" s="798">
        <f t="shared" si="323"/>
        <v>1</v>
      </c>
      <c r="AN327" s="798">
        <f t="shared" si="323"/>
        <v>1</v>
      </c>
      <c r="AO327" s="798">
        <f t="shared" si="323"/>
        <v>1</v>
      </c>
      <c r="AP327" s="798">
        <f t="shared" si="323"/>
        <v>1</v>
      </c>
      <c r="AQ327" s="798">
        <f t="shared" si="323"/>
        <v>1</v>
      </c>
      <c r="AR327" s="798">
        <f t="shared" si="323"/>
        <v>1</v>
      </c>
      <c r="AS327" s="798">
        <f t="shared" si="323"/>
        <v>1</v>
      </c>
      <c r="AT327" s="798">
        <f t="shared" si="323"/>
        <v>1</v>
      </c>
      <c r="AU327" s="798">
        <f t="shared" si="323"/>
        <v>1</v>
      </c>
      <c r="AV327" s="798">
        <f t="shared" si="323"/>
        <v>1</v>
      </c>
      <c r="AW327" s="798">
        <f t="shared" si="323"/>
        <v>1</v>
      </c>
      <c r="AX327" s="798">
        <f t="shared" si="323"/>
        <v>1</v>
      </c>
      <c r="AY327" s="798">
        <f t="shared" si="323"/>
        <v>1</v>
      </c>
      <c r="AZ327" s="798">
        <f t="shared" si="323"/>
        <v>1</v>
      </c>
      <c r="BA327" s="798">
        <f t="shared" si="323"/>
        <v>1</v>
      </c>
      <c r="BB327" s="798">
        <f t="shared" si="323"/>
        <v>1</v>
      </c>
      <c r="BC327" s="798">
        <f t="shared" si="323"/>
        <v>1</v>
      </c>
      <c r="BD327" s="798">
        <f t="shared" si="323"/>
        <v>1</v>
      </c>
      <c r="BE327" s="798">
        <f t="shared" si="323"/>
        <v>1</v>
      </c>
      <c r="BF327" s="798">
        <f t="shared" si="323"/>
        <v>1</v>
      </c>
      <c r="BG327" s="798">
        <f t="shared" si="323"/>
        <v>1</v>
      </c>
      <c r="BH327" s="798">
        <f t="shared" si="323"/>
        <v>1</v>
      </c>
      <c r="BI327" s="798">
        <f t="shared" si="323"/>
        <v>1</v>
      </c>
      <c r="BJ327" s="798">
        <f t="shared" si="323"/>
        <v>1</v>
      </c>
      <c r="BK327" s="798">
        <f t="shared" si="323"/>
        <v>1</v>
      </c>
      <c r="BL327" s="765"/>
      <c r="BM327" s="817"/>
      <c r="BN327" s="817"/>
    </row>
    <row r="328" hidden="1">
      <c r="A328" s="765"/>
      <c r="B328" s="765"/>
      <c r="C328" s="765"/>
      <c r="D328" s="765"/>
      <c r="E328" s="765"/>
      <c r="F328" s="765"/>
      <c r="G328" s="765"/>
      <c r="H328" s="765"/>
      <c r="I328" s="765">
        <f t="shared" si="17"/>
        <v>317</v>
      </c>
      <c r="J328" s="763">
        <f t="shared" si="5"/>
        <v>1948538251767</v>
      </c>
      <c r="K328" s="796">
        <f t="shared" si="7"/>
        <v>0.39229</v>
      </c>
      <c r="L328" s="796">
        <v>5.0E-4</v>
      </c>
      <c r="M328" s="763">
        <v>2.22182240794398E12</v>
      </c>
      <c r="N328" s="797">
        <f t="shared" si="8"/>
        <v>0</v>
      </c>
      <c r="O328" s="798">
        <f t="shared" ref="O328:BK328" si="324">FLOOR(MIN((((N("value of ELS upgrade")+N$8*($K328-$K327))*(N("Check checkbox")+(IF($G$6=TRUE,$G$7,$G$8))/$G$8))/(N("ROI of ELS and multiply by 2 if ELS is 1:1")+IF($G$12 = True, 2, 1) * $J328))/((N("difference in ELS+ and the cost of it")+(($K327*O$8)-($K327*N$8)) / O$7)),(N("MIN lets it return 0 or 1 after floored")+1)),1)</f>
        <v>0</v>
      </c>
      <c r="P328" s="798">
        <f t="shared" si="324"/>
        <v>0</v>
      </c>
      <c r="Q328" s="798">
        <f t="shared" si="324"/>
        <v>0</v>
      </c>
      <c r="R328" s="798">
        <f t="shared" si="324"/>
        <v>0</v>
      </c>
      <c r="S328" s="798">
        <f t="shared" si="324"/>
        <v>0</v>
      </c>
      <c r="T328" s="798">
        <f t="shared" si="324"/>
        <v>0</v>
      </c>
      <c r="U328" s="798">
        <f t="shared" si="324"/>
        <v>0</v>
      </c>
      <c r="V328" s="798">
        <f t="shared" si="324"/>
        <v>0</v>
      </c>
      <c r="W328" s="798">
        <f t="shared" si="324"/>
        <v>1</v>
      </c>
      <c r="X328" s="798">
        <f t="shared" si="324"/>
        <v>1</v>
      </c>
      <c r="Y328" s="798">
        <f t="shared" si="324"/>
        <v>1</v>
      </c>
      <c r="Z328" s="798">
        <f t="shared" si="324"/>
        <v>1</v>
      </c>
      <c r="AA328" s="798">
        <f t="shared" si="324"/>
        <v>1</v>
      </c>
      <c r="AB328" s="798">
        <f t="shared" si="324"/>
        <v>1</v>
      </c>
      <c r="AC328" s="798">
        <f t="shared" si="324"/>
        <v>1</v>
      </c>
      <c r="AD328" s="798">
        <f t="shared" si="324"/>
        <v>1</v>
      </c>
      <c r="AE328" s="798">
        <f t="shared" si="324"/>
        <v>1</v>
      </c>
      <c r="AF328" s="798">
        <f t="shared" si="324"/>
        <v>1</v>
      </c>
      <c r="AG328" s="798">
        <f t="shared" si="324"/>
        <v>1</v>
      </c>
      <c r="AH328" s="798">
        <f t="shared" si="324"/>
        <v>1</v>
      </c>
      <c r="AI328" s="798">
        <f t="shared" si="324"/>
        <v>1</v>
      </c>
      <c r="AJ328" s="798">
        <f t="shared" si="324"/>
        <v>1</v>
      </c>
      <c r="AK328" s="798">
        <f t="shared" si="324"/>
        <v>1</v>
      </c>
      <c r="AL328" s="798">
        <f t="shared" si="324"/>
        <v>1</v>
      </c>
      <c r="AM328" s="798">
        <f t="shared" si="324"/>
        <v>1</v>
      </c>
      <c r="AN328" s="798">
        <f t="shared" si="324"/>
        <v>1</v>
      </c>
      <c r="AO328" s="798">
        <f t="shared" si="324"/>
        <v>1</v>
      </c>
      <c r="AP328" s="798">
        <f t="shared" si="324"/>
        <v>1</v>
      </c>
      <c r="AQ328" s="798">
        <f t="shared" si="324"/>
        <v>1</v>
      </c>
      <c r="AR328" s="798">
        <f t="shared" si="324"/>
        <v>1</v>
      </c>
      <c r="AS328" s="798">
        <f t="shared" si="324"/>
        <v>1</v>
      </c>
      <c r="AT328" s="798">
        <f t="shared" si="324"/>
        <v>1</v>
      </c>
      <c r="AU328" s="798">
        <f t="shared" si="324"/>
        <v>1</v>
      </c>
      <c r="AV328" s="798">
        <f t="shared" si="324"/>
        <v>1</v>
      </c>
      <c r="AW328" s="798">
        <f t="shared" si="324"/>
        <v>1</v>
      </c>
      <c r="AX328" s="798">
        <f t="shared" si="324"/>
        <v>1</v>
      </c>
      <c r="AY328" s="798">
        <f t="shared" si="324"/>
        <v>1</v>
      </c>
      <c r="AZ328" s="798">
        <f t="shared" si="324"/>
        <v>1</v>
      </c>
      <c r="BA328" s="798">
        <f t="shared" si="324"/>
        <v>1</v>
      </c>
      <c r="BB328" s="798">
        <f t="shared" si="324"/>
        <v>1</v>
      </c>
      <c r="BC328" s="798">
        <f t="shared" si="324"/>
        <v>1</v>
      </c>
      <c r="BD328" s="798">
        <f t="shared" si="324"/>
        <v>1</v>
      </c>
      <c r="BE328" s="798">
        <f t="shared" si="324"/>
        <v>1</v>
      </c>
      <c r="BF328" s="798">
        <f t="shared" si="324"/>
        <v>1</v>
      </c>
      <c r="BG328" s="798">
        <f t="shared" si="324"/>
        <v>1</v>
      </c>
      <c r="BH328" s="798">
        <f t="shared" si="324"/>
        <v>1</v>
      </c>
      <c r="BI328" s="798">
        <f t="shared" si="324"/>
        <v>1</v>
      </c>
      <c r="BJ328" s="798">
        <f t="shared" si="324"/>
        <v>1</v>
      </c>
      <c r="BK328" s="798">
        <f t="shared" si="324"/>
        <v>1</v>
      </c>
      <c r="BL328" s="765"/>
      <c r="BM328" s="817"/>
      <c r="BN328" s="817"/>
    </row>
    <row r="329" hidden="1">
      <c r="A329" s="765"/>
      <c r="B329" s="765"/>
      <c r="C329" s="765"/>
      <c r="D329" s="765"/>
      <c r="E329" s="765"/>
      <c r="F329" s="765"/>
      <c r="G329" s="765"/>
      <c r="H329" s="765"/>
      <c r="I329" s="765">
        <f t="shared" si="17"/>
        <v>318</v>
      </c>
      <c r="J329" s="763">
        <f t="shared" si="5"/>
        <v>1956598282742</v>
      </c>
      <c r="K329" s="796">
        <f t="shared" si="7"/>
        <v>0.39279</v>
      </c>
      <c r="L329" s="796">
        <v>5.0E-4</v>
      </c>
      <c r="M329" s="763">
        <v>2.23101286515675E12</v>
      </c>
      <c r="N329" s="797">
        <f t="shared" si="8"/>
        <v>0</v>
      </c>
      <c r="O329" s="798">
        <f t="shared" ref="O329:BK329" si="325">FLOOR(MIN((((N("value of ELS upgrade")+N$8*($K329-$K328))*(N("Check checkbox")+(IF($G$6=TRUE,$G$7,$G$8))/$G$8))/(N("ROI of ELS and multiply by 2 if ELS is 1:1")+IF($G$12 = True, 2, 1) * $J329))/((N("difference in ELS+ and the cost of it")+(($K328*O$8)-($K328*N$8)) / O$7)),(N("MIN lets it return 0 or 1 after floored")+1)),1)</f>
        <v>0</v>
      </c>
      <c r="P329" s="798">
        <f t="shared" si="325"/>
        <v>0</v>
      </c>
      <c r="Q329" s="798">
        <f t="shared" si="325"/>
        <v>0</v>
      </c>
      <c r="R329" s="798">
        <f t="shared" si="325"/>
        <v>0</v>
      </c>
      <c r="S329" s="798">
        <f t="shared" si="325"/>
        <v>0</v>
      </c>
      <c r="T329" s="798">
        <f t="shared" si="325"/>
        <v>0</v>
      </c>
      <c r="U329" s="798">
        <f t="shared" si="325"/>
        <v>0</v>
      </c>
      <c r="V329" s="798">
        <f t="shared" si="325"/>
        <v>0</v>
      </c>
      <c r="W329" s="798">
        <f t="shared" si="325"/>
        <v>1</v>
      </c>
      <c r="X329" s="798">
        <f t="shared" si="325"/>
        <v>1</v>
      </c>
      <c r="Y329" s="798">
        <f t="shared" si="325"/>
        <v>1</v>
      </c>
      <c r="Z329" s="798">
        <f t="shared" si="325"/>
        <v>1</v>
      </c>
      <c r="AA329" s="798">
        <f t="shared" si="325"/>
        <v>1</v>
      </c>
      <c r="AB329" s="798">
        <f t="shared" si="325"/>
        <v>1</v>
      </c>
      <c r="AC329" s="798">
        <f t="shared" si="325"/>
        <v>1</v>
      </c>
      <c r="AD329" s="798">
        <f t="shared" si="325"/>
        <v>1</v>
      </c>
      <c r="AE329" s="798">
        <f t="shared" si="325"/>
        <v>1</v>
      </c>
      <c r="AF329" s="798">
        <f t="shared" si="325"/>
        <v>1</v>
      </c>
      <c r="AG329" s="798">
        <f t="shared" si="325"/>
        <v>1</v>
      </c>
      <c r="AH329" s="798">
        <f t="shared" si="325"/>
        <v>1</v>
      </c>
      <c r="AI329" s="798">
        <f t="shared" si="325"/>
        <v>1</v>
      </c>
      <c r="AJ329" s="798">
        <f t="shared" si="325"/>
        <v>1</v>
      </c>
      <c r="AK329" s="798">
        <f t="shared" si="325"/>
        <v>1</v>
      </c>
      <c r="AL329" s="798">
        <f t="shared" si="325"/>
        <v>1</v>
      </c>
      <c r="AM329" s="798">
        <f t="shared" si="325"/>
        <v>1</v>
      </c>
      <c r="AN329" s="798">
        <f t="shared" si="325"/>
        <v>1</v>
      </c>
      <c r="AO329" s="798">
        <f t="shared" si="325"/>
        <v>1</v>
      </c>
      <c r="AP329" s="798">
        <f t="shared" si="325"/>
        <v>1</v>
      </c>
      <c r="AQ329" s="798">
        <f t="shared" si="325"/>
        <v>1</v>
      </c>
      <c r="AR329" s="798">
        <f t="shared" si="325"/>
        <v>1</v>
      </c>
      <c r="AS329" s="798">
        <f t="shared" si="325"/>
        <v>1</v>
      </c>
      <c r="AT329" s="798">
        <f t="shared" si="325"/>
        <v>1</v>
      </c>
      <c r="AU329" s="798">
        <f t="shared" si="325"/>
        <v>1</v>
      </c>
      <c r="AV329" s="798">
        <f t="shared" si="325"/>
        <v>1</v>
      </c>
      <c r="AW329" s="798">
        <f t="shared" si="325"/>
        <v>1</v>
      </c>
      <c r="AX329" s="798">
        <f t="shared" si="325"/>
        <v>1</v>
      </c>
      <c r="AY329" s="798">
        <f t="shared" si="325"/>
        <v>1</v>
      </c>
      <c r="AZ329" s="798">
        <f t="shared" si="325"/>
        <v>1</v>
      </c>
      <c r="BA329" s="798">
        <f t="shared" si="325"/>
        <v>1</v>
      </c>
      <c r="BB329" s="798">
        <f t="shared" si="325"/>
        <v>1</v>
      </c>
      <c r="BC329" s="798">
        <f t="shared" si="325"/>
        <v>1</v>
      </c>
      <c r="BD329" s="798">
        <f t="shared" si="325"/>
        <v>1</v>
      </c>
      <c r="BE329" s="798">
        <f t="shared" si="325"/>
        <v>1</v>
      </c>
      <c r="BF329" s="798">
        <f t="shared" si="325"/>
        <v>1</v>
      </c>
      <c r="BG329" s="798">
        <f t="shared" si="325"/>
        <v>1</v>
      </c>
      <c r="BH329" s="798">
        <f t="shared" si="325"/>
        <v>1</v>
      </c>
      <c r="BI329" s="798">
        <f t="shared" si="325"/>
        <v>1</v>
      </c>
      <c r="BJ329" s="798">
        <f t="shared" si="325"/>
        <v>1</v>
      </c>
      <c r="BK329" s="798">
        <f t="shared" si="325"/>
        <v>1</v>
      </c>
      <c r="BL329" s="765"/>
      <c r="BM329" s="817"/>
      <c r="BN329" s="817"/>
    </row>
    <row r="330" hidden="1">
      <c r="A330" s="765"/>
      <c r="B330" s="765"/>
      <c r="C330" s="765"/>
      <c r="D330" s="765"/>
      <c r="E330" s="765"/>
      <c r="F330" s="765"/>
      <c r="G330" s="765"/>
      <c r="H330" s="765"/>
      <c r="I330" s="765">
        <f t="shared" si="17"/>
        <v>319</v>
      </c>
      <c r="J330" s="763">
        <f t="shared" si="5"/>
        <v>1964681445386</v>
      </c>
      <c r="K330" s="796">
        <f t="shared" si="7"/>
        <v>0.39329</v>
      </c>
      <c r="L330" s="796">
        <v>5.0E-4</v>
      </c>
      <c r="M330" s="763">
        <v>2.24022969827416E12</v>
      </c>
      <c r="N330" s="797">
        <f t="shared" si="8"/>
        <v>0</v>
      </c>
      <c r="O330" s="798">
        <f t="shared" ref="O330:BK330" si="326">FLOOR(MIN((((N("value of ELS upgrade")+N$8*($K330-$K329))*(N("Check checkbox")+(IF($G$6=TRUE,$G$7,$G$8))/$G$8))/(N("ROI of ELS and multiply by 2 if ELS is 1:1")+IF($G$12 = True, 2, 1) * $J330))/((N("difference in ELS+ and the cost of it")+(($K329*O$8)-($K329*N$8)) / O$7)),(N("MIN lets it return 0 or 1 after floored")+1)),1)</f>
        <v>0</v>
      </c>
      <c r="P330" s="798">
        <f t="shared" si="326"/>
        <v>0</v>
      </c>
      <c r="Q330" s="798">
        <f t="shared" si="326"/>
        <v>0</v>
      </c>
      <c r="R330" s="798">
        <f t="shared" si="326"/>
        <v>0</v>
      </c>
      <c r="S330" s="798">
        <f t="shared" si="326"/>
        <v>0</v>
      </c>
      <c r="T330" s="798">
        <f t="shared" si="326"/>
        <v>0</v>
      </c>
      <c r="U330" s="798">
        <f t="shared" si="326"/>
        <v>0</v>
      </c>
      <c r="V330" s="798">
        <f t="shared" si="326"/>
        <v>0</v>
      </c>
      <c r="W330" s="798">
        <f t="shared" si="326"/>
        <v>1</v>
      </c>
      <c r="X330" s="798">
        <f t="shared" si="326"/>
        <v>1</v>
      </c>
      <c r="Y330" s="798">
        <f t="shared" si="326"/>
        <v>1</v>
      </c>
      <c r="Z330" s="798">
        <f t="shared" si="326"/>
        <v>1</v>
      </c>
      <c r="AA330" s="798">
        <f t="shared" si="326"/>
        <v>1</v>
      </c>
      <c r="AB330" s="798">
        <f t="shared" si="326"/>
        <v>1</v>
      </c>
      <c r="AC330" s="798">
        <f t="shared" si="326"/>
        <v>1</v>
      </c>
      <c r="AD330" s="798">
        <f t="shared" si="326"/>
        <v>1</v>
      </c>
      <c r="AE330" s="798">
        <f t="shared" si="326"/>
        <v>1</v>
      </c>
      <c r="AF330" s="798">
        <f t="shared" si="326"/>
        <v>1</v>
      </c>
      <c r="AG330" s="798">
        <f t="shared" si="326"/>
        <v>1</v>
      </c>
      <c r="AH330" s="798">
        <f t="shared" si="326"/>
        <v>1</v>
      </c>
      <c r="AI330" s="798">
        <f t="shared" si="326"/>
        <v>1</v>
      </c>
      <c r="AJ330" s="798">
        <f t="shared" si="326"/>
        <v>1</v>
      </c>
      <c r="AK330" s="798">
        <f t="shared" si="326"/>
        <v>1</v>
      </c>
      <c r="AL330" s="798">
        <f t="shared" si="326"/>
        <v>1</v>
      </c>
      <c r="AM330" s="798">
        <f t="shared" si="326"/>
        <v>1</v>
      </c>
      <c r="AN330" s="798">
        <f t="shared" si="326"/>
        <v>1</v>
      </c>
      <c r="AO330" s="798">
        <f t="shared" si="326"/>
        <v>1</v>
      </c>
      <c r="AP330" s="798">
        <f t="shared" si="326"/>
        <v>1</v>
      </c>
      <c r="AQ330" s="798">
        <f t="shared" si="326"/>
        <v>1</v>
      </c>
      <c r="AR330" s="798">
        <f t="shared" si="326"/>
        <v>1</v>
      </c>
      <c r="AS330" s="798">
        <f t="shared" si="326"/>
        <v>1</v>
      </c>
      <c r="AT330" s="798">
        <f t="shared" si="326"/>
        <v>1</v>
      </c>
      <c r="AU330" s="798">
        <f t="shared" si="326"/>
        <v>1</v>
      </c>
      <c r="AV330" s="798">
        <f t="shared" si="326"/>
        <v>1</v>
      </c>
      <c r="AW330" s="798">
        <f t="shared" si="326"/>
        <v>1</v>
      </c>
      <c r="AX330" s="798">
        <f t="shared" si="326"/>
        <v>1</v>
      </c>
      <c r="AY330" s="798">
        <f t="shared" si="326"/>
        <v>1</v>
      </c>
      <c r="AZ330" s="798">
        <f t="shared" si="326"/>
        <v>1</v>
      </c>
      <c r="BA330" s="798">
        <f t="shared" si="326"/>
        <v>1</v>
      </c>
      <c r="BB330" s="798">
        <f t="shared" si="326"/>
        <v>1</v>
      </c>
      <c r="BC330" s="798">
        <f t="shared" si="326"/>
        <v>1</v>
      </c>
      <c r="BD330" s="798">
        <f t="shared" si="326"/>
        <v>1</v>
      </c>
      <c r="BE330" s="798">
        <f t="shared" si="326"/>
        <v>1</v>
      </c>
      <c r="BF330" s="798">
        <f t="shared" si="326"/>
        <v>1</v>
      </c>
      <c r="BG330" s="798">
        <f t="shared" si="326"/>
        <v>1</v>
      </c>
      <c r="BH330" s="798">
        <f t="shared" si="326"/>
        <v>1</v>
      </c>
      <c r="BI330" s="798">
        <f t="shared" si="326"/>
        <v>1</v>
      </c>
      <c r="BJ330" s="798">
        <f t="shared" si="326"/>
        <v>1</v>
      </c>
      <c r="BK330" s="798">
        <f t="shared" si="326"/>
        <v>1</v>
      </c>
      <c r="BL330" s="765"/>
      <c r="BM330" s="817"/>
      <c r="BN330" s="817"/>
    </row>
    <row r="331" hidden="1">
      <c r="A331" s="765"/>
      <c r="B331" s="765"/>
      <c r="C331" s="765"/>
      <c r="D331" s="765"/>
      <c r="E331" s="765"/>
      <c r="F331" s="765"/>
      <c r="G331" s="765"/>
      <c r="H331" s="765"/>
      <c r="I331" s="765">
        <f t="shared" si="17"/>
        <v>320</v>
      </c>
      <c r="J331" s="763">
        <f t="shared" si="5"/>
        <v>1972787878212</v>
      </c>
      <c r="K331" s="796">
        <f t="shared" si="7"/>
        <v>0.39379</v>
      </c>
      <c r="L331" s="796">
        <v>5.0E-4</v>
      </c>
      <c r="M331" s="763">
        <v>2.24947306523574E12</v>
      </c>
      <c r="N331" s="797">
        <f t="shared" si="8"/>
        <v>0</v>
      </c>
      <c r="O331" s="798">
        <f t="shared" ref="O331:BK331" si="327">FLOOR(MIN((((N("value of ELS upgrade")+N$8*($K331-$K330))*(N("Check checkbox")+(IF($G$6=TRUE,$G$7,$G$8))/$G$8))/(N("ROI of ELS and multiply by 2 if ELS is 1:1")+IF($G$12 = True, 2, 1) * $J331))/((N("difference in ELS+ and the cost of it")+(($K330*O$8)-($K330*N$8)) / O$7)),(N("MIN lets it return 0 or 1 after floored")+1)),1)</f>
        <v>0</v>
      </c>
      <c r="P331" s="798">
        <f t="shared" si="327"/>
        <v>0</v>
      </c>
      <c r="Q331" s="798">
        <f t="shared" si="327"/>
        <v>0</v>
      </c>
      <c r="R331" s="798">
        <f t="shared" si="327"/>
        <v>0</v>
      </c>
      <c r="S331" s="798">
        <f t="shared" si="327"/>
        <v>0</v>
      </c>
      <c r="T331" s="798">
        <f t="shared" si="327"/>
        <v>0</v>
      </c>
      <c r="U331" s="798">
        <f t="shared" si="327"/>
        <v>0</v>
      </c>
      <c r="V331" s="798">
        <f t="shared" si="327"/>
        <v>0</v>
      </c>
      <c r="W331" s="798">
        <f t="shared" si="327"/>
        <v>1</v>
      </c>
      <c r="X331" s="798">
        <f t="shared" si="327"/>
        <v>1</v>
      </c>
      <c r="Y331" s="798">
        <f t="shared" si="327"/>
        <v>1</v>
      </c>
      <c r="Z331" s="798">
        <f t="shared" si="327"/>
        <v>1</v>
      </c>
      <c r="AA331" s="798">
        <f t="shared" si="327"/>
        <v>1</v>
      </c>
      <c r="AB331" s="798">
        <f t="shared" si="327"/>
        <v>1</v>
      </c>
      <c r="AC331" s="798">
        <f t="shared" si="327"/>
        <v>1</v>
      </c>
      <c r="AD331" s="798">
        <f t="shared" si="327"/>
        <v>1</v>
      </c>
      <c r="AE331" s="798">
        <f t="shared" si="327"/>
        <v>1</v>
      </c>
      <c r="AF331" s="798">
        <f t="shared" si="327"/>
        <v>1</v>
      </c>
      <c r="AG331" s="798">
        <f t="shared" si="327"/>
        <v>1</v>
      </c>
      <c r="AH331" s="798">
        <f t="shared" si="327"/>
        <v>1</v>
      </c>
      <c r="AI331" s="798">
        <f t="shared" si="327"/>
        <v>1</v>
      </c>
      <c r="AJ331" s="798">
        <f t="shared" si="327"/>
        <v>1</v>
      </c>
      <c r="AK331" s="798">
        <f t="shared" si="327"/>
        <v>1</v>
      </c>
      <c r="AL331" s="798">
        <f t="shared" si="327"/>
        <v>1</v>
      </c>
      <c r="AM331" s="798">
        <f t="shared" si="327"/>
        <v>1</v>
      </c>
      <c r="AN331" s="798">
        <f t="shared" si="327"/>
        <v>1</v>
      </c>
      <c r="AO331" s="798">
        <f t="shared" si="327"/>
        <v>1</v>
      </c>
      <c r="AP331" s="798">
        <f t="shared" si="327"/>
        <v>1</v>
      </c>
      <c r="AQ331" s="798">
        <f t="shared" si="327"/>
        <v>1</v>
      </c>
      <c r="AR331" s="798">
        <f t="shared" si="327"/>
        <v>1</v>
      </c>
      <c r="AS331" s="798">
        <f t="shared" si="327"/>
        <v>1</v>
      </c>
      <c r="AT331" s="798">
        <f t="shared" si="327"/>
        <v>1</v>
      </c>
      <c r="AU331" s="798">
        <f t="shared" si="327"/>
        <v>1</v>
      </c>
      <c r="AV331" s="798">
        <f t="shared" si="327"/>
        <v>1</v>
      </c>
      <c r="AW331" s="798">
        <f t="shared" si="327"/>
        <v>1</v>
      </c>
      <c r="AX331" s="798">
        <f t="shared" si="327"/>
        <v>1</v>
      </c>
      <c r="AY331" s="798">
        <f t="shared" si="327"/>
        <v>1</v>
      </c>
      <c r="AZ331" s="798">
        <f t="shared" si="327"/>
        <v>1</v>
      </c>
      <c r="BA331" s="798">
        <f t="shared" si="327"/>
        <v>1</v>
      </c>
      <c r="BB331" s="798">
        <f t="shared" si="327"/>
        <v>1</v>
      </c>
      <c r="BC331" s="798">
        <f t="shared" si="327"/>
        <v>1</v>
      </c>
      <c r="BD331" s="798">
        <f t="shared" si="327"/>
        <v>1</v>
      </c>
      <c r="BE331" s="798">
        <f t="shared" si="327"/>
        <v>1</v>
      </c>
      <c r="BF331" s="798">
        <f t="shared" si="327"/>
        <v>1</v>
      </c>
      <c r="BG331" s="798">
        <f t="shared" si="327"/>
        <v>1</v>
      </c>
      <c r="BH331" s="798">
        <f t="shared" si="327"/>
        <v>1</v>
      </c>
      <c r="BI331" s="798">
        <f t="shared" si="327"/>
        <v>1</v>
      </c>
      <c r="BJ331" s="798">
        <f t="shared" si="327"/>
        <v>1</v>
      </c>
      <c r="BK331" s="798">
        <f t="shared" si="327"/>
        <v>1</v>
      </c>
      <c r="BL331" s="765"/>
      <c r="BM331" s="817"/>
      <c r="BN331" s="817"/>
    </row>
    <row r="332" hidden="1">
      <c r="A332" s="765"/>
      <c r="B332" s="765"/>
      <c r="C332" s="765"/>
      <c r="D332" s="765"/>
      <c r="E332" s="765"/>
      <c r="F332" s="765"/>
      <c r="G332" s="765"/>
      <c r="H332" s="765"/>
      <c r="I332" s="765">
        <f t="shared" si="17"/>
        <v>321</v>
      </c>
      <c r="J332" s="763">
        <f t="shared" si="5"/>
        <v>5942753040469</v>
      </c>
      <c r="K332" s="796">
        <f t="shared" si="7"/>
        <v>0.39429</v>
      </c>
      <c r="L332" s="796">
        <v>5.0E-4</v>
      </c>
      <c r="M332" s="763">
        <v>6.77622923656642E12</v>
      </c>
      <c r="N332" s="797">
        <f t="shared" si="8"/>
        <v>0</v>
      </c>
      <c r="O332" s="798">
        <f t="shared" ref="O332:BK332" si="328">FLOOR(MIN((((N("value of ELS upgrade")+N$8*($K332-$K331))*(N("Check checkbox")+(IF($G$6=TRUE,$G$7,$G$8))/$G$8))/(N("ROI of ELS and multiply by 2 if ELS is 1:1")+IF($G$12 = True, 2, 1) * $J332))/((N("difference in ELS+ and the cost of it")+(($K331*O$8)-($K331*N$8)) / O$7)),(N("MIN lets it return 0 or 1 after floored")+1)),1)</f>
        <v>0</v>
      </c>
      <c r="P332" s="798">
        <f t="shared" si="328"/>
        <v>0</v>
      </c>
      <c r="Q332" s="798">
        <f t="shared" si="328"/>
        <v>0</v>
      </c>
      <c r="R332" s="798">
        <f t="shared" si="328"/>
        <v>0</v>
      </c>
      <c r="S332" s="798">
        <f t="shared" si="328"/>
        <v>0</v>
      </c>
      <c r="T332" s="798">
        <f t="shared" si="328"/>
        <v>0</v>
      </c>
      <c r="U332" s="798">
        <f t="shared" si="328"/>
        <v>0</v>
      </c>
      <c r="V332" s="798">
        <f t="shared" si="328"/>
        <v>0</v>
      </c>
      <c r="W332" s="798">
        <f t="shared" si="328"/>
        <v>0</v>
      </c>
      <c r="X332" s="798">
        <f t="shared" si="328"/>
        <v>0</v>
      </c>
      <c r="Y332" s="798">
        <f t="shared" si="328"/>
        <v>0</v>
      </c>
      <c r="Z332" s="798">
        <f t="shared" si="328"/>
        <v>1</v>
      </c>
      <c r="AA332" s="798">
        <f t="shared" si="328"/>
        <v>1</v>
      </c>
      <c r="AB332" s="798">
        <f t="shared" si="328"/>
        <v>1</v>
      </c>
      <c r="AC332" s="798">
        <f t="shared" si="328"/>
        <v>1</v>
      </c>
      <c r="AD332" s="798">
        <f t="shared" si="328"/>
        <v>1</v>
      </c>
      <c r="AE332" s="798">
        <f t="shared" si="328"/>
        <v>1</v>
      </c>
      <c r="AF332" s="798">
        <f t="shared" si="328"/>
        <v>1</v>
      </c>
      <c r="AG332" s="798">
        <f t="shared" si="328"/>
        <v>1</v>
      </c>
      <c r="AH332" s="798">
        <f t="shared" si="328"/>
        <v>1</v>
      </c>
      <c r="AI332" s="798">
        <f t="shared" si="328"/>
        <v>1</v>
      </c>
      <c r="AJ332" s="798">
        <f t="shared" si="328"/>
        <v>1</v>
      </c>
      <c r="AK332" s="798">
        <f t="shared" si="328"/>
        <v>1</v>
      </c>
      <c r="AL332" s="798">
        <f t="shared" si="328"/>
        <v>1</v>
      </c>
      <c r="AM332" s="798">
        <f t="shared" si="328"/>
        <v>1</v>
      </c>
      <c r="AN332" s="798">
        <f t="shared" si="328"/>
        <v>1</v>
      </c>
      <c r="AO332" s="798">
        <f t="shared" si="328"/>
        <v>1</v>
      </c>
      <c r="AP332" s="798">
        <f t="shared" si="328"/>
        <v>1</v>
      </c>
      <c r="AQ332" s="798">
        <f t="shared" si="328"/>
        <v>1</v>
      </c>
      <c r="AR332" s="798">
        <f t="shared" si="328"/>
        <v>1</v>
      </c>
      <c r="AS332" s="798">
        <f t="shared" si="328"/>
        <v>1</v>
      </c>
      <c r="AT332" s="798">
        <f t="shared" si="328"/>
        <v>1</v>
      </c>
      <c r="AU332" s="798">
        <f t="shared" si="328"/>
        <v>1</v>
      </c>
      <c r="AV332" s="798">
        <f t="shared" si="328"/>
        <v>1</v>
      </c>
      <c r="AW332" s="798">
        <f t="shared" si="328"/>
        <v>1</v>
      </c>
      <c r="AX332" s="798">
        <f t="shared" si="328"/>
        <v>1</v>
      </c>
      <c r="AY332" s="798">
        <f t="shared" si="328"/>
        <v>1</v>
      </c>
      <c r="AZ332" s="798">
        <f t="shared" si="328"/>
        <v>1</v>
      </c>
      <c r="BA332" s="798">
        <f t="shared" si="328"/>
        <v>1</v>
      </c>
      <c r="BB332" s="798">
        <f t="shared" si="328"/>
        <v>1</v>
      </c>
      <c r="BC332" s="798">
        <f t="shared" si="328"/>
        <v>1</v>
      </c>
      <c r="BD332" s="798">
        <f t="shared" si="328"/>
        <v>1</v>
      </c>
      <c r="BE332" s="798">
        <f t="shared" si="328"/>
        <v>1</v>
      </c>
      <c r="BF332" s="798">
        <f t="shared" si="328"/>
        <v>1</v>
      </c>
      <c r="BG332" s="798">
        <f t="shared" si="328"/>
        <v>1</v>
      </c>
      <c r="BH332" s="798">
        <f t="shared" si="328"/>
        <v>1</v>
      </c>
      <c r="BI332" s="798">
        <f t="shared" si="328"/>
        <v>1</v>
      </c>
      <c r="BJ332" s="798">
        <f t="shared" si="328"/>
        <v>1</v>
      </c>
      <c r="BK332" s="798">
        <f t="shared" si="328"/>
        <v>1</v>
      </c>
      <c r="BL332" s="765"/>
      <c r="BM332" s="817"/>
      <c r="BN332" s="817"/>
    </row>
    <row r="333" hidden="1">
      <c r="A333" s="765"/>
      <c r="B333" s="765"/>
      <c r="C333" s="765"/>
      <c r="D333" s="765"/>
      <c r="E333" s="765"/>
      <c r="F333" s="765"/>
      <c r="G333" s="765"/>
      <c r="H333" s="765"/>
      <c r="I333" s="765">
        <f t="shared" si="17"/>
        <v>322</v>
      </c>
      <c r="J333" s="763">
        <f t="shared" si="5"/>
        <v>5967212850473</v>
      </c>
      <c r="K333" s="796">
        <f t="shared" si="7"/>
        <v>0.39479</v>
      </c>
      <c r="L333" s="796">
        <v>5.0E-4</v>
      </c>
      <c r="M333" s="763">
        <v>6.80411955584192E12</v>
      </c>
      <c r="N333" s="797">
        <f t="shared" si="8"/>
        <v>0</v>
      </c>
      <c r="O333" s="798">
        <f t="shared" ref="O333:BK333" si="329">FLOOR(MIN((((N("value of ELS upgrade")+N$8*($K333-$K332))*(N("Check checkbox")+(IF($G$6=TRUE,$G$7,$G$8))/$G$8))/(N("ROI of ELS and multiply by 2 if ELS is 1:1")+IF($G$12 = True, 2, 1) * $J333))/((N("difference in ELS+ and the cost of it")+(($K332*O$8)-($K332*N$8)) / O$7)),(N("MIN lets it return 0 or 1 after floored")+1)),1)</f>
        <v>0</v>
      </c>
      <c r="P333" s="798">
        <f t="shared" si="329"/>
        <v>0</v>
      </c>
      <c r="Q333" s="798">
        <f t="shared" si="329"/>
        <v>0</v>
      </c>
      <c r="R333" s="798">
        <f t="shared" si="329"/>
        <v>0</v>
      </c>
      <c r="S333" s="798">
        <f t="shared" si="329"/>
        <v>0</v>
      </c>
      <c r="T333" s="798">
        <f t="shared" si="329"/>
        <v>0</v>
      </c>
      <c r="U333" s="798">
        <f t="shared" si="329"/>
        <v>0</v>
      </c>
      <c r="V333" s="798">
        <f t="shared" si="329"/>
        <v>0</v>
      </c>
      <c r="W333" s="798">
        <f t="shared" si="329"/>
        <v>0</v>
      </c>
      <c r="X333" s="798">
        <f t="shared" si="329"/>
        <v>0</v>
      </c>
      <c r="Y333" s="798">
        <f t="shared" si="329"/>
        <v>0</v>
      </c>
      <c r="Z333" s="798">
        <f t="shared" si="329"/>
        <v>1</v>
      </c>
      <c r="AA333" s="798">
        <f t="shared" si="329"/>
        <v>1</v>
      </c>
      <c r="AB333" s="798">
        <f t="shared" si="329"/>
        <v>1</v>
      </c>
      <c r="AC333" s="798">
        <f t="shared" si="329"/>
        <v>1</v>
      </c>
      <c r="AD333" s="798">
        <f t="shared" si="329"/>
        <v>1</v>
      </c>
      <c r="AE333" s="798">
        <f t="shared" si="329"/>
        <v>1</v>
      </c>
      <c r="AF333" s="798">
        <f t="shared" si="329"/>
        <v>1</v>
      </c>
      <c r="AG333" s="798">
        <f t="shared" si="329"/>
        <v>1</v>
      </c>
      <c r="AH333" s="798">
        <f t="shared" si="329"/>
        <v>1</v>
      </c>
      <c r="AI333" s="798">
        <f t="shared" si="329"/>
        <v>1</v>
      </c>
      <c r="AJ333" s="798">
        <f t="shared" si="329"/>
        <v>1</v>
      </c>
      <c r="AK333" s="798">
        <f t="shared" si="329"/>
        <v>1</v>
      </c>
      <c r="AL333" s="798">
        <f t="shared" si="329"/>
        <v>1</v>
      </c>
      <c r="AM333" s="798">
        <f t="shared" si="329"/>
        <v>1</v>
      </c>
      <c r="AN333" s="798">
        <f t="shared" si="329"/>
        <v>1</v>
      </c>
      <c r="AO333" s="798">
        <f t="shared" si="329"/>
        <v>1</v>
      </c>
      <c r="AP333" s="798">
        <f t="shared" si="329"/>
        <v>1</v>
      </c>
      <c r="AQ333" s="798">
        <f t="shared" si="329"/>
        <v>1</v>
      </c>
      <c r="AR333" s="798">
        <f t="shared" si="329"/>
        <v>1</v>
      </c>
      <c r="AS333" s="798">
        <f t="shared" si="329"/>
        <v>1</v>
      </c>
      <c r="AT333" s="798">
        <f t="shared" si="329"/>
        <v>1</v>
      </c>
      <c r="AU333" s="798">
        <f t="shared" si="329"/>
        <v>1</v>
      </c>
      <c r="AV333" s="798">
        <f t="shared" si="329"/>
        <v>1</v>
      </c>
      <c r="AW333" s="798">
        <f t="shared" si="329"/>
        <v>1</v>
      </c>
      <c r="AX333" s="798">
        <f t="shared" si="329"/>
        <v>1</v>
      </c>
      <c r="AY333" s="798">
        <f t="shared" si="329"/>
        <v>1</v>
      </c>
      <c r="AZ333" s="798">
        <f t="shared" si="329"/>
        <v>1</v>
      </c>
      <c r="BA333" s="798">
        <f t="shared" si="329"/>
        <v>1</v>
      </c>
      <c r="BB333" s="798">
        <f t="shared" si="329"/>
        <v>1</v>
      </c>
      <c r="BC333" s="798">
        <f t="shared" si="329"/>
        <v>1</v>
      </c>
      <c r="BD333" s="798">
        <f t="shared" si="329"/>
        <v>1</v>
      </c>
      <c r="BE333" s="798">
        <f t="shared" si="329"/>
        <v>1</v>
      </c>
      <c r="BF333" s="798">
        <f t="shared" si="329"/>
        <v>1</v>
      </c>
      <c r="BG333" s="798">
        <f t="shared" si="329"/>
        <v>1</v>
      </c>
      <c r="BH333" s="798">
        <f t="shared" si="329"/>
        <v>1</v>
      </c>
      <c r="BI333" s="798">
        <f t="shared" si="329"/>
        <v>1</v>
      </c>
      <c r="BJ333" s="798">
        <f t="shared" si="329"/>
        <v>1</v>
      </c>
      <c r="BK333" s="798">
        <f t="shared" si="329"/>
        <v>1</v>
      </c>
      <c r="BL333" s="765"/>
      <c r="BM333" s="817"/>
      <c r="BN333" s="817"/>
    </row>
    <row r="334" hidden="1">
      <c r="A334" s="765"/>
      <c r="B334" s="765"/>
      <c r="C334" s="765"/>
      <c r="D334" s="765"/>
      <c r="E334" s="765"/>
      <c r="F334" s="765"/>
      <c r="G334" s="765"/>
      <c r="H334" s="765"/>
      <c r="I334" s="765">
        <f t="shared" si="17"/>
        <v>323</v>
      </c>
      <c r="J334" s="763">
        <f t="shared" si="5"/>
        <v>5991743302100</v>
      </c>
      <c r="K334" s="796">
        <f t="shared" si="7"/>
        <v>0.39529</v>
      </c>
      <c r="L334" s="796">
        <v>5.0E-4</v>
      </c>
      <c r="M334" s="763">
        <v>6.83209042428726E12</v>
      </c>
      <c r="N334" s="797">
        <f t="shared" si="8"/>
        <v>0</v>
      </c>
      <c r="O334" s="798">
        <f t="shared" ref="O334:BK334" si="330">FLOOR(MIN((((N("value of ELS upgrade")+N$8*($K334-$K333))*(N("Check checkbox")+(IF($G$6=TRUE,$G$7,$G$8))/$G$8))/(N("ROI of ELS and multiply by 2 if ELS is 1:1")+IF($G$12 = True, 2, 1) * $J334))/((N("difference in ELS+ and the cost of it")+(($K333*O$8)-($K333*N$8)) / O$7)),(N("MIN lets it return 0 or 1 after floored")+1)),1)</f>
        <v>0</v>
      </c>
      <c r="P334" s="798">
        <f t="shared" si="330"/>
        <v>0</v>
      </c>
      <c r="Q334" s="798">
        <f t="shared" si="330"/>
        <v>0</v>
      </c>
      <c r="R334" s="798">
        <f t="shared" si="330"/>
        <v>0</v>
      </c>
      <c r="S334" s="798">
        <f t="shared" si="330"/>
        <v>0</v>
      </c>
      <c r="T334" s="798">
        <f t="shared" si="330"/>
        <v>0</v>
      </c>
      <c r="U334" s="798">
        <f t="shared" si="330"/>
        <v>0</v>
      </c>
      <c r="V334" s="798">
        <f t="shared" si="330"/>
        <v>0</v>
      </c>
      <c r="W334" s="798">
        <f t="shared" si="330"/>
        <v>0</v>
      </c>
      <c r="X334" s="798">
        <f t="shared" si="330"/>
        <v>0</v>
      </c>
      <c r="Y334" s="798">
        <f t="shared" si="330"/>
        <v>0</v>
      </c>
      <c r="Z334" s="798">
        <f t="shared" si="330"/>
        <v>1</v>
      </c>
      <c r="AA334" s="798">
        <f t="shared" si="330"/>
        <v>1</v>
      </c>
      <c r="AB334" s="798">
        <f t="shared" si="330"/>
        <v>1</v>
      </c>
      <c r="AC334" s="798">
        <f t="shared" si="330"/>
        <v>1</v>
      </c>
      <c r="AD334" s="798">
        <f t="shared" si="330"/>
        <v>1</v>
      </c>
      <c r="AE334" s="798">
        <f t="shared" si="330"/>
        <v>1</v>
      </c>
      <c r="AF334" s="798">
        <f t="shared" si="330"/>
        <v>1</v>
      </c>
      <c r="AG334" s="798">
        <f t="shared" si="330"/>
        <v>1</v>
      </c>
      <c r="AH334" s="798">
        <f t="shared" si="330"/>
        <v>1</v>
      </c>
      <c r="AI334" s="798">
        <f t="shared" si="330"/>
        <v>1</v>
      </c>
      <c r="AJ334" s="798">
        <f t="shared" si="330"/>
        <v>1</v>
      </c>
      <c r="AK334" s="798">
        <f t="shared" si="330"/>
        <v>1</v>
      </c>
      <c r="AL334" s="798">
        <f t="shared" si="330"/>
        <v>1</v>
      </c>
      <c r="AM334" s="798">
        <f t="shared" si="330"/>
        <v>1</v>
      </c>
      <c r="AN334" s="798">
        <f t="shared" si="330"/>
        <v>1</v>
      </c>
      <c r="AO334" s="798">
        <f t="shared" si="330"/>
        <v>1</v>
      </c>
      <c r="AP334" s="798">
        <f t="shared" si="330"/>
        <v>1</v>
      </c>
      <c r="AQ334" s="798">
        <f t="shared" si="330"/>
        <v>1</v>
      </c>
      <c r="AR334" s="798">
        <f t="shared" si="330"/>
        <v>1</v>
      </c>
      <c r="AS334" s="798">
        <f t="shared" si="330"/>
        <v>1</v>
      </c>
      <c r="AT334" s="798">
        <f t="shared" si="330"/>
        <v>1</v>
      </c>
      <c r="AU334" s="798">
        <f t="shared" si="330"/>
        <v>1</v>
      </c>
      <c r="AV334" s="798">
        <f t="shared" si="330"/>
        <v>1</v>
      </c>
      <c r="AW334" s="798">
        <f t="shared" si="330"/>
        <v>1</v>
      </c>
      <c r="AX334" s="798">
        <f t="shared" si="330"/>
        <v>1</v>
      </c>
      <c r="AY334" s="798">
        <f t="shared" si="330"/>
        <v>1</v>
      </c>
      <c r="AZ334" s="798">
        <f t="shared" si="330"/>
        <v>1</v>
      </c>
      <c r="BA334" s="798">
        <f t="shared" si="330"/>
        <v>1</v>
      </c>
      <c r="BB334" s="798">
        <f t="shared" si="330"/>
        <v>1</v>
      </c>
      <c r="BC334" s="798">
        <f t="shared" si="330"/>
        <v>1</v>
      </c>
      <c r="BD334" s="798">
        <f t="shared" si="330"/>
        <v>1</v>
      </c>
      <c r="BE334" s="798">
        <f t="shared" si="330"/>
        <v>1</v>
      </c>
      <c r="BF334" s="798">
        <f t="shared" si="330"/>
        <v>1</v>
      </c>
      <c r="BG334" s="798">
        <f t="shared" si="330"/>
        <v>1</v>
      </c>
      <c r="BH334" s="798">
        <f t="shared" si="330"/>
        <v>1</v>
      </c>
      <c r="BI334" s="798">
        <f t="shared" si="330"/>
        <v>1</v>
      </c>
      <c r="BJ334" s="798">
        <f t="shared" si="330"/>
        <v>1</v>
      </c>
      <c r="BK334" s="798">
        <f t="shared" si="330"/>
        <v>1</v>
      </c>
      <c r="BL334" s="765"/>
      <c r="BM334" s="817"/>
      <c r="BN334" s="817"/>
    </row>
    <row r="335" hidden="1">
      <c r="A335" s="765"/>
      <c r="B335" s="765"/>
      <c r="C335" s="765"/>
      <c r="D335" s="765"/>
      <c r="E335" s="765"/>
      <c r="F335" s="765"/>
      <c r="G335" s="765"/>
      <c r="H335" s="765"/>
      <c r="I335" s="765">
        <f t="shared" si="17"/>
        <v>324</v>
      </c>
      <c r="J335" s="763">
        <f t="shared" si="5"/>
        <v>6016344751525</v>
      </c>
      <c r="K335" s="796">
        <f t="shared" si="7"/>
        <v>0.39579</v>
      </c>
      <c r="L335" s="796">
        <v>5.0E-4</v>
      </c>
      <c r="M335" s="763">
        <v>6.8601422480327E12</v>
      </c>
      <c r="N335" s="797">
        <f t="shared" si="8"/>
        <v>0</v>
      </c>
      <c r="O335" s="798">
        <f t="shared" ref="O335:BK335" si="331">FLOOR(MIN((((N("value of ELS upgrade")+N$8*($K335-$K334))*(N("Check checkbox")+(IF($G$6=TRUE,$G$7,$G$8))/$G$8))/(N("ROI of ELS and multiply by 2 if ELS is 1:1")+IF($G$12 = True, 2, 1) * $J335))/((N("difference in ELS+ and the cost of it")+(($K334*O$8)-($K334*N$8)) / O$7)),(N("MIN lets it return 0 or 1 after floored")+1)),1)</f>
        <v>0</v>
      </c>
      <c r="P335" s="798">
        <f t="shared" si="331"/>
        <v>0</v>
      </c>
      <c r="Q335" s="798">
        <f t="shared" si="331"/>
        <v>0</v>
      </c>
      <c r="R335" s="798">
        <f t="shared" si="331"/>
        <v>0</v>
      </c>
      <c r="S335" s="798">
        <f t="shared" si="331"/>
        <v>0</v>
      </c>
      <c r="T335" s="798">
        <f t="shared" si="331"/>
        <v>0</v>
      </c>
      <c r="U335" s="798">
        <f t="shared" si="331"/>
        <v>0</v>
      </c>
      <c r="V335" s="798">
        <f t="shared" si="331"/>
        <v>0</v>
      </c>
      <c r="W335" s="798">
        <f t="shared" si="331"/>
        <v>0</v>
      </c>
      <c r="X335" s="798">
        <f t="shared" si="331"/>
        <v>0</v>
      </c>
      <c r="Y335" s="798">
        <f t="shared" si="331"/>
        <v>0</v>
      </c>
      <c r="Z335" s="798">
        <f t="shared" si="331"/>
        <v>1</v>
      </c>
      <c r="AA335" s="798">
        <f t="shared" si="331"/>
        <v>1</v>
      </c>
      <c r="AB335" s="798">
        <f t="shared" si="331"/>
        <v>1</v>
      </c>
      <c r="AC335" s="798">
        <f t="shared" si="331"/>
        <v>1</v>
      </c>
      <c r="AD335" s="798">
        <f t="shared" si="331"/>
        <v>1</v>
      </c>
      <c r="AE335" s="798">
        <f t="shared" si="331"/>
        <v>1</v>
      </c>
      <c r="AF335" s="798">
        <f t="shared" si="331"/>
        <v>1</v>
      </c>
      <c r="AG335" s="798">
        <f t="shared" si="331"/>
        <v>1</v>
      </c>
      <c r="AH335" s="798">
        <f t="shared" si="331"/>
        <v>1</v>
      </c>
      <c r="AI335" s="798">
        <f t="shared" si="331"/>
        <v>1</v>
      </c>
      <c r="AJ335" s="798">
        <f t="shared" si="331"/>
        <v>1</v>
      </c>
      <c r="AK335" s="798">
        <f t="shared" si="331"/>
        <v>1</v>
      </c>
      <c r="AL335" s="798">
        <f t="shared" si="331"/>
        <v>1</v>
      </c>
      <c r="AM335" s="798">
        <f t="shared" si="331"/>
        <v>1</v>
      </c>
      <c r="AN335" s="798">
        <f t="shared" si="331"/>
        <v>1</v>
      </c>
      <c r="AO335" s="798">
        <f t="shared" si="331"/>
        <v>1</v>
      </c>
      <c r="AP335" s="798">
        <f t="shared" si="331"/>
        <v>1</v>
      </c>
      <c r="AQ335" s="798">
        <f t="shared" si="331"/>
        <v>1</v>
      </c>
      <c r="AR335" s="798">
        <f t="shared" si="331"/>
        <v>1</v>
      </c>
      <c r="AS335" s="798">
        <f t="shared" si="331"/>
        <v>1</v>
      </c>
      <c r="AT335" s="798">
        <f t="shared" si="331"/>
        <v>1</v>
      </c>
      <c r="AU335" s="798">
        <f t="shared" si="331"/>
        <v>1</v>
      </c>
      <c r="AV335" s="798">
        <f t="shared" si="331"/>
        <v>1</v>
      </c>
      <c r="AW335" s="798">
        <f t="shared" si="331"/>
        <v>1</v>
      </c>
      <c r="AX335" s="798">
        <f t="shared" si="331"/>
        <v>1</v>
      </c>
      <c r="AY335" s="798">
        <f t="shared" si="331"/>
        <v>1</v>
      </c>
      <c r="AZ335" s="798">
        <f t="shared" si="331"/>
        <v>1</v>
      </c>
      <c r="BA335" s="798">
        <f t="shared" si="331"/>
        <v>1</v>
      </c>
      <c r="BB335" s="798">
        <f t="shared" si="331"/>
        <v>1</v>
      </c>
      <c r="BC335" s="798">
        <f t="shared" si="331"/>
        <v>1</v>
      </c>
      <c r="BD335" s="798">
        <f t="shared" si="331"/>
        <v>1</v>
      </c>
      <c r="BE335" s="798">
        <f t="shared" si="331"/>
        <v>1</v>
      </c>
      <c r="BF335" s="798">
        <f t="shared" si="331"/>
        <v>1</v>
      </c>
      <c r="BG335" s="798">
        <f t="shared" si="331"/>
        <v>1</v>
      </c>
      <c r="BH335" s="798">
        <f t="shared" si="331"/>
        <v>1</v>
      </c>
      <c r="BI335" s="798">
        <f t="shared" si="331"/>
        <v>1</v>
      </c>
      <c r="BJ335" s="798">
        <f t="shared" si="331"/>
        <v>1</v>
      </c>
      <c r="BK335" s="798">
        <f t="shared" si="331"/>
        <v>1</v>
      </c>
      <c r="BL335" s="765"/>
      <c r="BM335" s="817"/>
      <c r="BN335" s="817"/>
    </row>
    <row r="336" hidden="1">
      <c r="A336" s="765"/>
      <c r="B336" s="765"/>
      <c r="C336" s="765"/>
      <c r="D336" s="765"/>
      <c r="E336" s="765"/>
      <c r="F336" s="765"/>
      <c r="G336" s="765"/>
      <c r="H336" s="765"/>
      <c r="I336" s="765">
        <f t="shared" si="17"/>
        <v>325</v>
      </c>
      <c r="J336" s="763">
        <f t="shared" si="5"/>
        <v>6041017436198</v>
      </c>
      <c r="K336" s="796">
        <f t="shared" si="7"/>
        <v>0.39629</v>
      </c>
      <c r="L336" s="796">
        <v>5.0E-4</v>
      </c>
      <c r="M336" s="763">
        <v>6.88827529783175E12</v>
      </c>
      <c r="N336" s="797">
        <f t="shared" si="8"/>
        <v>0</v>
      </c>
      <c r="O336" s="798">
        <f t="shared" ref="O336:BK336" si="332">FLOOR(MIN((((N("value of ELS upgrade")+N$8*($K336-$K335))*(N("Check checkbox")+(IF($G$6=TRUE,$G$7,$G$8))/$G$8))/(N("ROI of ELS and multiply by 2 if ELS is 1:1")+IF($G$12 = True, 2, 1) * $J336))/((N("difference in ELS+ and the cost of it")+(($K335*O$8)-($K335*N$8)) / O$7)),(N("MIN lets it return 0 or 1 after floored")+1)),1)</f>
        <v>0</v>
      </c>
      <c r="P336" s="798">
        <f t="shared" si="332"/>
        <v>0</v>
      </c>
      <c r="Q336" s="798">
        <f t="shared" si="332"/>
        <v>0</v>
      </c>
      <c r="R336" s="798">
        <f t="shared" si="332"/>
        <v>0</v>
      </c>
      <c r="S336" s="798">
        <f t="shared" si="332"/>
        <v>0</v>
      </c>
      <c r="T336" s="798">
        <f t="shared" si="332"/>
        <v>0</v>
      </c>
      <c r="U336" s="798">
        <f t="shared" si="332"/>
        <v>0</v>
      </c>
      <c r="V336" s="798">
        <f t="shared" si="332"/>
        <v>0</v>
      </c>
      <c r="W336" s="798">
        <f t="shared" si="332"/>
        <v>0</v>
      </c>
      <c r="X336" s="798">
        <f t="shared" si="332"/>
        <v>0</v>
      </c>
      <c r="Y336" s="798">
        <f t="shared" si="332"/>
        <v>0</v>
      </c>
      <c r="Z336" s="798">
        <f t="shared" si="332"/>
        <v>1</v>
      </c>
      <c r="AA336" s="798">
        <f t="shared" si="332"/>
        <v>1</v>
      </c>
      <c r="AB336" s="798">
        <f t="shared" si="332"/>
        <v>1</v>
      </c>
      <c r="AC336" s="798">
        <f t="shared" si="332"/>
        <v>1</v>
      </c>
      <c r="AD336" s="798">
        <f t="shared" si="332"/>
        <v>1</v>
      </c>
      <c r="AE336" s="798">
        <f t="shared" si="332"/>
        <v>1</v>
      </c>
      <c r="AF336" s="798">
        <f t="shared" si="332"/>
        <v>1</v>
      </c>
      <c r="AG336" s="798">
        <f t="shared" si="332"/>
        <v>1</v>
      </c>
      <c r="AH336" s="798">
        <f t="shared" si="332"/>
        <v>1</v>
      </c>
      <c r="AI336" s="798">
        <f t="shared" si="332"/>
        <v>1</v>
      </c>
      <c r="AJ336" s="798">
        <f t="shared" si="332"/>
        <v>1</v>
      </c>
      <c r="AK336" s="798">
        <f t="shared" si="332"/>
        <v>1</v>
      </c>
      <c r="AL336" s="798">
        <f t="shared" si="332"/>
        <v>1</v>
      </c>
      <c r="AM336" s="798">
        <f t="shared" si="332"/>
        <v>1</v>
      </c>
      <c r="AN336" s="798">
        <f t="shared" si="332"/>
        <v>1</v>
      </c>
      <c r="AO336" s="798">
        <f t="shared" si="332"/>
        <v>1</v>
      </c>
      <c r="AP336" s="798">
        <f t="shared" si="332"/>
        <v>1</v>
      </c>
      <c r="AQ336" s="798">
        <f t="shared" si="332"/>
        <v>1</v>
      </c>
      <c r="AR336" s="798">
        <f t="shared" si="332"/>
        <v>1</v>
      </c>
      <c r="AS336" s="798">
        <f t="shared" si="332"/>
        <v>1</v>
      </c>
      <c r="AT336" s="798">
        <f t="shared" si="332"/>
        <v>1</v>
      </c>
      <c r="AU336" s="798">
        <f t="shared" si="332"/>
        <v>1</v>
      </c>
      <c r="AV336" s="798">
        <f t="shared" si="332"/>
        <v>1</v>
      </c>
      <c r="AW336" s="798">
        <f t="shared" si="332"/>
        <v>1</v>
      </c>
      <c r="AX336" s="798">
        <f t="shared" si="332"/>
        <v>1</v>
      </c>
      <c r="AY336" s="798">
        <f t="shared" si="332"/>
        <v>1</v>
      </c>
      <c r="AZ336" s="798">
        <f t="shared" si="332"/>
        <v>1</v>
      </c>
      <c r="BA336" s="798">
        <f t="shared" si="332"/>
        <v>1</v>
      </c>
      <c r="BB336" s="798">
        <f t="shared" si="332"/>
        <v>1</v>
      </c>
      <c r="BC336" s="798">
        <f t="shared" si="332"/>
        <v>1</v>
      </c>
      <c r="BD336" s="798">
        <f t="shared" si="332"/>
        <v>1</v>
      </c>
      <c r="BE336" s="798">
        <f t="shared" si="332"/>
        <v>1</v>
      </c>
      <c r="BF336" s="798">
        <f t="shared" si="332"/>
        <v>1</v>
      </c>
      <c r="BG336" s="798">
        <f t="shared" si="332"/>
        <v>1</v>
      </c>
      <c r="BH336" s="798">
        <f t="shared" si="332"/>
        <v>1</v>
      </c>
      <c r="BI336" s="798">
        <f t="shared" si="332"/>
        <v>1</v>
      </c>
      <c r="BJ336" s="798">
        <f t="shared" si="332"/>
        <v>1</v>
      </c>
      <c r="BK336" s="798">
        <f t="shared" si="332"/>
        <v>1</v>
      </c>
      <c r="BL336" s="765"/>
      <c r="BM336" s="817"/>
      <c r="BN336" s="817"/>
    </row>
    <row r="337" hidden="1">
      <c r="A337" s="765"/>
      <c r="B337" s="765"/>
      <c r="C337" s="765"/>
      <c r="D337" s="765"/>
      <c r="E337" s="765"/>
      <c r="F337" s="765"/>
      <c r="G337" s="765"/>
      <c r="H337" s="765"/>
      <c r="I337" s="765">
        <f t="shared" si="17"/>
        <v>326</v>
      </c>
      <c r="J337" s="763">
        <f t="shared" si="5"/>
        <v>6065761712297</v>
      </c>
      <c r="K337" s="796">
        <f t="shared" si="7"/>
        <v>0.39679</v>
      </c>
      <c r="L337" s="796">
        <v>5.0E-4</v>
      </c>
      <c r="M337" s="763">
        <v>6.91648997981468E12</v>
      </c>
      <c r="N337" s="797">
        <f t="shared" si="8"/>
        <v>0</v>
      </c>
      <c r="O337" s="798">
        <f t="shared" ref="O337:BK337" si="333">FLOOR(MIN((((N("value of ELS upgrade")+N$8*($K337-$K336))*(N("Check checkbox")+(IF($G$6=TRUE,$G$7,$G$8))/$G$8))/(N("ROI of ELS and multiply by 2 if ELS is 1:1")+IF($G$12 = True, 2, 1) * $J337))/((N("difference in ELS+ and the cost of it")+(($K336*O$8)-($K336*N$8)) / O$7)),(N("MIN lets it return 0 or 1 after floored")+1)),1)</f>
        <v>0</v>
      </c>
      <c r="P337" s="798">
        <f t="shared" si="333"/>
        <v>0</v>
      </c>
      <c r="Q337" s="798">
        <f t="shared" si="333"/>
        <v>0</v>
      </c>
      <c r="R337" s="798">
        <f t="shared" si="333"/>
        <v>0</v>
      </c>
      <c r="S337" s="798">
        <f t="shared" si="333"/>
        <v>0</v>
      </c>
      <c r="T337" s="798">
        <f t="shared" si="333"/>
        <v>0</v>
      </c>
      <c r="U337" s="798">
        <f t="shared" si="333"/>
        <v>0</v>
      </c>
      <c r="V337" s="798">
        <f t="shared" si="333"/>
        <v>0</v>
      </c>
      <c r="W337" s="798">
        <f t="shared" si="333"/>
        <v>0</v>
      </c>
      <c r="X337" s="798">
        <f t="shared" si="333"/>
        <v>0</v>
      </c>
      <c r="Y337" s="798">
        <f t="shared" si="333"/>
        <v>0</v>
      </c>
      <c r="Z337" s="798">
        <f t="shared" si="333"/>
        <v>1</v>
      </c>
      <c r="AA337" s="798">
        <f t="shared" si="333"/>
        <v>1</v>
      </c>
      <c r="AB337" s="798">
        <f t="shared" si="333"/>
        <v>1</v>
      </c>
      <c r="AC337" s="798">
        <f t="shared" si="333"/>
        <v>1</v>
      </c>
      <c r="AD337" s="798">
        <f t="shared" si="333"/>
        <v>1</v>
      </c>
      <c r="AE337" s="798">
        <f t="shared" si="333"/>
        <v>1</v>
      </c>
      <c r="AF337" s="798">
        <f t="shared" si="333"/>
        <v>1</v>
      </c>
      <c r="AG337" s="798">
        <f t="shared" si="333"/>
        <v>1</v>
      </c>
      <c r="AH337" s="798">
        <f t="shared" si="333"/>
        <v>1</v>
      </c>
      <c r="AI337" s="798">
        <f t="shared" si="333"/>
        <v>1</v>
      </c>
      <c r="AJ337" s="798">
        <f t="shared" si="333"/>
        <v>1</v>
      </c>
      <c r="AK337" s="798">
        <f t="shared" si="333"/>
        <v>1</v>
      </c>
      <c r="AL337" s="798">
        <f t="shared" si="333"/>
        <v>1</v>
      </c>
      <c r="AM337" s="798">
        <f t="shared" si="333"/>
        <v>1</v>
      </c>
      <c r="AN337" s="798">
        <f t="shared" si="333"/>
        <v>1</v>
      </c>
      <c r="AO337" s="798">
        <f t="shared" si="333"/>
        <v>1</v>
      </c>
      <c r="AP337" s="798">
        <f t="shared" si="333"/>
        <v>1</v>
      </c>
      <c r="AQ337" s="798">
        <f t="shared" si="333"/>
        <v>1</v>
      </c>
      <c r="AR337" s="798">
        <f t="shared" si="333"/>
        <v>1</v>
      </c>
      <c r="AS337" s="798">
        <f t="shared" si="333"/>
        <v>1</v>
      </c>
      <c r="AT337" s="798">
        <f t="shared" si="333"/>
        <v>1</v>
      </c>
      <c r="AU337" s="798">
        <f t="shared" si="333"/>
        <v>1</v>
      </c>
      <c r="AV337" s="798">
        <f t="shared" si="333"/>
        <v>1</v>
      </c>
      <c r="AW337" s="798">
        <f t="shared" si="333"/>
        <v>1</v>
      </c>
      <c r="AX337" s="798">
        <f t="shared" si="333"/>
        <v>1</v>
      </c>
      <c r="AY337" s="798">
        <f t="shared" si="333"/>
        <v>1</v>
      </c>
      <c r="AZ337" s="798">
        <f t="shared" si="333"/>
        <v>1</v>
      </c>
      <c r="BA337" s="798">
        <f t="shared" si="333"/>
        <v>1</v>
      </c>
      <c r="BB337" s="798">
        <f t="shared" si="333"/>
        <v>1</v>
      </c>
      <c r="BC337" s="798">
        <f t="shared" si="333"/>
        <v>1</v>
      </c>
      <c r="BD337" s="798">
        <f t="shared" si="333"/>
        <v>1</v>
      </c>
      <c r="BE337" s="798">
        <f t="shared" si="333"/>
        <v>1</v>
      </c>
      <c r="BF337" s="798">
        <f t="shared" si="333"/>
        <v>1</v>
      </c>
      <c r="BG337" s="798">
        <f t="shared" si="333"/>
        <v>1</v>
      </c>
      <c r="BH337" s="798">
        <f t="shared" si="333"/>
        <v>1</v>
      </c>
      <c r="BI337" s="798">
        <f t="shared" si="333"/>
        <v>1</v>
      </c>
      <c r="BJ337" s="798">
        <f t="shared" si="333"/>
        <v>1</v>
      </c>
      <c r="BK337" s="798">
        <f t="shared" si="333"/>
        <v>1</v>
      </c>
      <c r="BL337" s="765"/>
      <c r="BM337" s="817"/>
      <c r="BN337" s="817"/>
    </row>
    <row r="338" hidden="1">
      <c r="A338" s="765"/>
      <c r="B338" s="765"/>
      <c r="C338" s="765"/>
      <c r="D338" s="765"/>
      <c r="E338" s="765"/>
      <c r="F338" s="765"/>
      <c r="G338" s="765"/>
      <c r="H338" s="765"/>
      <c r="I338" s="765">
        <f t="shared" si="17"/>
        <v>327</v>
      </c>
      <c r="J338" s="763">
        <f t="shared" si="5"/>
        <v>6090577876635</v>
      </c>
      <c r="K338" s="796">
        <f t="shared" si="7"/>
        <v>0.39729</v>
      </c>
      <c r="L338" s="796">
        <v>5.0E-4</v>
      </c>
      <c r="M338" s="763">
        <v>6.94478663242339E12</v>
      </c>
      <c r="N338" s="797">
        <f t="shared" si="8"/>
        <v>0</v>
      </c>
      <c r="O338" s="798">
        <f t="shared" ref="O338:BK338" si="334">FLOOR(MIN((((N("value of ELS upgrade")+N$8*($K338-$K337))*(N("Check checkbox")+(IF($G$6=TRUE,$G$7,$G$8))/$G$8))/(N("ROI of ELS and multiply by 2 if ELS is 1:1")+IF($G$12 = True, 2, 1) * $J338))/((N("difference in ELS+ and the cost of it")+(($K337*O$8)-($K337*N$8)) / O$7)),(N("MIN lets it return 0 or 1 after floored")+1)),1)</f>
        <v>0</v>
      </c>
      <c r="P338" s="798">
        <f t="shared" si="334"/>
        <v>0</v>
      </c>
      <c r="Q338" s="798">
        <f t="shared" si="334"/>
        <v>0</v>
      </c>
      <c r="R338" s="798">
        <f t="shared" si="334"/>
        <v>0</v>
      </c>
      <c r="S338" s="798">
        <f t="shared" si="334"/>
        <v>0</v>
      </c>
      <c r="T338" s="798">
        <f t="shared" si="334"/>
        <v>0</v>
      </c>
      <c r="U338" s="798">
        <f t="shared" si="334"/>
        <v>0</v>
      </c>
      <c r="V338" s="798">
        <f t="shared" si="334"/>
        <v>0</v>
      </c>
      <c r="W338" s="798">
        <f t="shared" si="334"/>
        <v>0</v>
      </c>
      <c r="X338" s="798">
        <f t="shared" si="334"/>
        <v>0</v>
      </c>
      <c r="Y338" s="798">
        <f t="shared" si="334"/>
        <v>0</v>
      </c>
      <c r="Z338" s="798">
        <f t="shared" si="334"/>
        <v>1</v>
      </c>
      <c r="AA338" s="798">
        <f t="shared" si="334"/>
        <v>1</v>
      </c>
      <c r="AB338" s="798">
        <f t="shared" si="334"/>
        <v>1</v>
      </c>
      <c r="AC338" s="798">
        <f t="shared" si="334"/>
        <v>1</v>
      </c>
      <c r="AD338" s="798">
        <f t="shared" si="334"/>
        <v>1</v>
      </c>
      <c r="AE338" s="798">
        <f t="shared" si="334"/>
        <v>1</v>
      </c>
      <c r="AF338" s="798">
        <f t="shared" si="334"/>
        <v>1</v>
      </c>
      <c r="AG338" s="798">
        <f t="shared" si="334"/>
        <v>1</v>
      </c>
      <c r="AH338" s="798">
        <f t="shared" si="334"/>
        <v>1</v>
      </c>
      <c r="AI338" s="798">
        <f t="shared" si="334"/>
        <v>1</v>
      </c>
      <c r="AJ338" s="798">
        <f t="shared" si="334"/>
        <v>1</v>
      </c>
      <c r="AK338" s="798">
        <f t="shared" si="334"/>
        <v>1</v>
      </c>
      <c r="AL338" s="798">
        <f t="shared" si="334"/>
        <v>1</v>
      </c>
      <c r="AM338" s="798">
        <f t="shared" si="334"/>
        <v>1</v>
      </c>
      <c r="AN338" s="798">
        <f t="shared" si="334"/>
        <v>1</v>
      </c>
      <c r="AO338" s="798">
        <f t="shared" si="334"/>
        <v>1</v>
      </c>
      <c r="AP338" s="798">
        <f t="shared" si="334"/>
        <v>1</v>
      </c>
      <c r="AQ338" s="798">
        <f t="shared" si="334"/>
        <v>1</v>
      </c>
      <c r="AR338" s="798">
        <f t="shared" si="334"/>
        <v>1</v>
      </c>
      <c r="AS338" s="798">
        <f t="shared" si="334"/>
        <v>1</v>
      </c>
      <c r="AT338" s="798">
        <f t="shared" si="334"/>
        <v>1</v>
      </c>
      <c r="AU338" s="798">
        <f t="shared" si="334"/>
        <v>1</v>
      </c>
      <c r="AV338" s="798">
        <f t="shared" si="334"/>
        <v>1</v>
      </c>
      <c r="AW338" s="798">
        <f t="shared" si="334"/>
        <v>1</v>
      </c>
      <c r="AX338" s="798">
        <f t="shared" si="334"/>
        <v>1</v>
      </c>
      <c r="AY338" s="798">
        <f t="shared" si="334"/>
        <v>1</v>
      </c>
      <c r="AZ338" s="798">
        <f t="shared" si="334"/>
        <v>1</v>
      </c>
      <c r="BA338" s="798">
        <f t="shared" si="334"/>
        <v>1</v>
      </c>
      <c r="BB338" s="798">
        <f t="shared" si="334"/>
        <v>1</v>
      </c>
      <c r="BC338" s="798">
        <f t="shared" si="334"/>
        <v>1</v>
      </c>
      <c r="BD338" s="798">
        <f t="shared" si="334"/>
        <v>1</v>
      </c>
      <c r="BE338" s="798">
        <f t="shared" si="334"/>
        <v>1</v>
      </c>
      <c r="BF338" s="798">
        <f t="shared" si="334"/>
        <v>1</v>
      </c>
      <c r="BG338" s="798">
        <f t="shared" si="334"/>
        <v>1</v>
      </c>
      <c r="BH338" s="798">
        <f t="shared" si="334"/>
        <v>1</v>
      </c>
      <c r="BI338" s="798">
        <f t="shared" si="334"/>
        <v>1</v>
      </c>
      <c r="BJ338" s="798">
        <f t="shared" si="334"/>
        <v>1</v>
      </c>
      <c r="BK338" s="798">
        <f t="shared" si="334"/>
        <v>1</v>
      </c>
      <c r="BL338" s="765"/>
      <c r="BM338" s="817"/>
      <c r="BN338" s="817"/>
    </row>
    <row r="339" hidden="1">
      <c r="A339" s="765"/>
      <c r="B339" s="765"/>
      <c r="C339" s="765"/>
      <c r="D339" s="765"/>
      <c r="E339" s="765"/>
      <c r="F339" s="765"/>
      <c r="G339" s="765"/>
      <c r="H339" s="765"/>
      <c r="I339" s="765">
        <f t="shared" si="17"/>
        <v>328</v>
      </c>
      <c r="J339" s="763">
        <f t="shared" si="5"/>
        <v>6115466226025</v>
      </c>
      <c r="K339" s="796">
        <f t="shared" si="7"/>
        <v>0.39779</v>
      </c>
      <c r="L339" s="796">
        <v>5.0E-4</v>
      </c>
      <c r="M339" s="763">
        <v>6.97316559409975E12</v>
      </c>
      <c r="N339" s="797">
        <f t="shared" si="8"/>
        <v>0</v>
      </c>
      <c r="O339" s="798">
        <f t="shared" ref="O339:BK339" si="335">FLOOR(MIN((((N("value of ELS upgrade")+N$8*($K339-$K338))*(N("Check checkbox")+(IF($G$6=TRUE,$G$7,$G$8))/$G$8))/(N("ROI of ELS and multiply by 2 if ELS is 1:1")+IF($G$12 = True, 2, 1) * $J339))/((N("difference in ELS+ and the cost of it")+(($K338*O$8)-($K338*N$8)) / O$7)),(N("MIN lets it return 0 or 1 after floored")+1)),1)</f>
        <v>0</v>
      </c>
      <c r="P339" s="798">
        <f t="shared" si="335"/>
        <v>0</v>
      </c>
      <c r="Q339" s="798">
        <f t="shared" si="335"/>
        <v>0</v>
      </c>
      <c r="R339" s="798">
        <f t="shared" si="335"/>
        <v>0</v>
      </c>
      <c r="S339" s="798">
        <f t="shared" si="335"/>
        <v>0</v>
      </c>
      <c r="T339" s="798">
        <f t="shared" si="335"/>
        <v>0</v>
      </c>
      <c r="U339" s="798">
        <f t="shared" si="335"/>
        <v>0</v>
      </c>
      <c r="V339" s="798">
        <f t="shared" si="335"/>
        <v>0</v>
      </c>
      <c r="W339" s="798">
        <f t="shared" si="335"/>
        <v>0</v>
      </c>
      <c r="X339" s="798">
        <f t="shared" si="335"/>
        <v>0</v>
      </c>
      <c r="Y339" s="798">
        <f t="shared" si="335"/>
        <v>0</v>
      </c>
      <c r="Z339" s="798">
        <f t="shared" si="335"/>
        <v>1</v>
      </c>
      <c r="AA339" s="798">
        <f t="shared" si="335"/>
        <v>1</v>
      </c>
      <c r="AB339" s="798">
        <f t="shared" si="335"/>
        <v>1</v>
      </c>
      <c r="AC339" s="798">
        <f t="shared" si="335"/>
        <v>1</v>
      </c>
      <c r="AD339" s="798">
        <f t="shared" si="335"/>
        <v>1</v>
      </c>
      <c r="AE339" s="798">
        <f t="shared" si="335"/>
        <v>1</v>
      </c>
      <c r="AF339" s="798">
        <f t="shared" si="335"/>
        <v>1</v>
      </c>
      <c r="AG339" s="798">
        <f t="shared" si="335"/>
        <v>1</v>
      </c>
      <c r="AH339" s="798">
        <f t="shared" si="335"/>
        <v>1</v>
      </c>
      <c r="AI339" s="798">
        <f t="shared" si="335"/>
        <v>1</v>
      </c>
      <c r="AJ339" s="798">
        <f t="shared" si="335"/>
        <v>1</v>
      </c>
      <c r="AK339" s="798">
        <f t="shared" si="335"/>
        <v>1</v>
      </c>
      <c r="AL339" s="798">
        <f t="shared" si="335"/>
        <v>1</v>
      </c>
      <c r="AM339" s="798">
        <f t="shared" si="335"/>
        <v>1</v>
      </c>
      <c r="AN339" s="798">
        <f t="shared" si="335"/>
        <v>1</v>
      </c>
      <c r="AO339" s="798">
        <f t="shared" si="335"/>
        <v>1</v>
      </c>
      <c r="AP339" s="798">
        <f t="shared" si="335"/>
        <v>1</v>
      </c>
      <c r="AQ339" s="798">
        <f t="shared" si="335"/>
        <v>1</v>
      </c>
      <c r="AR339" s="798">
        <f t="shared" si="335"/>
        <v>1</v>
      </c>
      <c r="AS339" s="798">
        <f t="shared" si="335"/>
        <v>1</v>
      </c>
      <c r="AT339" s="798">
        <f t="shared" si="335"/>
        <v>1</v>
      </c>
      <c r="AU339" s="798">
        <f t="shared" si="335"/>
        <v>1</v>
      </c>
      <c r="AV339" s="798">
        <f t="shared" si="335"/>
        <v>1</v>
      </c>
      <c r="AW339" s="798">
        <f t="shared" si="335"/>
        <v>1</v>
      </c>
      <c r="AX339" s="798">
        <f t="shared" si="335"/>
        <v>1</v>
      </c>
      <c r="AY339" s="798">
        <f t="shared" si="335"/>
        <v>1</v>
      </c>
      <c r="AZ339" s="798">
        <f t="shared" si="335"/>
        <v>1</v>
      </c>
      <c r="BA339" s="798">
        <f t="shared" si="335"/>
        <v>1</v>
      </c>
      <c r="BB339" s="798">
        <f t="shared" si="335"/>
        <v>1</v>
      </c>
      <c r="BC339" s="798">
        <f t="shared" si="335"/>
        <v>1</v>
      </c>
      <c r="BD339" s="798">
        <f t="shared" si="335"/>
        <v>1</v>
      </c>
      <c r="BE339" s="798">
        <f t="shared" si="335"/>
        <v>1</v>
      </c>
      <c r="BF339" s="798">
        <f t="shared" si="335"/>
        <v>1</v>
      </c>
      <c r="BG339" s="798">
        <f t="shared" si="335"/>
        <v>1</v>
      </c>
      <c r="BH339" s="798">
        <f t="shared" si="335"/>
        <v>1</v>
      </c>
      <c r="BI339" s="798">
        <f t="shared" si="335"/>
        <v>1</v>
      </c>
      <c r="BJ339" s="798">
        <f t="shared" si="335"/>
        <v>1</v>
      </c>
      <c r="BK339" s="798">
        <f t="shared" si="335"/>
        <v>1</v>
      </c>
      <c r="BL339" s="765"/>
      <c r="BM339" s="817"/>
      <c r="BN339" s="817"/>
    </row>
    <row r="340" hidden="1">
      <c r="A340" s="765"/>
      <c r="B340" s="765"/>
      <c r="C340" s="765"/>
      <c r="D340" s="765"/>
      <c r="E340" s="765"/>
      <c r="F340" s="765"/>
      <c r="G340" s="765"/>
      <c r="H340" s="765"/>
      <c r="I340" s="765">
        <f t="shared" si="17"/>
        <v>329</v>
      </c>
      <c r="J340" s="763">
        <f t="shared" si="5"/>
        <v>6140426997919</v>
      </c>
      <c r="K340" s="796">
        <f t="shared" si="7"/>
        <v>0.39829</v>
      </c>
      <c r="L340" s="796">
        <v>5.0E-4</v>
      </c>
      <c r="M340" s="763">
        <v>7.00162713559729E12</v>
      </c>
      <c r="N340" s="797">
        <f t="shared" si="8"/>
        <v>0</v>
      </c>
      <c r="O340" s="798">
        <f t="shared" ref="O340:BK340" si="336">FLOOR(MIN((((N("value of ELS upgrade")+N$8*($K340-$K339))*(N("Check checkbox")+(IF($G$6=TRUE,$G$7,$G$8))/$G$8))/(N("ROI of ELS and multiply by 2 if ELS is 1:1")+IF($G$12 = True, 2, 1) * $J340))/((N("difference in ELS+ and the cost of it")+(($K339*O$8)-($K339*N$8)) / O$7)),(N("MIN lets it return 0 or 1 after floored")+1)),1)</f>
        <v>0</v>
      </c>
      <c r="P340" s="798">
        <f t="shared" si="336"/>
        <v>0</v>
      </c>
      <c r="Q340" s="798">
        <f t="shared" si="336"/>
        <v>0</v>
      </c>
      <c r="R340" s="798">
        <f t="shared" si="336"/>
        <v>0</v>
      </c>
      <c r="S340" s="798">
        <f t="shared" si="336"/>
        <v>0</v>
      </c>
      <c r="T340" s="798">
        <f t="shared" si="336"/>
        <v>0</v>
      </c>
      <c r="U340" s="798">
        <f t="shared" si="336"/>
        <v>0</v>
      </c>
      <c r="V340" s="798">
        <f t="shared" si="336"/>
        <v>0</v>
      </c>
      <c r="W340" s="798">
        <f t="shared" si="336"/>
        <v>0</v>
      </c>
      <c r="X340" s="798">
        <f t="shared" si="336"/>
        <v>0</v>
      </c>
      <c r="Y340" s="798">
        <f t="shared" si="336"/>
        <v>0</v>
      </c>
      <c r="Z340" s="798">
        <f t="shared" si="336"/>
        <v>1</v>
      </c>
      <c r="AA340" s="798">
        <f t="shared" si="336"/>
        <v>1</v>
      </c>
      <c r="AB340" s="798">
        <f t="shared" si="336"/>
        <v>1</v>
      </c>
      <c r="AC340" s="798">
        <f t="shared" si="336"/>
        <v>1</v>
      </c>
      <c r="AD340" s="798">
        <f t="shared" si="336"/>
        <v>1</v>
      </c>
      <c r="AE340" s="798">
        <f t="shared" si="336"/>
        <v>1</v>
      </c>
      <c r="AF340" s="798">
        <f t="shared" si="336"/>
        <v>1</v>
      </c>
      <c r="AG340" s="798">
        <f t="shared" si="336"/>
        <v>1</v>
      </c>
      <c r="AH340" s="798">
        <f t="shared" si="336"/>
        <v>1</v>
      </c>
      <c r="AI340" s="798">
        <f t="shared" si="336"/>
        <v>1</v>
      </c>
      <c r="AJ340" s="798">
        <f t="shared" si="336"/>
        <v>1</v>
      </c>
      <c r="AK340" s="798">
        <f t="shared" si="336"/>
        <v>1</v>
      </c>
      <c r="AL340" s="798">
        <f t="shared" si="336"/>
        <v>1</v>
      </c>
      <c r="AM340" s="798">
        <f t="shared" si="336"/>
        <v>1</v>
      </c>
      <c r="AN340" s="798">
        <f t="shared" si="336"/>
        <v>1</v>
      </c>
      <c r="AO340" s="798">
        <f t="shared" si="336"/>
        <v>1</v>
      </c>
      <c r="AP340" s="798">
        <f t="shared" si="336"/>
        <v>1</v>
      </c>
      <c r="AQ340" s="798">
        <f t="shared" si="336"/>
        <v>1</v>
      </c>
      <c r="AR340" s="798">
        <f t="shared" si="336"/>
        <v>1</v>
      </c>
      <c r="AS340" s="798">
        <f t="shared" si="336"/>
        <v>1</v>
      </c>
      <c r="AT340" s="798">
        <f t="shared" si="336"/>
        <v>1</v>
      </c>
      <c r="AU340" s="798">
        <f t="shared" si="336"/>
        <v>1</v>
      </c>
      <c r="AV340" s="798">
        <f t="shared" si="336"/>
        <v>1</v>
      </c>
      <c r="AW340" s="798">
        <f t="shared" si="336"/>
        <v>1</v>
      </c>
      <c r="AX340" s="798">
        <f t="shared" si="336"/>
        <v>1</v>
      </c>
      <c r="AY340" s="798">
        <f t="shared" si="336"/>
        <v>1</v>
      </c>
      <c r="AZ340" s="798">
        <f t="shared" si="336"/>
        <v>1</v>
      </c>
      <c r="BA340" s="798">
        <f t="shared" si="336"/>
        <v>1</v>
      </c>
      <c r="BB340" s="798">
        <f t="shared" si="336"/>
        <v>1</v>
      </c>
      <c r="BC340" s="798">
        <f t="shared" si="336"/>
        <v>1</v>
      </c>
      <c r="BD340" s="798">
        <f t="shared" si="336"/>
        <v>1</v>
      </c>
      <c r="BE340" s="798">
        <f t="shared" si="336"/>
        <v>1</v>
      </c>
      <c r="BF340" s="798">
        <f t="shared" si="336"/>
        <v>1</v>
      </c>
      <c r="BG340" s="798">
        <f t="shared" si="336"/>
        <v>1</v>
      </c>
      <c r="BH340" s="798">
        <f t="shared" si="336"/>
        <v>1</v>
      </c>
      <c r="BI340" s="798">
        <f t="shared" si="336"/>
        <v>1</v>
      </c>
      <c r="BJ340" s="798">
        <f t="shared" si="336"/>
        <v>1</v>
      </c>
      <c r="BK340" s="798">
        <f t="shared" si="336"/>
        <v>1</v>
      </c>
      <c r="BL340" s="765"/>
      <c r="BM340" s="817"/>
      <c r="BN340" s="817"/>
    </row>
    <row r="341" hidden="1">
      <c r="A341" s="765"/>
      <c r="B341" s="765"/>
      <c r="C341" s="765"/>
      <c r="D341" s="765"/>
      <c r="E341" s="765"/>
      <c r="F341" s="765"/>
      <c r="G341" s="765"/>
      <c r="H341" s="765"/>
      <c r="I341" s="765">
        <f t="shared" si="17"/>
        <v>330</v>
      </c>
      <c r="J341" s="763">
        <f t="shared" si="5"/>
        <v>6165460548492</v>
      </c>
      <c r="K341" s="796">
        <f t="shared" si="7"/>
        <v>0.39879</v>
      </c>
      <c r="L341" s="796">
        <v>5.0E-4</v>
      </c>
      <c r="M341" s="763">
        <v>7.03017166304627E12</v>
      </c>
      <c r="N341" s="797">
        <f t="shared" si="8"/>
        <v>0</v>
      </c>
      <c r="O341" s="798">
        <f t="shared" ref="O341:BK341" si="337">FLOOR(MIN((((N("value of ELS upgrade")+N$8*($K341-$K340))*(N("Check checkbox")+(IF($G$6=TRUE,$G$7,$G$8))/$G$8))/(N("ROI of ELS and multiply by 2 if ELS is 1:1")+IF($G$12 = True, 2, 1) * $J341))/((N("difference in ELS+ and the cost of it")+(($K340*O$8)-($K340*N$8)) / O$7)),(N("MIN lets it return 0 or 1 after floored")+1)),1)</f>
        <v>0</v>
      </c>
      <c r="P341" s="798">
        <f t="shared" si="337"/>
        <v>0</v>
      </c>
      <c r="Q341" s="798">
        <f t="shared" si="337"/>
        <v>0</v>
      </c>
      <c r="R341" s="798">
        <f t="shared" si="337"/>
        <v>0</v>
      </c>
      <c r="S341" s="798">
        <f t="shared" si="337"/>
        <v>0</v>
      </c>
      <c r="T341" s="798">
        <f t="shared" si="337"/>
        <v>0</v>
      </c>
      <c r="U341" s="798">
        <f t="shared" si="337"/>
        <v>0</v>
      </c>
      <c r="V341" s="798">
        <f t="shared" si="337"/>
        <v>0</v>
      </c>
      <c r="W341" s="798">
        <f t="shared" si="337"/>
        <v>0</v>
      </c>
      <c r="X341" s="798">
        <f t="shared" si="337"/>
        <v>0</v>
      </c>
      <c r="Y341" s="798">
        <f t="shared" si="337"/>
        <v>0</v>
      </c>
      <c r="Z341" s="798">
        <f t="shared" si="337"/>
        <v>1</v>
      </c>
      <c r="AA341" s="798">
        <f t="shared" si="337"/>
        <v>1</v>
      </c>
      <c r="AB341" s="798">
        <f t="shared" si="337"/>
        <v>1</v>
      </c>
      <c r="AC341" s="798">
        <f t="shared" si="337"/>
        <v>1</v>
      </c>
      <c r="AD341" s="798">
        <f t="shared" si="337"/>
        <v>1</v>
      </c>
      <c r="AE341" s="798">
        <f t="shared" si="337"/>
        <v>1</v>
      </c>
      <c r="AF341" s="798">
        <f t="shared" si="337"/>
        <v>1</v>
      </c>
      <c r="AG341" s="798">
        <f t="shared" si="337"/>
        <v>1</v>
      </c>
      <c r="AH341" s="798">
        <f t="shared" si="337"/>
        <v>1</v>
      </c>
      <c r="AI341" s="798">
        <f t="shared" si="337"/>
        <v>1</v>
      </c>
      <c r="AJ341" s="798">
        <f t="shared" si="337"/>
        <v>1</v>
      </c>
      <c r="AK341" s="798">
        <f t="shared" si="337"/>
        <v>1</v>
      </c>
      <c r="AL341" s="798">
        <f t="shared" si="337"/>
        <v>1</v>
      </c>
      <c r="AM341" s="798">
        <f t="shared" si="337"/>
        <v>1</v>
      </c>
      <c r="AN341" s="798">
        <f t="shared" si="337"/>
        <v>1</v>
      </c>
      <c r="AO341" s="798">
        <f t="shared" si="337"/>
        <v>1</v>
      </c>
      <c r="AP341" s="798">
        <f t="shared" si="337"/>
        <v>1</v>
      </c>
      <c r="AQ341" s="798">
        <f t="shared" si="337"/>
        <v>1</v>
      </c>
      <c r="AR341" s="798">
        <f t="shared" si="337"/>
        <v>1</v>
      </c>
      <c r="AS341" s="798">
        <f t="shared" si="337"/>
        <v>1</v>
      </c>
      <c r="AT341" s="798">
        <f t="shared" si="337"/>
        <v>1</v>
      </c>
      <c r="AU341" s="798">
        <f t="shared" si="337"/>
        <v>1</v>
      </c>
      <c r="AV341" s="798">
        <f t="shared" si="337"/>
        <v>1</v>
      </c>
      <c r="AW341" s="798">
        <f t="shared" si="337"/>
        <v>1</v>
      </c>
      <c r="AX341" s="798">
        <f t="shared" si="337"/>
        <v>1</v>
      </c>
      <c r="AY341" s="798">
        <f t="shared" si="337"/>
        <v>1</v>
      </c>
      <c r="AZ341" s="798">
        <f t="shared" si="337"/>
        <v>1</v>
      </c>
      <c r="BA341" s="798">
        <f t="shared" si="337"/>
        <v>1</v>
      </c>
      <c r="BB341" s="798">
        <f t="shared" si="337"/>
        <v>1</v>
      </c>
      <c r="BC341" s="798">
        <f t="shared" si="337"/>
        <v>1</v>
      </c>
      <c r="BD341" s="798">
        <f t="shared" si="337"/>
        <v>1</v>
      </c>
      <c r="BE341" s="798">
        <f t="shared" si="337"/>
        <v>1</v>
      </c>
      <c r="BF341" s="798">
        <f t="shared" si="337"/>
        <v>1</v>
      </c>
      <c r="BG341" s="798">
        <f t="shared" si="337"/>
        <v>1</v>
      </c>
      <c r="BH341" s="798">
        <f t="shared" si="337"/>
        <v>1</v>
      </c>
      <c r="BI341" s="798">
        <f t="shared" si="337"/>
        <v>1</v>
      </c>
      <c r="BJ341" s="798">
        <f t="shared" si="337"/>
        <v>1</v>
      </c>
      <c r="BK341" s="798">
        <f t="shared" si="337"/>
        <v>1</v>
      </c>
      <c r="BL341" s="765"/>
      <c r="BM341" s="817"/>
      <c r="BN341" s="817"/>
    </row>
    <row r="342" hidden="1">
      <c r="A342" s="765"/>
      <c r="B342" s="765"/>
      <c r="C342" s="765"/>
      <c r="D342" s="765"/>
      <c r="E342" s="765"/>
      <c r="F342" s="765"/>
      <c r="G342" s="765"/>
      <c r="H342" s="765"/>
      <c r="I342" s="765">
        <f t="shared" si="17"/>
        <v>331</v>
      </c>
      <c r="J342" s="763">
        <f t="shared" si="5"/>
        <v>6190567174557</v>
      </c>
      <c r="K342" s="796">
        <f t="shared" si="7"/>
        <v>0.39929</v>
      </c>
      <c r="L342" s="796">
        <v>5.0E-4</v>
      </c>
      <c r="M342" s="763">
        <v>7.05879951488858E12</v>
      </c>
      <c r="N342" s="797">
        <f t="shared" si="8"/>
        <v>0</v>
      </c>
      <c r="O342" s="798">
        <f t="shared" ref="O342:BK342" si="338">FLOOR(MIN((((N("value of ELS upgrade")+N$8*($K342-$K341))*(N("Check checkbox")+(IF($G$6=TRUE,$G$7,$G$8))/$G$8))/(N("ROI of ELS and multiply by 2 if ELS is 1:1")+IF($G$12 = True, 2, 1) * $J342))/((N("difference in ELS+ and the cost of it")+(($K341*O$8)-($K341*N$8)) / O$7)),(N("MIN lets it return 0 or 1 after floored")+1)),1)</f>
        <v>0</v>
      </c>
      <c r="P342" s="798">
        <f t="shared" si="338"/>
        <v>0</v>
      </c>
      <c r="Q342" s="798">
        <f t="shared" si="338"/>
        <v>0</v>
      </c>
      <c r="R342" s="798">
        <f t="shared" si="338"/>
        <v>0</v>
      </c>
      <c r="S342" s="798">
        <f t="shared" si="338"/>
        <v>0</v>
      </c>
      <c r="T342" s="798">
        <f t="shared" si="338"/>
        <v>0</v>
      </c>
      <c r="U342" s="798">
        <f t="shared" si="338"/>
        <v>0</v>
      </c>
      <c r="V342" s="798">
        <f t="shared" si="338"/>
        <v>0</v>
      </c>
      <c r="W342" s="798">
        <f t="shared" si="338"/>
        <v>0</v>
      </c>
      <c r="X342" s="798">
        <f t="shared" si="338"/>
        <v>0</v>
      </c>
      <c r="Y342" s="798">
        <f t="shared" si="338"/>
        <v>0</v>
      </c>
      <c r="Z342" s="798">
        <f t="shared" si="338"/>
        <v>1</v>
      </c>
      <c r="AA342" s="798">
        <f t="shared" si="338"/>
        <v>1</v>
      </c>
      <c r="AB342" s="798">
        <f t="shared" si="338"/>
        <v>1</v>
      </c>
      <c r="AC342" s="798">
        <f t="shared" si="338"/>
        <v>1</v>
      </c>
      <c r="AD342" s="798">
        <f t="shared" si="338"/>
        <v>1</v>
      </c>
      <c r="AE342" s="798">
        <f t="shared" si="338"/>
        <v>1</v>
      </c>
      <c r="AF342" s="798">
        <f t="shared" si="338"/>
        <v>1</v>
      </c>
      <c r="AG342" s="798">
        <f t="shared" si="338"/>
        <v>1</v>
      </c>
      <c r="AH342" s="798">
        <f t="shared" si="338"/>
        <v>1</v>
      </c>
      <c r="AI342" s="798">
        <f t="shared" si="338"/>
        <v>1</v>
      </c>
      <c r="AJ342" s="798">
        <f t="shared" si="338"/>
        <v>1</v>
      </c>
      <c r="AK342" s="798">
        <f t="shared" si="338"/>
        <v>1</v>
      </c>
      <c r="AL342" s="798">
        <f t="shared" si="338"/>
        <v>1</v>
      </c>
      <c r="AM342" s="798">
        <f t="shared" si="338"/>
        <v>1</v>
      </c>
      <c r="AN342" s="798">
        <f t="shared" si="338"/>
        <v>1</v>
      </c>
      <c r="AO342" s="798">
        <f t="shared" si="338"/>
        <v>1</v>
      </c>
      <c r="AP342" s="798">
        <f t="shared" si="338"/>
        <v>1</v>
      </c>
      <c r="AQ342" s="798">
        <f t="shared" si="338"/>
        <v>1</v>
      </c>
      <c r="AR342" s="798">
        <f t="shared" si="338"/>
        <v>1</v>
      </c>
      <c r="AS342" s="798">
        <f t="shared" si="338"/>
        <v>1</v>
      </c>
      <c r="AT342" s="798">
        <f t="shared" si="338"/>
        <v>1</v>
      </c>
      <c r="AU342" s="798">
        <f t="shared" si="338"/>
        <v>1</v>
      </c>
      <c r="AV342" s="798">
        <f t="shared" si="338"/>
        <v>1</v>
      </c>
      <c r="AW342" s="798">
        <f t="shared" si="338"/>
        <v>1</v>
      </c>
      <c r="AX342" s="798">
        <f t="shared" si="338"/>
        <v>1</v>
      </c>
      <c r="AY342" s="798">
        <f t="shared" si="338"/>
        <v>1</v>
      </c>
      <c r="AZ342" s="798">
        <f t="shared" si="338"/>
        <v>1</v>
      </c>
      <c r="BA342" s="798">
        <f t="shared" si="338"/>
        <v>1</v>
      </c>
      <c r="BB342" s="798">
        <f t="shared" si="338"/>
        <v>1</v>
      </c>
      <c r="BC342" s="798">
        <f t="shared" si="338"/>
        <v>1</v>
      </c>
      <c r="BD342" s="798">
        <f t="shared" si="338"/>
        <v>1</v>
      </c>
      <c r="BE342" s="798">
        <f t="shared" si="338"/>
        <v>1</v>
      </c>
      <c r="BF342" s="798">
        <f t="shared" si="338"/>
        <v>1</v>
      </c>
      <c r="BG342" s="798">
        <f t="shared" si="338"/>
        <v>1</v>
      </c>
      <c r="BH342" s="798">
        <f t="shared" si="338"/>
        <v>1</v>
      </c>
      <c r="BI342" s="798">
        <f t="shared" si="338"/>
        <v>1</v>
      </c>
      <c r="BJ342" s="798">
        <f t="shared" si="338"/>
        <v>1</v>
      </c>
      <c r="BK342" s="798">
        <f t="shared" si="338"/>
        <v>1</v>
      </c>
      <c r="BL342" s="765"/>
      <c r="BM342" s="817"/>
      <c r="BN342" s="817"/>
    </row>
    <row r="343" hidden="1">
      <c r="A343" s="765"/>
      <c r="B343" s="765"/>
      <c r="C343" s="765"/>
      <c r="D343" s="765"/>
      <c r="E343" s="765"/>
      <c r="F343" s="765"/>
      <c r="G343" s="765"/>
      <c r="H343" s="765"/>
      <c r="I343" s="765">
        <f t="shared" si="17"/>
        <v>332</v>
      </c>
      <c r="J343" s="763">
        <f t="shared" si="5"/>
        <v>6215747172929</v>
      </c>
      <c r="K343" s="796">
        <f t="shared" si="7"/>
        <v>0.39979</v>
      </c>
      <c r="L343" s="796">
        <v>5.0E-4</v>
      </c>
      <c r="M343" s="763">
        <v>7.08751102956611E12</v>
      </c>
      <c r="N343" s="797">
        <f t="shared" si="8"/>
        <v>0</v>
      </c>
      <c r="O343" s="798">
        <f t="shared" ref="O343:BK343" si="339">FLOOR(MIN((((N("value of ELS upgrade")+N$8*($K343-$K342))*(N("Check checkbox")+(IF($G$6=TRUE,$G$7,$G$8))/$G$8))/(N("ROI of ELS and multiply by 2 if ELS is 1:1")+IF($G$12 = True, 2, 1) * $J343))/((N("difference in ELS+ and the cost of it")+(($K342*O$8)-($K342*N$8)) / O$7)),(N("MIN lets it return 0 or 1 after floored")+1)),1)</f>
        <v>0</v>
      </c>
      <c r="P343" s="798">
        <f t="shared" si="339"/>
        <v>0</v>
      </c>
      <c r="Q343" s="798">
        <f t="shared" si="339"/>
        <v>0</v>
      </c>
      <c r="R343" s="798">
        <f t="shared" si="339"/>
        <v>0</v>
      </c>
      <c r="S343" s="798">
        <f t="shared" si="339"/>
        <v>0</v>
      </c>
      <c r="T343" s="798">
        <f t="shared" si="339"/>
        <v>0</v>
      </c>
      <c r="U343" s="798">
        <f t="shared" si="339"/>
        <v>0</v>
      </c>
      <c r="V343" s="798">
        <f t="shared" si="339"/>
        <v>0</v>
      </c>
      <c r="W343" s="798">
        <f t="shared" si="339"/>
        <v>0</v>
      </c>
      <c r="X343" s="798">
        <f t="shared" si="339"/>
        <v>0</v>
      </c>
      <c r="Y343" s="798">
        <f t="shared" si="339"/>
        <v>0</v>
      </c>
      <c r="Z343" s="798">
        <f t="shared" si="339"/>
        <v>1</v>
      </c>
      <c r="AA343" s="798">
        <f t="shared" si="339"/>
        <v>1</v>
      </c>
      <c r="AB343" s="798">
        <f t="shared" si="339"/>
        <v>1</v>
      </c>
      <c r="AC343" s="798">
        <f t="shared" si="339"/>
        <v>1</v>
      </c>
      <c r="AD343" s="798">
        <f t="shared" si="339"/>
        <v>1</v>
      </c>
      <c r="AE343" s="798">
        <f t="shared" si="339"/>
        <v>1</v>
      </c>
      <c r="AF343" s="798">
        <f t="shared" si="339"/>
        <v>1</v>
      </c>
      <c r="AG343" s="798">
        <f t="shared" si="339"/>
        <v>1</v>
      </c>
      <c r="AH343" s="798">
        <f t="shared" si="339"/>
        <v>1</v>
      </c>
      <c r="AI343" s="798">
        <f t="shared" si="339"/>
        <v>1</v>
      </c>
      <c r="AJ343" s="798">
        <f t="shared" si="339"/>
        <v>1</v>
      </c>
      <c r="AK343" s="798">
        <f t="shared" si="339"/>
        <v>1</v>
      </c>
      <c r="AL343" s="798">
        <f t="shared" si="339"/>
        <v>1</v>
      </c>
      <c r="AM343" s="798">
        <f t="shared" si="339"/>
        <v>1</v>
      </c>
      <c r="AN343" s="798">
        <f t="shared" si="339"/>
        <v>1</v>
      </c>
      <c r="AO343" s="798">
        <f t="shared" si="339"/>
        <v>1</v>
      </c>
      <c r="AP343" s="798">
        <f t="shared" si="339"/>
        <v>1</v>
      </c>
      <c r="AQ343" s="798">
        <f t="shared" si="339"/>
        <v>1</v>
      </c>
      <c r="AR343" s="798">
        <f t="shared" si="339"/>
        <v>1</v>
      </c>
      <c r="AS343" s="798">
        <f t="shared" si="339"/>
        <v>1</v>
      </c>
      <c r="AT343" s="798">
        <f t="shared" si="339"/>
        <v>1</v>
      </c>
      <c r="AU343" s="798">
        <f t="shared" si="339"/>
        <v>1</v>
      </c>
      <c r="AV343" s="798">
        <f t="shared" si="339"/>
        <v>1</v>
      </c>
      <c r="AW343" s="798">
        <f t="shared" si="339"/>
        <v>1</v>
      </c>
      <c r="AX343" s="798">
        <f t="shared" si="339"/>
        <v>1</v>
      </c>
      <c r="AY343" s="798">
        <f t="shared" si="339"/>
        <v>1</v>
      </c>
      <c r="AZ343" s="798">
        <f t="shared" si="339"/>
        <v>1</v>
      </c>
      <c r="BA343" s="798">
        <f t="shared" si="339"/>
        <v>1</v>
      </c>
      <c r="BB343" s="798">
        <f t="shared" si="339"/>
        <v>1</v>
      </c>
      <c r="BC343" s="798">
        <f t="shared" si="339"/>
        <v>1</v>
      </c>
      <c r="BD343" s="798">
        <f t="shared" si="339"/>
        <v>1</v>
      </c>
      <c r="BE343" s="798">
        <f t="shared" si="339"/>
        <v>1</v>
      </c>
      <c r="BF343" s="798">
        <f t="shared" si="339"/>
        <v>1</v>
      </c>
      <c r="BG343" s="798">
        <f t="shared" si="339"/>
        <v>1</v>
      </c>
      <c r="BH343" s="798">
        <f t="shared" si="339"/>
        <v>1</v>
      </c>
      <c r="BI343" s="798">
        <f t="shared" si="339"/>
        <v>1</v>
      </c>
      <c r="BJ343" s="798">
        <f t="shared" si="339"/>
        <v>1</v>
      </c>
      <c r="BK343" s="798">
        <f t="shared" si="339"/>
        <v>1</v>
      </c>
      <c r="BL343" s="765"/>
      <c r="BM343" s="817"/>
      <c r="BN343" s="817"/>
    </row>
    <row r="344" hidden="1">
      <c r="A344" s="765"/>
      <c r="B344" s="765"/>
      <c r="C344" s="765"/>
      <c r="D344" s="765"/>
      <c r="E344" s="765"/>
      <c r="F344" s="765"/>
      <c r="G344" s="765"/>
      <c r="H344" s="765"/>
      <c r="I344" s="765">
        <f t="shared" si="17"/>
        <v>333</v>
      </c>
      <c r="J344" s="763">
        <f t="shared" si="5"/>
        <v>6241000781059</v>
      </c>
      <c r="K344" s="796">
        <f t="shared" si="7"/>
        <v>0.40029</v>
      </c>
      <c r="L344" s="796">
        <v>5.0E-4</v>
      </c>
      <c r="M344" s="763">
        <v>7.11630647783238E12</v>
      </c>
      <c r="N344" s="797">
        <f t="shared" si="8"/>
        <v>0</v>
      </c>
      <c r="O344" s="798">
        <f t="shared" ref="O344:BK344" si="340">FLOOR(MIN((((N("value of ELS upgrade")+N$8*($K344-$K343))*(N("Check checkbox")+(IF($G$6=TRUE,$G$7,$G$8))/$G$8))/(N("ROI of ELS and multiply by 2 if ELS is 1:1")+IF($G$12 = True, 2, 1) * $J344))/((N("difference in ELS+ and the cost of it")+(($K343*O$8)-($K343*N$8)) / O$7)),(N("MIN lets it return 0 or 1 after floored")+1)),1)</f>
        <v>0</v>
      </c>
      <c r="P344" s="798">
        <f t="shared" si="340"/>
        <v>0</v>
      </c>
      <c r="Q344" s="798">
        <f t="shared" si="340"/>
        <v>0</v>
      </c>
      <c r="R344" s="798">
        <f t="shared" si="340"/>
        <v>0</v>
      </c>
      <c r="S344" s="798">
        <f t="shared" si="340"/>
        <v>0</v>
      </c>
      <c r="T344" s="798">
        <f t="shared" si="340"/>
        <v>0</v>
      </c>
      <c r="U344" s="798">
        <f t="shared" si="340"/>
        <v>0</v>
      </c>
      <c r="V344" s="798">
        <f t="shared" si="340"/>
        <v>0</v>
      </c>
      <c r="W344" s="798">
        <f t="shared" si="340"/>
        <v>0</v>
      </c>
      <c r="X344" s="798">
        <f t="shared" si="340"/>
        <v>0</v>
      </c>
      <c r="Y344" s="798">
        <f t="shared" si="340"/>
        <v>0</v>
      </c>
      <c r="Z344" s="798">
        <f t="shared" si="340"/>
        <v>1</v>
      </c>
      <c r="AA344" s="798">
        <f t="shared" si="340"/>
        <v>1</v>
      </c>
      <c r="AB344" s="798">
        <f t="shared" si="340"/>
        <v>1</v>
      </c>
      <c r="AC344" s="798">
        <f t="shared" si="340"/>
        <v>1</v>
      </c>
      <c r="AD344" s="798">
        <f t="shared" si="340"/>
        <v>1</v>
      </c>
      <c r="AE344" s="798">
        <f t="shared" si="340"/>
        <v>1</v>
      </c>
      <c r="AF344" s="798">
        <f t="shared" si="340"/>
        <v>1</v>
      </c>
      <c r="AG344" s="798">
        <f t="shared" si="340"/>
        <v>1</v>
      </c>
      <c r="AH344" s="798">
        <f t="shared" si="340"/>
        <v>1</v>
      </c>
      <c r="AI344" s="798">
        <f t="shared" si="340"/>
        <v>1</v>
      </c>
      <c r="AJ344" s="798">
        <f t="shared" si="340"/>
        <v>1</v>
      </c>
      <c r="AK344" s="798">
        <f t="shared" si="340"/>
        <v>1</v>
      </c>
      <c r="AL344" s="798">
        <f t="shared" si="340"/>
        <v>1</v>
      </c>
      <c r="AM344" s="798">
        <f t="shared" si="340"/>
        <v>1</v>
      </c>
      <c r="AN344" s="798">
        <f t="shared" si="340"/>
        <v>1</v>
      </c>
      <c r="AO344" s="798">
        <f t="shared" si="340"/>
        <v>1</v>
      </c>
      <c r="AP344" s="798">
        <f t="shared" si="340"/>
        <v>1</v>
      </c>
      <c r="AQ344" s="798">
        <f t="shared" si="340"/>
        <v>1</v>
      </c>
      <c r="AR344" s="798">
        <f t="shared" si="340"/>
        <v>1</v>
      </c>
      <c r="AS344" s="798">
        <f t="shared" si="340"/>
        <v>1</v>
      </c>
      <c r="AT344" s="798">
        <f t="shared" si="340"/>
        <v>1</v>
      </c>
      <c r="AU344" s="798">
        <f t="shared" si="340"/>
        <v>1</v>
      </c>
      <c r="AV344" s="798">
        <f t="shared" si="340"/>
        <v>1</v>
      </c>
      <c r="AW344" s="798">
        <f t="shared" si="340"/>
        <v>1</v>
      </c>
      <c r="AX344" s="798">
        <f t="shared" si="340"/>
        <v>1</v>
      </c>
      <c r="AY344" s="798">
        <f t="shared" si="340"/>
        <v>1</v>
      </c>
      <c r="AZ344" s="798">
        <f t="shared" si="340"/>
        <v>1</v>
      </c>
      <c r="BA344" s="798">
        <f t="shared" si="340"/>
        <v>1</v>
      </c>
      <c r="BB344" s="798">
        <f t="shared" si="340"/>
        <v>1</v>
      </c>
      <c r="BC344" s="798">
        <f t="shared" si="340"/>
        <v>1</v>
      </c>
      <c r="BD344" s="798">
        <f t="shared" si="340"/>
        <v>1</v>
      </c>
      <c r="BE344" s="798">
        <f t="shared" si="340"/>
        <v>1</v>
      </c>
      <c r="BF344" s="798">
        <f t="shared" si="340"/>
        <v>1</v>
      </c>
      <c r="BG344" s="798">
        <f t="shared" si="340"/>
        <v>1</v>
      </c>
      <c r="BH344" s="798">
        <f t="shared" si="340"/>
        <v>1</v>
      </c>
      <c r="BI344" s="798">
        <f t="shared" si="340"/>
        <v>1</v>
      </c>
      <c r="BJ344" s="798">
        <f t="shared" si="340"/>
        <v>1</v>
      </c>
      <c r="BK344" s="798">
        <f t="shared" si="340"/>
        <v>1</v>
      </c>
      <c r="BL344" s="765"/>
      <c r="BM344" s="817"/>
      <c r="BN344" s="817"/>
    </row>
    <row r="345" hidden="1">
      <c r="A345" s="765"/>
      <c r="B345" s="765"/>
      <c r="C345" s="765"/>
      <c r="D345" s="765"/>
      <c r="E345" s="765"/>
      <c r="F345" s="765"/>
      <c r="G345" s="765"/>
      <c r="H345" s="765"/>
      <c r="I345" s="765">
        <f t="shared" si="17"/>
        <v>334</v>
      </c>
      <c r="J345" s="763">
        <f t="shared" si="5"/>
        <v>6266328473847</v>
      </c>
      <c r="K345" s="796">
        <f t="shared" si="7"/>
        <v>0.40079</v>
      </c>
      <c r="L345" s="796">
        <v>5.0E-4</v>
      </c>
      <c r="M345" s="763">
        <v>7.1451864011944E12</v>
      </c>
      <c r="N345" s="797">
        <f t="shared" si="8"/>
        <v>0</v>
      </c>
      <c r="O345" s="798">
        <f t="shared" ref="O345:BK345" si="341">FLOOR(MIN((((N("value of ELS upgrade")+N$8*($K345-$K344))*(N("Check checkbox")+(IF($G$6=TRUE,$G$7,$G$8))/$G$8))/(N("ROI of ELS and multiply by 2 if ELS is 1:1")+IF($G$12 = True, 2, 1) * $J345))/((N("difference in ELS+ and the cost of it")+(($K344*O$8)-($K344*N$8)) / O$7)),(N("MIN lets it return 0 or 1 after floored")+1)),1)</f>
        <v>0</v>
      </c>
      <c r="P345" s="798">
        <f t="shared" si="341"/>
        <v>0</v>
      </c>
      <c r="Q345" s="798">
        <f t="shared" si="341"/>
        <v>0</v>
      </c>
      <c r="R345" s="798">
        <f t="shared" si="341"/>
        <v>0</v>
      </c>
      <c r="S345" s="798">
        <f t="shared" si="341"/>
        <v>0</v>
      </c>
      <c r="T345" s="798">
        <f t="shared" si="341"/>
        <v>0</v>
      </c>
      <c r="U345" s="798">
        <f t="shared" si="341"/>
        <v>0</v>
      </c>
      <c r="V345" s="798">
        <f t="shared" si="341"/>
        <v>0</v>
      </c>
      <c r="W345" s="798">
        <f t="shared" si="341"/>
        <v>0</v>
      </c>
      <c r="X345" s="798">
        <f t="shared" si="341"/>
        <v>0</v>
      </c>
      <c r="Y345" s="798">
        <f t="shared" si="341"/>
        <v>0</v>
      </c>
      <c r="Z345" s="798">
        <f t="shared" si="341"/>
        <v>1</v>
      </c>
      <c r="AA345" s="798">
        <f t="shared" si="341"/>
        <v>1</v>
      </c>
      <c r="AB345" s="798">
        <f t="shared" si="341"/>
        <v>1</v>
      </c>
      <c r="AC345" s="798">
        <f t="shared" si="341"/>
        <v>1</v>
      </c>
      <c r="AD345" s="798">
        <f t="shared" si="341"/>
        <v>1</v>
      </c>
      <c r="AE345" s="798">
        <f t="shared" si="341"/>
        <v>1</v>
      </c>
      <c r="AF345" s="798">
        <f t="shared" si="341"/>
        <v>1</v>
      </c>
      <c r="AG345" s="798">
        <f t="shared" si="341"/>
        <v>1</v>
      </c>
      <c r="AH345" s="798">
        <f t="shared" si="341"/>
        <v>1</v>
      </c>
      <c r="AI345" s="798">
        <f t="shared" si="341"/>
        <v>1</v>
      </c>
      <c r="AJ345" s="798">
        <f t="shared" si="341"/>
        <v>1</v>
      </c>
      <c r="AK345" s="798">
        <f t="shared" si="341"/>
        <v>1</v>
      </c>
      <c r="AL345" s="798">
        <f t="shared" si="341"/>
        <v>1</v>
      </c>
      <c r="AM345" s="798">
        <f t="shared" si="341"/>
        <v>1</v>
      </c>
      <c r="AN345" s="798">
        <f t="shared" si="341"/>
        <v>1</v>
      </c>
      <c r="AO345" s="798">
        <f t="shared" si="341"/>
        <v>1</v>
      </c>
      <c r="AP345" s="798">
        <f t="shared" si="341"/>
        <v>1</v>
      </c>
      <c r="AQ345" s="798">
        <f t="shared" si="341"/>
        <v>1</v>
      </c>
      <c r="AR345" s="798">
        <f t="shared" si="341"/>
        <v>1</v>
      </c>
      <c r="AS345" s="798">
        <f t="shared" si="341"/>
        <v>1</v>
      </c>
      <c r="AT345" s="798">
        <f t="shared" si="341"/>
        <v>1</v>
      </c>
      <c r="AU345" s="798">
        <f t="shared" si="341"/>
        <v>1</v>
      </c>
      <c r="AV345" s="798">
        <f t="shared" si="341"/>
        <v>1</v>
      </c>
      <c r="AW345" s="798">
        <f t="shared" si="341"/>
        <v>1</v>
      </c>
      <c r="AX345" s="798">
        <f t="shared" si="341"/>
        <v>1</v>
      </c>
      <c r="AY345" s="798">
        <f t="shared" si="341"/>
        <v>1</v>
      </c>
      <c r="AZ345" s="798">
        <f t="shared" si="341"/>
        <v>1</v>
      </c>
      <c r="BA345" s="798">
        <f t="shared" si="341"/>
        <v>1</v>
      </c>
      <c r="BB345" s="798">
        <f t="shared" si="341"/>
        <v>1</v>
      </c>
      <c r="BC345" s="798">
        <f t="shared" si="341"/>
        <v>1</v>
      </c>
      <c r="BD345" s="798">
        <f t="shared" si="341"/>
        <v>1</v>
      </c>
      <c r="BE345" s="798">
        <f t="shared" si="341"/>
        <v>1</v>
      </c>
      <c r="BF345" s="798">
        <f t="shared" si="341"/>
        <v>1</v>
      </c>
      <c r="BG345" s="798">
        <f t="shared" si="341"/>
        <v>1</v>
      </c>
      <c r="BH345" s="798">
        <f t="shared" si="341"/>
        <v>1</v>
      </c>
      <c r="BI345" s="798">
        <f t="shared" si="341"/>
        <v>1</v>
      </c>
      <c r="BJ345" s="798">
        <f t="shared" si="341"/>
        <v>1</v>
      </c>
      <c r="BK345" s="798">
        <f t="shared" si="341"/>
        <v>1</v>
      </c>
      <c r="BL345" s="765"/>
      <c r="BM345" s="817"/>
      <c r="BN345" s="817"/>
    </row>
    <row r="346" hidden="1">
      <c r="A346" s="765"/>
      <c r="B346" s="765"/>
      <c r="C346" s="765"/>
      <c r="D346" s="765"/>
      <c r="E346" s="765"/>
      <c r="F346" s="765"/>
      <c r="G346" s="765"/>
      <c r="H346" s="765"/>
      <c r="I346" s="765">
        <f t="shared" si="17"/>
        <v>335</v>
      </c>
      <c r="J346" s="763">
        <f t="shared" si="5"/>
        <v>6291730370020</v>
      </c>
      <c r="K346" s="796">
        <f t="shared" si="7"/>
        <v>0.40129</v>
      </c>
      <c r="L346" s="796">
        <v>5.0E-4</v>
      </c>
      <c r="M346" s="763">
        <v>7.17415093502893E12</v>
      </c>
      <c r="N346" s="797">
        <f t="shared" si="8"/>
        <v>0</v>
      </c>
      <c r="O346" s="798">
        <f t="shared" ref="O346:BK346" si="342">FLOOR(MIN((((N("value of ELS upgrade")+N$8*($K346-$K345))*(N("Check checkbox")+(IF($G$6=TRUE,$G$7,$G$8))/$G$8))/(N("ROI of ELS and multiply by 2 if ELS is 1:1")+IF($G$12 = True, 2, 1) * $J346))/((N("difference in ELS+ and the cost of it")+(($K345*O$8)-($K345*N$8)) / O$7)),(N("MIN lets it return 0 or 1 after floored")+1)),1)</f>
        <v>0</v>
      </c>
      <c r="P346" s="798">
        <f t="shared" si="342"/>
        <v>0</v>
      </c>
      <c r="Q346" s="798">
        <f t="shared" si="342"/>
        <v>0</v>
      </c>
      <c r="R346" s="798">
        <f t="shared" si="342"/>
        <v>0</v>
      </c>
      <c r="S346" s="798">
        <f t="shared" si="342"/>
        <v>0</v>
      </c>
      <c r="T346" s="798">
        <f t="shared" si="342"/>
        <v>0</v>
      </c>
      <c r="U346" s="798">
        <f t="shared" si="342"/>
        <v>0</v>
      </c>
      <c r="V346" s="798">
        <f t="shared" si="342"/>
        <v>0</v>
      </c>
      <c r="W346" s="798">
        <f t="shared" si="342"/>
        <v>0</v>
      </c>
      <c r="X346" s="798">
        <f t="shared" si="342"/>
        <v>0</v>
      </c>
      <c r="Y346" s="798">
        <f t="shared" si="342"/>
        <v>0</v>
      </c>
      <c r="Z346" s="798">
        <f t="shared" si="342"/>
        <v>1</v>
      </c>
      <c r="AA346" s="798">
        <f t="shared" si="342"/>
        <v>1</v>
      </c>
      <c r="AB346" s="798">
        <f t="shared" si="342"/>
        <v>1</v>
      </c>
      <c r="AC346" s="798">
        <f t="shared" si="342"/>
        <v>1</v>
      </c>
      <c r="AD346" s="798">
        <f t="shared" si="342"/>
        <v>1</v>
      </c>
      <c r="AE346" s="798">
        <f t="shared" si="342"/>
        <v>1</v>
      </c>
      <c r="AF346" s="798">
        <f t="shared" si="342"/>
        <v>1</v>
      </c>
      <c r="AG346" s="798">
        <f t="shared" si="342"/>
        <v>1</v>
      </c>
      <c r="AH346" s="798">
        <f t="shared" si="342"/>
        <v>1</v>
      </c>
      <c r="AI346" s="798">
        <f t="shared" si="342"/>
        <v>1</v>
      </c>
      <c r="AJ346" s="798">
        <f t="shared" si="342"/>
        <v>1</v>
      </c>
      <c r="AK346" s="798">
        <f t="shared" si="342"/>
        <v>1</v>
      </c>
      <c r="AL346" s="798">
        <f t="shared" si="342"/>
        <v>1</v>
      </c>
      <c r="AM346" s="798">
        <f t="shared" si="342"/>
        <v>1</v>
      </c>
      <c r="AN346" s="798">
        <f t="shared" si="342"/>
        <v>1</v>
      </c>
      <c r="AO346" s="798">
        <f t="shared" si="342"/>
        <v>1</v>
      </c>
      <c r="AP346" s="798">
        <f t="shared" si="342"/>
        <v>1</v>
      </c>
      <c r="AQ346" s="798">
        <f t="shared" si="342"/>
        <v>1</v>
      </c>
      <c r="AR346" s="798">
        <f t="shared" si="342"/>
        <v>1</v>
      </c>
      <c r="AS346" s="798">
        <f t="shared" si="342"/>
        <v>1</v>
      </c>
      <c r="AT346" s="798">
        <f t="shared" si="342"/>
        <v>1</v>
      </c>
      <c r="AU346" s="798">
        <f t="shared" si="342"/>
        <v>1</v>
      </c>
      <c r="AV346" s="798">
        <f t="shared" si="342"/>
        <v>1</v>
      </c>
      <c r="AW346" s="798">
        <f t="shared" si="342"/>
        <v>1</v>
      </c>
      <c r="AX346" s="798">
        <f t="shared" si="342"/>
        <v>1</v>
      </c>
      <c r="AY346" s="798">
        <f t="shared" si="342"/>
        <v>1</v>
      </c>
      <c r="AZ346" s="798">
        <f t="shared" si="342"/>
        <v>1</v>
      </c>
      <c r="BA346" s="798">
        <f t="shared" si="342"/>
        <v>1</v>
      </c>
      <c r="BB346" s="798">
        <f t="shared" si="342"/>
        <v>1</v>
      </c>
      <c r="BC346" s="798">
        <f t="shared" si="342"/>
        <v>1</v>
      </c>
      <c r="BD346" s="798">
        <f t="shared" si="342"/>
        <v>1</v>
      </c>
      <c r="BE346" s="798">
        <f t="shared" si="342"/>
        <v>1</v>
      </c>
      <c r="BF346" s="798">
        <f t="shared" si="342"/>
        <v>1</v>
      </c>
      <c r="BG346" s="798">
        <f t="shared" si="342"/>
        <v>1</v>
      </c>
      <c r="BH346" s="798">
        <f t="shared" si="342"/>
        <v>1</v>
      </c>
      <c r="BI346" s="798">
        <f t="shared" si="342"/>
        <v>1</v>
      </c>
      <c r="BJ346" s="798">
        <f t="shared" si="342"/>
        <v>1</v>
      </c>
      <c r="BK346" s="798">
        <f t="shared" si="342"/>
        <v>1</v>
      </c>
      <c r="BL346" s="765"/>
      <c r="BM346" s="817"/>
      <c r="BN346" s="817"/>
    </row>
    <row r="347" hidden="1">
      <c r="A347" s="765"/>
      <c r="B347" s="765"/>
      <c r="C347" s="765"/>
      <c r="D347" s="765"/>
      <c r="E347" s="765"/>
      <c r="F347" s="765"/>
      <c r="G347" s="765"/>
      <c r="H347" s="765"/>
      <c r="I347" s="765">
        <f t="shared" si="17"/>
        <v>336</v>
      </c>
      <c r="J347" s="763">
        <f t="shared" si="5"/>
        <v>6317206825754</v>
      </c>
      <c r="K347" s="796">
        <f t="shared" si="7"/>
        <v>0.40179</v>
      </c>
      <c r="L347" s="796">
        <v>5.0E-4</v>
      </c>
      <c r="M347" s="763">
        <v>7.20320048546625E12</v>
      </c>
      <c r="N347" s="797">
        <f t="shared" si="8"/>
        <v>0</v>
      </c>
      <c r="O347" s="798">
        <f t="shared" ref="O347:BK347" si="343">FLOOR(MIN((((N("value of ELS upgrade")+N$8*($K347-$K346))*(N("Check checkbox")+(IF($G$6=TRUE,$G$7,$G$8))/$G$8))/(N("ROI of ELS and multiply by 2 if ELS is 1:1")+IF($G$12 = True, 2, 1) * $J347))/((N("difference in ELS+ and the cost of it")+(($K346*O$8)-($K346*N$8)) / O$7)),(N("MIN lets it return 0 or 1 after floored")+1)),1)</f>
        <v>0</v>
      </c>
      <c r="P347" s="798">
        <f t="shared" si="343"/>
        <v>0</v>
      </c>
      <c r="Q347" s="798">
        <f t="shared" si="343"/>
        <v>0</v>
      </c>
      <c r="R347" s="798">
        <f t="shared" si="343"/>
        <v>0</v>
      </c>
      <c r="S347" s="798">
        <f t="shared" si="343"/>
        <v>0</v>
      </c>
      <c r="T347" s="798">
        <f t="shared" si="343"/>
        <v>0</v>
      </c>
      <c r="U347" s="798">
        <f t="shared" si="343"/>
        <v>0</v>
      </c>
      <c r="V347" s="798">
        <f t="shared" si="343"/>
        <v>0</v>
      </c>
      <c r="W347" s="798">
        <f t="shared" si="343"/>
        <v>0</v>
      </c>
      <c r="X347" s="798">
        <f t="shared" si="343"/>
        <v>0</v>
      </c>
      <c r="Y347" s="798">
        <f t="shared" si="343"/>
        <v>0</v>
      </c>
      <c r="Z347" s="798">
        <f t="shared" si="343"/>
        <v>1</v>
      </c>
      <c r="AA347" s="798">
        <f t="shared" si="343"/>
        <v>1</v>
      </c>
      <c r="AB347" s="798">
        <f t="shared" si="343"/>
        <v>1</v>
      </c>
      <c r="AC347" s="798">
        <f t="shared" si="343"/>
        <v>1</v>
      </c>
      <c r="AD347" s="798">
        <f t="shared" si="343"/>
        <v>1</v>
      </c>
      <c r="AE347" s="798">
        <f t="shared" si="343"/>
        <v>1</v>
      </c>
      <c r="AF347" s="798">
        <f t="shared" si="343"/>
        <v>1</v>
      </c>
      <c r="AG347" s="798">
        <f t="shared" si="343"/>
        <v>1</v>
      </c>
      <c r="AH347" s="798">
        <f t="shared" si="343"/>
        <v>1</v>
      </c>
      <c r="AI347" s="798">
        <f t="shared" si="343"/>
        <v>1</v>
      </c>
      <c r="AJ347" s="798">
        <f t="shared" si="343"/>
        <v>1</v>
      </c>
      <c r="AK347" s="798">
        <f t="shared" si="343"/>
        <v>1</v>
      </c>
      <c r="AL347" s="798">
        <f t="shared" si="343"/>
        <v>1</v>
      </c>
      <c r="AM347" s="798">
        <f t="shared" si="343"/>
        <v>1</v>
      </c>
      <c r="AN347" s="798">
        <f t="shared" si="343"/>
        <v>1</v>
      </c>
      <c r="AO347" s="798">
        <f t="shared" si="343"/>
        <v>1</v>
      </c>
      <c r="AP347" s="798">
        <f t="shared" si="343"/>
        <v>1</v>
      </c>
      <c r="AQ347" s="798">
        <f t="shared" si="343"/>
        <v>1</v>
      </c>
      <c r="AR347" s="798">
        <f t="shared" si="343"/>
        <v>1</v>
      </c>
      <c r="AS347" s="798">
        <f t="shared" si="343"/>
        <v>1</v>
      </c>
      <c r="AT347" s="798">
        <f t="shared" si="343"/>
        <v>1</v>
      </c>
      <c r="AU347" s="798">
        <f t="shared" si="343"/>
        <v>1</v>
      </c>
      <c r="AV347" s="798">
        <f t="shared" si="343"/>
        <v>1</v>
      </c>
      <c r="AW347" s="798">
        <f t="shared" si="343"/>
        <v>1</v>
      </c>
      <c r="AX347" s="798">
        <f t="shared" si="343"/>
        <v>1</v>
      </c>
      <c r="AY347" s="798">
        <f t="shared" si="343"/>
        <v>1</v>
      </c>
      <c r="AZ347" s="798">
        <f t="shared" si="343"/>
        <v>1</v>
      </c>
      <c r="BA347" s="798">
        <f t="shared" si="343"/>
        <v>1</v>
      </c>
      <c r="BB347" s="798">
        <f t="shared" si="343"/>
        <v>1</v>
      </c>
      <c r="BC347" s="798">
        <f t="shared" si="343"/>
        <v>1</v>
      </c>
      <c r="BD347" s="798">
        <f t="shared" si="343"/>
        <v>1</v>
      </c>
      <c r="BE347" s="798">
        <f t="shared" si="343"/>
        <v>1</v>
      </c>
      <c r="BF347" s="798">
        <f t="shared" si="343"/>
        <v>1</v>
      </c>
      <c r="BG347" s="798">
        <f t="shared" si="343"/>
        <v>1</v>
      </c>
      <c r="BH347" s="798">
        <f t="shared" si="343"/>
        <v>1</v>
      </c>
      <c r="BI347" s="798">
        <f t="shared" si="343"/>
        <v>1</v>
      </c>
      <c r="BJ347" s="798">
        <f t="shared" si="343"/>
        <v>1</v>
      </c>
      <c r="BK347" s="798">
        <f t="shared" si="343"/>
        <v>1</v>
      </c>
      <c r="BL347" s="765"/>
      <c r="BM347" s="817"/>
      <c r="BN347" s="817"/>
    </row>
    <row r="348" hidden="1">
      <c r="A348" s="765"/>
      <c r="B348" s="765"/>
      <c r="C348" s="765"/>
      <c r="D348" s="765"/>
      <c r="E348" s="765"/>
      <c r="F348" s="765"/>
      <c r="G348" s="765"/>
      <c r="H348" s="765"/>
      <c r="I348" s="765">
        <f t="shared" si="17"/>
        <v>337</v>
      </c>
      <c r="J348" s="763">
        <f t="shared" si="5"/>
        <v>6342758197224</v>
      </c>
      <c r="K348" s="796">
        <f t="shared" si="7"/>
        <v>0.40229</v>
      </c>
      <c r="L348" s="796">
        <v>5.0E-4</v>
      </c>
      <c r="M348" s="763">
        <v>7.23233545863661E12</v>
      </c>
      <c r="N348" s="797">
        <f t="shared" si="8"/>
        <v>0</v>
      </c>
      <c r="O348" s="798">
        <f t="shared" ref="O348:BK348" si="344">FLOOR(MIN((((N("value of ELS upgrade")+N$8*($K348-$K347))*(N("Check checkbox")+(IF($G$6=TRUE,$G$7,$G$8))/$G$8))/(N("ROI of ELS and multiply by 2 if ELS is 1:1")+IF($G$12 = True, 2, 1) * $J348))/((N("difference in ELS+ and the cost of it")+(($K347*O$8)-($K347*N$8)) / O$7)),(N("MIN lets it return 0 or 1 after floored")+1)),1)</f>
        <v>0</v>
      </c>
      <c r="P348" s="798">
        <f t="shared" si="344"/>
        <v>0</v>
      </c>
      <c r="Q348" s="798">
        <f t="shared" si="344"/>
        <v>0</v>
      </c>
      <c r="R348" s="798">
        <f t="shared" si="344"/>
        <v>0</v>
      </c>
      <c r="S348" s="798">
        <f t="shared" si="344"/>
        <v>0</v>
      </c>
      <c r="T348" s="798">
        <f t="shared" si="344"/>
        <v>0</v>
      </c>
      <c r="U348" s="798">
        <f t="shared" si="344"/>
        <v>0</v>
      </c>
      <c r="V348" s="798">
        <f t="shared" si="344"/>
        <v>0</v>
      </c>
      <c r="W348" s="798">
        <f t="shared" si="344"/>
        <v>0</v>
      </c>
      <c r="X348" s="798">
        <f t="shared" si="344"/>
        <v>0</v>
      </c>
      <c r="Y348" s="798">
        <f t="shared" si="344"/>
        <v>0</v>
      </c>
      <c r="Z348" s="798">
        <f t="shared" si="344"/>
        <v>1</v>
      </c>
      <c r="AA348" s="798">
        <f t="shared" si="344"/>
        <v>1</v>
      </c>
      <c r="AB348" s="798">
        <f t="shared" si="344"/>
        <v>1</v>
      </c>
      <c r="AC348" s="798">
        <f t="shared" si="344"/>
        <v>1</v>
      </c>
      <c r="AD348" s="798">
        <f t="shared" si="344"/>
        <v>1</v>
      </c>
      <c r="AE348" s="798">
        <f t="shared" si="344"/>
        <v>1</v>
      </c>
      <c r="AF348" s="798">
        <f t="shared" si="344"/>
        <v>1</v>
      </c>
      <c r="AG348" s="798">
        <f t="shared" si="344"/>
        <v>1</v>
      </c>
      <c r="AH348" s="798">
        <f t="shared" si="344"/>
        <v>1</v>
      </c>
      <c r="AI348" s="798">
        <f t="shared" si="344"/>
        <v>1</v>
      </c>
      <c r="AJ348" s="798">
        <f t="shared" si="344"/>
        <v>1</v>
      </c>
      <c r="AK348" s="798">
        <f t="shared" si="344"/>
        <v>1</v>
      </c>
      <c r="AL348" s="798">
        <f t="shared" si="344"/>
        <v>1</v>
      </c>
      <c r="AM348" s="798">
        <f t="shared" si="344"/>
        <v>1</v>
      </c>
      <c r="AN348" s="798">
        <f t="shared" si="344"/>
        <v>1</v>
      </c>
      <c r="AO348" s="798">
        <f t="shared" si="344"/>
        <v>1</v>
      </c>
      <c r="AP348" s="798">
        <f t="shared" si="344"/>
        <v>1</v>
      </c>
      <c r="AQ348" s="798">
        <f t="shared" si="344"/>
        <v>1</v>
      </c>
      <c r="AR348" s="798">
        <f t="shared" si="344"/>
        <v>1</v>
      </c>
      <c r="AS348" s="798">
        <f t="shared" si="344"/>
        <v>1</v>
      </c>
      <c r="AT348" s="798">
        <f t="shared" si="344"/>
        <v>1</v>
      </c>
      <c r="AU348" s="798">
        <f t="shared" si="344"/>
        <v>1</v>
      </c>
      <c r="AV348" s="798">
        <f t="shared" si="344"/>
        <v>1</v>
      </c>
      <c r="AW348" s="798">
        <f t="shared" si="344"/>
        <v>1</v>
      </c>
      <c r="AX348" s="798">
        <f t="shared" si="344"/>
        <v>1</v>
      </c>
      <c r="AY348" s="798">
        <f t="shared" si="344"/>
        <v>1</v>
      </c>
      <c r="AZ348" s="798">
        <f t="shared" si="344"/>
        <v>1</v>
      </c>
      <c r="BA348" s="798">
        <f t="shared" si="344"/>
        <v>1</v>
      </c>
      <c r="BB348" s="798">
        <f t="shared" si="344"/>
        <v>1</v>
      </c>
      <c r="BC348" s="798">
        <f t="shared" si="344"/>
        <v>1</v>
      </c>
      <c r="BD348" s="798">
        <f t="shared" si="344"/>
        <v>1</v>
      </c>
      <c r="BE348" s="798">
        <f t="shared" si="344"/>
        <v>1</v>
      </c>
      <c r="BF348" s="798">
        <f t="shared" si="344"/>
        <v>1</v>
      </c>
      <c r="BG348" s="798">
        <f t="shared" si="344"/>
        <v>1</v>
      </c>
      <c r="BH348" s="798">
        <f t="shared" si="344"/>
        <v>1</v>
      </c>
      <c r="BI348" s="798">
        <f t="shared" si="344"/>
        <v>1</v>
      </c>
      <c r="BJ348" s="798">
        <f t="shared" si="344"/>
        <v>1</v>
      </c>
      <c r="BK348" s="798">
        <f t="shared" si="344"/>
        <v>1</v>
      </c>
      <c r="BL348" s="765"/>
      <c r="BM348" s="817"/>
      <c r="BN348" s="817"/>
    </row>
    <row r="349" hidden="1">
      <c r="A349" s="765"/>
      <c r="B349" s="765"/>
      <c r="C349" s="765"/>
      <c r="D349" s="765"/>
      <c r="E349" s="765"/>
      <c r="F349" s="765"/>
      <c r="G349" s="765"/>
      <c r="H349" s="765"/>
      <c r="I349" s="765">
        <f t="shared" si="17"/>
        <v>338</v>
      </c>
      <c r="J349" s="763">
        <f t="shared" si="5"/>
        <v>6368384721882</v>
      </c>
      <c r="K349" s="796">
        <f t="shared" si="7"/>
        <v>0.40279</v>
      </c>
      <c r="L349" s="796">
        <v>5.0E-4</v>
      </c>
      <c r="M349" s="763">
        <v>7.26155612529354E12</v>
      </c>
      <c r="N349" s="797">
        <f t="shared" si="8"/>
        <v>0</v>
      </c>
      <c r="O349" s="798">
        <f t="shared" ref="O349:BK349" si="345">FLOOR(MIN((((N("value of ELS upgrade")+N$8*($K349-$K348))*(N("Check checkbox")+(IF($G$6=TRUE,$G$7,$G$8))/$G$8))/(N("ROI of ELS and multiply by 2 if ELS is 1:1")+IF($G$12 = True, 2, 1) * $J349))/((N("difference in ELS+ and the cost of it")+(($K348*O$8)-($K348*N$8)) / O$7)),(N("MIN lets it return 0 or 1 after floored")+1)),1)</f>
        <v>0</v>
      </c>
      <c r="P349" s="798">
        <f t="shared" si="345"/>
        <v>0</v>
      </c>
      <c r="Q349" s="798">
        <f t="shared" si="345"/>
        <v>0</v>
      </c>
      <c r="R349" s="798">
        <f t="shared" si="345"/>
        <v>0</v>
      </c>
      <c r="S349" s="798">
        <f t="shared" si="345"/>
        <v>0</v>
      </c>
      <c r="T349" s="798">
        <f t="shared" si="345"/>
        <v>0</v>
      </c>
      <c r="U349" s="798">
        <f t="shared" si="345"/>
        <v>0</v>
      </c>
      <c r="V349" s="798">
        <f t="shared" si="345"/>
        <v>0</v>
      </c>
      <c r="W349" s="798">
        <f t="shared" si="345"/>
        <v>0</v>
      </c>
      <c r="X349" s="798">
        <f t="shared" si="345"/>
        <v>0</v>
      </c>
      <c r="Y349" s="798">
        <f t="shared" si="345"/>
        <v>0</v>
      </c>
      <c r="Z349" s="798">
        <f t="shared" si="345"/>
        <v>1</v>
      </c>
      <c r="AA349" s="798">
        <f t="shared" si="345"/>
        <v>1</v>
      </c>
      <c r="AB349" s="798">
        <f t="shared" si="345"/>
        <v>1</v>
      </c>
      <c r="AC349" s="798">
        <f t="shared" si="345"/>
        <v>1</v>
      </c>
      <c r="AD349" s="798">
        <f t="shared" si="345"/>
        <v>1</v>
      </c>
      <c r="AE349" s="798">
        <f t="shared" si="345"/>
        <v>1</v>
      </c>
      <c r="AF349" s="798">
        <f t="shared" si="345"/>
        <v>1</v>
      </c>
      <c r="AG349" s="798">
        <f t="shared" si="345"/>
        <v>1</v>
      </c>
      <c r="AH349" s="798">
        <f t="shared" si="345"/>
        <v>1</v>
      </c>
      <c r="AI349" s="798">
        <f t="shared" si="345"/>
        <v>1</v>
      </c>
      <c r="AJ349" s="798">
        <f t="shared" si="345"/>
        <v>1</v>
      </c>
      <c r="AK349" s="798">
        <f t="shared" si="345"/>
        <v>1</v>
      </c>
      <c r="AL349" s="798">
        <f t="shared" si="345"/>
        <v>1</v>
      </c>
      <c r="AM349" s="798">
        <f t="shared" si="345"/>
        <v>1</v>
      </c>
      <c r="AN349" s="798">
        <f t="shared" si="345"/>
        <v>1</v>
      </c>
      <c r="AO349" s="798">
        <f t="shared" si="345"/>
        <v>1</v>
      </c>
      <c r="AP349" s="798">
        <f t="shared" si="345"/>
        <v>1</v>
      </c>
      <c r="AQ349" s="798">
        <f t="shared" si="345"/>
        <v>1</v>
      </c>
      <c r="AR349" s="798">
        <f t="shared" si="345"/>
        <v>1</v>
      </c>
      <c r="AS349" s="798">
        <f t="shared" si="345"/>
        <v>1</v>
      </c>
      <c r="AT349" s="798">
        <f t="shared" si="345"/>
        <v>1</v>
      </c>
      <c r="AU349" s="798">
        <f t="shared" si="345"/>
        <v>1</v>
      </c>
      <c r="AV349" s="798">
        <f t="shared" si="345"/>
        <v>1</v>
      </c>
      <c r="AW349" s="798">
        <f t="shared" si="345"/>
        <v>1</v>
      </c>
      <c r="AX349" s="798">
        <f t="shared" si="345"/>
        <v>1</v>
      </c>
      <c r="AY349" s="798">
        <f t="shared" si="345"/>
        <v>1</v>
      </c>
      <c r="AZ349" s="798">
        <f t="shared" si="345"/>
        <v>1</v>
      </c>
      <c r="BA349" s="798">
        <f t="shared" si="345"/>
        <v>1</v>
      </c>
      <c r="BB349" s="798">
        <f t="shared" si="345"/>
        <v>1</v>
      </c>
      <c r="BC349" s="798">
        <f t="shared" si="345"/>
        <v>1</v>
      </c>
      <c r="BD349" s="798">
        <f t="shared" si="345"/>
        <v>1</v>
      </c>
      <c r="BE349" s="798">
        <f t="shared" si="345"/>
        <v>1</v>
      </c>
      <c r="BF349" s="798">
        <f t="shared" si="345"/>
        <v>1</v>
      </c>
      <c r="BG349" s="798">
        <f t="shared" si="345"/>
        <v>1</v>
      </c>
      <c r="BH349" s="798">
        <f t="shared" si="345"/>
        <v>1</v>
      </c>
      <c r="BI349" s="798">
        <f t="shared" si="345"/>
        <v>1</v>
      </c>
      <c r="BJ349" s="798">
        <f t="shared" si="345"/>
        <v>1</v>
      </c>
      <c r="BK349" s="798">
        <f t="shared" si="345"/>
        <v>1</v>
      </c>
      <c r="BL349" s="765"/>
      <c r="BM349" s="817"/>
      <c r="BN349" s="817"/>
    </row>
    <row r="350" hidden="1">
      <c r="A350" s="765"/>
      <c r="B350" s="765"/>
      <c r="C350" s="765"/>
      <c r="D350" s="765"/>
      <c r="E350" s="765"/>
      <c r="F350" s="765"/>
      <c r="G350" s="765"/>
      <c r="H350" s="765"/>
      <c r="I350" s="765">
        <f t="shared" si="17"/>
        <v>339</v>
      </c>
      <c r="J350" s="763">
        <f t="shared" si="5"/>
        <v>6394086637179</v>
      </c>
      <c r="K350" s="796">
        <f t="shared" si="7"/>
        <v>0.40329</v>
      </c>
      <c r="L350" s="796">
        <v>5.0E-4</v>
      </c>
      <c r="M350" s="763">
        <v>7.29086275619054E12</v>
      </c>
      <c r="N350" s="797">
        <f t="shared" si="8"/>
        <v>0</v>
      </c>
      <c r="O350" s="798">
        <f t="shared" ref="O350:BK350" si="346">FLOOR(MIN((((N("value of ELS upgrade")+N$8*($K350-$K349))*(N("Check checkbox")+(IF($G$6=TRUE,$G$7,$G$8))/$G$8))/(N("ROI of ELS and multiply by 2 if ELS is 1:1")+IF($G$12 = True, 2, 1) * $J350))/((N("difference in ELS+ and the cost of it")+(($K349*O$8)-($K349*N$8)) / O$7)),(N("MIN lets it return 0 or 1 after floored")+1)),1)</f>
        <v>0</v>
      </c>
      <c r="P350" s="798">
        <f t="shared" si="346"/>
        <v>0</v>
      </c>
      <c r="Q350" s="798">
        <f t="shared" si="346"/>
        <v>0</v>
      </c>
      <c r="R350" s="798">
        <f t="shared" si="346"/>
        <v>0</v>
      </c>
      <c r="S350" s="798">
        <f t="shared" si="346"/>
        <v>0</v>
      </c>
      <c r="T350" s="798">
        <f t="shared" si="346"/>
        <v>0</v>
      </c>
      <c r="U350" s="798">
        <f t="shared" si="346"/>
        <v>0</v>
      </c>
      <c r="V350" s="798">
        <f t="shared" si="346"/>
        <v>0</v>
      </c>
      <c r="W350" s="798">
        <f t="shared" si="346"/>
        <v>0</v>
      </c>
      <c r="X350" s="798">
        <f t="shared" si="346"/>
        <v>0</v>
      </c>
      <c r="Y350" s="798">
        <f t="shared" si="346"/>
        <v>0</v>
      </c>
      <c r="Z350" s="798">
        <f t="shared" si="346"/>
        <v>1</v>
      </c>
      <c r="AA350" s="798">
        <f t="shared" si="346"/>
        <v>1</v>
      </c>
      <c r="AB350" s="798">
        <f t="shared" si="346"/>
        <v>1</v>
      </c>
      <c r="AC350" s="798">
        <f t="shared" si="346"/>
        <v>1</v>
      </c>
      <c r="AD350" s="798">
        <f t="shared" si="346"/>
        <v>1</v>
      </c>
      <c r="AE350" s="798">
        <f t="shared" si="346"/>
        <v>1</v>
      </c>
      <c r="AF350" s="798">
        <f t="shared" si="346"/>
        <v>1</v>
      </c>
      <c r="AG350" s="798">
        <f t="shared" si="346"/>
        <v>1</v>
      </c>
      <c r="AH350" s="798">
        <f t="shared" si="346"/>
        <v>1</v>
      </c>
      <c r="AI350" s="798">
        <f t="shared" si="346"/>
        <v>1</v>
      </c>
      <c r="AJ350" s="798">
        <f t="shared" si="346"/>
        <v>1</v>
      </c>
      <c r="AK350" s="798">
        <f t="shared" si="346"/>
        <v>1</v>
      </c>
      <c r="AL350" s="798">
        <f t="shared" si="346"/>
        <v>1</v>
      </c>
      <c r="AM350" s="798">
        <f t="shared" si="346"/>
        <v>1</v>
      </c>
      <c r="AN350" s="798">
        <f t="shared" si="346"/>
        <v>1</v>
      </c>
      <c r="AO350" s="798">
        <f t="shared" si="346"/>
        <v>1</v>
      </c>
      <c r="AP350" s="798">
        <f t="shared" si="346"/>
        <v>1</v>
      </c>
      <c r="AQ350" s="798">
        <f t="shared" si="346"/>
        <v>1</v>
      </c>
      <c r="AR350" s="798">
        <f t="shared" si="346"/>
        <v>1</v>
      </c>
      <c r="AS350" s="798">
        <f t="shared" si="346"/>
        <v>1</v>
      </c>
      <c r="AT350" s="798">
        <f t="shared" si="346"/>
        <v>1</v>
      </c>
      <c r="AU350" s="798">
        <f t="shared" si="346"/>
        <v>1</v>
      </c>
      <c r="AV350" s="798">
        <f t="shared" si="346"/>
        <v>1</v>
      </c>
      <c r="AW350" s="798">
        <f t="shared" si="346"/>
        <v>1</v>
      </c>
      <c r="AX350" s="798">
        <f t="shared" si="346"/>
        <v>1</v>
      </c>
      <c r="AY350" s="798">
        <f t="shared" si="346"/>
        <v>1</v>
      </c>
      <c r="AZ350" s="798">
        <f t="shared" si="346"/>
        <v>1</v>
      </c>
      <c r="BA350" s="798">
        <f t="shared" si="346"/>
        <v>1</v>
      </c>
      <c r="BB350" s="798">
        <f t="shared" si="346"/>
        <v>1</v>
      </c>
      <c r="BC350" s="798">
        <f t="shared" si="346"/>
        <v>1</v>
      </c>
      <c r="BD350" s="798">
        <f t="shared" si="346"/>
        <v>1</v>
      </c>
      <c r="BE350" s="798">
        <f t="shared" si="346"/>
        <v>1</v>
      </c>
      <c r="BF350" s="798">
        <f t="shared" si="346"/>
        <v>1</v>
      </c>
      <c r="BG350" s="798">
        <f t="shared" si="346"/>
        <v>1</v>
      </c>
      <c r="BH350" s="798">
        <f t="shared" si="346"/>
        <v>1</v>
      </c>
      <c r="BI350" s="798">
        <f t="shared" si="346"/>
        <v>1</v>
      </c>
      <c r="BJ350" s="798">
        <f t="shared" si="346"/>
        <v>1</v>
      </c>
      <c r="BK350" s="798">
        <f t="shared" si="346"/>
        <v>1</v>
      </c>
      <c r="BL350" s="765"/>
      <c r="BM350" s="817"/>
      <c r="BN350" s="817"/>
    </row>
    <row r="351" hidden="1">
      <c r="A351" s="765"/>
      <c r="B351" s="765"/>
      <c r="C351" s="765"/>
      <c r="D351" s="765"/>
      <c r="E351" s="765"/>
      <c r="F351" s="765"/>
      <c r="G351" s="765"/>
      <c r="H351" s="765"/>
      <c r="I351" s="765">
        <f t="shared" si="17"/>
        <v>340</v>
      </c>
      <c r="J351" s="763">
        <f t="shared" si="5"/>
        <v>6419864418016</v>
      </c>
      <c r="K351" s="796">
        <f t="shared" si="7"/>
        <v>0.40379</v>
      </c>
      <c r="L351" s="796">
        <v>5.0E-4</v>
      </c>
      <c r="M351" s="763">
        <v>7.32025589283464E12</v>
      </c>
      <c r="N351" s="797">
        <f t="shared" si="8"/>
        <v>0</v>
      </c>
      <c r="O351" s="798">
        <f t="shared" ref="O351:BK351" si="347">FLOOR(MIN((((N("value of ELS upgrade")+N$8*($K351-$K350))*(N("Check checkbox")+(IF($G$6=TRUE,$G$7,$G$8))/$G$8))/(N("ROI of ELS and multiply by 2 if ELS is 1:1")+IF($G$12 = True, 2, 1) * $J351))/((N("difference in ELS+ and the cost of it")+(($K350*O$8)-($K350*N$8)) / O$7)),(N("MIN lets it return 0 or 1 after floored")+1)),1)</f>
        <v>0</v>
      </c>
      <c r="P351" s="798">
        <f t="shared" si="347"/>
        <v>0</v>
      </c>
      <c r="Q351" s="798">
        <f t="shared" si="347"/>
        <v>0</v>
      </c>
      <c r="R351" s="798">
        <f t="shared" si="347"/>
        <v>0</v>
      </c>
      <c r="S351" s="798">
        <f t="shared" si="347"/>
        <v>0</v>
      </c>
      <c r="T351" s="798">
        <f t="shared" si="347"/>
        <v>0</v>
      </c>
      <c r="U351" s="798">
        <f t="shared" si="347"/>
        <v>0</v>
      </c>
      <c r="V351" s="798">
        <f t="shared" si="347"/>
        <v>0</v>
      </c>
      <c r="W351" s="798">
        <f t="shared" si="347"/>
        <v>0</v>
      </c>
      <c r="X351" s="798">
        <f t="shared" si="347"/>
        <v>0</v>
      </c>
      <c r="Y351" s="798">
        <f t="shared" si="347"/>
        <v>0</v>
      </c>
      <c r="Z351" s="798">
        <f t="shared" si="347"/>
        <v>1</v>
      </c>
      <c r="AA351" s="798">
        <f t="shared" si="347"/>
        <v>1</v>
      </c>
      <c r="AB351" s="798">
        <f t="shared" si="347"/>
        <v>1</v>
      </c>
      <c r="AC351" s="798">
        <f t="shared" si="347"/>
        <v>1</v>
      </c>
      <c r="AD351" s="798">
        <f t="shared" si="347"/>
        <v>1</v>
      </c>
      <c r="AE351" s="798">
        <f t="shared" si="347"/>
        <v>1</v>
      </c>
      <c r="AF351" s="798">
        <f t="shared" si="347"/>
        <v>1</v>
      </c>
      <c r="AG351" s="798">
        <f t="shared" si="347"/>
        <v>1</v>
      </c>
      <c r="AH351" s="798">
        <f t="shared" si="347"/>
        <v>1</v>
      </c>
      <c r="AI351" s="798">
        <f t="shared" si="347"/>
        <v>1</v>
      </c>
      <c r="AJ351" s="798">
        <f t="shared" si="347"/>
        <v>1</v>
      </c>
      <c r="AK351" s="798">
        <f t="shared" si="347"/>
        <v>1</v>
      </c>
      <c r="AL351" s="798">
        <f t="shared" si="347"/>
        <v>1</v>
      </c>
      <c r="AM351" s="798">
        <f t="shared" si="347"/>
        <v>1</v>
      </c>
      <c r="AN351" s="798">
        <f t="shared" si="347"/>
        <v>1</v>
      </c>
      <c r="AO351" s="798">
        <f t="shared" si="347"/>
        <v>1</v>
      </c>
      <c r="AP351" s="798">
        <f t="shared" si="347"/>
        <v>1</v>
      </c>
      <c r="AQ351" s="798">
        <f t="shared" si="347"/>
        <v>1</v>
      </c>
      <c r="AR351" s="798">
        <f t="shared" si="347"/>
        <v>1</v>
      </c>
      <c r="AS351" s="798">
        <f t="shared" si="347"/>
        <v>1</v>
      </c>
      <c r="AT351" s="798">
        <f t="shared" si="347"/>
        <v>1</v>
      </c>
      <c r="AU351" s="798">
        <f t="shared" si="347"/>
        <v>1</v>
      </c>
      <c r="AV351" s="798">
        <f t="shared" si="347"/>
        <v>1</v>
      </c>
      <c r="AW351" s="798">
        <f t="shared" si="347"/>
        <v>1</v>
      </c>
      <c r="AX351" s="798">
        <f t="shared" si="347"/>
        <v>1</v>
      </c>
      <c r="AY351" s="798">
        <f t="shared" si="347"/>
        <v>1</v>
      </c>
      <c r="AZ351" s="798">
        <f t="shared" si="347"/>
        <v>1</v>
      </c>
      <c r="BA351" s="798">
        <f t="shared" si="347"/>
        <v>1</v>
      </c>
      <c r="BB351" s="798">
        <f t="shared" si="347"/>
        <v>1</v>
      </c>
      <c r="BC351" s="798">
        <f t="shared" si="347"/>
        <v>1</v>
      </c>
      <c r="BD351" s="798">
        <f t="shared" si="347"/>
        <v>1</v>
      </c>
      <c r="BE351" s="798">
        <f t="shared" si="347"/>
        <v>1</v>
      </c>
      <c r="BF351" s="798">
        <f t="shared" si="347"/>
        <v>1</v>
      </c>
      <c r="BG351" s="798">
        <f t="shared" si="347"/>
        <v>1</v>
      </c>
      <c r="BH351" s="798">
        <f t="shared" si="347"/>
        <v>1</v>
      </c>
      <c r="BI351" s="798">
        <f t="shared" si="347"/>
        <v>1</v>
      </c>
      <c r="BJ351" s="798">
        <f t="shared" si="347"/>
        <v>1</v>
      </c>
      <c r="BK351" s="798">
        <f t="shared" si="347"/>
        <v>1</v>
      </c>
      <c r="BL351" s="765"/>
      <c r="BM351" s="817"/>
      <c r="BN351" s="817"/>
    </row>
    <row r="352" hidden="1">
      <c r="A352" s="765"/>
      <c r="B352" s="765"/>
      <c r="C352" s="765"/>
      <c r="D352" s="765"/>
      <c r="E352" s="765"/>
      <c r="F352" s="765"/>
      <c r="G352" s="765"/>
      <c r="H352" s="765"/>
      <c r="I352" s="765">
        <f t="shared" si="17"/>
        <v>341</v>
      </c>
      <c r="J352" s="763">
        <f t="shared" si="5"/>
        <v>6445718301844</v>
      </c>
      <c r="K352" s="796">
        <f t="shared" si="7"/>
        <v>0.40429</v>
      </c>
      <c r="L352" s="796">
        <v>5.0E-4</v>
      </c>
      <c r="M352" s="763">
        <v>7.34973580597935E12</v>
      </c>
      <c r="N352" s="797">
        <f t="shared" si="8"/>
        <v>0</v>
      </c>
      <c r="O352" s="798">
        <f t="shared" ref="O352:BK352" si="348">FLOOR(MIN((((N("value of ELS upgrade")+N$8*($K352-$K351))*(N("Check checkbox")+(IF($G$6=TRUE,$G$7,$G$8))/$G$8))/(N("ROI of ELS and multiply by 2 if ELS is 1:1")+IF($G$12 = True, 2, 1) * $J352))/((N("difference in ELS+ and the cost of it")+(($K351*O$8)-($K351*N$8)) / O$7)),(N("MIN lets it return 0 or 1 after floored")+1)),1)</f>
        <v>0</v>
      </c>
      <c r="P352" s="798">
        <f t="shared" si="348"/>
        <v>0</v>
      </c>
      <c r="Q352" s="798">
        <f t="shared" si="348"/>
        <v>0</v>
      </c>
      <c r="R352" s="798">
        <f t="shared" si="348"/>
        <v>0</v>
      </c>
      <c r="S352" s="798">
        <f t="shared" si="348"/>
        <v>0</v>
      </c>
      <c r="T352" s="798">
        <f t="shared" si="348"/>
        <v>0</v>
      </c>
      <c r="U352" s="798">
        <f t="shared" si="348"/>
        <v>0</v>
      </c>
      <c r="V352" s="798">
        <f t="shared" si="348"/>
        <v>0</v>
      </c>
      <c r="W352" s="798">
        <f t="shared" si="348"/>
        <v>0</v>
      </c>
      <c r="X352" s="798">
        <f t="shared" si="348"/>
        <v>0</v>
      </c>
      <c r="Y352" s="798">
        <f t="shared" si="348"/>
        <v>0</v>
      </c>
      <c r="Z352" s="798">
        <f t="shared" si="348"/>
        <v>1</v>
      </c>
      <c r="AA352" s="798">
        <f t="shared" si="348"/>
        <v>1</v>
      </c>
      <c r="AB352" s="798">
        <f t="shared" si="348"/>
        <v>1</v>
      </c>
      <c r="AC352" s="798">
        <f t="shared" si="348"/>
        <v>1</v>
      </c>
      <c r="AD352" s="798">
        <f t="shared" si="348"/>
        <v>1</v>
      </c>
      <c r="AE352" s="798">
        <f t="shared" si="348"/>
        <v>1</v>
      </c>
      <c r="AF352" s="798">
        <f t="shared" si="348"/>
        <v>1</v>
      </c>
      <c r="AG352" s="798">
        <f t="shared" si="348"/>
        <v>1</v>
      </c>
      <c r="AH352" s="798">
        <f t="shared" si="348"/>
        <v>1</v>
      </c>
      <c r="AI352" s="798">
        <f t="shared" si="348"/>
        <v>1</v>
      </c>
      <c r="AJ352" s="798">
        <f t="shared" si="348"/>
        <v>1</v>
      </c>
      <c r="AK352" s="798">
        <f t="shared" si="348"/>
        <v>1</v>
      </c>
      <c r="AL352" s="798">
        <f t="shared" si="348"/>
        <v>1</v>
      </c>
      <c r="AM352" s="798">
        <f t="shared" si="348"/>
        <v>1</v>
      </c>
      <c r="AN352" s="798">
        <f t="shared" si="348"/>
        <v>1</v>
      </c>
      <c r="AO352" s="798">
        <f t="shared" si="348"/>
        <v>1</v>
      </c>
      <c r="AP352" s="798">
        <f t="shared" si="348"/>
        <v>1</v>
      </c>
      <c r="AQ352" s="798">
        <f t="shared" si="348"/>
        <v>1</v>
      </c>
      <c r="AR352" s="798">
        <f t="shared" si="348"/>
        <v>1</v>
      </c>
      <c r="AS352" s="798">
        <f t="shared" si="348"/>
        <v>1</v>
      </c>
      <c r="AT352" s="798">
        <f t="shared" si="348"/>
        <v>1</v>
      </c>
      <c r="AU352" s="798">
        <f t="shared" si="348"/>
        <v>1</v>
      </c>
      <c r="AV352" s="798">
        <f t="shared" si="348"/>
        <v>1</v>
      </c>
      <c r="AW352" s="798">
        <f t="shared" si="348"/>
        <v>1</v>
      </c>
      <c r="AX352" s="798">
        <f t="shared" si="348"/>
        <v>1</v>
      </c>
      <c r="AY352" s="798">
        <f t="shared" si="348"/>
        <v>1</v>
      </c>
      <c r="AZ352" s="798">
        <f t="shared" si="348"/>
        <v>1</v>
      </c>
      <c r="BA352" s="798">
        <f t="shared" si="348"/>
        <v>1</v>
      </c>
      <c r="BB352" s="798">
        <f t="shared" si="348"/>
        <v>1</v>
      </c>
      <c r="BC352" s="798">
        <f t="shared" si="348"/>
        <v>1</v>
      </c>
      <c r="BD352" s="798">
        <f t="shared" si="348"/>
        <v>1</v>
      </c>
      <c r="BE352" s="798">
        <f t="shared" si="348"/>
        <v>1</v>
      </c>
      <c r="BF352" s="798">
        <f t="shared" si="348"/>
        <v>1</v>
      </c>
      <c r="BG352" s="798">
        <f t="shared" si="348"/>
        <v>1</v>
      </c>
      <c r="BH352" s="798">
        <f t="shared" si="348"/>
        <v>1</v>
      </c>
      <c r="BI352" s="798">
        <f t="shared" si="348"/>
        <v>1</v>
      </c>
      <c r="BJ352" s="798">
        <f t="shared" si="348"/>
        <v>1</v>
      </c>
      <c r="BK352" s="798">
        <f t="shared" si="348"/>
        <v>1</v>
      </c>
      <c r="BL352" s="765"/>
      <c r="BM352" s="817"/>
      <c r="BN352" s="817"/>
    </row>
    <row r="353" hidden="1">
      <c r="A353" s="765"/>
      <c r="B353" s="765"/>
      <c r="C353" s="765"/>
      <c r="D353" s="765"/>
      <c r="E353" s="765"/>
      <c r="F353" s="765"/>
      <c r="G353" s="765"/>
      <c r="H353" s="765"/>
      <c r="I353" s="765">
        <f t="shared" si="17"/>
        <v>342</v>
      </c>
      <c r="J353" s="763">
        <f t="shared" si="5"/>
        <v>6471648526114</v>
      </c>
      <c r="K353" s="796">
        <f t="shared" si="7"/>
        <v>0.40479</v>
      </c>
      <c r="L353" s="796">
        <v>5.0E-4</v>
      </c>
      <c r="M353" s="763">
        <v>7.37930276637817E12</v>
      </c>
      <c r="N353" s="797">
        <f t="shared" si="8"/>
        <v>0</v>
      </c>
      <c r="O353" s="798">
        <f t="shared" ref="O353:BK353" si="349">FLOOR(MIN((((N("value of ELS upgrade")+N$8*($K353-$K352))*(N("Check checkbox")+(IF($G$6=TRUE,$G$7,$G$8))/$G$8))/(N("ROI of ELS and multiply by 2 if ELS is 1:1")+IF($G$12 = True, 2, 1) * $J353))/((N("difference in ELS+ and the cost of it")+(($K352*O$8)-($K352*N$8)) / O$7)),(N("MIN lets it return 0 or 1 after floored")+1)),1)</f>
        <v>0</v>
      </c>
      <c r="P353" s="798">
        <f t="shared" si="349"/>
        <v>0</v>
      </c>
      <c r="Q353" s="798">
        <f t="shared" si="349"/>
        <v>0</v>
      </c>
      <c r="R353" s="798">
        <f t="shared" si="349"/>
        <v>0</v>
      </c>
      <c r="S353" s="798">
        <f t="shared" si="349"/>
        <v>0</v>
      </c>
      <c r="T353" s="798">
        <f t="shared" si="349"/>
        <v>0</v>
      </c>
      <c r="U353" s="798">
        <f t="shared" si="349"/>
        <v>0</v>
      </c>
      <c r="V353" s="798">
        <f t="shared" si="349"/>
        <v>0</v>
      </c>
      <c r="W353" s="798">
        <f t="shared" si="349"/>
        <v>0</v>
      </c>
      <c r="X353" s="798">
        <f t="shared" si="349"/>
        <v>0</v>
      </c>
      <c r="Y353" s="798">
        <f t="shared" si="349"/>
        <v>0</v>
      </c>
      <c r="Z353" s="798">
        <f t="shared" si="349"/>
        <v>1</v>
      </c>
      <c r="AA353" s="798">
        <f t="shared" si="349"/>
        <v>1</v>
      </c>
      <c r="AB353" s="798">
        <f t="shared" si="349"/>
        <v>1</v>
      </c>
      <c r="AC353" s="798">
        <f t="shared" si="349"/>
        <v>1</v>
      </c>
      <c r="AD353" s="798">
        <f t="shared" si="349"/>
        <v>1</v>
      </c>
      <c r="AE353" s="798">
        <f t="shared" si="349"/>
        <v>1</v>
      </c>
      <c r="AF353" s="798">
        <f t="shared" si="349"/>
        <v>1</v>
      </c>
      <c r="AG353" s="798">
        <f t="shared" si="349"/>
        <v>1</v>
      </c>
      <c r="AH353" s="798">
        <f t="shared" si="349"/>
        <v>1</v>
      </c>
      <c r="AI353" s="798">
        <f t="shared" si="349"/>
        <v>1</v>
      </c>
      <c r="AJ353" s="798">
        <f t="shared" si="349"/>
        <v>1</v>
      </c>
      <c r="AK353" s="798">
        <f t="shared" si="349"/>
        <v>1</v>
      </c>
      <c r="AL353" s="798">
        <f t="shared" si="349"/>
        <v>1</v>
      </c>
      <c r="AM353" s="798">
        <f t="shared" si="349"/>
        <v>1</v>
      </c>
      <c r="AN353" s="798">
        <f t="shared" si="349"/>
        <v>1</v>
      </c>
      <c r="AO353" s="798">
        <f t="shared" si="349"/>
        <v>1</v>
      </c>
      <c r="AP353" s="798">
        <f t="shared" si="349"/>
        <v>1</v>
      </c>
      <c r="AQ353" s="798">
        <f t="shared" si="349"/>
        <v>1</v>
      </c>
      <c r="AR353" s="798">
        <f t="shared" si="349"/>
        <v>1</v>
      </c>
      <c r="AS353" s="798">
        <f t="shared" si="349"/>
        <v>1</v>
      </c>
      <c r="AT353" s="798">
        <f t="shared" si="349"/>
        <v>1</v>
      </c>
      <c r="AU353" s="798">
        <f t="shared" si="349"/>
        <v>1</v>
      </c>
      <c r="AV353" s="798">
        <f t="shared" si="349"/>
        <v>1</v>
      </c>
      <c r="AW353" s="798">
        <f t="shared" si="349"/>
        <v>1</v>
      </c>
      <c r="AX353" s="798">
        <f t="shared" si="349"/>
        <v>1</v>
      </c>
      <c r="AY353" s="798">
        <f t="shared" si="349"/>
        <v>1</v>
      </c>
      <c r="AZ353" s="798">
        <f t="shared" si="349"/>
        <v>1</v>
      </c>
      <c r="BA353" s="798">
        <f t="shared" si="349"/>
        <v>1</v>
      </c>
      <c r="BB353" s="798">
        <f t="shared" si="349"/>
        <v>1</v>
      </c>
      <c r="BC353" s="798">
        <f t="shared" si="349"/>
        <v>1</v>
      </c>
      <c r="BD353" s="798">
        <f t="shared" si="349"/>
        <v>1</v>
      </c>
      <c r="BE353" s="798">
        <f t="shared" si="349"/>
        <v>1</v>
      </c>
      <c r="BF353" s="798">
        <f t="shared" si="349"/>
        <v>1</v>
      </c>
      <c r="BG353" s="798">
        <f t="shared" si="349"/>
        <v>1</v>
      </c>
      <c r="BH353" s="798">
        <f t="shared" si="349"/>
        <v>1</v>
      </c>
      <c r="BI353" s="798">
        <f t="shared" si="349"/>
        <v>1</v>
      </c>
      <c r="BJ353" s="798">
        <f t="shared" si="349"/>
        <v>1</v>
      </c>
      <c r="BK353" s="798">
        <f t="shared" si="349"/>
        <v>1</v>
      </c>
      <c r="BL353" s="765"/>
      <c r="BM353" s="817"/>
      <c r="BN353" s="817"/>
    </row>
    <row r="354" hidden="1">
      <c r="A354" s="765"/>
      <c r="B354" s="765"/>
      <c r="C354" s="765"/>
      <c r="D354" s="765"/>
      <c r="E354" s="765"/>
      <c r="F354" s="765"/>
      <c r="G354" s="765"/>
      <c r="H354" s="765"/>
      <c r="I354" s="765">
        <f t="shared" si="17"/>
        <v>343</v>
      </c>
      <c r="J354" s="763">
        <f t="shared" si="5"/>
        <v>6497655447002</v>
      </c>
      <c r="K354" s="796">
        <f t="shared" si="7"/>
        <v>0.40529</v>
      </c>
      <c r="L354" s="796">
        <v>5.0E-4</v>
      </c>
      <c r="M354" s="763">
        <v>7.40895718016139E12</v>
      </c>
      <c r="N354" s="797">
        <f t="shared" si="8"/>
        <v>0</v>
      </c>
      <c r="O354" s="798">
        <f t="shared" ref="O354:BK354" si="350">FLOOR(MIN((((N("value of ELS upgrade")+N$8*($K354-$K353))*(N("Check checkbox")+(IF($G$6=TRUE,$G$7,$G$8))/$G$8))/(N("ROI of ELS and multiply by 2 if ELS is 1:1")+IF($G$12 = True, 2, 1) * $J354))/((N("difference in ELS+ and the cost of it")+(($K353*O$8)-($K353*N$8)) / O$7)),(N("MIN lets it return 0 or 1 after floored")+1)),1)</f>
        <v>0</v>
      </c>
      <c r="P354" s="798">
        <f t="shared" si="350"/>
        <v>0</v>
      </c>
      <c r="Q354" s="798">
        <f t="shared" si="350"/>
        <v>0</v>
      </c>
      <c r="R354" s="798">
        <f t="shared" si="350"/>
        <v>0</v>
      </c>
      <c r="S354" s="798">
        <f t="shared" si="350"/>
        <v>0</v>
      </c>
      <c r="T354" s="798">
        <f t="shared" si="350"/>
        <v>0</v>
      </c>
      <c r="U354" s="798">
        <f t="shared" si="350"/>
        <v>0</v>
      </c>
      <c r="V354" s="798">
        <f t="shared" si="350"/>
        <v>0</v>
      </c>
      <c r="W354" s="798">
        <f t="shared" si="350"/>
        <v>0</v>
      </c>
      <c r="X354" s="798">
        <f t="shared" si="350"/>
        <v>0</v>
      </c>
      <c r="Y354" s="798">
        <f t="shared" si="350"/>
        <v>0</v>
      </c>
      <c r="Z354" s="798">
        <f t="shared" si="350"/>
        <v>1</v>
      </c>
      <c r="AA354" s="798">
        <f t="shared" si="350"/>
        <v>1</v>
      </c>
      <c r="AB354" s="798">
        <f t="shared" si="350"/>
        <v>1</v>
      </c>
      <c r="AC354" s="798">
        <f t="shared" si="350"/>
        <v>1</v>
      </c>
      <c r="AD354" s="798">
        <f t="shared" si="350"/>
        <v>1</v>
      </c>
      <c r="AE354" s="798">
        <f t="shared" si="350"/>
        <v>1</v>
      </c>
      <c r="AF354" s="798">
        <f t="shared" si="350"/>
        <v>1</v>
      </c>
      <c r="AG354" s="798">
        <f t="shared" si="350"/>
        <v>1</v>
      </c>
      <c r="AH354" s="798">
        <f t="shared" si="350"/>
        <v>1</v>
      </c>
      <c r="AI354" s="798">
        <f t="shared" si="350"/>
        <v>1</v>
      </c>
      <c r="AJ354" s="798">
        <f t="shared" si="350"/>
        <v>1</v>
      </c>
      <c r="AK354" s="798">
        <f t="shared" si="350"/>
        <v>1</v>
      </c>
      <c r="AL354" s="798">
        <f t="shared" si="350"/>
        <v>1</v>
      </c>
      <c r="AM354" s="798">
        <f t="shared" si="350"/>
        <v>1</v>
      </c>
      <c r="AN354" s="798">
        <f t="shared" si="350"/>
        <v>1</v>
      </c>
      <c r="AO354" s="798">
        <f t="shared" si="350"/>
        <v>1</v>
      </c>
      <c r="AP354" s="798">
        <f t="shared" si="350"/>
        <v>1</v>
      </c>
      <c r="AQ354" s="798">
        <f t="shared" si="350"/>
        <v>1</v>
      </c>
      <c r="AR354" s="798">
        <f t="shared" si="350"/>
        <v>1</v>
      </c>
      <c r="AS354" s="798">
        <f t="shared" si="350"/>
        <v>1</v>
      </c>
      <c r="AT354" s="798">
        <f t="shared" si="350"/>
        <v>1</v>
      </c>
      <c r="AU354" s="798">
        <f t="shared" si="350"/>
        <v>1</v>
      </c>
      <c r="AV354" s="798">
        <f t="shared" si="350"/>
        <v>1</v>
      </c>
      <c r="AW354" s="798">
        <f t="shared" si="350"/>
        <v>1</v>
      </c>
      <c r="AX354" s="798">
        <f t="shared" si="350"/>
        <v>1</v>
      </c>
      <c r="AY354" s="798">
        <f t="shared" si="350"/>
        <v>1</v>
      </c>
      <c r="AZ354" s="798">
        <f t="shared" si="350"/>
        <v>1</v>
      </c>
      <c r="BA354" s="798">
        <f t="shared" si="350"/>
        <v>1</v>
      </c>
      <c r="BB354" s="798">
        <f t="shared" si="350"/>
        <v>1</v>
      </c>
      <c r="BC354" s="798">
        <f t="shared" si="350"/>
        <v>1</v>
      </c>
      <c r="BD354" s="798">
        <f t="shared" si="350"/>
        <v>1</v>
      </c>
      <c r="BE354" s="798">
        <f t="shared" si="350"/>
        <v>1</v>
      </c>
      <c r="BF354" s="798">
        <f t="shared" si="350"/>
        <v>1</v>
      </c>
      <c r="BG354" s="798">
        <f t="shared" si="350"/>
        <v>1</v>
      </c>
      <c r="BH354" s="798">
        <f t="shared" si="350"/>
        <v>1</v>
      </c>
      <c r="BI354" s="798">
        <f t="shared" si="350"/>
        <v>1</v>
      </c>
      <c r="BJ354" s="798">
        <f t="shared" si="350"/>
        <v>1</v>
      </c>
      <c r="BK354" s="798">
        <f t="shared" si="350"/>
        <v>1</v>
      </c>
      <c r="BL354" s="765"/>
      <c r="BM354" s="817"/>
      <c r="BN354" s="817"/>
    </row>
    <row r="355" hidden="1">
      <c r="A355" s="765"/>
      <c r="B355" s="765"/>
      <c r="C355" s="765"/>
      <c r="D355" s="765"/>
      <c r="E355" s="765"/>
      <c r="F355" s="765"/>
      <c r="G355" s="765"/>
      <c r="H355" s="765"/>
      <c r="I355" s="765">
        <f t="shared" si="17"/>
        <v>344</v>
      </c>
      <c r="J355" s="763">
        <f t="shared" si="5"/>
        <v>6523739301958</v>
      </c>
      <c r="K355" s="796">
        <f t="shared" si="7"/>
        <v>0.40579</v>
      </c>
      <c r="L355" s="796">
        <v>5.0E-4</v>
      </c>
      <c r="M355" s="763">
        <v>7.43869931808251E12</v>
      </c>
      <c r="N355" s="797">
        <f t="shared" si="8"/>
        <v>0</v>
      </c>
      <c r="O355" s="798">
        <f t="shared" ref="O355:BK355" si="351">FLOOR(MIN((((N("value of ELS upgrade")+N$8*($K355-$K354))*(N("Check checkbox")+(IF($G$6=TRUE,$G$7,$G$8))/$G$8))/(N("ROI of ELS and multiply by 2 if ELS is 1:1")+IF($G$12 = True, 2, 1) * $J355))/((N("difference in ELS+ and the cost of it")+(($K354*O$8)-($K354*N$8)) / O$7)),(N("MIN lets it return 0 or 1 after floored")+1)),1)</f>
        <v>0</v>
      </c>
      <c r="P355" s="798">
        <f t="shared" si="351"/>
        <v>0</v>
      </c>
      <c r="Q355" s="798">
        <f t="shared" si="351"/>
        <v>0</v>
      </c>
      <c r="R355" s="798">
        <f t="shared" si="351"/>
        <v>0</v>
      </c>
      <c r="S355" s="798">
        <f t="shared" si="351"/>
        <v>0</v>
      </c>
      <c r="T355" s="798">
        <f t="shared" si="351"/>
        <v>0</v>
      </c>
      <c r="U355" s="798">
        <f t="shared" si="351"/>
        <v>0</v>
      </c>
      <c r="V355" s="798">
        <f t="shared" si="351"/>
        <v>0</v>
      </c>
      <c r="W355" s="798">
        <f t="shared" si="351"/>
        <v>0</v>
      </c>
      <c r="X355" s="798">
        <f t="shared" si="351"/>
        <v>0</v>
      </c>
      <c r="Y355" s="798">
        <f t="shared" si="351"/>
        <v>0</v>
      </c>
      <c r="Z355" s="798">
        <f t="shared" si="351"/>
        <v>1</v>
      </c>
      <c r="AA355" s="798">
        <f t="shared" si="351"/>
        <v>1</v>
      </c>
      <c r="AB355" s="798">
        <f t="shared" si="351"/>
        <v>1</v>
      </c>
      <c r="AC355" s="798">
        <f t="shared" si="351"/>
        <v>1</v>
      </c>
      <c r="AD355" s="798">
        <f t="shared" si="351"/>
        <v>1</v>
      </c>
      <c r="AE355" s="798">
        <f t="shared" si="351"/>
        <v>1</v>
      </c>
      <c r="AF355" s="798">
        <f t="shared" si="351"/>
        <v>1</v>
      </c>
      <c r="AG355" s="798">
        <f t="shared" si="351"/>
        <v>1</v>
      </c>
      <c r="AH355" s="798">
        <f t="shared" si="351"/>
        <v>1</v>
      </c>
      <c r="AI355" s="798">
        <f t="shared" si="351"/>
        <v>1</v>
      </c>
      <c r="AJ355" s="798">
        <f t="shared" si="351"/>
        <v>1</v>
      </c>
      <c r="AK355" s="798">
        <f t="shared" si="351"/>
        <v>1</v>
      </c>
      <c r="AL355" s="798">
        <f t="shared" si="351"/>
        <v>1</v>
      </c>
      <c r="AM355" s="798">
        <f t="shared" si="351"/>
        <v>1</v>
      </c>
      <c r="AN355" s="798">
        <f t="shared" si="351"/>
        <v>1</v>
      </c>
      <c r="AO355" s="798">
        <f t="shared" si="351"/>
        <v>1</v>
      </c>
      <c r="AP355" s="798">
        <f t="shared" si="351"/>
        <v>1</v>
      </c>
      <c r="AQ355" s="798">
        <f t="shared" si="351"/>
        <v>1</v>
      </c>
      <c r="AR355" s="798">
        <f t="shared" si="351"/>
        <v>1</v>
      </c>
      <c r="AS355" s="798">
        <f t="shared" si="351"/>
        <v>1</v>
      </c>
      <c r="AT355" s="798">
        <f t="shared" si="351"/>
        <v>1</v>
      </c>
      <c r="AU355" s="798">
        <f t="shared" si="351"/>
        <v>1</v>
      </c>
      <c r="AV355" s="798">
        <f t="shared" si="351"/>
        <v>1</v>
      </c>
      <c r="AW355" s="798">
        <f t="shared" si="351"/>
        <v>1</v>
      </c>
      <c r="AX355" s="798">
        <f t="shared" si="351"/>
        <v>1</v>
      </c>
      <c r="AY355" s="798">
        <f t="shared" si="351"/>
        <v>1</v>
      </c>
      <c r="AZ355" s="798">
        <f t="shared" si="351"/>
        <v>1</v>
      </c>
      <c r="BA355" s="798">
        <f t="shared" si="351"/>
        <v>1</v>
      </c>
      <c r="BB355" s="798">
        <f t="shared" si="351"/>
        <v>1</v>
      </c>
      <c r="BC355" s="798">
        <f t="shared" si="351"/>
        <v>1</v>
      </c>
      <c r="BD355" s="798">
        <f t="shared" si="351"/>
        <v>1</v>
      </c>
      <c r="BE355" s="798">
        <f t="shared" si="351"/>
        <v>1</v>
      </c>
      <c r="BF355" s="798">
        <f t="shared" si="351"/>
        <v>1</v>
      </c>
      <c r="BG355" s="798">
        <f t="shared" si="351"/>
        <v>1</v>
      </c>
      <c r="BH355" s="798">
        <f t="shared" si="351"/>
        <v>1</v>
      </c>
      <c r="BI355" s="798">
        <f t="shared" si="351"/>
        <v>1</v>
      </c>
      <c r="BJ355" s="798">
        <f t="shared" si="351"/>
        <v>1</v>
      </c>
      <c r="BK355" s="798">
        <f t="shared" si="351"/>
        <v>1</v>
      </c>
      <c r="BL355" s="765"/>
      <c r="BM355" s="817"/>
      <c r="BN355" s="817"/>
    </row>
    <row r="356" hidden="1">
      <c r="A356" s="765"/>
      <c r="B356" s="765"/>
      <c r="C356" s="765"/>
      <c r="D356" s="765"/>
      <c r="E356" s="765"/>
      <c r="F356" s="765"/>
      <c r="G356" s="765"/>
      <c r="H356" s="765"/>
      <c r="I356" s="765">
        <f t="shared" si="17"/>
        <v>345</v>
      </c>
      <c r="J356" s="763">
        <f t="shared" si="5"/>
        <v>6549900565886</v>
      </c>
      <c r="K356" s="796">
        <f t="shared" si="7"/>
        <v>0.40629</v>
      </c>
      <c r="L356" s="796">
        <v>5.0E-4</v>
      </c>
      <c r="M356" s="763">
        <v>7.46852972164856E12</v>
      </c>
      <c r="N356" s="797">
        <f t="shared" si="8"/>
        <v>0</v>
      </c>
      <c r="O356" s="798">
        <f t="shared" ref="O356:BK356" si="352">FLOOR(MIN((((N("value of ELS upgrade")+N$8*($K356-$K355))*(N("Check checkbox")+(IF($G$6=TRUE,$G$7,$G$8))/$G$8))/(N("ROI of ELS and multiply by 2 if ELS is 1:1")+IF($G$12 = True, 2, 1) * $J356))/((N("difference in ELS+ and the cost of it")+(($K355*O$8)-($K355*N$8)) / O$7)),(N("MIN lets it return 0 or 1 after floored")+1)),1)</f>
        <v>0</v>
      </c>
      <c r="P356" s="798">
        <f t="shared" si="352"/>
        <v>0</v>
      </c>
      <c r="Q356" s="798">
        <f t="shared" si="352"/>
        <v>0</v>
      </c>
      <c r="R356" s="798">
        <f t="shared" si="352"/>
        <v>0</v>
      </c>
      <c r="S356" s="798">
        <f t="shared" si="352"/>
        <v>0</v>
      </c>
      <c r="T356" s="798">
        <f t="shared" si="352"/>
        <v>0</v>
      </c>
      <c r="U356" s="798">
        <f t="shared" si="352"/>
        <v>0</v>
      </c>
      <c r="V356" s="798">
        <f t="shared" si="352"/>
        <v>0</v>
      </c>
      <c r="W356" s="798">
        <f t="shared" si="352"/>
        <v>0</v>
      </c>
      <c r="X356" s="798">
        <f t="shared" si="352"/>
        <v>0</v>
      </c>
      <c r="Y356" s="798">
        <f t="shared" si="352"/>
        <v>0</v>
      </c>
      <c r="Z356" s="798">
        <f t="shared" si="352"/>
        <v>1</v>
      </c>
      <c r="AA356" s="798">
        <f t="shared" si="352"/>
        <v>1</v>
      </c>
      <c r="AB356" s="798">
        <f t="shared" si="352"/>
        <v>1</v>
      </c>
      <c r="AC356" s="798">
        <f t="shared" si="352"/>
        <v>1</v>
      </c>
      <c r="AD356" s="798">
        <f t="shared" si="352"/>
        <v>1</v>
      </c>
      <c r="AE356" s="798">
        <f t="shared" si="352"/>
        <v>1</v>
      </c>
      <c r="AF356" s="798">
        <f t="shared" si="352"/>
        <v>1</v>
      </c>
      <c r="AG356" s="798">
        <f t="shared" si="352"/>
        <v>1</v>
      </c>
      <c r="AH356" s="798">
        <f t="shared" si="352"/>
        <v>1</v>
      </c>
      <c r="AI356" s="798">
        <f t="shared" si="352"/>
        <v>1</v>
      </c>
      <c r="AJ356" s="798">
        <f t="shared" si="352"/>
        <v>1</v>
      </c>
      <c r="AK356" s="798">
        <f t="shared" si="352"/>
        <v>1</v>
      </c>
      <c r="AL356" s="798">
        <f t="shared" si="352"/>
        <v>1</v>
      </c>
      <c r="AM356" s="798">
        <f t="shared" si="352"/>
        <v>1</v>
      </c>
      <c r="AN356" s="798">
        <f t="shared" si="352"/>
        <v>1</v>
      </c>
      <c r="AO356" s="798">
        <f t="shared" si="352"/>
        <v>1</v>
      </c>
      <c r="AP356" s="798">
        <f t="shared" si="352"/>
        <v>1</v>
      </c>
      <c r="AQ356" s="798">
        <f t="shared" si="352"/>
        <v>1</v>
      </c>
      <c r="AR356" s="798">
        <f t="shared" si="352"/>
        <v>1</v>
      </c>
      <c r="AS356" s="798">
        <f t="shared" si="352"/>
        <v>1</v>
      </c>
      <c r="AT356" s="798">
        <f t="shared" si="352"/>
        <v>1</v>
      </c>
      <c r="AU356" s="798">
        <f t="shared" si="352"/>
        <v>1</v>
      </c>
      <c r="AV356" s="798">
        <f t="shared" si="352"/>
        <v>1</v>
      </c>
      <c r="AW356" s="798">
        <f t="shared" si="352"/>
        <v>1</v>
      </c>
      <c r="AX356" s="798">
        <f t="shared" si="352"/>
        <v>1</v>
      </c>
      <c r="AY356" s="798">
        <f t="shared" si="352"/>
        <v>1</v>
      </c>
      <c r="AZ356" s="798">
        <f t="shared" si="352"/>
        <v>1</v>
      </c>
      <c r="BA356" s="798">
        <f t="shared" si="352"/>
        <v>1</v>
      </c>
      <c r="BB356" s="798">
        <f t="shared" si="352"/>
        <v>1</v>
      </c>
      <c r="BC356" s="798">
        <f t="shared" si="352"/>
        <v>1</v>
      </c>
      <c r="BD356" s="798">
        <f t="shared" si="352"/>
        <v>1</v>
      </c>
      <c r="BE356" s="798">
        <f t="shared" si="352"/>
        <v>1</v>
      </c>
      <c r="BF356" s="798">
        <f t="shared" si="352"/>
        <v>1</v>
      </c>
      <c r="BG356" s="798">
        <f t="shared" si="352"/>
        <v>1</v>
      </c>
      <c r="BH356" s="798">
        <f t="shared" si="352"/>
        <v>1</v>
      </c>
      <c r="BI356" s="798">
        <f t="shared" si="352"/>
        <v>1</v>
      </c>
      <c r="BJ356" s="798">
        <f t="shared" si="352"/>
        <v>1</v>
      </c>
      <c r="BK356" s="798">
        <f t="shared" si="352"/>
        <v>1</v>
      </c>
      <c r="BL356" s="765"/>
      <c r="BM356" s="817"/>
      <c r="BN356" s="817"/>
    </row>
    <row r="357" hidden="1">
      <c r="A357" s="765"/>
      <c r="B357" s="765"/>
      <c r="C357" s="765"/>
      <c r="D357" s="765"/>
      <c r="E357" s="765"/>
      <c r="F357" s="765"/>
      <c r="G357" s="765"/>
      <c r="H357" s="765"/>
      <c r="I357" s="765">
        <f t="shared" si="17"/>
        <v>346</v>
      </c>
      <c r="J357" s="763">
        <f t="shared" si="5"/>
        <v>6576139357509</v>
      </c>
      <c r="K357" s="796">
        <f t="shared" si="7"/>
        <v>0.40679</v>
      </c>
      <c r="L357" s="796">
        <v>5.0E-4</v>
      </c>
      <c r="M357" s="763">
        <v>7.49844852623629E12</v>
      </c>
      <c r="N357" s="797">
        <f t="shared" si="8"/>
        <v>0</v>
      </c>
      <c r="O357" s="798">
        <f t="shared" ref="O357:BK357" si="353">FLOOR(MIN((((N("value of ELS upgrade")+N$8*($K357-$K356))*(N("Check checkbox")+(IF($G$6=TRUE,$G$7,$G$8))/$G$8))/(N("ROI of ELS and multiply by 2 if ELS is 1:1")+IF($G$12 = True, 2, 1) * $J357))/((N("difference in ELS+ and the cost of it")+(($K356*O$8)-($K356*N$8)) / O$7)),(N("MIN lets it return 0 or 1 after floored")+1)),1)</f>
        <v>0</v>
      </c>
      <c r="P357" s="798">
        <f t="shared" si="353"/>
        <v>0</v>
      </c>
      <c r="Q357" s="798">
        <f t="shared" si="353"/>
        <v>0</v>
      </c>
      <c r="R357" s="798">
        <f t="shared" si="353"/>
        <v>0</v>
      </c>
      <c r="S357" s="798">
        <f t="shared" si="353"/>
        <v>0</v>
      </c>
      <c r="T357" s="798">
        <f t="shared" si="353"/>
        <v>0</v>
      </c>
      <c r="U357" s="798">
        <f t="shared" si="353"/>
        <v>0</v>
      </c>
      <c r="V357" s="798">
        <f t="shared" si="353"/>
        <v>0</v>
      </c>
      <c r="W357" s="798">
        <f t="shared" si="353"/>
        <v>0</v>
      </c>
      <c r="X357" s="798">
        <f t="shared" si="353"/>
        <v>0</v>
      </c>
      <c r="Y357" s="798">
        <f t="shared" si="353"/>
        <v>0</v>
      </c>
      <c r="Z357" s="798">
        <f t="shared" si="353"/>
        <v>1</v>
      </c>
      <c r="AA357" s="798">
        <f t="shared" si="353"/>
        <v>1</v>
      </c>
      <c r="AB357" s="798">
        <f t="shared" si="353"/>
        <v>1</v>
      </c>
      <c r="AC357" s="798">
        <f t="shared" si="353"/>
        <v>1</v>
      </c>
      <c r="AD357" s="798">
        <f t="shared" si="353"/>
        <v>1</v>
      </c>
      <c r="AE357" s="798">
        <f t="shared" si="353"/>
        <v>1</v>
      </c>
      <c r="AF357" s="798">
        <f t="shared" si="353"/>
        <v>1</v>
      </c>
      <c r="AG357" s="798">
        <f t="shared" si="353"/>
        <v>1</v>
      </c>
      <c r="AH357" s="798">
        <f t="shared" si="353"/>
        <v>1</v>
      </c>
      <c r="AI357" s="798">
        <f t="shared" si="353"/>
        <v>1</v>
      </c>
      <c r="AJ357" s="798">
        <f t="shared" si="353"/>
        <v>1</v>
      </c>
      <c r="AK357" s="798">
        <f t="shared" si="353"/>
        <v>1</v>
      </c>
      <c r="AL357" s="798">
        <f t="shared" si="353"/>
        <v>1</v>
      </c>
      <c r="AM357" s="798">
        <f t="shared" si="353"/>
        <v>1</v>
      </c>
      <c r="AN357" s="798">
        <f t="shared" si="353"/>
        <v>1</v>
      </c>
      <c r="AO357" s="798">
        <f t="shared" si="353"/>
        <v>1</v>
      </c>
      <c r="AP357" s="798">
        <f t="shared" si="353"/>
        <v>1</v>
      </c>
      <c r="AQ357" s="798">
        <f t="shared" si="353"/>
        <v>1</v>
      </c>
      <c r="AR357" s="798">
        <f t="shared" si="353"/>
        <v>1</v>
      </c>
      <c r="AS357" s="798">
        <f t="shared" si="353"/>
        <v>1</v>
      </c>
      <c r="AT357" s="798">
        <f t="shared" si="353"/>
        <v>1</v>
      </c>
      <c r="AU357" s="798">
        <f t="shared" si="353"/>
        <v>1</v>
      </c>
      <c r="AV357" s="798">
        <f t="shared" si="353"/>
        <v>1</v>
      </c>
      <c r="AW357" s="798">
        <f t="shared" si="353"/>
        <v>1</v>
      </c>
      <c r="AX357" s="798">
        <f t="shared" si="353"/>
        <v>1</v>
      </c>
      <c r="AY357" s="798">
        <f t="shared" si="353"/>
        <v>1</v>
      </c>
      <c r="AZ357" s="798">
        <f t="shared" si="353"/>
        <v>1</v>
      </c>
      <c r="BA357" s="798">
        <f t="shared" si="353"/>
        <v>1</v>
      </c>
      <c r="BB357" s="798">
        <f t="shared" si="353"/>
        <v>1</v>
      </c>
      <c r="BC357" s="798">
        <f t="shared" si="353"/>
        <v>1</v>
      </c>
      <c r="BD357" s="798">
        <f t="shared" si="353"/>
        <v>1</v>
      </c>
      <c r="BE357" s="798">
        <f t="shared" si="353"/>
        <v>1</v>
      </c>
      <c r="BF357" s="798">
        <f t="shared" si="353"/>
        <v>1</v>
      </c>
      <c r="BG357" s="798">
        <f t="shared" si="353"/>
        <v>1</v>
      </c>
      <c r="BH357" s="798">
        <f t="shared" si="353"/>
        <v>1</v>
      </c>
      <c r="BI357" s="798">
        <f t="shared" si="353"/>
        <v>1</v>
      </c>
      <c r="BJ357" s="798">
        <f t="shared" si="353"/>
        <v>1</v>
      </c>
      <c r="BK357" s="798">
        <f t="shared" si="353"/>
        <v>1</v>
      </c>
      <c r="BL357" s="765"/>
      <c r="BM357" s="817"/>
      <c r="BN357" s="817"/>
    </row>
    <row r="358" hidden="1">
      <c r="A358" s="765"/>
      <c r="B358" s="765"/>
      <c r="C358" s="765"/>
      <c r="D358" s="765"/>
      <c r="E358" s="765"/>
      <c r="F358" s="765"/>
      <c r="G358" s="765"/>
      <c r="H358" s="765"/>
      <c r="I358" s="765">
        <f t="shared" si="17"/>
        <v>347</v>
      </c>
      <c r="J358" s="763">
        <f t="shared" si="5"/>
        <v>6602456033005</v>
      </c>
      <c r="K358" s="796">
        <f t="shared" si="7"/>
        <v>0.40729</v>
      </c>
      <c r="L358" s="796">
        <v>5.0E-4</v>
      </c>
      <c r="M358" s="763">
        <v>7.52845613797597E12</v>
      </c>
      <c r="N358" s="797">
        <f t="shared" si="8"/>
        <v>0</v>
      </c>
      <c r="O358" s="798">
        <f t="shared" ref="O358:BK358" si="354">FLOOR(MIN((((N("value of ELS upgrade")+N$8*($K358-$K357))*(N("Check checkbox")+(IF($G$6=TRUE,$G$7,$G$8))/$G$8))/(N("ROI of ELS and multiply by 2 if ELS is 1:1")+IF($G$12 = True, 2, 1) * $J358))/((N("difference in ELS+ and the cost of it")+(($K357*O$8)-($K357*N$8)) / O$7)),(N("MIN lets it return 0 or 1 after floored")+1)),1)</f>
        <v>0</v>
      </c>
      <c r="P358" s="798">
        <f t="shared" si="354"/>
        <v>0</v>
      </c>
      <c r="Q358" s="798">
        <f t="shared" si="354"/>
        <v>0</v>
      </c>
      <c r="R358" s="798">
        <f t="shared" si="354"/>
        <v>0</v>
      </c>
      <c r="S358" s="798">
        <f t="shared" si="354"/>
        <v>0</v>
      </c>
      <c r="T358" s="798">
        <f t="shared" si="354"/>
        <v>0</v>
      </c>
      <c r="U358" s="798">
        <f t="shared" si="354"/>
        <v>0</v>
      </c>
      <c r="V358" s="798">
        <f t="shared" si="354"/>
        <v>0</v>
      </c>
      <c r="W358" s="798">
        <f t="shared" si="354"/>
        <v>0</v>
      </c>
      <c r="X358" s="798">
        <f t="shared" si="354"/>
        <v>0</v>
      </c>
      <c r="Y358" s="798">
        <f t="shared" si="354"/>
        <v>0</v>
      </c>
      <c r="Z358" s="798">
        <f t="shared" si="354"/>
        <v>1</v>
      </c>
      <c r="AA358" s="798">
        <f t="shared" si="354"/>
        <v>1</v>
      </c>
      <c r="AB358" s="798">
        <f t="shared" si="354"/>
        <v>1</v>
      </c>
      <c r="AC358" s="798">
        <f t="shared" si="354"/>
        <v>1</v>
      </c>
      <c r="AD358" s="798">
        <f t="shared" si="354"/>
        <v>1</v>
      </c>
      <c r="AE358" s="798">
        <f t="shared" si="354"/>
        <v>1</v>
      </c>
      <c r="AF358" s="798">
        <f t="shared" si="354"/>
        <v>1</v>
      </c>
      <c r="AG358" s="798">
        <f t="shared" si="354"/>
        <v>1</v>
      </c>
      <c r="AH358" s="798">
        <f t="shared" si="354"/>
        <v>1</v>
      </c>
      <c r="AI358" s="798">
        <f t="shared" si="354"/>
        <v>1</v>
      </c>
      <c r="AJ358" s="798">
        <f t="shared" si="354"/>
        <v>1</v>
      </c>
      <c r="AK358" s="798">
        <f t="shared" si="354"/>
        <v>1</v>
      </c>
      <c r="AL358" s="798">
        <f t="shared" si="354"/>
        <v>1</v>
      </c>
      <c r="AM358" s="798">
        <f t="shared" si="354"/>
        <v>1</v>
      </c>
      <c r="AN358" s="798">
        <f t="shared" si="354"/>
        <v>1</v>
      </c>
      <c r="AO358" s="798">
        <f t="shared" si="354"/>
        <v>1</v>
      </c>
      <c r="AP358" s="798">
        <f t="shared" si="354"/>
        <v>1</v>
      </c>
      <c r="AQ358" s="798">
        <f t="shared" si="354"/>
        <v>1</v>
      </c>
      <c r="AR358" s="798">
        <f t="shared" si="354"/>
        <v>1</v>
      </c>
      <c r="AS358" s="798">
        <f t="shared" si="354"/>
        <v>1</v>
      </c>
      <c r="AT358" s="798">
        <f t="shared" si="354"/>
        <v>1</v>
      </c>
      <c r="AU358" s="798">
        <f t="shared" si="354"/>
        <v>1</v>
      </c>
      <c r="AV358" s="798">
        <f t="shared" si="354"/>
        <v>1</v>
      </c>
      <c r="AW358" s="798">
        <f t="shared" si="354"/>
        <v>1</v>
      </c>
      <c r="AX358" s="798">
        <f t="shared" si="354"/>
        <v>1</v>
      </c>
      <c r="AY358" s="798">
        <f t="shared" si="354"/>
        <v>1</v>
      </c>
      <c r="AZ358" s="798">
        <f t="shared" si="354"/>
        <v>1</v>
      </c>
      <c r="BA358" s="798">
        <f t="shared" si="354"/>
        <v>1</v>
      </c>
      <c r="BB358" s="798">
        <f t="shared" si="354"/>
        <v>1</v>
      </c>
      <c r="BC358" s="798">
        <f t="shared" si="354"/>
        <v>1</v>
      </c>
      <c r="BD358" s="798">
        <f t="shared" si="354"/>
        <v>1</v>
      </c>
      <c r="BE358" s="798">
        <f t="shared" si="354"/>
        <v>1</v>
      </c>
      <c r="BF358" s="798">
        <f t="shared" si="354"/>
        <v>1</v>
      </c>
      <c r="BG358" s="798">
        <f t="shared" si="354"/>
        <v>1</v>
      </c>
      <c r="BH358" s="798">
        <f t="shared" si="354"/>
        <v>1</v>
      </c>
      <c r="BI358" s="798">
        <f t="shared" si="354"/>
        <v>1</v>
      </c>
      <c r="BJ358" s="798">
        <f t="shared" si="354"/>
        <v>1</v>
      </c>
      <c r="BK358" s="798">
        <f t="shared" si="354"/>
        <v>1</v>
      </c>
      <c r="BL358" s="765"/>
      <c r="BM358" s="817"/>
      <c r="BN358" s="817"/>
    </row>
    <row r="359" hidden="1">
      <c r="A359" s="765"/>
      <c r="B359" s="765"/>
      <c r="C359" s="765"/>
      <c r="D359" s="765"/>
      <c r="E359" s="765"/>
      <c r="F359" s="765"/>
      <c r="G359" s="765"/>
      <c r="H359" s="765"/>
      <c r="I359" s="765">
        <f t="shared" si="17"/>
        <v>348</v>
      </c>
      <c r="J359" s="763">
        <f t="shared" si="5"/>
        <v>6628850948549</v>
      </c>
      <c r="K359" s="796">
        <f t="shared" si="7"/>
        <v>0.40779</v>
      </c>
      <c r="L359" s="796">
        <v>5.0E-4</v>
      </c>
      <c r="M359" s="763">
        <v>7.55855296299787E12</v>
      </c>
      <c r="N359" s="797">
        <f t="shared" si="8"/>
        <v>0</v>
      </c>
      <c r="O359" s="798">
        <f t="shared" ref="O359:BK359" si="355">FLOOR(MIN((((N("value of ELS upgrade")+N$8*($K359-$K358))*(N("Check checkbox")+(IF($G$6=TRUE,$G$7,$G$8))/$G$8))/(N("ROI of ELS and multiply by 2 if ELS is 1:1")+IF($G$12 = True, 2, 1) * $J359))/((N("difference in ELS+ and the cost of it")+(($K358*O$8)-($K358*N$8)) / O$7)),(N("MIN lets it return 0 or 1 after floored")+1)),1)</f>
        <v>0</v>
      </c>
      <c r="P359" s="798">
        <f t="shared" si="355"/>
        <v>0</v>
      </c>
      <c r="Q359" s="798">
        <f t="shared" si="355"/>
        <v>0</v>
      </c>
      <c r="R359" s="798">
        <f t="shared" si="355"/>
        <v>0</v>
      </c>
      <c r="S359" s="798">
        <f t="shared" si="355"/>
        <v>0</v>
      </c>
      <c r="T359" s="798">
        <f t="shared" si="355"/>
        <v>0</v>
      </c>
      <c r="U359" s="798">
        <f t="shared" si="355"/>
        <v>0</v>
      </c>
      <c r="V359" s="798">
        <f t="shared" si="355"/>
        <v>0</v>
      </c>
      <c r="W359" s="798">
        <f t="shared" si="355"/>
        <v>0</v>
      </c>
      <c r="X359" s="798">
        <f t="shared" si="355"/>
        <v>0</v>
      </c>
      <c r="Y359" s="798">
        <f t="shared" si="355"/>
        <v>0</v>
      </c>
      <c r="Z359" s="798">
        <f t="shared" si="355"/>
        <v>1</v>
      </c>
      <c r="AA359" s="798">
        <f t="shared" si="355"/>
        <v>1</v>
      </c>
      <c r="AB359" s="798">
        <f t="shared" si="355"/>
        <v>1</v>
      </c>
      <c r="AC359" s="798">
        <f t="shared" si="355"/>
        <v>1</v>
      </c>
      <c r="AD359" s="798">
        <f t="shared" si="355"/>
        <v>1</v>
      </c>
      <c r="AE359" s="798">
        <f t="shared" si="355"/>
        <v>1</v>
      </c>
      <c r="AF359" s="798">
        <f t="shared" si="355"/>
        <v>1</v>
      </c>
      <c r="AG359" s="798">
        <f t="shared" si="355"/>
        <v>1</v>
      </c>
      <c r="AH359" s="798">
        <f t="shared" si="355"/>
        <v>1</v>
      </c>
      <c r="AI359" s="798">
        <f t="shared" si="355"/>
        <v>1</v>
      </c>
      <c r="AJ359" s="798">
        <f t="shared" si="355"/>
        <v>1</v>
      </c>
      <c r="AK359" s="798">
        <f t="shared" si="355"/>
        <v>1</v>
      </c>
      <c r="AL359" s="798">
        <f t="shared" si="355"/>
        <v>1</v>
      </c>
      <c r="AM359" s="798">
        <f t="shared" si="355"/>
        <v>1</v>
      </c>
      <c r="AN359" s="798">
        <f t="shared" si="355"/>
        <v>1</v>
      </c>
      <c r="AO359" s="798">
        <f t="shared" si="355"/>
        <v>1</v>
      </c>
      <c r="AP359" s="798">
        <f t="shared" si="355"/>
        <v>1</v>
      </c>
      <c r="AQ359" s="798">
        <f t="shared" si="355"/>
        <v>1</v>
      </c>
      <c r="AR359" s="798">
        <f t="shared" si="355"/>
        <v>1</v>
      </c>
      <c r="AS359" s="798">
        <f t="shared" si="355"/>
        <v>1</v>
      </c>
      <c r="AT359" s="798">
        <f t="shared" si="355"/>
        <v>1</v>
      </c>
      <c r="AU359" s="798">
        <f t="shared" si="355"/>
        <v>1</v>
      </c>
      <c r="AV359" s="798">
        <f t="shared" si="355"/>
        <v>1</v>
      </c>
      <c r="AW359" s="798">
        <f t="shared" si="355"/>
        <v>1</v>
      </c>
      <c r="AX359" s="798">
        <f t="shared" si="355"/>
        <v>1</v>
      </c>
      <c r="AY359" s="798">
        <f t="shared" si="355"/>
        <v>1</v>
      </c>
      <c r="AZ359" s="798">
        <f t="shared" si="355"/>
        <v>1</v>
      </c>
      <c r="BA359" s="798">
        <f t="shared" si="355"/>
        <v>1</v>
      </c>
      <c r="BB359" s="798">
        <f t="shared" si="355"/>
        <v>1</v>
      </c>
      <c r="BC359" s="798">
        <f t="shared" si="355"/>
        <v>1</v>
      </c>
      <c r="BD359" s="798">
        <f t="shared" si="355"/>
        <v>1</v>
      </c>
      <c r="BE359" s="798">
        <f t="shared" si="355"/>
        <v>1</v>
      </c>
      <c r="BF359" s="798">
        <f t="shared" si="355"/>
        <v>1</v>
      </c>
      <c r="BG359" s="798">
        <f t="shared" si="355"/>
        <v>1</v>
      </c>
      <c r="BH359" s="798">
        <f t="shared" si="355"/>
        <v>1</v>
      </c>
      <c r="BI359" s="798">
        <f t="shared" si="355"/>
        <v>1</v>
      </c>
      <c r="BJ359" s="798">
        <f t="shared" si="355"/>
        <v>1</v>
      </c>
      <c r="BK359" s="798">
        <f t="shared" si="355"/>
        <v>1</v>
      </c>
      <c r="BL359" s="765"/>
      <c r="BM359" s="817"/>
      <c r="BN359" s="817"/>
    </row>
    <row r="360" hidden="1">
      <c r="A360" s="765"/>
      <c r="B360" s="765"/>
      <c r="C360" s="765"/>
      <c r="D360" s="765"/>
      <c r="E360" s="765"/>
      <c r="F360" s="765"/>
      <c r="G360" s="765"/>
      <c r="H360" s="765"/>
      <c r="I360" s="765">
        <f t="shared" si="17"/>
        <v>349</v>
      </c>
      <c r="J360" s="763">
        <f t="shared" si="5"/>
        <v>6655324341593</v>
      </c>
      <c r="K360" s="796">
        <f t="shared" si="7"/>
        <v>0.40829</v>
      </c>
      <c r="L360" s="796">
        <v>5.0E-4</v>
      </c>
      <c r="M360" s="763">
        <v>7.58873927205549E12</v>
      </c>
      <c r="N360" s="797">
        <f t="shared" si="8"/>
        <v>0</v>
      </c>
      <c r="O360" s="798">
        <f t="shared" ref="O360:BK360" si="356">FLOOR(MIN((((N("value of ELS upgrade")+N$8*($K360-$K359))*(N("Check checkbox")+(IF($G$6=TRUE,$G$7,$G$8))/$G$8))/(N("ROI of ELS and multiply by 2 if ELS is 1:1")+IF($G$12 = True, 2, 1) * $J360))/((N("difference in ELS+ and the cost of it")+(($K359*O$8)-($K359*N$8)) / O$7)),(N("MIN lets it return 0 or 1 after floored")+1)),1)</f>
        <v>0</v>
      </c>
      <c r="P360" s="798">
        <f t="shared" si="356"/>
        <v>0</v>
      </c>
      <c r="Q360" s="798">
        <f t="shared" si="356"/>
        <v>0</v>
      </c>
      <c r="R360" s="798">
        <f t="shared" si="356"/>
        <v>0</v>
      </c>
      <c r="S360" s="798">
        <f t="shared" si="356"/>
        <v>0</v>
      </c>
      <c r="T360" s="798">
        <f t="shared" si="356"/>
        <v>0</v>
      </c>
      <c r="U360" s="798">
        <f t="shared" si="356"/>
        <v>0</v>
      </c>
      <c r="V360" s="798">
        <f t="shared" si="356"/>
        <v>0</v>
      </c>
      <c r="W360" s="798">
        <f t="shared" si="356"/>
        <v>0</v>
      </c>
      <c r="X360" s="798">
        <f t="shared" si="356"/>
        <v>0</v>
      </c>
      <c r="Y360" s="798">
        <f t="shared" si="356"/>
        <v>0</v>
      </c>
      <c r="Z360" s="798">
        <f t="shared" si="356"/>
        <v>1</v>
      </c>
      <c r="AA360" s="798">
        <f t="shared" si="356"/>
        <v>1</v>
      </c>
      <c r="AB360" s="798">
        <f t="shared" si="356"/>
        <v>1</v>
      </c>
      <c r="AC360" s="798">
        <f t="shared" si="356"/>
        <v>1</v>
      </c>
      <c r="AD360" s="798">
        <f t="shared" si="356"/>
        <v>1</v>
      </c>
      <c r="AE360" s="798">
        <f t="shared" si="356"/>
        <v>1</v>
      </c>
      <c r="AF360" s="798">
        <f t="shared" si="356"/>
        <v>1</v>
      </c>
      <c r="AG360" s="798">
        <f t="shared" si="356"/>
        <v>1</v>
      </c>
      <c r="AH360" s="798">
        <f t="shared" si="356"/>
        <v>1</v>
      </c>
      <c r="AI360" s="798">
        <f t="shared" si="356"/>
        <v>1</v>
      </c>
      <c r="AJ360" s="798">
        <f t="shared" si="356"/>
        <v>1</v>
      </c>
      <c r="AK360" s="798">
        <f t="shared" si="356"/>
        <v>1</v>
      </c>
      <c r="AL360" s="798">
        <f t="shared" si="356"/>
        <v>1</v>
      </c>
      <c r="AM360" s="798">
        <f t="shared" si="356"/>
        <v>1</v>
      </c>
      <c r="AN360" s="798">
        <f t="shared" si="356"/>
        <v>1</v>
      </c>
      <c r="AO360" s="798">
        <f t="shared" si="356"/>
        <v>1</v>
      </c>
      <c r="AP360" s="798">
        <f t="shared" si="356"/>
        <v>1</v>
      </c>
      <c r="AQ360" s="798">
        <f t="shared" si="356"/>
        <v>1</v>
      </c>
      <c r="AR360" s="798">
        <f t="shared" si="356"/>
        <v>1</v>
      </c>
      <c r="AS360" s="798">
        <f t="shared" si="356"/>
        <v>1</v>
      </c>
      <c r="AT360" s="798">
        <f t="shared" si="356"/>
        <v>1</v>
      </c>
      <c r="AU360" s="798">
        <f t="shared" si="356"/>
        <v>1</v>
      </c>
      <c r="AV360" s="798">
        <f t="shared" si="356"/>
        <v>1</v>
      </c>
      <c r="AW360" s="798">
        <f t="shared" si="356"/>
        <v>1</v>
      </c>
      <c r="AX360" s="798">
        <f t="shared" si="356"/>
        <v>1</v>
      </c>
      <c r="AY360" s="798">
        <f t="shared" si="356"/>
        <v>1</v>
      </c>
      <c r="AZ360" s="798">
        <f t="shared" si="356"/>
        <v>1</v>
      </c>
      <c r="BA360" s="798">
        <f t="shared" si="356"/>
        <v>1</v>
      </c>
      <c r="BB360" s="798">
        <f t="shared" si="356"/>
        <v>1</v>
      </c>
      <c r="BC360" s="798">
        <f t="shared" si="356"/>
        <v>1</v>
      </c>
      <c r="BD360" s="798">
        <f t="shared" si="356"/>
        <v>1</v>
      </c>
      <c r="BE360" s="798">
        <f t="shared" si="356"/>
        <v>1</v>
      </c>
      <c r="BF360" s="798">
        <f t="shared" si="356"/>
        <v>1</v>
      </c>
      <c r="BG360" s="798">
        <f t="shared" si="356"/>
        <v>1</v>
      </c>
      <c r="BH360" s="798">
        <f t="shared" si="356"/>
        <v>1</v>
      </c>
      <c r="BI360" s="798">
        <f t="shared" si="356"/>
        <v>1</v>
      </c>
      <c r="BJ360" s="798">
        <f t="shared" si="356"/>
        <v>1</v>
      </c>
      <c r="BK360" s="798">
        <f t="shared" si="356"/>
        <v>1</v>
      </c>
      <c r="BL360" s="765"/>
      <c r="BM360" s="817"/>
      <c r="BN360" s="817"/>
    </row>
    <row r="361" hidden="1">
      <c r="A361" s="765"/>
      <c r="B361" s="765"/>
      <c r="C361" s="765"/>
      <c r="D361" s="765"/>
      <c r="E361" s="765"/>
      <c r="F361" s="765"/>
      <c r="G361" s="765"/>
      <c r="H361" s="765"/>
      <c r="I361" s="765">
        <f t="shared" si="17"/>
        <v>350</v>
      </c>
      <c r="J361" s="763">
        <f t="shared" si="5"/>
        <v>6681876568312</v>
      </c>
      <c r="K361" s="796">
        <f t="shared" si="7"/>
        <v>0.40879</v>
      </c>
      <c r="L361" s="796">
        <v>5.0E-4</v>
      </c>
      <c r="M361" s="763">
        <v>7.61901547127912E12</v>
      </c>
      <c r="N361" s="797">
        <f t="shared" si="8"/>
        <v>0</v>
      </c>
      <c r="O361" s="798">
        <f t="shared" ref="O361:BK361" si="357">FLOOR(MIN((((N("value of ELS upgrade")+N$8*($K361-$K360))*(N("Check checkbox")+(IF($G$6=TRUE,$G$7,$G$8))/$G$8))/(N("ROI of ELS and multiply by 2 if ELS is 1:1")+IF($G$12 = True, 2, 1) * $J361))/((N("difference in ELS+ and the cost of it")+(($K360*O$8)-($K360*N$8)) / O$7)),(N("MIN lets it return 0 or 1 after floored")+1)),1)</f>
        <v>0</v>
      </c>
      <c r="P361" s="798">
        <f t="shared" si="357"/>
        <v>0</v>
      </c>
      <c r="Q361" s="798">
        <f t="shared" si="357"/>
        <v>0</v>
      </c>
      <c r="R361" s="798">
        <f t="shared" si="357"/>
        <v>0</v>
      </c>
      <c r="S361" s="798">
        <f t="shared" si="357"/>
        <v>0</v>
      </c>
      <c r="T361" s="798">
        <f t="shared" si="357"/>
        <v>0</v>
      </c>
      <c r="U361" s="798">
        <f t="shared" si="357"/>
        <v>0</v>
      </c>
      <c r="V361" s="798">
        <f t="shared" si="357"/>
        <v>0</v>
      </c>
      <c r="W361" s="798">
        <f t="shared" si="357"/>
        <v>0</v>
      </c>
      <c r="X361" s="798">
        <f t="shared" si="357"/>
        <v>0</v>
      </c>
      <c r="Y361" s="798">
        <f t="shared" si="357"/>
        <v>0</v>
      </c>
      <c r="Z361" s="798">
        <f t="shared" si="357"/>
        <v>1</v>
      </c>
      <c r="AA361" s="798">
        <f t="shared" si="357"/>
        <v>1</v>
      </c>
      <c r="AB361" s="798">
        <f t="shared" si="357"/>
        <v>1</v>
      </c>
      <c r="AC361" s="798">
        <f t="shared" si="357"/>
        <v>1</v>
      </c>
      <c r="AD361" s="798">
        <f t="shared" si="357"/>
        <v>1</v>
      </c>
      <c r="AE361" s="798">
        <f t="shared" si="357"/>
        <v>1</v>
      </c>
      <c r="AF361" s="798">
        <f t="shared" si="357"/>
        <v>1</v>
      </c>
      <c r="AG361" s="798">
        <f t="shared" si="357"/>
        <v>1</v>
      </c>
      <c r="AH361" s="798">
        <f t="shared" si="357"/>
        <v>1</v>
      </c>
      <c r="AI361" s="798">
        <f t="shared" si="357"/>
        <v>1</v>
      </c>
      <c r="AJ361" s="798">
        <f t="shared" si="357"/>
        <v>1</v>
      </c>
      <c r="AK361" s="798">
        <f t="shared" si="357"/>
        <v>1</v>
      </c>
      <c r="AL361" s="798">
        <f t="shared" si="357"/>
        <v>1</v>
      </c>
      <c r="AM361" s="798">
        <f t="shared" si="357"/>
        <v>1</v>
      </c>
      <c r="AN361" s="798">
        <f t="shared" si="357"/>
        <v>1</v>
      </c>
      <c r="AO361" s="798">
        <f t="shared" si="357"/>
        <v>1</v>
      </c>
      <c r="AP361" s="798">
        <f t="shared" si="357"/>
        <v>1</v>
      </c>
      <c r="AQ361" s="798">
        <f t="shared" si="357"/>
        <v>1</v>
      </c>
      <c r="AR361" s="798">
        <f t="shared" si="357"/>
        <v>1</v>
      </c>
      <c r="AS361" s="798">
        <f t="shared" si="357"/>
        <v>1</v>
      </c>
      <c r="AT361" s="798">
        <f t="shared" si="357"/>
        <v>1</v>
      </c>
      <c r="AU361" s="798">
        <f t="shared" si="357"/>
        <v>1</v>
      </c>
      <c r="AV361" s="798">
        <f t="shared" si="357"/>
        <v>1</v>
      </c>
      <c r="AW361" s="798">
        <f t="shared" si="357"/>
        <v>1</v>
      </c>
      <c r="AX361" s="798">
        <f t="shared" si="357"/>
        <v>1</v>
      </c>
      <c r="AY361" s="798">
        <f t="shared" si="357"/>
        <v>1</v>
      </c>
      <c r="AZ361" s="798">
        <f t="shared" si="357"/>
        <v>1</v>
      </c>
      <c r="BA361" s="798">
        <f t="shared" si="357"/>
        <v>1</v>
      </c>
      <c r="BB361" s="798">
        <f t="shared" si="357"/>
        <v>1</v>
      </c>
      <c r="BC361" s="798">
        <f t="shared" si="357"/>
        <v>1</v>
      </c>
      <c r="BD361" s="798">
        <f t="shared" si="357"/>
        <v>1</v>
      </c>
      <c r="BE361" s="798">
        <f t="shared" si="357"/>
        <v>1</v>
      </c>
      <c r="BF361" s="798">
        <f t="shared" si="357"/>
        <v>1</v>
      </c>
      <c r="BG361" s="798">
        <f t="shared" si="357"/>
        <v>1</v>
      </c>
      <c r="BH361" s="798">
        <f t="shared" si="357"/>
        <v>1</v>
      </c>
      <c r="BI361" s="798">
        <f t="shared" si="357"/>
        <v>1</v>
      </c>
      <c r="BJ361" s="798">
        <f t="shared" si="357"/>
        <v>1</v>
      </c>
      <c r="BK361" s="798">
        <f t="shared" si="357"/>
        <v>1</v>
      </c>
      <c r="BL361" s="765"/>
      <c r="BM361" s="817"/>
      <c r="BN361" s="817"/>
    </row>
    <row r="362" hidden="1">
      <c r="A362" s="765"/>
      <c r="B362" s="765"/>
      <c r="C362" s="765"/>
      <c r="D362" s="765"/>
      <c r="E362" s="765"/>
      <c r="F362" s="765"/>
      <c r="G362" s="765"/>
      <c r="H362" s="765"/>
      <c r="I362" s="765">
        <f t="shared" si="17"/>
        <v>351</v>
      </c>
      <c r="J362" s="763">
        <f t="shared" si="5"/>
        <v>6708507984883</v>
      </c>
      <c r="K362" s="796">
        <f t="shared" si="7"/>
        <v>0.40929</v>
      </c>
      <c r="L362" s="796">
        <v>5.0E-4</v>
      </c>
      <c r="M362" s="763">
        <v>7.64938196679901E12</v>
      </c>
      <c r="N362" s="797">
        <f t="shared" si="8"/>
        <v>0</v>
      </c>
      <c r="O362" s="798">
        <f t="shared" ref="O362:BK362" si="358">FLOOR(MIN((((N("value of ELS upgrade")+N$8*($K362-$K361))*(N("Check checkbox")+(IF($G$6=TRUE,$G$7,$G$8))/$G$8))/(N("ROI of ELS and multiply by 2 if ELS is 1:1")+IF($G$12 = True, 2, 1) * $J362))/((N("difference in ELS+ and the cost of it")+(($K361*O$8)-($K361*N$8)) / O$7)),(N("MIN lets it return 0 or 1 after floored")+1)),1)</f>
        <v>0</v>
      </c>
      <c r="P362" s="798">
        <f t="shared" si="358"/>
        <v>0</v>
      </c>
      <c r="Q362" s="798">
        <f t="shared" si="358"/>
        <v>0</v>
      </c>
      <c r="R362" s="798">
        <f t="shared" si="358"/>
        <v>0</v>
      </c>
      <c r="S362" s="798">
        <f t="shared" si="358"/>
        <v>0</v>
      </c>
      <c r="T362" s="798">
        <f t="shared" si="358"/>
        <v>0</v>
      </c>
      <c r="U362" s="798">
        <f t="shared" si="358"/>
        <v>0</v>
      </c>
      <c r="V362" s="798">
        <f t="shared" si="358"/>
        <v>0</v>
      </c>
      <c r="W362" s="798">
        <f t="shared" si="358"/>
        <v>0</v>
      </c>
      <c r="X362" s="798">
        <f t="shared" si="358"/>
        <v>0</v>
      </c>
      <c r="Y362" s="798">
        <f t="shared" si="358"/>
        <v>0</v>
      </c>
      <c r="Z362" s="798">
        <f t="shared" si="358"/>
        <v>1</v>
      </c>
      <c r="AA362" s="798">
        <f t="shared" si="358"/>
        <v>1</v>
      </c>
      <c r="AB362" s="798">
        <f t="shared" si="358"/>
        <v>1</v>
      </c>
      <c r="AC362" s="798">
        <f t="shared" si="358"/>
        <v>1</v>
      </c>
      <c r="AD362" s="798">
        <f t="shared" si="358"/>
        <v>1</v>
      </c>
      <c r="AE362" s="798">
        <f t="shared" si="358"/>
        <v>1</v>
      </c>
      <c r="AF362" s="798">
        <f t="shared" si="358"/>
        <v>1</v>
      </c>
      <c r="AG362" s="798">
        <f t="shared" si="358"/>
        <v>1</v>
      </c>
      <c r="AH362" s="798">
        <f t="shared" si="358"/>
        <v>1</v>
      </c>
      <c r="AI362" s="798">
        <f t="shared" si="358"/>
        <v>1</v>
      </c>
      <c r="AJ362" s="798">
        <f t="shared" si="358"/>
        <v>1</v>
      </c>
      <c r="AK362" s="798">
        <f t="shared" si="358"/>
        <v>1</v>
      </c>
      <c r="AL362" s="798">
        <f t="shared" si="358"/>
        <v>1</v>
      </c>
      <c r="AM362" s="798">
        <f t="shared" si="358"/>
        <v>1</v>
      </c>
      <c r="AN362" s="798">
        <f t="shared" si="358"/>
        <v>1</v>
      </c>
      <c r="AO362" s="798">
        <f t="shared" si="358"/>
        <v>1</v>
      </c>
      <c r="AP362" s="798">
        <f t="shared" si="358"/>
        <v>1</v>
      </c>
      <c r="AQ362" s="798">
        <f t="shared" si="358"/>
        <v>1</v>
      </c>
      <c r="AR362" s="798">
        <f t="shared" si="358"/>
        <v>1</v>
      </c>
      <c r="AS362" s="798">
        <f t="shared" si="358"/>
        <v>1</v>
      </c>
      <c r="AT362" s="798">
        <f t="shared" si="358"/>
        <v>1</v>
      </c>
      <c r="AU362" s="798">
        <f t="shared" si="358"/>
        <v>1</v>
      </c>
      <c r="AV362" s="798">
        <f t="shared" si="358"/>
        <v>1</v>
      </c>
      <c r="AW362" s="798">
        <f t="shared" si="358"/>
        <v>1</v>
      </c>
      <c r="AX362" s="798">
        <f t="shared" si="358"/>
        <v>1</v>
      </c>
      <c r="AY362" s="798">
        <f t="shared" si="358"/>
        <v>1</v>
      </c>
      <c r="AZ362" s="798">
        <f t="shared" si="358"/>
        <v>1</v>
      </c>
      <c r="BA362" s="798">
        <f t="shared" si="358"/>
        <v>1</v>
      </c>
      <c r="BB362" s="798">
        <f t="shared" si="358"/>
        <v>1</v>
      </c>
      <c r="BC362" s="798">
        <f t="shared" si="358"/>
        <v>1</v>
      </c>
      <c r="BD362" s="798">
        <f t="shared" si="358"/>
        <v>1</v>
      </c>
      <c r="BE362" s="798">
        <f t="shared" si="358"/>
        <v>1</v>
      </c>
      <c r="BF362" s="798">
        <f t="shared" si="358"/>
        <v>1</v>
      </c>
      <c r="BG362" s="798">
        <f t="shared" si="358"/>
        <v>1</v>
      </c>
      <c r="BH362" s="798">
        <f t="shared" si="358"/>
        <v>1</v>
      </c>
      <c r="BI362" s="798">
        <f t="shared" si="358"/>
        <v>1</v>
      </c>
      <c r="BJ362" s="798">
        <f t="shared" si="358"/>
        <v>1</v>
      </c>
      <c r="BK362" s="798">
        <f t="shared" si="358"/>
        <v>1</v>
      </c>
      <c r="BL362" s="765"/>
      <c r="BM362" s="817"/>
      <c r="BN362" s="817"/>
    </row>
    <row r="363" hidden="1">
      <c r="A363" s="765"/>
      <c r="B363" s="765"/>
      <c r="C363" s="765"/>
      <c r="D363" s="765"/>
      <c r="E363" s="765"/>
      <c r="F363" s="765"/>
      <c r="G363" s="765"/>
      <c r="H363" s="765"/>
      <c r="I363" s="765">
        <f t="shared" si="17"/>
        <v>352</v>
      </c>
      <c r="J363" s="763">
        <f t="shared" si="5"/>
        <v>6735218828756</v>
      </c>
      <c r="K363" s="796">
        <f t="shared" si="7"/>
        <v>0.40979</v>
      </c>
      <c r="L363" s="796">
        <v>5.0E-4</v>
      </c>
      <c r="M363" s="763">
        <v>7.67983902936868E12</v>
      </c>
      <c r="N363" s="797">
        <f t="shared" si="8"/>
        <v>0</v>
      </c>
      <c r="O363" s="798">
        <f t="shared" ref="O363:BK363" si="359">FLOOR(MIN((((N("value of ELS upgrade")+N$8*($K363-$K362))*(N("Check checkbox")+(IF($G$6=TRUE,$G$7,$G$8))/$G$8))/(N("ROI of ELS and multiply by 2 if ELS is 1:1")+IF($G$12 = True, 2, 1) * $J363))/((N("difference in ELS+ and the cost of it")+(($K362*O$8)-($K362*N$8)) / O$7)),(N("MIN lets it return 0 or 1 after floored")+1)),1)</f>
        <v>0</v>
      </c>
      <c r="P363" s="798">
        <f t="shared" si="359"/>
        <v>0</v>
      </c>
      <c r="Q363" s="798">
        <f t="shared" si="359"/>
        <v>0</v>
      </c>
      <c r="R363" s="798">
        <f t="shared" si="359"/>
        <v>0</v>
      </c>
      <c r="S363" s="798">
        <f t="shared" si="359"/>
        <v>0</v>
      </c>
      <c r="T363" s="798">
        <f t="shared" si="359"/>
        <v>0</v>
      </c>
      <c r="U363" s="798">
        <f t="shared" si="359"/>
        <v>0</v>
      </c>
      <c r="V363" s="798">
        <f t="shared" si="359"/>
        <v>0</v>
      </c>
      <c r="W363" s="798">
        <f t="shared" si="359"/>
        <v>0</v>
      </c>
      <c r="X363" s="798">
        <f t="shared" si="359"/>
        <v>0</v>
      </c>
      <c r="Y363" s="798">
        <f t="shared" si="359"/>
        <v>0</v>
      </c>
      <c r="Z363" s="798">
        <f t="shared" si="359"/>
        <v>1</v>
      </c>
      <c r="AA363" s="798">
        <f t="shared" si="359"/>
        <v>1</v>
      </c>
      <c r="AB363" s="798">
        <f t="shared" si="359"/>
        <v>1</v>
      </c>
      <c r="AC363" s="798">
        <f t="shared" si="359"/>
        <v>1</v>
      </c>
      <c r="AD363" s="798">
        <f t="shared" si="359"/>
        <v>1</v>
      </c>
      <c r="AE363" s="798">
        <f t="shared" si="359"/>
        <v>1</v>
      </c>
      <c r="AF363" s="798">
        <f t="shared" si="359"/>
        <v>1</v>
      </c>
      <c r="AG363" s="798">
        <f t="shared" si="359"/>
        <v>1</v>
      </c>
      <c r="AH363" s="798">
        <f t="shared" si="359"/>
        <v>1</v>
      </c>
      <c r="AI363" s="798">
        <f t="shared" si="359"/>
        <v>1</v>
      </c>
      <c r="AJ363" s="798">
        <f t="shared" si="359"/>
        <v>1</v>
      </c>
      <c r="AK363" s="798">
        <f t="shared" si="359"/>
        <v>1</v>
      </c>
      <c r="AL363" s="798">
        <f t="shared" si="359"/>
        <v>1</v>
      </c>
      <c r="AM363" s="798">
        <f t="shared" si="359"/>
        <v>1</v>
      </c>
      <c r="AN363" s="798">
        <f t="shared" si="359"/>
        <v>1</v>
      </c>
      <c r="AO363" s="798">
        <f t="shared" si="359"/>
        <v>1</v>
      </c>
      <c r="AP363" s="798">
        <f t="shared" si="359"/>
        <v>1</v>
      </c>
      <c r="AQ363" s="798">
        <f t="shared" si="359"/>
        <v>1</v>
      </c>
      <c r="AR363" s="798">
        <f t="shared" si="359"/>
        <v>1</v>
      </c>
      <c r="AS363" s="798">
        <f t="shared" si="359"/>
        <v>1</v>
      </c>
      <c r="AT363" s="798">
        <f t="shared" si="359"/>
        <v>1</v>
      </c>
      <c r="AU363" s="798">
        <f t="shared" si="359"/>
        <v>1</v>
      </c>
      <c r="AV363" s="798">
        <f t="shared" si="359"/>
        <v>1</v>
      </c>
      <c r="AW363" s="798">
        <f t="shared" si="359"/>
        <v>1</v>
      </c>
      <c r="AX363" s="798">
        <f t="shared" si="359"/>
        <v>1</v>
      </c>
      <c r="AY363" s="798">
        <f t="shared" si="359"/>
        <v>1</v>
      </c>
      <c r="AZ363" s="798">
        <f t="shared" si="359"/>
        <v>1</v>
      </c>
      <c r="BA363" s="798">
        <f t="shared" si="359"/>
        <v>1</v>
      </c>
      <c r="BB363" s="798">
        <f t="shared" si="359"/>
        <v>1</v>
      </c>
      <c r="BC363" s="798">
        <f t="shared" si="359"/>
        <v>1</v>
      </c>
      <c r="BD363" s="798">
        <f t="shared" si="359"/>
        <v>1</v>
      </c>
      <c r="BE363" s="798">
        <f t="shared" si="359"/>
        <v>1</v>
      </c>
      <c r="BF363" s="798">
        <f t="shared" si="359"/>
        <v>1</v>
      </c>
      <c r="BG363" s="798">
        <f t="shared" si="359"/>
        <v>1</v>
      </c>
      <c r="BH363" s="798">
        <f t="shared" si="359"/>
        <v>1</v>
      </c>
      <c r="BI363" s="798">
        <f t="shared" si="359"/>
        <v>1</v>
      </c>
      <c r="BJ363" s="798">
        <f t="shared" si="359"/>
        <v>1</v>
      </c>
      <c r="BK363" s="798">
        <f t="shared" si="359"/>
        <v>1</v>
      </c>
      <c r="BL363" s="765"/>
      <c r="BM363" s="817"/>
      <c r="BN363" s="817"/>
    </row>
    <row r="364" hidden="1">
      <c r="A364" s="765"/>
      <c r="B364" s="765"/>
      <c r="C364" s="765"/>
      <c r="D364" s="765"/>
      <c r="E364" s="765"/>
      <c r="F364" s="765"/>
      <c r="G364" s="765"/>
      <c r="H364" s="765"/>
      <c r="I364" s="765">
        <f t="shared" si="17"/>
        <v>353</v>
      </c>
      <c r="J364" s="763">
        <f t="shared" si="5"/>
        <v>6762009337383</v>
      </c>
      <c r="K364" s="796">
        <f t="shared" si="7"/>
        <v>0.41029</v>
      </c>
      <c r="L364" s="796">
        <v>5.0E-4</v>
      </c>
      <c r="M364" s="763">
        <v>7.71038692974164E12</v>
      </c>
      <c r="N364" s="797">
        <f t="shared" si="8"/>
        <v>0</v>
      </c>
      <c r="O364" s="798">
        <f t="shared" ref="O364:BK364" si="360">FLOOR(MIN((((N("value of ELS upgrade")+N$8*($K364-$K363))*(N("Check checkbox")+(IF($G$6=TRUE,$G$7,$G$8))/$G$8))/(N("ROI of ELS and multiply by 2 if ELS is 1:1")+IF($G$12 = True, 2, 1) * $J364))/((N("difference in ELS+ and the cost of it")+(($K363*O$8)-($K363*N$8)) / O$7)),(N("MIN lets it return 0 or 1 after floored")+1)),1)</f>
        <v>0</v>
      </c>
      <c r="P364" s="798">
        <f t="shared" si="360"/>
        <v>0</v>
      </c>
      <c r="Q364" s="798">
        <f t="shared" si="360"/>
        <v>0</v>
      </c>
      <c r="R364" s="798">
        <f t="shared" si="360"/>
        <v>0</v>
      </c>
      <c r="S364" s="798">
        <f t="shared" si="360"/>
        <v>0</v>
      </c>
      <c r="T364" s="798">
        <f t="shared" si="360"/>
        <v>0</v>
      </c>
      <c r="U364" s="798">
        <f t="shared" si="360"/>
        <v>0</v>
      </c>
      <c r="V364" s="798">
        <f t="shared" si="360"/>
        <v>0</v>
      </c>
      <c r="W364" s="798">
        <f t="shared" si="360"/>
        <v>0</v>
      </c>
      <c r="X364" s="798">
        <f t="shared" si="360"/>
        <v>0</v>
      </c>
      <c r="Y364" s="798">
        <f t="shared" si="360"/>
        <v>0</v>
      </c>
      <c r="Z364" s="798">
        <f t="shared" si="360"/>
        <v>1</v>
      </c>
      <c r="AA364" s="798">
        <f t="shared" si="360"/>
        <v>1</v>
      </c>
      <c r="AB364" s="798">
        <f t="shared" si="360"/>
        <v>1</v>
      </c>
      <c r="AC364" s="798">
        <f t="shared" si="360"/>
        <v>1</v>
      </c>
      <c r="AD364" s="798">
        <f t="shared" si="360"/>
        <v>1</v>
      </c>
      <c r="AE364" s="798">
        <f t="shared" si="360"/>
        <v>1</v>
      </c>
      <c r="AF364" s="798">
        <f t="shared" si="360"/>
        <v>1</v>
      </c>
      <c r="AG364" s="798">
        <f t="shared" si="360"/>
        <v>1</v>
      </c>
      <c r="AH364" s="798">
        <f t="shared" si="360"/>
        <v>1</v>
      </c>
      <c r="AI364" s="798">
        <f t="shared" si="360"/>
        <v>1</v>
      </c>
      <c r="AJ364" s="798">
        <f t="shared" si="360"/>
        <v>1</v>
      </c>
      <c r="AK364" s="798">
        <f t="shared" si="360"/>
        <v>1</v>
      </c>
      <c r="AL364" s="798">
        <f t="shared" si="360"/>
        <v>1</v>
      </c>
      <c r="AM364" s="798">
        <f t="shared" si="360"/>
        <v>1</v>
      </c>
      <c r="AN364" s="798">
        <f t="shared" si="360"/>
        <v>1</v>
      </c>
      <c r="AO364" s="798">
        <f t="shared" si="360"/>
        <v>1</v>
      </c>
      <c r="AP364" s="798">
        <f t="shared" si="360"/>
        <v>1</v>
      </c>
      <c r="AQ364" s="798">
        <f t="shared" si="360"/>
        <v>1</v>
      </c>
      <c r="AR364" s="798">
        <f t="shared" si="360"/>
        <v>1</v>
      </c>
      <c r="AS364" s="798">
        <f t="shared" si="360"/>
        <v>1</v>
      </c>
      <c r="AT364" s="798">
        <f t="shared" si="360"/>
        <v>1</v>
      </c>
      <c r="AU364" s="798">
        <f t="shared" si="360"/>
        <v>1</v>
      </c>
      <c r="AV364" s="798">
        <f t="shared" si="360"/>
        <v>1</v>
      </c>
      <c r="AW364" s="798">
        <f t="shared" si="360"/>
        <v>1</v>
      </c>
      <c r="AX364" s="798">
        <f t="shared" si="360"/>
        <v>1</v>
      </c>
      <c r="AY364" s="798">
        <f t="shared" si="360"/>
        <v>1</v>
      </c>
      <c r="AZ364" s="798">
        <f t="shared" si="360"/>
        <v>1</v>
      </c>
      <c r="BA364" s="798">
        <f t="shared" si="360"/>
        <v>1</v>
      </c>
      <c r="BB364" s="798">
        <f t="shared" si="360"/>
        <v>1</v>
      </c>
      <c r="BC364" s="798">
        <f t="shared" si="360"/>
        <v>1</v>
      </c>
      <c r="BD364" s="798">
        <f t="shared" si="360"/>
        <v>1</v>
      </c>
      <c r="BE364" s="798">
        <f t="shared" si="360"/>
        <v>1</v>
      </c>
      <c r="BF364" s="798">
        <f t="shared" si="360"/>
        <v>1</v>
      </c>
      <c r="BG364" s="798">
        <f t="shared" si="360"/>
        <v>1</v>
      </c>
      <c r="BH364" s="798">
        <f t="shared" si="360"/>
        <v>1</v>
      </c>
      <c r="BI364" s="798">
        <f t="shared" si="360"/>
        <v>1</v>
      </c>
      <c r="BJ364" s="798">
        <f t="shared" si="360"/>
        <v>1</v>
      </c>
      <c r="BK364" s="798">
        <f t="shared" si="360"/>
        <v>1</v>
      </c>
      <c r="BL364" s="765"/>
      <c r="BM364" s="817"/>
      <c r="BN364" s="817"/>
    </row>
    <row r="365" hidden="1">
      <c r="A365" s="765"/>
      <c r="B365" s="765"/>
      <c r="C365" s="765"/>
      <c r="D365" s="765"/>
      <c r="E365" s="765"/>
      <c r="F365" s="765"/>
      <c r="G365" s="765"/>
      <c r="H365" s="765"/>
      <c r="I365" s="765">
        <f t="shared" si="17"/>
        <v>354</v>
      </c>
      <c r="J365" s="763">
        <f t="shared" si="5"/>
        <v>6788879985666</v>
      </c>
      <c r="K365" s="796">
        <f t="shared" si="7"/>
        <v>0.41079</v>
      </c>
      <c r="L365" s="796">
        <v>5.0E-4</v>
      </c>
      <c r="M365" s="763">
        <v>7.74102620942491E12</v>
      </c>
      <c r="N365" s="797">
        <f t="shared" si="8"/>
        <v>0</v>
      </c>
      <c r="O365" s="798">
        <f t="shared" ref="O365:BK365" si="361">FLOOR(MIN((((N("value of ELS upgrade")+N$8*($K365-$K364))*(N("Check checkbox")+(IF($G$6=TRUE,$G$7,$G$8))/$G$8))/(N("ROI of ELS and multiply by 2 if ELS is 1:1")+IF($G$12 = True, 2, 1) * $J365))/((N("difference in ELS+ and the cost of it")+(($K364*O$8)-($K364*N$8)) / O$7)),(N("MIN lets it return 0 or 1 after floored")+1)),1)</f>
        <v>0</v>
      </c>
      <c r="P365" s="798">
        <f t="shared" si="361"/>
        <v>0</v>
      </c>
      <c r="Q365" s="798">
        <f t="shared" si="361"/>
        <v>0</v>
      </c>
      <c r="R365" s="798">
        <f t="shared" si="361"/>
        <v>0</v>
      </c>
      <c r="S365" s="798">
        <f t="shared" si="361"/>
        <v>0</v>
      </c>
      <c r="T365" s="798">
        <f t="shared" si="361"/>
        <v>0</v>
      </c>
      <c r="U365" s="798">
        <f t="shared" si="361"/>
        <v>0</v>
      </c>
      <c r="V365" s="798">
        <f t="shared" si="361"/>
        <v>0</v>
      </c>
      <c r="W365" s="798">
        <f t="shared" si="361"/>
        <v>0</v>
      </c>
      <c r="X365" s="798">
        <f t="shared" si="361"/>
        <v>0</v>
      </c>
      <c r="Y365" s="798">
        <f t="shared" si="361"/>
        <v>0</v>
      </c>
      <c r="Z365" s="798">
        <f t="shared" si="361"/>
        <v>1</v>
      </c>
      <c r="AA365" s="798">
        <f t="shared" si="361"/>
        <v>1</v>
      </c>
      <c r="AB365" s="798">
        <f t="shared" si="361"/>
        <v>1</v>
      </c>
      <c r="AC365" s="798">
        <f t="shared" si="361"/>
        <v>1</v>
      </c>
      <c r="AD365" s="798">
        <f t="shared" si="361"/>
        <v>1</v>
      </c>
      <c r="AE365" s="798">
        <f t="shared" si="361"/>
        <v>1</v>
      </c>
      <c r="AF365" s="798">
        <f t="shared" si="361"/>
        <v>1</v>
      </c>
      <c r="AG365" s="798">
        <f t="shared" si="361"/>
        <v>1</v>
      </c>
      <c r="AH365" s="798">
        <f t="shared" si="361"/>
        <v>1</v>
      </c>
      <c r="AI365" s="798">
        <f t="shared" si="361"/>
        <v>1</v>
      </c>
      <c r="AJ365" s="798">
        <f t="shared" si="361"/>
        <v>1</v>
      </c>
      <c r="AK365" s="798">
        <f t="shared" si="361"/>
        <v>1</v>
      </c>
      <c r="AL365" s="798">
        <f t="shared" si="361"/>
        <v>1</v>
      </c>
      <c r="AM365" s="798">
        <f t="shared" si="361"/>
        <v>1</v>
      </c>
      <c r="AN365" s="798">
        <f t="shared" si="361"/>
        <v>1</v>
      </c>
      <c r="AO365" s="798">
        <f t="shared" si="361"/>
        <v>1</v>
      </c>
      <c r="AP365" s="798">
        <f t="shared" si="361"/>
        <v>1</v>
      </c>
      <c r="AQ365" s="798">
        <f t="shared" si="361"/>
        <v>1</v>
      </c>
      <c r="AR365" s="798">
        <f t="shared" si="361"/>
        <v>1</v>
      </c>
      <c r="AS365" s="798">
        <f t="shared" si="361"/>
        <v>1</v>
      </c>
      <c r="AT365" s="798">
        <f t="shared" si="361"/>
        <v>1</v>
      </c>
      <c r="AU365" s="798">
        <f t="shared" si="361"/>
        <v>1</v>
      </c>
      <c r="AV365" s="798">
        <f t="shared" si="361"/>
        <v>1</v>
      </c>
      <c r="AW365" s="798">
        <f t="shared" si="361"/>
        <v>1</v>
      </c>
      <c r="AX365" s="798">
        <f t="shared" si="361"/>
        <v>1</v>
      </c>
      <c r="AY365" s="798">
        <f t="shared" si="361"/>
        <v>1</v>
      </c>
      <c r="AZ365" s="798">
        <f t="shared" si="361"/>
        <v>1</v>
      </c>
      <c r="BA365" s="798">
        <f t="shared" si="361"/>
        <v>1</v>
      </c>
      <c r="BB365" s="798">
        <f t="shared" si="361"/>
        <v>1</v>
      </c>
      <c r="BC365" s="798">
        <f t="shared" si="361"/>
        <v>1</v>
      </c>
      <c r="BD365" s="798">
        <f t="shared" si="361"/>
        <v>1</v>
      </c>
      <c r="BE365" s="798">
        <f t="shared" si="361"/>
        <v>1</v>
      </c>
      <c r="BF365" s="798">
        <f t="shared" si="361"/>
        <v>1</v>
      </c>
      <c r="BG365" s="798">
        <f t="shared" si="361"/>
        <v>1</v>
      </c>
      <c r="BH365" s="798">
        <f t="shared" si="361"/>
        <v>1</v>
      </c>
      <c r="BI365" s="798">
        <f t="shared" si="361"/>
        <v>1</v>
      </c>
      <c r="BJ365" s="798">
        <f t="shared" si="361"/>
        <v>1</v>
      </c>
      <c r="BK365" s="798">
        <f t="shared" si="361"/>
        <v>1</v>
      </c>
      <c r="BL365" s="765"/>
      <c r="BM365" s="817"/>
      <c r="BN365" s="817"/>
    </row>
    <row r="366" hidden="1">
      <c r="A366" s="765"/>
      <c r="B366" s="765"/>
      <c r="C366" s="765"/>
      <c r="D366" s="765"/>
      <c r="E366" s="765"/>
      <c r="F366" s="765"/>
      <c r="G366" s="765"/>
      <c r="H366" s="765"/>
      <c r="I366" s="765">
        <f t="shared" si="17"/>
        <v>355</v>
      </c>
      <c r="J366" s="763">
        <f t="shared" si="5"/>
        <v>6815830892328</v>
      </c>
      <c r="K366" s="796">
        <f t="shared" si="7"/>
        <v>0.41129</v>
      </c>
      <c r="L366" s="796">
        <v>5.0E-4</v>
      </c>
      <c r="M366" s="763">
        <v>7.77175700379526E12</v>
      </c>
      <c r="N366" s="797">
        <f t="shared" si="8"/>
        <v>0</v>
      </c>
      <c r="O366" s="798">
        <f t="shared" ref="O366:BK366" si="362">FLOOR(MIN((((N("value of ELS upgrade")+N$8*($K366-$K365))*(N("Check checkbox")+(IF($G$6=TRUE,$G$7,$G$8))/$G$8))/(N("ROI of ELS and multiply by 2 if ELS is 1:1")+IF($G$12 = True, 2, 1) * $J366))/((N("difference in ELS+ and the cost of it")+(($K365*O$8)-($K365*N$8)) / O$7)),(N("MIN lets it return 0 or 1 after floored")+1)),1)</f>
        <v>0</v>
      </c>
      <c r="P366" s="798">
        <f t="shared" si="362"/>
        <v>0</v>
      </c>
      <c r="Q366" s="798">
        <f t="shared" si="362"/>
        <v>0</v>
      </c>
      <c r="R366" s="798">
        <f t="shared" si="362"/>
        <v>0</v>
      </c>
      <c r="S366" s="798">
        <f t="shared" si="362"/>
        <v>0</v>
      </c>
      <c r="T366" s="798">
        <f t="shared" si="362"/>
        <v>0</v>
      </c>
      <c r="U366" s="798">
        <f t="shared" si="362"/>
        <v>0</v>
      </c>
      <c r="V366" s="798">
        <f t="shared" si="362"/>
        <v>0</v>
      </c>
      <c r="W366" s="798">
        <f t="shared" si="362"/>
        <v>0</v>
      </c>
      <c r="X366" s="798">
        <f t="shared" si="362"/>
        <v>0</v>
      </c>
      <c r="Y366" s="798">
        <f t="shared" si="362"/>
        <v>0</v>
      </c>
      <c r="Z366" s="798">
        <f t="shared" si="362"/>
        <v>1</v>
      </c>
      <c r="AA366" s="798">
        <f t="shared" si="362"/>
        <v>1</v>
      </c>
      <c r="AB366" s="798">
        <f t="shared" si="362"/>
        <v>1</v>
      </c>
      <c r="AC366" s="798">
        <f t="shared" si="362"/>
        <v>1</v>
      </c>
      <c r="AD366" s="798">
        <f t="shared" si="362"/>
        <v>1</v>
      </c>
      <c r="AE366" s="798">
        <f t="shared" si="362"/>
        <v>1</v>
      </c>
      <c r="AF366" s="798">
        <f t="shared" si="362"/>
        <v>1</v>
      </c>
      <c r="AG366" s="798">
        <f t="shared" si="362"/>
        <v>1</v>
      </c>
      <c r="AH366" s="798">
        <f t="shared" si="362"/>
        <v>1</v>
      </c>
      <c r="AI366" s="798">
        <f t="shared" si="362"/>
        <v>1</v>
      </c>
      <c r="AJ366" s="798">
        <f t="shared" si="362"/>
        <v>1</v>
      </c>
      <c r="AK366" s="798">
        <f t="shared" si="362"/>
        <v>1</v>
      </c>
      <c r="AL366" s="798">
        <f t="shared" si="362"/>
        <v>1</v>
      </c>
      <c r="AM366" s="798">
        <f t="shared" si="362"/>
        <v>1</v>
      </c>
      <c r="AN366" s="798">
        <f t="shared" si="362"/>
        <v>1</v>
      </c>
      <c r="AO366" s="798">
        <f t="shared" si="362"/>
        <v>1</v>
      </c>
      <c r="AP366" s="798">
        <f t="shared" si="362"/>
        <v>1</v>
      </c>
      <c r="AQ366" s="798">
        <f t="shared" si="362"/>
        <v>1</v>
      </c>
      <c r="AR366" s="798">
        <f t="shared" si="362"/>
        <v>1</v>
      </c>
      <c r="AS366" s="798">
        <f t="shared" si="362"/>
        <v>1</v>
      </c>
      <c r="AT366" s="798">
        <f t="shared" si="362"/>
        <v>1</v>
      </c>
      <c r="AU366" s="798">
        <f t="shared" si="362"/>
        <v>1</v>
      </c>
      <c r="AV366" s="798">
        <f t="shared" si="362"/>
        <v>1</v>
      </c>
      <c r="AW366" s="798">
        <f t="shared" si="362"/>
        <v>1</v>
      </c>
      <c r="AX366" s="798">
        <f t="shared" si="362"/>
        <v>1</v>
      </c>
      <c r="AY366" s="798">
        <f t="shared" si="362"/>
        <v>1</v>
      </c>
      <c r="AZ366" s="798">
        <f t="shared" si="362"/>
        <v>1</v>
      </c>
      <c r="BA366" s="798">
        <f t="shared" si="362"/>
        <v>1</v>
      </c>
      <c r="BB366" s="798">
        <f t="shared" si="362"/>
        <v>1</v>
      </c>
      <c r="BC366" s="798">
        <f t="shared" si="362"/>
        <v>1</v>
      </c>
      <c r="BD366" s="798">
        <f t="shared" si="362"/>
        <v>1</v>
      </c>
      <c r="BE366" s="798">
        <f t="shared" si="362"/>
        <v>1</v>
      </c>
      <c r="BF366" s="798">
        <f t="shared" si="362"/>
        <v>1</v>
      </c>
      <c r="BG366" s="798">
        <f t="shared" si="362"/>
        <v>1</v>
      </c>
      <c r="BH366" s="798">
        <f t="shared" si="362"/>
        <v>1</v>
      </c>
      <c r="BI366" s="798">
        <f t="shared" si="362"/>
        <v>1</v>
      </c>
      <c r="BJ366" s="798">
        <f t="shared" si="362"/>
        <v>1</v>
      </c>
      <c r="BK366" s="798">
        <f t="shared" si="362"/>
        <v>1</v>
      </c>
      <c r="BL366" s="765"/>
      <c r="BM366" s="817"/>
      <c r="BN366" s="817"/>
    </row>
    <row r="367" hidden="1">
      <c r="A367" s="765"/>
      <c r="B367" s="765"/>
      <c r="C367" s="765"/>
      <c r="D367" s="765"/>
      <c r="E367" s="765"/>
      <c r="F367" s="765"/>
      <c r="G367" s="765"/>
      <c r="H367" s="765"/>
      <c r="I367" s="765">
        <f t="shared" si="17"/>
        <v>356</v>
      </c>
      <c r="J367" s="763">
        <f t="shared" si="5"/>
        <v>6842862532273</v>
      </c>
      <c r="K367" s="796">
        <f t="shared" si="7"/>
        <v>0.41179</v>
      </c>
      <c r="L367" s="796">
        <v>5.0E-4</v>
      </c>
      <c r="M367" s="763">
        <v>7.8025798543597E12</v>
      </c>
      <c r="N367" s="797">
        <f t="shared" si="8"/>
        <v>0</v>
      </c>
      <c r="O367" s="798">
        <f t="shared" ref="O367:BK367" si="363">FLOOR(MIN((((N("value of ELS upgrade")+N$8*($K367-$K366))*(N("Check checkbox")+(IF($G$6=TRUE,$G$7,$G$8))/$G$8))/(N("ROI of ELS and multiply by 2 if ELS is 1:1")+IF($G$12 = True, 2, 1) * $J367))/((N("difference in ELS+ and the cost of it")+(($K366*O$8)-($K366*N$8)) / O$7)),(N("MIN lets it return 0 or 1 after floored")+1)),1)</f>
        <v>0</v>
      </c>
      <c r="P367" s="798">
        <f t="shared" si="363"/>
        <v>0</v>
      </c>
      <c r="Q367" s="798">
        <f t="shared" si="363"/>
        <v>0</v>
      </c>
      <c r="R367" s="798">
        <f t="shared" si="363"/>
        <v>0</v>
      </c>
      <c r="S367" s="798">
        <f t="shared" si="363"/>
        <v>0</v>
      </c>
      <c r="T367" s="798">
        <f t="shared" si="363"/>
        <v>0</v>
      </c>
      <c r="U367" s="798">
        <f t="shared" si="363"/>
        <v>0</v>
      </c>
      <c r="V367" s="798">
        <f t="shared" si="363"/>
        <v>0</v>
      </c>
      <c r="W367" s="798">
        <f t="shared" si="363"/>
        <v>0</v>
      </c>
      <c r="X367" s="798">
        <f t="shared" si="363"/>
        <v>0</v>
      </c>
      <c r="Y367" s="798">
        <f t="shared" si="363"/>
        <v>0</v>
      </c>
      <c r="Z367" s="798">
        <f t="shared" si="363"/>
        <v>1</v>
      </c>
      <c r="AA367" s="798">
        <f t="shared" si="363"/>
        <v>1</v>
      </c>
      <c r="AB367" s="798">
        <f t="shared" si="363"/>
        <v>1</v>
      </c>
      <c r="AC367" s="798">
        <f t="shared" si="363"/>
        <v>1</v>
      </c>
      <c r="AD367" s="798">
        <f t="shared" si="363"/>
        <v>1</v>
      </c>
      <c r="AE367" s="798">
        <f t="shared" si="363"/>
        <v>1</v>
      </c>
      <c r="AF367" s="798">
        <f t="shared" si="363"/>
        <v>1</v>
      </c>
      <c r="AG367" s="798">
        <f t="shared" si="363"/>
        <v>1</v>
      </c>
      <c r="AH367" s="798">
        <f t="shared" si="363"/>
        <v>1</v>
      </c>
      <c r="AI367" s="798">
        <f t="shared" si="363"/>
        <v>1</v>
      </c>
      <c r="AJ367" s="798">
        <f t="shared" si="363"/>
        <v>1</v>
      </c>
      <c r="AK367" s="798">
        <f t="shared" si="363"/>
        <v>1</v>
      </c>
      <c r="AL367" s="798">
        <f t="shared" si="363"/>
        <v>1</v>
      </c>
      <c r="AM367" s="798">
        <f t="shared" si="363"/>
        <v>1</v>
      </c>
      <c r="AN367" s="798">
        <f t="shared" si="363"/>
        <v>1</v>
      </c>
      <c r="AO367" s="798">
        <f t="shared" si="363"/>
        <v>1</v>
      </c>
      <c r="AP367" s="798">
        <f t="shared" si="363"/>
        <v>1</v>
      </c>
      <c r="AQ367" s="798">
        <f t="shared" si="363"/>
        <v>1</v>
      </c>
      <c r="AR367" s="798">
        <f t="shared" si="363"/>
        <v>1</v>
      </c>
      <c r="AS367" s="798">
        <f t="shared" si="363"/>
        <v>1</v>
      </c>
      <c r="AT367" s="798">
        <f t="shared" si="363"/>
        <v>1</v>
      </c>
      <c r="AU367" s="798">
        <f t="shared" si="363"/>
        <v>1</v>
      </c>
      <c r="AV367" s="798">
        <f t="shared" si="363"/>
        <v>1</v>
      </c>
      <c r="AW367" s="798">
        <f t="shared" si="363"/>
        <v>1</v>
      </c>
      <c r="AX367" s="798">
        <f t="shared" si="363"/>
        <v>1</v>
      </c>
      <c r="AY367" s="798">
        <f t="shared" si="363"/>
        <v>1</v>
      </c>
      <c r="AZ367" s="798">
        <f t="shared" si="363"/>
        <v>1</v>
      </c>
      <c r="BA367" s="798">
        <f t="shared" si="363"/>
        <v>1</v>
      </c>
      <c r="BB367" s="798">
        <f t="shared" si="363"/>
        <v>1</v>
      </c>
      <c r="BC367" s="798">
        <f t="shared" si="363"/>
        <v>1</v>
      </c>
      <c r="BD367" s="798">
        <f t="shared" si="363"/>
        <v>1</v>
      </c>
      <c r="BE367" s="798">
        <f t="shared" si="363"/>
        <v>1</v>
      </c>
      <c r="BF367" s="798">
        <f t="shared" si="363"/>
        <v>1</v>
      </c>
      <c r="BG367" s="798">
        <f t="shared" si="363"/>
        <v>1</v>
      </c>
      <c r="BH367" s="798">
        <f t="shared" si="363"/>
        <v>1</v>
      </c>
      <c r="BI367" s="798">
        <f t="shared" si="363"/>
        <v>1</v>
      </c>
      <c r="BJ367" s="798">
        <f t="shared" si="363"/>
        <v>1</v>
      </c>
      <c r="BK367" s="798">
        <f t="shared" si="363"/>
        <v>1</v>
      </c>
      <c r="BL367" s="765"/>
      <c r="BM367" s="817"/>
      <c r="BN367" s="817"/>
    </row>
    <row r="368" hidden="1">
      <c r="A368" s="765"/>
      <c r="B368" s="765"/>
      <c r="C368" s="765"/>
      <c r="D368" s="765"/>
      <c r="E368" s="765"/>
      <c r="F368" s="765"/>
      <c r="G368" s="765"/>
      <c r="H368" s="765"/>
      <c r="I368" s="765">
        <f t="shared" si="17"/>
        <v>357</v>
      </c>
      <c r="J368" s="763">
        <f t="shared" si="5"/>
        <v>6869975142952</v>
      </c>
      <c r="K368" s="796">
        <f t="shared" si="7"/>
        <v>0.41229</v>
      </c>
      <c r="L368" s="796">
        <v>5.0E-4</v>
      </c>
      <c r="M368" s="763">
        <v>7.83349503187174E12</v>
      </c>
      <c r="N368" s="797">
        <f t="shared" si="8"/>
        <v>0</v>
      </c>
      <c r="O368" s="798">
        <f t="shared" ref="O368:BK368" si="364">FLOOR(MIN((((N("value of ELS upgrade")+N$8*($K368-$K367))*(N("Check checkbox")+(IF($G$6=TRUE,$G$7,$G$8))/$G$8))/(N("ROI of ELS and multiply by 2 if ELS is 1:1")+IF($G$12 = True, 2, 1) * $J368))/((N("difference in ELS+ and the cost of it")+(($K367*O$8)-($K367*N$8)) / O$7)),(N("MIN lets it return 0 or 1 after floored")+1)),1)</f>
        <v>0</v>
      </c>
      <c r="P368" s="798">
        <f t="shared" si="364"/>
        <v>0</v>
      </c>
      <c r="Q368" s="798">
        <f t="shared" si="364"/>
        <v>0</v>
      </c>
      <c r="R368" s="798">
        <f t="shared" si="364"/>
        <v>0</v>
      </c>
      <c r="S368" s="798">
        <f t="shared" si="364"/>
        <v>0</v>
      </c>
      <c r="T368" s="798">
        <f t="shared" si="364"/>
        <v>0</v>
      </c>
      <c r="U368" s="798">
        <f t="shared" si="364"/>
        <v>0</v>
      </c>
      <c r="V368" s="798">
        <f t="shared" si="364"/>
        <v>0</v>
      </c>
      <c r="W368" s="798">
        <f t="shared" si="364"/>
        <v>0</v>
      </c>
      <c r="X368" s="798">
        <f t="shared" si="364"/>
        <v>0</v>
      </c>
      <c r="Y368" s="798">
        <f t="shared" si="364"/>
        <v>0</v>
      </c>
      <c r="Z368" s="798">
        <f t="shared" si="364"/>
        <v>1</v>
      </c>
      <c r="AA368" s="798">
        <f t="shared" si="364"/>
        <v>1</v>
      </c>
      <c r="AB368" s="798">
        <f t="shared" si="364"/>
        <v>1</v>
      </c>
      <c r="AC368" s="798">
        <f t="shared" si="364"/>
        <v>1</v>
      </c>
      <c r="AD368" s="798">
        <f t="shared" si="364"/>
        <v>1</v>
      </c>
      <c r="AE368" s="798">
        <f t="shared" si="364"/>
        <v>1</v>
      </c>
      <c r="AF368" s="798">
        <f t="shared" si="364"/>
        <v>1</v>
      </c>
      <c r="AG368" s="798">
        <f t="shared" si="364"/>
        <v>1</v>
      </c>
      <c r="AH368" s="798">
        <f t="shared" si="364"/>
        <v>1</v>
      </c>
      <c r="AI368" s="798">
        <f t="shared" si="364"/>
        <v>1</v>
      </c>
      <c r="AJ368" s="798">
        <f t="shared" si="364"/>
        <v>1</v>
      </c>
      <c r="AK368" s="798">
        <f t="shared" si="364"/>
        <v>1</v>
      </c>
      <c r="AL368" s="798">
        <f t="shared" si="364"/>
        <v>1</v>
      </c>
      <c r="AM368" s="798">
        <f t="shared" si="364"/>
        <v>1</v>
      </c>
      <c r="AN368" s="798">
        <f t="shared" si="364"/>
        <v>1</v>
      </c>
      <c r="AO368" s="798">
        <f t="shared" si="364"/>
        <v>1</v>
      </c>
      <c r="AP368" s="798">
        <f t="shared" si="364"/>
        <v>1</v>
      </c>
      <c r="AQ368" s="798">
        <f t="shared" si="364"/>
        <v>1</v>
      </c>
      <c r="AR368" s="798">
        <f t="shared" si="364"/>
        <v>1</v>
      </c>
      <c r="AS368" s="798">
        <f t="shared" si="364"/>
        <v>1</v>
      </c>
      <c r="AT368" s="798">
        <f t="shared" si="364"/>
        <v>1</v>
      </c>
      <c r="AU368" s="798">
        <f t="shared" si="364"/>
        <v>1</v>
      </c>
      <c r="AV368" s="798">
        <f t="shared" si="364"/>
        <v>1</v>
      </c>
      <c r="AW368" s="798">
        <f t="shared" si="364"/>
        <v>1</v>
      </c>
      <c r="AX368" s="798">
        <f t="shared" si="364"/>
        <v>1</v>
      </c>
      <c r="AY368" s="798">
        <f t="shared" si="364"/>
        <v>1</v>
      </c>
      <c r="AZ368" s="798">
        <f t="shared" si="364"/>
        <v>1</v>
      </c>
      <c r="BA368" s="798">
        <f t="shared" si="364"/>
        <v>1</v>
      </c>
      <c r="BB368" s="798">
        <f t="shared" si="364"/>
        <v>1</v>
      </c>
      <c r="BC368" s="798">
        <f t="shared" si="364"/>
        <v>1</v>
      </c>
      <c r="BD368" s="798">
        <f t="shared" si="364"/>
        <v>1</v>
      </c>
      <c r="BE368" s="798">
        <f t="shared" si="364"/>
        <v>1</v>
      </c>
      <c r="BF368" s="798">
        <f t="shared" si="364"/>
        <v>1</v>
      </c>
      <c r="BG368" s="798">
        <f t="shared" si="364"/>
        <v>1</v>
      </c>
      <c r="BH368" s="798">
        <f t="shared" si="364"/>
        <v>1</v>
      </c>
      <c r="BI368" s="798">
        <f t="shared" si="364"/>
        <v>1</v>
      </c>
      <c r="BJ368" s="798">
        <f t="shared" si="364"/>
        <v>1</v>
      </c>
      <c r="BK368" s="798">
        <f t="shared" si="364"/>
        <v>1</v>
      </c>
      <c r="BL368" s="765"/>
      <c r="BM368" s="817"/>
      <c r="BN368" s="817"/>
    </row>
    <row r="369" hidden="1">
      <c r="A369" s="765"/>
      <c r="B369" s="765"/>
      <c r="C369" s="765"/>
      <c r="D369" s="765"/>
      <c r="E369" s="765"/>
      <c r="F369" s="765"/>
      <c r="G369" s="765"/>
      <c r="H369" s="765"/>
      <c r="I369" s="765">
        <f t="shared" si="17"/>
        <v>358</v>
      </c>
      <c r="J369" s="763">
        <f t="shared" si="5"/>
        <v>6897168961813</v>
      </c>
      <c r="K369" s="796">
        <f t="shared" si="7"/>
        <v>0.41279</v>
      </c>
      <c r="L369" s="796">
        <v>5.0E-4</v>
      </c>
      <c r="M369" s="763">
        <v>7.8645028070849E12</v>
      </c>
      <c r="N369" s="797">
        <f t="shared" si="8"/>
        <v>0</v>
      </c>
      <c r="O369" s="798">
        <f t="shared" ref="O369:BK369" si="365">FLOOR(MIN((((N("value of ELS upgrade")+N$8*($K369-$K368))*(N("Check checkbox")+(IF($G$6=TRUE,$G$7,$G$8))/$G$8))/(N("ROI of ELS and multiply by 2 if ELS is 1:1")+IF($G$12 = True, 2, 1) * $J369))/((N("difference in ELS+ and the cost of it")+(($K368*O$8)-($K368*N$8)) / O$7)),(N("MIN lets it return 0 or 1 after floored")+1)),1)</f>
        <v>0</v>
      </c>
      <c r="P369" s="798">
        <f t="shared" si="365"/>
        <v>0</v>
      </c>
      <c r="Q369" s="798">
        <f t="shared" si="365"/>
        <v>0</v>
      </c>
      <c r="R369" s="798">
        <f t="shared" si="365"/>
        <v>0</v>
      </c>
      <c r="S369" s="798">
        <f t="shared" si="365"/>
        <v>0</v>
      </c>
      <c r="T369" s="798">
        <f t="shared" si="365"/>
        <v>0</v>
      </c>
      <c r="U369" s="798">
        <f t="shared" si="365"/>
        <v>0</v>
      </c>
      <c r="V369" s="798">
        <f t="shared" si="365"/>
        <v>0</v>
      </c>
      <c r="W369" s="798">
        <f t="shared" si="365"/>
        <v>0</v>
      </c>
      <c r="X369" s="798">
        <f t="shared" si="365"/>
        <v>0</v>
      </c>
      <c r="Y369" s="798">
        <f t="shared" si="365"/>
        <v>0</v>
      </c>
      <c r="Z369" s="798">
        <f t="shared" si="365"/>
        <v>1</v>
      </c>
      <c r="AA369" s="798">
        <f t="shared" si="365"/>
        <v>1</v>
      </c>
      <c r="AB369" s="798">
        <f t="shared" si="365"/>
        <v>1</v>
      </c>
      <c r="AC369" s="798">
        <f t="shared" si="365"/>
        <v>1</v>
      </c>
      <c r="AD369" s="798">
        <f t="shared" si="365"/>
        <v>1</v>
      </c>
      <c r="AE369" s="798">
        <f t="shared" si="365"/>
        <v>1</v>
      </c>
      <c r="AF369" s="798">
        <f t="shared" si="365"/>
        <v>1</v>
      </c>
      <c r="AG369" s="798">
        <f t="shared" si="365"/>
        <v>1</v>
      </c>
      <c r="AH369" s="798">
        <f t="shared" si="365"/>
        <v>1</v>
      </c>
      <c r="AI369" s="798">
        <f t="shared" si="365"/>
        <v>1</v>
      </c>
      <c r="AJ369" s="798">
        <f t="shared" si="365"/>
        <v>1</v>
      </c>
      <c r="AK369" s="798">
        <f t="shared" si="365"/>
        <v>1</v>
      </c>
      <c r="AL369" s="798">
        <f t="shared" si="365"/>
        <v>1</v>
      </c>
      <c r="AM369" s="798">
        <f t="shared" si="365"/>
        <v>1</v>
      </c>
      <c r="AN369" s="798">
        <f t="shared" si="365"/>
        <v>1</v>
      </c>
      <c r="AO369" s="798">
        <f t="shared" si="365"/>
        <v>1</v>
      </c>
      <c r="AP369" s="798">
        <f t="shared" si="365"/>
        <v>1</v>
      </c>
      <c r="AQ369" s="798">
        <f t="shared" si="365"/>
        <v>1</v>
      </c>
      <c r="AR369" s="798">
        <f t="shared" si="365"/>
        <v>1</v>
      </c>
      <c r="AS369" s="798">
        <f t="shared" si="365"/>
        <v>1</v>
      </c>
      <c r="AT369" s="798">
        <f t="shared" si="365"/>
        <v>1</v>
      </c>
      <c r="AU369" s="798">
        <f t="shared" si="365"/>
        <v>1</v>
      </c>
      <c r="AV369" s="798">
        <f t="shared" si="365"/>
        <v>1</v>
      </c>
      <c r="AW369" s="798">
        <f t="shared" si="365"/>
        <v>1</v>
      </c>
      <c r="AX369" s="798">
        <f t="shared" si="365"/>
        <v>1</v>
      </c>
      <c r="AY369" s="798">
        <f t="shared" si="365"/>
        <v>1</v>
      </c>
      <c r="AZ369" s="798">
        <f t="shared" si="365"/>
        <v>1</v>
      </c>
      <c r="BA369" s="798">
        <f t="shared" si="365"/>
        <v>1</v>
      </c>
      <c r="BB369" s="798">
        <f t="shared" si="365"/>
        <v>1</v>
      </c>
      <c r="BC369" s="798">
        <f t="shared" si="365"/>
        <v>1</v>
      </c>
      <c r="BD369" s="798">
        <f t="shared" si="365"/>
        <v>1</v>
      </c>
      <c r="BE369" s="798">
        <f t="shared" si="365"/>
        <v>1</v>
      </c>
      <c r="BF369" s="798">
        <f t="shared" si="365"/>
        <v>1</v>
      </c>
      <c r="BG369" s="798">
        <f t="shared" si="365"/>
        <v>1</v>
      </c>
      <c r="BH369" s="798">
        <f t="shared" si="365"/>
        <v>1</v>
      </c>
      <c r="BI369" s="798">
        <f t="shared" si="365"/>
        <v>1</v>
      </c>
      <c r="BJ369" s="798">
        <f t="shared" si="365"/>
        <v>1</v>
      </c>
      <c r="BK369" s="798">
        <f t="shared" si="365"/>
        <v>1</v>
      </c>
      <c r="BL369" s="765"/>
      <c r="BM369" s="817"/>
      <c r="BN369" s="817"/>
    </row>
    <row r="370" hidden="1">
      <c r="A370" s="765"/>
      <c r="B370" s="765"/>
      <c r="C370" s="765"/>
      <c r="D370" s="765"/>
      <c r="E370" s="765"/>
      <c r="F370" s="765"/>
      <c r="G370" s="765"/>
      <c r="H370" s="765"/>
      <c r="I370" s="765">
        <f t="shared" si="17"/>
        <v>359</v>
      </c>
      <c r="J370" s="763">
        <f t="shared" si="5"/>
        <v>6924444345036</v>
      </c>
      <c r="K370" s="796">
        <f t="shared" si="7"/>
        <v>0.41329</v>
      </c>
      <c r="L370" s="796">
        <v>5.0E-4</v>
      </c>
      <c r="M370" s="763">
        <v>7.89560358612946E12</v>
      </c>
      <c r="N370" s="797">
        <f t="shared" si="8"/>
        <v>0</v>
      </c>
      <c r="O370" s="798">
        <f t="shared" ref="O370:BK370" si="366">FLOOR(MIN((((N("value of ELS upgrade")+N$8*($K370-$K369))*(N("Check checkbox")+(IF($G$6=TRUE,$G$7,$G$8))/$G$8))/(N("ROI of ELS and multiply by 2 if ELS is 1:1")+IF($G$12 = True, 2, 1) * $J370))/((N("difference in ELS+ and the cost of it")+(($K369*O$8)-($K369*N$8)) / O$7)),(N("MIN lets it return 0 or 1 after floored")+1)),1)</f>
        <v>0</v>
      </c>
      <c r="P370" s="798">
        <f t="shared" si="366"/>
        <v>0</v>
      </c>
      <c r="Q370" s="798">
        <f t="shared" si="366"/>
        <v>0</v>
      </c>
      <c r="R370" s="798">
        <f t="shared" si="366"/>
        <v>0</v>
      </c>
      <c r="S370" s="798">
        <f t="shared" si="366"/>
        <v>0</v>
      </c>
      <c r="T370" s="798">
        <f t="shared" si="366"/>
        <v>0</v>
      </c>
      <c r="U370" s="798">
        <f t="shared" si="366"/>
        <v>0</v>
      </c>
      <c r="V370" s="798">
        <f t="shared" si="366"/>
        <v>0</v>
      </c>
      <c r="W370" s="798">
        <f t="shared" si="366"/>
        <v>0</v>
      </c>
      <c r="X370" s="798">
        <f t="shared" si="366"/>
        <v>0</v>
      </c>
      <c r="Y370" s="798">
        <f t="shared" si="366"/>
        <v>0</v>
      </c>
      <c r="Z370" s="798">
        <f t="shared" si="366"/>
        <v>1</v>
      </c>
      <c r="AA370" s="798">
        <f t="shared" si="366"/>
        <v>1</v>
      </c>
      <c r="AB370" s="798">
        <f t="shared" si="366"/>
        <v>1</v>
      </c>
      <c r="AC370" s="798">
        <f t="shared" si="366"/>
        <v>1</v>
      </c>
      <c r="AD370" s="798">
        <f t="shared" si="366"/>
        <v>1</v>
      </c>
      <c r="AE370" s="798">
        <f t="shared" si="366"/>
        <v>1</v>
      </c>
      <c r="AF370" s="798">
        <f t="shared" si="366"/>
        <v>1</v>
      </c>
      <c r="AG370" s="798">
        <f t="shared" si="366"/>
        <v>1</v>
      </c>
      <c r="AH370" s="798">
        <f t="shared" si="366"/>
        <v>1</v>
      </c>
      <c r="AI370" s="798">
        <f t="shared" si="366"/>
        <v>1</v>
      </c>
      <c r="AJ370" s="798">
        <f t="shared" si="366"/>
        <v>1</v>
      </c>
      <c r="AK370" s="798">
        <f t="shared" si="366"/>
        <v>1</v>
      </c>
      <c r="AL370" s="798">
        <f t="shared" si="366"/>
        <v>1</v>
      </c>
      <c r="AM370" s="798">
        <f t="shared" si="366"/>
        <v>1</v>
      </c>
      <c r="AN370" s="798">
        <f t="shared" si="366"/>
        <v>1</v>
      </c>
      <c r="AO370" s="798">
        <f t="shared" si="366"/>
        <v>1</v>
      </c>
      <c r="AP370" s="798">
        <f t="shared" si="366"/>
        <v>1</v>
      </c>
      <c r="AQ370" s="798">
        <f t="shared" si="366"/>
        <v>1</v>
      </c>
      <c r="AR370" s="798">
        <f t="shared" si="366"/>
        <v>1</v>
      </c>
      <c r="AS370" s="798">
        <f t="shared" si="366"/>
        <v>1</v>
      </c>
      <c r="AT370" s="798">
        <f t="shared" si="366"/>
        <v>1</v>
      </c>
      <c r="AU370" s="798">
        <f t="shared" si="366"/>
        <v>1</v>
      </c>
      <c r="AV370" s="798">
        <f t="shared" si="366"/>
        <v>1</v>
      </c>
      <c r="AW370" s="798">
        <f t="shared" si="366"/>
        <v>1</v>
      </c>
      <c r="AX370" s="798">
        <f t="shared" si="366"/>
        <v>1</v>
      </c>
      <c r="AY370" s="798">
        <f t="shared" si="366"/>
        <v>1</v>
      </c>
      <c r="AZ370" s="798">
        <f t="shared" si="366"/>
        <v>1</v>
      </c>
      <c r="BA370" s="798">
        <f t="shared" si="366"/>
        <v>1</v>
      </c>
      <c r="BB370" s="798">
        <f t="shared" si="366"/>
        <v>1</v>
      </c>
      <c r="BC370" s="798">
        <f t="shared" si="366"/>
        <v>1</v>
      </c>
      <c r="BD370" s="798">
        <f t="shared" si="366"/>
        <v>1</v>
      </c>
      <c r="BE370" s="798">
        <f t="shared" si="366"/>
        <v>1</v>
      </c>
      <c r="BF370" s="798">
        <f t="shared" si="366"/>
        <v>1</v>
      </c>
      <c r="BG370" s="798">
        <f t="shared" si="366"/>
        <v>1</v>
      </c>
      <c r="BH370" s="798">
        <f t="shared" si="366"/>
        <v>1</v>
      </c>
      <c r="BI370" s="798">
        <f t="shared" si="366"/>
        <v>1</v>
      </c>
      <c r="BJ370" s="798">
        <f t="shared" si="366"/>
        <v>1</v>
      </c>
      <c r="BK370" s="798">
        <f t="shared" si="366"/>
        <v>1</v>
      </c>
      <c r="BL370" s="765"/>
      <c r="BM370" s="817"/>
      <c r="BN370" s="817"/>
    </row>
    <row r="371" hidden="1">
      <c r="A371" s="765"/>
      <c r="B371" s="765"/>
      <c r="C371" s="765"/>
      <c r="D371" s="765"/>
      <c r="E371" s="765"/>
      <c r="F371" s="765"/>
      <c r="G371" s="765"/>
      <c r="H371" s="765"/>
      <c r="I371" s="765">
        <f t="shared" si="17"/>
        <v>360</v>
      </c>
      <c r="J371" s="763">
        <f t="shared" si="5"/>
        <v>6951801648794</v>
      </c>
      <c r="K371" s="796">
        <f t="shared" si="7"/>
        <v>0.41379</v>
      </c>
      <c r="L371" s="796">
        <v>5.0E-4</v>
      </c>
      <c r="M371" s="763">
        <v>7.92679777513566E12</v>
      </c>
      <c r="N371" s="797">
        <f t="shared" si="8"/>
        <v>0</v>
      </c>
      <c r="O371" s="798">
        <f t="shared" ref="O371:BK371" si="367">FLOOR(MIN((((N("value of ELS upgrade")+N$8*($K371-$K370))*(N("Check checkbox")+(IF($G$6=TRUE,$G$7,$G$8))/$G$8))/(N("ROI of ELS and multiply by 2 if ELS is 1:1")+IF($G$12 = True, 2, 1) * $J371))/((N("difference in ELS+ and the cost of it")+(($K370*O$8)-($K370*N$8)) / O$7)),(N("MIN lets it return 0 or 1 after floored")+1)),1)</f>
        <v>0</v>
      </c>
      <c r="P371" s="798">
        <f t="shared" si="367"/>
        <v>0</v>
      </c>
      <c r="Q371" s="798">
        <f t="shared" si="367"/>
        <v>0</v>
      </c>
      <c r="R371" s="798">
        <f t="shared" si="367"/>
        <v>0</v>
      </c>
      <c r="S371" s="798">
        <f t="shared" si="367"/>
        <v>0</v>
      </c>
      <c r="T371" s="798">
        <f t="shared" si="367"/>
        <v>0</v>
      </c>
      <c r="U371" s="798">
        <f t="shared" si="367"/>
        <v>0</v>
      </c>
      <c r="V371" s="798">
        <f t="shared" si="367"/>
        <v>0</v>
      </c>
      <c r="W371" s="798">
        <f t="shared" si="367"/>
        <v>0</v>
      </c>
      <c r="X371" s="798">
        <f t="shared" si="367"/>
        <v>0</v>
      </c>
      <c r="Y371" s="798">
        <f t="shared" si="367"/>
        <v>0</v>
      </c>
      <c r="Z371" s="798">
        <f t="shared" si="367"/>
        <v>1</v>
      </c>
      <c r="AA371" s="798">
        <f t="shared" si="367"/>
        <v>1</v>
      </c>
      <c r="AB371" s="798">
        <f t="shared" si="367"/>
        <v>1</v>
      </c>
      <c r="AC371" s="798">
        <f t="shared" si="367"/>
        <v>1</v>
      </c>
      <c r="AD371" s="798">
        <f t="shared" si="367"/>
        <v>1</v>
      </c>
      <c r="AE371" s="798">
        <f t="shared" si="367"/>
        <v>1</v>
      </c>
      <c r="AF371" s="798">
        <f t="shared" si="367"/>
        <v>1</v>
      </c>
      <c r="AG371" s="798">
        <f t="shared" si="367"/>
        <v>1</v>
      </c>
      <c r="AH371" s="798">
        <f t="shared" si="367"/>
        <v>1</v>
      </c>
      <c r="AI371" s="798">
        <f t="shared" si="367"/>
        <v>1</v>
      </c>
      <c r="AJ371" s="798">
        <f t="shared" si="367"/>
        <v>1</v>
      </c>
      <c r="AK371" s="798">
        <f t="shared" si="367"/>
        <v>1</v>
      </c>
      <c r="AL371" s="798">
        <f t="shared" si="367"/>
        <v>1</v>
      </c>
      <c r="AM371" s="798">
        <f t="shared" si="367"/>
        <v>1</v>
      </c>
      <c r="AN371" s="798">
        <f t="shared" si="367"/>
        <v>1</v>
      </c>
      <c r="AO371" s="798">
        <f t="shared" si="367"/>
        <v>1</v>
      </c>
      <c r="AP371" s="798">
        <f t="shared" si="367"/>
        <v>1</v>
      </c>
      <c r="AQ371" s="798">
        <f t="shared" si="367"/>
        <v>1</v>
      </c>
      <c r="AR371" s="798">
        <f t="shared" si="367"/>
        <v>1</v>
      </c>
      <c r="AS371" s="798">
        <f t="shared" si="367"/>
        <v>1</v>
      </c>
      <c r="AT371" s="798">
        <f t="shared" si="367"/>
        <v>1</v>
      </c>
      <c r="AU371" s="798">
        <f t="shared" si="367"/>
        <v>1</v>
      </c>
      <c r="AV371" s="798">
        <f t="shared" si="367"/>
        <v>1</v>
      </c>
      <c r="AW371" s="798">
        <f t="shared" si="367"/>
        <v>1</v>
      </c>
      <c r="AX371" s="798">
        <f t="shared" si="367"/>
        <v>1</v>
      </c>
      <c r="AY371" s="798">
        <f t="shared" si="367"/>
        <v>1</v>
      </c>
      <c r="AZ371" s="798">
        <f t="shared" si="367"/>
        <v>1</v>
      </c>
      <c r="BA371" s="798">
        <f t="shared" si="367"/>
        <v>1</v>
      </c>
      <c r="BB371" s="798">
        <f t="shared" si="367"/>
        <v>1</v>
      </c>
      <c r="BC371" s="798">
        <f t="shared" si="367"/>
        <v>1</v>
      </c>
      <c r="BD371" s="798">
        <f t="shared" si="367"/>
        <v>1</v>
      </c>
      <c r="BE371" s="798">
        <f t="shared" si="367"/>
        <v>1</v>
      </c>
      <c r="BF371" s="798">
        <f t="shared" si="367"/>
        <v>1</v>
      </c>
      <c r="BG371" s="798">
        <f t="shared" si="367"/>
        <v>1</v>
      </c>
      <c r="BH371" s="798">
        <f t="shared" si="367"/>
        <v>1</v>
      </c>
      <c r="BI371" s="798">
        <f t="shared" si="367"/>
        <v>1</v>
      </c>
      <c r="BJ371" s="798">
        <f t="shared" si="367"/>
        <v>1</v>
      </c>
      <c r="BK371" s="798">
        <f t="shared" si="367"/>
        <v>1</v>
      </c>
      <c r="BL371" s="765"/>
      <c r="BM371" s="817"/>
      <c r="BN371" s="817"/>
    </row>
    <row r="372" hidden="1">
      <c r="A372" s="765"/>
      <c r="B372" s="765"/>
      <c r="C372" s="765"/>
      <c r="D372" s="765"/>
      <c r="E372" s="765"/>
      <c r="F372" s="765"/>
      <c r="G372" s="765"/>
      <c r="H372" s="765"/>
      <c r="I372" s="765">
        <f t="shared" si="17"/>
        <v>361</v>
      </c>
      <c r="J372" s="763">
        <f t="shared" si="5"/>
        <v>20937723687795</v>
      </c>
      <c r="K372" s="796">
        <f t="shared" si="7"/>
        <v>0.41429</v>
      </c>
      <c r="L372" s="796">
        <v>5.0E-4</v>
      </c>
      <c r="M372" s="763">
        <v>2.38742573407014E13</v>
      </c>
      <c r="N372" s="797">
        <f t="shared" si="8"/>
        <v>0</v>
      </c>
      <c r="O372" s="798">
        <f t="shared" ref="O372:BK372" si="368">FLOOR(MIN((((N("value of ELS upgrade")+N$8*($K372-$K371))*(N("Check checkbox")+(IF($G$6=TRUE,$G$7,$G$8))/$G$8))/(N("ROI of ELS and multiply by 2 if ELS is 1:1")+IF($G$12 = True, 2, 1) * $J372))/((N("difference in ELS+ and the cost of it")+(($K371*O$8)-($K371*N$8)) / O$7)),(N("MIN lets it return 0 or 1 after floored")+1)),1)</f>
        <v>0</v>
      </c>
      <c r="P372" s="798">
        <f t="shared" si="368"/>
        <v>0</v>
      </c>
      <c r="Q372" s="798">
        <f t="shared" si="368"/>
        <v>0</v>
      </c>
      <c r="R372" s="798">
        <f t="shared" si="368"/>
        <v>0</v>
      </c>
      <c r="S372" s="798">
        <f t="shared" si="368"/>
        <v>0</v>
      </c>
      <c r="T372" s="798">
        <f t="shared" si="368"/>
        <v>0</v>
      </c>
      <c r="U372" s="798">
        <f t="shared" si="368"/>
        <v>0</v>
      </c>
      <c r="V372" s="798">
        <f t="shared" si="368"/>
        <v>0</v>
      </c>
      <c r="W372" s="798">
        <f t="shared" si="368"/>
        <v>0</v>
      </c>
      <c r="X372" s="798">
        <f t="shared" si="368"/>
        <v>0</v>
      </c>
      <c r="Y372" s="798">
        <f t="shared" si="368"/>
        <v>0</v>
      </c>
      <c r="Z372" s="798">
        <f t="shared" si="368"/>
        <v>0</v>
      </c>
      <c r="AA372" s="798">
        <f t="shared" si="368"/>
        <v>0</v>
      </c>
      <c r="AB372" s="798">
        <f t="shared" si="368"/>
        <v>0</v>
      </c>
      <c r="AC372" s="798">
        <f t="shared" si="368"/>
        <v>1</v>
      </c>
      <c r="AD372" s="798">
        <f t="shared" si="368"/>
        <v>1</v>
      </c>
      <c r="AE372" s="798">
        <f t="shared" si="368"/>
        <v>1</v>
      </c>
      <c r="AF372" s="798">
        <f t="shared" si="368"/>
        <v>1</v>
      </c>
      <c r="AG372" s="798">
        <f t="shared" si="368"/>
        <v>1</v>
      </c>
      <c r="AH372" s="798">
        <f t="shared" si="368"/>
        <v>1</v>
      </c>
      <c r="AI372" s="798">
        <f t="shared" si="368"/>
        <v>1</v>
      </c>
      <c r="AJ372" s="798">
        <f t="shared" si="368"/>
        <v>1</v>
      </c>
      <c r="AK372" s="798">
        <f t="shared" si="368"/>
        <v>1</v>
      </c>
      <c r="AL372" s="798">
        <f t="shared" si="368"/>
        <v>1</v>
      </c>
      <c r="AM372" s="798">
        <f t="shared" si="368"/>
        <v>1</v>
      </c>
      <c r="AN372" s="798">
        <f t="shared" si="368"/>
        <v>1</v>
      </c>
      <c r="AO372" s="798">
        <f t="shared" si="368"/>
        <v>1</v>
      </c>
      <c r="AP372" s="798">
        <f t="shared" si="368"/>
        <v>1</v>
      </c>
      <c r="AQ372" s="798">
        <f t="shared" si="368"/>
        <v>1</v>
      </c>
      <c r="AR372" s="798">
        <f t="shared" si="368"/>
        <v>1</v>
      </c>
      <c r="AS372" s="798">
        <f t="shared" si="368"/>
        <v>1</v>
      </c>
      <c r="AT372" s="798">
        <f t="shared" si="368"/>
        <v>1</v>
      </c>
      <c r="AU372" s="798">
        <f t="shared" si="368"/>
        <v>1</v>
      </c>
      <c r="AV372" s="798">
        <f t="shared" si="368"/>
        <v>1</v>
      </c>
      <c r="AW372" s="798">
        <f t="shared" si="368"/>
        <v>1</v>
      </c>
      <c r="AX372" s="798">
        <f t="shared" si="368"/>
        <v>1</v>
      </c>
      <c r="AY372" s="798">
        <f t="shared" si="368"/>
        <v>1</v>
      </c>
      <c r="AZ372" s="798">
        <f t="shared" si="368"/>
        <v>1</v>
      </c>
      <c r="BA372" s="798">
        <f t="shared" si="368"/>
        <v>1</v>
      </c>
      <c r="BB372" s="798">
        <f t="shared" si="368"/>
        <v>1</v>
      </c>
      <c r="BC372" s="798">
        <f t="shared" si="368"/>
        <v>1</v>
      </c>
      <c r="BD372" s="798">
        <f t="shared" si="368"/>
        <v>1</v>
      </c>
      <c r="BE372" s="798">
        <f t="shared" si="368"/>
        <v>1</v>
      </c>
      <c r="BF372" s="798">
        <f t="shared" si="368"/>
        <v>1</v>
      </c>
      <c r="BG372" s="798">
        <f t="shared" si="368"/>
        <v>1</v>
      </c>
      <c r="BH372" s="798">
        <f t="shared" si="368"/>
        <v>1</v>
      </c>
      <c r="BI372" s="798">
        <f t="shared" si="368"/>
        <v>1</v>
      </c>
      <c r="BJ372" s="798">
        <f t="shared" si="368"/>
        <v>1</v>
      </c>
      <c r="BK372" s="798">
        <f t="shared" si="368"/>
        <v>1</v>
      </c>
      <c r="BL372" s="765"/>
      <c r="BM372" s="817"/>
      <c r="BN372" s="817"/>
    </row>
    <row r="373" hidden="1">
      <c r="A373" s="765"/>
      <c r="B373" s="765"/>
      <c r="C373" s="765"/>
      <c r="D373" s="765"/>
      <c r="E373" s="765"/>
      <c r="F373" s="765"/>
      <c r="G373" s="765"/>
      <c r="H373" s="765"/>
      <c r="I373" s="765">
        <f t="shared" si="17"/>
        <v>362</v>
      </c>
      <c r="J373" s="763">
        <f t="shared" si="5"/>
        <v>21020289971699</v>
      </c>
      <c r="K373" s="796">
        <f t="shared" si="7"/>
        <v>0.41479</v>
      </c>
      <c r="L373" s="796">
        <v>5.0E-4</v>
      </c>
      <c r="M373" s="763">
        <v>2.39684036165321E13</v>
      </c>
      <c r="N373" s="797">
        <f t="shared" si="8"/>
        <v>0</v>
      </c>
      <c r="O373" s="798">
        <f t="shared" ref="O373:BK373" si="369">FLOOR(MIN((((N("value of ELS upgrade")+N$8*($K373-$K372))*(N("Check checkbox")+(IF($G$6=TRUE,$G$7,$G$8))/$G$8))/(N("ROI of ELS and multiply by 2 if ELS is 1:1")+IF($G$12 = True, 2, 1) * $J373))/((N("difference in ELS+ and the cost of it")+(($K372*O$8)-($K372*N$8)) / O$7)),(N("MIN lets it return 0 or 1 after floored")+1)),1)</f>
        <v>0</v>
      </c>
      <c r="P373" s="798">
        <f t="shared" si="369"/>
        <v>0</v>
      </c>
      <c r="Q373" s="798">
        <f t="shared" si="369"/>
        <v>0</v>
      </c>
      <c r="R373" s="798">
        <f t="shared" si="369"/>
        <v>0</v>
      </c>
      <c r="S373" s="798">
        <f t="shared" si="369"/>
        <v>0</v>
      </c>
      <c r="T373" s="798">
        <f t="shared" si="369"/>
        <v>0</v>
      </c>
      <c r="U373" s="798">
        <f t="shared" si="369"/>
        <v>0</v>
      </c>
      <c r="V373" s="798">
        <f t="shared" si="369"/>
        <v>0</v>
      </c>
      <c r="W373" s="798">
        <f t="shared" si="369"/>
        <v>0</v>
      </c>
      <c r="X373" s="798">
        <f t="shared" si="369"/>
        <v>0</v>
      </c>
      <c r="Y373" s="798">
        <f t="shared" si="369"/>
        <v>0</v>
      </c>
      <c r="Z373" s="798">
        <f t="shared" si="369"/>
        <v>0</v>
      </c>
      <c r="AA373" s="798">
        <f t="shared" si="369"/>
        <v>0</v>
      </c>
      <c r="AB373" s="798">
        <f t="shared" si="369"/>
        <v>0</v>
      </c>
      <c r="AC373" s="798">
        <f t="shared" si="369"/>
        <v>1</v>
      </c>
      <c r="AD373" s="798">
        <f t="shared" si="369"/>
        <v>1</v>
      </c>
      <c r="AE373" s="798">
        <f t="shared" si="369"/>
        <v>1</v>
      </c>
      <c r="AF373" s="798">
        <f t="shared" si="369"/>
        <v>1</v>
      </c>
      <c r="AG373" s="798">
        <f t="shared" si="369"/>
        <v>1</v>
      </c>
      <c r="AH373" s="798">
        <f t="shared" si="369"/>
        <v>1</v>
      </c>
      <c r="AI373" s="798">
        <f t="shared" si="369"/>
        <v>1</v>
      </c>
      <c r="AJ373" s="798">
        <f t="shared" si="369"/>
        <v>1</v>
      </c>
      <c r="AK373" s="798">
        <f t="shared" si="369"/>
        <v>1</v>
      </c>
      <c r="AL373" s="798">
        <f t="shared" si="369"/>
        <v>1</v>
      </c>
      <c r="AM373" s="798">
        <f t="shared" si="369"/>
        <v>1</v>
      </c>
      <c r="AN373" s="798">
        <f t="shared" si="369"/>
        <v>1</v>
      </c>
      <c r="AO373" s="798">
        <f t="shared" si="369"/>
        <v>1</v>
      </c>
      <c r="AP373" s="798">
        <f t="shared" si="369"/>
        <v>1</v>
      </c>
      <c r="AQ373" s="798">
        <f t="shared" si="369"/>
        <v>1</v>
      </c>
      <c r="AR373" s="798">
        <f t="shared" si="369"/>
        <v>1</v>
      </c>
      <c r="AS373" s="798">
        <f t="shared" si="369"/>
        <v>1</v>
      </c>
      <c r="AT373" s="798">
        <f t="shared" si="369"/>
        <v>1</v>
      </c>
      <c r="AU373" s="798">
        <f t="shared" si="369"/>
        <v>1</v>
      </c>
      <c r="AV373" s="798">
        <f t="shared" si="369"/>
        <v>1</v>
      </c>
      <c r="AW373" s="798">
        <f t="shared" si="369"/>
        <v>1</v>
      </c>
      <c r="AX373" s="798">
        <f t="shared" si="369"/>
        <v>1</v>
      </c>
      <c r="AY373" s="798">
        <f t="shared" si="369"/>
        <v>1</v>
      </c>
      <c r="AZ373" s="798">
        <f t="shared" si="369"/>
        <v>1</v>
      </c>
      <c r="BA373" s="798">
        <f t="shared" si="369"/>
        <v>1</v>
      </c>
      <c r="BB373" s="798">
        <f t="shared" si="369"/>
        <v>1</v>
      </c>
      <c r="BC373" s="798">
        <f t="shared" si="369"/>
        <v>1</v>
      </c>
      <c r="BD373" s="798">
        <f t="shared" si="369"/>
        <v>1</v>
      </c>
      <c r="BE373" s="798">
        <f t="shared" si="369"/>
        <v>1</v>
      </c>
      <c r="BF373" s="798">
        <f t="shared" si="369"/>
        <v>1</v>
      </c>
      <c r="BG373" s="798">
        <f t="shared" si="369"/>
        <v>1</v>
      </c>
      <c r="BH373" s="798">
        <f t="shared" si="369"/>
        <v>1</v>
      </c>
      <c r="BI373" s="798">
        <f t="shared" si="369"/>
        <v>1</v>
      </c>
      <c r="BJ373" s="798">
        <f t="shared" si="369"/>
        <v>1</v>
      </c>
      <c r="BK373" s="798">
        <f t="shared" si="369"/>
        <v>1</v>
      </c>
      <c r="BL373" s="765"/>
      <c r="BM373" s="817"/>
      <c r="BN373" s="817"/>
    </row>
    <row r="374" hidden="1">
      <c r="A374" s="765"/>
      <c r="B374" s="765"/>
      <c r="C374" s="765"/>
      <c r="D374" s="765"/>
      <c r="E374" s="765"/>
      <c r="F374" s="765"/>
      <c r="G374" s="765"/>
      <c r="H374" s="765"/>
      <c r="I374" s="765">
        <f t="shared" si="17"/>
        <v>363</v>
      </c>
      <c r="J374" s="763">
        <f t="shared" si="5"/>
        <v>21103104510445</v>
      </c>
      <c r="K374" s="796">
        <f t="shared" si="7"/>
        <v>0.41529</v>
      </c>
      <c r="L374" s="796">
        <v>5.0E-4</v>
      </c>
      <c r="M374" s="763">
        <v>2.40628329651596E13</v>
      </c>
      <c r="N374" s="797">
        <f t="shared" si="8"/>
        <v>0</v>
      </c>
      <c r="O374" s="798">
        <f t="shared" ref="O374:BK374" si="370">FLOOR(MIN((((N("value of ELS upgrade")+N$8*($K374-$K373))*(N("Check checkbox")+(IF($G$6=TRUE,$G$7,$G$8))/$G$8))/(N("ROI of ELS and multiply by 2 if ELS is 1:1")+IF($G$12 = True, 2, 1) * $J374))/((N("difference in ELS+ and the cost of it")+(($K373*O$8)-($K373*N$8)) / O$7)),(N("MIN lets it return 0 or 1 after floored")+1)),1)</f>
        <v>0</v>
      </c>
      <c r="P374" s="798">
        <f t="shared" si="370"/>
        <v>0</v>
      </c>
      <c r="Q374" s="798">
        <f t="shared" si="370"/>
        <v>0</v>
      </c>
      <c r="R374" s="798">
        <f t="shared" si="370"/>
        <v>0</v>
      </c>
      <c r="S374" s="798">
        <f t="shared" si="370"/>
        <v>0</v>
      </c>
      <c r="T374" s="798">
        <f t="shared" si="370"/>
        <v>0</v>
      </c>
      <c r="U374" s="798">
        <f t="shared" si="370"/>
        <v>0</v>
      </c>
      <c r="V374" s="798">
        <f t="shared" si="370"/>
        <v>0</v>
      </c>
      <c r="W374" s="798">
        <f t="shared" si="370"/>
        <v>0</v>
      </c>
      <c r="X374" s="798">
        <f t="shared" si="370"/>
        <v>0</v>
      </c>
      <c r="Y374" s="798">
        <f t="shared" si="370"/>
        <v>0</v>
      </c>
      <c r="Z374" s="798">
        <f t="shared" si="370"/>
        <v>0</v>
      </c>
      <c r="AA374" s="798">
        <f t="shared" si="370"/>
        <v>0</v>
      </c>
      <c r="AB374" s="798">
        <f t="shared" si="370"/>
        <v>0</v>
      </c>
      <c r="AC374" s="798">
        <f t="shared" si="370"/>
        <v>1</v>
      </c>
      <c r="AD374" s="798">
        <f t="shared" si="370"/>
        <v>1</v>
      </c>
      <c r="AE374" s="798">
        <f t="shared" si="370"/>
        <v>1</v>
      </c>
      <c r="AF374" s="798">
        <f t="shared" si="370"/>
        <v>1</v>
      </c>
      <c r="AG374" s="798">
        <f t="shared" si="370"/>
        <v>1</v>
      </c>
      <c r="AH374" s="798">
        <f t="shared" si="370"/>
        <v>1</v>
      </c>
      <c r="AI374" s="798">
        <f t="shared" si="370"/>
        <v>1</v>
      </c>
      <c r="AJ374" s="798">
        <f t="shared" si="370"/>
        <v>1</v>
      </c>
      <c r="AK374" s="798">
        <f t="shared" si="370"/>
        <v>1</v>
      </c>
      <c r="AL374" s="798">
        <f t="shared" si="370"/>
        <v>1</v>
      </c>
      <c r="AM374" s="798">
        <f t="shared" si="370"/>
        <v>1</v>
      </c>
      <c r="AN374" s="798">
        <f t="shared" si="370"/>
        <v>1</v>
      </c>
      <c r="AO374" s="798">
        <f t="shared" si="370"/>
        <v>1</v>
      </c>
      <c r="AP374" s="798">
        <f t="shared" si="370"/>
        <v>1</v>
      </c>
      <c r="AQ374" s="798">
        <f t="shared" si="370"/>
        <v>1</v>
      </c>
      <c r="AR374" s="798">
        <f t="shared" si="370"/>
        <v>1</v>
      </c>
      <c r="AS374" s="798">
        <f t="shared" si="370"/>
        <v>1</v>
      </c>
      <c r="AT374" s="798">
        <f t="shared" si="370"/>
        <v>1</v>
      </c>
      <c r="AU374" s="798">
        <f t="shared" si="370"/>
        <v>1</v>
      </c>
      <c r="AV374" s="798">
        <f t="shared" si="370"/>
        <v>1</v>
      </c>
      <c r="AW374" s="798">
        <f t="shared" si="370"/>
        <v>1</v>
      </c>
      <c r="AX374" s="798">
        <f t="shared" si="370"/>
        <v>1</v>
      </c>
      <c r="AY374" s="798">
        <f t="shared" si="370"/>
        <v>1</v>
      </c>
      <c r="AZ374" s="798">
        <f t="shared" si="370"/>
        <v>1</v>
      </c>
      <c r="BA374" s="798">
        <f t="shared" si="370"/>
        <v>1</v>
      </c>
      <c r="BB374" s="798">
        <f t="shared" si="370"/>
        <v>1</v>
      </c>
      <c r="BC374" s="798">
        <f t="shared" si="370"/>
        <v>1</v>
      </c>
      <c r="BD374" s="798">
        <f t="shared" si="370"/>
        <v>1</v>
      </c>
      <c r="BE374" s="798">
        <f t="shared" si="370"/>
        <v>1</v>
      </c>
      <c r="BF374" s="798">
        <f t="shared" si="370"/>
        <v>1</v>
      </c>
      <c r="BG374" s="798">
        <f t="shared" si="370"/>
        <v>1</v>
      </c>
      <c r="BH374" s="798">
        <f t="shared" si="370"/>
        <v>1</v>
      </c>
      <c r="BI374" s="798">
        <f t="shared" si="370"/>
        <v>1</v>
      </c>
      <c r="BJ374" s="798">
        <f t="shared" si="370"/>
        <v>1</v>
      </c>
      <c r="BK374" s="798">
        <f t="shared" si="370"/>
        <v>1</v>
      </c>
      <c r="BL374" s="765"/>
      <c r="BM374" s="817"/>
      <c r="BN374" s="817"/>
    </row>
    <row r="375" hidden="1">
      <c r="A375" s="765"/>
      <c r="B375" s="765"/>
      <c r="C375" s="765"/>
      <c r="D375" s="765"/>
      <c r="E375" s="765"/>
      <c r="F375" s="765"/>
      <c r="G375" s="765"/>
      <c r="H375" s="765"/>
      <c r="I375" s="765">
        <f t="shared" si="17"/>
        <v>364</v>
      </c>
      <c r="J375" s="763">
        <f t="shared" si="5"/>
        <v>21186168372563</v>
      </c>
      <c r="K375" s="796">
        <f t="shared" si="7"/>
        <v>0.41579</v>
      </c>
      <c r="L375" s="796">
        <v>5.0E-4</v>
      </c>
      <c r="M375" s="763">
        <v>2.41575466049748E13</v>
      </c>
      <c r="N375" s="797">
        <f t="shared" si="8"/>
        <v>0</v>
      </c>
      <c r="O375" s="798">
        <f t="shared" ref="O375:BK375" si="371">FLOOR(MIN((((N("value of ELS upgrade")+N$8*($K375-$K374))*(N("Check checkbox")+(IF($G$6=TRUE,$G$7,$G$8))/$G$8))/(N("ROI of ELS and multiply by 2 if ELS is 1:1")+IF($G$12 = True, 2, 1) * $J375))/((N("difference in ELS+ and the cost of it")+(($K374*O$8)-($K374*N$8)) / O$7)),(N("MIN lets it return 0 or 1 after floored")+1)),1)</f>
        <v>0</v>
      </c>
      <c r="P375" s="798">
        <f t="shared" si="371"/>
        <v>0</v>
      </c>
      <c r="Q375" s="798">
        <f t="shared" si="371"/>
        <v>0</v>
      </c>
      <c r="R375" s="798">
        <f t="shared" si="371"/>
        <v>0</v>
      </c>
      <c r="S375" s="798">
        <f t="shared" si="371"/>
        <v>0</v>
      </c>
      <c r="T375" s="798">
        <f t="shared" si="371"/>
        <v>0</v>
      </c>
      <c r="U375" s="798">
        <f t="shared" si="371"/>
        <v>0</v>
      </c>
      <c r="V375" s="798">
        <f t="shared" si="371"/>
        <v>0</v>
      </c>
      <c r="W375" s="798">
        <f t="shared" si="371"/>
        <v>0</v>
      </c>
      <c r="X375" s="798">
        <f t="shared" si="371"/>
        <v>0</v>
      </c>
      <c r="Y375" s="798">
        <f t="shared" si="371"/>
        <v>0</v>
      </c>
      <c r="Z375" s="798">
        <f t="shared" si="371"/>
        <v>0</v>
      </c>
      <c r="AA375" s="798">
        <f t="shared" si="371"/>
        <v>0</v>
      </c>
      <c r="AB375" s="798">
        <f t="shared" si="371"/>
        <v>0</v>
      </c>
      <c r="AC375" s="798">
        <f t="shared" si="371"/>
        <v>1</v>
      </c>
      <c r="AD375" s="798">
        <f t="shared" si="371"/>
        <v>1</v>
      </c>
      <c r="AE375" s="798">
        <f t="shared" si="371"/>
        <v>1</v>
      </c>
      <c r="AF375" s="798">
        <f t="shared" si="371"/>
        <v>1</v>
      </c>
      <c r="AG375" s="798">
        <f t="shared" si="371"/>
        <v>1</v>
      </c>
      <c r="AH375" s="798">
        <f t="shared" si="371"/>
        <v>1</v>
      </c>
      <c r="AI375" s="798">
        <f t="shared" si="371"/>
        <v>1</v>
      </c>
      <c r="AJ375" s="798">
        <f t="shared" si="371"/>
        <v>1</v>
      </c>
      <c r="AK375" s="798">
        <f t="shared" si="371"/>
        <v>1</v>
      </c>
      <c r="AL375" s="798">
        <f t="shared" si="371"/>
        <v>1</v>
      </c>
      <c r="AM375" s="798">
        <f t="shared" si="371"/>
        <v>1</v>
      </c>
      <c r="AN375" s="798">
        <f t="shared" si="371"/>
        <v>1</v>
      </c>
      <c r="AO375" s="798">
        <f t="shared" si="371"/>
        <v>1</v>
      </c>
      <c r="AP375" s="798">
        <f t="shared" si="371"/>
        <v>1</v>
      </c>
      <c r="AQ375" s="798">
        <f t="shared" si="371"/>
        <v>1</v>
      </c>
      <c r="AR375" s="798">
        <f t="shared" si="371"/>
        <v>1</v>
      </c>
      <c r="AS375" s="798">
        <f t="shared" si="371"/>
        <v>1</v>
      </c>
      <c r="AT375" s="798">
        <f t="shared" si="371"/>
        <v>1</v>
      </c>
      <c r="AU375" s="798">
        <f t="shared" si="371"/>
        <v>1</v>
      </c>
      <c r="AV375" s="798">
        <f t="shared" si="371"/>
        <v>1</v>
      </c>
      <c r="AW375" s="798">
        <f t="shared" si="371"/>
        <v>1</v>
      </c>
      <c r="AX375" s="798">
        <f t="shared" si="371"/>
        <v>1</v>
      </c>
      <c r="AY375" s="798">
        <f t="shared" si="371"/>
        <v>1</v>
      </c>
      <c r="AZ375" s="798">
        <f t="shared" si="371"/>
        <v>1</v>
      </c>
      <c r="BA375" s="798">
        <f t="shared" si="371"/>
        <v>1</v>
      </c>
      <c r="BB375" s="798">
        <f t="shared" si="371"/>
        <v>1</v>
      </c>
      <c r="BC375" s="798">
        <f t="shared" si="371"/>
        <v>1</v>
      </c>
      <c r="BD375" s="798">
        <f t="shared" si="371"/>
        <v>1</v>
      </c>
      <c r="BE375" s="798">
        <f t="shared" si="371"/>
        <v>1</v>
      </c>
      <c r="BF375" s="798">
        <f t="shared" si="371"/>
        <v>1</v>
      </c>
      <c r="BG375" s="798">
        <f t="shared" si="371"/>
        <v>1</v>
      </c>
      <c r="BH375" s="798">
        <f t="shared" si="371"/>
        <v>1</v>
      </c>
      <c r="BI375" s="798">
        <f t="shared" si="371"/>
        <v>1</v>
      </c>
      <c r="BJ375" s="798">
        <f t="shared" si="371"/>
        <v>1</v>
      </c>
      <c r="BK375" s="798">
        <f t="shared" si="371"/>
        <v>1</v>
      </c>
      <c r="BL375" s="765"/>
      <c r="BM375" s="817"/>
      <c r="BN375" s="817"/>
    </row>
    <row r="376" hidden="1">
      <c r="A376" s="765"/>
      <c r="B376" s="765"/>
      <c r="C376" s="765"/>
      <c r="D376" s="765"/>
      <c r="E376" s="765"/>
      <c r="F376" s="765"/>
      <c r="G376" s="765"/>
      <c r="H376" s="765"/>
      <c r="I376" s="765">
        <f t="shared" si="17"/>
        <v>365</v>
      </c>
      <c r="J376" s="763">
        <f t="shared" si="5"/>
        <v>21269482626581</v>
      </c>
      <c r="K376" s="796">
        <f t="shared" si="7"/>
        <v>0.41629</v>
      </c>
      <c r="L376" s="796">
        <v>5.0E-4</v>
      </c>
      <c r="M376" s="763">
        <v>2.42525457543684E13</v>
      </c>
      <c r="N376" s="797">
        <f t="shared" si="8"/>
        <v>0</v>
      </c>
      <c r="O376" s="798">
        <f t="shared" ref="O376:BK376" si="372">FLOOR(MIN((((N("value of ELS upgrade")+N$8*($K376-$K375))*(N("Check checkbox")+(IF($G$6=TRUE,$G$7,$G$8))/$G$8))/(N("ROI of ELS and multiply by 2 if ELS is 1:1")+IF($G$12 = True, 2, 1) * $J376))/((N("difference in ELS+ and the cost of it")+(($K375*O$8)-($K375*N$8)) / O$7)),(N("MIN lets it return 0 or 1 after floored")+1)),1)</f>
        <v>0</v>
      </c>
      <c r="P376" s="798">
        <f t="shared" si="372"/>
        <v>0</v>
      </c>
      <c r="Q376" s="798">
        <f t="shared" si="372"/>
        <v>0</v>
      </c>
      <c r="R376" s="798">
        <f t="shared" si="372"/>
        <v>0</v>
      </c>
      <c r="S376" s="798">
        <f t="shared" si="372"/>
        <v>0</v>
      </c>
      <c r="T376" s="798">
        <f t="shared" si="372"/>
        <v>0</v>
      </c>
      <c r="U376" s="798">
        <f t="shared" si="372"/>
        <v>0</v>
      </c>
      <c r="V376" s="798">
        <f t="shared" si="372"/>
        <v>0</v>
      </c>
      <c r="W376" s="798">
        <f t="shared" si="372"/>
        <v>0</v>
      </c>
      <c r="X376" s="798">
        <f t="shared" si="372"/>
        <v>0</v>
      </c>
      <c r="Y376" s="798">
        <f t="shared" si="372"/>
        <v>0</v>
      </c>
      <c r="Z376" s="798">
        <f t="shared" si="372"/>
        <v>0</v>
      </c>
      <c r="AA376" s="798">
        <f t="shared" si="372"/>
        <v>0</v>
      </c>
      <c r="AB376" s="798">
        <f t="shared" si="372"/>
        <v>0</v>
      </c>
      <c r="AC376" s="798">
        <f t="shared" si="372"/>
        <v>1</v>
      </c>
      <c r="AD376" s="798">
        <f t="shared" si="372"/>
        <v>1</v>
      </c>
      <c r="AE376" s="798">
        <f t="shared" si="372"/>
        <v>1</v>
      </c>
      <c r="AF376" s="798">
        <f t="shared" si="372"/>
        <v>1</v>
      </c>
      <c r="AG376" s="798">
        <f t="shared" si="372"/>
        <v>1</v>
      </c>
      <c r="AH376" s="798">
        <f t="shared" si="372"/>
        <v>1</v>
      </c>
      <c r="AI376" s="798">
        <f t="shared" si="372"/>
        <v>1</v>
      </c>
      <c r="AJ376" s="798">
        <f t="shared" si="372"/>
        <v>1</v>
      </c>
      <c r="AK376" s="798">
        <f t="shared" si="372"/>
        <v>1</v>
      </c>
      <c r="AL376" s="798">
        <f t="shared" si="372"/>
        <v>1</v>
      </c>
      <c r="AM376" s="798">
        <f t="shared" si="372"/>
        <v>1</v>
      </c>
      <c r="AN376" s="798">
        <f t="shared" si="372"/>
        <v>1</v>
      </c>
      <c r="AO376" s="798">
        <f t="shared" si="372"/>
        <v>1</v>
      </c>
      <c r="AP376" s="798">
        <f t="shared" si="372"/>
        <v>1</v>
      </c>
      <c r="AQ376" s="798">
        <f t="shared" si="372"/>
        <v>1</v>
      </c>
      <c r="AR376" s="798">
        <f t="shared" si="372"/>
        <v>1</v>
      </c>
      <c r="AS376" s="798">
        <f t="shared" si="372"/>
        <v>1</v>
      </c>
      <c r="AT376" s="798">
        <f t="shared" si="372"/>
        <v>1</v>
      </c>
      <c r="AU376" s="798">
        <f t="shared" si="372"/>
        <v>1</v>
      </c>
      <c r="AV376" s="798">
        <f t="shared" si="372"/>
        <v>1</v>
      </c>
      <c r="AW376" s="798">
        <f t="shared" si="372"/>
        <v>1</v>
      </c>
      <c r="AX376" s="798">
        <f t="shared" si="372"/>
        <v>1</v>
      </c>
      <c r="AY376" s="798">
        <f t="shared" si="372"/>
        <v>1</v>
      </c>
      <c r="AZ376" s="798">
        <f t="shared" si="372"/>
        <v>1</v>
      </c>
      <c r="BA376" s="798">
        <f t="shared" si="372"/>
        <v>1</v>
      </c>
      <c r="BB376" s="798">
        <f t="shared" si="372"/>
        <v>1</v>
      </c>
      <c r="BC376" s="798">
        <f t="shared" si="372"/>
        <v>1</v>
      </c>
      <c r="BD376" s="798">
        <f t="shared" si="372"/>
        <v>1</v>
      </c>
      <c r="BE376" s="798">
        <f t="shared" si="372"/>
        <v>1</v>
      </c>
      <c r="BF376" s="798">
        <f t="shared" si="372"/>
        <v>1</v>
      </c>
      <c r="BG376" s="798">
        <f t="shared" si="372"/>
        <v>1</v>
      </c>
      <c r="BH376" s="798">
        <f t="shared" si="372"/>
        <v>1</v>
      </c>
      <c r="BI376" s="798">
        <f t="shared" si="372"/>
        <v>1</v>
      </c>
      <c r="BJ376" s="798">
        <f t="shared" si="372"/>
        <v>1</v>
      </c>
      <c r="BK376" s="798">
        <f t="shared" si="372"/>
        <v>1</v>
      </c>
      <c r="BL376" s="765"/>
      <c r="BM376" s="817"/>
      <c r="BN376" s="817"/>
    </row>
    <row r="377" hidden="1">
      <c r="A377" s="765"/>
      <c r="B377" s="765"/>
      <c r="C377" s="765"/>
      <c r="D377" s="765"/>
      <c r="E377" s="765"/>
      <c r="F377" s="765"/>
      <c r="G377" s="765"/>
      <c r="H377" s="765"/>
      <c r="I377" s="765">
        <f t="shared" si="17"/>
        <v>366</v>
      </c>
      <c r="J377" s="763">
        <f t="shared" si="5"/>
        <v>21353048341028</v>
      </c>
      <c r="K377" s="796">
        <f t="shared" si="7"/>
        <v>0.41679</v>
      </c>
      <c r="L377" s="796">
        <v>5.0E-4</v>
      </c>
      <c r="M377" s="763">
        <v>2.43478316317313E13</v>
      </c>
      <c r="N377" s="797">
        <f t="shared" si="8"/>
        <v>0</v>
      </c>
      <c r="O377" s="798">
        <f t="shared" ref="O377:BK377" si="373">FLOOR(MIN((((N("value of ELS upgrade")+N$8*($K377-$K376))*(N("Check checkbox")+(IF($G$6=TRUE,$G$7,$G$8))/$G$8))/(N("ROI of ELS and multiply by 2 if ELS is 1:1")+IF($G$12 = True, 2, 1) * $J377))/((N("difference in ELS+ and the cost of it")+(($K376*O$8)-($K376*N$8)) / O$7)),(N("MIN lets it return 0 or 1 after floored")+1)),1)</f>
        <v>0</v>
      </c>
      <c r="P377" s="798">
        <f t="shared" si="373"/>
        <v>0</v>
      </c>
      <c r="Q377" s="798">
        <f t="shared" si="373"/>
        <v>0</v>
      </c>
      <c r="R377" s="798">
        <f t="shared" si="373"/>
        <v>0</v>
      </c>
      <c r="S377" s="798">
        <f t="shared" si="373"/>
        <v>0</v>
      </c>
      <c r="T377" s="798">
        <f t="shared" si="373"/>
        <v>0</v>
      </c>
      <c r="U377" s="798">
        <f t="shared" si="373"/>
        <v>0</v>
      </c>
      <c r="V377" s="798">
        <f t="shared" si="373"/>
        <v>0</v>
      </c>
      <c r="W377" s="798">
        <f t="shared" si="373"/>
        <v>0</v>
      </c>
      <c r="X377" s="798">
        <f t="shared" si="373"/>
        <v>0</v>
      </c>
      <c r="Y377" s="798">
        <f t="shared" si="373"/>
        <v>0</v>
      </c>
      <c r="Z377" s="798">
        <f t="shared" si="373"/>
        <v>0</v>
      </c>
      <c r="AA377" s="798">
        <f t="shared" si="373"/>
        <v>0</v>
      </c>
      <c r="AB377" s="798">
        <f t="shared" si="373"/>
        <v>0</v>
      </c>
      <c r="AC377" s="798">
        <f t="shared" si="373"/>
        <v>1</v>
      </c>
      <c r="AD377" s="798">
        <f t="shared" si="373"/>
        <v>1</v>
      </c>
      <c r="AE377" s="798">
        <f t="shared" si="373"/>
        <v>1</v>
      </c>
      <c r="AF377" s="798">
        <f t="shared" si="373"/>
        <v>1</v>
      </c>
      <c r="AG377" s="798">
        <f t="shared" si="373"/>
        <v>1</v>
      </c>
      <c r="AH377" s="798">
        <f t="shared" si="373"/>
        <v>1</v>
      </c>
      <c r="AI377" s="798">
        <f t="shared" si="373"/>
        <v>1</v>
      </c>
      <c r="AJ377" s="798">
        <f t="shared" si="373"/>
        <v>1</v>
      </c>
      <c r="AK377" s="798">
        <f t="shared" si="373"/>
        <v>1</v>
      </c>
      <c r="AL377" s="798">
        <f t="shared" si="373"/>
        <v>1</v>
      </c>
      <c r="AM377" s="798">
        <f t="shared" si="373"/>
        <v>1</v>
      </c>
      <c r="AN377" s="798">
        <f t="shared" si="373"/>
        <v>1</v>
      </c>
      <c r="AO377" s="798">
        <f t="shared" si="373"/>
        <v>1</v>
      </c>
      <c r="AP377" s="798">
        <f t="shared" si="373"/>
        <v>1</v>
      </c>
      <c r="AQ377" s="798">
        <f t="shared" si="373"/>
        <v>1</v>
      </c>
      <c r="AR377" s="798">
        <f t="shared" si="373"/>
        <v>1</v>
      </c>
      <c r="AS377" s="798">
        <f t="shared" si="373"/>
        <v>1</v>
      </c>
      <c r="AT377" s="798">
        <f t="shared" si="373"/>
        <v>1</v>
      </c>
      <c r="AU377" s="798">
        <f t="shared" si="373"/>
        <v>1</v>
      </c>
      <c r="AV377" s="798">
        <f t="shared" si="373"/>
        <v>1</v>
      </c>
      <c r="AW377" s="798">
        <f t="shared" si="373"/>
        <v>1</v>
      </c>
      <c r="AX377" s="798">
        <f t="shared" si="373"/>
        <v>1</v>
      </c>
      <c r="AY377" s="798">
        <f t="shared" si="373"/>
        <v>1</v>
      </c>
      <c r="AZ377" s="798">
        <f t="shared" si="373"/>
        <v>1</v>
      </c>
      <c r="BA377" s="798">
        <f t="shared" si="373"/>
        <v>1</v>
      </c>
      <c r="BB377" s="798">
        <f t="shared" si="373"/>
        <v>1</v>
      </c>
      <c r="BC377" s="798">
        <f t="shared" si="373"/>
        <v>1</v>
      </c>
      <c r="BD377" s="798">
        <f t="shared" si="373"/>
        <v>1</v>
      </c>
      <c r="BE377" s="798">
        <f t="shared" si="373"/>
        <v>1</v>
      </c>
      <c r="BF377" s="798">
        <f t="shared" si="373"/>
        <v>1</v>
      </c>
      <c r="BG377" s="798">
        <f t="shared" si="373"/>
        <v>1</v>
      </c>
      <c r="BH377" s="798">
        <f t="shared" si="373"/>
        <v>1</v>
      </c>
      <c r="BI377" s="798">
        <f t="shared" si="373"/>
        <v>1</v>
      </c>
      <c r="BJ377" s="798">
        <f t="shared" si="373"/>
        <v>1</v>
      </c>
      <c r="BK377" s="798">
        <f t="shared" si="373"/>
        <v>1</v>
      </c>
      <c r="BL377" s="765"/>
      <c r="BM377" s="817"/>
      <c r="BN377" s="817"/>
    </row>
    <row r="378" hidden="1">
      <c r="A378" s="765"/>
      <c r="B378" s="765"/>
      <c r="C378" s="765"/>
      <c r="D378" s="765"/>
      <c r="E378" s="765"/>
      <c r="F378" s="765"/>
      <c r="G378" s="765"/>
      <c r="H378" s="765"/>
      <c r="I378" s="765">
        <f t="shared" si="17"/>
        <v>367</v>
      </c>
      <c r="J378" s="763">
        <f t="shared" si="5"/>
        <v>21436866228257</v>
      </c>
      <c r="K378" s="796">
        <f t="shared" si="7"/>
        <v>0.41729</v>
      </c>
      <c r="L378" s="796">
        <v>5.0E-4</v>
      </c>
      <c r="M378" s="763">
        <v>2.44434050493239E13</v>
      </c>
      <c r="N378" s="797">
        <f t="shared" si="8"/>
        <v>0</v>
      </c>
      <c r="O378" s="798">
        <f t="shared" ref="O378:BK378" si="374">FLOOR(MIN((((N("value of ELS upgrade")+N$8*($K378-$K377))*(N("Check checkbox")+(IF($G$6=TRUE,$G$7,$G$8))/$G$8))/(N("ROI of ELS and multiply by 2 if ELS is 1:1")+IF($G$12 = True, 2, 1) * $J378))/((N("difference in ELS+ and the cost of it")+(($K377*O$8)-($K377*N$8)) / O$7)),(N("MIN lets it return 0 or 1 after floored")+1)),1)</f>
        <v>0</v>
      </c>
      <c r="P378" s="798">
        <f t="shared" si="374"/>
        <v>0</v>
      </c>
      <c r="Q378" s="798">
        <f t="shared" si="374"/>
        <v>0</v>
      </c>
      <c r="R378" s="798">
        <f t="shared" si="374"/>
        <v>0</v>
      </c>
      <c r="S378" s="798">
        <f t="shared" si="374"/>
        <v>0</v>
      </c>
      <c r="T378" s="798">
        <f t="shared" si="374"/>
        <v>0</v>
      </c>
      <c r="U378" s="798">
        <f t="shared" si="374"/>
        <v>0</v>
      </c>
      <c r="V378" s="798">
        <f t="shared" si="374"/>
        <v>0</v>
      </c>
      <c r="W378" s="798">
        <f t="shared" si="374"/>
        <v>0</v>
      </c>
      <c r="X378" s="798">
        <f t="shared" si="374"/>
        <v>0</v>
      </c>
      <c r="Y378" s="798">
        <f t="shared" si="374"/>
        <v>0</v>
      </c>
      <c r="Z378" s="798">
        <f t="shared" si="374"/>
        <v>0</v>
      </c>
      <c r="AA378" s="798">
        <f t="shared" si="374"/>
        <v>0</v>
      </c>
      <c r="AB378" s="798">
        <f t="shared" si="374"/>
        <v>0</v>
      </c>
      <c r="AC378" s="798">
        <f t="shared" si="374"/>
        <v>1</v>
      </c>
      <c r="AD378" s="798">
        <f t="shared" si="374"/>
        <v>1</v>
      </c>
      <c r="AE378" s="798">
        <f t="shared" si="374"/>
        <v>1</v>
      </c>
      <c r="AF378" s="798">
        <f t="shared" si="374"/>
        <v>1</v>
      </c>
      <c r="AG378" s="798">
        <f t="shared" si="374"/>
        <v>1</v>
      </c>
      <c r="AH378" s="798">
        <f t="shared" si="374"/>
        <v>1</v>
      </c>
      <c r="AI378" s="798">
        <f t="shared" si="374"/>
        <v>1</v>
      </c>
      <c r="AJ378" s="798">
        <f t="shared" si="374"/>
        <v>1</v>
      </c>
      <c r="AK378" s="798">
        <f t="shared" si="374"/>
        <v>1</v>
      </c>
      <c r="AL378" s="798">
        <f t="shared" si="374"/>
        <v>1</v>
      </c>
      <c r="AM378" s="798">
        <f t="shared" si="374"/>
        <v>1</v>
      </c>
      <c r="AN378" s="798">
        <f t="shared" si="374"/>
        <v>1</v>
      </c>
      <c r="AO378" s="798">
        <f t="shared" si="374"/>
        <v>1</v>
      </c>
      <c r="AP378" s="798">
        <f t="shared" si="374"/>
        <v>1</v>
      </c>
      <c r="AQ378" s="798">
        <f t="shared" si="374"/>
        <v>1</v>
      </c>
      <c r="AR378" s="798">
        <f t="shared" si="374"/>
        <v>1</v>
      </c>
      <c r="AS378" s="798">
        <f t="shared" si="374"/>
        <v>1</v>
      </c>
      <c r="AT378" s="798">
        <f t="shared" si="374"/>
        <v>1</v>
      </c>
      <c r="AU378" s="798">
        <f t="shared" si="374"/>
        <v>1</v>
      </c>
      <c r="AV378" s="798">
        <f t="shared" si="374"/>
        <v>1</v>
      </c>
      <c r="AW378" s="798">
        <f t="shared" si="374"/>
        <v>1</v>
      </c>
      <c r="AX378" s="798">
        <f t="shared" si="374"/>
        <v>1</v>
      </c>
      <c r="AY378" s="798">
        <f t="shared" si="374"/>
        <v>1</v>
      </c>
      <c r="AZ378" s="798">
        <f t="shared" si="374"/>
        <v>1</v>
      </c>
      <c r="BA378" s="798">
        <f t="shared" si="374"/>
        <v>1</v>
      </c>
      <c r="BB378" s="798">
        <f t="shared" si="374"/>
        <v>1</v>
      </c>
      <c r="BC378" s="798">
        <f t="shared" si="374"/>
        <v>1</v>
      </c>
      <c r="BD378" s="798">
        <f t="shared" si="374"/>
        <v>1</v>
      </c>
      <c r="BE378" s="798">
        <f t="shared" si="374"/>
        <v>1</v>
      </c>
      <c r="BF378" s="798">
        <f t="shared" si="374"/>
        <v>1</v>
      </c>
      <c r="BG378" s="798">
        <f t="shared" si="374"/>
        <v>1</v>
      </c>
      <c r="BH378" s="798">
        <f t="shared" si="374"/>
        <v>1</v>
      </c>
      <c r="BI378" s="798">
        <f t="shared" si="374"/>
        <v>1</v>
      </c>
      <c r="BJ378" s="798">
        <f t="shared" si="374"/>
        <v>1</v>
      </c>
      <c r="BK378" s="798">
        <f t="shared" si="374"/>
        <v>1</v>
      </c>
      <c r="BL378" s="765"/>
      <c r="BM378" s="817"/>
      <c r="BN378" s="817"/>
    </row>
    <row r="379" hidden="1">
      <c r="A379" s="765"/>
      <c r="B379" s="765"/>
      <c r="C379" s="765"/>
      <c r="D379" s="765"/>
      <c r="E379" s="765"/>
      <c r="F379" s="765"/>
      <c r="G379" s="765"/>
      <c r="H379" s="765"/>
      <c r="I379" s="765">
        <f t="shared" si="17"/>
        <v>368</v>
      </c>
      <c r="J379" s="763">
        <f t="shared" si="5"/>
        <v>21520937000620</v>
      </c>
      <c r="K379" s="796">
        <f t="shared" si="7"/>
        <v>0.41779</v>
      </c>
      <c r="L379" s="796">
        <v>5.0E-4</v>
      </c>
      <c r="M379" s="763">
        <v>2.45392668194069E13</v>
      </c>
      <c r="N379" s="797">
        <f t="shared" si="8"/>
        <v>0</v>
      </c>
      <c r="O379" s="798">
        <f t="shared" ref="O379:BK379" si="375">FLOOR(MIN((((N("value of ELS upgrade")+N$8*($K379-$K378))*(N("Check checkbox")+(IF($G$6=TRUE,$G$7,$G$8))/$G$8))/(N("ROI of ELS and multiply by 2 if ELS is 1:1")+IF($G$12 = True, 2, 1) * $J379))/((N("difference in ELS+ and the cost of it")+(($K378*O$8)-($K378*N$8)) / O$7)),(N("MIN lets it return 0 or 1 after floored")+1)),1)</f>
        <v>0</v>
      </c>
      <c r="P379" s="798">
        <f t="shared" si="375"/>
        <v>0</v>
      </c>
      <c r="Q379" s="798">
        <f t="shared" si="375"/>
        <v>0</v>
      </c>
      <c r="R379" s="798">
        <f t="shared" si="375"/>
        <v>0</v>
      </c>
      <c r="S379" s="798">
        <f t="shared" si="375"/>
        <v>0</v>
      </c>
      <c r="T379" s="798">
        <f t="shared" si="375"/>
        <v>0</v>
      </c>
      <c r="U379" s="798">
        <f t="shared" si="375"/>
        <v>0</v>
      </c>
      <c r="V379" s="798">
        <f t="shared" si="375"/>
        <v>0</v>
      </c>
      <c r="W379" s="798">
        <f t="shared" si="375"/>
        <v>0</v>
      </c>
      <c r="X379" s="798">
        <f t="shared" si="375"/>
        <v>0</v>
      </c>
      <c r="Y379" s="798">
        <f t="shared" si="375"/>
        <v>0</v>
      </c>
      <c r="Z379" s="798">
        <f t="shared" si="375"/>
        <v>0</v>
      </c>
      <c r="AA379" s="798">
        <f t="shared" si="375"/>
        <v>0</v>
      </c>
      <c r="AB379" s="798">
        <f t="shared" si="375"/>
        <v>0</v>
      </c>
      <c r="AC379" s="798">
        <f t="shared" si="375"/>
        <v>1</v>
      </c>
      <c r="AD379" s="798">
        <f t="shared" si="375"/>
        <v>1</v>
      </c>
      <c r="AE379" s="798">
        <f t="shared" si="375"/>
        <v>1</v>
      </c>
      <c r="AF379" s="798">
        <f t="shared" si="375"/>
        <v>1</v>
      </c>
      <c r="AG379" s="798">
        <f t="shared" si="375"/>
        <v>1</v>
      </c>
      <c r="AH379" s="798">
        <f t="shared" si="375"/>
        <v>1</v>
      </c>
      <c r="AI379" s="798">
        <f t="shared" si="375"/>
        <v>1</v>
      </c>
      <c r="AJ379" s="798">
        <f t="shared" si="375"/>
        <v>1</v>
      </c>
      <c r="AK379" s="798">
        <f t="shared" si="375"/>
        <v>1</v>
      </c>
      <c r="AL379" s="798">
        <f t="shared" si="375"/>
        <v>1</v>
      </c>
      <c r="AM379" s="798">
        <f t="shared" si="375"/>
        <v>1</v>
      </c>
      <c r="AN379" s="798">
        <f t="shared" si="375"/>
        <v>1</v>
      </c>
      <c r="AO379" s="798">
        <f t="shared" si="375"/>
        <v>1</v>
      </c>
      <c r="AP379" s="798">
        <f t="shared" si="375"/>
        <v>1</v>
      </c>
      <c r="AQ379" s="798">
        <f t="shared" si="375"/>
        <v>1</v>
      </c>
      <c r="AR379" s="798">
        <f t="shared" si="375"/>
        <v>1</v>
      </c>
      <c r="AS379" s="798">
        <f t="shared" si="375"/>
        <v>1</v>
      </c>
      <c r="AT379" s="798">
        <f t="shared" si="375"/>
        <v>1</v>
      </c>
      <c r="AU379" s="798">
        <f t="shared" si="375"/>
        <v>1</v>
      </c>
      <c r="AV379" s="798">
        <f t="shared" si="375"/>
        <v>1</v>
      </c>
      <c r="AW379" s="798">
        <f t="shared" si="375"/>
        <v>1</v>
      </c>
      <c r="AX379" s="798">
        <f t="shared" si="375"/>
        <v>1</v>
      </c>
      <c r="AY379" s="798">
        <f t="shared" si="375"/>
        <v>1</v>
      </c>
      <c r="AZ379" s="798">
        <f t="shared" si="375"/>
        <v>1</v>
      </c>
      <c r="BA379" s="798">
        <f t="shared" si="375"/>
        <v>1</v>
      </c>
      <c r="BB379" s="798">
        <f t="shared" si="375"/>
        <v>1</v>
      </c>
      <c r="BC379" s="798">
        <f t="shared" si="375"/>
        <v>1</v>
      </c>
      <c r="BD379" s="798">
        <f t="shared" si="375"/>
        <v>1</v>
      </c>
      <c r="BE379" s="798">
        <f t="shared" si="375"/>
        <v>1</v>
      </c>
      <c r="BF379" s="798">
        <f t="shared" si="375"/>
        <v>1</v>
      </c>
      <c r="BG379" s="798">
        <f t="shared" si="375"/>
        <v>1</v>
      </c>
      <c r="BH379" s="798">
        <f t="shared" si="375"/>
        <v>1</v>
      </c>
      <c r="BI379" s="798">
        <f t="shared" si="375"/>
        <v>1</v>
      </c>
      <c r="BJ379" s="798">
        <f t="shared" si="375"/>
        <v>1</v>
      </c>
      <c r="BK379" s="798">
        <f t="shared" si="375"/>
        <v>1</v>
      </c>
      <c r="BL379" s="765"/>
      <c r="BM379" s="817"/>
      <c r="BN379" s="817"/>
    </row>
    <row r="380" hidden="1">
      <c r="A380" s="765"/>
      <c r="B380" s="765"/>
      <c r="C380" s="765"/>
      <c r="D380" s="765"/>
      <c r="E380" s="765"/>
      <c r="F380" s="765"/>
      <c r="G380" s="765"/>
      <c r="H380" s="765"/>
      <c r="I380" s="765">
        <f t="shared" si="17"/>
        <v>369</v>
      </c>
      <c r="J380" s="763">
        <f t="shared" si="5"/>
        <v>21605262082822</v>
      </c>
      <c r="K380" s="796">
        <f t="shared" si="7"/>
        <v>0.41829</v>
      </c>
      <c r="L380" s="796">
        <v>5.0E-4</v>
      </c>
      <c r="M380" s="763">
        <v>2.46354185665013E13</v>
      </c>
      <c r="N380" s="797">
        <f t="shared" si="8"/>
        <v>0</v>
      </c>
      <c r="O380" s="798">
        <f t="shared" ref="O380:BK380" si="376">FLOOR(MIN((((N("value of ELS upgrade")+N$8*($K380-$K379))*(N("Check checkbox")+(IF($G$6=TRUE,$G$7,$G$8))/$G$8))/(N("ROI of ELS and multiply by 2 if ELS is 1:1")+IF($G$12 = True, 2, 1) * $J380))/((N("difference in ELS+ and the cost of it")+(($K379*O$8)-($K379*N$8)) / O$7)),(N("MIN lets it return 0 or 1 after floored")+1)),1)</f>
        <v>0</v>
      </c>
      <c r="P380" s="798">
        <f t="shared" si="376"/>
        <v>0</v>
      </c>
      <c r="Q380" s="798">
        <f t="shared" si="376"/>
        <v>0</v>
      </c>
      <c r="R380" s="798">
        <f t="shared" si="376"/>
        <v>0</v>
      </c>
      <c r="S380" s="798">
        <f t="shared" si="376"/>
        <v>0</v>
      </c>
      <c r="T380" s="798">
        <f t="shared" si="376"/>
        <v>0</v>
      </c>
      <c r="U380" s="798">
        <f t="shared" si="376"/>
        <v>0</v>
      </c>
      <c r="V380" s="798">
        <f t="shared" si="376"/>
        <v>0</v>
      </c>
      <c r="W380" s="798">
        <f t="shared" si="376"/>
        <v>0</v>
      </c>
      <c r="X380" s="798">
        <f t="shared" si="376"/>
        <v>0</v>
      </c>
      <c r="Y380" s="798">
        <f t="shared" si="376"/>
        <v>0</v>
      </c>
      <c r="Z380" s="798">
        <f t="shared" si="376"/>
        <v>0</v>
      </c>
      <c r="AA380" s="798">
        <f t="shared" si="376"/>
        <v>0</v>
      </c>
      <c r="AB380" s="798">
        <f t="shared" si="376"/>
        <v>0</v>
      </c>
      <c r="AC380" s="798">
        <f t="shared" si="376"/>
        <v>1</v>
      </c>
      <c r="AD380" s="798">
        <f t="shared" si="376"/>
        <v>1</v>
      </c>
      <c r="AE380" s="798">
        <f t="shared" si="376"/>
        <v>1</v>
      </c>
      <c r="AF380" s="798">
        <f t="shared" si="376"/>
        <v>1</v>
      </c>
      <c r="AG380" s="798">
        <f t="shared" si="376"/>
        <v>1</v>
      </c>
      <c r="AH380" s="798">
        <f t="shared" si="376"/>
        <v>1</v>
      </c>
      <c r="AI380" s="798">
        <f t="shared" si="376"/>
        <v>1</v>
      </c>
      <c r="AJ380" s="798">
        <f t="shared" si="376"/>
        <v>1</v>
      </c>
      <c r="AK380" s="798">
        <f t="shared" si="376"/>
        <v>1</v>
      </c>
      <c r="AL380" s="798">
        <f t="shared" si="376"/>
        <v>1</v>
      </c>
      <c r="AM380" s="798">
        <f t="shared" si="376"/>
        <v>1</v>
      </c>
      <c r="AN380" s="798">
        <f t="shared" si="376"/>
        <v>1</v>
      </c>
      <c r="AO380" s="798">
        <f t="shared" si="376"/>
        <v>1</v>
      </c>
      <c r="AP380" s="798">
        <f t="shared" si="376"/>
        <v>1</v>
      </c>
      <c r="AQ380" s="798">
        <f t="shared" si="376"/>
        <v>1</v>
      </c>
      <c r="AR380" s="798">
        <f t="shared" si="376"/>
        <v>1</v>
      </c>
      <c r="AS380" s="798">
        <f t="shared" si="376"/>
        <v>1</v>
      </c>
      <c r="AT380" s="798">
        <f t="shared" si="376"/>
        <v>1</v>
      </c>
      <c r="AU380" s="798">
        <f t="shared" si="376"/>
        <v>1</v>
      </c>
      <c r="AV380" s="798">
        <f t="shared" si="376"/>
        <v>1</v>
      </c>
      <c r="AW380" s="798">
        <f t="shared" si="376"/>
        <v>1</v>
      </c>
      <c r="AX380" s="798">
        <f t="shared" si="376"/>
        <v>1</v>
      </c>
      <c r="AY380" s="798">
        <f t="shared" si="376"/>
        <v>1</v>
      </c>
      <c r="AZ380" s="798">
        <f t="shared" si="376"/>
        <v>1</v>
      </c>
      <c r="BA380" s="798">
        <f t="shared" si="376"/>
        <v>1</v>
      </c>
      <c r="BB380" s="798">
        <f t="shared" si="376"/>
        <v>1</v>
      </c>
      <c r="BC380" s="798">
        <f t="shared" si="376"/>
        <v>1</v>
      </c>
      <c r="BD380" s="798">
        <f t="shared" si="376"/>
        <v>1</v>
      </c>
      <c r="BE380" s="798">
        <f t="shared" si="376"/>
        <v>1</v>
      </c>
      <c r="BF380" s="798">
        <f t="shared" si="376"/>
        <v>1</v>
      </c>
      <c r="BG380" s="798">
        <f t="shared" si="376"/>
        <v>1</v>
      </c>
      <c r="BH380" s="798">
        <f t="shared" si="376"/>
        <v>1</v>
      </c>
      <c r="BI380" s="798">
        <f t="shared" si="376"/>
        <v>1</v>
      </c>
      <c r="BJ380" s="798">
        <f t="shared" si="376"/>
        <v>1</v>
      </c>
      <c r="BK380" s="798">
        <f t="shared" si="376"/>
        <v>1</v>
      </c>
      <c r="BL380" s="765"/>
      <c r="BM380" s="817"/>
      <c r="BN380" s="817"/>
    </row>
    <row r="381" hidden="1">
      <c r="A381" s="765"/>
      <c r="B381" s="765"/>
      <c r="C381" s="765"/>
      <c r="D381" s="765"/>
      <c r="E381" s="765"/>
      <c r="F381" s="765"/>
      <c r="G381" s="765"/>
      <c r="H381" s="765"/>
      <c r="I381" s="765">
        <f t="shared" si="17"/>
        <v>370</v>
      </c>
      <c r="J381" s="763">
        <f t="shared" si="5"/>
        <v>21689841831039</v>
      </c>
      <c r="K381" s="796">
        <f t="shared" si="7"/>
        <v>0.41879</v>
      </c>
      <c r="L381" s="796">
        <v>5.0E-4</v>
      </c>
      <c r="M381" s="763">
        <v>2.47318606967374E13</v>
      </c>
      <c r="N381" s="797">
        <f t="shared" si="8"/>
        <v>0</v>
      </c>
      <c r="O381" s="798">
        <f t="shared" ref="O381:BK381" si="377">FLOOR(MIN((((N("value of ELS upgrade")+N$8*($K381-$K380))*(N("Check checkbox")+(IF($G$6=TRUE,$G$7,$G$8))/$G$8))/(N("ROI of ELS and multiply by 2 if ELS is 1:1")+IF($G$12 = True, 2, 1) * $J381))/((N("difference in ELS+ and the cost of it")+(($K380*O$8)-($K380*N$8)) / O$7)),(N("MIN lets it return 0 or 1 after floored")+1)),1)</f>
        <v>0</v>
      </c>
      <c r="P381" s="798">
        <f t="shared" si="377"/>
        <v>0</v>
      </c>
      <c r="Q381" s="798">
        <f t="shared" si="377"/>
        <v>0</v>
      </c>
      <c r="R381" s="798">
        <f t="shared" si="377"/>
        <v>0</v>
      </c>
      <c r="S381" s="798">
        <f t="shared" si="377"/>
        <v>0</v>
      </c>
      <c r="T381" s="798">
        <f t="shared" si="377"/>
        <v>0</v>
      </c>
      <c r="U381" s="798">
        <f t="shared" si="377"/>
        <v>0</v>
      </c>
      <c r="V381" s="798">
        <f t="shared" si="377"/>
        <v>0</v>
      </c>
      <c r="W381" s="798">
        <f t="shared" si="377"/>
        <v>0</v>
      </c>
      <c r="X381" s="798">
        <f t="shared" si="377"/>
        <v>0</v>
      </c>
      <c r="Y381" s="798">
        <f t="shared" si="377"/>
        <v>0</v>
      </c>
      <c r="Z381" s="798">
        <f t="shared" si="377"/>
        <v>0</v>
      </c>
      <c r="AA381" s="798">
        <f t="shared" si="377"/>
        <v>0</v>
      </c>
      <c r="AB381" s="798">
        <f t="shared" si="377"/>
        <v>0</v>
      </c>
      <c r="AC381" s="798">
        <f t="shared" si="377"/>
        <v>1</v>
      </c>
      <c r="AD381" s="798">
        <f t="shared" si="377"/>
        <v>1</v>
      </c>
      <c r="AE381" s="798">
        <f t="shared" si="377"/>
        <v>1</v>
      </c>
      <c r="AF381" s="798">
        <f t="shared" si="377"/>
        <v>1</v>
      </c>
      <c r="AG381" s="798">
        <f t="shared" si="377"/>
        <v>1</v>
      </c>
      <c r="AH381" s="798">
        <f t="shared" si="377"/>
        <v>1</v>
      </c>
      <c r="AI381" s="798">
        <f t="shared" si="377"/>
        <v>1</v>
      </c>
      <c r="AJ381" s="798">
        <f t="shared" si="377"/>
        <v>1</v>
      </c>
      <c r="AK381" s="798">
        <f t="shared" si="377"/>
        <v>1</v>
      </c>
      <c r="AL381" s="798">
        <f t="shared" si="377"/>
        <v>1</v>
      </c>
      <c r="AM381" s="798">
        <f t="shared" si="377"/>
        <v>1</v>
      </c>
      <c r="AN381" s="798">
        <f t="shared" si="377"/>
        <v>1</v>
      </c>
      <c r="AO381" s="798">
        <f t="shared" si="377"/>
        <v>1</v>
      </c>
      <c r="AP381" s="798">
        <f t="shared" si="377"/>
        <v>1</v>
      </c>
      <c r="AQ381" s="798">
        <f t="shared" si="377"/>
        <v>1</v>
      </c>
      <c r="AR381" s="798">
        <f t="shared" si="377"/>
        <v>1</v>
      </c>
      <c r="AS381" s="798">
        <f t="shared" si="377"/>
        <v>1</v>
      </c>
      <c r="AT381" s="798">
        <f t="shared" si="377"/>
        <v>1</v>
      </c>
      <c r="AU381" s="798">
        <f t="shared" si="377"/>
        <v>1</v>
      </c>
      <c r="AV381" s="798">
        <f t="shared" si="377"/>
        <v>1</v>
      </c>
      <c r="AW381" s="798">
        <f t="shared" si="377"/>
        <v>1</v>
      </c>
      <c r="AX381" s="798">
        <f t="shared" si="377"/>
        <v>1</v>
      </c>
      <c r="AY381" s="798">
        <f t="shared" si="377"/>
        <v>1</v>
      </c>
      <c r="AZ381" s="798">
        <f t="shared" si="377"/>
        <v>1</v>
      </c>
      <c r="BA381" s="798">
        <f t="shared" si="377"/>
        <v>1</v>
      </c>
      <c r="BB381" s="798">
        <f t="shared" si="377"/>
        <v>1</v>
      </c>
      <c r="BC381" s="798">
        <f t="shared" si="377"/>
        <v>1</v>
      </c>
      <c r="BD381" s="798">
        <f t="shared" si="377"/>
        <v>1</v>
      </c>
      <c r="BE381" s="798">
        <f t="shared" si="377"/>
        <v>1</v>
      </c>
      <c r="BF381" s="798">
        <f t="shared" si="377"/>
        <v>1</v>
      </c>
      <c r="BG381" s="798">
        <f t="shared" si="377"/>
        <v>1</v>
      </c>
      <c r="BH381" s="798">
        <f t="shared" si="377"/>
        <v>1</v>
      </c>
      <c r="BI381" s="798">
        <f t="shared" si="377"/>
        <v>1</v>
      </c>
      <c r="BJ381" s="798">
        <f t="shared" si="377"/>
        <v>1</v>
      </c>
      <c r="BK381" s="798">
        <f t="shared" si="377"/>
        <v>1</v>
      </c>
      <c r="BL381" s="765"/>
      <c r="BM381" s="817"/>
      <c r="BN381" s="817"/>
    </row>
    <row r="382" hidden="1">
      <c r="A382" s="765"/>
      <c r="B382" s="765"/>
      <c r="C382" s="765"/>
      <c r="D382" s="765"/>
      <c r="E382" s="765"/>
      <c r="F382" s="765"/>
      <c r="G382" s="765"/>
      <c r="H382" s="765"/>
      <c r="I382" s="765">
        <f t="shared" si="17"/>
        <v>371</v>
      </c>
      <c r="J382" s="763">
        <f t="shared" si="5"/>
        <v>21774677669976</v>
      </c>
      <c r="K382" s="796">
        <f t="shared" si="7"/>
        <v>0.41929</v>
      </c>
      <c r="L382" s="796">
        <v>5.0E-4</v>
      </c>
      <c r="M382" s="763">
        <v>2.48285948346361E13</v>
      </c>
      <c r="N382" s="797">
        <f t="shared" si="8"/>
        <v>0</v>
      </c>
      <c r="O382" s="798">
        <f t="shared" ref="O382:BK382" si="378">FLOOR(MIN((((N("value of ELS upgrade")+N$8*($K382-$K381))*(N("Check checkbox")+(IF($G$6=TRUE,$G$7,$G$8))/$G$8))/(N("ROI of ELS and multiply by 2 if ELS is 1:1")+IF($G$12 = True, 2, 1) * $J382))/((N("difference in ELS+ and the cost of it")+(($K381*O$8)-($K381*N$8)) / O$7)),(N("MIN lets it return 0 or 1 after floored")+1)),1)</f>
        <v>0</v>
      </c>
      <c r="P382" s="798">
        <f t="shared" si="378"/>
        <v>0</v>
      </c>
      <c r="Q382" s="798">
        <f t="shared" si="378"/>
        <v>0</v>
      </c>
      <c r="R382" s="798">
        <f t="shared" si="378"/>
        <v>0</v>
      </c>
      <c r="S382" s="798">
        <f t="shared" si="378"/>
        <v>0</v>
      </c>
      <c r="T382" s="798">
        <f t="shared" si="378"/>
        <v>0</v>
      </c>
      <c r="U382" s="798">
        <f t="shared" si="378"/>
        <v>0</v>
      </c>
      <c r="V382" s="798">
        <f t="shared" si="378"/>
        <v>0</v>
      </c>
      <c r="W382" s="798">
        <f t="shared" si="378"/>
        <v>0</v>
      </c>
      <c r="X382" s="798">
        <f t="shared" si="378"/>
        <v>0</v>
      </c>
      <c r="Y382" s="798">
        <f t="shared" si="378"/>
        <v>0</v>
      </c>
      <c r="Z382" s="798">
        <f t="shared" si="378"/>
        <v>0</v>
      </c>
      <c r="AA382" s="798">
        <f t="shared" si="378"/>
        <v>0</v>
      </c>
      <c r="AB382" s="798">
        <f t="shared" si="378"/>
        <v>0</v>
      </c>
      <c r="AC382" s="798">
        <f t="shared" si="378"/>
        <v>1</v>
      </c>
      <c r="AD382" s="798">
        <f t="shared" si="378"/>
        <v>1</v>
      </c>
      <c r="AE382" s="798">
        <f t="shared" si="378"/>
        <v>1</v>
      </c>
      <c r="AF382" s="798">
        <f t="shared" si="378"/>
        <v>1</v>
      </c>
      <c r="AG382" s="798">
        <f t="shared" si="378"/>
        <v>1</v>
      </c>
      <c r="AH382" s="798">
        <f t="shared" si="378"/>
        <v>1</v>
      </c>
      <c r="AI382" s="798">
        <f t="shared" si="378"/>
        <v>1</v>
      </c>
      <c r="AJ382" s="798">
        <f t="shared" si="378"/>
        <v>1</v>
      </c>
      <c r="AK382" s="798">
        <f t="shared" si="378"/>
        <v>1</v>
      </c>
      <c r="AL382" s="798">
        <f t="shared" si="378"/>
        <v>1</v>
      </c>
      <c r="AM382" s="798">
        <f t="shared" si="378"/>
        <v>1</v>
      </c>
      <c r="AN382" s="798">
        <f t="shared" si="378"/>
        <v>1</v>
      </c>
      <c r="AO382" s="798">
        <f t="shared" si="378"/>
        <v>1</v>
      </c>
      <c r="AP382" s="798">
        <f t="shared" si="378"/>
        <v>1</v>
      </c>
      <c r="AQ382" s="798">
        <f t="shared" si="378"/>
        <v>1</v>
      </c>
      <c r="AR382" s="798">
        <f t="shared" si="378"/>
        <v>1</v>
      </c>
      <c r="AS382" s="798">
        <f t="shared" si="378"/>
        <v>1</v>
      </c>
      <c r="AT382" s="798">
        <f t="shared" si="378"/>
        <v>1</v>
      </c>
      <c r="AU382" s="798">
        <f t="shared" si="378"/>
        <v>1</v>
      </c>
      <c r="AV382" s="798">
        <f t="shared" si="378"/>
        <v>1</v>
      </c>
      <c r="AW382" s="798">
        <f t="shared" si="378"/>
        <v>1</v>
      </c>
      <c r="AX382" s="798">
        <f t="shared" si="378"/>
        <v>1</v>
      </c>
      <c r="AY382" s="798">
        <f t="shared" si="378"/>
        <v>1</v>
      </c>
      <c r="AZ382" s="798">
        <f t="shared" si="378"/>
        <v>1</v>
      </c>
      <c r="BA382" s="798">
        <f t="shared" si="378"/>
        <v>1</v>
      </c>
      <c r="BB382" s="798">
        <f t="shared" si="378"/>
        <v>1</v>
      </c>
      <c r="BC382" s="798">
        <f t="shared" si="378"/>
        <v>1</v>
      </c>
      <c r="BD382" s="798">
        <f t="shared" si="378"/>
        <v>1</v>
      </c>
      <c r="BE382" s="798">
        <f t="shared" si="378"/>
        <v>1</v>
      </c>
      <c r="BF382" s="798">
        <f t="shared" si="378"/>
        <v>1</v>
      </c>
      <c r="BG382" s="798">
        <f t="shared" si="378"/>
        <v>1</v>
      </c>
      <c r="BH382" s="798">
        <f t="shared" si="378"/>
        <v>1</v>
      </c>
      <c r="BI382" s="798">
        <f t="shared" si="378"/>
        <v>1</v>
      </c>
      <c r="BJ382" s="798">
        <f t="shared" si="378"/>
        <v>1</v>
      </c>
      <c r="BK382" s="798">
        <f t="shared" si="378"/>
        <v>1</v>
      </c>
      <c r="BL382" s="765"/>
      <c r="BM382" s="817"/>
      <c r="BN382" s="817"/>
    </row>
    <row r="383" hidden="1">
      <c r="A383" s="765"/>
      <c r="B383" s="765"/>
      <c r="C383" s="765"/>
      <c r="D383" s="765"/>
      <c r="E383" s="765"/>
      <c r="F383" s="765"/>
      <c r="G383" s="765"/>
      <c r="H383" s="765"/>
      <c r="I383" s="765">
        <f t="shared" si="17"/>
        <v>372</v>
      </c>
      <c r="J383" s="763">
        <f t="shared" si="5"/>
        <v>21859770311986</v>
      </c>
      <c r="K383" s="796">
        <f t="shared" si="7"/>
        <v>0.41979</v>
      </c>
      <c r="L383" s="796">
        <v>5.0E-4</v>
      </c>
      <c r="M383" s="763">
        <v>2.49256217924582E13</v>
      </c>
      <c r="N383" s="797">
        <f t="shared" si="8"/>
        <v>0</v>
      </c>
      <c r="O383" s="798">
        <f t="shared" ref="O383:BK383" si="379">FLOOR(MIN((((N("value of ELS upgrade")+N$8*($K383-$K382))*(N("Check checkbox")+(IF($G$6=TRUE,$G$7,$G$8))/$G$8))/(N("ROI of ELS and multiply by 2 if ELS is 1:1")+IF($G$12 = True, 2, 1) * $J383))/((N("difference in ELS+ and the cost of it")+(($K382*O$8)-($K382*N$8)) / O$7)),(N("MIN lets it return 0 or 1 after floored")+1)),1)</f>
        <v>0</v>
      </c>
      <c r="P383" s="798">
        <f t="shared" si="379"/>
        <v>0</v>
      </c>
      <c r="Q383" s="798">
        <f t="shared" si="379"/>
        <v>0</v>
      </c>
      <c r="R383" s="798">
        <f t="shared" si="379"/>
        <v>0</v>
      </c>
      <c r="S383" s="798">
        <f t="shared" si="379"/>
        <v>0</v>
      </c>
      <c r="T383" s="798">
        <f t="shared" si="379"/>
        <v>0</v>
      </c>
      <c r="U383" s="798">
        <f t="shared" si="379"/>
        <v>0</v>
      </c>
      <c r="V383" s="798">
        <f t="shared" si="379"/>
        <v>0</v>
      </c>
      <c r="W383" s="798">
        <f t="shared" si="379"/>
        <v>0</v>
      </c>
      <c r="X383" s="798">
        <f t="shared" si="379"/>
        <v>0</v>
      </c>
      <c r="Y383" s="798">
        <f t="shared" si="379"/>
        <v>0</v>
      </c>
      <c r="Z383" s="798">
        <f t="shared" si="379"/>
        <v>0</v>
      </c>
      <c r="AA383" s="798">
        <f t="shared" si="379"/>
        <v>0</v>
      </c>
      <c r="AB383" s="798">
        <f t="shared" si="379"/>
        <v>0</v>
      </c>
      <c r="AC383" s="798">
        <f t="shared" si="379"/>
        <v>1</v>
      </c>
      <c r="AD383" s="798">
        <f t="shared" si="379"/>
        <v>1</v>
      </c>
      <c r="AE383" s="798">
        <f t="shared" si="379"/>
        <v>1</v>
      </c>
      <c r="AF383" s="798">
        <f t="shared" si="379"/>
        <v>1</v>
      </c>
      <c r="AG383" s="798">
        <f t="shared" si="379"/>
        <v>1</v>
      </c>
      <c r="AH383" s="798">
        <f t="shared" si="379"/>
        <v>1</v>
      </c>
      <c r="AI383" s="798">
        <f t="shared" si="379"/>
        <v>1</v>
      </c>
      <c r="AJ383" s="798">
        <f t="shared" si="379"/>
        <v>1</v>
      </c>
      <c r="AK383" s="798">
        <f t="shared" si="379"/>
        <v>1</v>
      </c>
      <c r="AL383" s="798">
        <f t="shared" si="379"/>
        <v>1</v>
      </c>
      <c r="AM383" s="798">
        <f t="shared" si="379"/>
        <v>1</v>
      </c>
      <c r="AN383" s="798">
        <f t="shared" si="379"/>
        <v>1</v>
      </c>
      <c r="AO383" s="798">
        <f t="shared" si="379"/>
        <v>1</v>
      </c>
      <c r="AP383" s="798">
        <f t="shared" si="379"/>
        <v>1</v>
      </c>
      <c r="AQ383" s="798">
        <f t="shared" si="379"/>
        <v>1</v>
      </c>
      <c r="AR383" s="798">
        <f t="shared" si="379"/>
        <v>1</v>
      </c>
      <c r="AS383" s="798">
        <f t="shared" si="379"/>
        <v>1</v>
      </c>
      <c r="AT383" s="798">
        <f t="shared" si="379"/>
        <v>1</v>
      </c>
      <c r="AU383" s="798">
        <f t="shared" si="379"/>
        <v>1</v>
      </c>
      <c r="AV383" s="798">
        <f t="shared" si="379"/>
        <v>1</v>
      </c>
      <c r="AW383" s="798">
        <f t="shared" si="379"/>
        <v>1</v>
      </c>
      <c r="AX383" s="798">
        <f t="shared" si="379"/>
        <v>1</v>
      </c>
      <c r="AY383" s="798">
        <f t="shared" si="379"/>
        <v>1</v>
      </c>
      <c r="AZ383" s="798">
        <f t="shared" si="379"/>
        <v>1</v>
      </c>
      <c r="BA383" s="798">
        <f t="shared" si="379"/>
        <v>1</v>
      </c>
      <c r="BB383" s="798">
        <f t="shared" si="379"/>
        <v>1</v>
      </c>
      <c r="BC383" s="798">
        <f t="shared" si="379"/>
        <v>1</v>
      </c>
      <c r="BD383" s="798">
        <f t="shared" si="379"/>
        <v>1</v>
      </c>
      <c r="BE383" s="798">
        <f t="shared" si="379"/>
        <v>1</v>
      </c>
      <c r="BF383" s="798">
        <f t="shared" si="379"/>
        <v>1</v>
      </c>
      <c r="BG383" s="798">
        <f t="shared" si="379"/>
        <v>1</v>
      </c>
      <c r="BH383" s="798">
        <f t="shared" si="379"/>
        <v>1</v>
      </c>
      <c r="BI383" s="798">
        <f t="shared" si="379"/>
        <v>1</v>
      </c>
      <c r="BJ383" s="798">
        <f t="shared" si="379"/>
        <v>1</v>
      </c>
      <c r="BK383" s="798">
        <f t="shared" si="379"/>
        <v>1</v>
      </c>
      <c r="BL383" s="765"/>
      <c r="BM383" s="817"/>
      <c r="BN383" s="817"/>
    </row>
    <row r="384" hidden="1">
      <c r="A384" s="765"/>
      <c r="B384" s="765"/>
      <c r="C384" s="765"/>
      <c r="D384" s="765"/>
      <c r="E384" s="765"/>
      <c r="F384" s="765"/>
      <c r="G384" s="765"/>
      <c r="H384" s="765"/>
      <c r="I384" s="765">
        <f t="shared" si="17"/>
        <v>373</v>
      </c>
      <c r="J384" s="763">
        <f t="shared" si="5"/>
        <v>21945120825597</v>
      </c>
      <c r="K384" s="796">
        <f t="shared" si="7"/>
        <v>0.42029</v>
      </c>
      <c r="L384" s="796">
        <v>5.0E-4</v>
      </c>
      <c r="M384" s="763">
        <v>2.50229427885944E13</v>
      </c>
      <c r="N384" s="797">
        <f t="shared" si="8"/>
        <v>0</v>
      </c>
      <c r="O384" s="798">
        <f t="shared" ref="O384:BK384" si="380">FLOOR(MIN((((N("value of ELS upgrade")+N$8*($K384-$K383))*(N("Check checkbox")+(IF($G$6=TRUE,$G$7,$G$8))/$G$8))/(N("ROI of ELS and multiply by 2 if ELS is 1:1")+IF($G$12 = True, 2, 1) * $J384))/((N("difference in ELS+ and the cost of it")+(($K383*O$8)-($K383*N$8)) / O$7)),(N("MIN lets it return 0 or 1 after floored")+1)),1)</f>
        <v>0</v>
      </c>
      <c r="P384" s="798">
        <f t="shared" si="380"/>
        <v>0</v>
      </c>
      <c r="Q384" s="798">
        <f t="shared" si="380"/>
        <v>0</v>
      </c>
      <c r="R384" s="798">
        <f t="shared" si="380"/>
        <v>0</v>
      </c>
      <c r="S384" s="798">
        <f t="shared" si="380"/>
        <v>0</v>
      </c>
      <c r="T384" s="798">
        <f t="shared" si="380"/>
        <v>0</v>
      </c>
      <c r="U384" s="798">
        <f t="shared" si="380"/>
        <v>0</v>
      </c>
      <c r="V384" s="798">
        <f t="shared" si="380"/>
        <v>0</v>
      </c>
      <c r="W384" s="798">
        <f t="shared" si="380"/>
        <v>0</v>
      </c>
      <c r="X384" s="798">
        <f t="shared" si="380"/>
        <v>0</v>
      </c>
      <c r="Y384" s="798">
        <f t="shared" si="380"/>
        <v>0</v>
      </c>
      <c r="Z384" s="798">
        <f t="shared" si="380"/>
        <v>0</v>
      </c>
      <c r="AA384" s="798">
        <f t="shared" si="380"/>
        <v>0</v>
      </c>
      <c r="AB384" s="798">
        <f t="shared" si="380"/>
        <v>0</v>
      </c>
      <c r="AC384" s="798">
        <f t="shared" si="380"/>
        <v>0</v>
      </c>
      <c r="AD384" s="798">
        <f t="shared" si="380"/>
        <v>1</v>
      </c>
      <c r="AE384" s="798">
        <f t="shared" si="380"/>
        <v>1</v>
      </c>
      <c r="AF384" s="798">
        <f t="shared" si="380"/>
        <v>1</v>
      </c>
      <c r="AG384" s="798">
        <f t="shared" si="380"/>
        <v>1</v>
      </c>
      <c r="AH384" s="798">
        <f t="shared" si="380"/>
        <v>1</v>
      </c>
      <c r="AI384" s="798">
        <f t="shared" si="380"/>
        <v>1</v>
      </c>
      <c r="AJ384" s="798">
        <f t="shared" si="380"/>
        <v>1</v>
      </c>
      <c r="AK384" s="798">
        <f t="shared" si="380"/>
        <v>1</v>
      </c>
      <c r="AL384" s="798">
        <f t="shared" si="380"/>
        <v>1</v>
      </c>
      <c r="AM384" s="798">
        <f t="shared" si="380"/>
        <v>1</v>
      </c>
      <c r="AN384" s="798">
        <f t="shared" si="380"/>
        <v>1</v>
      </c>
      <c r="AO384" s="798">
        <f t="shared" si="380"/>
        <v>1</v>
      </c>
      <c r="AP384" s="798">
        <f t="shared" si="380"/>
        <v>1</v>
      </c>
      <c r="AQ384" s="798">
        <f t="shared" si="380"/>
        <v>1</v>
      </c>
      <c r="AR384" s="798">
        <f t="shared" si="380"/>
        <v>1</v>
      </c>
      <c r="AS384" s="798">
        <f t="shared" si="380"/>
        <v>1</v>
      </c>
      <c r="AT384" s="798">
        <f t="shared" si="380"/>
        <v>1</v>
      </c>
      <c r="AU384" s="798">
        <f t="shared" si="380"/>
        <v>1</v>
      </c>
      <c r="AV384" s="798">
        <f t="shared" si="380"/>
        <v>1</v>
      </c>
      <c r="AW384" s="798">
        <f t="shared" si="380"/>
        <v>1</v>
      </c>
      <c r="AX384" s="798">
        <f t="shared" si="380"/>
        <v>1</v>
      </c>
      <c r="AY384" s="798">
        <f t="shared" si="380"/>
        <v>1</v>
      </c>
      <c r="AZ384" s="798">
        <f t="shared" si="380"/>
        <v>1</v>
      </c>
      <c r="BA384" s="798">
        <f t="shared" si="380"/>
        <v>1</v>
      </c>
      <c r="BB384" s="798">
        <f t="shared" si="380"/>
        <v>1</v>
      </c>
      <c r="BC384" s="798">
        <f t="shared" si="380"/>
        <v>1</v>
      </c>
      <c r="BD384" s="798">
        <f t="shared" si="380"/>
        <v>1</v>
      </c>
      <c r="BE384" s="798">
        <f t="shared" si="380"/>
        <v>1</v>
      </c>
      <c r="BF384" s="798">
        <f t="shared" si="380"/>
        <v>1</v>
      </c>
      <c r="BG384" s="798">
        <f t="shared" si="380"/>
        <v>1</v>
      </c>
      <c r="BH384" s="798">
        <f t="shared" si="380"/>
        <v>1</v>
      </c>
      <c r="BI384" s="798">
        <f t="shared" si="380"/>
        <v>1</v>
      </c>
      <c r="BJ384" s="798">
        <f t="shared" si="380"/>
        <v>1</v>
      </c>
      <c r="BK384" s="798">
        <f t="shared" si="380"/>
        <v>1</v>
      </c>
      <c r="BL384" s="765"/>
      <c r="BM384" s="817"/>
      <c r="BN384" s="817"/>
    </row>
    <row r="385" hidden="1">
      <c r="A385" s="765"/>
      <c r="B385" s="765"/>
      <c r="C385" s="765"/>
      <c r="D385" s="765"/>
      <c r="E385" s="765"/>
      <c r="F385" s="765"/>
      <c r="G385" s="765"/>
      <c r="H385" s="765"/>
      <c r="I385" s="765">
        <f t="shared" si="17"/>
        <v>374</v>
      </c>
      <c r="J385" s="763">
        <f t="shared" si="5"/>
        <v>22030730279339</v>
      </c>
      <c r="K385" s="796">
        <f t="shared" si="7"/>
        <v>0.42079</v>
      </c>
      <c r="L385" s="796">
        <v>5.0E-4</v>
      </c>
      <c r="M385" s="763">
        <v>2.51205590414354E13</v>
      </c>
      <c r="N385" s="797">
        <f t="shared" si="8"/>
        <v>0</v>
      </c>
      <c r="O385" s="798">
        <f t="shared" ref="O385:BK385" si="381">FLOOR(MIN((((N("value of ELS upgrade")+N$8*($K385-$K384))*(N("Check checkbox")+(IF($G$6=TRUE,$G$7,$G$8))/$G$8))/(N("ROI of ELS and multiply by 2 if ELS is 1:1")+IF($G$12 = True, 2, 1) * $J385))/((N("difference in ELS+ and the cost of it")+(($K384*O$8)-($K384*N$8)) / O$7)),(N("MIN lets it return 0 or 1 after floored")+1)),1)</f>
        <v>0</v>
      </c>
      <c r="P385" s="798">
        <f t="shared" si="381"/>
        <v>0</v>
      </c>
      <c r="Q385" s="798">
        <f t="shared" si="381"/>
        <v>0</v>
      </c>
      <c r="R385" s="798">
        <f t="shared" si="381"/>
        <v>0</v>
      </c>
      <c r="S385" s="798">
        <f t="shared" si="381"/>
        <v>0</v>
      </c>
      <c r="T385" s="798">
        <f t="shared" si="381"/>
        <v>0</v>
      </c>
      <c r="U385" s="798">
        <f t="shared" si="381"/>
        <v>0</v>
      </c>
      <c r="V385" s="798">
        <f t="shared" si="381"/>
        <v>0</v>
      </c>
      <c r="W385" s="798">
        <f t="shared" si="381"/>
        <v>0</v>
      </c>
      <c r="X385" s="798">
        <f t="shared" si="381"/>
        <v>0</v>
      </c>
      <c r="Y385" s="798">
        <f t="shared" si="381"/>
        <v>0</v>
      </c>
      <c r="Z385" s="798">
        <f t="shared" si="381"/>
        <v>0</v>
      </c>
      <c r="AA385" s="798">
        <f t="shared" si="381"/>
        <v>0</v>
      </c>
      <c r="AB385" s="798">
        <f t="shared" si="381"/>
        <v>0</v>
      </c>
      <c r="AC385" s="798">
        <f t="shared" si="381"/>
        <v>0</v>
      </c>
      <c r="AD385" s="798">
        <f t="shared" si="381"/>
        <v>1</v>
      </c>
      <c r="AE385" s="798">
        <f t="shared" si="381"/>
        <v>1</v>
      </c>
      <c r="AF385" s="798">
        <f t="shared" si="381"/>
        <v>1</v>
      </c>
      <c r="AG385" s="798">
        <f t="shared" si="381"/>
        <v>1</v>
      </c>
      <c r="AH385" s="798">
        <f t="shared" si="381"/>
        <v>1</v>
      </c>
      <c r="AI385" s="798">
        <f t="shared" si="381"/>
        <v>1</v>
      </c>
      <c r="AJ385" s="798">
        <f t="shared" si="381"/>
        <v>1</v>
      </c>
      <c r="AK385" s="798">
        <f t="shared" si="381"/>
        <v>1</v>
      </c>
      <c r="AL385" s="798">
        <f t="shared" si="381"/>
        <v>1</v>
      </c>
      <c r="AM385" s="798">
        <f t="shared" si="381"/>
        <v>1</v>
      </c>
      <c r="AN385" s="798">
        <f t="shared" si="381"/>
        <v>1</v>
      </c>
      <c r="AO385" s="798">
        <f t="shared" si="381"/>
        <v>1</v>
      </c>
      <c r="AP385" s="798">
        <f t="shared" si="381"/>
        <v>1</v>
      </c>
      <c r="AQ385" s="798">
        <f t="shared" si="381"/>
        <v>1</v>
      </c>
      <c r="AR385" s="798">
        <f t="shared" si="381"/>
        <v>1</v>
      </c>
      <c r="AS385" s="798">
        <f t="shared" si="381"/>
        <v>1</v>
      </c>
      <c r="AT385" s="798">
        <f t="shared" si="381"/>
        <v>1</v>
      </c>
      <c r="AU385" s="798">
        <f t="shared" si="381"/>
        <v>1</v>
      </c>
      <c r="AV385" s="798">
        <f t="shared" si="381"/>
        <v>1</v>
      </c>
      <c r="AW385" s="798">
        <f t="shared" si="381"/>
        <v>1</v>
      </c>
      <c r="AX385" s="798">
        <f t="shared" si="381"/>
        <v>1</v>
      </c>
      <c r="AY385" s="798">
        <f t="shared" si="381"/>
        <v>1</v>
      </c>
      <c r="AZ385" s="798">
        <f t="shared" si="381"/>
        <v>1</v>
      </c>
      <c r="BA385" s="798">
        <f t="shared" si="381"/>
        <v>1</v>
      </c>
      <c r="BB385" s="798">
        <f t="shared" si="381"/>
        <v>1</v>
      </c>
      <c r="BC385" s="798">
        <f t="shared" si="381"/>
        <v>1</v>
      </c>
      <c r="BD385" s="798">
        <f t="shared" si="381"/>
        <v>1</v>
      </c>
      <c r="BE385" s="798">
        <f t="shared" si="381"/>
        <v>1</v>
      </c>
      <c r="BF385" s="798">
        <f t="shared" si="381"/>
        <v>1</v>
      </c>
      <c r="BG385" s="798">
        <f t="shared" si="381"/>
        <v>1</v>
      </c>
      <c r="BH385" s="798">
        <f t="shared" si="381"/>
        <v>1</v>
      </c>
      <c r="BI385" s="798">
        <f t="shared" si="381"/>
        <v>1</v>
      </c>
      <c r="BJ385" s="798">
        <f t="shared" si="381"/>
        <v>1</v>
      </c>
      <c r="BK385" s="798">
        <f t="shared" si="381"/>
        <v>1</v>
      </c>
      <c r="BL385" s="765"/>
      <c r="BM385" s="817"/>
      <c r="BN385" s="817"/>
    </row>
    <row r="386" hidden="1">
      <c r="A386" s="765"/>
      <c r="B386" s="765"/>
      <c r="C386" s="765"/>
      <c r="D386" s="765"/>
      <c r="E386" s="765"/>
      <c r="F386" s="765"/>
      <c r="G386" s="765"/>
      <c r="H386" s="765"/>
      <c r="I386" s="765">
        <f t="shared" si="17"/>
        <v>375</v>
      </c>
      <c r="J386" s="763">
        <f t="shared" si="5"/>
        <v>22116599029387</v>
      </c>
      <c r="K386" s="796">
        <f t="shared" si="7"/>
        <v>0.42129</v>
      </c>
      <c r="L386" s="796">
        <v>5.0E-4</v>
      </c>
      <c r="M386" s="763">
        <v>2.52184709571116E13</v>
      </c>
      <c r="N386" s="797">
        <f t="shared" si="8"/>
        <v>0</v>
      </c>
      <c r="O386" s="798">
        <f t="shared" ref="O386:BK386" si="382">FLOOR(MIN((((N("value of ELS upgrade")+N$8*($K386-$K385))*(N("Check checkbox")+(IF($G$6=TRUE,$G$7,$G$8))/$G$8))/(N("ROI of ELS and multiply by 2 if ELS is 1:1")+IF($G$12 = True, 2, 1) * $J386))/((N("difference in ELS+ and the cost of it")+(($K385*O$8)-($K385*N$8)) / O$7)),(N("MIN lets it return 0 or 1 after floored")+1)),1)</f>
        <v>0</v>
      </c>
      <c r="P386" s="798">
        <f t="shared" si="382"/>
        <v>0</v>
      </c>
      <c r="Q386" s="798">
        <f t="shared" si="382"/>
        <v>0</v>
      </c>
      <c r="R386" s="798">
        <f t="shared" si="382"/>
        <v>0</v>
      </c>
      <c r="S386" s="798">
        <f t="shared" si="382"/>
        <v>0</v>
      </c>
      <c r="T386" s="798">
        <f t="shared" si="382"/>
        <v>0</v>
      </c>
      <c r="U386" s="798">
        <f t="shared" si="382"/>
        <v>0</v>
      </c>
      <c r="V386" s="798">
        <f t="shared" si="382"/>
        <v>0</v>
      </c>
      <c r="W386" s="798">
        <f t="shared" si="382"/>
        <v>0</v>
      </c>
      <c r="X386" s="798">
        <f t="shared" si="382"/>
        <v>0</v>
      </c>
      <c r="Y386" s="798">
        <f t="shared" si="382"/>
        <v>0</v>
      </c>
      <c r="Z386" s="798">
        <f t="shared" si="382"/>
        <v>0</v>
      </c>
      <c r="AA386" s="798">
        <f t="shared" si="382"/>
        <v>0</v>
      </c>
      <c r="AB386" s="798">
        <f t="shared" si="382"/>
        <v>0</v>
      </c>
      <c r="AC386" s="798">
        <f t="shared" si="382"/>
        <v>0</v>
      </c>
      <c r="AD386" s="798">
        <f t="shared" si="382"/>
        <v>1</v>
      </c>
      <c r="AE386" s="798">
        <f t="shared" si="382"/>
        <v>1</v>
      </c>
      <c r="AF386" s="798">
        <f t="shared" si="382"/>
        <v>1</v>
      </c>
      <c r="AG386" s="798">
        <f t="shared" si="382"/>
        <v>1</v>
      </c>
      <c r="AH386" s="798">
        <f t="shared" si="382"/>
        <v>1</v>
      </c>
      <c r="AI386" s="798">
        <f t="shared" si="382"/>
        <v>1</v>
      </c>
      <c r="AJ386" s="798">
        <f t="shared" si="382"/>
        <v>1</v>
      </c>
      <c r="AK386" s="798">
        <f t="shared" si="382"/>
        <v>1</v>
      </c>
      <c r="AL386" s="798">
        <f t="shared" si="382"/>
        <v>1</v>
      </c>
      <c r="AM386" s="798">
        <f t="shared" si="382"/>
        <v>1</v>
      </c>
      <c r="AN386" s="798">
        <f t="shared" si="382"/>
        <v>1</v>
      </c>
      <c r="AO386" s="798">
        <f t="shared" si="382"/>
        <v>1</v>
      </c>
      <c r="AP386" s="798">
        <f t="shared" si="382"/>
        <v>1</v>
      </c>
      <c r="AQ386" s="798">
        <f t="shared" si="382"/>
        <v>1</v>
      </c>
      <c r="AR386" s="798">
        <f t="shared" si="382"/>
        <v>1</v>
      </c>
      <c r="AS386" s="798">
        <f t="shared" si="382"/>
        <v>1</v>
      </c>
      <c r="AT386" s="798">
        <f t="shared" si="382"/>
        <v>1</v>
      </c>
      <c r="AU386" s="798">
        <f t="shared" si="382"/>
        <v>1</v>
      </c>
      <c r="AV386" s="798">
        <f t="shared" si="382"/>
        <v>1</v>
      </c>
      <c r="AW386" s="798">
        <f t="shared" si="382"/>
        <v>1</v>
      </c>
      <c r="AX386" s="798">
        <f t="shared" si="382"/>
        <v>1</v>
      </c>
      <c r="AY386" s="798">
        <f t="shared" si="382"/>
        <v>1</v>
      </c>
      <c r="AZ386" s="798">
        <f t="shared" si="382"/>
        <v>1</v>
      </c>
      <c r="BA386" s="798">
        <f t="shared" si="382"/>
        <v>1</v>
      </c>
      <c r="BB386" s="798">
        <f t="shared" si="382"/>
        <v>1</v>
      </c>
      <c r="BC386" s="798">
        <f t="shared" si="382"/>
        <v>1</v>
      </c>
      <c r="BD386" s="798">
        <f t="shared" si="382"/>
        <v>1</v>
      </c>
      <c r="BE386" s="798">
        <f t="shared" si="382"/>
        <v>1</v>
      </c>
      <c r="BF386" s="798">
        <f t="shared" si="382"/>
        <v>1</v>
      </c>
      <c r="BG386" s="798">
        <f t="shared" si="382"/>
        <v>1</v>
      </c>
      <c r="BH386" s="798">
        <f t="shared" si="382"/>
        <v>1</v>
      </c>
      <c r="BI386" s="798">
        <f t="shared" si="382"/>
        <v>1</v>
      </c>
      <c r="BJ386" s="798">
        <f t="shared" si="382"/>
        <v>1</v>
      </c>
      <c r="BK386" s="798">
        <f t="shared" si="382"/>
        <v>1</v>
      </c>
      <c r="BL386" s="765"/>
      <c r="BM386" s="817"/>
      <c r="BN386" s="817"/>
    </row>
    <row r="387" hidden="1">
      <c r="A387" s="765"/>
      <c r="B387" s="765"/>
      <c r="C387" s="765"/>
      <c r="D387" s="765"/>
      <c r="E387" s="765"/>
      <c r="F387" s="765"/>
      <c r="G387" s="765"/>
      <c r="H387" s="765"/>
      <c r="I387" s="765">
        <f t="shared" si="17"/>
        <v>376</v>
      </c>
      <c r="J387" s="763">
        <f t="shared" si="5"/>
        <v>22202728500446</v>
      </c>
      <c r="K387" s="796">
        <f t="shared" si="7"/>
        <v>0.42179</v>
      </c>
      <c r="L387" s="796">
        <v>5.0E-4</v>
      </c>
      <c r="M387" s="763">
        <v>2.5316680160144E13</v>
      </c>
      <c r="N387" s="797">
        <f t="shared" si="8"/>
        <v>0</v>
      </c>
      <c r="O387" s="798">
        <f t="shared" ref="O387:BK387" si="383">FLOOR(MIN((((N("value of ELS upgrade")+N$8*($K387-$K386))*(N("Check checkbox")+(IF($G$6=TRUE,$G$7,$G$8))/$G$8))/(N("ROI of ELS and multiply by 2 if ELS is 1:1")+IF($G$12 = True, 2, 1) * $J387))/((N("difference in ELS+ and the cost of it")+(($K386*O$8)-($K386*N$8)) / O$7)),(N("MIN lets it return 0 or 1 after floored")+1)),1)</f>
        <v>0</v>
      </c>
      <c r="P387" s="798">
        <f t="shared" si="383"/>
        <v>0</v>
      </c>
      <c r="Q387" s="798">
        <f t="shared" si="383"/>
        <v>0</v>
      </c>
      <c r="R387" s="798">
        <f t="shared" si="383"/>
        <v>0</v>
      </c>
      <c r="S387" s="798">
        <f t="shared" si="383"/>
        <v>0</v>
      </c>
      <c r="T387" s="798">
        <f t="shared" si="383"/>
        <v>0</v>
      </c>
      <c r="U387" s="798">
        <f t="shared" si="383"/>
        <v>0</v>
      </c>
      <c r="V387" s="798">
        <f t="shared" si="383"/>
        <v>0</v>
      </c>
      <c r="W387" s="798">
        <f t="shared" si="383"/>
        <v>0</v>
      </c>
      <c r="X387" s="798">
        <f t="shared" si="383"/>
        <v>0</v>
      </c>
      <c r="Y387" s="798">
        <f t="shared" si="383"/>
        <v>0</v>
      </c>
      <c r="Z387" s="798">
        <f t="shared" si="383"/>
        <v>0</v>
      </c>
      <c r="AA387" s="798">
        <f t="shared" si="383"/>
        <v>0</v>
      </c>
      <c r="AB387" s="798">
        <f t="shared" si="383"/>
        <v>0</v>
      </c>
      <c r="AC387" s="798">
        <f t="shared" si="383"/>
        <v>0</v>
      </c>
      <c r="AD387" s="798">
        <f t="shared" si="383"/>
        <v>1</v>
      </c>
      <c r="AE387" s="798">
        <f t="shared" si="383"/>
        <v>1</v>
      </c>
      <c r="AF387" s="798">
        <f t="shared" si="383"/>
        <v>1</v>
      </c>
      <c r="AG387" s="798">
        <f t="shared" si="383"/>
        <v>1</v>
      </c>
      <c r="AH387" s="798">
        <f t="shared" si="383"/>
        <v>1</v>
      </c>
      <c r="AI387" s="798">
        <f t="shared" si="383"/>
        <v>1</v>
      </c>
      <c r="AJ387" s="798">
        <f t="shared" si="383"/>
        <v>1</v>
      </c>
      <c r="AK387" s="798">
        <f t="shared" si="383"/>
        <v>1</v>
      </c>
      <c r="AL387" s="798">
        <f t="shared" si="383"/>
        <v>1</v>
      </c>
      <c r="AM387" s="798">
        <f t="shared" si="383"/>
        <v>1</v>
      </c>
      <c r="AN387" s="798">
        <f t="shared" si="383"/>
        <v>1</v>
      </c>
      <c r="AO387" s="798">
        <f t="shared" si="383"/>
        <v>1</v>
      </c>
      <c r="AP387" s="798">
        <f t="shared" si="383"/>
        <v>1</v>
      </c>
      <c r="AQ387" s="798">
        <f t="shared" si="383"/>
        <v>1</v>
      </c>
      <c r="AR387" s="798">
        <f t="shared" si="383"/>
        <v>1</v>
      </c>
      <c r="AS387" s="798">
        <f t="shared" si="383"/>
        <v>1</v>
      </c>
      <c r="AT387" s="798">
        <f t="shared" si="383"/>
        <v>1</v>
      </c>
      <c r="AU387" s="798">
        <f t="shared" si="383"/>
        <v>1</v>
      </c>
      <c r="AV387" s="798">
        <f t="shared" si="383"/>
        <v>1</v>
      </c>
      <c r="AW387" s="798">
        <f t="shared" si="383"/>
        <v>1</v>
      </c>
      <c r="AX387" s="798">
        <f t="shared" si="383"/>
        <v>1</v>
      </c>
      <c r="AY387" s="798">
        <f t="shared" si="383"/>
        <v>1</v>
      </c>
      <c r="AZ387" s="798">
        <f t="shared" si="383"/>
        <v>1</v>
      </c>
      <c r="BA387" s="798">
        <f t="shared" si="383"/>
        <v>1</v>
      </c>
      <c r="BB387" s="798">
        <f t="shared" si="383"/>
        <v>1</v>
      </c>
      <c r="BC387" s="798">
        <f t="shared" si="383"/>
        <v>1</v>
      </c>
      <c r="BD387" s="798">
        <f t="shared" si="383"/>
        <v>1</v>
      </c>
      <c r="BE387" s="798">
        <f t="shared" si="383"/>
        <v>1</v>
      </c>
      <c r="BF387" s="798">
        <f t="shared" si="383"/>
        <v>1</v>
      </c>
      <c r="BG387" s="798">
        <f t="shared" si="383"/>
        <v>1</v>
      </c>
      <c r="BH387" s="798">
        <f t="shared" si="383"/>
        <v>1</v>
      </c>
      <c r="BI387" s="798">
        <f t="shared" si="383"/>
        <v>1</v>
      </c>
      <c r="BJ387" s="798">
        <f t="shared" si="383"/>
        <v>1</v>
      </c>
      <c r="BK387" s="798">
        <f t="shared" si="383"/>
        <v>1</v>
      </c>
      <c r="BL387" s="765"/>
      <c r="BM387" s="817"/>
      <c r="BN387" s="817"/>
    </row>
    <row r="388" hidden="1">
      <c r="A388" s="765"/>
      <c r="B388" s="765"/>
      <c r="C388" s="765"/>
      <c r="D388" s="765"/>
      <c r="E388" s="765"/>
      <c r="F388" s="765"/>
      <c r="G388" s="765"/>
      <c r="H388" s="765"/>
      <c r="I388" s="765">
        <f t="shared" si="17"/>
        <v>377</v>
      </c>
      <c r="J388" s="763">
        <f t="shared" si="5"/>
        <v>22289119761046</v>
      </c>
      <c r="K388" s="796">
        <f t="shared" si="7"/>
        <v>0.42229</v>
      </c>
      <c r="L388" s="796">
        <v>5.0E-4</v>
      </c>
      <c r="M388" s="763">
        <v>2.54151878689234E13</v>
      </c>
      <c r="N388" s="797">
        <f t="shared" si="8"/>
        <v>0</v>
      </c>
      <c r="O388" s="798">
        <f t="shared" ref="O388:BK388" si="384">FLOOR(MIN((((N("value of ELS upgrade")+N$8*($K388-$K387))*(N("Check checkbox")+(IF($G$6=TRUE,$G$7,$G$8))/$G$8))/(N("ROI of ELS and multiply by 2 if ELS is 1:1")+IF($G$12 = True, 2, 1) * $J388))/((N("difference in ELS+ and the cost of it")+(($K387*O$8)-($K387*N$8)) / O$7)),(N("MIN lets it return 0 or 1 after floored")+1)),1)</f>
        <v>0</v>
      </c>
      <c r="P388" s="798">
        <f t="shared" si="384"/>
        <v>0</v>
      </c>
      <c r="Q388" s="798">
        <f t="shared" si="384"/>
        <v>0</v>
      </c>
      <c r="R388" s="798">
        <f t="shared" si="384"/>
        <v>0</v>
      </c>
      <c r="S388" s="798">
        <f t="shared" si="384"/>
        <v>0</v>
      </c>
      <c r="T388" s="798">
        <f t="shared" si="384"/>
        <v>0</v>
      </c>
      <c r="U388" s="798">
        <f t="shared" si="384"/>
        <v>0</v>
      </c>
      <c r="V388" s="798">
        <f t="shared" si="384"/>
        <v>0</v>
      </c>
      <c r="W388" s="798">
        <f t="shared" si="384"/>
        <v>0</v>
      </c>
      <c r="X388" s="798">
        <f t="shared" si="384"/>
        <v>0</v>
      </c>
      <c r="Y388" s="798">
        <f t="shared" si="384"/>
        <v>0</v>
      </c>
      <c r="Z388" s="798">
        <f t="shared" si="384"/>
        <v>0</v>
      </c>
      <c r="AA388" s="798">
        <f t="shared" si="384"/>
        <v>0</v>
      </c>
      <c r="AB388" s="798">
        <f t="shared" si="384"/>
        <v>0</v>
      </c>
      <c r="AC388" s="798">
        <f t="shared" si="384"/>
        <v>0</v>
      </c>
      <c r="AD388" s="798">
        <f t="shared" si="384"/>
        <v>1</v>
      </c>
      <c r="AE388" s="798">
        <f t="shared" si="384"/>
        <v>1</v>
      </c>
      <c r="AF388" s="798">
        <f t="shared" si="384"/>
        <v>1</v>
      </c>
      <c r="AG388" s="798">
        <f t="shared" si="384"/>
        <v>1</v>
      </c>
      <c r="AH388" s="798">
        <f t="shared" si="384"/>
        <v>1</v>
      </c>
      <c r="AI388" s="798">
        <f t="shared" si="384"/>
        <v>1</v>
      </c>
      <c r="AJ388" s="798">
        <f t="shared" si="384"/>
        <v>1</v>
      </c>
      <c r="AK388" s="798">
        <f t="shared" si="384"/>
        <v>1</v>
      </c>
      <c r="AL388" s="798">
        <f t="shared" si="384"/>
        <v>1</v>
      </c>
      <c r="AM388" s="798">
        <f t="shared" si="384"/>
        <v>1</v>
      </c>
      <c r="AN388" s="798">
        <f t="shared" si="384"/>
        <v>1</v>
      </c>
      <c r="AO388" s="798">
        <f t="shared" si="384"/>
        <v>1</v>
      </c>
      <c r="AP388" s="798">
        <f t="shared" si="384"/>
        <v>1</v>
      </c>
      <c r="AQ388" s="798">
        <f t="shared" si="384"/>
        <v>1</v>
      </c>
      <c r="AR388" s="798">
        <f t="shared" si="384"/>
        <v>1</v>
      </c>
      <c r="AS388" s="798">
        <f t="shared" si="384"/>
        <v>1</v>
      </c>
      <c r="AT388" s="798">
        <f t="shared" si="384"/>
        <v>1</v>
      </c>
      <c r="AU388" s="798">
        <f t="shared" si="384"/>
        <v>1</v>
      </c>
      <c r="AV388" s="798">
        <f t="shared" si="384"/>
        <v>1</v>
      </c>
      <c r="AW388" s="798">
        <f t="shared" si="384"/>
        <v>1</v>
      </c>
      <c r="AX388" s="798">
        <f t="shared" si="384"/>
        <v>1</v>
      </c>
      <c r="AY388" s="798">
        <f t="shared" si="384"/>
        <v>1</v>
      </c>
      <c r="AZ388" s="798">
        <f t="shared" si="384"/>
        <v>1</v>
      </c>
      <c r="BA388" s="798">
        <f t="shared" si="384"/>
        <v>1</v>
      </c>
      <c r="BB388" s="798">
        <f t="shared" si="384"/>
        <v>1</v>
      </c>
      <c r="BC388" s="798">
        <f t="shared" si="384"/>
        <v>1</v>
      </c>
      <c r="BD388" s="798">
        <f t="shared" si="384"/>
        <v>1</v>
      </c>
      <c r="BE388" s="798">
        <f t="shared" si="384"/>
        <v>1</v>
      </c>
      <c r="BF388" s="798">
        <f t="shared" si="384"/>
        <v>1</v>
      </c>
      <c r="BG388" s="798">
        <f t="shared" si="384"/>
        <v>1</v>
      </c>
      <c r="BH388" s="798">
        <f t="shared" si="384"/>
        <v>1</v>
      </c>
      <c r="BI388" s="798">
        <f t="shared" si="384"/>
        <v>1</v>
      </c>
      <c r="BJ388" s="798">
        <f t="shared" si="384"/>
        <v>1</v>
      </c>
      <c r="BK388" s="798">
        <f t="shared" si="384"/>
        <v>1</v>
      </c>
      <c r="BL388" s="765"/>
      <c r="BM388" s="817"/>
      <c r="BN388" s="817"/>
    </row>
    <row r="389" hidden="1">
      <c r="A389" s="765"/>
      <c r="B389" s="765"/>
      <c r="C389" s="765"/>
      <c r="D389" s="765"/>
      <c r="E389" s="765"/>
      <c r="F389" s="765"/>
      <c r="G389" s="765"/>
      <c r="H389" s="765"/>
      <c r="I389" s="765">
        <f t="shared" si="17"/>
        <v>378</v>
      </c>
      <c r="J389" s="763">
        <f t="shared" si="5"/>
        <v>22375773167362</v>
      </c>
      <c r="K389" s="796">
        <f t="shared" si="7"/>
        <v>0.42279</v>
      </c>
      <c r="L389" s="796">
        <v>5.0E-4</v>
      </c>
      <c r="M389" s="763">
        <v>2.55139944895801E13</v>
      </c>
      <c r="N389" s="797">
        <f t="shared" si="8"/>
        <v>0</v>
      </c>
      <c r="O389" s="798">
        <f t="shared" ref="O389:BK389" si="385">FLOOR(MIN((((N("value of ELS upgrade")+N$8*($K389-$K388))*(N("Check checkbox")+(IF($G$6=TRUE,$G$7,$G$8))/$G$8))/(N("ROI of ELS and multiply by 2 if ELS is 1:1")+IF($G$12 = True, 2, 1) * $J389))/((N("difference in ELS+ and the cost of it")+(($K388*O$8)-($K388*N$8)) / O$7)),(N("MIN lets it return 0 or 1 after floored")+1)),1)</f>
        <v>0</v>
      </c>
      <c r="P389" s="798">
        <f t="shared" si="385"/>
        <v>0</v>
      </c>
      <c r="Q389" s="798">
        <f t="shared" si="385"/>
        <v>0</v>
      </c>
      <c r="R389" s="798">
        <f t="shared" si="385"/>
        <v>0</v>
      </c>
      <c r="S389" s="798">
        <f t="shared" si="385"/>
        <v>0</v>
      </c>
      <c r="T389" s="798">
        <f t="shared" si="385"/>
        <v>0</v>
      </c>
      <c r="U389" s="798">
        <f t="shared" si="385"/>
        <v>0</v>
      </c>
      <c r="V389" s="798">
        <f t="shared" si="385"/>
        <v>0</v>
      </c>
      <c r="W389" s="798">
        <f t="shared" si="385"/>
        <v>0</v>
      </c>
      <c r="X389" s="798">
        <f t="shared" si="385"/>
        <v>0</v>
      </c>
      <c r="Y389" s="798">
        <f t="shared" si="385"/>
        <v>0</v>
      </c>
      <c r="Z389" s="798">
        <f t="shared" si="385"/>
        <v>0</v>
      </c>
      <c r="AA389" s="798">
        <f t="shared" si="385"/>
        <v>0</v>
      </c>
      <c r="AB389" s="798">
        <f t="shared" si="385"/>
        <v>0</v>
      </c>
      <c r="AC389" s="798">
        <f t="shared" si="385"/>
        <v>0</v>
      </c>
      <c r="AD389" s="798">
        <f t="shared" si="385"/>
        <v>1</v>
      </c>
      <c r="AE389" s="798">
        <f t="shared" si="385"/>
        <v>1</v>
      </c>
      <c r="AF389" s="798">
        <f t="shared" si="385"/>
        <v>1</v>
      </c>
      <c r="AG389" s="798">
        <f t="shared" si="385"/>
        <v>1</v>
      </c>
      <c r="AH389" s="798">
        <f t="shared" si="385"/>
        <v>1</v>
      </c>
      <c r="AI389" s="798">
        <f t="shared" si="385"/>
        <v>1</v>
      </c>
      <c r="AJ389" s="798">
        <f t="shared" si="385"/>
        <v>1</v>
      </c>
      <c r="AK389" s="798">
        <f t="shared" si="385"/>
        <v>1</v>
      </c>
      <c r="AL389" s="798">
        <f t="shared" si="385"/>
        <v>1</v>
      </c>
      <c r="AM389" s="798">
        <f t="shared" si="385"/>
        <v>1</v>
      </c>
      <c r="AN389" s="798">
        <f t="shared" si="385"/>
        <v>1</v>
      </c>
      <c r="AO389" s="798">
        <f t="shared" si="385"/>
        <v>1</v>
      </c>
      <c r="AP389" s="798">
        <f t="shared" si="385"/>
        <v>1</v>
      </c>
      <c r="AQ389" s="798">
        <f t="shared" si="385"/>
        <v>1</v>
      </c>
      <c r="AR389" s="798">
        <f t="shared" si="385"/>
        <v>1</v>
      </c>
      <c r="AS389" s="798">
        <f t="shared" si="385"/>
        <v>1</v>
      </c>
      <c r="AT389" s="798">
        <f t="shared" si="385"/>
        <v>1</v>
      </c>
      <c r="AU389" s="798">
        <f t="shared" si="385"/>
        <v>1</v>
      </c>
      <c r="AV389" s="798">
        <f t="shared" si="385"/>
        <v>1</v>
      </c>
      <c r="AW389" s="798">
        <f t="shared" si="385"/>
        <v>1</v>
      </c>
      <c r="AX389" s="798">
        <f t="shared" si="385"/>
        <v>1</v>
      </c>
      <c r="AY389" s="798">
        <f t="shared" si="385"/>
        <v>1</v>
      </c>
      <c r="AZ389" s="798">
        <f t="shared" si="385"/>
        <v>1</v>
      </c>
      <c r="BA389" s="798">
        <f t="shared" si="385"/>
        <v>1</v>
      </c>
      <c r="BB389" s="798">
        <f t="shared" si="385"/>
        <v>1</v>
      </c>
      <c r="BC389" s="798">
        <f t="shared" si="385"/>
        <v>1</v>
      </c>
      <c r="BD389" s="798">
        <f t="shared" si="385"/>
        <v>1</v>
      </c>
      <c r="BE389" s="798">
        <f t="shared" si="385"/>
        <v>1</v>
      </c>
      <c r="BF389" s="798">
        <f t="shared" si="385"/>
        <v>1</v>
      </c>
      <c r="BG389" s="798">
        <f t="shared" si="385"/>
        <v>1</v>
      </c>
      <c r="BH389" s="798">
        <f t="shared" si="385"/>
        <v>1</v>
      </c>
      <c r="BI389" s="798">
        <f t="shared" si="385"/>
        <v>1</v>
      </c>
      <c r="BJ389" s="798">
        <f t="shared" si="385"/>
        <v>1</v>
      </c>
      <c r="BK389" s="798">
        <f t="shared" si="385"/>
        <v>1</v>
      </c>
      <c r="BL389" s="765"/>
      <c r="BM389" s="817"/>
      <c r="BN389" s="817"/>
    </row>
    <row r="390" hidden="1">
      <c r="A390" s="765"/>
      <c r="B390" s="765"/>
      <c r="C390" s="765"/>
      <c r="D390" s="765"/>
      <c r="E390" s="765"/>
      <c r="F390" s="765"/>
      <c r="G390" s="765"/>
      <c r="H390" s="765"/>
      <c r="I390" s="765">
        <f t="shared" si="17"/>
        <v>379</v>
      </c>
      <c r="J390" s="763">
        <f t="shared" si="5"/>
        <v>22462690144099</v>
      </c>
      <c r="K390" s="796">
        <f t="shared" si="7"/>
        <v>0.42329</v>
      </c>
      <c r="L390" s="796">
        <v>5.0E-4</v>
      </c>
      <c r="M390" s="763">
        <v>2.56131016466352E13</v>
      </c>
      <c r="N390" s="797">
        <f t="shared" si="8"/>
        <v>0</v>
      </c>
      <c r="O390" s="798">
        <f t="shared" ref="O390:BK390" si="386">FLOOR(MIN((((N("value of ELS upgrade")+N$8*($K390-$K389))*(N("Check checkbox")+(IF($G$6=TRUE,$G$7,$G$8))/$G$8))/(N("ROI of ELS and multiply by 2 if ELS is 1:1")+IF($G$12 = True, 2, 1) * $J390))/((N("difference in ELS+ and the cost of it")+(($K389*O$8)-($K389*N$8)) / O$7)),(N("MIN lets it return 0 or 1 after floored")+1)),1)</f>
        <v>0</v>
      </c>
      <c r="P390" s="798">
        <f t="shared" si="386"/>
        <v>0</v>
      </c>
      <c r="Q390" s="798">
        <f t="shared" si="386"/>
        <v>0</v>
      </c>
      <c r="R390" s="798">
        <f t="shared" si="386"/>
        <v>0</v>
      </c>
      <c r="S390" s="798">
        <f t="shared" si="386"/>
        <v>0</v>
      </c>
      <c r="T390" s="798">
        <f t="shared" si="386"/>
        <v>0</v>
      </c>
      <c r="U390" s="798">
        <f t="shared" si="386"/>
        <v>0</v>
      </c>
      <c r="V390" s="798">
        <f t="shared" si="386"/>
        <v>0</v>
      </c>
      <c r="W390" s="798">
        <f t="shared" si="386"/>
        <v>0</v>
      </c>
      <c r="X390" s="798">
        <f t="shared" si="386"/>
        <v>0</v>
      </c>
      <c r="Y390" s="798">
        <f t="shared" si="386"/>
        <v>0</v>
      </c>
      <c r="Z390" s="798">
        <f t="shared" si="386"/>
        <v>0</v>
      </c>
      <c r="AA390" s="798">
        <f t="shared" si="386"/>
        <v>0</v>
      </c>
      <c r="AB390" s="798">
        <f t="shared" si="386"/>
        <v>0</v>
      </c>
      <c r="AC390" s="798">
        <f t="shared" si="386"/>
        <v>0</v>
      </c>
      <c r="AD390" s="798">
        <f t="shared" si="386"/>
        <v>1</v>
      </c>
      <c r="AE390" s="798">
        <f t="shared" si="386"/>
        <v>1</v>
      </c>
      <c r="AF390" s="798">
        <f t="shared" si="386"/>
        <v>1</v>
      </c>
      <c r="AG390" s="798">
        <f t="shared" si="386"/>
        <v>1</v>
      </c>
      <c r="AH390" s="798">
        <f t="shared" si="386"/>
        <v>1</v>
      </c>
      <c r="AI390" s="798">
        <f t="shared" si="386"/>
        <v>1</v>
      </c>
      <c r="AJ390" s="798">
        <f t="shared" si="386"/>
        <v>1</v>
      </c>
      <c r="AK390" s="798">
        <f t="shared" si="386"/>
        <v>1</v>
      </c>
      <c r="AL390" s="798">
        <f t="shared" si="386"/>
        <v>1</v>
      </c>
      <c r="AM390" s="798">
        <f t="shared" si="386"/>
        <v>1</v>
      </c>
      <c r="AN390" s="798">
        <f t="shared" si="386"/>
        <v>1</v>
      </c>
      <c r="AO390" s="798">
        <f t="shared" si="386"/>
        <v>1</v>
      </c>
      <c r="AP390" s="798">
        <f t="shared" si="386"/>
        <v>1</v>
      </c>
      <c r="AQ390" s="798">
        <f t="shared" si="386"/>
        <v>1</v>
      </c>
      <c r="AR390" s="798">
        <f t="shared" si="386"/>
        <v>1</v>
      </c>
      <c r="AS390" s="798">
        <f t="shared" si="386"/>
        <v>1</v>
      </c>
      <c r="AT390" s="798">
        <f t="shared" si="386"/>
        <v>1</v>
      </c>
      <c r="AU390" s="798">
        <f t="shared" si="386"/>
        <v>1</v>
      </c>
      <c r="AV390" s="798">
        <f t="shared" si="386"/>
        <v>1</v>
      </c>
      <c r="AW390" s="798">
        <f t="shared" si="386"/>
        <v>1</v>
      </c>
      <c r="AX390" s="798">
        <f t="shared" si="386"/>
        <v>1</v>
      </c>
      <c r="AY390" s="798">
        <f t="shared" si="386"/>
        <v>1</v>
      </c>
      <c r="AZ390" s="798">
        <f t="shared" si="386"/>
        <v>1</v>
      </c>
      <c r="BA390" s="798">
        <f t="shared" si="386"/>
        <v>1</v>
      </c>
      <c r="BB390" s="798">
        <f t="shared" si="386"/>
        <v>1</v>
      </c>
      <c r="BC390" s="798">
        <f t="shared" si="386"/>
        <v>1</v>
      </c>
      <c r="BD390" s="798">
        <f t="shared" si="386"/>
        <v>1</v>
      </c>
      <c r="BE390" s="798">
        <f t="shared" si="386"/>
        <v>1</v>
      </c>
      <c r="BF390" s="798">
        <f t="shared" si="386"/>
        <v>1</v>
      </c>
      <c r="BG390" s="798">
        <f t="shared" si="386"/>
        <v>1</v>
      </c>
      <c r="BH390" s="798">
        <f t="shared" si="386"/>
        <v>1</v>
      </c>
      <c r="BI390" s="798">
        <f t="shared" si="386"/>
        <v>1</v>
      </c>
      <c r="BJ390" s="798">
        <f t="shared" si="386"/>
        <v>1</v>
      </c>
      <c r="BK390" s="798">
        <f t="shared" si="386"/>
        <v>1</v>
      </c>
      <c r="BL390" s="765"/>
      <c r="BM390" s="817"/>
      <c r="BN390" s="817"/>
    </row>
    <row r="391" hidden="1">
      <c r="A391" s="765"/>
      <c r="B391" s="765"/>
      <c r="C391" s="765"/>
      <c r="D391" s="765"/>
      <c r="E391" s="765"/>
      <c r="F391" s="765"/>
      <c r="G391" s="765"/>
      <c r="H391" s="765"/>
      <c r="I391" s="765">
        <f t="shared" si="17"/>
        <v>380</v>
      </c>
      <c r="J391" s="763">
        <f t="shared" si="5"/>
        <v>22549871759787</v>
      </c>
      <c r="K391" s="796">
        <f t="shared" si="7"/>
        <v>0.42379</v>
      </c>
      <c r="L391" s="796">
        <v>5.0E-4</v>
      </c>
      <c r="M391" s="763">
        <v>2.57125105584795E13</v>
      </c>
      <c r="N391" s="797">
        <f t="shared" si="8"/>
        <v>0</v>
      </c>
      <c r="O391" s="798">
        <f t="shared" ref="O391:BK391" si="387">FLOOR(MIN((((N("value of ELS upgrade")+N$8*($K391-$K390))*(N("Check checkbox")+(IF($G$6=TRUE,$G$7,$G$8))/$G$8))/(N("ROI of ELS and multiply by 2 if ELS is 1:1")+IF($G$12 = True, 2, 1) * $J391))/((N("difference in ELS+ and the cost of it")+(($K390*O$8)-($K390*N$8)) / O$7)),(N("MIN lets it return 0 or 1 after floored")+1)),1)</f>
        <v>0</v>
      </c>
      <c r="P391" s="798">
        <f t="shared" si="387"/>
        <v>0</v>
      </c>
      <c r="Q391" s="798">
        <f t="shared" si="387"/>
        <v>0</v>
      </c>
      <c r="R391" s="798">
        <f t="shared" si="387"/>
        <v>0</v>
      </c>
      <c r="S391" s="798">
        <f t="shared" si="387"/>
        <v>0</v>
      </c>
      <c r="T391" s="798">
        <f t="shared" si="387"/>
        <v>0</v>
      </c>
      <c r="U391" s="798">
        <f t="shared" si="387"/>
        <v>0</v>
      </c>
      <c r="V391" s="798">
        <f t="shared" si="387"/>
        <v>0</v>
      </c>
      <c r="W391" s="798">
        <f t="shared" si="387"/>
        <v>0</v>
      </c>
      <c r="X391" s="798">
        <f t="shared" si="387"/>
        <v>0</v>
      </c>
      <c r="Y391" s="798">
        <f t="shared" si="387"/>
        <v>0</v>
      </c>
      <c r="Z391" s="798">
        <f t="shared" si="387"/>
        <v>0</v>
      </c>
      <c r="AA391" s="798">
        <f t="shared" si="387"/>
        <v>0</v>
      </c>
      <c r="AB391" s="798">
        <f t="shared" si="387"/>
        <v>0</v>
      </c>
      <c r="AC391" s="798">
        <f t="shared" si="387"/>
        <v>0</v>
      </c>
      <c r="AD391" s="798">
        <f t="shared" si="387"/>
        <v>1</v>
      </c>
      <c r="AE391" s="798">
        <f t="shared" si="387"/>
        <v>1</v>
      </c>
      <c r="AF391" s="798">
        <f t="shared" si="387"/>
        <v>1</v>
      </c>
      <c r="AG391" s="798">
        <f t="shared" si="387"/>
        <v>1</v>
      </c>
      <c r="AH391" s="798">
        <f t="shared" si="387"/>
        <v>1</v>
      </c>
      <c r="AI391" s="798">
        <f t="shared" si="387"/>
        <v>1</v>
      </c>
      <c r="AJ391" s="798">
        <f t="shared" si="387"/>
        <v>1</v>
      </c>
      <c r="AK391" s="798">
        <f t="shared" si="387"/>
        <v>1</v>
      </c>
      <c r="AL391" s="798">
        <f t="shared" si="387"/>
        <v>1</v>
      </c>
      <c r="AM391" s="798">
        <f t="shared" si="387"/>
        <v>1</v>
      </c>
      <c r="AN391" s="798">
        <f t="shared" si="387"/>
        <v>1</v>
      </c>
      <c r="AO391" s="798">
        <f t="shared" si="387"/>
        <v>1</v>
      </c>
      <c r="AP391" s="798">
        <f t="shared" si="387"/>
        <v>1</v>
      </c>
      <c r="AQ391" s="798">
        <f t="shared" si="387"/>
        <v>1</v>
      </c>
      <c r="AR391" s="798">
        <f t="shared" si="387"/>
        <v>1</v>
      </c>
      <c r="AS391" s="798">
        <f t="shared" si="387"/>
        <v>1</v>
      </c>
      <c r="AT391" s="798">
        <f t="shared" si="387"/>
        <v>1</v>
      </c>
      <c r="AU391" s="798">
        <f t="shared" si="387"/>
        <v>1</v>
      </c>
      <c r="AV391" s="798">
        <f t="shared" si="387"/>
        <v>1</v>
      </c>
      <c r="AW391" s="798">
        <f t="shared" si="387"/>
        <v>1</v>
      </c>
      <c r="AX391" s="798">
        <f t="shared" si="387"/>
        <v>1</v>
      </c>
      <c r="AY391" s="798">
        <f t="shared" si="387"/>
        <v>1</v>
      </c>
      <c r="AZ391" s="798">
        <f t="shared" si="387"/>
        <v>1</v>
      </c>
      <c r="BA391" s="798">
        <f t="shared" si="387"/>
        <v>1</v>
      </c>
      <c r="BB391" s="798">
        <f t="shared" si="387"/>
        <v>1</v>
      </c>
      <c r="BC391" s="798">
        <f t="shared" si="387"/>
        <v>1</v>
      </c>
      <c r="BD391" s="798">
        <f t="shared" si="387"/>
        <v>1</v>
      </c>
      <c r="BE391" s="798">
        <f t="shared" si="387"/>
        <v>1</v>
      </c>
      <c r="BF391" s="798">
        <f t="shared" si="387"/>
        <v>1</v>
      </c>
      <c r="BG391" s="798">
        <f t="shared" si="387"/>
        <v>1</v>
      </c>
      <c r="BH391" s="798">
        <f t="shared" si="387"/>
        <v>1</v>
      </c>
      <c r="BI391" s="798">
        <f t="shared" si="387"/>
        <v>1</v>
      </c>
      <c r="BJ391" s="798">
        <f t="shared" si="387"/>
        <v>1</v>
      </c>
      <c r="BK391" s="798">
        <f t="shared" si="387"/>
        <v>1</v>
      </c>
      <c r="BL391" s="765"/>
      <c r="BM391" s="817"/>
      <c r="BN391" s="817"/>
    </row>
    <row r="392" hidden="1">
      <c r="A392" s="765"/>
      <c r="B392" s="765"/>
      <c r="C392" s="765"/>
      <c r="D392" s="765"/>
      <c r="E392" s="765"/>
      <c r="F392" s="765"/>
      <c r="G392" s="765"/>
      <c r="H392" s="765"/>
      <c r="I392" s="765">
        <f t="shared" si="17"/>
        <v>381</v>
      </c>
      <c r="J392" s="763">
        <f t="shared" si="5"/>
        <v>22637318370600</v>
      </c>
      <c r="K392" s="796">
        <f t="shared" si="7"/>
        <v>0.42429</v>
      </c>
      <c r="L392" s="796">
        <v>5.0E-4</v>
      </c>
      <c r="M392" s="763">
        <v>2.58122216312432E13</v>
      </c>
      <c r="N392" s="797">
        <f t="shared" si="8"/>
        <v>0</v>
      </c>
      <c r="O392" s="798">
        <f t="shared" ref="O392:BK392" si="388">FLOOR(MIN((((N("value of ELS upgrade")+N$8*($K392-$K391))*(N("Check checkbox")+(IF($G$6=TRUE,$G$7,$G$8))/$G$8))/(N("ROI of ELS and multiply by 2 if ELS is 1:1")+IF($G$12 = True, 2, 1) * $J392))/((N("difference in ELS+ and the cost of it")+(($K391*O$8)-($K391*N$8)) / O$7)),(N("MIN lets it return 0 or 1 after floored")+1)),1)</f>
        <v>0</v>
      </c>
      <c r="P392" s="798">
        <f t="shared" si="388"/>
        <v>0</v>
      </c>
      <c r="Q392" s="798">
        <f t="shared" si="388"/>
        <v>0</v>
      </c>
      <c r="R392" s="798">
        <f t="shared" si="388"/>
        <v>0</v>
      </c>
      <c r="S392" s="798">
        <f t="shared" si="388"/>
        <v>0</v>
      </c>
      <c r="T392" s="798">
        <f t="shared" si="388"/>
        <v>0</v>
      </c>
      <c r="U392" s="798">
        <f t="shared" si="388"/>
        <v>0</v>
      </c>
      <c r="V392" s="798">
        <f t="shared" si="388"/>
        <v>0</v>
      </c>
      <c r="W392" s="798">
        <f t="shared" si="388"/>
        <v>0</v>
      </c>
      <c r="X392" s="798">
        <f t="shared" si="388"/>
        <v>0</v>
      </c>
      <c r="Y392" s="798">
        <f t="shared" si="388"/>
        <v>0</v>
      </c>
      <c r="Z392" s="798">
        <f t="shared" si="388"/>
        <v>0</v>
      </c>
      <c r="AA392" s="798">
        <f t="shared" si="388"/>
        <v>0</v>
      </c>
      <c r="AB392" s="798">
        <f t="shared" si="388"/>
        <v>0</v>
      </c>
      <c r="AC392" s="798">
        <f t="shared" si="388"/>
        <v>0</v>
      </c>
      <c r="AD392" s="798">
        <f t="shared" si="388"/>
        <v>1</v>
      </c>
      <c r="AE392" s="798">
        <f t="shared" si="388"/>
        <v>1</v>
      </c>
      <c r="AF392" s="798">
        <f t="shared" si="388"/>
        <v>1</v>
      </c>
      <c r="AG392" s="798">
        <f t="shared" si="388"/>
        <v>1</v>
      </c>
      <c r="AH392" s="798">
        <f t="shared" si="388"/>
        <v>1</v>
      </c>
      <c r="AI392" s="798">
        <f t="shared" si="388"/>
        <v>1</v>
      </c>
      <c r="AJ392" s="798">
        <f t="shared" si="388"/>
        <v>1</v>
      </c>
      <c r="AK392" s="798">
        <f t="shared" si="388"/>
        <v>1</v>
      </c>
      <c r="AL392" s="798">
        <f t="shared" si="388"/>
        <v>1</v>
      </c>
      <c r="AM392" s="798">
        <f t="shared" si="388"/>
        <v>1</v>
      </c>
      <c r="AN392" s="798">
        <f t="shared" si="388"/>
        <v>1</v>
      </c>
      <c r="AO392" s="798">
        <f t="shared" si="388"/>
        <v>1</v>
      </c>
      <c r="AP392" s="798">
        <f t="shared" si="388"/>
        <v>1</v>
      </c>
      <c r="AQ392" s="798">
        <f t="shared" si="388"/>
        <v>1</v>
      </c>
      <c r="AR392" s="798">
        <f t="shared" si="388"/>
        <v>1</v>
      </c>
      <c r="AS392" s="798">
        <f t="shared" si="388"/>
        <v>1</v>
      </c>
      <c r="AT392" s="798">
        <f t="shared" si="388"/>
        <v>1</v>
      </c>
      <c r="AU392" s="798">
        <f t="shared" si="388"/>
        <v>1</v>
      </c>
      <c r="AV392" s="798">
        <f t="shared" si="388"/>
        <v>1</v>
      </c>
      <c r="AW392" s="798">
        <f t="shared" si="388"/>
        <v>1</v>
      </c>
      <c r="AX392" s="798">
        <f t="shared" si="388"/>
        <v>1</v>
      </c>
      <c r="AY392" s="798">
        <f t="shared" si="388"/>
        <v>1</v>
      </c>
      <c r="AZ392" s="798">
        <f t="shared" si="388"/>
        <v>1</v>
      </c>
      <c r="BA392" s="798">
        <f t="shared" si="388"/>
        <v>1</v>
      </c>
      <c r="BB392" s="798">
        <f t="shared" si="388"/>
        <v>1</v>
      </c>
      <c r="BC392" s="798">
        <f t="shared" si="388"/>
        <v>1</v>
      </c>
      <c r="BD392" s="798">
        <f t="shared" si="388"/>
        <v>1</v>
      </c>
      <c r="BE392" s="798">
        <f t="shared" si="388"/>
        <v>1</v>
      </c>
      <c r="BF392" s="798">
        <f t="shared" si="388"/>
        <v>1</v>
      </c>
      <c r="BG392" s="798">
        <f t="shared" si="388"/>
        <v>1</v>
      </c>
      <c r="BH392" s="798">
        <f t="shared" si="388"/>
        <v>1</v>
      </c>
      <c r="BI392" s="798">
        <f t="shared" si="388"/>
        <v>1</v>
      </c>
      <c r="BJ392" s="798">
        <f t="shared" si="388"/>
        <v>1</v>
      </c>
      <c r="BK392" s="798">
        <f t="shared" si="388"/>
        <v>1</v>
      </c>
      <c r="BL392" s="765"/>
      <c r="BM392" s="817"/>
      <c r="BN392" s="817"/>
    </row>
    <row r="393" hidden="1">
      <c r="A393" s="765"/>
      <c r="B393" s="765"/>
      <c r="C393" s="765"/>
      <c r="D393" s="765"/>
      <c r="E393" s="765"/>
      <c r="F393" s="765"/>
      <c r="G393" s="765"/>
      <c r="H393" s="765"/>
      <c r="I393" s="765">
        <f t="shared" si="17"/>
        <v>382</v>
      </c>
      <c r="J393" s="763">
        <f t="shared" si="5"/>
        <v>22725031757422</v>
      </c>
      <c r="K393" s="796">
        <f t="shared" si="7"/>
        <v>0.42479</v>
      </c>
      <c r="L393" s="796">
        <v>5.0E-4</v>
      </c>
      <c r="M393" s="763">
        <v>2.59122368955776E13</v>
      </c>
      <c r="N393" s="797">
        <f t="shared" si="8"/>
        <v>0</v>
      </c>
      <c r="O393" s="798">
        <f t="shared" ref="O393:BK393" si="389">FLOOR(MIN((((N("value of ELS upgrade")+N$8*($K393-$K392))*(N("Check checkbox")+(IF($G$6=TRUE,$G$7,$G$8))/$G$8))/(N("ROI of ELS and multiply by 2 if ELS is 1:1")+IF($G$12 = True, 2, 1) * $J393))/((N("difference in ELS+ and the cost of it")+(($K392*O$8)-($K392*N$8)) / O$7)),(N("MIN lets it return 0 or 1 after floored")+1)),1)</f>
        <v>0</v>
      </c>
      <c r="P393" s="798">
        <f t="shared" si="389"/>
        <v>0</v>
      </c>
      <c r="Q393" s="798">
        <f t="shared" si="389"/>
        <v>0</v>
      </c>
      <c r="R393" s="798">
        <f t="shared" si="389"/>
        <v>0</v>
      </c>
      <c r="S393" s="798">
        <f t="shared" si="389"/>
        <v>0</v>
      </c>
      <c r="T393" s="798">
        <f t="shared" si="389"/>
        <v>0</v>
      </c>
      <c r="U393" s="798">
        <f t="shared" si="389"/>
        <v>0</v>
      </c>
      <c r="V393" s="798">
        <f t="shared" si="389"/>
        <v>0</v>
      </c>
      <c r="W393" s="798">
        <f t="shared" si="389"/>
        <v>0</v>
      </c>
      <c r="X393" s="798">
        <f t="shared" si="389"/>
        <v>0</v>
      </c>
      <c r="Y393" s="798">
        <f t="shared" si="389"/>
        <v>0</v>
      </c>
      <c r="Z393" s="798">
        <f t="shared" si="389"/>
        <v>0</v>
      </c>
      <c r="AA393" s="798">
        <f t="shared" si="389"/>
        <v>0</v>
      </c>
      <c r="AB393" s="798">
        <f t="shared" si="389"/>
        <v>0</v>
      </c>
      <c r="AC393" s="798">
        <f t="shared" si="389"/>
        <v>0</v>
      </c>
      <c r="AD393" s="798">
        <f t="shared" si="389"/>
        <v>1</v>
      </c>
      <c r="AE393" s="798">
        <f t="shared" si="389"/>
        <v>1</v>
      </c>
      <c r="AF393" s="798">
        <f t="shared" si="389"/>
        <v>1</v>
      </c>
      <c r="AG393" s="798">
        <f t="shared" si="389"/>
        <v>1</v>
      </c>
      <c r="AH393" s="798">
        <f t="shared" si="389"/>
        <v>1</v>
      </c>
      <c r="AI393" s="798">
        <f t="shared" si="389"/>
        <v>1</v>
      </c>
      <c r="AJ393" s="798">
        <f t="shared" si="389"/>
        <v>1</v>
      </c>
      <c r="AK393" s="798">
        <f t="shared" si="389"/>
        <v>1</v>
      </c>
      <c r="AL393" s="798">
        <f t="shared" si="389"/>
        <v>1</v>
      </c>
      <c r="AM393" s="798">
        <f t="shared" si="389"/>
        <v>1</v>
      </c>
      <c r="AN393" s="798">
        <f t="shared" si="389"/>
        <v>1</v>
      </c>
      <c r="AO393" s="798">
        <f t="shared" si="389"/>
        <v>1</v>
      </c>
      <c r="AP393" s="798">
        <f t="shared" si="389"/>
        <v>1</v>
      </c>
      <c r="AQ393" s="798">
        <f t="shared" si="389"/>
        <v>1</v>
      </c>
      <c r="AR393" s="798">
        <f t="shared" si="389"/>
        <v>1</v>
      </c>
      <c r="AS393" s="798">
        <f t="shared" si="389"/>
        <v>1</v>
      </c>
      <c r="AT393" s="798">
        <f t="shared" si="389"/>
        <v>1</v>
      </c>
      <c r="AU393" s="798">
        <f t="shared" si="389"/>
        <v>1</v>
      </c>
      <c r="AV393" s="798">
        <f t="shared" si="389"/>
        <v>1</v>
      </c>
      <c r="AW393" s="798">
        <f t="shared" si="389"/>
        <v>1</v>
      </c>
      <c r="AX393" s="798">
        <f t="shared" si="389"/>
        <v>1</v>
      </c>
      <c r="AY393" s="798">
        <f t="shared" si="389"/>
        <v>1</v>
      </c>
      <c r="AZ393" s="798">
        <f t="shared" si="389"/>
        <v>1</v>
      </c>
      <c r="BA393" s="798">
        <f t="shared" si="389"/>
        <v>1</v>
      </c>
      <c r="BB393" s="798">
        <f t="shared" si="389"/>
        <v>1</v>
      </c>
      <c r="BC393" s="798">
        <f t="shared" si="389"/>
        <v>1</v>
      </c>
      <c r="BD393" s="798">
        <f t="shared" si="389"/>
        <v>1</v>
      </c>
      <c r="BE393" s="798">
        <f t="shared" si="389"/>
        <v>1</v>
      </c>
      <c r="BF393" s="798">
        <f t="shared" si="389"/>
        <v>1</v>
      </c>
      <c r="BG393" s="798">
        <f t="shared" si="389"/>
        <v>1</v>
      </c>
      <c r="BH393" s="798">
        <f t="shared" si="389"/>
        <v>1</v>
      </c>
      <c r="BI393" s="798">
        <f t="shared" si="389"/>
        <v>1</v>
      </c>
      <c r="BJ393" s="798">
        <f t="shared" si="389"/>
        <v>1</v>
      </c>
      <c r="BK393" s="798">
        <f t="shared" si="389"/>
        <v>1</v>
      </c>
      <c r="BL393" s="765"/>
      <c r="BM393" s="817"/>
      <c r="BN393" s="817"/>
    </row>
    <row r="394" hidden="1">
      <c r="A394" s="765"/>
      <c r="B394" s="765"/>
      <c r="C394" s="765"/>
      <c r="D394" s="765"/>
      <c r="E394" s="765"/>
      <c r="F394" s="765"/>
      <c r="G394" s="765"/>
      <c r="H394" s="765"/>
      <c r="I394" s="765">
        <f t="shared" si="17"/>
        <v>383</v>
      </c>
      <c r="J394" s="763">
        <f t="shared" si="5"/>
        <v>22813011920251</v>
      </c>
      <c r="K394" s="796">
        <f t="shared" si="7"/>
        <v>0.42529</v>
      </c>
      <c r="L394" s="796">
        <v>5.0E-4</v>
      </c>
      <c r="M394" s="763">
        <v>2.60125563514829E13</v>
      </c>
      <c r="N394" s="797">
        <f t="shared" si="8"/>
        <v>0</v>
      </c>
      <c r="O394" s="798">
        <f t="shared" ref="O394:BK394" si="390">FLOOR(MIN((((N("value of ELS upgrade")+N$8*($K394-$K393))*(N("Check checkbox")+(IF($G$6=TRUE,$G$7,$G$8))/$G$8))/(N("ROI of ELS and multiply by 2 if ELS is 1:1")+IF($G$12 = True, 2, 1) * $J394))/((N("difference in ELS+ and the cost of it")+(($K393*O$8)-($K393*N$8)) / O$7)),(N("MIN lets it return 0 or 1 after floored")+1)),1)</f>
        <v>0</v>
      </c>
      <c r="P394" s="798">
        <f t="shared" si="390"/>
        <v>0</v>
      </c>
      <c r="Q394" s="798">
        <f t="shared" si="390"/>
        <v>0</v>
      </c>
      <c r="R394" s="798">
        <f t="shared" si="390"/>
        <v>0</v>
      </c>
      <c r="S394" s="798">
        <f t="shared" si="390"/>
        <v>0</v>
      </c>
      <c r="T394" s="798">
        <f t="shared" si="390"/>
        <v>0</v>
      </c>
      <c r="U394" s="798">
        <f t="shared" si="390"/>
        <v>0</v>
      </c>
      <c r="V394" s="798">
        <f t="shared" si="390"/>
        <v>0</v>
      </c>
      <c r="W394" s="798">
        <f t="shared" si="390"/>
        <v>0</v>
      </c>
      <c r="X394" s="798">
        <f t="shared" si="390"/>
        <v>0</v>
      </c>
      <c r="Y394" s="798">
        <f t="shared" si="390"/>
        <v>0</v>
      </c>
      <c r="Z394" s="798">
        <f t="shared" si="390"/>
        <v>0</v>
      </c>
      <c r="AA394" s="798">
        <f t="shared" si="390"/>
        <v>0</v>
      </c>
      <c r="AB394" s="798">
        <f t="shared" si="390"/>
        <v>0</v>
      </c>
      <c r="AC394" s="798">
        <f t="shared" si="390"/>
        <v>0</v>
      </c>
      <c r="AD394" s="798">
        <f t="shared" si="390"/>
        <v>1</v>
      </c>
      <c r="AE394" s="798">
        <f t="shared" si="390"/>
        <v>1</v>
      </c>
      <c r="AF394" s="798">
        <f t="shared" si="390"/>
        <v>1</v>
      </c>
      <c r="AG394" s="798">
        <f t="shared" si="390"/>
        <v>1</v>
      </c>
      <c r="AH394" s="798">
        <f t="shared" si="390"/>
        <v>1</v>
      </c>
      <c r="AI394" s="798">
        <f t="shared" si="390"/>
        <v>1</v>
      </c>
      <c r="AJ394" s="798">
        <f t="shared" si="390"/>
        <v>1</v>
      </c>
      <c r="AK394" s="798">
        <f t="shared" si="390"/>
        <v>1</v>
      </c>
      <c r="AL394" s="798">
        <f t="shared" si="390"/>
        <v>1</v>
      </c>
      <c r="AM394" s="798">
        <f t="shared" si="390"/>
        <v>1</v>
      </c>
      <c r="AN394" s="798">
        <f t="shared" si="390"/>
        <v>1</v>
      </c>
      <c r="AO394" s="798">
        <f t="shared" si="390"/>
        <v>1</v>
      </c>
      <c r="AP394" s="798">
        <f t="shared" si="390"/>
        <v>1</v>
      </c>
      <c r="AQ394" s="798">
        <f t="shared" si="390"/>
        <v>1</v>
      </c>
      <c r="AR394" s="798">
        <f t="shared" si="390"/>
        <v>1</v>
      </c>
      <c r="AS394" s="798">
        <f t="shared" si="390"/>
        <v>1</v>
      </c>
      <c r="AT394" s="798">
        <f t="shared" si="390"/>
        <v>1</v>
      </c>
      <c r="AU394" s="798">
        <f t="shared" si="390"/>
        <v>1</v>
      </c>
      <c r="AV394" s="798">
        <f t="shared" si="390"/>
        <v>1</v>
      </c>
      <c r="AW394" s="798">
        <f t="shared" si="390"/>
        <v>1</v>
      </c>
      <c r="AX394" s="798">
        <f t="shared" si="390"/>
        <v>1</v>
      </c>
      <c r="AY394" s="798">
        <f t="shared" si="390"/>
        <v>1</v>
      </c>
      <c r="AZ394" s="798">
        <f t="shared" si="390"/>
        <v>1</v>
      </c>
      <c r="BA394" s="798">
        <f t="shared" si="390"/>
        <v>1</v>
      </c>
      <c r="BB394" s="798">
        <f t="shared" si="390"/>
        <v>1</v>
      </c>
      <c r="BC394" s="798">
        <f t="shared" si="390"/>
        <v>1</v>
      </c>
      <c r="BD394" s="798">
        <f t="shared" si="390"/>
        <v>1</v>
      </c>
      <c r="BE394" s="798">
        <f t="shared" si="390"/>
        <v>1</v>
      </c>
      <c r="BF394" s="798">
        <f t="shared" si="390"/>
        <v>1</v>
      </c>
      <c r="BG394" s="798">
        <f t="shared" si="390"/>
        <v>1</v>
      </c>
      <c r="BH394" s="798">
        <f t="shared" si="390"/>
        <v>1</v>
      </c>
      <c r="BI394" s="798">
        <f t="shared" si="390"/>
        <v>1</v>
      </c>
      <c r="BJ394" s="798">
        <f t="shared" si="390"/>
        <v>1</v>
      </c>
      <c r="BK394" s="798">
        <f t="shared" si="390"/>
        <v>1</v>
      </c>
      <c r="BL394" s="765"/>
      <c r="BM394" s="817"/>
      <c r="BN394" s="817"/>
    </row>
    <row r="395" hidden="1">
      <c r="A395" s="765"/>
      <c r="B395" s="765"/>
      <c r="C395" s="765"/>
      <c r="D395" s="765"/>
      <c r="E395" s="765"/>
      <c r="F395" s="765"/>
      <c r="G395" s="765"/>
      <c r="H395" s="765"/>
      <c r="I395" s="765">
        <f t="shared" si="17"/>
        <v>384</v>
      </c>
      <c r="J395" s="763">
        <f t="shared" si="5"/>
        <v>22901260283792</v>
      </c>
      <c r="K395" s="796">
        <f t="shared" si="7"/>
        <v>0.42579</v>
      </c>
      <c r="L395" s="796">
        <v>5.0E-4</v>
      </c>
      <c r="M395" s="763">
        <v>2.611318162348E13</v>
      </c>
      <c r="N395" s="797">
        <f t="shared" si="8"/>
        <v>0</v>
      </c>
      <c r="O395" s="798">
        <f t="shared" ref="O395:BK395" si="391">FLOOR(MIN((((N("value of ELS upgrade")+N$8*($K395-$K394))*(N("Check checkbox")+(IF($G$6=TRUE,$G$7,$G$8))/$G$8))/(N("ROI of ELS and multiply by 2 if ELS is 1:1")+IF($G$12 = True, 2, 1) * $J395))/((N("difference in ELS+ and the cost of it")+(($K394*O$8)-($K394*N$8)) / O$7)),(N("MIN lets it return 0 or 1 after floored")+1)),1)</f>
        <v>0</v>
      </c>
      <c r="P395" s="798">
        <f t="shared" si="391"/>
        <v>0</v>
      </c>
      <c r="Q395" s="798">
        <f t="shared" si="391"/>
        <v>0</v>
      </c>
      <c r="R395" s="798">
        <f t="shared" si="391"/>
        <v>0</v>
      </c>
      <c r="S395" s="798">
        <f t="shared" si="391"/>
        <v>0</v>
      </c>
      <c r="T395" s="798">
        <f t="shared" si="391"/>
        <v>0</v>
      </c>
      <c r="U395" s="798">
        <f t="shared" si="391"/>
        <v>0</v>
      </c>
      <c r="V395" s="798">
        <f t="shared" si="391"/>
        <v>0</v>
      </c>
      <c r="W395" s="798">
        <f t="shared" si="391"/>
        <v>0</v>
      </c>
      <c r="X395" s="798">
        <f t="shared" si="391"/>
        <v>0</v>
      </c>
      <c r="Y395" s="798">
        <f t="shared" si="391"/>
        <v>0</v>
      </c>
      <c r="Z395" s="798">
        <f t="shared" si="391"/>
        <v>0</v>
      </c>
      <c r="AA395" s="798">
        <f t="shared" si="391"/>
        <v>0</v>
      </c>
      <c r="AB395" s="798">
        <f t="shared" si="391"/>
        <v>0</v>
      </c>
      <c r="AC395" s="798">
        <f t="shared" si="391"/>
        <v>0</v>
      </c>
      <c r="AD395" s="798">
        <f t="shared" si="391"/>
        <v>1</v>
      </c>
      <c r="AE395" s="798">
        <f t="shared" si="391"/>
        <v>1</v>
      </c>
      <c r="AF395" s="798">
        <f t="shared" si="391"/>
        <v>1</v>
      </c>
      <c r="AG395" s="798">
        <f t="shared" si="391"/>
        <v>1</v>
      </c>
      <c r="AH395" s="798">
        <f t="shared" si="391"/>
        <v>1</v>
      </c>
      <c r="AI395" s="798">
        <f t="shared" si="391"/>
        <v>1</v>
      </c>
      <c r="AJ395" s="798">
        <f t="shared" si="391"/>
        <v>1</v>
      </c>
      <c r="AK395" s="798">
        <f t="shared" si="391"/>
        <v>1</v>
      </c>
      <c r="AL395" s="798">
        <f t="shared" si="391"/>
        <v>1</v>
      </c>
      <c r="AM395" s="798">
        <f t="shared" si="391"/>
        <v>1</v>
      </c>
      <c r="AN395" s="798">
        <f t="shared" si="391"/>
        <v>1</v>
      </c>
      <c r="AO395" s="798">
        <f t="shared" si="391"/>
        <v>1</v>
      </c>
      <c r="AP395" s="798">
        <f t="shared" si="391"/>
        <v>1</v>
      </c>
      <c r="AQ395" s="798">
        <f t="shared" si="391"/>
        <v>1</v>
      </c>
      <c r="AR395" s="798">
        <f t="shared" si="391"/>
        <v>1</v>
      </c>
      <c r="AS395" s="798">
        <f t="shared" si="391"/>
        <v>1</v>
      </c>
      <c r="AT395" s="798">
        <f t="shared" si="391"/>
        <v>1</v>
      </c>
      <c r="AU395" s="798">
        <f t="shared" si="391"/>
        <v>1</v>
      </c>
      <c r="AV395" s="798">
        <f t="shared" si="391"/>
        <v>1</v>
      </c>
      <c r="AW395" s="798">
        <f t="shared" si="391"/>
        <v>1</v>
      </c>
      <c r="AX395" s="798">
        <f t="shared" si="391"/>
        <v>1</v>
      </c>
      <c r="AY395" s="798">
        <f t="shared" si="391"/>
        <v>1</v>
      </c>
      <c r="AZ395" s="798">
        <f t="shared" si="391"/>
        <v>1</v>
      </c>
      <c r="BA395" s="798">
        <f t="shared" si="391"/>
        <v>1</v>
      </c>
      <c r="BB395" s="798">
        <f t="shared" si="391"/>
        <v>1</v>
      </c>
      <c r="BC395" s="798">
        <f t="shared" si="391"/>
        <v>1</v>
      </c>
      <c r="BD395" s="798">
        <f t="shared" si="391"/>
        <v>1</v>
      </c>
      <c r="BE395" s="798">
        <f t="shared" si="391"/>
        <v>1</v>
      </c>
      <c r="BF395" s="798">
        <f t="shared" si="391"/>
        <v>1</v>
      </c>
      <c r="BG395" s="798">
        <f t="shared" si="391"/>
        <v>1</v>
      </c>
      <c r="BH395" s="798">
        <f t="shared" si="391"/>
        <v>1</v>
      </c>
      <c r="BI395" s="798">
        <f t="shared" si="391"/>
        <v>1</v>
      </c>
      <c r="BJ395" s="798">
        <f t="shared" si="391"/>
        <v>1</v>
      </c>
      <c r="BK395" s="798">
        <f t="shared" si="391"/>
        <v>1</v>
      </c>
      <c r="BL395" s="765"/>
      <c r="BM395" s="817"/>
      <c r="BN395" s="817"/>
    </row>
    <row r="396" hidden="1">
      <c r="A396" s="765"/>
      <c r="B396" s="765"/>
      <c r="C396" s="765"/>
      <c r="D396" s="765"/>
      <c r="E396" s="765"/>
      <c r="F396" s="765"/>
      <c r="G396" s="765"/>
      <c r="H396" s="765"/>
      <c r="I396" s="765">
        <f t="shared" si="17"/>
        <v>385</v>
      </c>
      <c r="J396" s="763">
        <f t="shared" si="5"/>
        <v>22989777916575</v>
      </c>
      <c r="K396" s="796">
        <f t="shared" si="7"/>
        <v>0.42629</v>
      </c>
      <c r="L396" s="796">
        <v>5.0E-4</v>
      </c>
      <c r="M396" s="763">
        <v>2.62141139299598E13</v>
      </c>
      <c r="N396" s="797">
        <f t="shared" si="8"/>
        <v>0</v>
      </c>
      <c r="O396" s="798">
        <f t="shared" ref="O396:BK396" si="392">FLOOR(MIN((((N("value of ELS upgrade")+N$8*($K396-$K395))*(N("Check checkbox")+(IF($G$6=TRUE,$G$7,$G$8))/$G$8))/(N("ROI of ELS and multiply by 2 if ELS is 1:1")+IF($G$12 = True, 2, 1) * $J396))/((N("difference in ELS+ and the cost of it")+(($K395*O$8)-($K395*N$8)) / O$7)),(N("MIN lets it return 0 or 1 after floored")+1)),1)</f>
        <v>0</v>
      </c>
      <c r="P396" s="798">
        <f t="shared" si="392"/>
        <v>0</v>
      </c>
      <c r="Q396" s="798">
        <f t="shared" si="392"/>
        <v>0</v>
      </c>
      <c r="R396" s="798">
        <f t="shared" si="392"/>
        <v>0</v>
      </c>
      <c r="S396" s="798">
        <f t="shared" si="392"/>
        <v>0</v>
      </c>
      <c r="T396" s="798">
        <f t="shared" si="392"/>
        <v>0</v>
      </c>
      <c r="U396" s="798">
        <f t="shared" si="392"/>
        <v>0</v>
      </c>
      <c r="V396" s="798">
        <f t="shared" si="392"/>
        <v>0</v>
      </c>
      <c r="W396" s="798">
        <f t="shared" si="392"/>
        <v>0</v>
      </c>
      <c r="X396" s="798">
        <f t="shared" si="392"/>
        <v>0</v>
      </c>
      <c r="Y396" s="798">
        <f t="shared" si="392"/>
        <v>0</v>
      </c>
      <c r="Z396" s="798">
        <f t="shared" si="392"/>
        <v>0</v>
      </c>
      <c r="AA396" s="798">
        <f t="shared" si="392"/>
        <v>0</v>
      </c>
      <c r="AB396" s="798">
        <f t="shared" si="392"/>
        <v>0</v>
      </c>
      <c r="AC396" s="798">
        <f t="shared" si="392"/>
        <v>0</v>
      </c>
      <c r="AD396" s="798">
        <f t="shared" si="392"/>
        <v>1</v>
      </c>
      <c r="AE396" s="798">
        <f t="shared" si="392"/>
        <v>1</v>
      </c>
      <c r="AF396" s="798">
        <f t="shared" si="392"/>
        <v>1</v>
      </c>
      <c r="AG396" s="798">
        <f t="shared" si="392"/>
        <v>1</v>
      </c>
      <c r="AH396" s="798">
        <f t="shared" si="392"/>
        <v>1</v>
      </c>
      <c r="AI396" s="798">
        <f t="shared" si="392"/>
        <v>1</v>
      </c>
      <c r="AJ396" s="798">
        <f t="shared" si="392"/>
        <v>1</v>
      </c>
      <c r="AK396" s="798">
        <f t="shared" si="392"/>
        <v>1</v>
      </c>
      <c r="AL396" s="798">
        <f t="shared" si="392"/>
        <v>1</v>
      </c>
      <c r="AM396" s="798">
        <f t="shared" si="392"/>
        <v>1</v>
      </c>
      <c r="AN396" s="798">
        <f t="shared" si="392"/>
        <v>1</v>
      </c>
      <c r="AO396" s="798">
        <f t="shared" si="392"/>
        <v>1</v>
      </c>
      <c r="AP396" s="798">
        <f t="shared" si="392"/>
        <v>1</v>
      </c>
      <c r="AQ396" s="798">
        <f t="shared" si="392"/>
        <v>1</v>
      </c>
      <c r="AR396" s="798">
        <f t="shared" si="392"/>
        <v>1</v>
      </c>
      <c r="AS396" s="798">
        <f t="shared" si="392"/>
        <v>1</v>
      </c>
      <c r="AT396" s="798">
        <f t="shared" si="392"/>
        <v>1</v>
      </c>
      <c r="AU396" s="798">
        <f t="shared" si="392"/>
        <v>1</v>
      </c>
      <c r="AV396" s="798">
        <f t="shared" si="392"/>
        <v>1</v>
      </c>
      <c r="AW396" s="798">
        <f t="shared" si="392"/>
        <v>1</v>
      </c>
      <c r="AX396" s="798">
        <f t="shared" si="392"/>
        <v>1</v>
      </c>
      <c r="AY396" s="798">
        <f t="shared" si="392"/>
        <v>1</v>
      </c>
      <c r="AZ396" s="798">
        <f t="shared" si="392"/>
        <v>1</v>
      </c>
      <c r="BA396" s="798">
        <f t="shared" si="392"/>
        <v>1</v>
      </c>
      <c r="BB396" s="798">
        <f t="shared" si="392"/>
        <v>1</v>
      </c>
      <c r="BC396" s="798">
        <f t="shared" si="392"/>
        <v>1</v>
      </c>
      <c r="BD396" s="798">
        <f t="shared" si="392"/>
        <v>1</v>
      </c>
      <c r="BE396" s="798">
        <f t="shared" si="392"/>
        <v>1</v>
      </c>
      <c r="BF396" s="798">
        <f t="shared" si="392"/>
        <v>1</v>
      </c>
      <c r="BG396" s="798">
        <f t="shared" si="392"/>
        <v>1</v>
      </c>
      <c r="BH396" s="798">
        <f t="shared" si="392"/>
        <v>1</v>
      </c>
      <c r="BI396" s="798">
        <f t="shared" si="392"/>
        <v>1</v>
      </c>
      <c r="BJ396" s="798">
        <f t="shared" si="392"/>
        <v>1</v>
      </c>
      <c r="BK396" s="798">
        <f t="shared" si="392"/>
        <v>1</v>
      </c>
      <c r="BL396" s="765"/>
      <c r="BM396" s="817"/>
      <c r="BN396" s="817"/>
    </row>
    <row r="397" hidden="1">
      <c r="A397" s="765"/>
      <c r="B397" s="765"/>
      <c r="C397" s="765"/>
      <c r="D397" s="765"/>
      <c r="E397" s="765"/>
      <c r="F397" s="765"/>
      <c r="G397" s="765"/>
      <c r="H397" s="765"/>
      <c r="I397" s="765">
        <f t="shared" si="17"/>
        <v>386</v>
      </c>
      <c r="J397" s="763">
        <f t="shared" si="5"/>
        <v>23078565530951</v>
      </c>
      <c r="K397" s="796">
        <f t="shared" si="7"/>
        <v>0.42679</v>
      </c>
      <c r="L397" s="796">
        <v>5.0E-4</v>
      </c>
      <c r="M397" s="763">
        <v>2.63153540831827E13</v>
      </c>
      <c r="N397" s="797">
        <f t="shared" si="8"/>
        <v>0</v>
      </c>
      <c r="O397" s="798">
        <f t="shared" ref="O397:BK397" si="393">FLOOR(MIN((((N("value of ELS upgrade")+N$8*($K397-$K396))*(N("Check checkbox")+(IF($G$6=TRUE,$G$7,$G$8))/$G$8))/(N("ROI of ELS and multiply by 2 if ELS is 1:1")+IF($G$12 = True, 2, 1) * $J397))/((N("difference in ELS+ and the cost of it")+(($K396*O$8)-($K396*N$8)) / O$7)),(N("MIN lets it return 0 or 1 after floored")+1)),1)</f>
        <v>0</v>
      </c>
      <c r="P397" s="798">
        <f t="shared" si="393"/>
        <v>0</v>
      </c>
      <c r="Q397" s="798">
        <f t="shared" si="393"/>
        <v>0</v>
      </c>
      <c r="R397" s="798">
        <f t="shared" si="393"/>
        <v>0</v>
      </c>
      <c r="S397" s="798">
        <f t="shared" si="393"/>
        <v>0</v>
      </c>
      <c r="T397" s="798">
        <f t="shared" si="393"/>
        <v>0</v>
      </c>
      <c r="U397" s="798">
        <f t="shared" si="393"/>
        <v>0</v>
      </c>
      <c r="V397" s="798">
        <f t="shared" si="393"/>
        <v>0</v>
      </c>
      <c r="W397" s="798">
        <f t="shared" si="393"/>
        <v>0</v>
      </c>
      <c r="X397" s="798">
        <f t="shared" si="393"/>
        <v>0</v>
      </c>
      <c r="Y397" s="798">
        <f t="shared" si="393"/>
        <v>0</v>
      </c>
      <c r="Z397" s="798">
        <f t="shared" si="393"/>
        <v>0</v>
      </c>
      <c r="AA397" s="798">
        <f t="shared" si="393"/>
        <v>0</v>
      </c>
      <c r="AB397" s="798">
        <f t="shared" si="393"/>
        <v>0</v>
      </c>
      <c r="AC397" s="798">
        <f t="shared" si="393"/>
        <v>0</v>
      </c>
      <c r="AD397" s="798">
        <f t="shared" si="393"/>
        <v>1</v>
      </c>
      <c r="AE397" s="798">
        <f t="shared" si="393"/>
        <v>1</v>
      </c>
      <c r="AF397" s="798">
        <f t="shared" si="393"/>
        <v>1</v>
      </c>
      <c r="AG397" s="798">
        <f t="shared" si="393"/>
        <v>1</v>
      </c>
      <c r="AH397" s="798">
        <f t="shared" si="393"/>
        <v>1</v>
      </c>
      <c r="AI397" s="798">
        <f t="shared" si="393"/>
        <v>1</v>
      </c>
      <c r="AJ397" s="798">
        <f t="shared" si="393"/>
        <v>1</v>
      </c>
      <c r="AK397" s="798">
        <f t="shared" si="393"/>
        <v>1</v>
      </c>
      <c r="AL397" s="798">
        <f t="shared" si="393"/>
        <v>1</v>
      </c>
      <c r="AM397" s="798">
        <f t="shared" si="393"/>
        <v>1</v>
      </c>
      <c r="AN397" s="798">
        <f t="shared" si="393"/>
        <v>1</v>
      </c>
      <c r="AO397" s="798">
        <f t="shared" si="393"/>
        <v>1</v>
      </c>
      <c r="AP397" s="798">
        <f t="shared" si="393"/>
        <v>1</v>
      </c>
      <c r="AQ397" s="798">
        <f t="shared" si="393"/>
        <v>1</v>
      </c>
      <c r="AR397" s="798">
        <f t="shared" si="393"/>
        <v>1</v>
      </c>
      <c r="AS397" s="798">
        <f t="shared" si="393"/>
        <v>1</v>
      </c>
      <c r="AT397" s="798">
        <f t="shared" si="393"/>
        <v>1</v>
      </c>
      <c r="AU397" s="798">
        <f t="shared" si="393"/>
        <v>1</v>
      </c>
      <c r="AV397" s="798">
        <f t="shared" si="393"/>
        <v>1</v>
      </c>
      <c r="AW397" s="798">
        <f t="shared" si="393"/>
        <v>1</v>
      </c>
      <c r="AX397" s="798">
        <f t="shared" si="393"/>
        <v>1</v>
      </c>
      <c r="AY397" s="798">
        <f t="shared" si="393"/>
        <v>1</v>
      </c>
      <c r="AZ397" s="798">
        <f t="shared" si="393"/>
        <v>1</v>
      </c>
      <c r="BA397" s="798">
        <f t="shared" si="393"/>
        <v>1</v>
      </c>
      <c r="BB397" s="798">
        <f t="shared" si="393"/>
        <v>1</v>
      </c>
      <c r="BC397" s="798">
        <f t="shared" si="393"/>
        <v>1</v>
      </c>
      <c r="BD397" s="798">
        <f t="shared" si="393"/>
        <v>1</v>
      </c>
      <c r="BE397" s="798">
        <f t="shared" si="393"/>
        <v>1</v>
      </c>
      <c r="BF397" s="798">
        <f t="shared" si="393"/>
        <v>1</v>
      </c>
      <c r="BG397" s="798">
        <f t="shared" si="393"/>
        <v>1</v>
      </c>
      <c r="BH397" s="798">
        <f t="shared" si="393"/>
        <v>1</v>
      </c>
      <c r="BI397" s="798">
        <f t="shared" si="393"/>
        <v>1</v>
      </c>
      <c r="BJ397" s="798">
        <f t="shared" si="393"/>
        <v>1</v>
      </c>
      <c r="BK397" s="798">
        <f t="shared" si="393"/>
        <v>1</v>
      </c>
      <c r="BL397" s="765"/>
      <c r="BM397" s="817"/>
      <c r="BN397" s="817"/>
    </row>
    <row r="398" hidden="1">
      <c r="A398" s="765"/>
      <c r="B398" s="765"/>
      <c r="C398" s="765"/>
      <c r="D398" s="765"/>
      <c r="E398" s="765"/>
      <c r="F398" s="765"/>
      <c r="G398" s="765"/>
      <c r="H398" s="765"/>
      <c r="I398" s="765">
        <f t="shared" si="17"/>
        <v>387</v>
      </c>
      <c r="J398" s="763">
        <f t="shared" si="5"/>
        <v>23167624195450</v>
      </c>
      <c r="K398" s="796">
        <f t="shared" si="7"/>
        <v>0.42729</v>
      </c>
      <c r="L398" s="796">
        <v>5.0E-4</v>
      </c>
      <c r="M398" s="763">
        <v>2.64169033015397E13</v>
      </c>
      <c r="N398" s="797">
        <f t="shared" si="8"/>
        <v>0</v>
      </c>
      <c r="O398" s="798">
        <f t="shared" ref="O398:BK398" si="394">FLOOR(MIN((((N("value of ELS upgrade")+N$8*($K398-$K397))*(N("Check checkbox")+(IF($G$6=TRUE,$G$7,$G$8))/$G$8))/(N("ROI of ELS and multiply by 2 if ELS is 1:1")+IF($G$12 = True, 2, 1) * $J398))/((N("difference in ELS+ and the cost of it")+(($K397*O$8)-($K397*N$8)) / O$7)),(N("MIN lets it return 0 or 1 after floored")+1)),1)</f>
        <v>0</v>
      </c>
      <c r="P398" s="798">
        <f t="shared" si="394"/>
        <v>0</v>
      </c>
      <c r="Q398" s="798">
        <f t="shared" si="394"/>
        <v>0</v>
      </c>
      <c r="R398" s="798">
        <f t="shared" si="394"/>
        <v>0</v>
      </c>
      <c r="S398" s="798">
        <f t="shared" si="394"/>
        <v>0</v>
      </c>
      <c r="T398" s="798">
        <f t="shared" si="394"/>
        <v>0</v>
      </c>
      <c r="U398" s="798">
        <f t="shared" si="394"/>
        <v>0</v>
      </c>
      <c r="V398" s="798">
        <f t="shared" si="394"/>
        <v>0</v>
      </c>
      <c r="W398" s="798">
        <f t="shared" si="394"/>
        <v>0</v>
      </c>
      <c r="X398" s="798">
        <f t="shared" si="394"/>
        <v>0</v>
      </c>
      <c r="Y398" s="798">
        <f t="shared" si="394"/>
        <v>0</v>
      </c>
      <c r="Z398" s="798">
        <f t="shared" si="394"/>
        <v>0</v>
      </c>
      <c r="AA398" s="798">
        <f t="shared" si="394"/>
        <v>0</v>
      </c>
      <c r="AB398" s="798">
        <f t="shared" si="394"/>
        <v>0</v>
      </c>
      <c r="AC398" s="798">
        <f t="shared" si="394"/>
        <v>0</v>
      </c>
      <c r="AD398" s="798">
        <f t="shared" si="394"/>
        <v>1</v>
      </c>
      <c r="AE398" s="798">
        <f t="shared" si="394"/>
        <v>1</v>
      </c>
      <c r="AF398" s="798">
        <f t="shared" si="394"/>
        <v>1</v>
      </c>
      <c r="AG398" s="798">
        <f t="shared" si="394"/>
        <v>1</v>
      </c>
      <c r="AH398" s="798">
        <f t="shared" si="394"/>
        <v>1</v>
      </c>
      <c r="AI398" s="798">
        <f t="shared" si="394"/>
        <v>1</v>
      </c>
      <c r="AJ398" s="798">
        <f t="shared" si="394"/>
        <v>1</v>
      </c>
      <c r="AK398" s="798">
        <f t="shared" si="394"/>
        <v>1</v>
      </c>
      <c r="AL398" s="798">
        <f t="shared" si="394"/>
        <v>1</v>
      </c>
      <c r="AM398" s="798">
        <f t="shared" si="394"/>
        <v>1</v>
      </c>
      <c r="AN398" s="798">
        <f t="shared" si="394"/>
        <v>1</v>
      </c>
      <c r="AO398" s="798">
        <f t="shared" si="394"/>
        <v>1</v>
      </c>
      <c r="AP398" s="798">
        <f t="shared" si="394"/>
        <v>1</v>
      </c>
      <c r="AQ398" s="798">
        <f t="shared" si="394"/>
        <v>1</v>
      </c>
      <c r="AR398" s="798">
        <f t="shared" si="394"/>
        <v>1</v>
      </c>
      <c r="AS398" s="798">
        <f t="shared" si="394"/>
        <v>1</v>
      </c>
      <c r="AT398" s="798">
        <f t="shared" si="394"/>
        <v>1</v>
      </c>
      <c r="AU398" s="798">
        <f t="shared" si="394"/>
        <v>1</v>
      </c>
      <c r="AV398" s="798">
        <f t="shared" si="394"/>
        <v>1</v>
      </c>
      <c r="AW398" s="798">
        <f t="shared" si="394"/>
        <v>1</v>
      </c>
      <c r="AX398" s="798">
        <f t="shared" si="394"/>
        <v>1</v>
      </c>
      <c r="AY398" s="798">
        <f t="shared" si="394"/>
        <v>1</v>
      </c>
      <c r="AZ398" s="798">
        <f t="shared" si="394"/>
        <v>1</v>
      </c>
      <c r="BA398" s="798">
        <f t="shared" si="394"/>
        <v>1</v>
      </c>
      <c r="BB398" s="798">
        <f t="shared" si="394"/>
        <v>1</v>
      </c>
      <c r="BC398" s="798">
        <f t="shared" si="394"/>
        <v>1</v>
      </c>
      <c r="BD398" s="798">
        <f t="shared" si="394"/>
        <v>1</v>
      </c>
      <c r="BE398" s="798">
        <f t="shared" si="394"/>
        <v>1</v>
      </c>
      <c r="BF398" s="798">
        <f t="shared" si="394"/>
        <v>1</v>
      </c>
      <c r="BG398" s="798">
        <f t="shared" si="394"/>
        <v>1</v>
      </c>
      <c r="BH398" s="798">
        <f t="shared" si="394"/>
        <v>1</v>
      </c>
      <c r="BI398" s="798">
        <f t="shared" si="394"/>
        <v>1</v>
      </c>
      <c r="BJ398" s="798">
        <f t="shared" si="394"/>
        <v>1</v>
      </c>
      <c r="BK398" s="798">
        <f t="shared" si="394"/>
        <v>1</v>
      </c>
      <c r="BL398" s="765"/>
      <c r="BM398" s="817"/>
      <c r="BN398" s="817"/>
    </row>
    <row r="399" hidden="1">
      <c r="A399" s="765"/>
      <c r="B399" s="765"/>
      <c r="C399" s="765"/>
      <c r="D399" s="765"/>
      <c r="E399" s="765"/>
      <c r="F399" s="765"/>
      <c r="G399" s="765"/>
      <c r="H399" s="765"/>
      <c r="I399" s="765">
        <f t="shared" si="17"/>
        <v>388</v>
      </c>
      <c r="J399" s="763">
        <f t="shared" si="5"/>
        <v>23256954622424</v>
      </c>
      <c r="K399" s="796">
        <f t="shared" si="7"/>
        <v>0.42779</v>
      </c>
      <c r="L399" s="796">
        <v>5.0E-4</v>
      </c>
      <c r="M399" s="763">
        <v>2.65187623972912E13</v>
      </c>
      <c r="N399" s="797">
        <f t="shared" si="8"/>
        <v>0</v>
      </c>
      <c r="O399" s="798">
        <f t="shared" ref="O399:BK399" si="395">FLOOR(MIN((((N("value of ELS upgrade")+N$8*($K399-$K398))*(N("Check checkbox")+(IF($G$6=TRUE,$G$7,$G$8))/$G$8))/(N("ROI of ELS and multiply by 2 if ELS is 1:1")+IF($G$12 = True, 2, 1) * $J399))/((N("difference in ELS+ and the cost of it")+(($K398*O$8)-($K398*N$8)) / O$7)),(N("MIN lets it return 0 or 1 after floored")+1)),1)</f>
        <v>0</v>
      </c>
      <c r="P399" s="798">
        <f t="shared" si="395"/>
        <v>0</v>
      </c>
      <c r="Q399" s="798">
        <f t="shared" si="395"/>
        <v>0</v>
      </c>
      <c r="R399" s="798">
        <f t="shared" si="395"/>
        <v>0</v>
      </c>
      <c r="S399" s="798">
        <f t="shared" si="395"/>
        <v>0</v>
      </c>
      <c r="T399" s="798">
        <f t="shared" si="395"/>
        <v>0</v>
      </c>
      <c r="U399" s="798">
        <f t="shared" si="395"/>
        <v>0</v>
      </c>
      <c r="V399" s="798">
        <f t="shared" si="395"/>
        <v>0</v>
      </c>
      <c r="W399" s="798">
        <f t="shared" si="395"/>
        <v>0</v>
      </c>
      <c r="X399" s="798">
        <f t="shared" si="395"/>
        <v>0</v>
      </c>
      <c r="Y399" s="798">
        <f t="shared" si="395"/>
        <v>0</v>
      </c>
      <c r="Z399" s="798">
        <f t="shared" si="395"/>
        <v>0</v>
      </c>
      <c r="AA399" s="798">
        <f t="shared" si="395"/>
        <v>0</v>
      </c>
      <c r="AB399" s="798">
        <f t="shared" si="395"/>
        <v>0</v>
      </c>
      <c r="AC399" s="798">
        <f t="shared" si="395"/>
        <v>0</v>
      </c>
      <c r="AD399" s="798">
        <f t="shared" si="395"/>
        <v>1</v>
      </c>
      <c r="AE399" s="798">
        <f t="shared" si="395"/>
        <v>1</v>
      </c>
      <c r="AF399" s="798">
        <f t="shared" si="395"/>
        <v>1</v>
      </c>
      <c r="AG399" s="798">
        <f t="shared" si="395"/>
        <v>1</v>
      </c>
      <c r="AH399" s="798">
        <f t="shared" si="395"/>
        <v>1</v>
      </c>
      <c r="AI399" s="798">
        <f t="shared" si="395"/>
        <v>1</v>
      </c>
      <c r="AJ399" s="798">
        <f t="shared" si="395"/>
        <v>1</v>
      </c>
      <c r="AK399" s="798">
        <f t="shared" si="395"/>
        <v>1</v>
      </c>
      <c r="AL399" s="798">
        <f t="shared" si="395"/>
        <v>1</v>
      </c>
      <c r="AM399" s="798">
        <f t="shared" si="395"/>
        <v>1</v>
      </c>
      <c r="AN399" s="798">
        <f t="shared" si="395"/>
        <v>1</v>
      </c>
      <c r="AO399" s="798">
        <f t="shared" si="395"/>
        <v>1</v>
      </c>
      <c r="AP399" s="798">
        <f t="shared" si="395"/>
        <v>1</v>
      </c>
      <c r="AQ399" s="798">
        <f t="shared" si="395"/>
        <v>1</v>
      </c>
      <c r="AR399" s="798">
        <f t="shared" si="395"/>
        <v>1</v>
      </c>
      <c r="AS399" s="798">
        <f t="shared" si="395"/>
        <v>1</v>
      </c>
      <c r="AT399" s="798">
        <f t="shared" si="395"/>
        <v>1</v>
      </c>
      <c r="AU399" s="798">
        <f t="shared" si="395"/>
        <v>1</v>
      </c>
      <c r="AV399" s="798">
        <f t="shared" si="395"/>
        <v>1</v>
      </c>
      <c r="AW399" s="798">
        <f t="shared" si="395"/>
        <v>1</v>
      </c>
      <c r="AX399" s="798">
        <f t="shared" si="395"/>
        <v>1</v>
      </c>
      <c r="AY399" s="798">
        <f t="shared" si="395"/>
        <v>1</v>
      </c>
      <c r="AZ399" s="798">
        <f t="shared" si="395"/>
        <v>1</v>
      </c>
      <c r="BA399" s="798">
        <f t="shared" si="395"/>
        <v>1</v>
      </c>
      <c r="BB399" s="798">
        <f t="shared" si="395"/>
        <v>1</v>
      </c>
      <c r="BC399" s="798">
        <f t="shared" si="395"/>
        <v>1</v>
      </c>
      <c r="BD399" s="798">
        <f t="shared" si="395"/>
        <v>1</v>
      </c>
      <c r="BE399" s="798">
        <f t="shared" si="395"/>
        <v>1</v>
      </c>
      <c r="BF399" s="798">
        <f t="shared" si="395"/>
        <v>1</v>
      </c>
      <c r="BG399" s="798">
        <f t="shared" si="395"/>
        <v>1</v>
      </c>
      <c r="BH399" s="798">
        <f t="shared" si="395"/>
        <v>1</v>
      </c>
      <c r="BI399" s="798">
        <f t="shared" si="395"/>
        <v>1</v>
      </c>
      <c r="BJ399" s="798">
        <f t="shared" si="395"/>
        <v>1</v>
      </c>
      <c r="BK399" s="798">
        <f t="shared" si="395"/>
        <v>1</v>
      </c>
      <c r="BL399" s="765"/>
      <c r="BM399" s="817"/>
      <c r="BN399" s="817"/>
    </row>
    <row r="400" hidden="1">
      <c r="A400" s="765"/>
      <c r="B400" s="765"/>
      <c r="C400" s="765"/>
      <c r="D400" s="765"/>
      <c r="E400" s="765"/>
      <c r="F400" s="765"/>
      <c r="G400" s="765"/>
      <c r="H400" s="765"/>
      <c r="I400" s="765">
        <f t="shared" si="17"/>
        <v>389</v>
      </c>
      <c r="J400" s="763">
        <f t="shared" si="5"/>
        <v>23346558236578</v>
      </c>
      <c r="K400" s="796">
        <f t="shared" si="7"/>
        <v>0.42829</v>
      </c>
      <c r="L400" s="796">
        <v>5.0E-4</v>
      </c>
      <c r="M400" s="763">
        <v>2.66209329949583E13</v>
      </c>
      <c r="N400" s="797">
        <f t="shared" si="8"/>
        <v>0</v>
      </c>
      <c r="O400" s="798">
        <f t="shared" ref="O400:BK400" si="396">FLOOR(MIN((((N("value of ELS upgrade")+N$8*($K400-$K399))*(N("Check checkbox")+(IF($G$6=TRUE,$G$7,$G$8))/$G$8))/(N("ROI of ELS and multiply by 2 if ELS is 1:1")+IF($G$12 = True, 2, 1) * $J400))/((N("difference in ELS+ and the cost of it")+(($K399*O$8)-($K399*N$8)) / O$7)),(N("MIN lets it return 0 or 1 after floored")+1)),1)</f>
        <v>0</v>
      </c>
      <c r="P400" s="798">
        <f t="shared" si="396"/>
        <v>0</v>
      </c>
      <c r="Q400" s="798">
        <f t="shared" si="396"/>
        <v>0</v>
      </c>
      <c r="R400" s="798">
        <f t="shared" si="396"/>
        <v>0</v>
      </c>
      <c r="S400" s="798">
        <f t="shared" si="396"/>
        <v>0</v>
      </c>
      <c r="T400" s="798">
        <f t="shared" si="396"/>
        <v>0</v>
      </c>
      <c r="U400" s="798">
        <f t="shared" si="396"/>
        <v>0</v>
      </c>
      <c r="V400" s="798">
        <f t="shared" si="396"/>
        <v>0</v>
      </c>
      <c r="W400" s="798">
        <f t="shared" si="396"/>
        <v>0</v>
      </c>
      <c r="X400" s="798">
        <f t="shared" si="396"/>
        <v>0</v>
      </c>
      <c r="Y400" s="798">
        <f t="shared" si="396"/>
        <v>0</v>
      </c>
      <c r="Z400" s="798">
        <f t="shared" si="396"/>
        <v>0</v>
      </c>
      <c r="AA400" s="798">
        <f t="shared" si="396"/>
        <v>0</v>
      </c>
      <c r="AB400" s="798">
        <f t="shared" si="396"/>
        <v>0</v>
      </c>
      <c r="AC400" s="798">
        <f t="shared" si="396"/>
        <v>0</v>
      </c>
      <c r="AD400" s="798">
        <f t="shared" si="396"/>
        <v>1</v>
      </c>
      <c r="AE400" s="798">
        <f t="shared" si="396"/>
        <v>1</v>
      </c>
      <c r="AF400" s="798">
        <f t="shared" si="396"/>
        <v>1</v>
      </c>
      <c r="AG400" s="798">
        <f t="shared" si="396"/>
        <v>1</v>
      </c>
      <c r="AH400" s="798">
        <f t="shared" si="396"/>
        <v>1</v>
      </c>
      <c r="AI400" s="798">
        <f t="shared" si="396"/>
        <v>1</v>
      </c>
      <c r="AJ400" s="798">
        <f t="shared" si="396"/>
        <v>1</v>
      </c>
      <c r="AK400" s="798">
        <f t="shared" si="396"/>
        <v>1</v>
      </c>
      <c r="AL400" s="798">
        <f t="shared" si="396"/>
        <v>1</v>
      </c>
      <c r="AM400" s="798">
        <f t="shared" si="396"/>
        <v>1</v>
      </c>
      <c r="AN400" s="798">
        <f t="shared" si="396"/>
        <v>1</v>
      </c>
      <c r="AO400" s="798">
        <f t="shared" si="396"/>
        <v>1</v>
      </c>
      <c r="AP400" s="798">
        <f t="shared" si="396"/>
        <v>1</v>
      </c>
      <c r="AQ400" s="798">
        <f t="shared" si="396"/>
        <v>1</v>
      </c>
      <c r="AR400" s="798">
        <f t="shared" si="396"/>
        <v>1</v>
      </c>
      <c r="AS400" s="798">
        <f t="shared" si="396"/>
        <v>1</v>
      </c>
      <c r="AT400" s="798">
        <f t="shared" si="396"/>
        <v>1</v>
      </c>
      <c r="AU400" s="798">
        <f t="shared" si="396"/>
        <v>1</v>
      </c>
      <c r="AV400" s="798">
        <f t="shared" si="396"/>
        <v>1</v>
      </c>
      <c r="AW400" s="798">
        <f t="shared" si="396"/>
        <v>1</v>
      </c>
      <c r="AX400" s="798">
        <f t="shared" si="396"/>
        <v>1</v>
      </c>
      <c r="AY400" s="798">
        <f t="shared" si="396"/>
        <v>1</v>
      </c>
      <c r="AZ400" s="798">
        <f t="shared" si="396"/>
        <v>1</v>
      </c>
      <c r="BA400" s="798">
        <f t="shared" si="396"/>
        <v>1</v>
      </c>
      <c r="BB400" s="798">
        <f t="shared" si="396"/>
        <v>1</v>
      </c>
      <c r="BC400" s="798">
        <f t="shared" si="396"/>
        <v>1</v>
      </c>
      <c r="BD400" s="798">
        <f t="shared" si="396"/>
        <v>1</v>
      </c>
      <c r="BE400" s="798">
        <f t="shared" si="396"/>
        <v>1</v>
      </c>
      <c r="BF400" s="798">
        <f t="shared" si="396"/>
        <v>1</v>
      </c>
      <c r="BG400" s="798">
        <f t="shared" si="396"/>
        <v>1</v>
      </c>
      <c r="BH400" s="798">
        <f t="shared" si="396"/>
        <v>1</v>
      </c>
      <c r="BI400" s="798">
        <f t="shared" si="396"/>
        <v>1</v>
      </c>
      <c r="BJ400" s="798">
        <f t="shared" si="396"/>
        <v>1</v>
      </c>
      <c r="BK400" s="798">
        <f t="shared" si="396"/>
        <v>1</v>
      </c>
      <c r="BL400" s="765"/>
      <c r="BM400" s="817"/>
      <c r="BN400" s="817"/>
    </row>
    <row r="401" hidden="1">
      <c r="A401" s="765"/>
      <c r="B401" s="765"/>
      <c r="C401" s="765"/>
      <c r="D401" s="765"/>
      <c r="E401" s="765"/>
      <c r="F401" s="765"/>
      <c r="G401" s="765"/>
      <c r="H401" s="765"/>
      <c r="I401" s="765">
        <f t="shared" si="17"/>
        <v>390</v>
      </c>
      <c r="J401" s="763">
        <f t="shared" si="5"/>
        <v>23436435750265</v>
      </c>
      <c r="K401" s="796">
        <f t="shared" si="7"/>
        <v>0.42879</v>
      </c>
      <c r="L401" s="796">
        <v>5.0E-4</v>
      </c>
      <c r="M401" s="763">
        <v>2.67234159068015E13</v>
      </c>
      <c r="N401" s="797">
        <f t="shared" si="8"/>
        <v>0</v>
      </c>
      <c r="O401" s="798">
        <f t="shared" ref="O401:BK401" si="397">FLOOR(MIN((((N("value of ELS upgrade")+N$8*($K401-$K400))*(N("Check checkbox")+(IF($G$6=TRUE,$G$7,$G$8))/$G$8))/(N("ROI of ELS and multiply by 2 if ELS is 1:1")+IF($G$12 = True, 2, 1) * $J401))/((N("difference in ELS+ and the cost of it")+(($K400*O$8)-($K400*N$8)) / O$7)),(N("MIN lets it return 0 or 1 after floored")+1)),1)</f>
        <v>0</v>
      </c>
      <c r="P401" s="798">
        <f t="shared" si="397"/>
        <v>0</v>
      </c>
      <c r="Q401" s="798">
        <f t="shared" si="397"/>
        <v>0</v>
      </c>
      <c r="R401" s="798">
        <f t="shared" si="397"/>
        <v>0</v>
      </c>
      <c r="S401" s="798">
        <f t="shared" si="397"/>
        <v>0</v>
      </c>
      <c r="T401" s="798">
        <f t="shared" si="397"/>
        <v>0</v>
      </c>
      <c r="U401" s="798">
        <f t="shared" si="397"/>
        <v>0</v>
      </c>
      <c r="V401" s="798">
        <f t="shared" si="397"/>
        <v>0</v>
      </c>
      <c r="W401" s="798">
        <f t="shared" si="397"/>
        <v>0</v>
      </c>
      <c r="X401" s="798">
        <f t="shared" si="397"/>
        <v>0</v>
      </c>
      <c r="Y401" s="798">
        <f t="shared" si="397"/>
        <v>0</v>
      </c>
      <c r="Z401" s="798">
        <f t="shared" si="397"/>
        <v>0</v>
      </c>
      <c r="AA401" s="798">
        <f t="shared" si="397"/>
        <v>0</v>
      </c>
      <c r="AB401" s="798">
        <f t="shared" si="397"/>
        <v>0</v>
      </c>
      <c r="AC401" s="798">
        <f t="shared" si="397"/>
        <v>0</v>
      </c>
      <c r="AD401" s="798">
        <f t="shared" si="397"/>
        <v>1</v>
      </c>
      <c r="AE401" s="798">
        <f t="shared" si="397"/>
        <v>1</v>
      </c>
      <c r="AF401" s="798">
        <f t="shared" si="397"/>
        <v>1</v>
      </c>
      <c r="AG401" s="798">
        <f t="shared" si="397"/>
        <v>1</v>
      </c>
      <c r="AH401" s="798">
        <f t="shared" si="397"/>
        <v>1</v>
      </c>
      <c r="AI401" s="798">
        <f t="shared" si="397"/>
        <v>1</v>
      </c>
      <c r="AJ401" s="798">
        <f t="shared" si="397"/>
        <v>1</v>
      </c>
      <c r="AK401" s="798">
        <f t="shared" si="397"/>
        <v>1</v>
      </c>
      <c r="AL401" s="798">
        <f t="shared" si="397"/>
        <v>1</v>
      </c>
      <c r="AM401" s="798">
        <f t="shared" si="397"/>
        <v>1</v>
      </c>
      <c r="AN401" s="798">
        <f t="shared" si="397"/>
        <v>1</v>
      </c>
      <c r="AO401" s="798">
        <f t="shared" si="397"/>
        <v>1</v>
      </c>
      <c r="AP401" s="798">
        <f t="shared" si="397"/>
        <v>1</v>
      </c>
      <c r="AQ401" s="798">
        <f t="shared" si="397"/>
        <v>1</v>
      </c>
      <c r="AR401" s="798">
        <f t="shared" si="397"/>
        <v>1</v>
      </c>
      <c r="AS401" s="798">
        <f t="shared" si="397"/>
        <v>1</v>
      </c>
      <c r="AT401" s="798">
        <f t="shared" si="397"/>
        <v>1</v>
      </c>
      <c r="AU401" s="798">
        <f t="shared" si="397"/>
        <v>1</v>
      </c>
      <c r="AV401" s="798">
        <f t="shared" si="397"/>
        <v>1</v>
      </c>
      <c r="AW401" s="798">
        <f t="shared" si="397"/>
        <v>1</v>
      </c>
      <c r="AX401" s="798">
        <f t="shared" si="397"/>
        <v>1</v>
      </c>
      <c r="AY401" s="798">
        <f t="shared" si="397"/>
        <v>1</v>
      </c>
      <c r="AZ401" s="798">
        <f t="shared" si="397"/>
        <v>1</v>
      </c>
      <c r="BA401" s="798">
        <f t="shared" si="397"/>
        <v>1</v>
      </c>
      <c r="BB401" s="798">
        <f t="shared" si="397"/>
        <v>1</v>
      </c>
      <c r="BC401" s="798">
        <f t="shared" si="397"/>
        <v>1</v>
      </c>
      <c r="BD401" s="798">
        <f t="shared" si="397"/>
        <v>1</v>
      </c>
      <c r="BE401" s="798">
        <f t="shared" si="397"/>
        <v>1</v>
      </c>
      <c r="BF401" s="798">
        <f t="shared" si="397"/>
        <v>1</v>
      </c>
      <c r="BG401" s="798">
        <f t="shared" si="397"/>
        <v>1</v>
      </c>
      <c r="BH401" s="798">
        <f t="shared" si="397"/>
        <v>1</v>
      </c>
      <c r="BI401" s="798">
        <f t="shared" si="397"/>
        <v>1</v>
      </c>
      <c r="BJ401" s="798">
        <f t="shared" si="397"/>
        <v>1</v>
      </c>
      <c r="BK401" s="798">
        <f t="shared" si="397"/>
        <v>1</v>
      </c>
      <c r="BL401" s="765"/>
      <c r="BM401" s="817"/>
      <c r="BN401" s="817"/>
    </row>
    <row r="402" hidden="1">
      <c r="A402" s="765"/>
      <c r="B402" s="765"/>
      <c r="C402" s="765"/>
      <c r="D402" s="765"/>
      <c r="E402" s="765"/>
      <c r="F402" s="765"/>
      <c r="G402" s="765"/>
      <c r="H402" s="765"/>
      <c r="I402" s="765">
        <f t="shared" si="17"/>
        <v>391</v>
      </c>
      <c r="J402" s="763">
        <f t="shared" si="5"/>
        <v>23526587875836</v>
      </c>
      <c r="K402" s="796">
        <f t="shared" si="7"/>
        <v>0.42929</v>
      </c>
      <c r="L402" s="796">
        <v>5.0E-4</v>
      </c>
      <c r="M402" s="763">
        <v>2.68262119450814E13</v>
      </c>
      <c r="N402" s="797">
        <f t="shared" si="8"/>
        <v>0</v>
      </c>
      <c r="O402" s="798">
        <f t="shared" ref="O402:BK402" si="398">FLOOR(MIN((((N("value of ELS upgrade")+N$8*($K402-$K401))*(N("Check checkbox")+(IF($G$6=TRUE,$G$7,$G$8))/$G$8))/(N("ROI of ELS and multiply by 2 if ELS is 1:1")+IF($G$12 = True, 2, 1) * $J402))/((N("difference in ELS+ and the cost of it")+(($K401*O$8)-($K401*N$8)) / O$7)),(N("MIN lets it return 0 or 1 after floored")+1)),1)</f>
        <v>0</v>
      </c>
      <c r="P402" s="798">
        <f t="shared" si="398"/>
        <v>0</v>
      </c>
      <c r="Q402" s="798">
        <f t="shared" si="398"/>
        <v>0</v>
      </c>
      <c r="R402" s="798">
        <f t="shared" si="398"/>
        <v>0</v>
      </c>
      <c r="S402" s="798">
        <f t="shared" si="398"/>
        <v>0</v>
      </c>
      <c r="T402" s="798">
        <f t="shared" si="398"/>
        <v>0</v>
      </c>
      <c r="U402" s="798">
        <f t="shared" si="398"/>
        <v>0</v>
      </c>
      <c r="V402" s="798">
        <f t="shared" si="398"/>
        <v>0</v>
      </c>
      <c r="W402" s="798">
        <f t="shared" si="398"/>
        <v>0</v>
      </c>
      <c r="X402" s="798">
        <f t="shared" si="398"/>
        <v>0</v>
      </c>
      <c r="Y402" s="798">
        <f t="shared" si="398"/>
        <v>0</v>
      </c>
      <c r="Z402" s="798">
        <f t="shared" si="398"/>
        <v>0</v>
      </c>
      <c r="AA402" s="798">
        <f t="shared" si="398"/>
        <v>0</v>
      </c>
      <c r="AB402" s="798">
        <f t="shared" si="398"/>
        <v>0</v>
      </c>
      <c r="AC402" s="798">
        <f t="shared" si="398"/>
        <v>0</v>
      </c>
      <c r="AD402" s="798">
        <f t="shared" si="398"/>
        <v>1</v>
      </c>
      <c r="AE402" s="798">
        <f t="shared" si="398"/>
        <v>1</v>
      </c>
      <c r="AF402" s="798">
        <f t="shared" si="398"/>
        <v>1</v>
      </c>
      <c r="AG402" s="798">
        <f t="shared" si="398"/>
        <v>1</v>
      </c>
      <c r="AH402" s="798">
        <f t="shared" si="398"/>
        <v>1</v>
      </c>
      <c r="AI402" s="798">
        <f t="shared" si="398"/>
        <v>1</v>
      </c>
      <c r="AJ402" s="798">
        <f t="shared" si="398"/>
        <v>1</v>
      </c>
      <c r="AK402" s="798">
        <f t="shared" si="398"/>
        <v>1</v>
      </c>
      <c r="AL402" s="798">
        <f t="shared" si="398"/>
        <v>1</v>
      </c>
      <c r="AM402" s="798">
        <f t="shared" si="398"/>
        <v>1</v>
      </c>
      <c r="AN402" s="798">
        <f t="shared" si="398"/>
        <v>1</v>
      </c>
      <c r="AO402" s="798">
        <f t="shared" si="398"/>
        <v>1</v>
      </c>
      <c r="AP402" s="798">
        <f t="shared" si="398"/>
        <v>1</v>
      </c>
      <c r="AQ402" s="798">
        <f t="shared" si="398"/>
        <v>1</v>
      </c>
      <c r="AR402" s="798">
        <f t="shared" si="398"/>
        <v>1</v>
      </c>
      <c r="AS402" s="798">
        <f t="shared" si="398"/>
        <v>1</v>
      </c>
      <c r="AT402" s="798">
        <f t="shared" si="398"/>
        <v>1</v>
      </c>
      <c r="AU402" s="798">
        <f t="shared" si="398"/>
        <v>1</v>
      </c>
      <c r="AV402" s="798">
        <f t="shared" si="398"/>
        <v>1</v>
      </c>
      <c r="AW402" s="798">
        <f t="shared" si="398"/>
        <v>1</v>
      </c>
      <c r="AX402" s="798">
        <f t="shared" si="398"/>
        <v>1</v>
      </c>
      <c r="AY402" s="798">
        <f t="shared" si="398"/>
        <v>1</v>
      </c>
      <c r="AZ402" s="798">
        <f t="shared" si="398"/>
        <v>1</v>
      </c>
      <c r="BA402" s="798">
        <f t="shared" si="398"/>
        <v>1</v>
      </c>
      <c r="BB402" s="798">
        <f t="shared" si="398"/>
        <v>1</v>
      </c>
      <c r="BC402" s="798">
        <f t="shared" si="398"/>
        <v>1</v>
      </c>
      <c r="BD402" s="798">
        <f t="shared" si="398"/>
        <v>1</v>
      </c>
      <c r="BE402" s="798">
        <f t="shared" si="398"/>
        <v>1</v>
      </c>
      <c r="BF402" s="798">
        <f t="shared" si="398"/>
        <v>1</v>
      </c>
      <c r="BG402" s="798">
        <f t="shared" si="398"/>
        <v>1</v>
      </c>
      <c r="BH402" s="798">
        <f t="shared" si="398"/>
        <v>1</v>
      </c>
      <c r="BI402" s="798">
        <f t="shared" si="398"/>
        <v>1</v>
      </c>
      <c r="BJ402" s="798">
        <f t="shared" si="398"/>
        <v>1</v>
      </c>
      <c r="BK402" s="798">
        <f t="shared" si="398"/>
        <v>1</v>
      </c>
      <c r="BL402" s="765"/>
      <c r="BM402" s="817"/>
      <c r="BN402" s="817"/>
    </row>
    <row r="403" hidden="1">
      <c r="A403" s="765"/>
      <c r="B403" s="765"/>
      <c r="C403" s="765"/>
      <c r="D403" s="765"/>
      <c r="E403" s="765"/>
      <c r="F403" s="765"/>
      <c r="G403" s="765"/>
      <c r="H403" s="765"/>
      <c r="I403" s="765">
        <f t="shared" si="17"/>
        <v>392</v>
      </c>
      <c r="J403" s="763">
        <f t="shared" si="5"/>
        <v>23617016037998</v>
      </c>
      <c r="K403" s="796">
        <f t="shared" si="7"/>
        <v>0.42979</v>
      </c>
      <c r="L403" s="796">
        <v>5.0E-4</v>
      </c>
      <c r="M403" s="763">
        <v>2.69293227343191E13</v>
      </c>
      <c r="N403" s="797">
        <f t="shared" si="8"/>
        <v>0</v>
      </c>
      <c r="O403" s="798">
        <f t="shared" ref="O403:BK403" si="399">FLOOR(MIN((((N("value of ELS upgrade")+N$8*($K403-$K402))*(N("Check checkbox")+(IF($G$6=TRUE,$G$7,$G$8))/$G$8))/(N("ROI of ELS and multiply by 2 if ELS is 1:1")+IF($G$12 = True, 2, 1) * $J403))/((N("difference in ELS+ and the cost of it")+(($K402*O$8)-($K402*N$8)) / O$7)),(N("MIN lets it return 0 or 1 after floored")+1)),1)</f>
        <v>0</v>
      </c>
      <c r="P403" s="798">
        <f t="shared" si="399"/>
        <v>0</v>
      </c>
      <c r="Q403" s="798">
        <f t="shared" si="399"/>
        <v>0</v>
      </c>
      <c r="R403" s="798">
        <f t="shared" si="399"/>
        <v>0</v>
      </c>
      <c r="S403" s="798">
        <f t="shared" si="399"/>
        <v>0</v>
      </c>
      <c r="T403" s="798">
        <f t="shared" si="399"/>
        <v>0</v>
      </c>
      <c r="U403" s="798">
        <f t="shared" si="399"/>
        <v>0</v>
      </c>
      <c r="V403" s="798">
        <f t="shared" si="399"/>
        <v>0</v>
      </c>
      <c r="W403" s="798">
        <f t="shared" si="399"/>
        <v>0</v>
      </c>
      <c r="X403" s="798">
        <f t="shared" si="399"/>
        <v>0</v>
      </c>
      <c r="Y403" s="798">
        <f t="shared" si="399"/>
        <v>0</v>
      </c>
      <c r="Z403" s="798">
        <f t="shared" si="399"/>
        <v>0</v>
      </c>
      <c r="AA403" s="798">
        <f t="shared" si="399"/>
        <v>0</v>
      </c>
      <c r="AB403" s="798">
        <f t="shared" si="399"/>
        <v>0</v>
      </c>
      <c r="AC403" s="798">
        <f t="shared" si="399"/>
        <v>0</v>
      </c>
      <c r="AD403" s="798">
        <f t="shared" si="399"/>
        <v>1</v>
      </c>
      <c r="AE403" s="798">
        <f t="shared" si="399"/>
        <v>1</v>
      </c>
      <c r="AF403" s="798">
        <f t="shared" si="399"/>
        <v>1</v>
      </c>
      <c r="AG403" s="798">
        <f t="shared" si="399"/>
        <v>1</v>
      </c>
      <c r="AH403" s="798">
        <f t="shared" si="399"/>
        <v>1</v>
      </c>
      <c r="AI403" s="798">
        <f t="shared" si="399"/>
        <v>1</v>
      </c>
      <c r="AJ403" s="798">
        <f t="shared" si="399"/>
        <v>1</v>
      </c>
      <c r="AK403" s="798">
        <f t="shared" si="399"/>
        <v>1</v>
      </c>
      <c r="AL403" s="798">
        <f t="shared" si="399"/>
        <v>1</v>
      </c>
      <c r="AM403" s="798">
        <f t="shared" si="399"/>
        <v>1</v>
      </c>
      <c r="AN403" s="798">
        <f t="shared" si="399"/>
        <v>1</v>
      </c>
      <c r="AO403" s="798">
        <f t="shared" si="399"/>
        <v>1</v>
      </c>
      <c r="AP403" s="798">
        <f t="shared" si="399"/>
        <v>1</v>
      </c>
      <c r="AQ403" s="798">
        <f t="shared" si="399"/>
        <v>1</v>
      </c>
      <c r="AR403" s="798">
        <f t="shared" si="399"/>
        <v>1</v>
      </c>
      <c r="AS403" s="798">
        <f t="shared" si="399"/>
        <v>1</v>
      </c>
      <c r="AT403" s="798">
        <f t="shared" si="399"/>
        <v>1</v>
      </c>
      <c r="AU403" s="798">
        <f t="shared" si="399"/>
        <v>1</v>
      </c>
      <c r="AV403" s="798">
        <f t="shared" si="399"/>
        <v>1</v>
      </c>
      <c r="AW403" s="798">
        <f t="shared" si="399"/>
        <v>1</v>
      </c>
      <c r="AX403" s="798">
        <f t="shared" si="399"/>
        <v>1</v>
      </c>
      <c r="AY403" s="798">
        <f t="shared" si="399"/>
        <v>1</v>
      </c>
      <c r="AZ403" s="798">
        <f t="shared" si="399"/>
        <v>1</v>
      </c>
      <c r="BA403" s="798">
        <f t="shared" si="399"/>
        <v>1</v>
      </c>
      <c r="BB403" s="798">
        <f t="shared" si="399"/>
        <v>1</v>
      </c>
      <c r="BC403" s="798">
        <f t="shared" si="399"/>
        <v>1</v>
      </c>
      <c r="BD403" s="798">
        <f t="shared" si="399"/>
        <v>1</v>
      </c>
      <c r="BE403" s="798">
        <f t="shared" si="399"/>
        <v>1</v>
      </c>
      <c r="BF403" s="798">
        <f t="shared" si="399"/>
        <v>1</v>
      </c>
      <c r="BG403" s="798">
        <f t="shared" si="399"/>
        <v>1</v>
      </c>
      <c r="BH403" s="798">
        <f t="shared" si="399"/>
        <v>1</v>
      </c>
      <c r="BI403" s="798">
        <f t="shared" si="399"/>
        <v>1</v>
      </c>
      <c r="BJ403" s="798">
        <f t="shared" si="399"/>
        <v>1</v>
      </c>
      <c r="BK403" s="798">
        <f t="shared" si="399"/>
        <v>1</v>
      </c>
      <c r="BL403" s="765"/>
      <c r="BM403" s="817"/>
      <c r="BN403" s="817"/>
    </row>
    <row r="404" hidden="1">
      <c r="A404" s="765"/>
      <c r="B404" s="765"/>
      <c r="C404" s="765"/>
      <c r="D404" s="765"/>
      <c r="E404" s="765"/>
      <c r="F404" s="765"/>
      <c r="G404" s="765"/>
      <c r="H404" s="765"/>
      <c r="I404" s="765">
        <f t="shared" si="17"/>
        <v>393</v>
      </c>
      <c r="J404" s="763">
        <f t="shared" si="5"/>
        <v>23707720592926</v>
      </c>
      <c r="K404" s="796">
        <f t="shared" si="7"/>
        <v>0.43029</v>
      </c>
      <c r="L404" s="796">
        <v>5.0E-4</v>
      </c>
      <c r="M404" s="763">
        <v>2.70327486806448E13</v>
      </c>
      <c r="N404" s="797">
        <f t="shared" si="8"/>
        <v>0</v>
      </c>
      <c r="O404" s="798">
        <f t="shared" ref="O404:BK404" si="400">FLOOR(MIN((((N("value of ELS upgrade")+N$8*($K404-$K403))*(N("Check checkbox")+(IF($G$6=TRUE,$G$7,$G$8))/$G$8))/(N("ROI of ELS and multiply by 2 if ELS is 1:1")+IF($G$12 = True, 2, 1) * $J404))/((N("difference in ELS+ and the cost of it")+(($K403*O$8)-($K403*N$8)) / O$7)),(N("MIN lets it return 0 or 1 after floored")+1)),1)</f>
        <v>0</v>
      </c>
      <c r="P404" s="798">
        <f t="shared" si="400"/>
        <v>0</v>
      </c>
      <c r="Q404" s="798">
        <f t="shared" si="400"/>
        <v>0</v>
      </c>
      <c r="R404" s="798">
        <f t="shared" si="400"/>
        <v>0</v>
      </c>
      <c r="S404" s="798">
        <f t="shared" si="400"/>
        <v>0</v>
      </c>
      <c r="T404" s="798">
        <f t="shared" si="400"/>
        <v>0</v>
      </c>
      <c r="U404" s="798">
        <f t="shared" si="400"/>
        <v>0</v>
      </c>
      <c r="V404" s="798">
        <f t="shared" si="400"/>
        <v>0</v>
      </c>
      <c r="W404" s="798">
        <f t="shared" si="400"/>
        <v>0</v>
      </c>
      <c r="X404" s="798">
        <f t="shared" si="400"/>
        <v>0</v>
      </c>
      <c r="Y404" s="798">
        <f t="shared" si="400"/>
        <v>0</v>
      </c>
      <c r="Z404" s="798">
        <f t="shared" si="400"/>
        <v>0</v>
      </c>
      <c r="AA404" s="798">
        <f t="shared" si="400"/>
        <v>0</v>
      </c>
      <c r="AB404" s="798">
        <f t="shared" si="400"/>
        <v>0</v>
      </c>
      <c r="AC404" s="798">
        <f t="shared" si="400"/>
        <v>0</v>
      </c>
      <c r="AD404" s="798">
        <f t="shared" si="400"/>
        <v>1</v>
      </c>
      <c r="AE404" s="798">
        <f t="shared" si="400"/>
        <v>1</v>
      </c>
      <c r="AF404" s="798">
        <f t="shared" si="400"/>
        <v>1</v>
      </c>
      <c r="AG404" s="798">
        <f t="shared" si="400"/>
        <v>1</v>
      </c>
      <c r="AH404" s="798">
        <f t="shared" si="400"/>
        <v>1</v>
      </c>
      <c r="AI404" s="798">
        <f t="shared" si="400"/>
        <v>1</v>
      </c>
      <c r="AJ404" s="798">
        <f t="shared" si="400"/>
        <v>1</v>
      </c>
      <c r="AK404" s="798">
        <f t="shared" si="400"/>
        <v>1</v>
      </c>
      <c r="AL404" s="798">
        <f t="shared" si="400"/>
        <v>1</v>
      </c>
      <c r="AM404" s="798">
        <f t="shared" si="400"/>
        <v>1</v>
      </c>
      <c r="AN404" s="798">
        <f t="shared" si="400"/>
        <v>1</v>
      </c>
      <c r="AO404" s="798">
        <f t="shared" si="400"/>
        <v>1</v>
      </c>
      <c r="AP404" s="798">
        <f t="shared" si="400"/>
        <v>1</v>
      </c>
      <c r="AQ404" s="798">
        <f t="shared" si="400"/>
        <v>1</v>
      </c>
      <c r="AR404" s="798">
        <f t="shared" si="400"/>
        <v>1</v>
      </c>
      <c r="AS404" s="798">
        <f t="shared" si="400"/>
        <v>1</v>
      </c>
      <c r="AT404" s="798">
        <f t="shared" si="400"/>
        <v>1</v>
      </c>
      <c r="AU404" s="798">
        <f t="shared" si="400"/>
        <v>1</v>
      </c>
      <c r="AV404" s="798">
        <f t="shared" si="400"/>
        <v>1</v>
      </c>
      <c r="AW404" s="798">
        <f t="shared" si="400"/>
        <v>1</v>
      </c>
      <c r="AX404" s="798">
        <f t="shared" si="400"/>
        <v>1</v>
      </c>
      <c r="AY404" s="798">
        <f t="shared" si="400"/>
        <v>1</v>
      </c>
      <c r="AZ404" s="798">
        <f t="shared" si="400"/>
        <v>1</v>
      </c>
      <c r="BA404" s="798">
        <f t="shared" si="400"/>
        <v>1</v>
      </c>
      <c r="BB404" s="798">
        <f t="shared" si="400"/>
        <v>1</v>
      </c>
      <c r="BC404" s="798">
        <f t="shared" si="400"/>
        <v>1</v>
      </c>
      <c r="BD404" s="798">
        <f t="shared" si="400"/>
        <v>1</v>
      </c>
      <c r="BE404" s="798">
        <f t="shared" si="400"/>
        <v>1</v>
      </c>
      <c r="BF404" s="798">
        <f t="shared" si="400"/>
        <v>1</v>
      </c>
      <c r="BG404" s="798">
        <f t="shared" si="400"/>
        <v>1</v>
      </c>
      <c r="BH404" s="798">
        <f t="shared" si="400"/>
        <v>1</v>
      </c>
      <c r="BI404" s="798">
        <f t="shared" si="400"/>
        <v>1</v>
      </c>
      <c r="BJ404" s="798">
        <f t="shared" si="400"/>
        <v>1</v>
      </c>
      <c r="BK404" s="798">
        <f t="shared" si="400"/>
        <v>1</v>
      </c>
      <c r="BL404" s="765"/>
      <c r="BM404" s="817"/>
      <c r="BN404" s="817"/>
    </row>
    <row r="405" hidden="1">
      <c r="A405" s="765"/>
      <c r="B405" s="765"/>
      <c r="C405" s="765"/>
      <c r="D405" s="765"/>
      <c r="E405" s="765"/>
      <c r="F405" s="765"/>
      <c r="G405" s="765"/>
      <c r="H405" s="765"/>
      <c r="I405" s="765">
        <f t="shared" si="17"/>
        <v>394</v>
      </c>
      <c r="J405" s="763">
        <f t="shared" si="5"/>
        <v>23798702965324</v>
      </c>
      <c r="K405" s="796">
        <f t="shared" si="7"/>
        <v>0.43079</v>
      </c>
      <c r="L405" s="796">
        <v>5.0E-4</v>
      </c>
      <c r="M405" s="763">
        <v>2.71364914085795E13</v>
      </c>
      <c r="N405" s="797">
        <f t="shared" si="8"/>
        <v>0</v>
      </c>
      <c r="O405" s="798">
        <f t="shared" ref="O405:BK405" si="401">FLOOR(MIN((((N("value of ELS upgrade")+N$8*($K405-$K404))*(N("Check checkbox")+(IF($G$6=TRUE,$G$7,$G$8))/$G$8))/(N("ROI of ELS and multiply by 2 if ELS is 1:1")+IF($G$12 = True, 2, 1) * $J405))/((N("difference in ELS+ and the cost of it")+(($K404*O$8)-($K404*N$8)) / O$7)),(N("MIN lets it return 0 or 1 after floored")+1)),1)</f>
        <v>0</v>
      </c>
      <c r="P405" s="798">
        <f t="shared" si="401"/>
        <v>0</v>
      </c>
      <c r="Q405" s="798">
        <f t="shared" si="401"/>
        <v>0</v>
      </c>
      <c r="R405" s="798">
        <f t="shared" si="401"/>
        <v>0</v>
      </c>
      <c r="S405" s="798">
        <f t="shared" si="401"/>
        <v>0</v>
      </c>
      <c r="T405" s="798">
        <f t="shared" si="401"/>
        <v>0</v>
      </c>
      <c r="U405" s="798">
        <f t="shared" si="401"/>
        <v>0</v>
      </c>
      <c r="V405" s="798">
        <f t="shared" si="401"/>
        <v>0</v>
      </c>
      <c r="W405" s="798">
        <f t="shared" si="401"/>
        <v>0</v>
      </c>
      <c r="X405" s="798">
        <f t="shared" si="401"/>
        <v>0</v>
      </c>
      <c r="Y405" s="798">
        <f t="shared" si="401"/>
        <v>0</v>
      </c>
      <c r="Z405" s="798">
        <f t="shared" si="401"/>
        <v>0</v>
      </c>
      <c r="AA405" s="798">
        <f t="shared" si="401"/>
        <v>0</v>
      </c>
      <c r="AB405" s="798">
        <f t="shared" si="401"/>
        <v>0</v>
      </c>
      <c r="AC405" s="798">
        <f t="shared" si="401"/>
        <v>0</v>
      </c>
      <c r="AD405" s="798">
        <f t="shared" si="401"/>
        <v>1</v>
      </c>
      <c r="AE405" s="798">
        <f t="shared" si="401"/>
        <v>1</v>
      </c>
      <c r="AF405" s="798">
        <f t="shared" si="401"/>
        <v>1</v>
      </c>
      <c r="AG405" s="798">
        <f t="shared" si="401"/>
        <v>1</v>
      </c>
      <c r="AH405" s="798">
        <f t="shared" si="401"/>
        <v>1</v>
      </c>
      <c r="AI405" s="798">
        <f t="shared" si="401"/>
        <v>1</v>
      </c>
      <c r="AJ405" s="798">
        <f t="shared" si="401"/>
        <v>1</v>
      </c>
      <c r="AK405" s="798">
        <f t="shared" si="401"/>
        <v>1</v>
      </c>
      <c r="AL405" s="798">
        <f t="shared" si="401"/>
        <v>1</v>
      </c>
      <c r="AM405" s="798">
        <f t="shared" si="401"/>
        <v>1</v>
      </c>
      <c r="AN405" s="798">
        <f t="shared" si="401"/>
        <v>1</v>
      </c>
      <c r="AO405" s="798">
        <f t="shared" si="401"/>
        <v>1</v>
      </c>
      <c r="AP405" s="798">
        <f t="shared" si="401"/>
        <v>1</v>
      </c>
      <c r="AQ405" s="798">
        <f t="shared" si="401"/>
        <v>1</v>
      </c>
      <c r="AR405" s="798">
        <f t="shared" si="401"/>
        <v>1</v>
      </c>
      <c r="AS405" s="798">
        <f t="shared" si="401"/>
        <v>1</v>
      </c>
      <c r="AT405" s="798">
        <f t="shared" si="401"/>
        <v>1</v>
      </c>
      <c r="AU405" s="798">
        <f t="shared" si="401"/>
        <v>1</v>
      </c>
      <c r="AV405" s="798">
        <f t="shared" si="401"/>
        <v>1</v>
      </c>
      <c r="AW405" s="798">
        <f t="shared" si="401"/>
        <v>1</v>
      </c>
      <c r="AX405" s="798">
        <f t="shared" si="401"/>
        <v>1</v>
      </c>
      <c r="AY405" s="798">
        <f t="shared" si="401"/>
        <v>1</v>
      </c>
      <c r="AZ405" s="798">
        <f t="shared" si="401"/>
        <v>1</v>
      </c>
      <c r="BA405" s="798">
        <f t="shared" si="401"/>
        <v>1</v>
      </c>
      <c r="BB405" s="798">
        <f t="shared" si="401"/>
        <v>1</v>
      </c>
      <c r="BC405" s="798">
        <f t="shared" si="401"/>
        <v>1</v>
      </c>
      <c r="BD405" s="798">
        <f t="shared" si="401"/>
        <v>1</v>
      </c>
      <c r="BE405" s="798">
        <f t="shared" si="401"/>
        <v>1</v>
      </c>
      <c r="BF405" s="798">
        <f t="shared" si="401"/>
        <v>1</v>
      </c>
      <c r="BG405" s="798">
        <f t="shared" si="401"/>
        <v>1</v>
      </c>
      <c r="BH405" s="798">
        <f t="shared" si="401"/>
        <v>1</v>
      </c>
      <c r="BI405" s="798">
        <f t="shared" si="401"/>
        <v>1</v>
      </c>
      <c r="BJ405" s="798">
        <f t="shared" si="401"/>
        <v>1</v>
      </c>
      <c r="BK405" s="798">
        <f t="shared" si="401"/>
        <v>1</v>
      </c>
      <c r="BL405" s="765"/>
      <c r="BM405" s="817"/>
      <c r="BN405" s="817"/>
    </row>
    <row r="406" hidden="1">
      <c r="A406" s="765"/>
      <c r="B406" s="765"/>
      <c r="C406" s="765"/>
      <c r="D406" s="765"/>
      <c r="E406" s="765"/>
      <c r="F406" s="765"/>
      <c r="G406" s="765"/>
      <c r="H406" s="765"/>
      <c r="I406" s="765">
        <f t="shared" si="17"/>
        <v>395</v>
      </c>
      <c r="J406" s="763">
        <f t="shared" si="5"/>
        <v>23889964223723</v>
      </c>
      <c r="K406" s="796">
        <f t="shared" si="7"/>
        <v>0.43129</v>
      </c>
      <c r="L406" s="796">
        <v>5.0E-4</v>
      </c>
      <c r="M406" s="763">
        <v>2.72405521365142E13</v>
      </c>
      <c r="N406" s="797">
        <f t="shared" si="8"/>
        <v>0</v>
      </c>
      <c r="O406" s="798">
        <f t="shared" ref="O406:BK406" si="402">FLOOR(MIN((((N("value of ELS upgrade")+N$8*($K406-$K405))*(N("Check checkbox")+(IF($G$6=TRUE,$G$7,$G$8))/$G$8))/(N("ROI of ELS and multiply by 2 if ELS is 1:1")+IF($G$12 = True, 2, 1) * $J406))/((N("difference in ELS+ and the cost of it")+(($K405*O$8)-($K405*N$8)) / O$7)),(N("MIN lets it return 0 or 1 after floored")+1)),1)</f>
        <v>0</v>
      </c>
      <c r="P406" s="798">
        <f t="shared" si="402"/>
        <v>0</v>
      </c>
      <c r="Q406" s="798">
        <f t="shared" si="402"/>
        <v>0</v>
      </c>
      <c r="R406" s="798">
        <f t="shared" si="402"/>
        <v>0</v>
      </c>
      <c r="S406" s="798">
        <f t="shared" si="402"/>
        <v>0</v>
      </c>
      <c r="T406" s="798">
        <f t="shared" si="402"/>
        <v>0</v>
      </c>
      <c r="U406" s="798">
        <f t="shared" si="402"/>
        <v>0</v>
      </c>
      <c r="V406" s="798">
        <f t="shared" si="402"/>
        <v>0</v>
      </c>
      <c r="W406" s="798">
        <f t="shared" si="402"/>
        <v>0</v>
      </c>
      <c r="X406" s="798">
        <f t="shared" si="402"/>
        <v>0</v>
      </c>
      <c r="Y406" s="798">
        <f t="shared" si="402"/>
        <v>0</v>
      </c>
      <c r="Z406" s="798">
        <f t="shared" si="402"/>
        <v>0</v>
      </c>
      <c r="AA406" s="798">
        <f t="shared" si="402"/>
        <v>0</v>
      </c>
      <c r="AB406" s="798">
        <f t="shared" si="402"/>
        <v>0</v>
      </c>
      <c r="AC406" s="798">
        <f t="shared" si="402"/>
        <v>0</v>
      </c>
      <c r="AD406" s="798">
        <f t="shared" si="402"/>
        <v>1</v>
      </c>
      <c r="AE406" s="798">
        <f t="shared" si="402"/>
        <v>1</v>
      </c>
      <c r="AF406" s="798">
        <f t="shared" si="402"/>
        <v>1</v>
      </c>
      <c r="AG406" s="798">
        <f t="shared" si="402"/>
        <v>1</v>
      </c>
      <c r="AH406" s="798">
        <f t="shared" si="402"/>
        <v>1</v>
      </c>
      <c r="AI406" s="798">
        <f t="shared" si="402"/>
        <v>1</v>
      </c>
      <c r="AJ406" s="798">
        <f t="shared" si="402"/>
        <v>1</v>
      </c>
      <c r="AK406" s="798">
        <f t="shared" si="402"/>
        <v>1</v>
      </c>
      <c r="AL406" s="798">
        <f t="shared" si="402"/>
        <v>1</v>
      </c>
      <c r="AM406" s="798">
        <f t="shared" si="402"/>
        <v>1</v>
      </c>
      <c r="AN406" s="798">
        <f t="shared" si="402"/>
        <v>1</v>
      </c>
      <c r="AO406" s="798">
        <f t="shared" si="402"/>
        <v>1</v>
      </c>
      <c r="AP406" s="798">
        <f t="shared" si="402"/>
        <v>1</v>
      </c>
      <c r="AQ406" s="798">
        <f t="shared" si="402"/>
        <v>1</v>
      </c>
      <c r="AR406" s="798">
        <f t="shared" si="402"/>
        <v>1</v>
      </c>
      <c r="AS406" s="798">
        <f t="shared" si="402"/>
        <v>1</v>
      </c>
      <c r="AT406" s="798">
        <f t="shared" si="402"/>
        <v>1</v>
      </c>
      <c r="AU406" s="798">
        <f t="shared" si="402"/>
        <v>1</v>
      </c>
      <c r="AV406" s="798">
        <f t="shared" si="402"/>
        <v>1</v>
      </c>
      <c r="AW406" s="798">
        <f t="shared" si="402"/>
        <v>1</v>
      </c>
      <c r="AX406" s="798">
        <f t="shared" si="402"/>
        <v>1</v>
      </c>
      <c r="AY406" s="798">
        <f t="shared" si="402"/>
        <v>1</v>
      </c>
      <c r="AZ406" s="798">
        <f t="shared" si="402"/>
        <v>1</v>
      </c>
      <c r="BA406" s="798">
        <f t="shared" si="402"/>
        <v>1</v>
      </c>
      <c r="BB406" s="798">
        <f t="shared" si="402"/>
        <v>1</v>
      </c>
      <c r="BC406" s="798">
        <f t="shared" si="402"/>
        <v>1</v>
      </c>
      <c r="BD406" s="798">
        <f t="shared" si="402"/>
        <v>1</v>
      </c>
      <c r="BE406" s="798">
        <f t="shared" si="402"/>
        <v>1</v>
      </c>
      <c r="BF406" s="798">
        <f t="shared" si="402"/>
        <v>1</v>
      </c>
      <c r="BG406" s="798">
        <f t="shared" si="402"/>
        <v>1</v>
      </c>
      <c r="BH406" s="798">
        <f t="shared" si="402"/>
        <v>1</v>
      </c>
      <c r="BI406" s="798">
        <f t="shared" si="402"/>
        <v>1</v>
      </c>
      <c r="BJ406" s="798">
        <f t="shared" si="402"/>
        <v>1</v>
      </c>
      <c r="BK406" s="798">
        <f t="shared" si="402"/>
        <v>1</v>
      </c>
      <c r="BL406" s="765"/>
      <c r="BM406" s="817"/>
      <c r="BN406" s="817"/>
    </row>
    <row r="407" hidden="1">
      <c r="A407" s="765"/>
      <c r="B407" s="765"/>
      <c r="C407" s="765"/>
      <c r="D407" s="765"/>
      <c r="E407" s="765"/>
      <c r="F407" s="765"/>
      <c r="G407" s="765"/>
      <c r="H407" s="765"/>
      <c r="I407" s="765">
        <f t="shared" si="17"/>
        <v>396</v>
      </c>
      <c r="J407" s="763">
        <f t="shared" si="5"/>
        <v>23981504724298</v>
      </c>
      <c r="K407" s="796">
        <f t="shared" si="7"/>
        <v>0.43179</v>
      </c>
      <c r="L407" s="796">
        <v>5.0E-4</v>
      </c>
      <c r="M407" s="763">
        <v>2.7344931270579E13</v>
      </c>
      <c r="N407" s="797">
        <f t="shared" si="8"/>
        <v>0</v>
      </c>
      <c r="O407" s="798">
        <f t="shared" ref="O407:BK407" si="403">FLOOR(MIN((((N("value of ELS upgrade")+N$8*($K407-$K406))*(N("Check checkbox")+(IF($G$6=TRUE,$G$7,$G$8))/$G$8))/(N("ROI of ELS and multiply by 2 if ELS is 1:1")+IF($G$12 = True, 2, 1) * $J407))/((N("difference in ELS+ and the cost of it")+(($K406*O$8)-($K406*N$8)) / O$7)),(N("MIN lets it return 0 or 1 after floored")+1)),1)</f>
        <v>0</v>
      </c>
      <c r="P407" s="798">
        <f t="shared" si="403"/>
        <v>0</v>
      </c>
      <c r="Q407" s="798">
        <f t="shared" si="403"/>
        <v>0</v>
      </c>
      <c r="R407" s="798">
        <f t="shared" si="403"/>
        <v>0</v>
      </c>
      <c r="S407" s="798">
        <f t="shared" si="403"/>
        <v>0</v>
      </c>
      <c r="T407" s="798">
        <f t="shared" si="403"/>
        <v>0</v>
      </c>
      <c r="U407" s="798">
        <f t="shared" si="403"/>
        <v>0</v>
      </c>
      <c r="V407" s="798">
        <f t="shared" si="403"/>
        <v>0</v>
      </c>
      <c r="W407" s="798">
        <f t="shared" si="403"/>
        <v>0</v>
      </c>
      <c r="X407" s="798">
        <f t="shared" si="403"/>
        <v>0</v>
      </c>
      <c r="Y407" s="798">
        <f t="shared" si="403"/>
        <v>0</v>
      </c>
      <c r="Z407" s="798">
        <f t="shared" si="403"/>
        <v>0</v>
      </c>
      <c r="AA407" s="798">
        <f t="shared" si="403"/>
        <v>0</v>
      </c>
      <c r="AB407" s="798">
        <f t="shared" si="403"/>
        <v>0</v>
      </c>
      <c r="AC407" s="798">
        <f t="shared" si="403"/>
        <v>0</v>
      </c>
      <c r="AD407" s="798">
        <f t="shared" si="403"/>
        <v>1</v>
      </c>
      <c r="AE407" s="798">
        <f t="shared" si="403"/>
        <v>1</v>
      </c>
      <c r="AF407" s="798">
        <f t="shared" si="403"/>
        <v>1</v>
      </c>
      <c r="AG407" s="798">
        <f t="shared" si="403"/>
        <v>1</v>
      </c>
      <c r="AH407" s="798">
        <f t="shared" si="403"/>
        <v>1</v>
      </c>
      <c r="AI407" s="798">
        <f t="shared" si="403"/>
        <v>1</v>
      </c>
      <c r="AJ407" s="798">
        <f t="shared" si="403"/>
        <v>1</v>
      </c>
      <c r="AK407" s="798">
        <f t="shared" si="403"/>
        <v>1</v>
      </c>
      <c r="AL407" s="798">
        <f t="shared" si="403"/>
        <v>1</v>
      </c>
      <c r="AM407" s="798">
        <f t="shared" si="403"/>
        <v>1</v>
      </c>
      <c r="AN407" s="798">
        <f t="shared" si="403"/>
        <v>1</v>
      </c>
      <c r="AO407" s="798">
        <f t="shared" si="403"/>
        <v>1</v>
      </c>
      <c r="AP407" s="798">
        <f t="shared" si="403"/>
        <v>1</v>
      </c>
      <c r="AQ407" s="798">
        <f t="shared" si="403"/>
        <v>1</v>
      </c>
      <c r="AR407" s="798">
        <f t="shared" si="403"/>
        <v>1</v>
      </c>
      <c r="AS407" s="798">
        <f t="shared" si="403"/>
        <v>1</v>
      </c>
      <c r="AT407" s="798">
        <f t="shared" si="403"/>
        <v>1</v>
      </c>
      <c r="AU407" s="798">
        <f t="shared" si="403"/>
        <v>1</v>
      </c>
      <c r="AV407" s="798">
        <f t="shared" si="403"/>
        <v>1</v>
      </c>
      <c r="AW407" s="798">
        <f t="shared" si="403"/>
        <v>1</v>
      </c>
      <c r="AX407" s="798">
        <f t="shared" si="403"/>
        <v>1</v>
      </c>
      <c r="AY407" s="798">
        <f t="shared" si="403"/>
        <v>1</v>
      </c>
      <c r="AZ407" s="798">
        <f t="shared" si="403"/>
        <v>1</v>
      </c>
      <c r="BA407" s="798">
        <f t="shared" si="403"/>
        <v>1</v>
      </c>
      <c r="BB407" s="798">
        <f t="shared" si="403"/>
        <v>1</v>
      </c>
      <c r="BC407" s="798">
        <f t="shared" si="403"/>
        <v>1</v>
      </c>
      <c r="BD407" s="798">
        <f t="shared" si="403"/>
        <v>1</v>
      </c>
      <c r="BE407" s="798">
        <f t="shared" si="403"/>
        <v>1</v>
      </c>
      <c r="BF407" s="798">
        <f t="shared" si="403"/>
        <v>1</v>
      </c>
      <c r="BG407" s="798">
        <f t="shared" si="403"/>
        <v>1</v>
      </c>
      <c r="BH407" s="798">
        <f t="shared" si="403"/>
        <v>1</v>
      </c>
      <c r="BI407" s="798">
        <f t="shared" si="403"/>
        <v>1</v>
      </c>
      <c r="BJ407" s="798">
        <f t="shared" si="403"/>
        <v>1</v>
      </c>
      <c r="BK407" s="798">
        <f t="shared" si="403"/>
        <v>1</v>
      </c>
      <c r="BL407" s="765"/>
      <c r="BM407" s="817"/>
      <c r="BN407" s="817"/>
    </row>
    <row r="408" hidden="1">
      <c r="A408" s="765"/>
      <c r="B408" s="765"/>
      <c r="C408" s="765"/>
      <c r="D408" s="765"/>
      <c r="E408" s="765"/>
      <c r="F408" s="765"/>
      <c r="G408" s="765"/>
      <c r="H408" s="765"/>
      <c r="I408" s="765">
        <f t="shared" si="17"/>
        <v>397</v>
      </c>
      <c r="J408" s="763">
        <f t="shared" si="5"/>
        <v>24073326247930</v>
      </c>
      <c r="K408" s="796">
        <f t="shared" si="7"/>
        <v>0.43229</v>
      </c>
      <c r="L408" s="796">
        <v>5.0E-4</v>
      </c>
      <c r="M408" s="763">
        <v>2.74496308414254E13</v>
      </c>
      <c r="N408" s="797">
        <f t="shared" si="8"/>
        <v>0</v>
      </c>
      <c r="O408" s="798">
        <f t="shared" ref="O408:BK408" si="404">FLOOR(MIN((((N("value of ELS upgrade")+N$8*($K408-$K407))*(N("Check checkbox")+(IF($G$6=TRUE,$G$7,$G$8))/$G$8))/(N("ROI of ELS and multiply by 2 if ELS is 1:1")+IF($G$12 = True, 2, 1) * $J408))/((N("difference in ELS+ and the cost of it")+(($K407*O$8)-($K407*N$8)) / O$7)),(N("MIN lets it return 0 or 1 after floored")+1)),1)</f>
        <v>0</v>
      </c>
      <c r="P408" s="798">
        <f t="shared" si="404"/>
        <v>0</v>
      </c>
      <c r="Q408" s="798">
        <f t="shared" si="404"/>
        <v>0</v>
      </c>
      <c r="R408" s="798">
        <f t="shared" si="404"/>
        <v>0</v>
      </c>
      <c r="S408" s="798">
        <f t="shared" si="404"/>
        <v>0</v>
      </c>
      <c r="T408" s="798">
        <f t="shared" si="404"/>
        <v>0</v>
      </c>
      <c r="U408" s="798">
        <f t="shared" si="404"/>
        <v>0</v>
      </c>
      <c r="V408" s="798">
        <f t="shared" si="404"/>
        <v>0</v>
      </c>
      <c r="W408" s="798">
        <f t="shared" si="404"/>
        <v>0</v>
      </c>
      <c r="X408" s="798">
        <f t="shared" si="404"/>
        <v>0</v>
      </c>
      <c r="Y408" s="798">
        <f t="shared" si="404"/>
        <v>0</v>
      </c>
      <c r="Z408" s="798">
        <f t="shared" si="404"/>
        <v>0</v>
      </c>
      <c r="AA408" s="798">
        <f t="shared" si="404"/>
        <v>0</v>
      </c>
      <c r="AB408" s="798">
        <f t="shared" si="404"/>
        <v>0</v>
      </c>
      <c r="AC408" s="798">
        <f t="shared" si="404"/>
        <v>0</v>
      </c>
      <c r="AD408" s="798">
        <f t="shared" si="404"/>
        <v>1</v>
      </c>
      <c r="AE408" s="798">
        <f t="shared" si="404"/>
        <v>1</v>
      </c>
      <c r="AF408" s="798">
        <f t="shared" si="404"/>
        <v>1</v>
      </c>
      <c r="AG408" s="798">
        <f t="shared" si="404"/>
        <v>1</v>
      </c>
      <c r="AH408" s="798">
        <f t="shared" si="404"/>
        <v>1</v>
      </c>
      <c r="AI408" s="798">
        <f t="shared" si="404"/>
        <v>1</v>
      </c>
      <c r="AJ408" s="798">
        <f t="shared" si="404"/>
        <v>1</v>
      </c>
      <c r="AK408" s="798">
        <f t="shared" si="404"/>
        <v>1</v>
      </c>
      <c r="AL408" s="798">
        <f t="shared" si="404"/>
        <v>1</v>
      </c>
      <c r="AM408" s="798">
        <f t="shared" si="404"/>
        <v>1</v>
      </c>
      <c r="AN408" s="798">
        <f t="shared" si="404"/>
        <v>1</v>
      </c>
      <c r="AO408" s="798">
        <f t="shared" si="404"/>
        <v>1</v>
      </c>
      <c r="AP408" s="798">
        <f t="shared" si="404"/>
        <v>1</v>
      </c>
      <c r="AQ408" s="798">
        <f t="shared" si="404"/>
        <v>1</v>
      </c>
      <c r="AR408" s="798">
        <f t="shared" si="404"/>
        <v>1</v>
      </c>
      <c r="AS408" s="798">
        <f t="shared" si="404"/>
        <v>1</v>
      </c>
      <c r="AT408" s="798">
        <f t="shared" si="404"/>
        <v>1</v>
      </c>
      <c r="AU408" s="798">
        <f t="shared" si="404"/>
        <v>1</v>
      </c>
      <c r="AV408" s="798">
        <f t="shared" si="404"/>
        <v>1</v>
      </c>
      <c r="AW408" s="798">
        <f t="shared" si="404"/>
        <v>1</v>
      </c>
      <c r="AX408" s="798">
        <f t="shared" si="404"/>
        <v>1</v>
      </c>
      <c r="AY408" s="798">
        <f t="shared" si="404"/>
        <v>1</v>
      </c>
      <c r="AZ408" s="798">
        <f t="shared" si="404"/>
        <v>1</v>
      </c>
      <c r="BA408" s="798">
        <f t="shared" si="404"/>
        <v>1</v>
      </c>
      <c r="BB408" s="798">
        <f t="shared" si="404"/>
        <v>1</v>
      </c>
      <c r="BC408" s="798">
        <f t="shared" si="404"/>
        <v>1</v>
      </c>
      <c r="BD408" s="798">
        <f t="shared" si="404"/>
        <v>1</v>
      </c>
      <c r="BE408" s="798">
        <f t="shared" si="404"/>
        <v>1</v>
      </c>
      <c r="BF408" s="798">
        <f t="shared" si="404"/>
        <v>1</v>
      </c>
      <c r="BG408" s="798">
        <f t="shared" si="404"/>
        <v>1</v>
      </c>
      <c r="BH408" s="798">
        <f t="shared" si="404"/>
        <v>1</v>
      </c>
      <c r="BI408" s="798">
        <f t="shared" si="404"/>
        <v>1</v>
      </c>
      <c r="BJ408" s="798">
        <f t="shared" si="404"/>
        <v>1</v>
      </c>
      <c r="BK408" s="798">
        <f t="shared" si="404"/>
        <v>1</v>
      </c>
      <c r="BL408" s="765"/>
      <c r="BM408" s="817"/>
      <c r="BN408" s="817"/>
    </row>
    <row r="409" hidden="1">
      <c r="A409" s="765"/>
      <c r="B409" s="765"/>
      <c r="C409" s="765"/>
      <c r="D409" s="765"/>
      <c r="E409" s="765"/>
      <c r="F409" s="765"/>
      <c r="G409" s="765"/>
      <c r="H409" s="765"/>
      <c r="I409" s="765">
        <f t="shared" si="17"/>
        <v>398</v>
      </c>
      <c r="J409" s="763">
        <f t="shared" si="5"/>
        <v>24165429150796</v>
      </c>
      <c r="K409" s="796">
        <f t="shared" si="7"/>
        <v>0.43279</v>
      </c>
      <c r="L409" s="796">
        <v>5.0E-4</v>
      </c>
      <c r="M409" s="763">
        <v>2.75546512551835E13</v>
      </c>
      <c r="N409" s="797">
        <f t="shared" si="8"/>
        <v>0</v>
      </c>
      <c r="O409" s="798">
        <f t="shared" ref="O409:BK409" si="405">FLOOR(MIN((((N("value of ELS upgrade")+N$8*($K409-$K408))*(N("Check checkbox")+(IF($G$6=TRUE,$G$7,$G$8))/$G$8))/(N("ROI of ELS and multiply by 2 if ELS is 1:1")+IF($G$12 = True, 2, 1) * $J409))/((N("difference in ELS+ and the cost of it")+(($K408*O$8)-($K408*N$8)) / O$7)),(N("MIN lets it return 0 or 1 after floored")+1)),1)</f>
        <v>0</v>
      </c>
      <c r="P409" s="798">
        <f t="shared" si="405"/>
        <v>0</v>
      </c>
      <c r="Q409" s="798">
        <f t="shared" si="405"/>
        <v>0</v>
      </c>
      <c r="R409" s="798">
        <f t="shared" si="405"/>
        <v>0</v>
      </c>
      <c r="S409" s="798">
        <f t="shared" si="405"/>
        <v>0</v>
      </c>
      <c r="T409" s="798">
        <f t="shared" si="405"/>
        <v>0</v>
      </c>
      <c r="U409" s="798">
        <f t="shared" si="405"/>
        <v>0</v>
      </c>
      <c r="V409" s="798">
        <f t="shared" si="405"/>
        <v>0</v>
      </c>
      <c r="W409" s="798">
        <f t="shared" si="405"/>
        <v>0</v>
      </c>
      <c r="X409" s="798">
        <f t="shared" si="405"/>
        <v>0</v>
      </c>
      <c r="Y409" s="798">
        <f t="shared" si="405"/>
        <v>0</v>
      </c>
      <c r="Z409" s="798">
        <f t="shared" si="405"/>
        <v>0</v>
      </c>
      <c r="AA409" s="798">
        <f t="shared" si="405"/>
        <v>0</v>
      </c>
      <c r="AB409" s="798">
        <f t="shared" si="405"/>
        <v>0</v>
      </c>
      <c r="AC409" s="798">
        <f t="shared" si="405"/>
        <v>0</v>
      </c>
      <c r="AD409" s="798">
        <f t="shared" si="405"/>
        <v>1</v>
      </c>
      <c r="AE409" s="798">
        <f t="shared" si="405"/>
        <v>1</v>
      </c>
      <c r="AF409" s="798">
        <f t="shared" si="405"/>
        <v>1</v>
      </c>
      <c r="AG409" s="798">
        <f t="shared" si="405"/>
        <v>1</v>
      </c>
      <c r="AH409" s="798">
        <f t="shared" si="405"/>
        <v>1</v>
      </c>
      <c r="AI409" s="798">
        <f t="shared" si="405"/>
        <v>1</v>
      </c>
      <c r="AJ409" s="798">
        <f t="shared" si="405"/>
        <v>1</v>
      </c>
      <c r="AK409" s="798">
        <f t="shared" si="405"/>
        <v>1</v>
      </c>
      <c r="AL409" s="798">
        <f t="shared" si="405"/>
        <v>1</v>
      </c>
      <c r="AM409" s="798">
        <f t="shared" si="405"/>
        <v>1</v>
      </c>
      <c r="AN409" s="798">
        <f t="shared" si="405"/>
        <v>1</v>
      </c>
      <c r="AO409" s="798">
        <f t="shared" si="405"/>
        <v>1</v>
      </c>
      <c r="AP409" s="798">
        <f t="shared" si="405"/>
        <v>1</v>
      </c>
      <c r="AQ409" s="798">
        <f t="shared" si="405"/>
        <v>1</v>
      </c>
      <c r="AR409" s="798">
        <f t="shared" si="405"/>
        <v>1</v>
      </c>
      <c r="AS409" s="798">
        <f t="shared" si="405"/>
        <v>1</v>
      </c>
      <c r="AT409" s="798">
        <f t="shared" si="405"/>
        <v>1</v>
      </c>
      <c r="AU409" s="798">
        <f t="shared" si="405"/>
        <v>1</v>
      </c>
      <c r="AV409" s="798">
        <f t="shared" si="405"/>
        <v>1</v>
      </c>
      <c r="AW409" s="798">
        <f t="shared" si="405"/>
        <v>1</v>
      </c>
      <c r="AX409" s="798">
        <f t="shared" si="405"/>
        <v>1</v>
      </c>
      <c r="AY409" s="798">
        <f t="shared" si="405"/>
        <v>1</v>
      </c>
      <c r="AZ409" s="798">
        <f t="shared" si="405"/>
        <v>1</v>
      </c>
      <c r="BA409" s="798">
        <f t="shared" si="405"/>
        <v>1</v>
      </c>
      <c r="BB409" s="798">
        <f t="shared" si="405"/>
        <v>1</v>
      </c>
      <c r="BC409" s="798">
        <f t="shared" si="405"/>
        <v>1</v>
      </c>
      <c r="BD409" s="798">
        <f t="shared" si="405"/>
        <v>1</v>
      </c>
      <c r="BE409" s="798">
        <f t="shared" si="405"/>
        <v>1</v>
      </c>
      <c r="BF409" s="798">
        <f t="shared" si="405"/>
        <v>1</v>
      </c>
      <c r="BG409" s="798">
        <f t="shared" si="405"/>
        <v>1</v>
      </c>
      <c r="BH409" s="798">
        <f t="shared" si="405"/>
        <v>1</v>
      </c>
      <c r="BI409" s="798">
        <f t="shared" si="405"/>
        <v>1</v>
      </c>
      <c r="BJ409" s="798">
        <f t="shared" si="405"/>
        <v>1</v>
      </c>
      <c r="BK409" s="798">
        <f t="shared" si="405"/>
        <v>1</v>
      </c>
      <c r="BL409" s="765"/>
      <c r="BM409" s="817"/>
      <c r="BN409" s="817"/>
    </row>
    <row r="410" hidden="1">
      <c r="A410" s="765"/>
      <c r="B410" s="765"/>
      <c r="C410" s="765"/>
      <c r="D410" s="765"/>
      <c r="E410" s="765"/>
      <c r="F410" s="765"/>
      <c r="G410" s="765"/>
      <c r="H410" s="765"/>
      <c r="I410" s="765">
        <f t="shared" si="17"/>
        <v>399</v>
      </c>
      <c r="J410" s="763">
        <f t="shared" si="5"/>
        <v>24257814145248</v>
      </c>
      <c r="K410" s="796">
        <f t="shared" si="7"/>
        <v>0.43329</v>
      </c>
      <c r="L410" s="796">
        <v>5.0E-4</v>
      </c>
      <c r="M410" s="763">
        <v>2.76599933241139E13</v>
      </c>
      <c r="N410" s="797">
        <f t="shared" si="8"/>
        <v>0</v>
      </c>
      <c r="O410" s="798">
        <f t="shared" ref="O410:BK410" si="406">FLOOR(MIN((((N("value of ELS upgrade")+N$8*($K410-$K409))*(N("Check checkbox")+(IF($G$6=TRUE,$G$7,$G$8))/$G$8))/(N("ROI of ELS and multiply by 2 if ELS is 1:1")+IF($G$12 = True, 2, 1) * $J410))/((N("difference in ELS+ and the cost of it")+(($K409*O$8)-($K409*N$8)) / O$7)),(N("MIN lets it return 0 or 1 after floored")+1)),1)</f>
        <v>0</v>
      </c>
      <c r="P410" s="798">
        <f t="shared" si="406"/>
        <v>0</v>
      </c>
      <c r="Q410" s="798">
        <f t="shared" si="406"/>
        <v>0</v>
      </c>
      <c r="R410" s="798">
        <f t="shared" si="406"/>
        <v>0</v>
      </c>
      <c r="S410" s="798">
        <f t="shared" si="406"/>
        <v>0</v>
      </c>
      <c r="T410" s="798">
        <f t="shared" si="406"/>
        <v>0</v>
      </c>
      <c r="U410" s="798">
        <f t="shared" si="406"/>
        <v>0</v>
      </c>
      <c r="V410" s="798">
        <f t="shared" si="406"/>
        <v>0</v>
      </c>
      <c r="W410" s="798">
        <f t="shared" si="406"/>
        <v>0</v>
      </c>
      <c r="X410" s="798">
        <f t="shared" si="406"/>
        <v>0</v>
      </c>
      <c r="Y410" s="798">
        <f t="shared" si="406"/>
        <v>0</v>
      </c>
      <c r="Z410" s="798">
        <f t="shared" si="406"/>
        <v>0</v>
      </c>
      <c r="AA410" s="798">
        <f t="shared" si="406"/>
        <v>0</v>
      </c>
      <c r="AB410" s="798">
        <f t="shared" si="406"/>
        <v>0</v>
      </c>
      <c r="AC410" s="798">
        <f t="shared" si="406"/>
        <v>0</v>
      </c>
      <c r="AD410" s="798">
        <f t="shared" si="406"/>
        <v>1</v>
      </c>
      <c r="AE410" s="798">
        <f t="shared" si="406"/>
        <v>1</v>
      </c>
      <c r="AF410" s="798">
        <f t="shared" si="406"/>
        <v>1</v>
      </c>
      <c r="AG410" s="798">
        <f t="shared" si="406"/>
        <v>1</v>
      </c>
      <c r="AH410" s="798">
        <f t="shared" si="406"/>
        <v>1</v>
      </c>
      <c r="AI410" s="798">
        <f t="shared" si="406"/>
        <v>1</v>
      </c>
      <c r="AJ410" s="798">
        <f t="shared" si="406"/>
        <v>1</v>
      </c>
      <c r="AK410" s="798">
        <f t="shared" si="406"/>
        <v>1</v>
      </c>
      <c r="AL410" s="798">
        <f t="shared" si="406"/>
        <v>1</v>
      </c>
      <c r="AM410" s="798">
        <f t="shared" si="406"/>
        <v>1</v>
      </c>
      <c r="AN410" s="798">
        <f t="shared" si="406"/>
        <v>1</v>
      </c>
      <c r="AO410" s="798">
        <f t="shared" si="406"/>
        <v>1</v>
      </c>
      <c r="AP410" s="798">
        <f t="shared" si="406"/>
        <v>1</v>
      </c>
      <c r="AQ410" s="798">
        <f t="shared" si="406"/>
        <v>1</v>
      </c>
      <c r="AR410" s="798">
        <f t="shared" si="406"/>
        <v>1</v>
      </c>
      <c r="AS410" s="798">
        <f t="shared" si="406"/>
        <v>1</v>
      </c>
      <c r="AT410" s="798">
        <f t="shared" si="406"/>
        <v>1</v>
      </c>
      <c r="AU410" s="798">
        <f t="shared" si="406"/>
        <v>1</v>
      </c>
      <c r="AV410" s="798">
        <f t="shared" si="406"/>
        <v>1</v>
      </c>
      <c r="AW410" s="798">
        <f t="shared" si="406"/>
        <v>1</v>
      </c>
      <c r="AX410" s="798">
        <f t="shared" si="406"/>
        <v>1</v>
      </c>
      <c r="AY410" s="798">
        <f t="shared" si="406"/>
        <v>1</v>
      </c>
      <c r="AZ410" s="798">
        <f t="shared" si="406"/>
        <v>1</v>
      </c>
      <c r="BA410" s="798">
        <f t="shared" si="406"/>
        <v>1</v>
      </c>
      <c r="BB410" s="798">
        <f t="shared" si="406"/>
        <v>1</v>
      </c>
      <c r="BC410" s="798">
        <f t="shared" si="406"/>
        <v>1</v>
      </c>
      <c r="BD410" s="798">
        <f t="shared" si="406"/>
        <v>1</v>
      </c>
      <c r="BE410" s="798">
        <f t="shared" si="406"/>
        <v>1</v>
      </c>
      <c r="BF410" s="798">
        <f t="shared" si="406"/>
        <v>1</v>
      </c>
      <c r="BG410" s="798">
        <f t="shared" si="406"/>
        <v>1</v>
      </c>
      <c r="BH410" s="798">
        <f t="shared" si="406"/>
        <v>1</v>
      </c>
      <c r="BI410" s="798">
        <f t="shared" si="406"/>
        <v>1</v>
      </c>
      <c r="BJ410" s="798">
        <f t="shared" si="406"/>
        <v>1</v>
      </c>
      <c r="BK410" s="798">
        <f t="shared" si="406"/>
        <v>1</v>
      </c>
      <c r="BL410" s="765"/>
      <c r="BM410" s="817"/>
      <c r="BN410" s="817"/>
    </row>
    <row r="411" hidden="1">
      <c r="A411" s="765"/>
      <c r="B411" s="765"/>
      <c r="C411" s="765"/>
      <c r="D411" s="765"/>
      <c r="E411" s="765"/>
      <c r="F411" s="765"/>
      <c r="G411" s="765"/>
      <c r="H411" s="765"/>
      <c r="I411" s="765">
        <f t="shared" si="17"/>
        <v>400</v>
      </c>
      <c r="J411" s="763">
        <f t="shared" si="5"/>
        <v>24350483012167</v>
      </c>
      <c r="K411" s="796">
        <f t="shared" si="7"/>
        <v>0.43379</v>
      </c>
      <c r="L411" s="796">
        <v>5.0E-4</v>
      </c>
      <c r="M411" s="763">
        <v>2.77656590788679E13</v>
      </c>
      <c r="N411" s="797">
        <f t="shared" si="8"/>
        <v>0</v>
      </c>
      <c r="O411" s="798">
        <f t="shared" ref="O411:BK411" si="407">FLOOR(MIN((((N("value of ELS upgrade")+N$8*($K411-$K410))*(N("Check checkbox")+(IF($G$6=TRUE,$G$7,$G$8))/$G$8))/(N("ROI of ELS and multiply by 2 if ELS is 1:1")+IF($G$12 = True, 2, 1) * $J411))/((N("difference in ELS+ and the cost of it")+(($K410*O$8)-($K410*N$8)) / O$7)),(N("MIN lets it return 0 or 1 after floored")+1)),1)</f>
        <v>0</v>
      </c>
      <c r="P411" s="798">
        <f t="shared" si="407"/>
        <v>0</v>
      </c>
      <c r="Q411" s="798">
        <f t="shared" si="407"/>
        <v>0</v>
      </c>
      <c r="R411" s="798">
        <f t="shared" si="407"/>
        <v>0</v>
      </c>
      <c r="S411" s="798">
        <f t="shared" si="407"/>
        <v>0</v>
      </c>
      <c r="T411" s="798">
        <f t="shared" si="407"/>
        <v>0</v>
      </c>
      <c r="U411" s="798">
        <f t="shared" si="407"/>
        <v>0</v>
      </c>
      <c r="V411" s="798">
        <f t="shared" si="407"/>
        <v>0</v>
      </c>
      <c r="W411" s="798">
        <f t="shared" si="407"/>
        <v>0</v>
      </c>
      <c r="X411" s="798">
        <f t="shared" si="407"/>
        <v>0</v>
      </c>
      <c r="Y411" s="798">
        <f t="shared" si="407"/>
        <v>0</v>
      </c>
      <c r="Z411" s="798">
        <f t="shared" si="407"/>
        <v>0</v>
      </c>
      <c r="AA411" s="798">
        <f t="shared" si="407"/>
        <v>0</v>
      </c>
      <c r="AB411" s="798">
        <f t="shared" si="407"/>
        <v>0</v>
      </c>
      <c r="AC411" s="798">
        <f t="shared" si="407"/>
        <v>0</v>
      </c>
      <c r="AD411" s="798">
        <f t="shared" si="407"/>
        <v>1</v>
      </c>
      <c r="AE411" s="798">
        <f t="shared" si="407"/>
        <v>1</v>
      </c>
      <c r="AF411" s="798">
        <f t="shared" si="407"/>
        <v>1</v>
      </c>
      <c r="AG411" s="798">
        <f t="shared" si="407"/>
        <v>1</v>
      </c>
      <c r="AH411" s="798">
        <f t="shared" si="407"/>
        <v>1</v>
      </c>
      <c r="AI411" s="798">
        <f t="shared" si="407"/>
        <v>1</v>
      </c>
      <c r="AJ411" s="798">
        <f t="shared" si="407"/>
        <v>1</v>
      </c>
      <c r="AK411" s="798">
        <f t="shared" si="407"/>
        <v>1</v>
      </c>
      <c r="AL411" s="798">
        <f t="shared" si="407"/>
        <v>1</v>
      </c>
      <c r="AM411" s="798">
        <f t="shared" si="407"/>
        <v>1</v>
      </c>
      <c r="AN411" s="798">
        <f t="shared" si="407"/>
        <v>1</v>
      </c>
      <c r="AO411" s="798">
        <f t="shared" si="407"/>
        <v>1</v>
      </c>
      <c r="AP411" s="798">
        <f t="shared" si="407"/>
        <v>1</v>
      </c>
      <c r="AQ411" s="798">
        <f t="shared" si="407"/>
        <v>1</v>
      </c>
      <c r="AR411" s="798">
        <f t="shared" si="407"/>
        <v>1</v>
      </c>
      <c r="AS411" s="798">
        <f t="shared" si="407"/>
        <v>1</v>
      </c>
      <c r="AT411" s="798">
        <f t="shared" si="407"/>
        <v>1</v>
      </c>
      <c r="AU411" s="798">
        <f t="shared" si="407"/>
        <v>1</v>
      </c>
      <c r="AV411" s="798">
        <f t="shared" si="407"/>
        <v>1</v>
      </c>
      <c r="AW411" s="798">
        <f t="shared" si="407"/>
        <v>1</v>
      </c>
      <c r="AX411" s="798">
        <f t="shared" si="407"/>
        <v>1</v>
      </c>
      <c r="AY411" s="798">
        <f t="shared" si="407"/>
        <v>1</v>
      </c>
      <c r="AZ411" s="798">
        <f t="shared" si="407"/>
        <v>1</v>
      </c>
      <c r="BA411" s="798">
        <f t="shared" si="407"/>
        <v>1</v>
      </c>
      <c r="BB411" s="798">
        <f t="shared" si="407"/>
        <v>1</v>
      </c>
      <c r="BC411" s="798">
        <f t="shared" si="407"/>
        <v>1</v>
      </c>
      <c r="BD411" s="798">
        <f t="shared" si="407"/>
        <v>1</v>
      </c>
      <c r="BE411" s="798">
        <f t="shared" si="407"/>
        <v>1</v>
      </c>
      <c r="BF411" s="798">
        <f t="shared" si="407"/>
        <v>1</v>
      </c>
      <c r="BG411" s="798">
        <f t="shared" si="407"/>
        <v>1</v>
      </c>
      <c r="BH411" s="798">
        <f t="shared" si="407"/>
        <v>1</v>
      </c>
      <c r="BI411" s="798">
        <f t="shared" si="407"/>
        <v>1</v>
      </c>
      <c r="BJ411" s="798">
        <f t="shared" si="407"/>
        <v>1</v>
      </c>
      <c r="BK411" s="798">
        <f t="shared" si="407"/>
        <v>1</v>
      </c>
      <c r="BL411" s="765"/>
      <c r="BM411" s="817"/>
      <c r="BN411" s="817"/>
    </row>
    <row r="412" hidden="1">
      <c r="A412" s="765"/>
      <c r="B412" s="765"/>
      <c r="C412" s="765"/>
      <c r="D412" s="765"/>
      <c r="E412" s="765"/>
      <c r="F412" s="765"/>
      <c r="G412" s="765"/>
      <c r="H412" s="765"/>
      <c r="I412" s="765">
        <f t="shared" si="17"/>
        <v>401</v>
      </c>
      <c r="J412" s="763">
        <f t="shared" si="5"/>
        <v>73330308323190</v>
      </c>
      <c r="K412" s="796">
        <f t="shared" si="7"/>
        <v>0.43429</v>
      </c>
      <c r="L412" s="796">
        <v>5.0E-4</v>
      </c>
      <c r="M412" s="763">
        <v>8.36149467767276E13</v>
      </c>
      <c r="N412" s="797">
        <f t="shared" si="8"/>
        <v>0</v>
      </c>
      <c r="O412" s="798">
        <f t="shared" ref="O412:BK412" si="408">FLOOR(MIN((((N("value of ELS upgrade")+N$8*($K412-$K411))*(N("Check checkbox")+(IF($G$6=TRUE,$G$7,$G$8))/$G$8))/(N("ROI of ELS and multiply by 2 if ELS is 1:1")+IF($G$12 = True, 2, 1) * $J412))/((N("difference in ELS+ and the cost of it")+(($K411*O$8)-($K411*N$8)) / O$7)),(N("MIN lets it return 0 or 1 after floored")+1)),1)</f>
        <v>0</v>
      </c>
      <c r="P412" s="798">
        <f t="shared" si="408"/>
        <v>0</v>
      </c>
      <c r="Q412" s="798">
        <f t="shared" si="408"/>
        <v>0</v>
      </c>
      <c r="R412" s="798">
        <f t="shared" si="408"/>
        <v>0</v>
      </c>
      <c r="S412" s="798">
        <f t="shared" si="408"/>
        <v>0</v>
      </c>
      <c r="T412" s="798">
        <f t="shared" si="408"/>
        <v>0</v>
      </c>
      <c r="U412" s="798">
        <f t="shared" si="408"/>
        <v>0</v>
      </c>
      <c r="V412" s="798">
        <f t="shared" si="408"/>
        <v>0</v>
      </c>
      <c r="W412" s="798">
        <f t="shared" si="408"/>
        <v>0</v>
      </c>
      <c r="X412" s="798">
        <f t="shared" si="408"/>
        <v>0</v>
      </c>
      <c r="Y412" s="798">
        <f t="shared" si="408"/>
        <v>0</v>
      </c>
      <c r="Z412" s="798">
        <f t="shared" si="408"/>
        <v>0</v>
      </c>
      <c r="AA412" s="798">
        <f t="shared" si="408"/>
        <v>0</v>
      </c>
      <c r="AB412" s="798">
        <f t="shared" si="408"/>
        <v>0</v>
      </c>
      <c r="AC412" s="798">
        <f t="shared" si="408"/>
        <v>0</v>
      </c>
      <c r="AD412" s="798">
        <f t="shared" si="408"/>
        <v>0</v>
      </c>
      <c r="AE412" s="798">
        <f t="shared" si="408"/>
        <v>1</v>
      </c>
      <c r="AF412" s="798">
        <f t="shared" si="408"/>
        <v>1</v>
      </c>
      <c r="AG412" s="798">
        <f t="shared" si="408"/>
        <v>1</v>
      </c>
      <c r="AH412" s="798">
        <f t="shared" si="408"/>
        <v>1</v>
      </c>
      <c r="AI412" s="798">
        <f t="shared" si="408"/>
        <v>1</v>
      </c>
      <c r="AJ412" s="798">
        <f t="shared" si="408"/>
        <v>1</v>
      </c>
      <c r="AK412" s="798">
        <f t="shared" si="408"/>
        <v>1</v>
      </c>
      <c r="AL412" s="798">
        <f t="shared" si="408"/>
        <v>1</v>
      </c>
      <c r="AM412" s="798">
        <f t="shared" si="408"/>
        <v>1</v>
      </c>
      <c r="AN412" s="798">
        <f t="shared" si="408"/>
        <v>1</v>
      </c>
      <c r="AO412" s="798">
        <f t="shared" si="408"/>
        <v>1</v>
      </c>
      <c r="AP412" s="798">
        <f t="shared" si="408"/>
        <v>1</v>
      </c>
      <c r="AQ412" s="798">
        <f t="shared" si="408"/>
        <v>1</v>
      </c>
      <c r="AR412" s="798">
        <f t="shared" si="408"/>
        <v>1</v>
      </c>
      <c r="AS412" s="798">
        <f t="shared" si="408"/>
        <v>1</v>
      </c>
      <c r="AT412" s="798">
        <f t="shared" si="408"/>
        <v>1</v>
      </c>
      <c r="AU412" s="798">
        <f t="shared" si="408"/>
        <v>1</v>
      </c>
      <c r="AV412" s="798">
        <f t="shared" si="408"/>
        <v>1</v>
      </c>
      <c r="AW412" s="798">
        <f t="shared" si="408"/>
        <v>1</v>
      </c>
      <c r="AX412" s="798">
        <f t="shared" si="408"/>
        <v>1</v>
      </c>
      <c r="AY412" s="798">
        <f t="shared" si="408"/>
        <v>1</v>
      </c>
      <c r="AZ412" s="798">
        <f t="shared" si="408"/>
        <v>1</v>
      </c>
      <c r="BA412" s="798">
        <f t="shared" si="408"/>
        <v>1</v>
      </c>
      <c r="BB412" s="798">
        <f t="shared" si="408"/>
        <v>1</v>
      </c>
      <c r="BC412" s="798">
        <f t="shared" si="408"/>
        <v>1</v>
      </c>
      <c r="BD412" s="798">
        <f t="shared" si="408"/>
        <v>1</v>
      </c>
      <c r="BE412" s="798">
        <f t="shared" si="408"/>
        <v>1</v>
      </c>
      <c r="BF412" s="798">
        <f t="shared" si="408"/>
        <v>1</v>
      </c>
      <c r="BG412" s="798">
        <f t="shared" si="408"/>
        <v>1</v>
      </c>
      <c r="BH412" s="798">
        <f t="shared" si="408"/>
        <v>1</v>
      </c>
      <c r="BI412" s="798">
        <f t="shared" si="408"/>
        <v>1</v>
      </c>
      <c r="BJ412" s="798">
        <f t="shared" si="408"/>
        <v>1</v>
      </c>
      <c r="BK412" s="798">
        <f t="shared" si="408"/>
        <v>1</v>
      </c>
      <c r="BL412" s="765"/>
      <c r="BM412" s="817"/>
      <c r="BN412" s="817"/>
    </row>
    <row r="413" hidden="1">
      <c r="A413" s="765"/>
      <c r="B413" s="765"/>
      <c r="C413" s="765"/>
      <c r="D413" s="765"/>
      <c r="E413" s="765"/>
      <c r="F413" s="765"/>
      <c r="G413" s="765"/>
      <c r="H413" s="765"/>
      <c r="I413" s="765">
        <f t="shared" si="17"/>
        <v>402</v>
      </c>
      <c r="J413" s="763">
        <f t="shared" si="5"/>
        <v>73610023501396</v>
      </c>
      <c r="K413" s="796">
        <f t="shared" si="7"/>
        <v>0.43479</v>
      </c>
      <c r="L413" s="796">
        <v>5.0E-4</v>
      </c>
      <c r="M413" s="763">
        <v>8.39338922478857E13</v>
      </c>
      <c r="N413" s="797">
        <f t="shared" si="8"/>
        <v>0</v>
      </c>
      <c r="O413" s="798">
        <f t="shared" ref="O413:BK413" si="409">FLOOR(MIN((((N("value of ELS upgrade")+N$8*($K413-$K412))*(N("Check checkbox")+(IF($G$6=TRUE,$G$7,$G$8))/$G$8))/(N("ROI of ELS and multiply by 2 if ELS is 1:1")+IF($G$12 = True, 2, 1) * $J413))/((N("difference in ELS+ and the cost of it")+(($K412*O$8)-($K412*N$8)) / O$7)),(N("MIN lets it return 0 or 1 after floored")+1)),1)</f>
        <v>0</v>
      </c>
      <c r="P413" s="798">
        <f t="shared" si="409"/>
        <v>0</v>
      </c>
      <c r="Q413" s="798">
        <f t="shared" si="409"/>
        <v>0</v>
      </c>
      <c r="R413" s="798">
        <f t="shared" si="409"/>
        <v>0</v>
      </c>
      <c r="S413" s="798">
        <f t="shared" si="409"/>
        <v>0</v>
      </c>
      <c r="T413" s="798">
        <f t="shared" si="409"/>
        <v>0</v>
      </c>
      <c r="U413" s="798">
        <f t="shared" si="409"/>
        <v>0</v>
      </c>
      <c r="V413" s="798">
        <f t="shared" si="409"/>
        <v>0</v>
      </c>
      <c r="W413" s="798">
        <f t="shared" si="409"/>
        <v>0</v>
      </c>
      <c r="X413" s="798">
        <f t="shared" si="409"/>
        <v>0</v>
      </c>
      <c r="Y413" s="798">
        <f t="shared" si="409"/>
        <v>0</v>
      </c>
      <c r="Z413" s="798">
        <f t="shared" si="409"/>
        <v>0</v>
      </c>
      <c r="AA413" s="798">
        <f t="shared" si="409"/>
        <v>0</v>
      </c>
      <c r="AB413" s="798">
        <f t="shared" si="409"/>
        <v>0</v>
      </c>
      <c r="AC413" s="798">
        <f t="shared" si="409"/>
        <v>0</v>
      </c>
      <c r="AD413" s="798">
        <f t="shared" si="409"/>
        <v>0</v>
      </c>
      <c r="AE413" s="798">
        <f t="shared" si="409"/>
        <v>1</v>
      </c>
      <c r="AF413" s="798">
        <f t="shared" si="409"/>
        <v>1</v>
      </c>
      <c r="AG413" s="798">
        <f t="shared" si="409"/>
        <v>1</v>
      </c>
      <c r="AH413" s="798">
        <f t="shared" si="409"/>
        <v>1</v>
      </c>
      <c r="AI413" s="798">
        <f t="shared" si="409"/>
        <v>1</v>
      </c>
      <c r="AJ413" s="798">
        <f t="shared" si="409"/>
        <v>1</v>
      </c>
      <c r="AK413" s="798">
        <f t="shared" si="409"/>
        <v>1</v>
      </c>
      <c r="AL413" s="798">
        <f t="shared" si="409"/>
        <v>1</v>
      </c>
      <c r="AM413" s="798">
        <f t="shared" si="409"/>
        <v>1</v>
      </c>
      <c r="AN413" s="798">
        <f t="shared" si="409"/>
        <v>1</v>
      </c>
      <c r="AO413" s="798">
        <f t="shared" si="409"/>
        <v>1</v>
      </c>
      <c r="AP413" s="798">
        <f t="shared" si="409"/>
        <v>1</v>
      </c>
      <c r="AQ413" s="798">
        <f t="shared" si="409"/>
        <v>1</v>
      </c>
      <c r="AR413" s="798">
        <f t="shared" si="409"/>
        <v>1</v>
      </c>
      <c r="AS413" s="798">
        <f t="shared" si="409"/>
        <v>1</v>
      </c>
      <c r="AT413" s="798">
        <f t="shared" si="409"/>
        <v>1</v>
      </c>
      <c r="AU413" s="798">
        <f t="shared" si="409"/>
        <v>1</v>
      </c>
      <c r="AV413" s="798">
        <f t="shared" si="409"/>
        <v>1</v>
      </c>
      <c r="AW413" s="798">
        <f t="shared" si="409"/>
        <v>1</v>
      </c>
      <c r="AX413" s="798">
        <f t="shared" si="409"/>
        <v>1</v>
      </c>
      <c r="AY413" s="798">
        <f t="shared" si="409"/>
        <v>1</v>
      </c>
      <c r="AZ413" s="798">
        <f t="shared" si="409"/>
        <v>1</v>
      </c>
      <c r="BA413" s="798">
        <f t="shared" si="409"/>
        <v>1</v>
      </c>
      <c r="BB413" s="798">
        <f t="shared" si="409"/>
        <v>1</v>
      </c>
      <c r="BC413" s="798">
        <f t="shared" si="409"/>
        <v>1</v>
      </c>
      <c r="BD413" s="798">
        <f t="shared" si="409"/>
        <v>1</v>
      </c>
      <c r="BE413" s="798">
        <f t="shared" si="409"/>
        <v>1</v>
      </c>
      <c r="BF413" s="798">
        <f t="shared" si="409"/>
        <v>1</v>
      </c>
      <c r="BG413" s="798">
        <f t="shared" si="409"/>
        <v>1</v>
      </c>
      <c r="BH413" s="798">
        <f t="shared" si="409"/>
        <v>1</v>
      </c>
      <c r="BI413" s="798">
        <f t="shared" si="409"/>
        <v>1</v>
      </c>
      <c r="BJ413" s="798">
        <f t="shared" si="409"/>
        <v>1</v>
      </c>
      <c r="BK413" s="798">
        <f t="shared" si="409"/>
        <v>1</v>
      </c>
      <c r="BL413" s="765"/>
      <c r="BM413" s="817"/>
      <c r="BN413" s="817"/>
    </row>
    <row r="414" hidden="1">
      <c r="A414" s="765"/>
      <c r="B414" s="765"/>
      <c r="C414" s="765"/>
      <c r="D414" s="765"/>
      <c r="E414" s="765"/>
      <c r="F414" s="765"/>
      <c r="G414" s="765"/>
      <c r="H414" s="765"/>
      <c r="I414" s="765">
        <f t="shared" si="17"/>
        <v>403</v>
      </c>
      <c r="J414" s="763">
        <f t="shared" si="5"/>
        <v>73890597776705</v>
      </c>
      <c r="K414" s="796">
        <f t="shared" si="7"/>
        <v>0.43529</v>
      </c>
      <c r="L414" s="796">
        <v>5.0E-4</v>
      </c>
      <c r="M414" s="763">
        <v>8.42538173052503E13</v>
      </c>
      <c r="N414" s="797">
        <f t="shared" si="8"/>
        <v>0</v>
      </c>
      <c r="O414" s="798">
        <f t="shared" ref="O414:BK414" si="410">FLOOR(MIN((((N("value of ELS upgrade")+N$8*($K414-$K413))*(N("Check checkbox")+(IF($G$6=TRUE,$G$7,$G$8))/$G$8))/(N("ROI of ELS and multiply by 2 if ELS is 1:1")+IF($G$12 = True, 2, 1) * $J414))/((N("difference in ELS+ and the cost of it")+(($K413*O$8)-($K413*N$8)) / O$7)),(N("MIN lets it return 0 or 1 after floored")+1)),1)</f>
        <v>0</v>
      </c>
      <c r="P414" s="798">
        <f t="shared" si="410"/>
        <v>0</v>
      </c>
      <c r="Q414" s="798">
        <f t="shared" si="410"/>
        <v>0</v>
      </c>
      <c r="R414" s="798">
        <f t="shared" si="410"/>
        <v>0</v>
      </c>
      <c r="S414" s="798">
        <f t="shared" si="410"/>
        <v>0</v>
      </c>
      <c r="T414" s="798">
        <f t="shared" si="410"/>
        <v>0</v>
      </c>
      <c r="U414" s="798">
        <f t="shared" si="410"/>
        <v>0</v>
      </c>
      <c r="V414" s="798">
        <f t="shared" si="410"/>
        <v>0</v>
      </c>
      <c r="W414" s="798">
        <f t="shared" si="410"/>
        <v>0</v>
      </c>
      <c r="X414" s="798">
        <f t="shared" si="410"/>
        <v>0</v>
      </c>
      <c r="Y414" s="798">
        <f t="shared" si="410"/>
        <v>0</v>
      </c>
      <c r="Z414" s="798">
        <f t="shared" si="410"/>
        <v>0</v>
      </c>
      <c r="AA414" s="798">
        <f t="shared" si="410"/>
        <v>0</v>
      </c>
      <c r="AB414" s="798">
        <f t="shared" si="410"/>
        <v>0</v>
      </c>
      <c r="AC414" s="798">
        <f t="shared" si="410"/>
        <v>0</v>
      </c>
      <c r="AD414" s="798">
        <f t="shared" si="410"/>
        <v>0</v>
      </c>
      <c r="AE414" s="798">
        <f t="shared" si="410"/>
        <v>0</v>
      </c>
      <c r="AF414" s="798">
        <f t="shared" si="410"/>
        <v>1</v>
      </c>
      <c r="AG414" s="798">
        <f t="shared" si="410"/>
        <v>1</v>
      </c>
      <c r="AH414" s="798">
        <f t="shared" si="410"/>
        <v>1</v>
      </c>
      <c r="AI414" s="798">
        <f t="shared" si="410"/>
        <v>1</v>
      </c>
      <c r="AJ414" s="798">
        <f t="shared" si="410"/>
        <v>1</v>
      </c>
      <c r="AK414" s="798">
        <f t="shared" si="410"/>
        <v>1</v>
      </c>
      <c r="AL414" s="798">
        <f t="shared" si="410"/>
        <v>1</v>
      </c>
      <c r="AM414" s="798">
        <f t="shared" si="410"/>
        <v>1</v>
      </c>
      <c r="AN414" s="798">
        <f t="shared" si="410"/>
        <v>1</v>
      </c>
      <c r="AO414" s="798">
        <f t="shared" si="410"/>
        <v>1</v>
      </c>
      <c r="AP414" s="798">
        <f t="shared" si="410"/>
        <v>1</v>
      </c>
      <c r="AQ414" s="798">
        <f t="shared" si="410"/>
        <v>1</v>
      </c>
      <c r="AR414" s="798">
        <f t="shared" si="410"/>
        <v>1</v>
      </c>
      <c r="AS414" s="798">
        <f t="shared" si="410"/>
        <v>1</v>
      </c>
      <c r="AT414" s="798">
        <f t="shared" si="410"/>
        <v>1</v>
      </c>
      <c r="AU414" s="798">
        <f t="shared" si="410"/>
        <v>1</v>
      </c>
      <c r="AV414" s="798">
        <f t="shared" si="410"/>
        <v>1</v>
      </c>
      <c r="AW414" s="798">
        <f t="shared" si="410"/>
        <v>1</v>
      </c>
      <c r="AX414" s="798">
        <f t="shared" si="410"/>
        <v>1</v>
      </c>
      <c r="AY414" s="798">
        <f t="shared" si="410"/>
        <v>1</v>
      </c>
      <c r="AZ414" s="798">
        <f t="shared" si="410"/>
        <v>1</v>
      </c>
      <c r="BA414" s="798">
        <f t="shared" si="410"/>
        <v>1</v>
      </c>
      <c r="BB414" s="798">
        <f t="shared" si="410"/>
        <v>1</v>
      </c>
      <c r="BC414" s="798">
        <f t="shared" si="410"/>
        <v>1</v>
      </c>
      <c r="BD414" s="798">
        <f t="shared" si="410"/>
        <v>1</v>
      </c>
      <c r="BE414" s="798">
        <f t="shared" si="410"/>
        <v>1</v>
      </c>
      <c r="BF414" s="798">
        <f t="shared" si="410"/>
        <v>1</v>
      </c>
      <c r="BG414" s="798">
        <f t="shared" si="410"/>
        <v>1</v>
      </c>
      <c r="BH414" s="798">
        <f t="shared" si="410"/>
        <v>1</v>
      </c>
      <c r="BI414" s="798">
        <f t="shared" si="410"/>
        <v>1</v>
      </c>
      <c r="BJ414" s="798">
        <f t="shared" si="410"/>
        <v>1</v>
      </c>
      <c r="BK414" s="798">
        <f t="shared" si="410"/>
        <v>1</v>
      </c>
      <c r="BL414" s="765"/>
      <c r="BM414" s="817"/>
      <c r="BN414" s="817"/>
    </row>
    <row r="415" hidden="1">
      <c r="A415" s="765"/>
      <c r="B415" s="765"/>
      <c r="C415" s="765"/>
      <c r="D415" s="765"/>
      <c r="E415" s="765"/>
      <c r="F415" s="765"/>
      <c r="G415" s="765"/>
      <c r="H415" s="765"/>
      <c r="I415" s="765">
        <f t="shared" si="17"/>
        <v>404</v>
      </c>
      <c r="J415" s="763">
        <f t="shared" si="5"/>
        <v>74172034354703</v>
      </c>
      <c r="K415" s="796">
        <f t="shared" si="7"/>
        <v>0.43579</v>
      </c>
      <c r="L415" s="796">
        <v>5.0E-4</v>
      </c>
      <c r="M415" s="763">
        <v>8.45747256039939E13</v>
      </c>
      <c r="N415" s="797">
        <f t="shared" si="8"/>
        <v>0</v>
      </c>
      <c r="O415" s="798">
        <f t="shared" ref="O415:BK415" si="411">FLOOR(MIN((((N("value of ELS upgrade")+N$8*($K415-$K414))*(N("Check checkbox")+(IF($G$6=TRUE,$G$7,$G$8))/$G$8))/(N("ROI of ELS and multiply by 2 if ELS is 1:1")+IF($G$12 = True, 2, 1) * $J415))/((N("difference in ELS+ and the cost of it")+(($K414*O$8)-($K414*N$8)) / O$7)),(N("MIN lets it return 0 or 1 after floored")+1)),1)</f>
        <v>0</v>
      </c>
      <c r="P415" s="798">
        <f t="shared" si="411"/>
        <v>0</v>
      </c>
      <c r="Q415" s="798">
        <f t="shared" si="411"/>
        <v>0</v>
      </c>
      <c r="R415" s="798">
        <f t="shared" si="411"/>
        <v>0</v>
      </c>
      <c r="S415" s="798">
        <f t="shared" si="411"/>
        <v>0</v>
      </c>
      <c r="T415" s="798">
        <f t="shared" si="411"/>
        <v>0</v>
      </c>
      <c r="U415" s="798">
        <f t="shared" si="411"/>
        <v>0</v>
      </c>
      <c r="V415" s="798">
        <f t="shared" si="411"/>
        <v>0</v>
      </c>
      <c r="W415" s="798">
        <f t="shared" si="411"/>
        <v>0</v>
      </c>
      <c r="X415" s="798">
        <f t="shared" si="411"/>
        <v>0</v>
      </c>
      <c r="Y415" s="798">
        <f t="shared" si="411"/>
        <v>0</v>
      </c>
      <c r="Z415" s="798">
        <f t="shared" si="411"/>
        <v>0</v>
      </c>
      <c r="AA415" s="798">
        <f t="shared" si="411"/>
        <v>0</v>
      </c>
      <c r="AB415" s="798">
        <f t="shared" si="411"/>
        <v>0</v>
      </c>
      <c r="AC415" s="798">
        <f t="shared" si="411"/>
        <v>0</v>
      </c>
      <c r="AD415" s="798">
        <f t="shared" si="411"/>
        <v>0</v>
      </c>
      <c r="AE415" s="798">
        <f t="shared" si="411"/>
        <v>0</v>
      </c>
      <c r="AF415" s="798">
        <f t="shared" si="411"/>
        <v>1</v>
      </c>
      <c r="AG415" s="798">
        <f t="shared" si="411"/>
        <v>1</v>
      </c>
      <c r="AH415" s="798">
        <f t="shared" si="411"/>
        <v>1</v>
      </c>
      <c r="AI415" s="798">
        <f t="shared" si="411"/>
        <v>1</v>
      </c>
      <c r="AJ415" s="798">
        <f t="shared" si="411"/>
        <v>1</v>
      </c>
      <c r="AK415" s="798">
        <f t="shared" si="411"/>
        <v>1</v>
      </c>
      <c r="AL415" s="798">
        <f t="shared" si="411"/>
        <v>1</v>
      </c>
      <c r="AM415" s="798">
        <f t="shared" si="411"/>
        <v>1</v>
      </c>
      <c r="AN415" s="798">
        <f t="shared" si="411"/>
        <v>1</v>
      </c>
      <c r="AO415" s="798">
        <f t="shared" si="411"/>
        <v>1</v>
      </c>
      <c r="AP415" s="798">
        <f t="shared" si="411"/>
        <v>1</v>
      </c>
      <c r="AQ415" s="798">
        <f t="shared" si="411"/>
        <v>1</v>
      </c>
      <c r="AR415" s="798">
        <f t="shared" si="411"/>
        <v>1</v>
      </c>
      <c r="AS415" s="798">
        <f t="shared" si="411"/>
        <v>1</v>
      </c>
      <c r="AT415" s="798">
        <f t="shared" si="411"/>
        <v>1</v>
      </c>
      <c r="AU415" s="798">
        <f t="shared" si="411"/>
        <v>1</v>
      </c>
      <c r="AV415" s="798">
        <f t="shared" si="411"/>
        <v>1</v>
      </c>
      <c r="AW415" s="798">
        <f t="shared" si="411"/>
        <v>1</v>
      </c>
      <c r="AX415" s="798">
        <f t="shared" si="411"/>
        <v>1</v>
      </c>
      <c r="AY415" s="798">
        <f t="shared" si="411"/>
        <v>1</v>
      </c>
      <c r="AZ415" s="798">
        <f t="shared" si="411"/>
        <v>1</v>
      </c>
      <c r="BA415" s="798">
        <f t="shared" si="411"/>
        <v>1</v>
      </c>
      <c r="BB415" s="798">
        <f t="shared" si="411"/>
        <v>1</v>
      </c>
      <c r="BC415" s="798">
        <f t="shared" si="411"/>
        <v>1</v>
      </c>
      <c r="BD415" s="798">
        <f t="shared" si="411"/>
        <v>1</v>
      </c>
      <c r="BE415" s="798">
        <f t="shared" si="411"/>
        <v>1</v>
      </c>
      <c r="BF415" s="798">
        <f t="shared" si="411"/>
        <v>1</v>
      </c>
      <c r="BG415" s="798">
        <f t="shared" si="411"/>
        <v>1</v>
      </c>
      <c r="BH415" s="798">
        <f t="shared" si="411"/>
        <v>1</v>
      </c>
      <c r="BI415" s="798">
        <f t="shared" si="411"/>
        <v>1</v>
      </c>
      <c r="BJ415" s="798">
        <f t="shared" si="411"/>
        <v>1</v>
      </c>
      <c r="BK415" s="798">
        <f t="shared" si="411"/>
        <v>1</v>
      </c>
      <c r="BL415" s="765"/>
      <c r="BM415" s="817"/>
      <c r="BN415" s="817"/>
    </row>
    <row r="416" hidden="1">
      <c r="A416" s="765"/>
      <c r="B416" s="765"/>
      <c r="C416" s="765"/>
      <c r="D416" s="765"/>
      <c r="E416" s="765"/>
      <c r="F416" s="765"/>
      <c r="G416" s="765"/>
      <c r="H416" s="765"/>
      <c r="I416" s="765">
        <f t="shared" si="17"/>
        <v>405</v>
      </c>
      <c r="J416" s="763">
        <f t="shared" si="5"/>
        <v>74454336440976</v>
      </c>
      <c r="K416" s="796">
        <f t="shared" si="7"/>
        <v>0.43629</v>
      </c>
      <c r="L416" s="796">
        <v>5.0E-4</v>
      </c>
      <c r="M416" s="763">
        <v>8.48966207992889E13</v>
      </c>
      <c r="N416" s="797">
        <f t="shared" si="8"/>
        <v>0</v>
      </c>
      <c r="O416" s="798">
        <f t="shared" ref="O416:BK416" si="412">FLOOR(MIN((((N("value of ELS upgrade")+N$8*($K416-$K415))*(N("Check checkbox")+(IF($G$6=TRUE,$G$7,$G$8))/$G$8))/(N("ROI of ELS and multiply by 2 if ELS is 1:1")+IF($G$12 = True, 2, 1) * $J416))/((N("difference in ELS+ and the cost of it")+(($K415*O$8)-($K415*N$8)) / O$7)),(N("MIN lets it return 0 or 1 after floored")+1)),1)</f>
        <v>0</v>
      </c>
      <c r="P416" s="798">
        <f t="shared" si="412"/>
        <v>0</v>
      </c>
      <c r="Q416" s="798">
        <f t="shared" si="412"/>
        <v>0</v>
      </c>
      <c r="R416" s="798">
        <f t="shared" si="412"/>
        <v>0</v>
      </c>
      <c r="S416" s="798">
        <f t="shared" si="412"/>
        <v>0</v>
      </c>
      <c r="T416" s="798">
        <f t="shared" si="412"/>
        <v>0</v>
      </c>
      <c r="U416" s="798">
        <f t="shared" si="412"/>
        <v>0</v>
      </c>
      <c r="V416" s="798">
        <f t="shared" si="412"/>
        <v>0</v>
      </c>
      <c r="W416" s="798">
        <f t="shared" si="412"/>
        <v>0</v>
      </c>
      <c r="X416" s="798">
        <f t="shared" si="412"/>
        <v>0</v>
      </c>
      <c r="Y416" s="798">
        <f t="shared" si="412"/>
        <v>0</v>
      </c>
      <c r="Z416" s="798">
        <f t="shared" si="412"/>
        <v>0</v>
      </c>
      <c r="AA416" s="798">
        <f t="shared" si="412"/>
        <v>0</v>
      </c>
      <c r="AB416" s="798">
        <f t="shared" si="412"/>
        <v>0</v>
      </c>
      <c r="AC416" s="798">
        <f t="shared" si="412"/>
        <v>0</v>
      </c>
      <c r="AD416" s="798">
        <f t="shared" si="412"/>
        <v>0</v>
      </c>
      <c r="AE416" s="798">
        <f t="shared" si="412"/>
        <v>0</v>
      </c>
      <c r="AF416" s="798">
        <f t="shared" si="412"/>
        <v>1</v>
      </c>
      <c r="AG416" s="798">
        <f t="shared" si="412"/>
        <v>1</v>
      </c>
      <c r="AH416" s="798">
        <f t="shared" si="412"/>
        <v>1</v>
      </c>
      <c r="AI416" s="798">
        <f t="shared" si="412"/>
        <v>1</v>
      </c>
      <c r="AJ416" s="798">
        <f t="shared" si="412"/>
        <v>1</v>
      </c>
      <c r="AK416" s="798">
        <f t="shared" si="412"/>
        <v>1</v>
      </c>
      <c r="AL416" s="798">
        <f t="shared" si="412"/>
        <v>1</v>
      </c>
      <c r="AM416" s="798">
        <f t="shared" si="412"/>
        <v>1</v>
      </c>
      <c r="AN416" s="798">
        <f t="shared" si="412"/>
        <v>1</v>
      </c>
      <c r="AO416" s="798">
        <f t="shared" si="412"/>
        <v>1</v>
      </c>
      <c r="AP416" s="798">
        <f t="shared" si="412"/>
        <v>1</v>
      </c>
      <c r="AQ416" s="798">
        <f t="shared" si="412"/>
        <v>1</v>
      </c>
      <c r="AR416" s="798">
        <f t="shared" si="412"/>
        <v>1</v>
      </c>
      <c r="AS416" s="798">
        <f t="shared" si="412"/>
        <v>1</v>
      </c>
      <c r="AT416" s="798">
        <f t="shared" si="412"/>
        <v>1</v>
      </c>
      <c r="AU416" s="798">
        <f t="shared" si="412"/>
        <v>1</v>
      </c>
      <c r="AV416" s="798">
        <f t="shared" si="412"/>
        <v>1</v>
      </c>
      <c r="AW416" s="798">
        <f t="shared" si="412"/>
        <v>1</v>
      </c>
      <c r="AX416" s="798">
        <f t="shared" si="412"/>
        <v>1</v>
      </c>
      <c r="AY416" s="798">
        <f t="shared" si="412"/>
        <v>1</v>
      </c>
      <c r="AZ416" s="798">
        <f t="shared" si="412"/>
        <v>1</v>
      </c>
      <c r="BA416" s="798">
        <f t="shared" si="412"/>
        <v>1</v>
      </c>
      <c r="BB416" s="798">
        <f t="shared" si="412"/>
        <v>1</v>
      </c>
      <c r="BC416" s="798">
        <f t="shared" si="412"/>
        <v>1</v>
      </c>
      <c r="BD416" s="798">
        <f t="shared" si="412"/>
        <v>1</v>
      </c>
      <c r="BE416" s="798">
        <f t="shared" si="412"/>
        <v>1</v>
      </c>
      <c r="BF416" s="798">
        <f t="shared" si="412"/>
        <v>1</v>
      </c>
      <c r="BG416" s="798">
        <f t="shared" si="412"/>
        <v>1</v>
      </c>
      <c r="BH416" s="798">
        <f t="shared" si="412"/>
        <v>1</v>
      </c>
      <c r="BI416" s="798">
        <f t="shared" si="412"/>
        <v>1</v>
      </c>
      <c r="BJ416" s="798">
        <f t="shared" si="412"/>
        <v>1</v>
      </c>
      <c r="BK416" s="798">
        <f t="shared" si="412"/>
        <v>1</v>
      </c>
      <c r="BL416" s="765"/>
      <c r="BM416" s="817"/>
      <c r="BN416" s="817"/>
    </row>
    <row r="417" hidden="1">
      <c r="A417" s="765"/>
      <c r="B417" s="765"/>
      <c r="C417" s="765"/>
      <c r="D417" s="765"/>
      <c r="E417" s="765"/>
      <c r="F417" s="765"/>
      <c r="G417" s="765"/>
      <c r="H417" s="765"/>
      <c r="I417" s="765">
        <f t="shared" si="17"/>
        <v>406</v>
      </c>
      <c r="J417" s="763">
        <f t="shared" si="5"/>
        <v>74737505104054</v>
      </c>
      <c r="K417" s="796">
        <f t="shared" si="7"/>
        <v>0.43679</v>
      </c>
      <c r="L417" s="796">
        <v>5.0E-4</v>
      </c>
      <c r="M417" s="763">
        <v>8.52195041095261E13</v>
      </c>
      <c r="N417" s="797">
        <f t="shared" si="8"/>
        <v>0</v>
      </c>
      <c r="O417" s="798">
        <f t="shared" ref="O417:BK417" si="413">FLOOR(MIN((((N("value of ELS upgrade")+N$8*($K417-$K416))*(N("Check checkbox")+(IF($G$6=TRUE,$G$7,$G$8))/$G$8))/(N("ROI of ELS and multiply by 2 if ELS is 1:1")+IF($G$12 = True, 2, 1) * $J417))/((N("difference in ELS+ and the cost of it")+(($K416*O$8)-($K416*N$8)) / O$7)),(N("MIN lets it return 0 or 1 after floored")+1)),1)</f>
        <v>0</v>
      </c>
      <c r="P417" s="798">
        <f t="shared" si="413"/>
        <v>0</v>
      </c>
      <c r="Q417" s="798">
        <f t="shared" si="413"/>
        <v>0</v>
      </c>
      <c r="R417" s="798">
        <f t="shared" si="413"/>
        <v>0</v>
      </c>
      <c r="S417" s="798">
        <f t="shared" si="413"/>
        <v>0</v>
      </c>
      <c r="T417" s="798">
        <f t="shared" si="413"/>
        <v>0</v>
      </c>
      <c r="U417" s="798">
        <f t="shared" si="413"/>
        <v>0</v>
      </c>
      <c r="V417" s="798">
        <f t="shared" si="413"/>
        <v>0</v>
      </c>
      <c r="W417" s="798">
        <f t="shared" si="413"/>
        <v>0</v>
      </c>
      <c r="X417" s="798">
        <f t="shared" si="413"/>
        <v>0</v>
      </c>
      <c r="Y417" s="798">
        <f t="shared" si="413"/>
        <v>0</v>
      </c>
      <c r="Z417" s="798">
        <f t="shared" si="413"/>
        <v>0</v>
      </c>
      <c r="AA417" s="798">
        <f t="shared" si="413"/>
        <v>0</v>
      </c>
      <c r="AB417" s="798">
        <f t="shared" si="413"/>
        <v>0</v>
      </c>
      <c r="AC417" s="798">
        <f t="shared" si="413"/>
        <v>0</v>
      </c>
      <c r="AD417" s="798">
        <f t="shared" si="413"/>
        <v>0</v>
      </c>
      <c r="AE417" s="798">
        <f t="shared" si="413"/>
        <v>0</v>
      </c>
      <c r="AF417" s="798">
        <f t="shared" si="413"/>
        <v>1</v>
      </c>
      <c r="AG417" s="798">
        <f t="shared" si="413"/>
        <v>1</v>
      </c>
      <c r="AH417" s="798">
        <f t="shared" si="413"/>
        <v>1</v>
      </c>
      <c r="AI417" s="798">
        <f t="shared" si="413"/>
        <v>1</v>
      </c>
      <c r="AJ417" s="798">
        <f t="shared" si="413"/>
        <v>1</v>
      </c>
      <c r="AK417" s="798">
        <f t="shared" si="413"/>
        <v>1</v>
      </c>
      <c r="AL417" s="798">
        <f t="shared" si="413"/>
        <v>1</v>
      </c>
      <c r="AM417" s="798">
        <f t="shared" si="413"/>
        <v>1</v>
      </c>
      <c r="AN417" s="798">
        <f t="shared" si="413"/>
        <v>1</v>
      </c>
      <c r="AO417" s="798">
        <f t="shared" si="413"/>
        <v>1</v>
      </c>
      <c r="AP417" s="798">
        <f t="shared" si="413"/>
        <v>1</v>
      </c>
      <c r="AQ417" s="798">
        <f t="shared" si="413"/>
        <v>1</v>
      </c>
      <c r="AR417" s="798">
        <f t="shared" si="413"/>
        <v>1</v>
      </c>
      <c r="AS417" s="798">
        <f t="shared" si="413"/>
        <v>1</v>
      </c>
      <c r="AT417" s="798">
        <f t="shared" si="413"/>
        <v>1</v>
      </c>
      <c r="AU417" s="798">
        <f t="shared" si="413"/>
        <v>1</v>
      </c>
      <c r="AV417" s="798">
        <f t="shared" si="413"/>
        <v>1</v>
      </c>
      <c r="AW417" s="798">
        <f t="shared" si="413"/>
        <v>1</v>
      </c>
      <c r="AX417" s="798">
        <f t="shared" si="413"/>
        <v>1</v>
      </c>
      <c r="AY417" s="798">
        <f t="shared" si="413"/>
        <v>1</v>
      </c>
      <c r="AZ417" s="798">
        <f t="shared" si="413"/>
        <v>1</v>
      </c>
      <c r="BA417" s="798">
        <f t="shared" si="413"/>
        <v>1</v>
      </c>
      <c r="BB417" s="798">
        <f t="shared" si="413"/>
        <v>1</v>
      </c>
      <c r="BC417" s="798">
        <f t="shared" si="413"/>
        <v>1</v>
      </c>
      <c r="BD417" s="798">
        <f t="shared" si="413"/>
        <v>1</v>
      </c>
      <c r="BE417" s="798">
        <f t="shared" si="413"/>
        <v>1</v>
      </c>
      <c r="BF417" s="798">
        <f t="shared" si="413"/>
        <v>1</v>
      </c>
      <c r="BG417" s="798">
        <f t="shared" si="413"/>
        <v>1</v>
      </c>
      <c r="BH417" s="798">
        <f t="shared" si="413"/>
        <v>1</v>
      </c>
      <c r="BI417" s="798">
        <f t="shared" si="413"/>
        <v>1</v>
      </c>
      <c r="BJ417" s="798">
        <f t="shared" si="413"/>
        <v>1</v>
      </c>
      <c r="BK417" s="798">
        <f t="shared" si="413"/>
        <v>1</v>
      </c>
      <c r="BL417" s="765"/>
      <c r="BM417" s="817"/>
      <c r="BN417" s="817"/>
    </row>
    <row r="418" hidden="1">
      <c r="A418" s="765"/>
      <c r="B418" s="765"/>
      <c r="C418" s="765"/>
      <c r="D418" s="765"/>
      <c r="E418" s="765"/>
      <c r="F418" s="765"/>
      <c r="G418" s="765"/>
      <c r="H418" s="765"/>
      <c r="I418" s="765">
        <f t="shared" si="17"/>
        <v>407</v>
      </c>
      <c r="J418" s="763">
        <f t="shared" si="5"/>
        <v>75021543549523</v>
      </c>
      <c r="K418" s="796">
        <f t="shared" si="7"/>
        <v>0.43729</v>
      </c>
      <c r="L418" s="796">
        <v>5.0E-4</v>
      </c>
      <c r="M418" s="763">
        <v>8.5543379189878E13</v>
      </c>
      <c r="N418" s="797">
        <f t="shared" si="8"/>
        <v>0</v>
      </c>
      <c r="O418" s="798">
        <f t="shared" ref="O418:BK418" si="414">FLOOR(MIN((((N("value of ELS upgrade")+N$8*($K418-$K417))*(N("Check checkbox")+(IF($G$6=TRUE,$G$7,$G$8))/$G$8))/(N("ROI of ELS and multiply by 2 if ELS is 1:1")+IF($G$12 = True, 2, 1) * $J418))/((N("difference in ELS+ and the cost of it")+(($K417*O$8)-($K417*N$8)) / O$7)),(N("MIN lets it return 0 or 1 after floored")+1)),1)</f>
        <v>0</v>
      </c>
      <c r="P418" s="798">
        <f t="shared" si="414"/>
        <v>0</v>
      </c>
      <c r="Q418" s="798">
        <f t="shared" si="414"/>
        <v>0</v>
      </c>
      <c r="R418" s="798">
        <f t="shared" si="414"/>
        <v>0</v>
      </c>
      <c r="S418" s="798">
        <f t="shared" si="414"/>
        <v>0</v>
      </c>
      <c r="T418" s="798">
        <f t="shared" si="414"/>
        <v>0</v>
      </c>
      <c r="U418" s="798">
        <f t="shared" si="414"/>
        <v>0</v>
      </c>
      <c r="V418" s="798">
        <f t="shared" si="414"/>
        <v>0</v>
      </c>
      <c r="W418" s="798">
        <f t="shared" si="414"/>
        <v>0</v>
      </c>
      <c r="X418" s="798">
        <f t="shared" si="414"/>
        <v>0</v>
      </c>
      <c r="Y418" s="798">
        <f t="shared" si="414"/>
        <v>0</v>
      </c>
      <c r="Z418" s="798">
        <f t="shared" si="414"/>
        <v>0</v>
      </c>
      <c r="AA418" s="798">
        <f t="shared" si="414"/>
        <v>0</v>
      </c>
      <c r="AB418" s="798">
        <f t="shared" si="414"/>
        <v>0</v>
      </c>
      <c r="AC418" s="798">
        <f t="shared" si="414"/>
        <v>0</v>
      </c>
      <c r="AD418" s="798">
        <f t="shared" si="414"/>
        <v>0</v>
      </c>
      <c r="AE418" s="798">
        <f t="shared" si="414"/>
        <v>0</v>
      </c>
      <c r="AF418" s="798">
        <f t="shared" si="414"/>
        <v>1</v>
      </c>
      <c r="AG418" s="798">
        <f t="shared" si="414"/>
        <v>1</v>
      </c>
      <c r="AH418" s="798">
        <f t="shared" si="414"/>
        <v>1</v>
      </c>
      <c r="AI418" s="798">
        <f t="shared" si="414"/>
        <v>1</v>
      </c>
      <c r="AJ418" s="798">
        <f t="shared" si="414"/>
        <v>1</v>
      </c>
      <c r="AK418" s="798">
        <f t="shared" si="414"/>
        <v>1</v>
      </c>
      <c r="AL418" s="798">
        <f t="shared" si="414"/>
        <v>1</v>
      </c>
      <c r="AM418" s="798">
        <f t="shared" si="414"/>
        <v>1</v>
      </c>
      <c r="AN418" s="798">
        <f t="shared" si="414"/>
        <v>1</v>
      </c>
      <c r="AO418" s="798">
        <f t="shared" si="414"/>
        <v>1</v>
      </c>
      <c r="AP418" s="798">
        <f t="shared" si="414"/>
        <v>1</v>
      </c>
      <c r="AQ418" s="798">
        <f t="shared" si="414"/>
        <v>1</v>
      </c>
      <c r="AR418" s="798">
        <f t="shared" si="414"/>
        <v>1</v>
      </c>
      <c r="AS418" s="798">
        <f t="shared" si="414"/>
        <v>1</v>
      </c>
      <c r="AT418" s="798">
        <f t="shared" si="414"/>
        <v>1</v>
      </c>
      <c r="AU418" s="798">
        <f t="shared" si="414"/>
        <v>1</v>
      </c>
      <c r="AV418" s="798">
        <f t="shared" si="414"/>
        <v>1</v>
      </c>
      <c r="AW418" s="798">
        <f t="shared" si="414"/>
        <v>1</v>
      </c>
      <c r="AX418" s="798">
        <f t="shared" si="414"/>
        <v>1</v>
      </c>
      <c r="AY418" s="798">
        <f t="shared" si="414"/>
        <v>1</v>
      </c>
      <c r="AZ418" s="798">
        <f t="shared" si="414"/>
        <v>1</v>
      </c>
      <c r="BA418" s="798">
        <f t="shared" si="414"/>
        <v>1</v>
      </c>
      <c r="BB418" s="798">
        <f t="shared" si="414"/>
        <v>1</v>
      </c>
      <c r="BC418" s="798">
        <f t="shared" si="414"/>
        <v>1</v>
      </c>
      <c r="BD418" s="798">
        <f t="shared" si="414"/>
        <v>1</v>
      </c>
      <c r="BE418" s="798">
        <f t="shared" si="414"/>
        <v>1</v>
      </c>
      <c r="BF418" s="798">
        <f t="shared" si="414"/>
        <v>1</v>
      </c>
      <c r="BG418" s="798">
        <f t="shared" si="414"/>
        <v>1</v>
      </c>
      <c r="BH418" s="798">
        <f t="shared" si="414"/>
        <v>1</v>
      </c>
      <c r="BI418" s="798">
        <f t="shared" si="414"/>
        <v>1</v>
      </c>
      <c r="BJ418" s="798">
        <f t="shared" si="414"/>
        <v>1</v>
      </c>
      <c r="BK418" s="798">
        <f t="shared" si="414"/>
        <v>1</v>
      </c>
      <c r="BL418" s="765"/>
      <c r="BM418" s="817"/>
      <c r="BN418" s="817"/>
    </row>
    <row r="419" hidden="1">
      <c r="A419" s="765"/>
      <c r="B419" s="765"/>
      <c r="C419" s="765"/>
      <c r="D419" s="765"/>
      <c r="E419" s="765"/>
      <c r="F419" s="765"/>
      <c r="G419" s="765"/>
      <c r="H419" s="765"/>
      <c r="I419" s="765">
        <f t="shared" si="17"/>
        <v>408</v>
      </c>
      <c r="J419" s="763">
        <f t="shared" si="5"/>
        <v>75306458188554</v>
      </c>
      <c r="K419" s="796">
        <f t="shared" si="7"/>
        <v>0.43779</v>
      </c>
      <c r="L419" s="796">
        <v>5.0E-4</v>
      </c>
      <c r="M419" s="763">
        <v>8.58682533506892E13</v>
      </c>
      <c r="N419" s="797">
        <f t="shared" si="8"/>
        <v>0</v>
      </c>
      <c r="O419" s="798">
        <f t="shared" ref="O419:BK419" si="415">FLOOR(MIN((((N("value of ELS upgrade")+N$8*($K419-$K418))*(N("Check checkbox")+(IF($G$6=TRUE,$G$7,$G$8))/$G$8))/(N("ROI of ELS and multiply by 2 if ELS is 1:1")+IF($G$12 = True, 2, 1) * $J419))/((N("difference in ELS+ and the cost of it")+(($K418*O$8)-($K418*N$8)) / O$7)),(N("MIN lets it return 0 or 1 after floored")+1)),1)</f>
        <v>0</v>
      </c>
      <c r="P419" s="798">
        <f t="shared" si="415"/>
        <v>0</v>
      </c>
      <c r="Q419" s="798">
        <f t="shared" si="415"/>
        <v>0</v>
      </c>
      <c r="R419" s="798">
        <f t="shared" si="415"/>
        <v>0</v>
      </c>
      <c r="S419" s="798">
        <f t="shared" si="415"/>
        <v>0</v>
      </c>
      <c r="T419" s="798">
        <f t="shared" si="415"/>
        <v>0</v>
      </c>
      <c r="U419" s="798">
        <f t="shared" si="415"/>
        <v>0</v>
      </c>
      <c r="V419" s="798">
        <f t="shared" si="415"/>
        <v>0</v>
      </c>
      <c r="W419" s="798">
        <f t="shared" si="415"/>
        <v>0</v>
      </c>
      <c r="X419" s="798">
        <f t="shared" si="415"/>
        <v>0</v>
      </c>
      <c r="Y419" s="798">
        <f t="shared" si="415"/>
        <v>0</v>
      </c>
      <c r="Z419" s="798">
        <f t="shared" si="415"/>
        <v>0</v>
      </c>
      <c r="AA419" s="798">
        <f t="shared" si="415"/>
        <v>0</v>
      </c>
      <c r="AB419" s="798">
        <f t="shared" si="415"/>
        <v>0</v>
      </c>
      <c r="AC419" s="798">
        <f t="shared" si="415"/>
        <v>0</v>
      </c>
      <c r="AD419" s="798">
        <f t="shared" si="415"/>
        <v>0</v>
      </c>
      <c r="AE419" s="798">
        <f t="shared" si="415"/>
        <v>0</v>
      </c>
      <c r="AF419" s="798">
        <f t="shared" si="415"/>
        <v>1</v>
      </c>
      <c r="AG419" s="798">
        <f t="shared" si="415"/>
        <v>1</v>
      </c>
      <c r="AH419" s="798">
        <f t="shared" si="415"/>
        <v>1</v>
      </c>
      <c r="AI419" s="798">
        <f t="shared" si="415"/>
        <v>1</v>
      </c>
      <c r="AJ419" s="798">
        <f t="shared" si="415"/>
        <v>1</v>
      </c>
      <c r="AK419" s="798">
        <f t="shared" si="415"/>
        <v>1</v>
      </c>
      <c r="AL419" s="798">
        <f t="shared" si="415"/>
        <v>1</v>
      </c>
      <c r="AM419" s="798">
        <f t="shared" si="415"/>
        <v>1</v>
      </c>
      <c r="AN419" s="798">
        <f t="shared" si="415"/>
        <v>1</v>
      </c>
      <c r="AO419" s="798">
        <f t="shared" si="415"/>
        <v>1</v>
      </c>
      <c r="AP419" s="798">
        <f t="shared" si="415"/>
        <v>1</v>
      </c>
      <c r="AQ419" s="798">
        <f t="shared" si="415"/>
        <v>1</v>
      </c>
      <c r="AR419" s="798">
        <f t="shared" si="415"/>
        <v>1</v>
      </c>
      <c r="AS419" s="798">
        <f t="shared" si="415"/>
        <v>1</v>
      </c>
      <c r="AT419" s="798">
        <f t="shared" si="415"/>
        <v>1</v>
      </c>
      <c r="AU419" s="798">
        <f t="shared" si="415"/>
        <v>1</v>
      </c>
      <c r="AV419" s="798">
        <f t="shared" si="415"/>
        <v>1</v>
      </c>
      <c r="AW419" s="798">
        <f t="shared" si="415"/>
        <v>1</v>
      </c>
      <c r="AX419" s="798">
        <f t="shared" si="415"/>
        <v>1</v>
      </c>
      <c r="AY419" s="798">
        <f t="shared" si="415"/>
        <v>1</v>
      </c>
      <c r="AZ419" s="798">
        <f t="shared" si="415"/>
        <v>1</v>
      </c>
      <c r="BA419" s="798">
        <f t="shared" si="415"/>
        <v>1</v>
      </c>
      <c r="BB419" s="798">
        <f t="shared" si="415"/>
        <v>1</v>
      </c>
      <c r="BC419" s="798">
        <f t="shared" si="415"/>
        <v>1</v>
      </c>
      <c r="BD419" s="798">
        <f t="shared" si="415"/>
        <v>1</v>
      </c>
      <c r="BE419" s="798">
        <f t="shared" si="415"/>
        <v>1</v>
      </c>
      <c r="BF419" s="798">
        <f t="shared" si="415"/>
        <v>1</v>
      </c>
      <c r="BG419" s="798">
        <f t="shared" si="415"/>
        <v>1</v>
      </c>
      <c r="BH419" s="798">
        <f t="shared" si="415"/>
        <v>1</v>
      </c>
      <c r="BI419" s="798">
        <f t="shared" si="415"/>
        <v>1</v>
      </c>
      <c r="BJ419" s="798">
        <f t="shared" si="415"/>
        <v>1</v>
      </c>
      <c r="BK419" s="798">
        <f t="shared" si="415"/>
        <v>1</v>
      </c>
      <c r="BL419" s="765"/>
      <c r="BM419" s="817"/>
      <c r="BN419" s="817"/>
    </row>
    <row r="420" hidden="1">
      <c r="A420" s="765"/>
      <c r="B420" s="765"/>
      <c r="C420" s="765"/>
      <c r="D420" s="765"/>
      <c r="E420" s="765"/>
      <c r="F420" s="765"/>
      <c r="G420" s="765"/>
      <c r="H420" s="765"/>
      <c r="I420" s="765">
        <f t="shared" si="17"/>
        <v>409</v>
      </c>
      <c r="J420" s="763">
        <f t="shared" si="5"/>
        <v>75592246884091</v>
      </c>
      <c r="K420" s="796">
        <f t="shared" si="7"/>
        <v>0.43829</v>
      </c>
      <c r="L420" s="796">
        <v>5.0E-4</v>
      </c>
      <c r="M420" s="763">
        <v>8.61941241551783E13</v>
      </c>
      <c r="N420" s="797">
        <f t="shared" si="8"/>
        <v>0</v>
      </c>
      <c r="O420" s="798">
        <f t="shared" ref="O420:BK420" si="416">FLOOR(MIN((((N("value of ELS upgrade")+N$8*($K420-$K419))*(N("Check checkbox")+(IF($G$6=TRUE,$G$7,$G$8))/$G$8))/(N("ROI of ELS and multiply by 2 if ELS is 1:1")+IF($G$12 = True, 2, 1) * $J420))/((N("difference in ELS+ and the cost of it")+(($K419*O$8)-($K419*N$8)) / O$7)),(N("MIN lets it return 0 or 1 after floored")+1)),1)</f>
        <v>0</v>
      </c>
      <c r="P420" s="798">
        <f t="shared" si="416"/>
        <v>0</v>
      </c>
      <c r="Q420" s="798">
        <f t="shared" si="416"/>
        <v>0</v>
      </c>
      <c r="R420" s="798">
        <f t="shared" si="416"/>
        <v>0</v>
      </c>
      <c r="S420" s="798">
        <f t="shared" si="416"/>
        <v>0</v>
      </c>
      <c r="T420" s="798">
        <f t="shared" si="416"/>
        <v>0</v>
      </c>
      <c r="U420" s="798">
        <f t="shared" si="416"/>
        <v>0</v>
      </c>
      <c r="V420" s="798">
        <f t="shared" si="416"/>
        <v>0</v>
      </c>
      <c r="W420" s="798">
        <f t="shared" si="416"/>
        <v>0</v>
      </c>
      <c r="X420" s="798">
        <f t="shared" si="416"/>
        <v>0</v>
      </c>
      <c r="Y420" s="798">
        <f t="shared" si="416"/>
        <v>0</v>
      </c>
      <c r="Z420" s="798">
        <f t="shared" si="416"/>
        <v>0</v>
      </c>
      <c r="AA420" s="798">
        <f t="shared" si="416"/>
        <v>0</v>
      </c>
      <c r="AB420" s="798">
        <f t="shared" si="416"/>
        <v>0</v>
      </c>
      <c r="AC420" s="798">
        <f t="shared" si="416"/>
        <v>0</v>
      </c>
      <c r="AD420" s="798">
        <f t="shared" si="416"/>
        <v>0</v>
      </c>
      <c r="AE420" s="798">
        <f t="shared" si="416"/>
        <v>0</v>
      </c>
      <c r="AF420" s="798">
        <f t="shared" si="416"/>
        <v>1</v>
      </c>
      <c r="AG420" s="798">
        <f t="shared" si="416"/>
        <v>1</v>
      </c>
      <c r="AH420" s="798">
        <f t="shared" si="416"/>
        <v>1</v>
      </c>
      <c r="AI420" s="798">
        <f t="shared" si="416"/>
        <v>1</v>
      </c>
      <c r="AJ420" s="798">
        <f t="shared" si="416"/>
        <v>1</v>
      </c>
      <c r="AK420" s="798">
        <f t="shared" si="416"/>
        <v>1</v>
      </c>
      <c r="AL420" s="798">
        <f t="shared" si="416"/>
        <v>1</v>
      </c>
      <c r="AM420" s="798">
        <f t="shared" si="416"/>
        <v>1</v>
      </c>
      <c r="AN420" s="798">
        <f t="shared" si="416"/>
        <v>1</v>
      </c>
      <c r="AO420" s="798">
        <f t="shared" si="416"/>
        <v>1</v>
      </c>
      <c r="AP420" s="798">
        <f t="shared" si="416"/>
        <v>1</v>
      </c>
      <c r="AQ420" s="798">
        <f t="shared" si="416"/>
        <v>1</v>
      </c>
      <c r="AR420" s="798">
        <f t="shared" si="416"/>
        <v>1</v>
      </c>
      <c r="AS420" s="798">
        <f t="shared" si="416"/>
        <v>1</v>
      </c>
      <c r="AT420" s="798">
        <f t="shared" si="416"/>
        <v>1</v>
      </c>
      <c r="AU420" s="798">
        <f t="shared" si="416"/>
        <v>1</v>
      </c>
      <c r="AV420" s="798">
        <f t="shared" si="416"/>
        <v>1</v>
      </c>
      <c r="AW420" s="798">
        <f t="shared" si="416"/>
        <v>1</v>
      </c>
      <c r="AX420" s="798">
        <f t="shared" si="416"/>
        <v>1</v>
      </c>
      <c r="AY420" s="798">
        <f t="shared" si="416"/>
        <v>1</v>
      </c>
      <c r="AZ420" s="798">
        <f t="shared" si="416"/>
        <v>1</v>
      </c>
      <c r="BA420" s="798">
        <f t="shared" si="416"/>
        <v>1</v>
      </c>
      <c r="BB420" s="798">
        <f t="shared" si="416"/>
        <v>1</v>
      </c>
      <c r="BC420" s="798">
        <f t="shared" si="416"/>
        <v>1</v>
      </c>
      <c r="BD420" s="798">
        <f t="shared" si="416"/>
        <v>1</v>
      </c>
      <c r="BE420" s="798">
        <f t="shared" si="416"/>
        <v>1</v>
      </c>
      <c r="BF420" s="798">
        <f t="shared" si="416"/>
        <v>1</v>
      </c>
      <c r="BG420" s="798">
        <f t="shared" si="416"/>
        <v>1</v>
      </c>
      <c r="BH420" s="798">
        <f t="shared" si="416"/>
        <v>1</v>
      </c>
      <c r="BI420" s="798">
        <f t="shared" si="416"/>
        <v>1</v>
      </c>
      <c r="BJ420" s="798">
        <f t="shared" si="416"/>
        <v>1</v>
      </c>
      <c r="BK420" s="798">
        <f t="shared" si="416"/>
        <v>1</v>
      </c>
      <c r="BL420" s="765"/>
      <c r="BM420" s="817"/>
      <c r="BN420" s="817"/>
    </row>
    <row r="421" hidden="1">
      <c r="A421" s="765"/>
      <c r="B421" s="765"/>
      <c r="C421" s="765"/>
      <c r="D421" s="765"/>
      <c r="E421" s="765"/>
      <c r="F421" s="765"/>
      <c r="G421" s="765"/>
      <c r="H421" s="765"/>
      <c r="I421" s="765">
        <f t="shared" si="17"/>
        <v>410</v>
      </c>
      <c r="J421" s="763">
        <f t="shared" si="5"/>
        <v>75878916047306</v>
      </c>
      <c r="K421" s="796">
        <f t="shared" si="7"/>
        <v>0.43879</v>
      </c>
      <c r="L421" s="796">
        <v>5.0E-4</v>
      </c>
      <c r="M421" s="763">
        <v>8.652099891369E13</v>
      </c>
      <c r="N421" s="797">
        <f t="shared" si="8"/>
        <v>0</v>
      </c>
      <c r="O421" s="798">
        <f t="shared" ref="O421:BK421" si="417">FLOOR(MIN((((N("value of ELS upgrade")+N$8*($K421-$K420))*(N("Check checkbox")+(IF($G$6=TRUE,$G$7,$G$8))/$G$8))/(N("ROI of ELS and multiply by 2 if ELS is 1:1")+IF($G$12 = True, 2, 1) * $J421))/((N("difference in ELS+ and the cost of it")+(($K420*O$8)-($K420*N$8)) / O$7)),(N("MIN lets it return 0 or 1 after floored")+1)),1)</f>
        <v>0</v>
      </c>
      <c r="P421" s="798">
        <f t="shared" si="417"/>
        <v>0</v>
      </c>
      <c r="Q421" s="798">
        <f t="shared" si="417"/>
        <v>0</v>
      </c>
      <c r="R421" s="798">
        <f t="shared" si="417"/>
        <v>0</v>
      </c>
      <c r="S421" s="798">
        <f t="shared" si="417"/>
        <v>0</v>
      </c>
      <c r="T421" s="798">
        <f t="shared" si="417"/>
        <v>0</v>
      </c>
      <c r="U421" s="798">
        <f t="shared" si="417"/>
        <v>0</v>
      </c>
      <c r="V421" s="798">
        <f t="shared" si="417"/>
        <v>0</v>
      </c>
      <c r="W421" s="798">
        <f t="shared" si="417"/>
        <v>0</v>
      </c>
      <c r="X421" s="798">
        <f t="shared" si="417"/>
        <v>0</v>
      </c>
      <c r="Y421" s="798">
        <f t="shared" si="417"/>
        <v>0</v>
      </c>
      <c r="Z421" s="798">
        <f t="shared" si="417"/>
        <v>0</v>
      </c>
      <c r="AA421" s="798">
        <f t="shared" si="417"/>
        <v>0</v>
      </c>
      <c r="AB421" s="798">
        <f t="shared" si="417"/>
        <v>0</v>
      </c>
      <c r="AC421" s="798">
        <f t="shared" si="417"/>
        <v>0</v>
      </c>
      <c r="AD421" s="798">
        <f t="shared" si="417"/>
        <v>0</v>
      </c>
      <c r="AE421" s="798">
        <f t="shared" si="417"/>
        <v>0</v>
      </c>
      <c r="AF421" s="798">
        <f t="shared" si="417"/>
        <v>1</v>
      </c>
      <c r="AG421" s="798">
        <f t="shared" si="417"/>
        <v>1</v>
      </c>
      <c r="AH421" s="798">
        <f t="shared" si="417"/>
        <v>1</v>
      </c>
      <c r="AI421" s="798">
        <f t="shared" si="417"/>
        <v>1</v>
      </c>
      <c r="AJ421" s="798">
        <f t="shared" si="417"/>
        <v>1</v>
      </c>
      <c r="AK421" s="798">
        <f t="shared" si="417"/>
        <v>1</v>
      </c>
      <c r="AL421" s="798">
        <f t="shared" si="417"/>
        <v>1</v>
      </c>
      <c r="AM421" s="798">
        <f t="shared" si="417"/>
        <v>1</v>
      </c>
      <c r="AN421" s="798">
        <f t="shared" si="417"/>
        <v>1</v>
      </c>
      <c r="AO421" s="798">
        <f t="shared" si="417"/>
        <v>1</v>
      </c>
      <c r="AP421" s="798">
        <f t="shared" si="417"/>
        <v>1</v>
      </c>
      <c r="AQ421" s="798">
        <f t="shared" si="417"/>
        <v>1</v>
      </c>
      <c r="AR421" s="798">
        <f t="shared" si="417"/>
        <v>1</v>
      </c>
      <c r="AS421" s="798">
        <f t="shared" si="417"/>
        <v>1</v>
      </c>
      <c r="AT421" s="798">
        <f t="shared" si="417"/>
        <v>1</v>
      </c>
      <c r="AU421" s="798">
        <f t="shared" si="417"/>
        <v>1</v>
      </c>
      <c r="AV421" s="798">
        <f t="shared" si="417"/>
        <v>1</v>
      </c>
      <c r="AW421" s="798">
        <f t="shared" si="417"/>
        <v>1</v>
      </c>
      <c r="AX421" s="798">
        <f t="shared" si="417"/>
        <v>1</v>
      </c>
      <c r="AY421" s="798">
        <f t="shared" si="417"/>
        <v>1</v>
      </c>
      <c r="AZ421" s="798">
        <f t="shared" si="417"/>
        <v>1</v>
      </c>
      <c r="BA421" s="798">
        <f t="shared" si="417"/>
        <v>1</v>
      </c>
      <c r="BB421" s="798">
        <f t="shared" si="417"/>
        <v>1</v>
      </c>
      <c r="BC421" s="798">
        <f t="shared" si="417"/>
        <v>1</v>
      </c>
      <c r="BD421" s="798">
        <f t="shared" si="417"/>
        <v>1</v>
      </c>
      <c r="BE421" s="798">
        <f t="shared" si="417"/>
        <v>1</v>
      </c>
      <c r="BF421" s="798">
        <f t="shared" si="417"/>
        <v>1</v>
      </c>
      <c r="BG421" s="798">
        <f t="shared" si="417"/>
        <v>1</v>
      </c>
      <c r="BH421" s="798">
        <f t="shared" si="417"/>
        <v>1</v>
      </c>
      <c r="BI421" s="798">
        <f t="shared" si="417"/>
        <v>1</v>
      </c>
      <c r="BJ421" s="798">
        <f t="shared" si="417"/>
        <v>1</v>
      </c>
      <c r="BK421" s="798">
        <f t="shared" si="417"/>
        <v>1</v>
      </c>
      <c r="BL421" s="765"/>
      <c r="BM421" s="817"/>
      <c r="BN421" s="817"/>
    </row>
    <row r="422" hidden="1">
      <c r="A422" s="765"/>
      <c r="B422" s="765"/>
      <c r="C422" s="765"/>
      <c r="D422" s="765"/>
      <c r="E422" s="765"/>
      <c r="F422" s="765"/>
      <c r="G422" s="765"/>
      <c r="H422" s="765"/>
      <c r="I422" s="765">
        <f t="shared" si="17"/>
        <v>411</v>
      </c>
      <c r="J422" s="763">
        <f t="shared" si="5"/>
        <v>76166465678199</v>
      </c>
      <c r="K422" s="796">
        <f t="shared" si="7"/>
        <v>0.43929</v>
      </c>
      <c r="L422" s="796">
        <v>5.0E-4</v>
      </c>
      <c r="M422" s="763">
        <v>8.68488776262244E13</v>
      </c>
      <c r="N422" s="797">
        <f t="shared" si="8"/>
        <v>0</v>
      </c>
      <c r="O422" s="798">
        <f t="shared" ref="O422:BK422" si="418">FLOOR(MIN((((N("value of ELS upgrade")+N$8*($K422-$K421))*(N("Check checkbox")+(IF($G$6=TRUE,$G$7,$G$8))/$G$8))/(N("ROI of ELS and multiply by 2 if ELS is 1:1")+IF($G$12 = True, 2, 1) * $J422))/((N("difference in ELS+ and the cost of it")+(($K421*O$8)-($K421*N$8)) / O$7)),(N("MIN lets it return 0 or 1 after floored")+1)),1)</f>
        <v>0</v>
      </c>
      <c r="P422" s="798">
        <f t="shared" si="418"/>
        <v>0</v>
      </c>
      <c r="Q422" s="798">
        <f t="shared" si="418"/>
        <v>0</v>
      </c>
      <c r="R422" s="798">
        <f t="shared" si="418"/>
        <v>0</v>
      </c>
      <c r="S422" s="798">
        <f t="shared" si="418"/>
        <v>0</v>
      </c>
      <c r="T422" s="798">
        <f t="shared" si="418"/>
        <v>0</v>
      </c>
      <c r="U422" s="798">
        <f t="shared" si="418"/>
        <v>0</v>
      </c>
      <c r="V422" s="798">
        <f t="shared" si="418"/>
        <v>0</v>
      </c>
      <c r="W422" s="798">
        <f t="shared" si="418"/>
        <v>0</v>
      </c>
      <c r="X422" s="798">
        <f t="shared" si="418"/>
        <v>0</v>
      </c>
      <c r="Y422" s="798">
        <f t="shared" si="418"/>
        <v>0</v>
      </c>
      <c r="Z422" s="798">
        <f t="shared" si="418"/>
        <v>0</v>
      </c>
      <c r="AA422" s="798">
        <f t="shared" si="418"/>
        <v>0</v>
      </c>
      <c r="AB422" s="798">
        <f t="shared" si="418"/>
        <v>0</v>
      </c>
      <c r="AC422" s="798">
        <f t="shared" si="418"/>
        <v>0</v>
      </c>
      <c r="AD422" s="798">
        <f t="shared" si="418"/>
        <v>0</v>
      </c>
      <c r="AE422" s="798">
        <f t="shared" si="418"/>
        <v>0</v>
      </c>
      <c r="AF422" s="798">
        <f t="shared" si="418"/>
        <v>1</v>
      </c>
      <c r="AG422" s="798">
        <f t="shared" si="418"/>
        <v>1</v>
      </c>
      <c r="AH422" s="798">
        <f t="shared" si="418"/>
        <v>1</v>
      </c>
      <c r="AI422" s="798">
        <f t="shared" si="418"/>
        <v>1</v>
      </c>
      <c r="AJ422" s="798">
        <f t="shared" si="418"/>
        <v>1</v>
      </c>
      <c r="AK422" s="798">
        <f t="shared" si="418"/>
        <v>1</v>
      </c>
      <c r="AL422" s="798">
        <f t="shared" si="418"/>
        <v>1</v>
      </c>
      <c r="AM422" s="798">
        <f t="shared" si="418"/>
        <v>1</v>
      </c>
      <c r="AN422" s="798">
        <f t="shared" si="418"/>
        <v>1</v>
      </c>
      <c r="AO422" s="798">
        <f t="shared" si="418"/>
        <v>1</v>
      </c>
      <c r="AP422" s="798">
        <f t="shared" si="418"/>
        <v>1</v>
      </c>
      <c r="AQ422" s="798">
        <f t="shared" si="418"/>
        <v>1</v>
      </c>
      <c r="AR422" s="798">
        <f t="shared" si="418"/>
        <v>1</v>
      </c>
      <c r="AS422" s="798">
        <f t="shared" si="418"/>
        <v>1</v>
      </c>
      <c r="AT422" s="798">
        <f t="shared" si="418"/>
        <v>1</v>
      </c>
      <c r="AU422" s="798">
        <f t="shared" si="418"/>
        <v>1</v>
      </c>
      <c r="AV422" s="798">
        <f t="shared" si="418"/>
        <v>1</v>
      </c>
      <c r="AW422" s="798">
        <f t="shared" si="418"/>
        <v>1</v>
      </c>
      <c r="AX422" s="798">
        <f t="shared" si="418"/>
        <v>1</v>
      </c>
      <c r="AY422" s="798">
        <f t="shared" si="418"/>
        <v>1</v>
      </c>
      <c r="AZ422" s="798">
        <f t="shared" si="418"/>
        <v>1</v>
      </c>
      <c r="BA422" s="798">
        <f t="shared" si="418"/>
        <v>1</v>
      </c>
      <c r="BB422" s="798">
        <f t="shared" si="418"/>
        <v>1</v>
      </c>
      <c r="BC422" s="798">
        <f t="shared" si="418"/>
        <v>1</v>
      </c>
      <c r="BD422" s="798">
        <f t="shared" si="418"/>
        <v>1</v>
      </c>
      <c r="BE422" s="798">
        <f t="shared" si="418"/>
        <v>1</v>
      </c>
      <c r="BF422" s="798">
        <f t="shared" si="418"/>
        <v>1</v>
      </c>
      <c r="BG422" s="798">
        <f t="shared" si="418"/>
        <v>1</v>
      </c>
      <c r="BH422" s="798">
        <f t="shared" si="418"/>
        <v>1</v>
      </c>
      <c r="BI422" s="798">
        <f t="shared" si="418"/>
        <v>1</v>
      </c>
      <c r="BJ422" s="798">
        <f t="shared" si="418"/>
        <v>1</v>
      </c>
      <c r="BK422" s="798">
        <f t="shared" si="418"/>
        <v>1</v>
      </c>
      <c r="BL422" s="765"/>
      <c r="BM422" s="817"/>
      <c r="BN422" s="817"/>
    </row>
    <row r="423" hidden="1">
      <c r="A423" s="765"/>
      <c r="B423" s="765"/>
      <c r="C423" s="765"/>
      <c r="D423" s="765"/>
      <c r="E423" s="765"/>
      <c r="F423" s="765"/>
      <c r="G423" s="765"/>
      <c r="H423" s="765"/>
      <c r="I423" s="765">
        <f t="shared" si="17"/>
        <v>412</v>
      </c>
      <c r="J423" s="763">
        <f t="shared" si="5"/>
        <v>76454902187942</v>
      </c>
      <c r="K423" s="796">
        <f t="shared" si="7"/>
        <v>0.43979</v>
      </c>
      <c r="L423" s="796">
        <v>5.0E-4</v>
      </c>
      <c r="M423" s="763">
        <v>8.71777676031263E13</v>
      </c>
      <c r="N423" s="797">
        <f t="shared" si="8"/>
        <v>0</v>
      </c>
      <c r="O423" s="798">
        <f t="shared" ref="O423:BK423" si="419">FLOOR(MIN((((N("value of ELS upgrade")+N$8*($K423-$K422))*(N("Check checkbox")+(IF($G$6=TRUE,$G$7,$G$8))/$G$8))/(N("ROI of ELS and multiply by 2 if ELS is 1:1")+IF($G$12 = True, 2, 1) * $J423))/((N("difference in ELS+ and the cost of it")+(($K422*O$8)-($K422*N$8)) / O$7)),(N("MIN lets it return 0 or 1 after floored")+1)),1)</f>
        <v>0</v>
      </c>
      <c r="P423" s="798">
        <f t="shared" si="419"/>
        <v>0</v>
      </c>
      <c r="Q423" s="798">
        <f t="shared" si="419"/>
        <v>0</v>
      </c>
      <c r="R423" s="798">
        <f t="shared" si="419"/>
        <v>0</v>
      </c>
      <c r="S423" s="798">
        <f t="shared" si="419"/>
        <v>0</v>
      </c>
      <c r="T423" s="798">
        <f t="shared" si="419"/>
        <v>0</v>
      </c>
      <c r="U423" s="798">
        <f t="shared" si="419"/>
        <v>0</v>
      </c>
      <c r="V423" s="798">
        <f t="shared" si="419"/>
        <v>0</v>
      </c>
      <c r="W423" s="798">
        <f t="shared" si="419"/>
        <v>0</v>
      </c>
      <c r="X423" s="798">
        <f t="shared" si="419"/>
        <v>0</v>
      </c>
      <c r="Y423" s="798">
        <f t="shared" si="419"/>
        <v>0</v>
      </c>
      <c r="Z423" s="798">
        <f t="shared" si="419"/>
        <v>0</v>
      </c>
      <c r="AA423" s="798">
        <f t="shared" si="419"/>
        <v>0</v>
      </c>
      <c r="AB423" s="798">
        <f t="shared" si="419"/>
        <v>0</v>
      </c>
      <c r="AC423" s="798">
        <f t="shared" si="419"/>
        <v>0</v>
      </c>
      <c r="AD423" s="798">
        <f t="shared" si="419"/>
        <v>0</v>
      </c>
      <c r="AE423" s="798">
        <f t="shared" si="419"/>
        <v>0</v>
      </c>
      <c r="AF423" s="798">
        <f t="shared" si="419"/>
        <v>1</v>
      </c>
      <c r="AG423" s="798">
        <f t="shared" si="419"/>
        <v>1</v>
      </c>
      <c r="AH423" s="798">
        <f t="shared" si="419"/>
        <v>1</v>
      </c>
      <c r="AI423" s="798">
        <f t="shared" si="419"/>
        <v>1</v>
      </c>
      <c r="AJ423" s="798">
        <f t="shared" si="419"/>
        <v>1</v>
      </c>
      <c r="AK423" s="798">
        <f t="shared" si="419"/>
        <v>1</v>
      </c>
      <c r="AL423" s="798">
        <f t="shared" si="419"/>
        <v>1</v>
      </c>
      <c r="AM423" s="798">
        <f t="shared" si="419"/>
        <v>1</v>
      </c>
      <c r="AN423" s="798">
        <f t="shared" si="419"/>
        <v>1</v>
      </c>
      <c r="AO423" s="798">
        <f t="shared" si="419"/>
        <v>1</v>
      </c>
      <c r="AP423" s="798">
        <f t="shared" si="419"/>
        <v>1</v>
      </c>
      <c r="AQ423" s="798">
        <f t="shared" si="419"/>
        <v>1</v>
      </c>
      <c r="AR423" s="798">
        <f t="shared" si="419"/>
        <v>1</v>
      </c>
      <c r="AS423" s="798">
        <f t="shared" si="419"/>
        <v>1</v>
      </c>
      <c r="AT423" s="798">
        <f t="shared" si="419"/>
        <v>1</v>
      </c>
      <c r="AU423" s="798">
        <f t="shared" si="419"/>
        <v>1</v>
      </c>
      <c r="AV423" s="798">
        <f t="shared" si="419"/>
        <v>1</v>
      </c>
      <c r="AW423" s="798">
        <f t="shared" si="419"/>
        <v>1</v>
      </c>
      <c r="AX423" s="798">
        <f t="shared" si="419"/>
        <v>1</v>
      </c>
      <c r="AY423" s="798">
        <f t="shared" si="419"/>
        <v>1</v>
      </c>
      <c r="AZ423" s="798">
        <f t="shared" si="419"/>
        <v>1</v>
      </c>
      <c r="BA423" s="798">
        <f t="shared" si="419"/>
        <v>1</v>
      </c>
      <c r="BB423" s="798">
        <f t="shared" si="419"/>
        <v>1</v>
      </c>
      <c r="BC423" s="798">
        <f t="shared" si="419"/>
        <v>1</v>
      </c>
      <c r="BD423" s="798">
        <f t="shared" si="419"/>
        <v>1</v>
      </c>
      <c r="BE423" s="798">
        <f t="shared" si="419"/>
        <v>1</v>
      </c>
      <c r="BF423" s="798">
        <f t="shared" si="419"/>
        <v>1</v>
      </c>
      <c r="BG423" s="798">
        <f t="shared" si="419"/>
        <v>1</v>
      </c>
      <c r="BH423" s="798">
        <f t="shared" si="419"/>
        <v>1</v>
      </c>
      <c r="BI423" s="798">
        <f t="shared" si="419"/>
        <v>1</v>
      </c>
      <c r="BJ423" s="798">
        <f t="shared" si="419"/>
        <v>1</v>
      </c>
      <c r="BK423" s="798">
        <f t="shared" si="419"/>
        <v>1</v>
      </c>
      <c r="BL423" s="765"/>
      <c r="BM423" s="817"/>
      <c r="BN423" s="817"/>
    </row>
    <row r="424" hidden="1">
      <c r="A424" s="765"/>
      <c r="B424" s="765"/>
      <c r="C424" s="765"/>
      <c r="D424" s="765"/>
      <c r="E424" s="765"/>
      <c r="F424" s="765"/>
      <c r="G424" s="765"/>
      <c r="H424" s="765"/>
      <c r="I424" s="765">
        <f t="shared" si="17"/>
        <v>413</v>
      </c>
      <c r="J424" s="763">
        <f t="shared" si="5"/>
        <v>76744225576535</v>
      </c>
      <c r="K424" s="796">
        <f t="shared" si="7"/>
        <v>0.44029</v>
      </c>
      <c r="L424" s="796">
        <v>5.0E-4</v>
      </c>
      <c r="M424" s="763">
        <v>8.75076688443956E13</v>
      </c>
      <c r="N424" s="797">
        <f t="shared" si="8"/>
        <v>0</v>
      </c>
      <c r="O424" s="798">
        <f t="shared" ref="O424:BK424" si="420">FLOOR(MIN((((N("value of ELS upgrade")+N$8*($K424-$K423))*(N("Check checkbox")+(IF($G$6=TRUE,$G$7,$G$8))/$G$8))/(N("ROI of ELS and multiply by 2 if ELS is 1:1")+IF($G$12 = True, 2, 1) * $J424))/((N("difference in ELS+ and the cost of it")+(($K423*O$8)-($K423*N$8)) / O$7)),(N("MIN lets it return 0 or 1 after floored")+1)),1)</f>
        <v>0</v>
      </c>
      <c r="P424" s="798">
        <f t="shared" si="420"/>
        <v>0</v>
      </c>
      <c r="Q424" s="798">
        <f t="shared" si="420"/>
        <v>0</v>
      </c>
      <c r="R424" s="798">
        <f t="shared" si="420"/>
        <v>0</v>
      </c>
      <c r="S424" s="798">
        <f t="shared" si="420"/>
        <v>0</v>
      </c>
      <c r="T424" s="798">
        <f t="shared" si="420"/>
        <v>0</v>
      </c>
      <c r="U424" s="798">
        <f t="shared" si="420"/>
        <v>0</v>
      </c>
      <c r="V424" s="798">
        <f t="shared" si="420"/>
        <v>0</v>
      </c>
      <c r="W424" s="798">
        <f t="shared" si="420"/>
        <v>0</v>
      </c>
      <c r="X424" s="798">
        <f t="shared" si="420"/>
        <v>0</v>
      </c>
      <c r="Y424" s="798">
        <f t="shared" si="420"/>
        <v>0</v>
      </c>
      <c r="Z424" s="798">
        <f t="shared" si="420"/>
        <v>0</v>
      </c>
      <c r="AA424" s="798">
        <f t="shared" si="420"/>
        <v>0</v>
      </c>
      <c r="AB424" s="798">
        <f t="shared" si="420"/>
        <v>0</v>
      </c>
      <c r="AC424" s="798">
        <f t="shared" si="420"/>
        <v>0</v>
      </c>
      <c r="AD424" s="798">
        <f t="shared" si="420"/>
        <v>0</v>
      </c>
      <c r="AE424" s="798">
        <f t="shared" si="420"/>
        <v>0</v>
      </c>
      <c r="AF424" s="798">
        <f t="shared" si="420"/>
        <v>1</v>
      </c>
      <c r="AG424" s="798">
        <f t="shared" si="420"/>
        <v>1</v>
      </c>
      <c r="AH424" s="798">
        <f t="shared" si="420"/>
        <v>1</v>
      </c>
      <c r="AI424" s="798">
        <f t="shared" si="420"/>
        <v>1</v>
      </c>
      <c r="AJ424" s="798">
        <f t="shared" si="420"/>
        <v>1</v>
      </c>
      <c r="AK424" s="798">
        <f t="shared" si="420"/>
        <v>1</v>
      </c>
      <c r="AL424" s="798">
        <f t="shared" si="420"/>
        <v>1</v>
      </c>
      <c r="AM424" s="798">
        <f t="shared" si="420"/>
        <v>1</v>
      </c>
      <c r="AN424" s="798">
        <f t="shared" si="420"/>
        <v>1</v>
      </c>
      <c r="AO424" s="798">
        <f t="shared" si="420"/>
        <v>1</v>
      </c>
      <c r="AP424" s="798">
        <f t="shared" si="420"/>
        <v>1</v>
      </c>
      <c r="AQ424" s="798">
        <f t="shared" si="420"/>
        <v>1</v>
      </c>
      <c r="AR424" s="798">
        <f t="shared" si="420"/>
        <v>1</v>
      </c>
      <c r="AS424" s="798">
        <f t="shared" si="420"/>
        <v>1</v>
      </c>
      <c r="AT424" s="798">
        <f t="shared" si="420"/>
        <v>1</v>
      </c>
      <c r="AU424" s="798">
        <f t="shared" si="420"/>
        <v>1</v>
      </c>
      <c r="AV424" s="798">
        <f t="shared" si="420"/>
        <v>1</v>
      </c>
      <c r="AW424" s="798">
        <f t="shared" si="420"/>
        <v>1</v>
      </c>
      <c r="AX424" s="798">
        <f t="shared" si="420"/>
        <v>1</v>
      </c>
      <c r="AY424" s="798">
        <f t="shared" si="420"/>
        <v>1</v>
      </c>
      <c r="AZ424" s="798">
        <f t="shared" si="420"/>
        <v>1</v>
      </c>
      <c r="BA424" s="798">
        <f t="shared" si="420"/>
        <v>1</v>
      </c>
      <c r="BB424" s="798">
        <f t="shared" si="420"/>
        <v>1</v>
      </c>
      <c r="BC424" s="798">
        <f t="shared" si="420"/>
        <v>1</v>
      </c>
      <c r="BD424" s="798">
        <f t="shared" si="420"/>
        <v>1</v>
      </c>
      <c r="BE424" s="798">
        <f t="shared" si="420"/>
        <v>1</v>
      </c>
      <c r="BF424" s="798">
        <f t="shared" si="420"/>
        <v>1</v>
      </c>
      <c r="BG424" s="798">
        <f t="shared" si="420"/>
        <v>1</v>
      </c>
      <c r="BH424" s="798">
        <f t="shared" si="420"/>
        <v>1</v>
      </c>
      <c r="BI424" s="798">
        <f t="shared" si="420"/>
        <v>1</v>
      </c>
      <c r="BJ424" s="798">
        <f t="shared" si="420"/>
        <v>1</v>
      </c>
      <c r="BK424" s="798">
        <f t="shared" si="420"/>
        <v>1</v>
      </c>
      <c r="BL424" s="765"/>
      <c r="BM424" s="817"/>
      <c r="BN424" s="817"/>
    </row>
    <row r="425" hidden="1">
      <c r="A425" s="765"/>
      <c r="B425" s="765"/>
      <c r="C425" s="765"/>
      <c r="D425" s="765"/>
      <c r="E425" s="765"/>
      <c r="F425" s="765"/>
      <c r="G425" s="765"/>
      <c r="H425" s="765"/>
      <c r="I425" s="765">
        <f t="shared" si="17"/>
        <v>414</v>
      </c>
      <c r="J425" s="763">
        <f t="shared" si="5"/>
        <v>77034440118093</v>
      </c>
      <c r="K425" s="796">
        <f t="shared" si="7"/>
        <v>0.44079</v>
      </c>
      <c r="L425" s="796">
        <v>5.0E-4</v>
      </c>
      <c r="M425" s="763">
        <v>8.78385862235957E13</v>
      </c>
      <c r="N425" s="797">
        <f t="shared" si="8"/>
        <v>0</v>
      </c>
      <c r="O425" s="798">
        <f t="shared" ref="O425:BK425" si="421">FLOOR(MIN((((N("value of ELS upgrade")+N$8*($K425-$K424))*(N("Check checkbox")+(IF($G$6=TRUE,$G$7,$G$8))/$G$8))/(N("ROI of ELS and multiply by 2 if ELS is 1:1")+IF($G$12 = True, 2, 1) * $J425))/((N("difference in ELS+ and the cost of it")+(($K424*O$8)-($K424*N$8)) / O$7)),(N("MIN lets it return 0 or 1 after floored")+1)),1)</f>
        <v>0</v>
      </c>
      <c r="P425" s="798">
        <f t="shared" si="421"/>
        <v>0</v>
      </c>
      <c r="Q425" s="798">
        <f t="shared" si="421"/>
        <v>0</v>
      </c>
      <c r="R425" s="798">
        <f t="shared" si="421"/>
        <v>0</v>
      </c>
      <c r="S425" s="798">
        <f t="shared" si="421"/>
        <v>0</v>
      </c>
      <c r="T425" s="798">
        <f t="shared" si="421"/>
        <v>0</v>
      </c>
      <c r="U425" s="798">
        <f t="shared" si="421"/>
        <v>0</v>
      </c>
      <c r="V425" s="798">
        <f t="shared" si="421"/>
        <v>0</v>
      </c>
      <c r="W425" s="798">
        <f t="shared" si="421"/>
        <v>0</v>
      </c>
      <c r="X425" s="798">
        <f t="shared" si="421"/>
        <v>0</v>
      </c>
      <c r="Y425" s="798">
        <f t="shared" si="421"/>
        <v>0</v>
      </c>
      <c r="Z425" s="798">
        <f t="shared" si="421"/>
        <v>0</v>
      </c>
      <c r="AA425" s="798">
        <f t="shared" si="421"/>
        <v>0</v>
      </c>
      <c r="AB425" s="798">
        <f t="shared" si="421"/>
        <v>0</v>
      </c>
      <c r="AC425" s="798">
        <f t="shared" si="421"/>
        <v>0</v>
      </c>
      <c r="AD425" s="798">
        <f t="shared" si="421"/>
        <v>0</v>
      </c>
      <c r="AE425" s="798">
        <f t="shared" si="421"/>
        <v>0</v>
      </c>
      <c r="AF425" s="798">
        <f t="shared" si="421"/>
        <v>1</v>
      </c>
      <c r="AG425" s="798">
        <f t="shared" si="421"/>
        <v>1</v>
      </c>
      <c r="AH425" s="798">
        <f t="shared" si="421"/>
        <v>1</v>
      </c>
      <c r="AI425" s="798">
        <f t="shared" si="421"/>
        <v>1</v>
      </c>
      <c r="AJ425" s="798">
        <f t="shared" si="421"/>
        <v>1</v>
      </c>
      <c r="AK425" s="798">
        <f t="shared" si="421"/>
        <v>1</v>
      </c>
      <c r="AL425" s="798">
        <f t="shared" si="421"/>
        <v>1</v>
      </c>
      <c r="AM425" s="798">
        <f t="shared" si="421"/>
        <v>1</v>
      </c>
      <c r="AN425" s="798">
        <f t="shared" si="421"/>
        <v>1</v>
      </c>
      <c r="AO425" s="798">
        <f t="shared" si="421"/>
        <v>1</v>
      </c>
      <c r="AP425" s="798">
        <f t="shared" si="421"/>
        <v>1</v>
      </c>
      <c r="AQ425" s="798">
        <f t="shared" si="421"/>
        <v>1</v>
      </c>
      <c r="AR425" s="798">
        <f t="shared" si="421"/>
        <v>1</v>
      </c>
      <c r="AS425" s="798">
        <f t="shared" si="421"/>
        <v>1</v>
      </c>
      <c r="AT425" s="798">
        <f t="shared" si="421"/>
        <v>1</v>
      </c>
      <c r="AU425" s="798">
        <f t="shared" si="421"/>
        <v>1</v>
      </c>
      <c r="AV425" s="798">
        <f t="shared" si="421"/>
        <v>1</v>
      </c>
      <c r="AW425" s="798">
        <f t="shared" si="421"/>
        <v>1</v>
      </c>
      <c r="AX425" s="798">
        <f t="shared" si="421"/>
        <v>1</v>
      </c>
      <c r="AY425" s="798">
        <f t="shared" si="421"/>
        <v>1</v>
      </c>
      <c r="AZ425" s="798">
        <f t="shared" si="421"/>
        <v>1</v>
      </c>
      <c r="BA425" s="798">
        <f t="shared" si="421"/>
        <v>1</v>
      </c>
      <c r="BB425" s="798">
        <f t="shared" si="421"/>
        <v>1</v>
      </c>
      <c r="BC425" s="798">
        <f t="shared" si="421"/>
        <v>1</v>
      </c>
      <c r="BD425" s="798">
        <f t="shared" si="421"/>
        <v>1</v>
      </c>
      <c r="BE425" s="798">
        <f t="shared" si="421"/>
        <v>1</v>
      </c>
      <c r="BF425" s="798">
        <f t="shared" si="421"/>
        <v>1</v>
      </c>
      <c r="BG425" s="798">
        <f t="shared" si="421"/>
        <v>1</v>
      </c>
      <c r="BH425" s="798">
        <f t="shared" si="421"/>
        <v>1</v>
      </c>
      <c r="BI425" s="798">
        <f t="shared" si="421"/>
        <v>1</v>
      </c>
      <c r="BJ425" s="798">
        <f t="shared" si="421"/>
        <v>1</v>
      </c>
      <c r="BK425" s="798">
        <f t="shared" si="421"/>
        <v>1</v>
      </c>
      <c r="BL425" s="765"/>
      <c r="BM425" s="817"/>
      <c r="BN425" s="817"/>
    </row>
    <row r="426" hidden="1">
      <c r="A426" s="765"/>
      <c r="B426" s="765"/>
      <c r="C426" s="765"/>
      <c r="D426" s="765"/>
      <c r="E426" s="765"/>
      <c r="F426" s="765"/>
      <c r="G426" s="765"/>
      <c r="H426" s="765"/>
      <c r="I426" s="765">
        <f t="shared" si="17"/>
        <v>415</v>
      </c>
      <c r="J426" s="763">
        <f t="shared" si="5"/>
        <v>77325550086732</v>
      </c>
      <c r="K426" s="796">
        <f t="shared" si="7"/>
        <v>0.44129</v>
      </c>
      <c r="L426" s="796">
        <v>5.0E-4</v>
      </c>
      <c r="M426" s="763">
        <v>8.81705246142897E13</v>
      </c>
      <c r="N426" s="797">
        <f t="shared" si="8"/>
        <v>0</v>
      </c>
      <c r="O426" s="798">
        <f t="shared" ref="O426:BK426" si="422">FLOOR(MIN((((N("value of ELS upgrade")+N$8*($K426-$K425))*(N("Check checkbox")+(IF($G$6=TRUE,$G$7,$G$8))/$G$8))/(N("ROI of ELS and multiply by 2 if ELS is 1:1")+IF($G$12 = True, 2, 1) * $J426))/((N("difference in ELS+ and the cost of it")+(($K425*O$8)-($K425*N$8)) / O$7)),(N("MIN lets it return 0 or 1 after floored")+1)),1)</f>
        <v>0</v>
      </c>
      <c r="P426" s="798">
        <f t="shared" si="422"/>
        <v>0</v>
      </c>
      <c r="Q426" s="798">
        <f t="shared" si="422"/>
        <v>0</v>
      </c>
      <c r="R426" s="798">
        <f t="shared" si="422"/>
        <v>0</v>
      </c>
      <c r="S426" s="798">
        <f t="shared" si="422"/>
        <v>0</v>
      </c>
      <c r="T426" s="798">
        <f t="shared" si="422"/>
        <v>0</v>
      </c>
      <c r="U426" s="798">
        <f t="shared" si="422"/>
        <v>0</v>
      </c>
      <c r="V426" s="798">
        <f t="shared" si="422"/>
        <v>0</v>
      </c>
      <c r="W426" s="798">
        <f t="shared" si="422"/>
        <v>0</v>
      </c>
      <c r="X426" s="798">
        <f t="shared" si="422"/>
        <v>0</v>
      </c>
      <c r="Y426" s="798">
        <f t="shared" si="422"/>
        <v>0</v>
      </c>
      <c r="Z426" s="798">
        <f t="shared" si="422"/>
        <v>0</v>
      </c>
      <c r="AA426" s="798">
        <f t="shared" si="422"/>
        <v>0</v>
      </c>
      <c r="AB426" s="798">
        <f t="shared" si="422"/>
        <v>0</v>
      </c>
      <c r="AC426" s="798">
        <f t="shared" si="422"/>
        <v>0</v>
      </c>
      <c r="AD426" s="798">
        <f t="shared" si="422"/>
        <v>0</v>
      </c>
      <c r="AE426" s="798">
        <f t="shared" si="422"/>
        <v>0</v>
      </c>
      <c r="AF426" s="798">
        <f t="shared" si="422"/>
        <v>1</v>
      </c>
      <c r="AG426" s="798">
        <f t="shared" si="422"/>
        <v>1</v>
      </c>
      <c r="AH426" s="798">
        <f t="shared" si="422"/>
        <v>1</v>
      </c>
      <c r="AI426" s="798">
        <f t="shared" si="422"/>
        <v>1</v>
      </c>
      <c r="AJ426" s="798">
        <f t="shared" si="422"/>
        <v>1</v>
      </c>
      <c r="AK426" s="798">
        <f t="shared" si="422"/>
        <v>1</v>
      </c>
      <c r="AL426" s="798">
        <f t="shared" si="422"/>
        <v>1</v>
      </c>
      <c r="AM426" s="798">
        <f t="shared" si="422"/>
        <v>1</v>
      </c>
      <c r="AN426" s="798">
        <f t="shared" si="422"/>
        <v>1</v>
      </c>
      <c r="AO426" s="798">
        <f t="shared" si="422"/>
        <v>1</v>
      </c>
      <c r="AP426" s="798">
        <f t="shared" si="422"/>
        <v>1</v>
      </c>
      <c r="AQ426" s="798">
        <f t="shared" si="422"/>
        <v>1</v>
      </c>
      <c r="AR426" s="798">
        <f t="shared" si="422"/>
        <v>1</v>
      </c>
      <c r="AS426" s="798">
        <f t="shared" si="422"/>
        <v>1</v>
      </c>
      <c r="AT426" s="798">
        <f t="shared" si="422"/>
        <v>1</v>
      </c>
      <c r="AU426" s="798">
        <f t="shared" si="422"/>
        <v>1</v>
      </c>
      <c r="AV426" s="798">
        <f t="shared" si="422"/>
        <v>1</v>
      </c>
      <c r="AW426" s="798">
        <f t="shared" si="422"/>
        <v>1</v>
      </c>
      <c r="AX426" s="798">
        <f t="shared" si="422"/>
        <v>1</v>
      </c>
      <c r="AY426" s="798">
        <f t="shared" si="422"/>
        <v>1</v>
      </c>
      <c r="AZ426" s="798">
        <f t="shared" si="422"/>
        <v>1</v>
      </c>
      <c r="BA426" s="798">
        <f t="shared" si="422"/>
        <v>1</v>
      </c>
      <c r="BB426" s="798">
        <f t="shared" si="422"/>
        <v>1</v>
      </c>
      <c r="BC426" s="798">
        <f t="shared" si="422"/>
        <v>1</v>
      </c>
      <c r="BD426" s="798">
        <f t="shared" si="422"/>
        <v>1</v>
      </c>
      <c r="BE426" s="798">
        <f t="shared" si="422"/>
        <v>1</v>
      </c>
      <c r="BF426" s="798">
        <f t="shared" si="422"/>
        <v>1</v>
      </c>
      <c r="BG426" s="798">
        <f t="shared" si="422"/>
        <v>1</v>
      </c>
      <c r="BH426" s="798">
        <f t="shared" si="422"/>
        <v>1</v>
      </c>
      <c r="BI426" s="798">
        <f t="shared" si="422"/>
        <v>1</v>
      </c>
      <c r="BJ426" s="798">
        <f t="shared" si="422"/>
        <v>1</v>
      </c>
      <c r="BK426" s="798">
        <f t="shared" si="422"/>
        <v>1</v>
      </c>
      <c r="BL426" s="765"/>
      <c r="BM426" s="817"/>
      <c r="BN426" s="817"/>
    </row>
    <row r="427" hidden="1">
      <c r="A427" s="765"/>
      <c r="B427" s="765"/>
      <c r="C427" s="765"/>
      <c r="D427" s="765"/>
      <c r="E427" s="765"/>
      <c r="F427" s="765"/>
      <c r="G427" s="765"/>
      <c r="H427" s="765"/>
      <c r="I427" s="765">
        <f t="shared" si="17"/>
        <v>416</v>
      </c>
      <c r="J427" s="763">
        <f t="shared" si="5"/>
        <v>77617555482451</v>
      </c>
      <c r="K427" s="796">
        <f t="shared" si="7"/>
        <v>0.44179</v>
      </c>
      <c r="L427" s="796">
        <v>5.0E-4</v>
      </c>
      <c r="M427" s="763">
        <v>8.85034840164775E13</v>
      </c>
      <c r="N427" s="797">
        <f t="shared" si="8"/>
        <v>0</v>
      </c>
      <c r="O427" s="798">
        <f t="shared" ref="O427:BK427" si="423">FLOOR(MIN((((N("value of ELS upgrade")+N$8*($K427-$K426))*(N("Check checkbox")+(IF($G$6=TRUE,$G$7,$G$8))/$G$8))/(N("ROI of ELS and multiply by 2 if ELS is 1:1")+IF($G$12 = True, 2, 1) * $J427))/((N("difference in ELS+ and the cost of it")+(($K426*O$8)-($K426*N$8)) / O$7)),(N("MIN lets it return 0 or 1 after floored")+1)),1)</f>
        <v>0</v>
      </c>
      <c r="P427" s="798">
        <f t="shared" si="423"/>
        <v>0</v>
      </c>
      <c r="Q427" s="798">
        <f t="shared" si="423"/>
        <v>0</v>
      </c>
      <c r="R427" s="798">
        <f t="shared" si="423"/>
        <v>0</v>
      </c>
      <c r="S427" s="798">
        <f t="shared" si="423"/>
        <v>0</v>
      </c>
      <c r="T427" s="798">
        <f t="shared" si="423"/>
        <v>0</v>
      </c>
      <c r="U427" s="798">
        <f t="shared" si="423"/>
        <v>0</v>
      </c>
      <c r="V427" s="798">
        <f t="shared" si="423"/>
        <v>0</v>
      </c>
      <c r="W427" s="798">
        <f t="shared" si="423"/>
        <v>0</v>
      </c>
      <c r="X427" s="798">
        <f t="shared" si="423"/>
        <v>0</v>
      </c>
      <c r="Y427" s="798">
        <f t="shared" si="423"/>
        <v>0</v>
      </c>
      <c r="Z427" s="798">
        <f t="shared" si="423"/>
        <v>0</v>
      </c>
      <c r="AA427" s="798">
        <f t="shared" si="423"/>
        <v>0</v>
      </c>
      <c r="AB427" s="798">
        <f t="shared" si="423"/>
        <v>0</v>
      </c>
      <c r="AC427" s="798">
        <f t="shared" si="423"/>
        <v>0</v>
      </c>
      <c r="AD427" s="798">
        <f t="shared" si="423"/>
        <v>0</v>
      </c>
      <c r="AE427" s="798">
        <f t="shared" si="423"/>
        <v>0</v>
      </c>
      <c r="AF427" s="798">
        <f t="shared" si="423"/>
        <v>1</v>
      </c>
      <c r="AG427" s="798">
        <f t="shared" si="423"/>
        <v>1</v>
      </c>
      <c r="AH427" s="798">
        <f t="shared" si="423"/>
        <v>1</v>
      </c>
      <c r="AI427" s="798">
        <f t="shared" si="423"/>
        <v>1</v>
      </c>
      <c r="AJ427" s="798">
        <f t="shared" si="423"/>
        <v>1</v>
      </c>
      <c r="AK427" s="798">
        <f t="shared" si="423"/>
        <v>1</v>
      </c>
      <c r="AL427" s="798">
        <f t="shared" si="423"/>
        <v>1</v>
      </c>
      <c r="AM427" s="798">
        <f t="shared" si="423"/>
        <v>1</v>
      </c>
      <c r="AN427" s="798">
        <f t="shared" si="423"/>
        <v>1</v>
      </c>
      <c r="AO427" s="798">
        <f t="shared" si="423"/>
        <v>1</v>
      </c>
      <c r="AP427" s="798">
        <f t="shared" si="423"/>
        <v>1</v>
      </c>
      <c r="AQ427" s="798">
        <f t="shared" si="423"/>
        <v>1</v>
      </c>
      <c r="AR427" s="798">
        <f t="shared" si="423"/>
        <v>1</v>
      </c>
      <c r="AS427" s="798">
        <f t="shared" si="423"/>
        <v>1</v>
      </c>
      <c r="AT427" s="798">
        <f t="shared" si="423"/>
        <v>1</v>
      </c>
      <c r="AU427" s="798">
        <f t="shared" si="423"/>
        <v>1</v>
      </c>
      <c r="AV427" s="798">
        <f t="shared" si="423"/>
        <v>1</v>
      </c>
      <c r="AW427" s="798">
        <f t="shared" si="423"/>
        <v>1</v>
      </c>
      <c r="AX427" s="798">
        <f t="shared" si="423"/>
        <v>1</v>
      </c>
      <c r="AY427" s="798">
        <f t="shared" si="423"/>
        <v>1</v>
      </c>
      <c r="AZ427" s="798">
        <f t="shared" si="423"/>
        <v>1</v>
      </c>
      <c r="BA427" s="798">
        <f t="shared" si="423"/>
        <v>1</v>
      </c>
      <c r="BB427" s="798">
        <f t="shared" si="423"/>
        <v>1</v>
      </c>
      <c r="BC427" s="798">
        <f t="shared" si="423"/>
        <v>1</v>
      </c>
      <c r="BD427" s="798">
        <f t="shared" si="423"/>
        <v>1</v>
      </c>
      <c r="BE427" s="798">
        <f t="shared" si="423"/>
        <v>1</v>
      </c>
      <c r="BF427" s="798">
        <f t="shared" si="423"/>
        <v>1</v>
      </c>
      <c r="BG427" s="798">
        <f t="shared" si="423"/>
        <v>1</v>
      </c>
      <c r="BH427" s="798">
        <f t="shared" si="423"/>
        <v>1</v>
      </c>
      <c r="BI427" s="798">
        <f t="shared" si="423"/>
        <v>1</v>
      </c>
      <c r="BJ427" s="798">
        <f t="shared" si="423"/>
        <v>1</v>
      </c>
      <c r="BK427" s="798">
        <f t="shared" si="423"/>
        <v>1</v>
      </c>
      <c r="BL427" s="765"/>
      <c r="BM427" s="817"/>
      <c r="BN427" s="817"/>
    </row>
    <row r="428" hidden="1">
      <c r="A428" s="765"/>
      <c r="B428" s="765"/>
      <c r="C428" s="765"/>
      <c r="D428" s="765"/>
      <c r="E428" s="765"/>
      <c r="F428" s="765"/>
      <c r="G428" s="765"/>
      <c r="H428" s="765"/>
      <c r="I428" s="765">
        <f t="shared" si="17"/>
        <v>417</v>
      </c>
      <c r="J428" s="763">
        <f t="shared" si="5"/>
        <v>77910460579365</v>
      </c>
      <c r="K428" s="796">
        <f t="shared" si="7"/>
        <v>0.44229</v>
      </c>
      <c r="L428" s="796">
        <v>5.0E-4</v>
      </c>
      <c r="M428" s="763">
        <v>8.88374693037225E13</v>
      </c>
      <c r="N428" s="797">
        <f t="shared" si="8"/>
        <v>0</v>
      </c>
      <c r="O428" s="798">
        <f t="shared" ref="O428:BK428" si="424">FLOOR(MIN((((N("value of ELS upgrade")+N$8*($K428-$K427))*(N("Check checkbox")+(IF($G$6=TRUE,$G$7,$G$8))/$G$8))/(N("ROI of ELS and multiply by 2 if ELS is 1:1")+IF($G$12 = True, 2, 1) * $J428))/((N("difference in ELS+ and the cost of it")+(($K427*O$8)-($K427*N$8)) / O$7)),(N("MIN lets it return 0 or 1 after floored")+1)),1)</f>
        <v>0</v>
      </c>
      <c r="P428" s="798">
        <f t="shared" si="424"/>
        <v>0</v>
      </c>
      <c r="Q428" s="798">
        <f t="shared" si="424"/>
        <v>0</v>
      </c>
      <c r="R428" s="798">
        <f t="shared" si="424"/>
        <v>0</v>
      </c>
      <c r="S428" s="798">
        <f t="shared" si="424"/>
        <v>0</v>
      </c>
      <c r="T428" s="798">
        <f t="shared" si="424"/>
        <v>0</v>
      </c>
      <c r="U428" s="798">
        <f t="shared" si="424"/>
        <v>0</v>
      </c>
      <c r="V428" s="798">
        <f t="shared" si="424"/>
        <v>0</v>
      </c>
      <c r="W428" s="798">
        <f t="shared" si="424"/>
        <v>0</v>
      </c>
      <c r="X428" s="798">
        <f t="shared" si="424"/>
        <v>0</v>
      </c>
      <c r="Y428" s="798">
        <f t="shared" si="424"/>
        <v>0</v>
      </c>
      <c r="Z428" s="798">
        <f t="shared" si="424"/>
        <v>0</v>
      </c>
      <c r="AA428" s="798">
        <f t="shared" si="424"/>
        <v>0</v>
      </c>
      <c r="AB428" s="798">
        <f t="shared" si="424"/>
        <v>0</v>
      </c>
      <c r="AC428" s="798">
        <f t="shared" si="424"/>
        <v>0</v>
      </c>
      <c r="AD428" s="798">
        <f t="shared" si="424"/>
        <v>0</v>
      </c>
      <c r="AE428" s="798">
        <f t="shared" si="424"/>
        <v>0</v>
      </c>
      <c r="AF428" s="798">
        <f t="shared" si="424"/>
        <v>1</v>
      </c>
      <c r="AG428" s="798">
        <f t="shared" si="424"/>
        <v>1</v>
      </c>
      <c r="AH428" s="798">
        <f t="shared" si="424"/>
        <v>1</v>
      </c>
      <c r="AI428" s="798">
        <f t="shared" si="424"/>
        <v>1</v>
      </c>
      <c r="AJ428" s="798">
        <f t="shared" si="424"/>
        <v>1</v>
      </c>
      <c r="AK428" s="798">
        <f t="shared" si="424"/>
        <v>1</v>
      </c>
      <c r="AL428" s="798">
        <f t="shared" si="424"/>
        <v>1</v>
      </c>
      <c r="AM428" s="798">
        <f t="shared" si="424"/>
        <v>1</v>
      </c>
      <c r="AN428" s="798">
        <f t="shared" si="424"/>
        <v>1</v>
      </c>
      <c r="AO428" s="798">
        <f t="shared" si="424"/>
        <v>1</v>
      </c>
      <c r="AP428" s="798">
        <f t="shared" si="424"/>
        <v>1</v>
      </c>
      <c r="AQ428" s="798">
        <f t="shared" si="424"/>
        <v>1</v>
      </c>
      <c r="AR428" s="798">
        <f t="shared" si="424"/>
        <v>1</v>
      </c>
      <c r="AS428" s="798">
        <f t="shared" si="424"/>
        <v>1</v>
      </c>
      <c r="AT428" s="798">
        <f t="shared" si="424"/>
        <v>1</v>
      </c>
      <c r="AU428" s="798">
        <f t="shared" si="424"/>
        <v>1</v>
      </c>
      <c r="AV428" s="798">
        <f t="shared" si="424"/>
        <v>1</v>
      </c>
      <c r="AW428" s="798">
        <f t="shared" si="424"/>
        <v>1</v>
      </c>
      <c r="AX428" s="798">
        <f t="shared" si="424"/>
        <v>1</v>
      </c>
      <c r="AY428" s="798">
        <f t="shared" si="424"/>
        <v>1</v>
      </c>
      <c r="AZ428" s="798">
        <f t="shared" si="424"/>
        <v>1</v>
      </c>
      <c r="BA428" s="798">
        <f t="shared" si="424"/>
        <v>1</v>
      </c>
      <c r="BB428" s="798">
        <f t="shared" si="424"/>
        <v>1</v>
      </c>
      <c r="BC428" s="798">
        <f t="shared" si="424"/>
        <v>1</v>
      </c>
      <c r="BD428" s="798">
        <f t="shared" si="424"/>
        <v>1</v>
      </c>
      <c r="BE428" s="798">
        <f t="shared" si="424"/>
        <v>1</v>
      </c>
      <c r="BF428" s="798">
        <f t="shared" si="424"/>
        <v>1</v>
      </c>
      <c r="BG428" s="798">
        <f t="shared" si="424"/>
        <v>1</v>
      </c>
      <c r="BH428" s="798">
        <f t="shared" si="424"/>
        <v>1</v>
      </c>
      <c r="BI428" s="798">
        <f t="shared" si="424"/>
        <v>1</v>
      </c>
      <c r="BJ428" s="798">
        <f t="shared" si="424"/>
        <v>1</v>
      </c>
      <c r="BK428" s="798">
        <f t="shared" si="424"/>
        <v>1</v>
      </c>
      <c r="BL428" s="765"/>
      <c r="BM428" s="817"/>
      <c r="BN428" s="817"/>
    </row>
    <row r="429" hidden="1">
      <c r="A429" s="765"/>
      <c r="B429" s="765"/>
      <c r="C429" s="765"/>
      <c r="D429" s="765"/>
      <c r="E429" s="765"/>
      <c r="F429" s="765"/>
      <c r="G429" s="765"/>
      <c r="H429" s="765"/>
      <c r="I429" s="765">
        <f t="shared" si="17"/>
        <v>418</v>
      </c>
      <c r="J429" s="763">
        <f t="shared" si="5"/>
        <v>78204269651589</v>
      </c>
      <c r="K429" s="796">
        <f t="shared" si="7"/>
        <v>0.44279</v>
      </c>
      <c r="L429" s="796">
        <v>5.0E-4</v>
      </c>
      <c r="M429" s="763">
        <v>8.91724853495879E13</v>
      </c>
      <c r="N429" s="797">
        <f t="shared" si="8"/>
        <v>0</v>
      </c>
      <c r="O429" s="798">
        <f t="shared" ref="O429:BK429" si="425">FLOOR(MIN((((N("value of ELS upgrade")+N$8*($K429-$K428))*(N("Check checkbox")+(IF($G$6=TRUE,$G$7,$G$8))/$G$8))/(N("ROI of ELS and multiply by 2 if ELS is 1:1")+IF($G$12 = True, 2, 1) * $J429))/((N("difference in ELS+ and the cost of it")+(($K428*O$8)-($K428*N$8)) / O$7)),(N("MIN lets it return 0 or 1 after floored")+1)),1)</f>
        <v>0</v>
      </c>
      <c r="P429" s="798">
        <f t="shared" si="425"/>
        <v>0</v>
      </c>
      <c r="Q429" s="798">
        <f t="shared" si="425"/>
        <v>0</v>
      </c>
      <c r="R429" s="798">
        <f t="shared" si="425"/>
        <v>0</v>
      </c>
      <c r="S429" s="798">
        <f t="shared" si="425"/>
        <v>0</v>
      </c>
      <c r="T429" s="798">
        <f t="shared" si="425"/>
        <v>0</v>
      </c>
      <c r="U429" s="798">
        <f t="shared" si="425"/>
        <v>0</v>
      </c>
      <c r="V429" s="798">
        <f t="shared" si="425"/>
        <v>0</v>
      </c>
      <c r="W429" s="798">
        <f t="shared" si="425"/>
        <v>0</v>
      </c>
      <c r="X429" s="798">
        <f t="shared" si="425"/>
        <v>0</v>
      </c>
      <c r="Y429" s="798">
        <f t="shared" si="425"/>
        <v>0</v>
      </c>
      <c r="Z429" s="798">
        <f t="shared" si="425"/>
        <v>0</v>
      </c>
      <c r="AA429" s="798">
        <f t="shared" si="425"/>
        <v>0</v>
      </c>
      <c r="AB429" s="798">
        <f t="shared" si="425"/>
        <v>0</v>
      </c>
      <c r="AC429" s="798">
        <f t="shared" si="425"/>
        <v>0</v>
      </c>
      <c r="AD429" s="798">
        <f t="shared" si="425"/>
        <v>0</v>
      </c>
      <c r="AE429" s="798">
        <f t="shared" si="425"/>
        <v>0</v>
      </c>
      <c r="AF429" s="798">
        <f t="shared" si="425"/>
        <v>1</v>
      </c>
      <c r="AG429" s="798">
        <f t="shared" si="425"/>
        <v>1</v>
      </c>
      <c r="AH429" s="798">
        <f t="shared" si="425"/>
        <v>1</v>
      </c>
      <c r="AI429" s="798">
        <f t="shared" si="425"/>
        <v>1</v>
      </c>
      <c r="AJ429" s="798">
        <f t="shared" si="425"/>
        <v>1</v>
      </c>
      <c r="AK429" s="798">
        <f t="shared" si="425"/>
        <v>1</v>
      </c>
      <c r="AL429" s="798">
        <f t="shared" si="425"/>
        <v>1</v>
      </c>
      <c r="AM429" s="798">
        <f t="shared" si="425"/>
        <v>1</v>
      </c>
      <c r="AN429" s="798">
        <f t="shared" si="425"/>
        <v>1</v>
      </c>
      <c r="AO429" s="798">
        <f t="shared" si="425"/>
        <v>1</v>
      </c>
      <c r="AP429" s="798">
        <f t="shared" si="425"/>
        <v>1</v>
      </c>
      <c r="AQ429" s="798">
        <f t="shared" si="425"/>
        <v>1</v>
      </c>
      <c r="AR429" s="798">
        <f t="shared" si="425"/>
        <v>1</v>
      </c>
      <c r="AS429" s="798">
        <f t="shared" si="425"/>
        <v>1</v>
      </c>
      <c r="AT429" s="798">
        <f t="shared" si="425"/>
        <v>1</v>
      </c>
      <c r="AU429" s="798">
        <f t="shared" si="425"/>
        <v>1</v>
      </c>
      <c r="AV429" s="798">
        <f t="shared" si="425"/>
        <v>1</v>
      </c>
      <c r="AW429" s="798">
        <f t="shared" si="425"/>
        <v>1</v>
      </c>
      <c r="AX429" s="798">
        <f t="shared" si="425"/>
        <v>1</v>
      </c>
      <c r="AY429" s="798">
        <f t="shared" si="425"/>
        <v>1</v>
      </c>
      <c r="AZ429" s="798">
        <f t="shared" si="425"/>
        <v>1</v>
      </c>
      <c r="BA429" s="798">
        <f t="shared" si="425"/>
        <v>1</v>
      </c>
      <c r="BB429" s="798">
        <f t="shared" si="425"/>
        <v>1</v>
      </c>
      <c r="BC429" s="798">
        <f t="shared" si="425"/>
        <v>1</v>
      </c>
      <c r="BD429" s="798">
        <f t="shared" si="425"/>
        <v>1</v>
      </c>
      <c r="BE429" s="798">
        <f t="shared" si="425"/>
        <v>1</v>
      </c>
      <c r="BF429" s="798">
        <f t="shared" si="425"/>
        <v>1</v>
      </c>
      <c r="BG429" s="798">
        <f t="shared" si="425"/>
        <v>1</v>
      </c>
      <c r="BH429" s="798">
        <f t="shared" si="425"/>
        <v>1</v>
      </c>
      <c r="BI429" s="798">
        <f t="shared" si="425"/>
        <v>1</v>
      </c>
      <c r="BJ429" s="798">
        <f t="shared" si="425"/>
        <v>1</v>
      </c>
      <c r="BK429" s="798">
        <f t="shared" si="425"/>
        <v>1</v>
      </c>
      <c r="BL429" s="765"/>
      <c r="BM429" s="817"/>
      <c r="BN429" s="817"/>
    </row>
    <row r="430" hidden="1">
      <c r="A430" s="765"/>
      <c r="B430" s="765"/>
      <c r="C430" s="765"/>
      <c r="D430" s="765"/>
      <c r="E430" s="765"/>
      <c r="F430" s="765"/>
      <c r="G430" s="765"/>
      <c r="H430" s="765"/>
      <c r="I430" s="765">
        <f t="shared" si="17"/>
        <v>419</v>
      </c>
      <c r="J430" s="763">
        <f t="shared" si="5"/>
        <v>78498982699123</v>
      </c>
      <c r="K430" s="796">
        <f t="shared" si="7"/>
        <v>0.44329</v>
      </c>
      <c r="L430" s="796">
        <v>5.0E-4</v>
      </c>
      <c r="M430" s="763">
        <v>8.95085321540736E13</v>
      </c>
      <c r="N430" s="797">
        <f t="shared" si="8"/>
        <v>0</v>
      </c>
      <c r="O430" s="798">
        <f t="shared" ref="O430:BK430" si="426">FLOOR(MIN((((N("value of ELS upgrade")+N$8*($K430-$K429))*(N("Check checkbox")+(IF($G$6=TRUE,$G$7,$G$8))/$G$8))/(N("ROI of ELS and multiply by 2 if ELS is 1:1")+IF($G$12 = True, 2, 1) * $J430))/((N("difference in ELS+ and the cost of it")+(($K429*O$8)-($K429*N$8)) / O$7)),(N("MIN lets it return 0 or 1 after floored")+1)),1)</f>
        <v>0</v>
      </c>
      <c r="P430" s="798">
        <f t="shared" si="426"/>
        <v>0</v>
      </c>
      <c r="Q430" s="798">
        <f t="shared" si="426"/>
        <v>0</v>
      </c>
      <c r="R430" s="798">
        <f t="shared" si="426"/>
        <v>0</v>
      </c>
      <c r="S430" s="798">
        <f t="shared" si="426"/>
        <v>0</v>
      </c>
      <c r="T430" s="798">
        <f t="shared" si="426"/>
        <v>0</v>
      </c>
      <c r="U430" s="798">
        <f t="shared" si="426"/>
        <v>0</v>
      </c>
      <c r="V430" s="798">
        <f t="shared" si="426"/>
        <v>0</v>
      </c>
      <c r="W430" s="798">
        <f t="shared" si="426"/>
        <v>0</v>
      </c>
      <c r="X430" s="798">
        <f t="shared" si="426"/>
        <v>0</v>
      </c>
      <c r="Y430" s="798">
        <f t="shared" si="426"/>
        <v>0</v>
      </c>
      <c r="Z430" s="798">
        <f t="shared" si="426"/>
        <v>0</v>
      </c>
      <c r="AA430" s="798">
        <f t="shared" si="426"/>
        <v>0</v>
      </c>
      <c r="AB430" s="798">
        <f t="shared" si="426"/>
        <v>0</v>
      </c>
      <c r="AC430" s="798">
        <f t="shared" si="426"/>
        <v>0</v>
      </c>
      <c r="AD430" s="798">
        <f t="shared" si="426"/>
        <v>0</v>
      </c>
      <c r="AE430" s="798">
        <f t="shared" si="426"/>
        <v>0</v>
      </c>
      <c r="AF430" s="798">
        <f t="shared" si="426"/>
        <v>1</v>
      </c>
      <c r="AG430" s="798">
        <f t="shared" si="426"/>
        <v>1</v>
      </c>
      <c r="AH430" s="798">
        <f t="shared" si="426"/>
        <v>1</v>
      </c>
      <c r="AI430" s="798">
        <f t="shared" si="426"/>
        <v>1</v>
      </c>
      <c r="AJ430" s="798">
        <f t="shared" si="426"/>
        <v>1</v>
      </c>
      <c r="AK430" s="798">
        <f t="shared" si="426"/>
        <v>1</v>
      </c>
      <c r="AL430" s="798">
        <f t="shared" si="426"/>
        <v>1</v>
      </c>
      <c r="AM430" s="798">
        <f t="shared" si="426"/>
        <v>1</v>
      </c>
      <c r="AN430" s="798">
        <f t="shared" si="426"/>
        <v>1</v>
      </c>
      <c r="AO430" s="798">
        <f t="shared" si="426"/>
        <v>1</v>
      </c>
      <c r="AP430" s="798">
        <f t="shared" si="426"/>
        <v>1</v>
      </c>
      <c r="AQ430" s="798">
        <f t="shared" si="426"/>
        <v>1</v>
      </c>
      <c r="AR430" s="798">
        <f t="shared" si="426"/>
        <v>1</v>
      </c>
      <c r="AS430" s="798">
        <f t="shared" si="426"/>
        <v>1</v>
      </c>
      <c r="AT430" s="798">
        <f t="shared" si="426"/>
        <v>1</v>
      </c>
      <c r="AU430" s="798">
        <f t="shared" si="426"/>
        <v>1</v>
      </c>
      <c r="AV430" s="798">
        <f t="shared" si="426"/>
        <v>1</v>
      </c>
      <c r="AW430" s="798">
        <f t="shared" si="426"/>
        <v>1</v>
      </c>
      <c r="AX430" s="798">
        <f t="shared" si="426"/>
        <v>1</v>
      </c>
      <c r="AY430" s="798">
        <f t="shared" si="426"/>
        <v>1</v>
      </c>
      <c r="AZ430" s="798">
        <f t="shared" si="426"/>
        <v>1</v>
      </c>
      <c r="BA430" s="798">
        <f t="shared" si="426"/>
        <v>1</v>
      </c>
      <c r="BB430" s="798">
        <f t="shared" si="426"/>
        <v>1</v>
      </c>
      <c r="BC430" s="798">
        <f t="shared" si="426"/>
        <v>1</v>
      </c>
      <c r="BD430" s="798">
        <f t="shared" si="426"/>
        <v>1</v>
      </c>
      <c r="BE430" s="798">
        <f t="shared" si="426"/>
        <v>1</v>
      </c>
      <c r="BF430" s="798">
        <f t="shared" si="426"/>
        <v>1</v>
      </c>
      <c r="BG430" s="798">
        <f t="shared" si="426"/>
        <v>1</v>
      </c>
      <c r="BH430" s="798">
        <f t="shared" si="426"/>
        <v>1</v>
      </c>
      <c r="BI430" s="798">
        <f t="shared" si="426"/>
        <v>1</v>
      </c>
      <c r="BJ430" s="798">
        <f t="shared" si="426"/>
        <v>1</v>
      </c>
      <c r="BK430" s="798">
        <f t="shared" si="426"/>
        <v>1</v>
      </c>
      <c r="BL430" s="765"/>
      <c r="BM430" s="817"/>
      <c r="BN430" s="817"/>
    </row>
    <row r="431" hidden="1">
      <c r="A431" s="765"/>
      <c r="B431" s="765"/>
      <c r="C431" s="765"/>
      <c r="D431" s="765"/>
      <c r="E431" s="765"/>
      <c r="F431" s="765"/>
      <c r="G431" s="765"/>
      <c r="H431" s="765"/>
      <c r="I431" s="765">
        <f t="shared" si="17"/>
        <v>420</v>
      </c>
      <c r="J431" s="763">
        <f t="shared" si="5"/>
        <v>78794606133139</v>
      </c>
      <c r="K431" s="796">
        <f t="shared" si="7"/>
        <v>0.44379</v>
      </c>
      <c r="L431" s="796">
        <v>5.0E-4</v>
      </c>
      <c r="M431" s="763">
        <v>8.98456170275245E13</v>
      </c>
      <c r="N431" s="797">
        <f t="shared" si="8"/>
        <v>0</v>
      </c>
      <c r="O431" s="798">
        <f t="shared" ref="O431:BK431" si="427">FLOOR(MIN((((N("value of ELS upgrade")+N$8*($K431-$K430))*(N("Check checkbox")+(IF($G$6=TRUE,$G$7,$G$8))/$G$8))/(N("ROI of ELS and multiply by 2 if ELS is 1:1")+IF($G$12 = True, 2, 1) * $J431))/((N("difference in ELS+ and the cost of it")+(($K430*O$8)-($K430*N$8)) / O$7)),(N("MIN lets it return 0 or 1 after floored")+1)),1)</f>
        <v>0</v>
      </c>
      <c r="P431" s="798">
        <f t="shared" si="427"/>
        <v>0</v>
      </c>
      <c r="Q431" s="798">
        <f t="shared" si="427"/>
        <v>0</v>
      </c>
      <c r="R431" s="798">
        <f t="shared" si="427"/>
        <v>0</v>
      </c>
      <c r="S431" s="798">
        <f t="shared" si="427"/>
        <v>0</v>
      </c>
      <c r="T431" s="798">
        <f t="shared" si="427"/>
        <v>0</v>
      </c>
      <c r="U431" s="798">
        <f t="shared" si="427"/>
        <v>0</v>
      </c>
      <c r="V431" s="798">
        <f t="shared" si="427"/>
        <v>0</v>
      </c>
      <c r="W431" s="798">
        <f t="shared" si="427"/>
        <v>0</v>
      </c>
      <c r="X431" s="798">
        <f t="shared" si="427"/>
        <v>0</v>
      </c>
      <c r="Y431" s="798">
        <f t="shared" si="427"/>
        <v>0</v>
      </c>
      <c r="Z431" s="798">
        <f t="shared" si="427"/>
        <v>0</v>
      </c>
      <c r="AA431" s="798">
        <f t="shared" si="427"/>
        <v>0</v>
      </c>
      <c r="AB431" s="798">
        <f t="shared" si="427"/>
        <v>0</v>
      </c>
      <c r="AC431" s="798">
        <f t="shared" si="427"/>
        <v>0</v>
      </c>
      <c r="AD431" s="798">
        <f t="shared" si="427"/>
        <v>0</v>
      </c>
      <c r="AE431" s="798">
        <f t="shared" si="427"/>
        <v>0</v>
      </c>
      <c r="AF431" s="798">
        <f t="shared" si="427"/>
        <v>1</v>
      </c>
      <c r="AG431" s="798">
        <f t="shared" si="427"/>
        <v>1</v>
      </c>
      <c r="AH431" s="798">
        <f t="shared" si="427"/>
        <v>1</v>
      </c>
      <c r="AI431" s="798">
        <f t="shared" si="427"/>
        <v>1</v>
      </c>
      <c r="AJ431" s="798">
        <f t="shared" si="427"/>
        <v>1</v>
      </c>
      <c r="AK431" s="798">
        <f t="shared" si="427"/>
        <v>1</v>
      </c>
      <c r="AL431" s="798">
        <f t="shared" si="427"/>
        <v>1</v>
      </c>
      <c r="AM431" s="798">
        <f t="shared" si="427"/>
        <v>1</v>
      </c>
      <c r="AN431" s="798">
        <f t="shared" si="427"/>
        <v>1</v>
      </c>
      <c r="AO431" s="798">
        <f t="shared" si="427"/>
        <v>1</v>
      </c>
      <c r="AP431" s="798">
        <f t="shared" si="427"/>
        <v>1</v>
      </c>
      <c r="AQ431" s="798">
        <f t="shared" si="427"/>
        <v>1</v>
      </c>
      <c r="AR431" s="798">
        <f t="shared" si="427"/>
        <v>1</v>
      </c>
      <c r="AS431" s="798">
        <f t="shared" si="427"/>
        <v>1</v>
      </c>
      <c r="AT431" s="798">
        <f t="shared" si="427"/>
        <v>1</v>
      </c>
      <c r="AU431" s="798">
        <f t="shared" si="427"/>
        <v>1</v>
      </c>
      <c r="AV431" s="798">
        <f t="shared" si="427"/>
        <v>1</v>
      </c>
      <c r="AW431" s="798">
        <f t="shared" si="427"/>
        <v>1</v>
      </c>
      <c r="AX431" s="798">
        <f t="shared" si="427"/>
        <v>1</v>
      </c>
      <c r="AY431" s="798">
        <f t="shared" si="427"/>
        <v>1</v>
      </c>
      <c r="AZ431" s="798">
        <f t="shared" si="427"/>
        <v>1</v>
      </c>
      <c r="BA431" s="798">
        <f t="shared" si="427"/>
        <v>1</v>
      </c>
      <c r="BB431" s="798">
        <f t="shared" si="427"/>
        <v>1</v>
      </c>
      <c r="BC431" s="798">
        <f t="shared" si="427"/>
        <v>1</v>
      </c>
      <c r="BD431" s="798">
        <f t="shared" si="427"/>
        <v>1</v>
      </c>
      <c r="BE431" s="798">
        <f t="shared" si="427"/>
        <v>1</v>
      </c>
      <c r="BF431" s="798">
        <f t="shared" si="427"/>
        <v>1</v>
      </c>
      <c r="BG431" s="798">
        <f t="shared" si="427"/>
        <v>1</v>
      </c>
      <c r="BH431" s="798">
        <f t="shared" si="427"/>
        <v>1</v>
      </c>
      <c r="BI431" s="798">
        <f t="shared" si="427"/>
        <v>1</v>
      </c>
      <c r="BJ431" s="798">
        <f t="shared" si="427"/>
        <v>1</v>
      </c>
      <c r="BK431" s="798">
        <f t="shared" si="427"/>
        <v>1</v>
      </c>
      <c r="BL431" s="765"/>
      <c r="BM431" s="817"/>
      <c r="BN431" s="817"/>
    </row>
    <row r="432" hidden="1">
      <c r="A432" s="765"/>
      <c r="B432" s="765"/>
      <c r="C432" s="765"/>
      <c r="D432" s="765"/>
      <c r="E432" s="765"/>
      <c r="F432" s="765"/>
      <c r="G432" s="765"/>
      <c r="H432" s="765"/>
      <c r="I432" s="765">
        <f t="shared" si="17"/>
        <v>421</v>
      </c>
      <c r="J432" s="763">
        <f t="shared" si="5"/>
        <v>79091139953638</v>
      </c>
      <c r="K432" s="796">
        <f t="shared" si="7"/>
        <v>0.44429</v>
      </c>
      <c r="L432" s="796">
        <v>5.0E-4</v>
      </c>
      <c r="M432" s="763">
        <v>9.01837399699404E13</v>
      </c>
      <c r="N432" s="797">
        <f t="shared" si="8"/>
        <v>0</v>
      </c>
      <c r="O432" s="798">
        <f t="shared" ref="O432:BK432" si="428">FLOOR(MIN((((N("value of ELS upgrade")+N$8*($K432-$K431))*(N("Check checkbox")+(IF($G$6=TRUE,$G$7,$G$8))/$G$8))/(N("ROI of ELS and multiply by 2 if ELS is 1:1")+IF($G$12 = True, 2, 1) * $J432))/((N("difference in ELS+ and the cost of it")+(($K431*O$8)-($K431*N$8)) / O$7)),(N("MIN lets it return 0 or 1 after floored")+1)),1)</f>
        <v>0</v>
      </c>
      <c r="P432" s="798">
        <f t="shared" si="428"/>
        <v>0</v>
      </c>
      <c r="Q432" s="798">
        <f t="shared" si="428"/>
        <v>0</v>
      </c>
      <c r="R432" s="798">
        <f t="shared" si="428"/>
        <v>0</v>
      </c>
      <c r="S432" s="798">
        <f t="shared" si="428"/>
        <v>0</v>
      </c>
      <c r="T432" s="798">
        <f t="shared" si="428"/>
        <v>0</v>
      </c>
      <c r="U432" s="798">
        <f t="shared" si="428"/>
        <v>0</v>
      </c>
      <c r="V432" s="798">
        <f t="shared" si="428"/>
        <v>0</v>
      </c>
      <c r="W432" s="798">
        <f t="shared" si="428"/>
        <v>0</v>
      </c>
      <c r="X432" s="798">
        <f t="shared" si="428"/>
        <v>0</v>
      </c>
      <c r="Y432" s="798">
        <f t="shared" si="428"/>
        <v>0</v>
      </c>
      <c r="Z432" s="798">
        <f t="shared" si="428"/>
        <v>0</v>
      </c>
      <c r="AA432" s="798">
        <f t="shared" si="428"/>
        <v>0</v>
      </c>
      <c r="AB432" s="798">
        <f t="shared" si="428"/>
        <v>0</v>
      </c>
      <c r="AC432" s="798">
        <f t="shared" si="428"/>
        <v>0</v>
      </c>
      <c r="AD432" s="798">
        <f t="shared" si="428"/>
        <v>0</v>
      </c>
      <c r="AE432" s="798">
        <f t="shared" si="428"/>
        <v>0</v>
      </c>
      <c r="AF432" s="798">
        <f t="shared" si="428"/>
        <v>1</v>
      </c>
      <c r="AG432" s="798">
        <f t="shared" si="428"/>
        <v>1</v>
      </c>
      <c r="AH432" s="798">
        <f t="shared" si="428"/>
        <v>1</v>
      </c>
      <c r="AI432" s="798">
        <f t="shared" si="428"/>
        <v>1</v>
      </c>
      <c r="AJ432" s="798">
        <f t="shared" si="428"/>
        <v>1</v>
      </c>
      <c r="AK432" s="798">
        <f t="shared" si="428"/>
        <v>1</v>
      </c>
      <c r="AL432" s="798">
        <f t="shared" si="428"/>
        <v>1</v>
      </c>
      <c r="AM432" s="798">
        <f t="shared" si="428"/>
        <v>1</v>
      </c>
      <c r="AN432" s="798">
        <f t="shared" si="428"/>
        <v>1</v>
      </c>
      <c r="AO432" s="798">
        <f t="shared" si="428"/>
        <v>1</v>
      </c>
      <c r="AP432" s="798">
        <f t="shared" si="428"/>
        <v>1</v>
      </c>
      <c r="AQ432" s="798">
        <f t="shared" si="428"/>
        <v>1</v>
      </c>
      <c r="AR432" s="798">
        <f t="shared" si="428"/>
        <v>1</v>
      </c>
      <c r="AS432" s="798">
        <f t="shared" si="428"/>
        <v>1</v>
      </c>
      <c r="AT432" s="798">
        <f t="shared" si="428"/>
        <v>1</v>
      </c>
      <c r="AU432" s="798">
        <f t="shared" si="428"/>
        <v>1</v>
      </c>
      <c r="AV432" s="798">
        <f t="shared" si="428"/>
        <v>1</v>
      </c>
      <c r="AW432" s="798">
        <f t="shared" si="428"/>
        <v>1</v>
      </c>
      <c r="AX432" s="798">
        <f t="shared" si="428"/>
        <v>1</v>
      </c>
      <c r="AY432" s="798">
        <f t="shared" si="428"/>
        <v>1</v>
      </c>
      <c r="AZ432" s="798">
        <f t="shared" si="428"/>
        <v>1</v>
      </c>
      <c r="BA432" s="798">
        <f t="shared" si="428"/>
        <v>1</v>
      </c>
      <c r="BB432" s="798">
        <f t="shared" si="428"/>
        <v>1</v>
      </c>
      <c r="BC432" s="798">
        <f t="shared" si="428"/>
        <v>1</v>
      </c>
      <c r="BD432" s="798">
        <f t="shared" si="428"/>
        <v>1</v>
      </c>
      <c r="BE432" s="798">
        <f t="shared" si="428"/>
        <v>1</v>
      </c>
      <c r="BF432" s="798">
        <f t="shared" si="428"/>
        <v>1</v>
      </c>
      <c r="BG432" s="798">
        <f t="shared" si="428"/>
        <v>1</v>
      </c>
      <c r="BH432" s="798">
        <f t="shared" si="428"/>
        <v>1</v>
      </c>
      <c r="BI432" s="798">
        <f t="shared" si="428"/>
        <v>1</v>
      </c>
      <c r="BJ432" s="798">
        <f t="shared" si="428"/>
        <v>1</v>
      </c>
      <c r="BK432" s="798">
        <f t="shared" si="428"/>
        <v>1</v>
      </c>
      <c r="BL432" s="765"/>
      <c r="BM432" s="817"/>
      <c r="BN432" s="817"/>
    </row>
    <row r="433" hidden="1">
      <c r="A433" s="765"/>
      <c r="B433" s="765"/>
      <c r="C433" s="765"/>
      <c r="D433" s="765"/>
      <c r="E433" s="765"/>
      <c r="F433" s="765"/>
      <c r="G433" s="765"/>
      <c r="H433" s="765"/>
      <c r="I433" s="765">
        <f t="shared" si="17"/>
        <v>422</v>
      </c>
      <c r="J433" s="763">
        <f t="shared" si="5"/>
        <v>79388586297677</v>
      </c>
      <c r="K433" s="796">
        <f t="shared" si="7"/>
        <v>0.44479</v>
      </c>
      <c r="L433" s="796">
        <v>5.0E-4</v>
      </c>
      <c r="M433" s="763">
        <v>9.05229034181033E13</v>
      </c>
      <c r="N433" s="797">
        <f t="shared" si="8"/>
        <v>0</v>
      </c>
      <c r="O433" s="798">
        <f t="shared" ref="O433:BK433" si="429">FLOOR(MIN((((N("value of ELS upgrade")+N$8*($K433-$K432))*(N("Check checkbox")+(IF($G$6=TRUE,$G$7,$G$8))/$G$8))/(N("ROI of ELS and multiply by 2 if ELS is 1:1")+IF($G$12 = True, 2, 1) * $J433))/((N("difference in ELS+ and the cost of it")+(($K432*O$8)-($K432*N$8)) / O$7)),(N("MIN lets it return 0 or 1 after floored")+1)),1)</f>
        <v>0</v>
      </c>
      <c r="P433" s="798">
        <f t="shared" si="429"/>
        <v>0</v>
      </c>
      <c r="Q433" s="798">
        <f t="shared" si="429"/>
        <v>0</v>
      </c>
      <c r="R433" s="798">
        <f t="shared" si="429"/>
        <v>0</v>
      </c>
      <c r="S433" s="798">
        <f t="shared" si="429"/>
        <v>0</v>
      </c>
      <c r="T433" s="798">
        <f t="shared" si="429"/>
        <v>0</v>
      </c>
      <c r="U433" s="798">
        <f t="shared" si="429"/>
        <v>0</v>
      </c>
      <c r="V433" s="798">
        <f t="shared" si="429"/>
        <v>0</v>
      </c>
      <c r="W433" s="798">
        <f t="shared" si="429"/>
        <v>0</v>
      </c>
      <c r="X433" s="798">
        <f t="shared" si="429"/>
        <v>0</v>
      </c>
      <c r="Y433" s="798">
        <f t="shared" si="429"/>
        <v>0</v>
      </c>
      <c r="Z433" s="798">
        <f t="shared" si="429"/>
        <v>0</v>
      </c>
      <c r="AA433" s="798">
        <f t="shared" si="429"/>
        <v>0</v>
      </c>
      <c r="AB433" s="798">
        <f t="shared" si="429"/>
        <v>0</v>
      </c>
      <c r="AC433" s="798">
        <f t="shared" si="429"/>
        <v>0</v>
      </c>
      <c r="AD433" s="798">
        <f t="shared" si="429"/>
        <v>0</v>
      </c>
      <c r="AE433" s="798">
        <f t="shared" si="429"/>
        <v>0</v>
      </c>
      <c r="AF433" s="798">
        <f t="shared" si="429"/>
        <v>1</v>
      </c>
      <c r="AG433" s="798">
        <f t="shared" si="429"/>
        <v>1</v>
      </c>
      <c r="AH433" s="798">
        <f t="shared" si="429"/>
        <v>1</v>
      </c>
      <c r="AI433" s="798">
        <f t="shared" si="429"/>
        <v>1</v>
      </c>
      <c r="AJ433" s="798">
        <f t="shared" si="429"/>
        <v>1</v>
      </c>
      <c r="AK433" s="798">
        <f t="shared" si="429"/>
        <v>1</v>
      </c>
      <c r="AL433" s="798">
        <f t="shared" si="429"/>
        <v>1</v>
      </c>
      <c r="AM433" s="798">
        <f t="shared" si="429"/>
        <v>1</v>
      </c>
      <c r="AN433" s="798">
        <f t="shared" si="429"/>
        <v>1</v>
      </c>
      <c r="AO433" s="798">
        <f t="shared" si="429"/>
        <v>1</v>
      </c>
      <c r="AP433" s="798">
        <f t="shared" si="429"/>
        <v>1</v>
      </c>
      <c r="AQ433" s="798">
        <f t="shared" si="429"/>
        <v>1</v>
      </c>
      <c r="AR433" s="798">
        <f t="shared" si="429"/>
        <v>1</v>
      </c>
      <c r="AS433" s="798">
        <f t="shared" si="429"/>
        <v>1</v>
      </c>
      <c r="AT433" s="798">
        <f t="shared" si="429"/>
        <v>1</v>
      </c>
      <c r="AU433" s="798">
        <f t="shared" si="429"/>
        <v>1</v>
      </c>
      <c r="AV433" s="798">
        <f t="shared" si="429"/>
        <v>1</v>
      </c>
      <c r="AW433" s="798">
        <f t="shared" si="429"/>
        <v>1</v>
      </c>
      <c r="AX433" s="798">
        <f t="shared" si="429"/>
        <v>1</v>
      </c>
      <c r="AY433" s="798">
        <f t="shared" si="429"/>
        <v>1</v>
      </c>
      <c r="AZ433" s="798">
        <f t="shared" si="429"/>
        <v>1</v>
      </c>
      <c r="BA433" s="798">
        <f t="shared" si="429"/>
        <v>1</v>
      </c>
      <c r="BB433" s="798">
        <f t="shared" si="429"/>
        <v>1</v>
      </c>
      <c r="BC433" s="798">
        <f t="shared" si="429"/>
        <v>1</v>
      </c>
      <c r="BD433" s="798">
        <f t="shared" si="429"/>
        <v>1</v>
      </c>
      <c r="BE433" s="798">
        <f t="shared" si="429"/>
        <v>1</v>
      </c>
      <c r="BF433" s="798">
        <f t="shared" si="429"/>
        <v>1</v>
      </c>
      <c r="BG433" s="798">
        <f t="shared" si="429"/>
        <v>1</v>
      </c>
      <c r="BH433" s="798">
        <f t="shared" si="429"/>
        <v>1</v>
      </c>
      <c r="BI433" s="798">
        <f t="shared" si="429"/>
        <v>1</v>
      </c>
      <c r="BJ433" s="798">
        <f t="shared" si="429"/>
        <v>1</v>
      </c>
      <c r="BK433" s="798">
        <f t="shared" si="429"/>
        <v>1</v>
      </c>
      <c r="BL433" s="765"/>
      <c r="BM433" s="817"/>
      <c r="BN433" s="817"/>
    </row>
    <row r="434" hidden="1">
      <c r="A434" s="765"/>
      <c r="B434" s="765"/>
      <c r="C434" s="765"/>
      <c r="D434" s="765"/>
      <c r="E434" s="765"/>
      <c r="F434" s="765"/>
      <c r="G434" s="765"/>
      <c r="H434" s="765"/>
      <c r="I434" s="765">
        <f t="shared" si="17"/>
        <v>423</v>
      </c>
      <c r="J434" s="763">
        <f t="shared" si="5"/>
        <v>79686951576428</v>
      </c>
      <c r="K434" s="796">
        <f t="shared" si="7"/>
        <v>0.44529</v>
      </c>
      <c r="L434" s="796">
        <v>5.0E-4</v>
      </c>
      <c r="M434" s="763">
        <v>9.08631146823577E13</v>
      </c>
      <c r="N434" s="797">
        <f t="shared" si="8"/>
        <v>0</v>
      </c>
      <c r="O434" s="798">
        <f t="shared" ref="O434:BK434" si="430">FLOOR(MIN((((N("value of ELS upgrade")+N$8*($K434-$K433))*(N("Check checkbox")+(IF($G$6=TRUE,$G$7,$G$8))/$G$8))/(N("ROI of ELS and multiply by 2 if ELS is 1:1")+IF($G$12 = True, 2, 1) * $J434))/((N("difference in ELS+ and the cost of it")+(($K433*O$8)-($K433*N$8)) / O$7)),(N("MIN lets it return 0 or 1 after floored")+1)),1)</f>
        <v>0</v>
      </c>
      <c r="P434" s="798">
        <f t="shared" si="430"/>
        <v>0</v>
      </c>
      <c r="Q434" s="798">
        <f t="shared" si="430"/>
        <v>0</v>
      </c>
      <c r="R434" s="798">
        <f t="shared" si="430"/>
        <v>0</v>
      </c>
      <c r="S434" s="798">
        <f t="shared" si="430"/>
        <v>0</v>
      </c>
      <c r="T434" s="798">
        <f t="shared" si="430"/>
        <v>0</v>
      </c>
      <c r="U434" s="798">
        <f t="shared" si="430"/>
        <v>0</v>
      </c>
      <c r="V434" s="798">
        <f t="shared" si="430"/>
        <v>0</v>
      </c>
      <c r="W434" s="798">
        <f t="shared" si="430"/>
        <v>0</v>
      </c>
      <c r="X434" s="798">
        <f t="shared" si="430"/>
        <v>0</v>
      </c>
      <c r="Y434" s="798">
        <f t="shared" si="430"/>
        <v>0</v>
      </c>
      <c r="Z434" s="798">
        <f t="shared" si="430"/>
        <v>0</v>
      </c>
      <c r="AA434" s="798">
        <f t="shared" si="430"/>
        <v>0</v>
      </c>
      <c r="AB434" s="798">
        <f t="shared" si="430"/>
        <v>0</v>
      </c>
      <c r="AC434" s="798">
        <f t="shared" si="430"/>
        <v>0</v>
      </c>
      <c r="AD434" s="798">
        <f t="shared" si="430"/>
        <v>0</v>
      </c>
      <c r="AE434" s="798">
        <f t="shared" si="430"/>
        <v>0</v>
      </c>
      <c r="AF434" s="798">
        <f t="shared" si="430"/>
        <v>1</v>
      </c>
      <c r="AG434" s="798">
        <f t="shared" si="430"/>
        <v>1</v>
      </c>
      <c r="AH434" s="798">
        <f t="shared" si="430"/>
        <v>1</v>
      </c>
      <c r="AI434" s="798">
        <f t="shared" si="430"/>
        <v>1</v>
      </c>
      <c r="AJ434" s="798">
        <f t="shared" si="430"/>
        <v>1</v>
      </c>
      <c r="AK434" s="798">
        <f t="shared" si="430"/>
        <v>1</v>
      </c>
      <c r="AL434" s="798">
        <f t="shared" si="430"/>
        <v>1</v>
      </c>
      <c r="AM434" s="798">
        <f t="shared" si="430"/>
        <v>1</v>
      </c>
      <c r="AN434" s="798">
        <f t="shared" si="430"/>
        <v>1</v>
      </c>
      <c r="AO434" s="798">
        <f t="shared" si="430"/>
        <v>1</v>
      </c>
      <c r="AP434" s="798">
        <f t="shared" si="430"/>
        <v>1</v>
      </c>
      <c r="AQ434" s="798">
        <f t="shared" si="430"/>
        <v>1</v>
      </c>
      <c r="AR434" s="798">
        <f t="shared" si="430"/>
        <v>1</v>
      </c>
      <c r="AS434" s="798">
        <f t="shared" si="430"/>
        <v>1</v>
      </c>
      <c r="AT434" s="798">
        <f t="shared" si="430"/>
        <v>1</v>
      </c>
      <c r="AU434" s="798">
        <f t="shared" si="430"/>
        <v>1</v>
      </c>
      <c r="AV434" s="798">
        <f t="shared" si="430"/>
        <v>1</v>
      </c>
      <c r="AW434" s="798">
        <f t="shared" si="430"/>
        <v>1</v>
      </c>
      <c r="AX434" s="798">
        <f t="shared" si="430"/>
        <v>1</v>
      </c>
      <c r="AY434" s="798">
        <f t="shared" si="430"/>
        <v>1</v>
      </c>
      <c r="AZ434" s="798">
        <f t="shared" si="430"/>
        <v>1</v>
      </c>
      <c r="BA434" s="798">
        <f t="shared" si="430"/>
        <v>1</v>
      </c>
      <c r="BB434" s="798">
        <f t="shared" si="430"/>
        <v>1</v>
      </c>
      <c r="BC434" s="798">
        <f t="shared" si="430"/>
        <v>1</v>
      </c>
      <c r="BD434" s="798">
        <f t="shared" si="430"/>
        <v>1</v>
      </c>
      <c r="BE434" s="798">
        <f t="shared" si="430"/>
        <v>1</v>
      </c>
      <c r="BF434" s="798">
        <f t="shared" si="430"/>
        <v>1</v>
      </c>
      <c r="BG434" s="798">
        <f t="shared" si="430"/>
        <v>1</v>
      </c>
      <c r="BH434" s="798">
        <f t="shared" si="430"/>
        <v>1</v>
      </c>
      <c r="BI434" s="798">
        <f t="shared" si="430"/>
        <v>1</v>
      </c>
      <c r="BJ434" s="798">
        <f t="shared" si="430"/>
        <v>1</v>
      </c>
      <c r="BK434" s="798">
        <f t="shared" si="430"/>
        <v>1</v>
      </c>
      <c r="BL434" s="765"/>
      <c r="BM434" s="817"/>
      <c r="BN434" s="817"/>
    </row>
    <row r="435" hidden="1">
      <c r="A435" s="765"/>
      <c r="B435" s="765"/>
      <c r="C435" s="765"/>
      <c r="D435" s="765"/>
      <c r="E435" s="765"/>
      <c r="F435" s="765"/>
      <c r="G435" s="765"/>
      <c r="H435" s="765"/>
      <c r="I435" s="765">
        <f t="shared" si="17"/>
        <v>424</v>
      </c>
      <c r="J435" s="763">
        <f t="shared" si="5"/>
        <v>79986237926949</v>
      </c>
      <c r="K435" s="796">
        <f t="shared" si="7"/>
        <v>0.44579</v>
      </c>
      <c r="L435" s="796">
        <v>5.0E-4</v>
      </c>
      <c r="M435" s="763">
        <v>9.12043761994853E13</v>
      </c>
      <c r="N435" s="797">
        <f t="shared" si="8"/>
        <v>0</v>
      </c>
      <c r="O435" s="798">
        <f t="shared" ref="O435:BK435" si="431">FLOOR(MIN((((N("value of ELS upgrade")+N$8*($K435-$K434))*(N("Check checkbox")+(IF($G$6=TRUE,$G$7,$G$8))/$G$8))/(N("ROI of ELS and multiply by 2 if ELS is 1:1")+IF($G$12 = True, 2, 1) * $J435))/((N("difference in ELS+ and the cost of it")+(($K434*O$8)-($K434*N$8)) / O$7)),(N("MIN lets it return 0 or 1 after floored")+1)),1)</f>
        <v>0</v>
      </c>
      <c r="P435" s="798">
        <f t="shared" si="431"/>
        <v>0</v>
      </c>
      <c r="Q435" s="798">
        <f t="shared" si="431"/>
        <v>0</v>
      </c>
      <c r="R435" s="798">
        <f t="shared" si="431"/>
        <v>0</v>
      </c>
      <c r="S435" s="798">
        <f t="shared" si="431"/>
        <v>0</v>
      </c>
      <c r="T435" s="798">
        <f t="shared" si="431"/>
        <v>0</v>
      </c>
      <c r="U435" s="798">
        <f t="shared" si="431"/>
        <v>0</v>
      </c>
      <c r="V435" s="798">
        <f t="shared" si="431"/>
        <v>0</v>
      </c>
      <c r="W435" s="798">
        <f t="shared" si="431"/>
        <v>0</v>
      </c>
      <c r="X435" s="798">
        <f t="shared" si="431"/>
        <v>0</v>
      </c>
      <c r="Y435" s="798">
        <f t="shared" si="431"/>
        <v>0</v>
      </c>
      <c r="Z435" s="798">
        <f t="shared" si="431"/>
        <v>0</v>
      </c>
      <c r="AA435" s="798">
        <f t="shared" si="431"/>
        <v>0</v>
      </c>
      <c r="AB435" s="798">
        <f t="shared" si="431"/>
        <v>0</v>
      </c>
      <c r="AC435" s="798">
        <f t="shared" si="431"/>
        <v>0</v>
      </c>
      <c r="AD435" s="798">
        <f t="shared" si="431"/>
        <v>0</v>
      </c>
      <c r="AE435" s="798">
        <f t="shared" si="431"/>
        <v>0</v>
      </c>
      <c r="AF435" s="798">
        <f t="shared" si="431"/>
        <v>1</v>
      </c>
      <c r="AG435" s="798">
        <f t="shared" si="431"/>
        <v>1</v>
      </c>
      <c r="AH435" s="798">
        <f t="shared" si="431"/>
        <v>1</v>
      </c>
      <c r="AI435" s="798">
        <f t="shared" si="431"/>
        <v>1</v>
      </c>
      <c r="AJ435" s="798">
        <f t="shared" si="431"/>
        <v>1</v>
      </c>
      <c r="AK435" s="798">
        <f t="shared" si="431"/>
        <v>1</v>
      </c>
      <c r="AL435" s="798">
        <f t="shared" si="431"/>
        <v>1</v>
      </c>
      <c r="AM435" s="798">
        <f t="shared" si="431"/>
        <v>1</v>
      </c>
      <c r="AN435" s="798">
        <f t="shared" si="431"/>
        <v>1</v>
      </c>
      <c r="AO435" s="798">
        <f t="shared" si="431"/>
        <v>1</v>
      </c>
      <c r="AP435" s="798">
        <f t="shared" si="431"/>
        <v>1</v>
      </c>
      <c r="AQ435" s="798">
        <f t="shared" si="431"/>
        <v>1</v>
      </c>
      <c r="AR435" s="798">
        <f t="shared" si="431"/>
        <v>1</v>
      </c>
      <c r="AS435" s="798">
        <f t="shared" si="431"/>
        <v>1</v>
      </c>
      <c r="AT435" s="798">
        <f t="shared" si="431"/>
        <v>1</v>
      </c>
      <c r="AU435" s="798">
        <f t="shared" si="431"/>
        <v>1</v>
      </c>
      <c r="AV435" s="798">
        <f t="shared" si="431"/>
        <v>1</v>
      </c>
      <c r="AW435" s="798">
        <f t="shared" si="431"/>
        <v>1</v>
      </c>
      <c r="AX435" s="798">
        <f t="shared" si="431"/>
        <v>1</v>
      </c>
      <c r="AY435" s="798">
        <f t="shared" si="431"/>
        <v>1</v>
      </c>
      <c r="AZ435" s="798">
        <f t="shared" si="431"/>
        <v>1</v>
      </c>
      <c r="BA435" s="798">
        <f t="shared" si="431"/>
        <v>1</v>
      </c>
      <c r="BB435" s="798">
        <f t="shared" si="431"/>
        <v>1</v>
      </c>
      <c r="BC435" s="798">
        <f t="shared" si="431"/>
        <v>1</v>
      </c>
      <c r="BD435" s="798">
        <f t="shared" si="431"/>
        <v>1</v>
      </c>
      <c r="BE435" s="798">
        <f t="shared" si="431"/>
        <v>1</v>
      </c>
      <c r="BF435" s="798">
        <f t="shared" si="431"/>
        <v>1</v>
      </c>
      <c r="BG435" s="798">
        <f t="shared" si="431"/>
        <v>1</v>
      </c>
      <c r="BH435" s="798">
        <f t="shared" si="431"/>
        <v>1</v>
      </c>
      <c r="BI435" s="798">
        <f t="shared" si="431"/>
        <v>1</v>
      </c>
      <c r="BJ435" s="798">
        <f t="shared" si="431"/>
        <v>1</v>
      </c>
      <c r="BK435" s="798">
        <f t="shared" si="431"/>
        <v>1</v>
      </c>
      <c r="BL435" s="765"/>
      <c r="BM435" s="817"/>
      <c r="BN435" s="817"/>
    </row>
    <row r="436" hidden="1">
      <c r="A436" s="765"/>
      <c r="B436" s="765"/>
      <c r="C436" s="765"/>
      <c r="D436" s="765"/>
      <c r="E436" s="765"/>
      <c r="F436" s="765"/>
      <c r="G436" s="765"/>
      <c r="H436" s="765"/>
      <c r="I436" s="765">
        <f t="shared" si="17"/>
        <v>425</v>
      </c>
      <c r="J436" s="763">
        <f t="shared" si="5"/>
        <v>80286447486297</v>
      </c>
      <c r="K436" s="796">
        <f t="shared" si="7"/>
        <v>0.44629</v>
      </c>
      <c r="L436" s="796">
        <v>5.0E-4</v>
      </c>
      <c r="M436" s="763">
        <v>9.15466904062678E13</v>
      </c>
      <c r="N436" s="797">
        <f t="shared" si="8"/>
        <v>0</v>
      </c>
      <c r="O436" s="798">
        <f t="shared" ref="O436:BK436" si="432">FLOOR(MIN((((N("value of ELS upgrade")+N$8*($K436-$K435))*(N("Check checkbox")+(IF($G$6=TRUE,$G$7,$G$8))/$G$8))/(N("ROI of ELS and multiply by 2 if ELS is 1:1")+IF($G$12 = True, 2, 1) * $J436))/((N("difference in ELS+ and the cost of it")+(($K435*O$8)-($K435*N$8)) / O$7)),(N("MIN lets it return 0 or 1 after floored")+1)),1)</f>
        <v>0</v>
      </c>
      <c r="P436" s="798">
        <f t="shared" si="432"/>
        <v>0</v>
      </c>
      <c r="Q436" s="798">
        <f t="shared" si="432"/>
        <v>0</v>
      </c>
      <c r="R436" s="798">
        <f t="shared" si="432"/>
        <v>0</v>
      </c>
      <c r="S436" s="798">
        <f t="shared" si="432"/>
        <v>0</v>
      </c>
      <c r="T436" s="798">
        <f t="shared" si="432"/>
        <v>0</v>
      </c>
      <c r="U436" s="798">
        <f t="shared" si="432"/>
        <v>0</v>
      </c>
      <c r="V436" s="798">
        <f t="shared" si="432"/>
        <v>0</v>
      </c>
      <c r="W436" s="798">
        <f t="shared" si="432"/>
        <v>0</v>
      </c>
      <c r="X436" s="798">
        <f t="shared" si="432"/>
        <v>0</v>
      </c>
      <c r="Y436" s="798">
        <f t="shared" si="432"/>
        <v>0</v>
      </c>
      <c r="Z436" s="798">
        <f t="shared" si="432"/>
        <v>0</v>
      </c>
      <c r="AA436" s="798">
        <f t="shared" si="432"/>
        <v>0</v>
      </c>
      <c r="AB436" s="798">
        <f t="shared" si="432"/>
        <v>0</v>
      </c>
      <c r="AC436" s="798">
        <f t="shared" si="432"/>
        <v>0</v>
      </c>
      <c r="AD436" s="798">
        <f t="shared" si="432"/>
        <v>0</v>
      </c>
      <c r="AE436" s="798">
        <f t="shared" si="432"/>
        <v>0</v>
      </c>
      <c r="AF436" s="798">
        <f t="shared" si="432"/>
        <v>1</v>
      </c>
      <c r="AG436" s="798">
        <f t="shared" si="432"/>
        <v>1</v>
      </c>
      <c r="AH436" s="798">
        <f t="shared" si="432"/>
        <v>1</v>
      </c>
      <c r="AI436" s="798">
        <f t="shared" si="432"/>
        <v>1</v>
      </c>
      <c r="AJ436" s="798">
        <f t="shared" si="432"/>
        <v>1</v>
      </c>
      <c r="AK436" s="798">
        <f t="shared" si="432"/>
        <v>1</v>
      </c>
      <c r="AL436" s="798">
        <f t="shared" si="432"/>
        <v>1</v>
      </c>
      <c r="AM436" s="798">
        <f t="shared" si="432"/>
        <v>1</v>
      </c>
      <c r="AN436" s="798">
        <f t="shared" si="432"/>
        <v>1</v>
      </c>
      <c r="AO436" s="798">
        <f t="shared" si="432"/>
        <v>1</v>
      </c>
      <c r="AP436" s="798">
        <f t="shared" si="432"/>
        <v>1</v>
      </c>
      <c r="AQ436" s="798">
        <f t="shared" si="432"/>
        <v>1</v>
      </c>
      <c r="AR436" s="798">
        <f t="shared" si="432"/>
        <v>1</v>
      </c>
      <c r="AS436" s="798">
        <f t="shared" si="432"/>
        <v>1</v>
      </c>
      <c r="AT436" s="798">
        <f t="shared" si="432"/>
        <v>1</v>
      </c>
      <c r="AU436" s="798">
        <f t="shared" si="432"/>
        <v>1</v>
      </c>
      <c r="AV436" s="798">
        <f t="shared" si="432"/>
        <v>1</v>
      </c>
      <c r="AW436" s="798">
        <f t="shared" si="432"/>
        <v>1</v>
      </c>
      <c r="AX436" s="798">
        <f t="shared" si="432"/>
        <v>1</v>
      </c>
      <c r="AY436" s="798">
        <f t="shared" si="432"/>
        <v>1</v>
      </c>
      <c r="AZ436" s="798">
        <f t="shared" si="432"/>
        <v>1</v>
      </c>
      <c r="BA436" s="798">
        <f t="shared" si="432"/>
        <v>1</v>
      </c>
      <c r="BB436" s="798">
        <f t="shared" si="432"/>
        <v>1</v>
      </c>
      <c r="BC436" s="798">
        <f t="shared" si="432"/>
        <v>1</v>
      </c>
      <c r="BD436" s="798">
        <f t="shared" si="432"/>
        <v>1</v>
      </c>
      <c r="BE436" s="798">
        <f t="shared" si="432"/>
        <v>1</v>
      </c>
      <c r="BF436" s="798">
        <f t="shared" si="432"/>
        <v>1</v>
      </c>
      <c r="BG436" s="798">
        <f t="shared" si="432"/>
        <v>1</v>
      </c>
      <c r="BH436" s="798">
        <f t="shared" si="432"/>
        <v>1</v>
      </c>
      <c r="BI436" s="798">
        <f t="shared" si="432"/>
        <v>1</v>
      </c>
      <c r="BJ436" s="798">
        <f t="shared" si="432"/>
        <v>1</v>
      </c>
      <c r="BK436" s="798">
        <f t="shared" si="432"/>
        <v>1</v>
      </c>
      <c r="BL436" s="765"/>
      <c r="BM436" s="817"/>
      <c r="BN436" s="817"/>
    </row>
    <row r="437" hidden="1">
      <c r="A437" s="765"/>
      <c r="B437" s="765"/>
      <c r="C437" s="765"/>
      <c r="D437" s="765"/>
      <c r="E437" s="765"/>
      <c r="F437" s="765"/>
      <c r="G437" s="765"/>
      <c r="H437" s="765"/>
      <c r="I437" s="765">
        <f t="shared" si="17"/>
        <v>426</v>
      </c>
      <c r="J437" s="763">
        <f t="shared" si="5"/>
        <v>80587582391530</v>
      </c>
      <c r="K437" s="796">
        <f t="shared" si="7"/>
        <v>0.44679</v>
      </c>
      <c r="L437" s="796">
        <v>5.0E-4</v>
      </c>
      <c r="M437" s="763">
        <v>9.18900597394867E13</v>
      </c>
      <c r="N437" s="797">
        <f t="shared" si="8"/>
        <v>0</v>
      </c>
      <c r="O437" s="798">
        <f t="shared" ref="O437:BK437" si="433">FLOOR(MIN((((N("value of ELS upgrade")+N$8*($K437-$K436))*(N("Check checkbox")+(IF($G$6=TRUE,$G$7,$G$8))/$G$8))/(N("ROI of ELS and multiply by 2 if ELS is 1:1")+IF($G$12 = True, 2, 1) * $J437))/((N("difference in ELS+ and the cost of it")+(($K436*O$8)-($K436*N$8)) / O$7)),(N("MIN lets it return 0 or 1 after floored")+1)),1)</f>
        <v>0</v>
      </c>
      <c r="P437" s="798">
        <f t="shared" si="433"/>
        <v>0</v>
      </c>
      <c r="Q437" s="798">
        <f t="shared" si="433"/>
        <v>0</v>
      </c>
      <c r="R437" s="798">
        <f t="shared" si="433"/>
        <v>0</v>
      </c>
      <c r="S437" s="798">
        <f t="shared" si="433"/>
        <v>0</v>
      </c>
      <c r="T437" s="798">
        <f t="shared" si="433"/>
        <v>0</v>
      </c>
      <c r="U437" s="798">
        <f t="shared" si="433"/>
        <v>0</v>
      </c>
      <c r="V437" s="798">
        <f t="shared" si="433"/>
        <v>0</v>
      </c>
      <c r="W437" s="798">
        <f t="shared" si="433"/>
        <v>0</v>
      </c>
      <c r="X437" s="798">
        <f t="shared" si="433"/>
        <v>0</v>
      </c>
      <c r="Y437" s="798">
        <f t="shared" si="433"/>
        <v>0</v>
      </c>
      <c r="Z437" s="798">
        <f t="shared" si="433"/>
        <v>0</v>
      </c>
      <c r="AA437" s="798">
        <f t="shared" si="433"/>
        <v>0</v>
      </c>
      <c r="AB437" s="798">
        <f t="shared" si="433"/>
        <v>0</v>
      </c>
      <c r="AC437" s="798">
        <f t="shared" si="433"/>
        <v>0</v>
      </c>
      <c r="AD437" s="798">
        <f t="shared" si="433"/>
        <v>0</v>
      </c>
      <c r="AE437" s="798">
        <f t="shared" si="433"/>
        <v>0</v>
      </c>
      <c r="AF437" s="798">
        <f t="shared" si="433"/>
        <v>1</v>
      </c>
      <c r="AG437" s="798">
        <f t="shared" si="433"/>
        <v>1</v>
      </c>
      <c r="AH437" s="798">
        <f t="shared" si="433"/>
        <v>1</v>
      </c>
      <c r="AI437" s="798">
        <f t="shared" si="433"/>
        <v>1</v>
      </c>
      <c r="AJ437" s="798">
        <f t="shared" si="433"/>
        <v>1</v>
      </c>
      <c r="AK437" s="798">
        <f t="shared" si="433"/>
        <v>1</v>
      </c>
      <c r="AL437" s="798">
        <f t="shared" si="433"/>
        <v>1</v>
      </c>
      <c r="AM437" s="798">
        <f t="shared" si="433"/>
        <v>1</v>
      </c>
      <c r="AN437" s="798">
        <f t="shared" si="433"/>
        <v>1</v>
      </c>
      <c r="AO437" s="798">
        <f t="shared" si="433"/>
        <v>1</v>
      </c>
      <c r="AP437" s="798">
        <f t="shared" si="433"/>
        <v>1</v>
      </c>
      <c r="AQ437" s="798">
        <f t="shared" si="433"/>
        <v>1</v>
      </c>
      <c r="AR437" s="798">
        <f t="shared" si="433"/>
        <v>1</v>
      </c>
      <c r="AS437" s="798">
        <f t="shared" si="433"/>
        <v>1</v>
      </c>
      <c r="AT437" s="798">
        <f t="shared" si="433"/>
        <v>1</v>
      </c>
      <c r="AU437" s="798">
        <f t="shared" si="433"/>
        <v>1</v>
      </c>
      <c r="AV437" s="798">
        <f t="shared" si="433"/>
        <v>1</v>
      </c>
      <c r="AW437" s="798">
        <f t="shared" si="433"/>
        <v>1</v>
      </c>
      <c r="AX437" s="798">
        <f t="shared" si="433"/>
        <v>1</v>
      </c>
      <c r="AY437" s="798">
        <f t="shared" si="433"/>
        <v>1</v>
      </c>
      <c r="AZ437" s="798">
        <f t="shared" si="433"/>
        <v>1</v>
      </c>
      <c r="BA437" s="798">
        <f t="shared" si="433"/>
        <v>1</v>
      </c>
      <c r="BB437" s="798">
        <f t="shared" si="433"/>
        <v>1</v>
      </c>
      <c r="BC437" s="798">
        <f t="shared" si="433"/>
        <v>1</v>
      </c>
      <c r="BD437" s="798">
        <f t="shared" si="433"/>
        <v>1</v>
      </c>
      <c r="BE437" s="798">
        <f t="shared" si="433"/>
        <v>1</v>
      </c>
      <c r="BF437" s="798">
        <f t="shared" si="433"/>
        <v>1</v>
      </c>
      <c r="BG437" s="798">
        <f t="shared" si="433"/>
        <v>1</v>
      </c>
      <c r="BH437" s="798">
        <f t="shared" si="433"/>
        <v>1</v>
      </c>
      <c r="BI437" s="798">
        <f t="shared" si="433"/>
        <v>1</v>
      </c>
      <c r="BJ437" s="798">
        <f t="shared" si="433"/>
        <v>1</v>
      </c>
      <c r="BK437" s="798">
        <f t="shared" si="433"/>
        <v>1</v>
      </c>
      <c r="BL437" s="765"/>
      <c r="BM437" s="817"/>
      <c r="BN437" s="817"/>
    </row>
    <row r="438" hidden="1">
      <c r="A438" s="765"/>
      <c r="B438" s="765"/>
      <c r="C438" s="765"/>
      <c r="D438" s="765"/>
      <c r="E438" s="765"/>
      <c r="F438" s="765"/>
      <c r="G438" s="765"/>
      <c r="H438" s="765"/>
      <c r="I438" s="765">
        <f t="shared" si="17"/>
        <v>427</v>
      </c>
      <c r="J438" s="763">
        <f t="shared" si="5"/>
        <v>80889646916763</v>
      </c>
      <c r="K438" s="796">
        <f t="shared" si="7"/>
        <v>0.44729</v>
      </c>
      <c r="L438" s="796">
        <v>5.0E-4</v>
      </c>
      <c r="M438" s="763">
        <v>9.22344890727052E13</v>
      </c>
      <c r="N438" s="797">
        <f t="shared" si="8"/>
        <v>0</v>
      </c>
      <c r="O438" s="798">
        <f t="shared" ref="O438:BK438" si="434">FLOOR(MIN((((N("value of ELS upgrade")+N$8*($K438-$K437))*(N("Check checkbox")+(IF($G$6=TRUE,$G$7,$G$8))/$G$8))/(N("ROI of ELS and multiply by 2 if ELS is 1:1")+IF($G$12 = True, 2, 1) * $J438))/((N("difference in ELS+ and the cost of it")+(($K437*O$8)-($K437*N$8)) / O$7)),(N("MIN lets it return 0 or 1 after floored")+1)),1)</f>
        <v>0</v>
      </c>
      <c r="P438" s="798">
        <f t="shared" si="434"/>
        <v>0</v>
      </c>
      <c r="Q438" s="798">
        <f t="shared" si="434"/>
        <v>0</v>
      </c>
      <c r="R438" s="798">
        <f t="shared" si="434"/>
        <v>0</v>
      </c>
      <c r="S438" s="798">
        <f t="shared" si="434"/>
        <v>0</v>
      </c>
      <c r="T438" s="798">
        <f t="shared" si="434"/>
        <v>0</v>
      </c>
      <c r="U438" s="798">
        <f t="shared" si="434"/>
        <v>0</v>
      </c>
      <c r="V438" s="798">
        <f t="shared" si="434"/>
        <v>0</v>
      </c>
      <c r="W438" s="798">
        <f t="shared" si="434"/>
        <v>0</v>
      </c>
      <c r="X438" s="798">
        <f t="shared" si="434"/>
        <v>0</v>
      </c>
      <c r="Y438" s="798">
        <f t="shared" si="434"/>
        <v>0</v>
      </c>
      <c r="Z438" s="798">
        <f t="shared" si="434"/>
        <v>0</v>
      </c>
      <c r="AA438" s="798">
        <f t="shared" si="434"/>
        <v>0</v>
      </c>
      <c r="AB438" s="798">
        <f t="shared" si="434"/>
        <v>0</v>
      </c>
      <c r="AC438" s="798">
        <f t="shared" si="434"/>
        <v>0</v>
      </c>
      <c r="AD438" s="798">
        <f t="shared" si="434"/>
        <v>0</v>
      </c>
      <c r="AE438" s="798">
        <f t="shared" si="434"/>
        <v>0</v>
      </c>
      <c r="AF438" s="798">
        <f t="shared" si="434"/>
        <v>1</v>
      </c>
      <c r="AG438" s="798">
        <f t="shared" si="434"/>
        <v>1</v>
      </c>
      <c r="AH438" s="798">
        <f t="shared" si="434"/>
        <v>1</v>
      </c>
      <c r="AI438" s="798">
        <f t="shared" si="434"/>
        <v>1</v>
      </c>
      <c r="AJ438" s="798">
        <f t="shared" si="434"/>
        <v>1</v>
      </c>
      <c r="AK438" s="798">
        <f t="shared" si="434"/>
        <v>1</v>
      </c>
      <c r="AL438" s="798">
        <f t="shared" si="434"/>
        <v>1</v>
      </c>
      <c r="AM438" s="798">
        <f t="shared" si="434"/>
        <v>1</v>
      </c>
      <c r="AN438" s="798">
        <f t="shared" si="434"/>
        <v>1</v>
      </c>
      <c r="AO438" s="798">
        <f t="shared" si="434"/>
        <v>1</v>
      </c>
      <c r="AP438" s="798">
        <f t="shared" si="434"/>
        <v>1</v>
      </c>
      <c r="AQ438" s="798">
        <f t="shared" si="434"/>
        <v>1</v>
      </c>
      <c r="AR438" s="798">
        <f t="shared" si="434"/>
        <v>1</v>
      </c>
      <c r="AS438" s="798">
        <f t="shared" si="434"/>
        <v>1</v>
      </c>
      <c r="AT438" s="798">
        <f t="shared" si="434"/>
        <v>1</v>
      </c>
      <c r="AU438" s="798">
        <f t="shared" si="434"/>
        <v>1</v>
      </c>
      <c r="AV438" s="798">
        <f t="shared" si="434"/>
        <v>1</v>
      </c>
      <c r="AW438" s="798">
        <f t="shared" si="434"/>
        <v>1</v>
      </c>
      <c r="AX438" s="798">
        <f t="shared" si="434"/>
        <v>1</v>
      </c>
      <c r="AY438" s="798">
        <f t="shared" si="434"/>
        <v>1</v>
      </c>
      <c r="AZ438" s="798">
        <f t="shared" si="434"/>
        <v>1</v>
      </c>
      <c r="BA438" s="798">
        <f t="shared" si="434"/>
        <v>1</v>
      </c>
      <c r="BB438" s="798">
        <f t="shared" si="434"/>
        <v>1</v>
      </c>
      <c r="BC438" s="798">
        <f t="shared" si="434"/>
        <v>1</v>
      </c>
      <c r="BD438" s="798">
        <f t="shared" si="434"/>
        <v>1</v>
      </c>
      <c r="BE438" s="798">
        <f t="shared" si="434"/>
        <v>1</v>
      </c>
      <c r="BF438" s="798">
        <f t="shared" si="434"/>
        <v>1</v>
      </c>
      <c r="BG438" s="798">
        <f t="shared" si="434"/>
        <v>1</v>
      </c>
      <c r="BH438" s="798">
        <f t="shared" si="434"/>
        <v>1</v>
      </c>
      <c r="BI438" s="798">
        <f t="shared" si="434"/>
        <v>1</v>
      </c>
      <c r="BJ438" s="798">
        <f t="shared" si="434"/>
        <v>1</v>
      </c>
      <c r="BK438" s="798">
        <f t="shared" si="434"/>
        <v>1</v>
      </c>
      <c r="BL438" s="765"/>
      <c r="BM438" s="817"/>
      <c r="BN438" s="817"/>
    </row>
    <row r="439" hidden="1">
      <c r="A439" s="765"/>
      <c r="B439" s="765"/>
      <c r="C439" s="765"/>
      <c r="D439" s="765"/>
      <c r="E439" s="765"/>
      <c r="F439" s="765"/>
      <c r="G439" s="765"/>
      <c r="H439" s="765"/>
      <c r="I439" s="765">
        <f t="shared" si="17"/>
        <v>428</v>
      </c>
      <c r="J439" s="763">
        <f t="shared" si="5"/>
        <v>81192643199052</v>
      </c>
      <c r="K439" s="796">
        <f t="shared" si="7"/>
        <v>0.44779</v>
      </c>
      <c r="L439" s="796">
        <v>5.0E-4</v>
      </c>
      <c r="M439" s="763">
        <v>9.2579980842705E13</v>
      </c>
      <c r="N439" s="797">
        <f t="shared" si="8"/>
        <v>0</v>
      </c>
      <c r="O439" s="798">
        <f t="shared" ref="O439:BK439" si="435">FLOOR(MIN((((N("value of ELS upgrade")+N$8*($K439-$K438))*(N("Check checkbox")+(IF($G$6=TRUE,$G$7,$G$8))/$G$8))/(N("ROI of ELS and multiply by 2 if ELS is 1:1")+IF($G$12 = True, 2, 1) * $J439))/((N("difference in ELS+ and the cost of it")+(($K438*O$8)-($K438*N$8)) / O$7)),(N("MIN lets it return 0 or 1 after floored")+1)),1)</f>
        <v>0</v>
      </c>
      <c r="P439" s="798">
        <f t="shared" si="435"/>
        <v>0</v>
      </c>
      <c r="Q439" s="798">
        <f t="shared" si="435"/>
        <v>0</v>
      </c>
      <c r="R439" s="798">
        <f t="shared" si="435"/>
        <v>0</v>
      </c>
      <c r="S439" s="798">
        <f t="shared" si="435"/>
        <v>0</v>
      </c>
      <c r="T439" s="798">
        <f t="shared" si="435"/>
        <v>0</v>
      </c>
      <c r="U439" s="798">
        <f t="shared" si="435"/>
        <v>0</v>
      </c>
      <c r="V439" s="798">
        <f t="shared" si="435"/>
        <v>0</v>
      </c>
      <c r="W439" s="798">
        <f t="shared" si="435"/>
        <v>0</v>
      </c>
      <c r="X439" s="798">
        <f t="shared" si="435"/>
        <v>0</v>
      </c>
      <c r="Y439" s="798">
        <f t="shared" si="435"/>
        <v>0</v>
      </c>
      <c r="Z439" s="798">
        <f t="shared" si="435"/>
        <v>0</v>
      </c>
      <c r="AA439" s="798">
        <f t="shared" si="435"/>
        <v>0</v>
      </c>
      <c r="AB439" s="798">
        <f t="shared" si="435"/>
        <v>0</v>
      </c>
      <c r="AC439" s="798">
        <f t="shared" si="435"/>
        <v>0</v>
      </c>
      <c r="AD439" s="798">
        <f t="shared" si="435"/>
        <v>0</v>
      </c>
      <c r="AE439" s="798">
        <f t="shared" si="435"/>
        <v>0</v>
      </c>
      <c r="AF439" s="798">
        <f t="shared" si="435"/>
        <v>1</v>
      </c>
      <c r="AG439" s="798">
        <f t="shared" si="435"/>
        <v>1</v>
      </c>
      <c r="AH439" s="798">
        <f t="shared" si="435"/>
        <v>1</v>
      </c>
      <c r="AI439" s="798">
        <f t="shared" si="435"/>
        <v>1</v>
      </c>
      <c r="AJ439" s="798">
        <f t="shared" si="435"/>
        <v>1</v>
      </c>
      <c r="AK439" s="798">
        <f t="shared" si="435"/>
        <v>1</v>
      </c>
      <c r="AL439" s="798">
        <f t="shared" si="435"/>
        <v>1</v>
      </c>
      <c r="AM439" s="798">
        <f t="shared" si="435"/>
        <v>1</v>
      </c>
      <c r="AN439" s="798">
        <f t="shared" si="435"/>
        <v>1</v>
      </c>
      <c r="AO439" s="798">
        <f t="shared" si="435"/>
        <v>1</v>
      </c>
      <c r="AP439" s="798">
        <f t="shared" si="435"/>
        <v>1</v>
      </c>
      <c r="AQ439" s="798">
        <f t="shared" si="435"/>
        <v>1</v>
      </c>
      <c r="AR439" s="798">
        <f t="shared" si="435"/>
        <v>1</v>
      </c>
      <c r="AS439" s="798">
        <f t="shared" si="435"/>
        <v>1</v>
      </c>
      <c r="AT439" s="798">
        <f t="shared" si="435"/>
        <v>1</v>
      </c>
      <c r="AU439" s="798">
        <f t="shared" si="435"/>
        <v>1</v>
      </c>
      <c r="AV439" s="798">
        <f t="shared" si="435"/>
        <v>1</v>
      </c>
      <c r="AW439" s="798">
        <f t="shared" si="435"/>
        <v>1</v>
      </c>
      <c r="AX439" s="798">
        <f t="shared" si="435"/>
        <v>1</v>
      </c>
      <c r="AY439" s="798">
        <f t="shared" si="435"/>
        <v>1</v>
      </c>
      <c r="AZ439" s="798">
        <f t="shared" si="435"/>
        <v>1</v>
      </c>
      <c r="BA439" s="798">
        <f t="shared" si="435"/>
        <v>1</v>
      </c>
      <c r="BB439" s="798">
        <f t="shared" si="435"/>
        <v>1</v>
      </c>
      <c r="BC439" s="798">
        <f t="shared" si="435"/>
        <v>1</v>
      </c>
      <c r="BD439" s="798">
        <f t="shared" si="435"/>
        <v>1</v>
      </c>
      <c r="BE439" s="798">
        <f t="shared" si="435"/>
        <v>1</v>
      </c>
      <c r="BF439" s="798">
        <f t="shared" si="435"/>
        <v>1</v>
      </c>
      <c r="BG439" s="798">
        <f t="shared" si="435"/>
        <v>1</v>
      </c>
      <c r="BH439" s="798">
        <f t="shared" si="435"/>
        <v>1</v>
      </c>
      <c r="BI439" s="798">
        <f t="shared" si="435"/>
        <v>1</v>
      </c>
      <c r="BJ439" s="798">
        <f t="shared" si="435"/>
        <v>1</v>
      </c>
      <c r="BK439" s="798">
        <f t="shared" si="435"/>
        <v>1</v>
      </c>
      <c r="BL439" s="765"/>
      <c r="BM439" s="817"/>
      <c r="BN439" s="817"/>
    </row>
    <row r="440" hidden="1">
      <c r="A440" s="765"/>
      <c r="B440" s="765"/>
      <c r="C440" s="765"/>
      <c r="D440" s="765"/>
      <c r="E440" s="765"/>
      <c r="F440" s="765"/>
      <c r="G440" s="765"/>
      <c r="H440" s="765"/>
      <c r="I440" s="765">
        <f t="shared" si="17"/>
        <v>429</v>
      </c>
      <c r="J440" s="763">
        <f t="shared" si="5"/>
        <v>81496573375457</v>
      </c>
      <c r="K440" s="796">
        <f t="shared" si="7"/>
        <v>0.44829</v>
      </c>
      <c r="L440" s="796">
        <v>5.0E-4</v>
      </c>
      <c r="M440" s="763">
        <v>9.29265374862676E13</v>
      </c>
      <c r="N440" s="797">
        <f t="shared" si="8"/>
        <v>0</v>
      </c>
      <c r="O440" s="798">
        <f t="shared" ref="O440:BK440" si="436">FLOOR(MIN((((N("value of ELS upgrade")+N$8*($K440-$K439))*(N("Check checkbox")+(IF($G$6=TRUE,$G$7,$G$8))/$G$8))/(N("ROI of ELS and multiply by 2 if ELS is 1:1")+IF($G$12 = True, 2, 1) * $J440))/((N("difference in ELS+ and the cost of it")+(($K439*O$8)-($K439*N$8)) / O$7)),(N("MIN lets it return 0 or 1 after floored")+1)),1)</f>
        <v>0</v>
      </c>
      <c r="P440" s="798">
        <f t="shared" si="436"/>
        <v>0</v>
      </c>
      <c r="Q440" s="798">
        <f t="shared" si="436"/>
        <v>0</v>
      </c>
      <c r="R440" s="798">
        <f t="shared" si="436"/>
        <v>0</v>
      </c>
      <c r="S440" s="798">
        <f t="shared" si="436"/>
        <v>0</v>
      </c>
      <c r="T440" s="798">
        <f t="shared" si="436"/>
        <v>0</v>
      </c>
      <c r="U440" s="798">
        <f t="shared" si="436"/>
        <v>0</v>
      </c>
      <c r="V440" s="798">
        <f t="shared" si="436"/>
        <v>0</v>
      </c>
      <c r="W440" s="798">
        <f t="shared" si="436"/>
        <v>0</v>
      </c>
      <c r="X440" s="798">
        <f t="shared" si="436"/>
        <v>0</v>
      </c>
      <c r="Y440" s="798">
        <f t="shared" si="436"/>
        <v>0</v>
      </c>
      <c r="Z440" s="798">
        <f t="shared" si="436"/>
        <v>0</v>
      </c>
      <c r="AA440" s="798">
        <f t="shared" si="436"/>
        <v>0</v>
      </c>
      <c r="AB440" s="798">
        <f t="shared" si="436"/>
        <v>0</v>
      </c>
      <c r="AC440" s="798">
        <f t="shared" si="436"/>
        <v>0</v>
      </c>
      <c r="AD440" s="798">
        <f t="shared" si="436"/>
        <v>0</v>
      </c>
      <c r="AE440" s="798">
        <f t="shared" si="436"/>
        <v>0</v>
      </c>
      <c r="AF440" s="798">
        <f t="shared" si="436"/>
        <v>1</v>
      </c>
      <c r="AG440" s="798">
        <f t="shared" si="436"/>
        <v>1</v>
      </c>
      <c r="AH440" s="798">
        <f t="shared" si="436"/>
        <v>1</v>
      </c>
      <c r="AI440" s="798">
        <f t="shared" si="436"/>
        <v>1</v>
      </c>
      <c r="AJ440" s="798">
        <f t="shared" si="436"/>
        <v>1</v>
      </c>
      <c r="AK440" s="798">
        <f t="shared" si="436"/>
        <v>1</v>
      </c>
      <c r="AL440" s="798">
        <f t="shared" si="436"/>
        <v>1</v>
      </c>
      <c r="AM440" s="798">
        <f t="shared" si="436"/>
        <v>1</v>
      </c>
      <c r="AN440" s="798">
        <f t="shared" si="436"/>
        <v>1</v>
      </c>
      <c r="AO440" s="798">
        <f t="shared" si="436"/>
        <v>1</v>
      </c>
      <c r="AP440" s="798">
        <f t="shared" si="436"/>
        <v>1</v>
      </c>
      <c r="AQ440" s="798">
        <f t="shared" si="436"/>
        <v>1</v>
      </c>
      <c r="AR440" s="798">
        <f t="shared" si="436"/>
        <v>1</v>
      </c>
      <c r="AS440" s="798">
        <f t="shared" si="436"/>
        <v>1</v>
      </c>
      <c r="AT440" s="798">
        <f t="shared" si="436"/>
        <v>1</v>
      </c>
      <c r="AU440" s="798">
        <f t="shared" si="436"/>
        <v>1</v>
      </c>
      <c r="AV440" s="798">
        <f t="shared" si="436"/>
        <v>1</v>
      </c>
      <c r="AW440" s="798">
        <f t="shared" si="436"/>
        <v>1</v>
      </c>
      <c r="AX440" s="798">
        <f t="shared" si="436"/>
        <v>1</v>
      </c>
      <c r="AY440" s="798">
        <f t="shared" si="436"/>
        <v>1</v>
      </c>
      <c r="AZ440" s="798">
        <f t="shared" si="436"/>
        <v>1</v>
      </c>
      <c r="BA440" s="798">
        <f t="shared" si="436"/>
        <v>1</v>
      </c>
      <c r="BB440" s="798">
        <f t="shared" si="436"/>
        <v>1</v>
      </c>
      <c r="BC440" s="798">
        <f t="shared" si="436"/>
        <v>1</v>
      </c>
      <c r="BD440" s="798">
        <f t="shared" si="436"/>
        <v>1</v>
      </c>
      <c r="BE440" s="798">
        <f t="shared" si="436"/>
        <v>1</v>
      </c>
      <c r="BF440" s="798">
        <f t="shared" si="436"/>
        <v>1</v>
      </c>
      <c r="BG440" s="798">
        <f t="shared" si="436"/>
        <v>1</v>
      </c>
      <c r="BH440" s="798">
        <f t="shared" si="436"/>
        <v>1</v>
      </c>
      <c r="BI440" s="798">
        <f t="shared" si="436"/>
        <v>1</v>
      </c>
      <c r="BJ440" s="798">
        <f t="shared" si="436"/>
        <v>1</v>
      </c>
      <c r="BK440" s="798">
        <f t="shared" si="436"/>
        <v>1</v>
      </c>
      <c r="BL440" s="765"/>
      <c r="BM440" s="817"/>
      <c r="BN440" s="817"/>
    </row>
    <row r="441" hidden="1">
      <c r="A441" s="765"/>
      <c r="B441" s="765"/>
      <c r="C441" s="765"/>
      <c r="D441" s="765"/>
      <c r="E441" s="765"/>
      <c r="F441" s="765"/>
      <c r="G441" s="765"/>
      <c r="H441" s="765"/>
      <c r="I441" s="765">
        <f t="shared" si="17"/>
        <v>430</v>
      </c>
      <c r="J441" s="763">
        <f t="shared" si="5"/>
        <v>81801443857148</v>
      </c>
      <c r="K441" s="796">
        <f t="shared" si="7"/>
        <v>0.44879</v>
      </c>
      <c r="L441" s="796">
        <v>5.0E-4</v>
      </c>
      <c r="M441" s="763">
        <v>9.3274166313738E13</v>
      </c>
      <c r="N441" s="797">
        <f t="shared" si="8"/>
        <v>0</v>
      </c>
      <c r="O441" s="798">
        <f t="shared" ref="O441:BK441" si="437">FLOOR(MIN((((N("value of ELS upgrade")+N$8*($K441-$K440))*(N("Check checkbox")+(IF($G$6=TRUE,$G$7,$G$8))/$G$8))/(N("ROI of ELS and multiply by 2 if ELS is 1:1")+IF($G$12 = True, 2, 1) * $J441))/((N("difference in ELS+ and the cost of it")+(($K440*O$8)-($K440*N$8)) / O$7)),(N("MIN lets it return 0 or 1 after floored")+1)),1)</f>
        <v>0</v>
      </c>
      <c r="P441" s="798">
        <f t="shared" si="437"/>
        <v>0</v>
      </c>
      <c r="Q441" s="798">
        <f t="shared" si="437"/>
        <v>0</v>
      </c>
      <c r="R441" s="798">
        <f t="shared" si="437"/>
        <v>0</v>
      </c>
      <c r="S441" s="798">
        <f t="shared" si="437"/>
        <v>0</v>
      </c>
      <c r="T441" s="798">
        <f t="shared" si="437"/>
        <v>0</v>
      </c>
      <c r="U441" s="798">
        <f t="shared" si="437"/>
        <v>0</v>
      </c>
      <c r="V441" s="798">
        <f t="shared" si="437"/>
        <v>0</v>
      </c>
      <c r="W441" s="798">
        <f t="shared" si="437"/>
        <v>0</v>
      </c>
      <c r="X441" s="798">
        <f t="shared" si="437"/>
        <v>0</v>
      </c>
      <c r="Y441" s="798">
        <f t="shared" si="437"/>
        <v>0</v>
      </c>
      <c r="Z441" s="798">
        <f t="shared" si="437"/>
        <v>0</v>
      </c>
      <c r="AA441" s="798">
        <f t="shared" si="437"/>
        <v>0</v>
      </c>
      <c r="AB441" s="798">
        <f t="shared" si="437"/>
        <v>0</v>
      </c>
      <c r="AC441" s="798">
        <f t="shared" si="437"/>
        <v>0</v>
      </c>
      <c r="AD441" s="798">
        <f t="shared" si="437"/>
        <v>0</v>
      </c>
      <c r="AE441" s="798">
        <f t="shared" si="437"/>
        <v>0</v>
      </c>
      <c r="AF441" s="798">
        <f t="shared" si="437"/>
        <v>1</v>
      </c>
      <c r="AG441" s="798">
        <f t="shared" si="437"/>
        <v>1</v>
      </c>
      <c r="AH441" s="798">
        <f t="shared" si="437"/>
        <v>1</v>
      </c>
      <c r="AI441" s="798">
        <f t="shared" si="437"/>
        <v>1</v>
      </c>
      <c r="AJ441" s="798">
        <f t="shared" si="437"/>
        <v>1</v>
      </c>
      <c r="AK441" s="798">
        <f t="shared" si="437"/>
        <v>1</v>
      </c>
      <c r="AL441" s="798">
        <f t="shared" si="437"/>
        <v>1</v>
      </c>
      <c r="AM441" s="798">
        <f t="shared" si="437"/>
        <v>1</v>
      </c>
      <c r="AN441" s="798">
        <f t="shared" si="437"/>
        <v>1</v>
      </c>
      <c r="AO441" s="798">
        <f t="shared" si="437"/>
        <v>1</v>
      </c>
      <c r="AP441" s="798">
        <f t="shared" si="437"/>
        <v>1</v>
      </c>
      <c r="AQ441" s="798">
        <f t="shared" si="437"/>
        <v>1</v>
      </c>
      <c r="AR441" s="798">
        <f t="shared" si="437"/>
        <v>1</v>
      </c>
      <c r="AS441" s="798">
        <f t="shared" si="437"/>
        <v>1</v>
      </c>
      <c r="AT441" s="798">
        <f t="shared" si="437"/>
        <v>1</v>
      </c>
      <c r="AU441" s="798">
        <f t="shared" si="437"/>
        <v>1</v>
      </c>
      <c r="AV441" s="798">
        <f t="shared" si="437"/>
        <v>1</v>
      </c>
      <c r="AW441" s="798">
        <f t="shared" si="437"/>
        <v>1</v>
      </c>
      <c r="AX441" s="798">
        <f t="shared" si="437"/>
        <v>1</v>
      </c>
      <c r="AY441" s="798">
        <f t="shared" si="437"/>
        <v>1</v>
      </c>
      <c r="AZ441" s="798">
        <f t="shared" si="437"/>
        <v>1</v>
      </c>
      <c r="BA441" s="798">
        <f t="shared" si="437"/>
        <v>1</v>
      </c>
      <c r="BB441" s="798">
        <f t="shared" si="437"/>
        <v>1</v>
      </c>
      <c r="BC441" s="798">
        <f t="shared" si="437"/>
        <v>1</v>
      </c>
      <c r="BD441" s="798">
        <f t="shared" si="437"/>
        <v>1</v>
      </c>
      <c r="BE441" s="798">
        <f t="shared" si="437"/>
        <v>1</v>
      </c>
      <c r="BF441" s="798">
        <f t="shared" si="437"/>
        <v>1</v>
      </c>
      <c r="BG441" s="798">
        <f t="shared" si="437"/>
        <v>1</v>
      </c>
      <c r="BH441" s="798">
        <f t="shared" si="437"/>
        <v>1</v>
      </c>
      <c r="BI441" s="798">
        <f t="shared" si="437"/>
        <v>1</v>
      </c>
      <c r="BJ441" s="798">
        <f t="shared" si="437"/>
        <v>1</v>
      </c>
      <c r="BK441" s="798">
        <f t="shared" si="437"/>
        <v>1</v>
      </c>
      <c r="BL441" s="765"/>
      <c r="BM441" s="817"/>
      <c r="BN441" s="817"/>
    </row>
    <row r="442" hidden="1">
      <c r="A442" s="765"/>
      <c r="B442" s="765"/>
      <c r="C442" s="765"/>
      <c r="D442" s="765"/>
      <c r="E442" s="765"/>
      <c r="F442" s="765"/>
      <c r="G442" s="765"/>
      <c r="H442" s="765"/>
      <c r="I442" s="765">
        <f t="shared" si="17"/>
        <v>431</v>
      </c>
      <c r="J442" s="763">
        <f t="shared" si="5"/>
        <v>82107252507069</v>
      </c>
      <c r="K442" s="796">
        <f t="shared" si="7"/>
        <v>0.44929</v>
      </c>
      <c r="L442" s="796">
        <v>5.0E-4</v>
      </c>
      <c r="M442" s="763">
        <v>9.36228648883344E13</v>
      </c>
      <c r="N442" s="797">
        <f t="shared" si="8"/>
        <v>0</v>
      </c>
      <c r="O442" s="798">
        <f t="shared" ref="O442:BK442" si="438">FLOOR(MIN((((N("value of ELS upgrade")+N$8*($K442-$K441))*(N("Check checkbox")+(IF($G$6=TRUE,$G$7,$G$8))/$G$8))/(N("ROI of ELS and multiply by 2 if ELS is 1:1")+IF($G$12 = True, 2, 1) * $J442))/((N("difference in ELS+ and the cost of it")+(($K441*O$8)-($K441*N$8)) / O$7)),(N("MIN lets it return 0 or 1 after floored")+1)),1)</f>
        <v>0</v>
      </c>
      <c r="P442" s="798">
        <f t="shared" si="438"/>
        <v>0</v>
      </c>
      <c r="Q442" s="798">
        <f t="shared" si="438"/>
        <v>0</v>
      </c>
      <c r="R442" s="798">
        <f t="shared" si="438"/>
        <v>0</v>
      </c>
      <c r="S442" s="798">
        <f t="shared" si="438"/>
        <v>0</v>
      </c>
      <c r="T442" s="798">
        <f t="shared" si="438"/>
        <v>0</v>
      </c>
      <c r="U442" s="798">
        <f t="shared" si="438"/>
        <v>0</v>
      </c>
      <c r="V442" s="798">
        <f t="shared" si="438"/>
        <v>0</v>
      </c>
      <c r="W442" s="798">
        <f t="shared" si="438"/>
        <v>0</v>
      </c>
      <c r="X442" s="798">
        <f t="shared" si="438"/>
        <v>0</v>
      </c>
      <c r="Y442" s="798">
        <f t="shared" si="438"/>
        <v>0</v>
      </c>
      <c r="Z442" s="798">
        <f t="shared" si="438"/>
        <v>0</v>
      </c>
      <c r="AA442" s="798">
        <f t="shared" si="438"/>
        <v>0</v>
      </c>
      <c r="AB442" s="798">
        <f t="shared" si="438"/>
        <v>0</v>
      </c>
      <c r="AC442" s="798">
        <f t="shared" si="438"/>
        <v>0</v>
      </c>
      <c r="AD442" s="798">
        <f t="shared" si="438"/>
        <v>0</v>
      </c>
      <c r="AE442" s="798">
        <f t="shared" si="438"/>
        <v>0</v>
      </c>
      <c r="AF442" s="798">
        <f t="shared" si="438"/>
        <v>1</v>
      </c>
      <c r="AG442" s="798">
        <f t="shared" si="438"/>
        <v>1</v>
      </c>
      <c r="AH442" s="798">
        <f t="shared" si="438"/>
        <v>1</v>
      </c>
      <c r="AI442" s="798">
        <f t="shared" si="438"/>
        <v>1</v>
      </c>
      <c r="AJ442" s="798">
        <f t="shared" si="438"/>
        <v>1</v>
      </c>
      <c r="AK442" s="798">
        <f t="shared" si="438"/>
        <v>1</v>
      </c>
      <c r="AL442" s="798">
        <f t="shared" si="438"/>
        <v>1</v>
      </c>
      <c r="AM442" s="798">
        <f t="shared" si="438"/>
        <v>1</v>
      </c>
      <c r="AN442" s="798">
        <f t="shared" si="438"/>
        <v>1</v>
      </c>
      <c r="AO442" s="798">
        <f t="shared" si="438"/>
        <v>1</v>
      </c>
      <c r="AP442" s="798">
        <f t="shared" si="438"/>
        <v>1</v>
      </c>
      <c r="AQ442" s="798">
        <f t="shared" si="438"/>
        <v>1</v>
      </c>
      <c r="AR442" s="798">
        <f t="shared" si="438"/>
        <v>1</v>
      </c>
      <c r="AS442" s="798">
        <f t="shared" si="438"/>
        <v>1</v>
      </c>
      <c r="AT442" s="798">
        <f t="shared" si="438"/>
        <v>1</v>
      </c>
      <c r="AU442" s="798">
        <f t="shared" si="438"/>
        <v>1</v>
      </c>
      <c r="AV442" s="798">
        <f t="shared" si="438"/>
        <v>1</v>
      </c>
      <c r="AW442" s="798">
        <f t="shared" si="438"/>
        <v>1</v>
      </c>
      <c r="AX442" s="798">
        <f t="shared" si="438"/>
        <v>1</v>
      </c>
      <c r="AY442" s="798">
        <f t="shared" si="438"/>
        <v>1</v>
      </c>
      <c r="AZ442" s="798">
        <f t="shared" si="438"/>
        <v>1</v>
      </c>
      <c r="BA442" s="798">
        <f t="shared" si="438"/>
        <v>1</v>
      </c>
      <c r="BB442" s="798">
        <f t="shared" si="438"/>
        <v>1</v>
      </c>
      <c r="BC442" s="798">
        <f t="shared" si="438"/>
        <v>1</v>
      </c>
      <c r="BD442" s="798">
        <f t="shared" si="438"/>
        <v>1</v>
      </c>
      <c r="BE442" s="798">
        <f t="shared" si="438"/>
        <v>1</v>
      </c>
      <c r="BF442" s="798">
        <f t="shared" si="438"/>
        <v>1</v>
      </c>
      <c r="BG442" s="798">
        <f t="shared" si="438"/>
        <v>1</v>
      </c>
      <c r="BH442" s="798">
        <f t="shared" si="438"/>
        <v>1</v>
      </c>
      <c r="BI442" s="798">
        <f t="shared" si="438"/>
        <v>1</v>
      </c>
      <c r="BJ442" s="798">
        <f t="shared" si="438"/>
        <v>1</v>
      </c>
      <c r="BK442" s="798">
        <f t="shared" si="438"/>
        <v>1</v>
      </c>
      <c r="BL442" s="765"/>
      <c r="BM442" s="817"/>
      <c r="BN442" s="817"/>
    </row>
    <row r="443" hidden="1">
      <c r="A443" s="765"/>
      <c r="B443" s="765"/>
      <c r="C443" s="765"/>
      <c r="D443" s="765"/>
      <c r="E443" s="765"/>
      <c r="F443" s="765"/>
      <c r="G443" s="765"/>
      <c r="H443" s="765"/>
      <c r="I443" s="765">
        <f t="shared" si="17"/>
        <v>432</v>
      </c>
      <c r="J443" s="763">
        <f t="shared" si="5"/>
        <v>82414007873450</v>
      </c>
      <c r="K443" s="796">
        <f t="shared" si="7"/>
        <v>0.44979</v>
      </c>
      <c r="L443" s="796">
        <v>5.0E-4</v>
      </c>
      <c r="M443" s="763">
        <v>9.39726429571833E13</v>
      </c>
      <c r="N443" s="797">
        <f t="shared" si="8"/>
        <v>0</v>
      </c>
      <c r="O443" s="798">
        <f t="shared" ref="O443:BK443" si="439">FLOOR(MIN((((N("value of ELS upgrade")+N$8*($K443-$K442))*(N("Check checkbox")+(IF($G$6=TRUE,$G$7,$G$8))/$G$8))/(N("ROI of ELS and multiply by 2 if ELS is 1:1")+IF($G$12 = True, 2, 1) * $J443))/((N("difference in ELS+ and the cost of it")+(($K442*O$8)-($K442*N$8)) / O$7)),(N("MIN lets it return 0 or 1 after floored")+1)),1)</f>
        <v>0</v>
      </c>
      <c r="P443" s="798">
        <f t="shared" si="439"/>
        <v>0</v>
      </c>
      <c r="Q443" s="798">
        <f t="shared" si="439"/>
        <v>0</v>
      </c>
      <c r="R443" s="798">
        <f t="shared" si="439"/>
        <v>0</v>
      </c>
      <c r="S443" s="798">
        <f t="shared" si="439"/>
        <v>0</v>
      </c>
      <c r="T443" s="798">
        <f t="shared" si="439"/>
        <v>0</v>
      </c>
      <c r="U443" s="798">
        <f t="shared" si="439"/>
        <v>0</v>
      </c>
      <c r="V443" s="798">
        <f t="shared" si="439"/>
        <v>0</v>
      </c>
      <c r="W443" s="798">
        <f t="shared" si="439"/>
        <v>0</v>
      </c>
      <c r="X443" s="798">
        <f t="shared" si="439"/>
        <v>0</v>
      </c>
      <c r="Y443" s="798">
        <f t="shared" si="439"/>
        <v>0</v>
      </c>
      <c r="Z443" s="798">
        <f t="shared" si="439"/>
        <v>0</v>
      </c>
      <c r="AA443" s="798">
        <f t="shared" si="439"/>
        <v>0</v>
      </c>
      <c r="AB443" s="798">
        <f t="shared" si="439"/>
        <v>0</v>
      </c>
      <c r="AC443" s="798">
        <f t="shared" si="439"/>
        <v>0</v>
      </c>
      <c r="AD443" s="798">
        <f t="shared" si="439"/>
        <v>0</v>
      </c>
      <c r="AE443" s="798">
        <f t="shared" si="439"/>
        <v>0</v>
      </c>
      <c r="AF443" s="798">
        <f t="shared" si="439"/>
        <v>1</v>
      </c>
      <c r="AG443" s="798">
        <f t="shared" si="439"/>
        <v>1</v>
      </c>
      <c r="AH443" s="798">
        <f t="shared" si="439"/>
        <v>1</v>
      </c>
      <c r="AI443" s="798">
        <f t="shared" si="439"/>
        <v>1</v>
      </c>
      <c r="AJ443" s="798">
        <f t="shared" si="439"/>
        <v>1</v>
      </c>
      <c r="AK443" s="798">
        <f t="shared" si="439"/>
        <v>1</v>
      </c>
      <c r="AL443" s="798">
        <f t="shared" si="439"/>
        <v>1</v>
      </c>
      <c r="AM443" s="798">
        <f t="shared" si="439"/>
        <v>1</v>
      </c>
      <c r="AN443" s="798">
        <f t="shared" si="439"/>
        <v>1</v>
      </c>
      <c r="AO443" s="798">
        <f t="shared" si="439"/>
        <v>1</v>
      </c>
      <c r="AP443" s="798">
        <f t="shared" si="439"/>
        <v>1</v>
      </c>
      <c r="AQ443" s="798">
        <f t="shared" si="439"/>
        <v>1</v>
      </c>
      <c r="AR443" s="798">
        <f t="shared" si="439"/>
        <v>1</v>
      </c>
      <c r="AS443" s="798">
        <f t="shared" si="439"/>
        <v>1</v>
      </c>
      <c r="AT443" s="798">
        <f t="shared" si="439"/>
        <v>1</v>
      </c>
      <c r="AU443" s="798">
        <f t="shared" si="439"/>
        <v>1</v>
      </c>
      <c r="AV443" s="798">
        <f t="shared" si="439"/>
        <v>1</v>
      </c>
      <c r="AW443" s="798">
        <f t="shared" si="439"/>
        <v>1</v>
      </c>
      <c r="AX443" s="798">
        <f t="shared" si="439"/>
        <v>1</v>
      </c>
      <c r="AY443" s="798">
        <f t="shared" si="439"/>
        <v>1</v>
      </c>
      <c r="AZ443" s="798">
        <f t="shared" si="439"/>
        <v>1</v>
      </c>
      <c r="BA443" s="798">
        <f t="shared" si="439"/>
        <v>1</v>
      </c>
      <c r="BB443" s="798">
        <f t="shared" si="439"/>
        <v>1</v>
      </c>
      <c r="BC443" s="798">
        <f t="shared" si="439"/>
        <v>1</v>
      </c>
      <c r="BD443" s="798">
        <f t="shared" si="439"/>
        <v>1</v>
      </c>
      <c r="BE443" s="798">
        <f t="shared" si="439"/>
        <v>1</v>
      </c>
      <c r="BF443" s="798">
        <f t="shared" si="439"/>
        <v>1</v>
      </c>
      <c r="BG443" s="798">
        <f t="shared" si="439"/>
        <v>1</v>
      </c>
      <c r="BH443" s="798">
        <f t="shared" si="439"/>
        <v>1</v>
      </c>
      <c r="BI443" s="798">
        <f t="shared" si="439"/>
        <v>1</v>
      </c>
      <c r="BJ443" s="798">
        <f t="shared" si="439"/>
        <v>1</v>
      </c>
      <c r="BK443" s="798">
        <f t="shared" si="439"/>
        <v>1</v>
      </c>
      <c r="BL443" s="765"/>
      <c r="BM443" s="817"/>
      <c r="BN443" s="817"/>
    </row>
    <row r="444" hidden="1">
      <c r="A444" s="765"/>
      <c r="B444" s="765"/>
      <c r="C444" s="765"/>
      <c r="D444" s="765"/>
      <c r="E444" s="765"/>
      <c r="F444" s="765"/>
      <c r="G444" s="765"/>
      <c r="H444" s="765"/>
      <c r="I444" s="765">
        <f t="shared" si="17"/>
        <v>433</v>
      </c>
      <c r="J444" s="763">
        <f t="shared" si="5"/>
        <v>82721707819232</v>
      </c>
      <c r="K444" s="796">
        <f t="shared" si="7"/>
        <v>0.45029</v>
      </c>
      <c r="L444" s="796">
        <v>5.0E-4</v>
      </c>
      <c r="M444" s="763">
        <v>9.43234980835031E13</v>
      </c>
      <c r="N444" s="797">
        <f t="shared" si="8"/>
        <v>0</v>
      </c>
      <c r="O444" s="798">
        <f t="shared" ref="O444:BK444" si="440">FLOOR(MIN((((N("value of ELS upgrade")+N$8*($K444-$K443))*(N("Check checkbox")+(IF($G$6=TRUE,$G$7,$G$8))/$G$8))/(N("ROI of ELS and multiply by 2 if ELS is 1:1")+IF($G$12 = True, 2, 1) * $J444))/((N("difference in ELS+ and the cost of it")+(($K443*O$8)-($K443*N$8)) / O$7)),(N("MIN lets it return 0 or 1 after floored")+1)),1)</f>
        <v>0</v>
      </c>
      <c r="P444" s="798">
        <f t="shared" si="440"/>
        <v>0</v>
      </c>
      <c r="Q444" s="798">
        <f t="shared" si="440"/>
        <v>0</v>
      </c>
      <c r="R444" s="798">
        <f t="shared" si="440"/>
        <v>0</v>
      </c>
      <c r="S444" s="798">
        <f t="shared" si="440"/>
        <v>0</v>
      </c>
      <c r="T444" s="798">
        <f t="shared" si="440"/>
        <v>0</v>
      </c>
      <c r="U444" s="798">
        <f t="shared" si="440"/>
        <v>0</v>
      </c>
      <c r="V444" s="798">
        <f t="shared" si="440"/>
        <v>0</v>
      </c>
      <c r="W444" s="798">
        <f t="shared" si="440"/>
        <v>0</v>
      </c>
      <c r="X444" s="798">
        <f t="shared" si="440"/>
        <v>0</v>
      </c>
      <c r="Y444" s="798">
        <f t="shared" si="440"/>
        <v>0</v>
      </c>
      <c r="Z444" s="798">
        <f t="shared" si="440"/>
        <v>0</v>
      </c>
      <c r="AA444" s="798">
        <f t="shared" si="440"/>
        <v>0</v>
      </c>
      <c r="AB444" s="798">
        <f t="shared" si="440"/>
        <v>0</v>
      </c>
      <c r="AC444" s="798">
        <f t="shared" si="440"/>
        <v>0</v>
      </c>
      <c r="AD444" s="798">
        <f t="shared" si="440"/>
        <v>0</v>
      </c>
      <c r="AE444" s="798">
        <f t="shared" si="440"/>
        <v>0</v>
      </c>
      <c r="AF444" s="798">
        <f t="shared" si="440"/>
        <v>1</v>
      </c>
      <c r="AG444" s="798">
        <f t="shared" si="440"/>
        <v>1</v>
      </c>
      <c r="AH444" s="798">
        <f t="shared" si="440"/>
        <v>1</v>
      </c>
      <c r="AI444" s="798">
        <f t="shared" si="440"/>
        <v>1</v>
      </c>
      <c r="AJ444" s="798">
        <f t="shared" si="440"/>
        <v>1</v>
      </c>
      <c r="AK444" s="798">
        <f t="shared" si="440"/>
        <v>1</v>
      </c>
      <c r="AL444" s="798">
        <f t="shared" si="440"/>
        <v>1</v>
      </c>
      <c r="AM444" s="798">
        <f t="shared" si="440"/>
        <v>1</v>
      </c>
      <c r="AN444" s="798">
        <f t="shared" si="440"/>
        <v>1</v>
      </c>
      <c r="AO444" s="798">
        <f t="shared" si="440"/>
        <v>1</v>
      </c>
      <c r="AP444" s="798">
        <f t="shared" si="440"/>
        <v>1</v>
      </c>
      <c r="AQ444" s="798">
        <f t="shared" si="440"/>
        <v>1</v>
      </c>
      <c r="AR444" s="798">
        <f t="shared" si="440"/>
        <v>1</v>
      </c>
      <c r="AS444" s="798">
        <f t="shared" si="440"/>
        <v>1</v>
      </c>
      <c r="AT444" s="798">
        <f t="shared" si="440"/>
        <v>1</v>
      </c>
      <c r="AU444" s="798">
        <f t="shared" si="440"/>
        <v>1</v>
      </c>
      <c r="AV444" s="798">
        <f t="shared" si="440"/>
        <v>1</v>
      </c>
      <c r="AW444" s="798">
        <f t="shared" si="440"/>
        <v>1</v>
      </c>
      <c r="AX444" s="798">
        <f t="shared" si="440"/>
        <v>1</v>
      </c>
      <c r="AY444" s="798">
        <f t="shared" si="440"/>
        <v>1</v>
      </c>
      <c r="AZ444" s="798">
        <f t="shared" si="440"/>
        <v>1</v>
      </c>
      <c r="BA444" s="798">
        <f t="shared" si="440"/>
        <v>1</v>
      </c>
      <c r="BB444" s="798">
        <f t="shared" si="440"/>
        <v>1</v>
      </c>
      <c r="BC444" s="798">
        <f t="shared" si="440"/>
        <v>1</v>
      </c>
      <c r="BD444" s="798">
        <f t="shared" si="440"/>
        <v>1</v>
      </c>
      <c r="BE444" s="798">
        <f t="shared" si="440"/>
        <v>1</v>
      </c>
      <c r="BF444" s="798">
        <f t="shared" si="440"/>
        <v>1</v>
      </c>
      <c r="BG444" s="798">
        <f t="shared" si="440"/>
        <v>1</v>
      </c>
      <c r="BH444" s="798">
        <f t="shared" si="440"/>
        <v>1</v>
      </c>
      <c r="BI444" s="798">
        <f t="shared" si="440"/>
        <v>1</v>
      </c>
      <c r="BJ444" s="798">
        <f t="shared" si="440"/>
        <v>1</v>
      </c>
      <c r="BK444" s="798">
        <f t="shared" si="440"/>
        <v>1</v>
      </c>
      <c r="BL444" s="765"/>
      <c r="BM444" s="817"/>
      <c r="BN444" s="817"/>
    </row>
    <row r="445" hidden="1">
      <c r="A445" s="765"/>
      <c r="B445" s="765"/>
      <c r="C445" s="765"/>
      <c r="D445" s="765"/>
      <c r="E445" s="765"/>
      <c r="F445" s="765"/>
      <c r="G445" s="765"/>
      <c r="H445" s="765"/>
      <c r="I445" s="765">
        <f t="shared" si="17"/>
        <v>434</v>
      </c>
      <c r="J445" s="763">
        <f t="shared" si="5"/>
        <v>83030358755589</v>
      </c>
      <c r="K445" s="796">
        <f t="shared" si="7"/>
        <v>0.45079</v>
      </c>
      <c r="L445" s="796">
        <v>5.0E-4</v>
      </c>
      <c r="M445" s="763">
        <v>9.46754375776387E13</v>
      </c>
      <c r="N445" s="797">
        <f t="shared" si="8"/>
        <v>0</v>
      </c>
      <c r="O445" s="798">
        <f t="shared" ref="O445:BK445" si="441">FLOOR(MIN((((N("value of ELS upgrade")+N$8*($K445-$K444))*(N("Check checkbox")+(IF($G$6=TRUE,$G$7,$G$8))/$G$8))/(N("ROI of ELS and multiply by 2 if ELS is 1:1")+IF($G$12 = True, 2, 1) * $J445))/((N("difference in ELS+ and the cost of it")+(($K444*O$8)-($K444*N$8)) / O$7)),(N("MIN lets it return 0 or 1 after floored")+1)),1)</f>
        <v>0</v>
      </c>
      <c r="P445" s="798">
        <f t="shared" si="441"/>
        <v>0</v>
      </c>
      <c r="Q445" s="798">
        <f t="shared" si="441"/>
        <v>0</v>
      </c>
      <c r="R445" s="798">
        <f t="shared" si="441"/>
        <v>0</v>
      </c>
      <c r="S445" s="798">
        <f t="shared" si="441"/>
        <v>0</v>
      </c>
      <c r="T445" s="798">
        <f t="shared" si="441"/>
        <v>0</v>
      </c>
      <c r="U445" s="798">
        <f t="shared" si="441"/>
        <v>0</v>
      </c>
      <c r="V445" s="798">
        <f t="shared" si="441"/>
        <v>0</v>
      </c>
      <c r="W445" s="798">
        <f t="shared" si="441"/>
        <v>0</v>
      </c>
      <c r="X445" s="798">
        <f t="shared" si="441"/>
        <v>0</v>
      </c>
      <c r="Y445" s="798">
        <f t="shared" si="441"/>
        <v>0</v>
      </c>
      <c r="Z445" s="798">
        <f t="shared" si="441"/>
        <v>0</v>
      </c>
      <c r="AA445" s="798">
        <f t="shared" si="441"/>
        <v>0</v>
      </c>
      <c r="AB445" s="798">
        <f t="shared" si="441"/>
        <v>0</v>
      </c>
      <c r="AC445" s="798">
        <f t="shared" si="441"/>
        <v>0</v>
      </c>
      <c r="AD445" s="798">
        <f t="shared" si="441"/>
        <v>0</v>
      </c>
      <c r="AE445" s="798">
        <f t="shared" si="441"/>
        <v>0</v>
      </c>
      <c r="AF445" s="798">
        <f t="shared" si="441"/>
        <v>1</v>
      </c>
      <c r="AG445" s="798">
        <f t="shared" si="441"/>
        <v>1</v>
      </c>
      <c r="AH445" s="798">
        <f t="shared" si="441"/>
        <v>1</v>
      </c>
      <c r="AI445" s="798">
        <f t="shared" si="441"/>
        <v>1</v>
      </c>
      <c r="AJ445" s="798">
        <f t="shared" si="441"/>
        <v>1</v>
      </c>
      <c r="AK445" s="798">
        <f t="shared" si="441"/>
        <v>1</v>
      </c>
      <c r="AL445" s="798">
        <f t="shared" si="441"/>
        <v>1</v>
      </c>
      <c r="AM445" s="798">
        <f t="shared" si="441"/>
        <v>1</v>
      </c>
      <c r="AN445" s="798">
        <f t="shared" si="441"/>
        <v>1</v>
      </c>
      <c r="AO445" s="798">
        <f t="shared" si="441"/>
        <v>1</v>
      </c>
      <c r="AP445" s="798">
        <f t="shared" si="441"/>
        <v>1</v>
      </c>
      <c r="AQ445" s="798">
        <f t="shared" si="441"/>
        <v>1</v>
      </c>
      <c r="AR445" s="798">
        <f t="shared" si="441"/>
        <v>1</v>
      </c>
      <c r="AS445" s="798">
        <f t="shared" si="441"/>
        <v>1</v>
      </c>
      <c r="AT445" s="798">
        <f t="shared" si="441"/>
        <v>1</v>
      </c>
      <c r="AU445" s="798">
        <f t="shared" si="441"/>
        <v>1</v>
      </c>
      <c r="AV445" s="798">
        <f t="shared" si="441"/>
        <v>1</v>
      </c>
      <c r="AW445" s="798">
        <f t="shared" si="441"/>
        <v>1</v>
      </c>
      <c r="AX445" s="798">
        <f t="shared" si="441"/>
        <v>1</v>
      </c>
      <c r="AY445" s="798">
        <f t="shared" si="441"/>
        <v>1</v>
      </c>
      <c r="AZ445" s="798">
        <f t="shared" si="441"/>
        <v>1</v>
      </c>
      <c r="BA445" s="798">
        <f t="shared" si="441"/>
        <v>1</v>
      </c>
      <c r="BB445" s="798">
        <f t="shared" si="441"/>
        <v>1</v>
      </c>
      <c r="BC445" s="798">
        <f t="shared" si="441"/>
        <v>1</v>
      </c>
      <c r="BD445" s="798">
        <f t="shared" si="441"/>
        <v>1</v>
      </c>
      <c r="BE445" s="798">
        <f t="shared" si="441"/>
        <v>1</v>
      </c>
      <c r="BF445" s="798">
        <f t="shared" si="441"/>
        <v>1</v>
      </c>
      <c r="BG445" s="798">
        <f t="shared" si="441"/>
        <v>1</v>
      </c>
      <c r="BH445" s="798">
        <f t="shared" si="441"/>
        <v>1</v>
      </c>
      <c r="BI445" s="798">
        <f t="shared" si="441"/>
        <v>1</v>
      </c>
      <c r="BJ445" s="798">
        <f t="shared" si="441"/>
        <v>1</v>
      </c>
      <c r="BK445" s="798">
        <f t="shared" si="441"/>
        <v>1</v>
      </c>
      <c r="BL445" s="765"/>
      <c r="BM445" s="817"/>
      <c r="BN445" s="817"/>
    </row>
    <row r="446" hidden="1">
      <c r="A446" s="765"/>
      <c r="B446" s="765"/>
      <c r="C446" s="765"/>
      <c r="D446" s="765"/>
      <c r="E446" s="765"/>
      <c r="F446" s="765"/>
      <c r="G446" s="765"/>
      <c r="H446" s="765"/>
      <c r="I446" s="765">
        <f t="shared" si="17"/>
        <v>435</v>
      </c>
      <c r="J446" s="763">
        <f t="shared" si="5"/>
        <v>83339962819578</v>
      </c>
      <c r="K446" s="796">
        <f t="shared" si="7"/>
        <v>0.45129</v>
      </c>
      <c r="L446" s="796">
        <v>5.0E-4</v>
      </c>
      <c r="M446" s="763">
        <v>9.50284638763716E13</v>
      </c>
      <c r="N446" s="797">
        <f t="shared" si="8"/>
        <v>0</v>
      </c>
      <c r="O446" s="798">
        <f t="shared" ref="O446:BK446" si="442">FLOOR(MIN((((N("value of ELS upgrade")+N$8*($K446-$K445))*(N("Check checkbox")+(IF($G$6=TRUE,$G$7,$G$8))/$G$8))/(N("ROI of ELS and multiply by 2 if ELS is 1:1")+IF($G$12 = True, 2, 1) * $J446))/((N("difference in ELS+ and the cost of it")+(($K445*O$8)-($K445*N$8)) / O$7)),(N("MIN lets it return 0 or 1 after floored")+1)),1)</f>
        <v>0</v>
      </c>
      <c r="P446" s="798">
        <f t="shared" si="442"/>
        <v>0</v>
      </c>
      <c r="Q446" s="798">
        <f t="shared" si="442"/>
        <v>0</v>
      </c>
      <c r="R446" s="798">
        <f t="shared" si="442"/>
        <v>0</v>
      </c>
      <c r="S446" s="798">
        <f t="shared" si="442"/>
        <v>0</v>
      </c>
      <c r="T446" s="798">
        <f t="shared" si="442"/>
        <v>0</v>
      </c>
      <c r="U446" s="798">
        <f t="shared" si="442"/>
        <v>0</v>
      </c>
      <c r="V446" s="798">
        <f t="shared" si="442"/>
        <v>0</v>
      </c>
      <c r="W446" s="798">
        <f t="shared" si="442"/>
        <v>0</v>
      </c>
      <c r="X446" s="798">
        <f t="shared" si="442"/>
        <v>0</v>
      </c>
      <c r="Y446" s="798">
        <f t="shared" si="442"/>
        <v>0</v>
      </c>
      <c r="Z446" s="798">
        <f t="shared" si="442"/>
        <v>0</v>
      </c>
      <c r="AA446" s="798">
        <f t="shared" si="442"/>
        <v>0</v>
      </c>
      <c r="AB446" s="798">
        <f t="shared" si="442"/>
        <v>0</v>
      </c>
      <c r="AC446" s="798">
        <f t="shared" si="442"/>
        <v>0</v>
      </c>
      <c r="AD446" s="798">
        <f t="shared" si="442"/>
        <v>0</v>
      </c>
      <c r="AE446" s="798">
        <f t="shared" si="442"/>
        <v>0</v>
      </c>
      <c r="AF446" s="798">
        <f t="shared" si="442"/>
        <v>1</v>
      </c>
      <c r="AG446" s="798">
        <f t="shared" si="442"/>
        <v>1</v>
      </c>
      <c r="AH446" s="798">
        <f t="shared" si="442"/>
        <v>1</v>
      </c>
      <c r="AI446" s="798">
        <f t="shared" si="442"/>
        <v>1</v>
      </c>
      <c r="AJ446" s="798">
        <f t="shared" si="442"/>
        <v>1</v>
      </c>
      <c r="AK446" s="798">
        <f t="shared" si="442"/>
        <v>1</v>
      </c>
      <c r="AL446" s="798">
        <f t="shared" si="442"/>
        <v>1</v>
      </c>
      <c r="AM446" s="798">
        <f t="shared" si="442"/>
        <v>1</v>
      </c>
      <c r="AN446" s="798">
        <f t="shared" si="442"/>
        <v>1</v>
      </c>
      <c r="AO446" s="798">
        <f t="shared" si="442"/>
        <v>1</v>
      </c>
      <c r="AP446" s="798">
        <f t="shared" si="442"/>
        <v>1</v>
      </c>
      <c r="AQ446" s="798">
        <f t="shared" si="442"/>
        <v>1</v>
      </c>
      <c r="AR446" s="798">
        <f t="shared" si="442"/>
        <v>1</v>
      </c>
      <c r="AS446" s="798">
        <f t="shared" si="442"/>
        <v>1</v>
      </c>
      <c r="AT446" s="798">
        <f t="shared" si="442"/>
        <v>1</v>
      </c>
      <c r="AU446" s="798">
        <f t="shared" si="442"/>
        <v>1</v>
      </c>
      <c r="AV446" s="798">
        <f t="shared" si="442"/>
        <v>1</v>
      </c>
      <c r="AW446" s="798">
        <f t="shared" si="442"/>
        <v>1</v>
      </c>
      <c r="AX446" s="798">
        <f t="shared" si="442"/>
        <v>1</v>
      </c>
      <c r="AY446" s="798">
        <f t="shared" si="442"/>
        <v>1</v>
      </c>
      <c r="AZ446" s="798">
        <f t="shared" si="442"/>
        <v>1</v>
      </c>
      <c r="BA446" s="798">
        <f t="shared" si="442"/>
        <v>1</v>
      </c>
      <c r="BB446" s="798">
        <f t="shared" si="442"/>
        <v>1</v>
      </c>
      <c r="BC446" s="798">
        <f t="shared" si="442"/>
        <v>1</v>
      </c>
      <c r="BD446" s="798">
        <f t="shared" si="442"/>
        <v>1</v>
      </c>
      <c r="BE446" s="798">
        <f t="shared" si="442"/>
        <v>1</v>
      </c>
      <c r="BF446" s="798">
        <f t="shared" si="442"/>
        <v>1</v>
      </c>
      <c r="BG446" s="798">
        <f t="shared" si="442"/>
        <v>1</v>
      </c>
      <c r="BH446" s="798">
        <f t="shared" si="442"/>
        <v>1</v>
      </c>
      <c r="BI446" s="798">
        <f t="shared" si="442"/>
        <v>1</v>
      </c>
      <c r="BJ446" s="798">
        <f t="shared" si="442"/>
        <v>1</v>
      </c>
      <c r="BK446" s="798">
        <f t="shared" si="442"/>
        <v>1</v>
      </c>
      <c r="BL446" s="765"/>
      <c r="BM446" s="817"/>
      <c r="BN446" s="817"/>
    </row>
    <row r="447" hidden="1">
      <c r="A447" s="765"/>
      <c r="B447" s="765"/>
      <c r="C447" s="765"/>
      <c r="D447" s="765"/>
      <c r="E447" s="765"/>
      <c r="F447" s="765"/>
      <c r="G447" s="765"/>
      <c r="H447" s="765"/>
      <c r="I447" s="765">
        <f t="shared" si="17"/>
        <v>436</v>
      </c>
      <c r="J447" s="763">
        <f t="shared" si="5"/>
        <v>83650522148256</v>
      </c>
      <c r="K447" s="796">
        <f t="shared" si="7"/>
        <v>0.45179</v>
      </c>
      <c r="L447" s="796">
        <v>5.0E-4</v>
      </c>
      <c r="M447" s="763">
        <v>9.53825794164835E13</v>
      </c>
      <c r="N447" s="797">
        <f t="shared" si="8"/>
        <v>0</v>
      </c>
      <c r="O447" s="798">
        <f t="shared" ref="O447:BK447" si="443">FLOOR(MIN((((N("value of ELS upgrade")+N$8*($K447-$K446))*(N("Check checkbox")+(IF($G$6=TRUE,$G$7,$G$8))/$G$8))/(N("ROI of ELS and multiply by 2 if ELS is 1:1")+IF($G$12 = True, 2, 1) * $J447))/((N("difference in ELS+ and the cost of it")+(($K446*O$8)-($K446*N$8)) / O$7)),(N("MIN lets it return 0 or 1 after floored")+1)),1)</f>
        <v>0</v>
      </c>
      <c r="P447" s="798">
        <f t="shared" si="443"/>
        <v>0</v>
      </c>
      <c r="Q447" s="798">
        <f t="shared" si="443"/>
        <v>0</v>
      </c>
      <c r="R447" s="798">
        <f t="shared" si="443"/>
        <v>0</v>
      </c>
      <c r="S447" s="798">
        <f t="shared" si="443"/>
        <v>0</v>
      </c>
      <c r="T447" s="798">
        <f t="shared" si="443"/>
        <v>0</v>
      </c>
      <c r="U447" s="798">
        <f t="shared" si="443"/>
        <v>0</v>
      </c>
      <c r="V447" s="798">
        <f t="shared" si="443"/>
        <v>0</v>
      </c>
      <c r="W447" s="798">
        <f t="shared" si="443"/>
        <v>0</v>
      </c>
      <c r="X447" s="798">
        <f t="shared" si="443"/>
        <v>0</v>
      </c>
      <c r="Y447" s="798">
        <f t="shared" si="443"/>
        <v>0</v>
      </c>
      <c r="Z447" s="798">
        <f t="shared" si="443"/>
        <v>0</v>
      </c>
      <c r="AA447" s="798">
        <f t="shared" si="443"/>
        <v>0</v>
      </c>
      <c r="AB447" s="798">
        <f t="shared" si="443"/>
        <v>0</v>
      </c>
      <c r="AC447" s="798">
        <f t="shared" si="443"/>
        <v>0</v>
      </c>
      <c r="AD447" s="798">
        <f t="shared" si="443"/>
        <v>0</v>
      </c>
      <c r="AE447" s="798">
        <f t="shared" si="443"/>
        <v>0</v>
      </c>
      <c r="AF447" s="798">
        <f t="shared" si="443"/>
        <v>1</v>
      </c>
      <c r="AG447" s="798">
        <f t="shared" si="443"/>
        <v>1</v>
      </c>
      <c r="AH447" s="798">
        <f t="shared" si="443"/>
        <v>1</v>
      </c>
      <c r="AI447" s="798">
        <f t="shared" si="443"/>
        <v>1</v>
      </c>
      <c r="AJ447" s="798">
        <f t="shared" si="443"/>
        <v>1</v>
      </c>
      <c r="AK447" s="798">
        <f t="shared" si="443"/>
        <v>1</v>
      </c>
      <c r="AL447" s="798">
        <f t="shared" si="443"/>
        <v>1</v>
      </c>
      <c r="AM447" s="798">
        <f t="shared" si="443"/>
        <v>1</v>
      </c>
      <c r="AN447" s="798">
        <f t="shared" si="443"/>
        <v>1</v>
      </c>
      <c r="AO447" s="798">
        <f t="shared" si="443"/>
        <v>1</v>
      </c>
      <c r="AP447" s="798">
        <f t="shared" si="443"/>
        <v>1</v>
      </c>
      <c r="AQ447" s="798">
        <f t="shared" si="443"/>
        <v>1</v>
      </c>
      <c r="AR447" s="798">
        <f t="shared" si="443"/>
        <v>1</v>
      </c>
      <c r="AS447" s="798">
        <f t="shared" si="443"/>
        <v>1</v>
      </c>
      <c r="AT447" s="798">
        <f t="shared" si="443"/>
        <v>1</v>
      </c>
      <c r="AU447" s="798">
        <f t="shared" si="443"/>
        <v>1</v>
      </c>
      <c r="AV447" s="798">
        <f t="shared" si="443"/>
        <v>1</v>
      </c>
      <c r="AW447" s="798">
        <f t="shared" si="443"/>
        <v>1</v>
      </c>
      <c r="AX447" s="798">
        <f t="shared" si="443"/>
        <v>1</v>
      </c>
      <c r="AY447" s="798">
        <f t="shared" si="443"/>
        <v>1</v>
      </c>
      <c r="AZ447" s="798">
        <f t="shared" si="443"/>
        <v>1</v>
      </c>
      <c r="BA447" s="798">
        <f t="shared" si="443"/>
        <v>1</v>
      </c>
      <c r="BB447" s="798">
        <f t="shared" si="443"/>
        <v>1</v>
      </c>
      <c r="BC447" s="798">
        <f t="shared" si="443"/>
        <v>1</v>
      </c>
      <c r="BD447" s="798">
        <f t="shared" si="443"/>
        <v>1</v>
      </c>
      <c r="BE447" s="798">
        <f t="shared" si="443"/>
        <v>1</v>
      </c>
      <c r="BF447" s="798">
        <f t="shared" si="443"/>
        <v>1</v>
      </c>
      <c r="BG447" s="798">
        <f t="shared" si="443"/>
        <v>1</v>
      </c>
      <c r="BH447" s="798">
        <f t="shared" si="443"/>
        <v>1</v>
      </c>
      <c r="BI447" s="798">
        <f t="shared" si="443"/>
        <v>1</v>
      </c>
      <c r="BJ447" s="798">
        <f t="shared" si="443"/>
        <v>1</v>
      </c>
      <c r="BK447" s="798">
        <f t="shared" si="443"/>
        <v>1</v>
      </c>
      <c r="BL447" s="765"/>
      <c r="BM447" s="817"/>
      <c r="BN447" s="817"/>
    </row>
    <row r="448" hidden="1">
      <c r="A448" s="765"/>
      <c r="B448" s="765"/>
      <c r="C448" s="765"/>
      <c r="D448" s="765"/>
      <c r="E448" s="765"/>
      <c r="F448" s="765"/>
      <c r="G448" s="765"/>
      <c r="H448" s="765"/>
      <c r="I448" s="765">
        <f t="shared" si="17"/>
        <v>437</v>
      </c>
      <c r="J448" s="763">
        <f t="shared" si="5"/>
        <v>83962041015738</v>
      </c>
      <c r="K448" s="796">
        <f t="shared" si="7"/>
        <v>0.45229</v>
      </c>
      <c r="L448" s="796">
        <v>5.0E-4</v>
      </c>
      <c r="M448" s="763">
        <v>9.57377890715375E13</v>
      </c>
      <c r="N448" s="797">
        <f t="shared" si="8"/>
        <v>0</v>
      </c>
      <c r="O448" s="798">
        <f t="shared" ref="O448:BK448" si="444">FLOOR(MIN((((N("value of ELS upgrade")+N$8*($K448-$K447))*(N("Check checkbox")+(IF($G$6=TRUE,$G$7,$G$8))/$G$8))/(N("ROI of ELS and multiply by 2 if ELS is 1:1")+IF($G$12 = True, 2, 1) * $J448))/((N("difference in ELS+ and the cost of it")+(($K447*O$8)-($K447*N$8)) / O$7)),(N("MIN lets it return 0 or 1 after floored")+1)),1)</f>
        <v>0</v>
      </c>
      <c r="P448" s="798">
        <f t="shared" si="444"/>
        <v>0</v>
      </c>
      <c r="Q448" s="798">
        <f t="shared" si="444"/>
        <v>0</v>
      </c>
      <c r="R448" s="798">
        <f t="shared" si="444"/>
        <v>0</v>
      </c>
      <c r="S448" s="798">
        <f t="shared" si="444"/>
        <v>0</v>
      </c>
      <c r="T448" s="798">
        <f t="shared" si="444"/>
        <v>0</v>
      </c>
      <c r="U448" s="798">
        <f t="shared" si="444"/>
        <v>0</v>
      </c>
      <c r="V448" s="798">
        <f t="shared" si="444"/>
        <v>0</v>
      </c>
      <c r="W448" s="798">
        <f t="shared" si="444"/>
        <v>0</v>
      </c>
      <c r="X448" s="798">
        <f t="shared" si="444"/>
        <v>0</v>
      </c>
      <c r="Y448" s="798">
        <f t="shared" si="444"/>
        <v>0</v>
      </c>
      <c r="Z448" s="798">
        <f t="shared" si="444"/>
        <v>0</v>
      </c>
      <c r="AA448" s="798">
        <f t="shared" si="444"/>
        <v>0</v>
      </c>
      <c r="AB448" s="798">
        <f t="shared" si="444"/>
        <v>0</v>
      </c>
      <c r="AC448" s="798">
        <f t="shared" si="444"/>
        <v>0</v>
      </c>
      <c r="AD448" s="798">
        <f t="shared" si="444"/>
        <v>0</v>
      </c>
      <c r="AE448" s="798">
        <f t="shared" si="444"/>
        <v>0</v>
      </c>
      <c r="AF448" s="798">
        <f t="shared" si="444"/>
        <v>1</v>
      </c>
      <c r="AG448" s="798">
        <f t="shared" si="444"/>
        <v>1</v>
      </c>
      <c r="AH448" s="798">
        <f t="shared" si="444"/>
        <v>1</v>
      </c>
      <c r="AI448" s="798">
        <f t="shared" si="444"/>
        <v>1</v>
      </c>
      <c r="AJ448" s="798">
        <f t="shared" si="444"/>
        <v>1</v>
      </c>
      <c r="AK448" s="798">
        <f t="shared" si="444"/>
        <v>1</v>
      </c>
      <c r="AL448" s="798">
        <f t="shared" si="444"/>
        <v>1</v>
      </c>
      <c r="AM448" s="798">
        <f t="shared" si="444"/>
        <v>1</v>
      </c>
      <c r="AN448" s="798">
        <f t="shared" si="444"/>
        <v>1</v>
      </c>
      <c r="AO448" s="798">
        <f t="shared" si="444"/>
        <v>1</v>
      </c>
      <c r="AP448" s="798">
        <f t="shared" si="444"/>
        <v>1</v>
      </c>
      <c r="AQ448" s="798">
        <f t="shared" si="444"/>
        <v>1</v>
      </c>
      <c r="AR448" s="798">
        <f t="shared" si="444"/>
        <v>1</v>
      </c>
      <c r="AS448" s="798">
        <f t="shared" si="444"/>
        <v>1</v>
      </c>
      <c r="AT448" s="798">
        <f t="shared" si="444"/>
        <v>1</v>
      </c>
      <c r="AU448" s="798">
        <f t="shared" si="444"/>
        <v>1</v>
      </c>
      <c r="AV448" s="798">
        <f t="shared" si="444"/>
        <v>1</v>
      </c>
      <c r="AW448" s="798">
        <f t="shared" si="444"/>
        <v>1</v>
      </c>
      <c r="AX448" s="798">
        <f t="shared" si="444"/>
        <v>1</v>
      </c>
      <c r="AY448" s="798">
        <f t="shared" si="444"/>
        <v>1</v>
      </c>
      <c r="AZ448" s="798">
        <f t="shared" si="444"/>
        <v>1</v>
      </c>
      <c r="BA448" s="798">
        <f t="shared" si="444"/>
        <v>1</v>
      </c>
      <c r="BB448" s="798">
        <f t="shared" si="444"/>
        <v>1</v>
      </c>
      <c r="BC448" s="798">
        <f t="shared" si="444"/>
        <v>1</v>
      </c>
      <c r="BD448" s="798">
        <f t="shared" si="444"/>
        <v>1</v>
      </c>
      <c r="BE448" s="798">
        <f t="shared" si="444"/>
        <v>1</v>
      </c>
      <c r="BF448" s="798">
        <f t="shared" si="444"/>
        <v>1</v>
      </c>
      <c r="BG448" s="798">
        <f t="shared" si="444"/>
        <v>1</v>
      </c>
      <c r="BH448" s="798">
        <f t="shared" si="444"/>
        <v>1</v>
      </c>
      <c r="BI448" s="798">
        <f t="shared" si="444"/>
        <v>1</v>
      </c>
      <c r="BJ448" s="798">
        <f t="shared" si="444"/>
        <v>1</v>
      </c>
      <c r="BK448" s="798">
        <f t="shared" si="444"/>
        <v>1</v>
      </c>
      <c r="BL448" s="765"/>
      <c r="BM448" s="817"/>
      <c r="BN448" s="817"/>
    </row>
    <row r="449" hidden="1">
      <c r="A449" s="765"/>
      <c r="B449" s="765"/>
      <c r="C449" s="765"/>
      <c r="D449" s="765"/>
      <c r="E449" s="765"/>
      <c r="F449" s="765"/>
      <c r="G449" s="765"/>
      <c r="H449" s="765"/>
      <c r="I449" s="765">
        <f t="shared" si="17"/>
        <v>438</v>
      </c>
      <c r="J449" s="763">
        <f t="shared" si="5"/>
        <v>84274521559083</v>
      </c>
      <c r="K449" s="796">
        <f t="shared" si="7"/>
        <v>0.45279</v>
      </c>
      <c r="L449" s="796">
        <v>5.0E-4</v>
      </c>
      <c r="M449" s="763">
        <v>9.60940952783153E13</v>
      </c>
      <c r="N449" s="797">
        <f t="shared" si="8"/>
        <v>0</v>
      </c>
      <c r="O449" s="798">
        <f t="shared" ref="O449:BK449" si="445">FLOOR(MIN((((N("value of ELS upgrade")+N$8*($K449-$K448))*(N("Check checkbox")+(IF($G$6=TRUE,$G$7,$G$8))/$G$8))/(N("ROI of ELS and multiply by 2 if ELS is 1:1")+IF($G$12 = True, 2, 1) * $J449))/((N("difference in ELS+ and the cost of it")+(($K448*O$8)-($K448*N$8)) / O$7)),(N("MIN lets it return 0 or 1 after floored")+1)),1)</f>
        <v>0</v>
      </c>
      <c r="P449" s="798">
        <f t="shared" si="445"/>
        <v>0</v>
      </c>
      <c r="Q449" s="798">
        <f t="shared" si="445"/>
        <v>0</v>
      </c>
      <c r="R449" s="798">
        <f t="shared" si="445"/>
        <v>0</v>
      </c>
      <c r="S449" s="798">
        <f t="shared" si="445"/>
        <v>0</v>
      </c>
      <c r="T449" s="798">
        <f t="shared" si="445"/>
        <v>0</v>
      </c>
      <c r="U449" s="798">
        <f t="shared" si="445"/>
        <v>0</v>
      </c>
      <c r="V449" s="798">
        <f t="shared" si="445"/>
        <v>0</v>
      </c>
      <c r="W449" s="798">
        <f t="shared" si="445"/>
        <v>0</v>
      </c>
      <c r="X449" s="798">
        <f t="shared" si="445"/>
        <v>0</v>
      </c>
      <c r="Y449" s="798">
        <f t="shared" si="445"/>
        <v>0</v>
      </c>
      <c r="Z449" s="798">
        <f t="shared" si="445"/>
        <v>0</v>
      </c>
      <c r="AA449" s="798">
        <f t="shared" si="445"/>
        <v>0</v>
      </c>
      <c r="AB449" s="798">
        <f t="shared" si="445"/>
        <v>0</v>
      </c>
      <c r="AC449" s="798">
        <f t="shared" si="445"/>
        <v>0</v>
      </c>
      <c r="AD449" s="798">
        <f t="shared" si="445"/>
        <v>0</v>
      </c>
      <c r="AE449" s="798">
        <f t="shared" si="445"/>
        <v>0</v>
      </c>
      <c r="AF449" s="798">
        <f t="shared" si="445"/>
        <v>1</v>
      </c>
      <c r="AG449" s="798">
        <f t="shared" si="445"/>
        <v>1</v>
      </c>
      <c r="AH449" s="798">
        <f t="shared" si="445"/>
        <v>1</v>
      </c>
      <c r="AI449" s="798">
        <f t="shared" si="445"/>
        <v>1</v>
      </c>
      <c r="AJ449" s="798">
        <f t="shared" si="445"/>
        <v>1</v>
      </c>
      <c r="AK449" s="798">
        <f t="shared" si="445"/>
        <v>1</v>
      </c>
      <c r="AL449" s="798">
        <f t="shared" si="445"/>
        <v>1</v>
      </c>
      <c r="AM449" s="798">
        <f t="shared" si="445"/>
        <v>1</v>
      </c>
      <c r="AN449" s="798">
        <f t="shared" si="445"/>
        <v>1</v>
      </c>
      <c r="AO449" s="798">
        <f t="shared" si="445"/>
        <v>1</v>
      </c>
      <c r="AP449" s="798">
        <f t="shared" si="445"/>
        <v>1</v>
      </c>
      <c r="AQ449" s="798">
        <f t="shared" si="445"/>
        <v>1</v>
      </c>
      <c r="AR449" s="798">
        <f t="shared" si="445"/>
        <v>1</v>
      </c>
      <c r="AS449" s="798">
        <f t="shared" si="445"/>
        <v>1</v>
      </c>
      <c r="AT449" s="798">
        <f t="shared" si="445"/>
        <v>1</v>
      </c>
      <c r="AU449" s="798">
        <f t="shared" si="445"/>
        <v>1</v>
      </c>
      <c r="AV449" s="798">
        <f t="shared" si="445"/>
        <v>1</v>
      </c>
      <c r="AW449" s="798">
        <f t="shared" si="445"/>
        <v>1</v>
      </c>
      <c r="AX449" s="798">
        <f t="shared" si="445"/>
        <v>1</v>
      </c>
      <c r="AY449" s="798">
        <f t="shared" si="445"/>
        <v>1</v>
      </c>
      <c r="AZ449" s="798">
        <f t="shared" si="445"/>
        <v>1</v>
      </c>
      <c r="BA449" s="798">
        <f t="shared" si="445"/>
        <v>1</v>
      </c>
      <c r="BB449" s="798">
        <f t="shared" si="445"/>
        <v>1</v>
      </c>
      <c r="BC449" s="798">
        <f t="shared" si="445"/>
        <v>1</v>
      </c>
      <c r="BD449" s="798">
        <f t="shared" si="445"/>
        <v>1</v>
      </c>
      <c r="BE449" s="798">
        <f t="shared" si="445"/>
        <v>1</v>
      </c>
      <c r="BF449" s="798">
        <f t="shared" si="445"/>
        <v>1</v>
      </c>
      <c r="BG449" s="798">
        <f t="shared" si="445"/>
        <v>1</v>
      </c>
      <c r="BH449" s="798">
        <f t="shared" si="445"/>
        <v>1</v>
      </c>
      <c r="BI449" s="798">
        <f t="shared" si="445"/>
        <v>1</v>
      </c>
      <c r="BJ449" s="798">
        <f t="shared" si="445"/>
        <v>1</v>
      </c>
      <c r="BK449" s="798">
        <f t="shared" si="445"/>
        <v>1</v>
      </c>
      <c r="BL449" s="765"/>
      <c r="BM449" s="817"/>
      <c r="BN449" s="817"/>
    </row>
    <row r="450" hidden="1">
      <c r="A450" s="765"/>
      <c r="B450" s="765"/>
      <c r="C450" s="765"/>
      <c r="D450" s="765"/>
      <c r="E450" s="765"/>
      <c r="F450" s="765"/>
      <c r="G450" s="765"/>
      <c r="H450" s="765"/>
      <c r="I450" s="765">
        <f t="shared" si="17"/>
        <v>439</v>
      </c>
      <c r="J450" s="763">
        <f t="shared" si="5"/>
        <v>84587965915346</v>
      </c>
      <c r="K450" s="796">
        <f t="shared" si="7"/>
        <v>0.45329</v>
      </c>
      <c r="L450" s="796">
        <v>5.0E-4</v>
      </c>
      <c r="M450" s="763">
        <v>9.64515004735985E13</v>
      </c>
      <c r="N450" s="797">
        <f t="shared" si="8"/>
        <v>0</v>
      </c>
      <c r="O450" s="798">
        <f t="shared" ref="O450:BK450" si="446">FLOOR(MIN((((N("value of ELS upgrade")+N$8*($K450-$K449))*(N("Check checkbox")+(IF($G$6=TRUE,$G$7,$G$8))/$G$8))/(N("ROI of ELS and multiply by 2 if ELS is 1:1")+IF($G$12 = True, 2, 1) * $J450))/((N("difference in ELS+ and the cost of it")+(($K449*O$8)-($K449*N$8)) / O$7)),(N("MIN lets it return 0 or 1 after floored")+1)),1)</f>
        <v>0</v>
      </c>
      <c r="P450" s="798">
        <f t="shared" si="446"/>
        <v>0</v>
      </c>
      <c r="Q450" s="798">
        <f t="shared" si="446"/>
        <v>0</v>
      </c>
      <c r="R450" s="798">
        <f t="shared" si="446"/>
        <v>0</v>
      </c>
      <c r="S450" s="798">
        <f t="shared" si="446"/>
        <v>0</v>
      </c>
      <c r="T450" s="798">
        <f t="shared" si="446"/>
        <v>0</v>
      </c>
      <c r="U450" s="798">
        <f t="shared" si="446"/>
        <v>0</v>
      </c>
      <c r="V450" s="798">
        <f t="shared" si="446"/>
        <v>0</v>
      </c>
      <c r="W450" s="798">
        <f t="shared" si="446"/>
        <v>0</v>
      </c>
      <c r="X450" s="798">
        <f t="shared" si="446"/>
        <v>0</v>
      </c>
      <c r="Y450" s="798">
        <f t="shared" si="446"/>
        <v>0</v>
      </c>
      <c r="Z450" s="798">
        <f t="shared" si="446"/>
        <v>0</v>
      </c>
      <c r="AA450" s="798">
        <f t="shared" si="446"/>
        <v>0</v>
      </c>
      <c r="AB450" s="798">
        <f t="shared" si="446"/>
        <v>0</v>
      </c>
      <c r="AC450" s="798">
        <f t="shared" si="446"/>
        <v>0</v>
      </c>
      <c r="AD450" s="798">
        <f t="shared" si="446"/>
        <v>0</v>
      </c>
      <c r="AE450" s="798">
        <f t="shared" si="446"/>
        <v>0</v>
      </c>
      <c r="AF450" s="798">
        <f t="shared" si="446"/>
        <v>1</v>
      </c>
      <c r="AG450" s="798">
        <f t="shared" si="446"/>
        <v>1</v>
      </c>
      <c r="AH450" s="798">
        <f t="shared" si="446"/>
        <v>1</v>
      </c>
      <c r="AI450" s="798">
        <f t="shared" si="446"/>
        <v>1</v>
      </c>
      <c r="AJ450" s="798">
        <f t="shared" si="446"/>
        <v>1</v>
      </c>
      <c r="AK450" s="798">
        <f t="shared" si="446"/>
        <v>1</v>
      </c>
      <c r="AL450" s="798">
        <f t="shared" si="446"/>
        <v>1</v>
      </c>
      <c r="AM450" s="798">
        <f t="shared" si="446"/>
        <v>1</v>
      </c>
      <c r="AN450" s="798">
        <f t="shared" si="446"/>
        <v>1</v>
      </c>
      <c r="AO450" s="798">
        <f t="shared" si="446"/>
        <v>1</v>
      </c>
      <c r="AP450" s="798">
        <f t="shared" si="446"/>
        <v>1</v>
      </c>
      <c r="AQ450" s="798">
        <f t="shared" si="446"/>
        <v>1</v>
      </c>
      <c r="AR450" s="798">
        <f t="shared" si="446"/>
        <v>1</v>
      </c>
      <c r="AS450" s="798">
        <f t="shared" si="446"/>
        <v>1</v>
      </c>
      <c r="AT450" s="798">
        <f t="shared" si="446"/>
        <v>1</v>
      </c>
      <c r="AU450" s="798">
        <f t="shared" si="446"/>
        <v>1</v>
      </c>
      <c r="AV450" s="798">
        <f t="shared" si="446"/>
        <v>1</v>
      </c>
      <c r="AW450" s="798">
        <f t="shared" si="446"/>
        <v>1</v>
      </c>
      <c r="AX450" s="798">
        <f t="shared" si="446"/>
        <v>1</v>
      </c>
      <c r="AY450" s="798">
        <f t="shared" si="446"/>
        <v>1</v>
      </c>
      <c r="AZ450" s="798">
        <f t="shared" si="446"/>
        <v>1</v>
      </c>
      <c r="BA450" s="798">
        <f t="shared" si="446"/>
        <v>1</v>
      </c>
      <c r="BB450" s="798">
        <f t="shared" si="446"/>
        <v>1</v>
      </c>
      <c r="BC450" s="798">
        <f t="shared" si="446"/>
        <v>1</v>
      </c>
      <c r="BD450" s="798">
        <f t="shared" si="446"/>
        <v>1</v>
      </c>
      <c r="BE450" s="798">
        <f t="shared" si="446"/>
        <v>1</v>
      </c>
      <c r="BF450" s="798">
        <f t="shared" si="446"/>
        <v>1</v>
      </c>
      <c r="BG450" s="798">
        <f t="shared" si="446"/>
        <v>1</v>
      </c>
      <c r="BH450" s="798">
        <f t="shared" si="446"/>
        <v>1</v>
      </c>
      <c r="BI450" s="798">
        <f t="shared" si="446"/>
        <v>1</v>
      </c>
      <c r="BJ450" s="798">
        <f t="shared" si="446"/>
        <v>1</v>
      </c>
      <c r="BK450" s="798">
        <f t="shared" si="446"/>
        <v>1</v>
      </c>
      <c r="BL450" s="765"/>
      <c r="BM450" s="817"/>
      <c r="BN450" s="817"/>
    </row>
    <row r="451" hidden="1">
      <c r="A451" s="765"/>
      <c r="B451" s="765"/>
      <c r="C451" s="765"/>
      <c r="D451" s="765"/>
      <c r="E451" s="765"/>
      <c r="F451" s="765"/>
      <c r="G451" s="765"/>
      <c r="H451" s="765"/>
      <c r="I451" s="765">
        <f t="shared" si="17"/>
        <v>440</v>
      </c>
      <c r="J451" s="763">
        <f t="shared" si="5"/>
        <v>84902378358643</v>
      </c>
      <c r="K451" s="796">
        <f t="shared" si="7"/>
        <v>0.45379</v>
      </c>
      <c r="L451" s="796">
        <v>5.0E-4</v>
      </c>
      <c r="M451" s="763">
        <v>9.68100095309502E13</v>
      </c>
      <c r="N451" s="797">
        <f t="shared" si="8"/>
        <v>0</v>
      </c>
      <c r="O451" s="798">
        <f t="shared" ref="O451:BK451" si="447">FLOOR(MIN((((N("value of ELS upgrade")+N$8*($K451-$K450))*(N("Check checkbox")+(IF($G$6=TRUE,$G$7,$G$8))/$G$8))/(N("ROI of ELS and multiply by 2 if ELS is 1:1")+IF($G$12 = True, 2, 1) * $J451))/((N("difference in ELS+ and the cost of it")+(($K450*O$8)-($K450*N$8)) / O$7)),(N("MIN lets it return 0 or 1 after floored")+1)),1)</f>
        <v>0</v>
      </c>
      <c r="P451" s="798">
        <f t="shared" si="447"/>
        <v>0</v>
      </c>
      <c r="Q451" s="798">
        <f t="shared" si="447"/>
        <v>0</v>
      </c>
      <c r="R451" s="798">
        <f t="shared" si="447"/>
        <v>0</v>
      </c>
      <c r="S451" s="798">
        <f t="shared" si="447"/>
        <v>0</v>
      </c>
      <c r="T451" s="798">
        <f t="shared" si="447"/>
        <v>0</v>
      </c>
      <c r="U451" s="798">
        <f t="shared" si="447"/>
        <v>0</v>
      </c>
      <c r="V451" s="798">
        <f t="shared" si="447"/>
        <v>0</v>
      </c>
      <c r="W451" s="798">
        <f t="shared" si="447"/>
        <v>0</v>
      </c>
      <c r="X451" s="798">
        <f t="shared" si="447"/>
        <v>0</v>
      </c>
      <c r="Y451" s="798">
        <f t="shared" si="447"/>
        <v>0</v>
      </c>
      <c r="Z451" s="798">
        <f t="shared" si="447"/>
        <v>0</v>
      </c>
      <c r="AA451" s="798">
        <f t="shared" si="447"/>
        <v>0</v>
      </c>
      <c r="AB451" s="798">
        <f t="shared" si="447"/>
        <v>0</v>
      </c>
      <c r="AC451" s="798">
        <f t="shared" si="447"/>
        <v>0</v>
      </c>
      <c r="AD451" s="798">
        <f t="shared" si="447"/>
        <v>0</v>
      </c>
      <c r="AE451" s="798">
        <f t="shared" si="447"/>
        <v>0</v>
      </c>
      <c r="AF451" s="798">
        <f t="shared" si="447"/>
        <v>1</v>
      </c>
      <c r="AG451" s="798">
        <f t="shared" si="447"/>
        <v>1</v>
      </c>
      <c r="AH451" s="798">
        <f t="shared" si="447"/>
        <v>1</v>
      </c>
      <c r="AI451" s="798">
        <f t="shared" si="447"/>
        <v>1</v>
      </c>
      <c r="AJ451" s="798">
        <f t="shared" si="447"/>
        <v>1</v>
      </c>
      <c r="AK451" s="798">
        <f t="shared" si="447"/>
        <v>1</v>
      </c>
      <c r="AL451" s="798">
        <f t="shared" si="447"/>
        <v>1</v>
      </c>
      <c r="AM451" s="798">
        <f t="shared" si="447"/>
        <v>1</v>
      </c>
      <c r="AN451" s="798">
        <f t="shared" si="447"/>
        <v>1</v>
      </c>
      <c r="AO451" s="798">
        <f t="shared" si="447"/>
        <v>1</v>
      </c>
      <c r="AP451" s="798">
        <f t="shared" si="447"/>
        <v>1</v>
      </c>
      <c r="AQ451" s="798">
        <f t="shared" si="447"/>
        <v>1</v>
      </c>
      <c r="AR451" s="798">
        <f t="shared" si="447"/>
        <v>1</v>
      </c>
      <c r="AS451" s="798">
        <f t="shared" si="447"/>
        <v>1</v>
      </c>
      <c r="AT451" s="798">
        <f t="shared" si="447"/>
        <v>1</v>
      </c>
      <c r="AU451" s="798">
        <f t="shared" si="447"/>
        <v>1</v>
      </c>
      <c r="AV451" s="798">
        <f t="shared" si="447"/>
        <v>1</v>
      </c>
      <c r="AW451" s="798">
        <f t="shared" si="447"/>
        <v>1</v>
      </c>
      <c r="AX451" s="798">
        <f t="shared" si="447"/>
        <v>1</v>
      </c>
      <c r="AY451" s="798">
        <f t="shared" si="447"/>
        <v>1</v>
      </c>
      <c r="AZ451" s="798">
        <f t="shared" si="447"/>
        <v>1</v>
      </c>
      <c r="BA451" s="798">
        <f t="shared" si="447"/>
        <v>1</v>
      </c>
      <c r="BB451" s="798">
        <f t="shared" si="447"/>
        <v>1</v>
      </c>
      <c r="BC451" s="798">
        <f t="shared" si="447"/>
        <v>1</v>
      </c>
      <c r="BD451" s="798">
        <f t="shared" si="447"/>
        <v>1</v>
      </c>
      <c r="BE451" s="798">
        <f t="shared" si="447"/>
        <v>1</v>
      </c>
      <c r="BF451" s="798">
        <f t="shared" si="447"/>
        <v>1</v>
      </c>
      <c r="BG451" s="798">
        <f t="shared" si="447"/>
        <v>1</v>
      </c>
      <c r="BH451" s="798">
        <f t="shared" si="447"/>
        <v>1</v>
      </c>
      <c r="BI451" s="798">
        <f t="shared" si="447"/>
        <v>1</v>
      </c>
      <c r="BJ451" s="798">
        <f t="shared" si="447"/>
        <v>1</v>
      </c>
      <c r="BK451" s="798">
        <f t="shared" si="447"/>
        <v>1</v>
      </c>
      <c r="BL451" s="765"/>
      <c r="BM451" s="817"/>
      <c r="BN451" s="817"/>
    </row>
    <row r="452" hidden="1">
      <c r="A452" s="765"/>
      <c r="B452" s="765"/>
      <c r="C452" s="765"/>
      <c r="D452" s="765"/>
      <c r="E452" s="765"/>
      <c r="F452" s="765"/>
      <c r="G452" s="765"/>
      <c r="H452" s="765"/>
      <c r="I452" s="765">
        <f t="shared" si="17"/>
        <v>441</v>
      </c>
      <c r="J452" s="763">
        <f t="shared" si="5"/>
        <v>255653283078098</v>
      </c>
      <c r="K452" s="796">
        <f t="shared" si="7"/>
        <v>0.45429</v>
      </c>
      <c r="L452" s="796">
        <v>5.0E-4</v>
      </c>
      <c r="M452" s="763">
        <v>2.91508874661457E14</v>
      </c>
      <c r="N452" s="797">
        <f t="shared" si="8"/>
        <v>0</v>
      </c>
      <c r="O452" s="798">
        <f t="shared" ref="O452:BK452" si="448">FLOOR(MIN((((N("value of ELS upgrade")+N$8*($K452-$K451))*(N("Check checkbox")+(IF($G$6=TRUE,$G$7,$G$8))/$G$8))/(N("ROI of ELS and multiply by 2 if ELS is 1:1")+IF($G$12 = True, 2, 1) * $J452))/((N("difference in ELS+ and the cost of it")+(($K451*O$8)-($K451*N$8)) / O$7)),(N("MIN lets it return 0 or 1 after floored")+1)),1)</f>
        <v>0</v>
      </c>
      <c r="P452" s="798">
        <f t="shared" si="448"/>
        <v>0</v>
      </c>
      <c r="Q452" s="798">
        <f t="shared" si="448"/>
        <v>0</v>
      </c>
      <c r="R452" s="798">
        <f t="shared" si="448"/>
        <v>0</v>
      </c>
      <c r="S452" s="798">
        <f t="shared" si="448"/>
        <v>0</v>
      </c>
      <c r="T452" s="798">
        <f t="shared" si="448"/>
        <v>0</v>
      </c>
      <c r="U452" s="798">
        <f t="shared" si="448"/>
        <v>0</v>
      </c>
      <c r="V452" s="798">
        <f t="shared" si="448"/>
        <v>0</v>
      </c>
      <c r="W452" s="798">
        <f t="shared" si="448"/>
        <v>0</v>
      </c>
      <c r="X452" s="798">
        <f t="shared" si="448"/>
        <v>0</v>
      </c>
      <c r="Y452" s="798">
        <f t="shared" si="448"/>
        <v>0</v>
      </c>
      <c r="Z452" s="798">
        <f t="shared" si="448"/>
        <v>0</v>
      </c>
      <c r="AA452" s="798">
        <f t="shared" si="448"/>
        <v>0</v>
      </c>
      <c r="AB452" s="798">
        <f t="shared" si="448"/>
        <v>0</v>
      </c>
      <c r="AC452" s="798">
        <f t="shared" si="448"/>
        <v>0</v>
      </c>
      <c r="AD452" s="798">
        <f t="shared" si="448"/>
        <v>0</v>
      </c>
      <c r="AE452" s="798">
        <f t="shared" si="448"/>
        <v>0</v>
      </c>
      <c r="AF452" s="798">
        <f t="shared" si="448"/>
        <v>0</v>
      </c>
      <c r="AG452" s="798">
        <f t="shared" si="448"/>
        <v>0</v>
      </c>
      <c r="AH452" s="798">
        <f t="shared" si="448"/>
        <v>1</v>
      </c>
      <c r="AI452" s="798">
        <f t="shared" si="448"/>
        <v>1</v>
      </c>
      <c r="AJ452" s="798">
        <f t="shared" si="448"/>
        <v>1</v>
      </c>
      <c r="AK452" s="798">
        <f t="shared" si="448"/>
        <v>1</v>
      </c>
      <c r="AL452" s="798">
        <f t="shared" si="448"/>
        <v>1</v>
      </c>
      <c r="AM452" s="798">
        <f t="shared" si="448"/>
        <v>1</v>
      </c>
      <c r="AN452" s="798">
        <f t="shared" si="448"/>
        <v>1</v>
      </c>
      <c r="AO452" s="798">
        <f t="shared" si="448"/>
        <v>1</v>
      </c>
      <c r="AP452" s="798">
        <f t="shared" si="448"/>
        <v>1</v>
      </c>
      <c r="AQ452" s="798">
        <f t="shared" si="448"/>
        <v>1</v>
      </c>
      <c r="AR452" s="798">
        <f t="shared" si="448"/>
        <v>1</v>
      </c>
      <c r="AS452" s="798">
        <f t="shared" si="448"/>
        <v>1</v>
      </c>
      <c r="AT452" s="798">
        <f t="shared" si="448"/>
        <v>1</v>
      </c>
      <c r="AU452" s="798">
        <f t="shared" si="448"/>
        <v>1</v>
      </c>
      <c r="AV452" s="798">
        <f t="shared" si="448"/>
        <v>1</v>
      </c>
      <c r="AW452" s="798">
        <f t="shared" si="448"/>
        <v>1</v>
      </c>
      <c r="AX452" s="798">
        <f t="shared" si="448"/>
        <v>1</v>
      </c>
      <c r="AY452" s="798">
        <f t="shared" si="448"/>
        <v>1</v>
      </c>
      <c r="AZ452" s="798">
        <f t="shared" si="448"/>
        <v>1</v>
      </c>
      <c r="BA452" s="798">
        <f t="shared" si="448"/>
        <v>1</v>
      </c>
      <c r="BB452" s="798">
        <f t="shared" si="448"/>
        <v>1</v>
      </c>
      <c r="BC452" s="798">
        <f t="shared" si="448"/>
        <v>1</v>
      </c>
      <c r="BD452" s="798">
        <f t="shared" si="448"/>
        <v>1</v>
      </c>
      <c r="BE452" s="798">
        <f t="shared" si="448"/>
        <v>1</v>
      </c>
      <c r="BF452" s="798">
        <f t="shared" si="448"/>
        <v>1</v>
      </c>
      <c r="BG452" s="798">
        <f t="shared" si="448"/>
        <v>1</v>
      </c>
      <c r="BH452" s="798">
        <f t="shared" si="448"/>
        <v>1</v>
      </c>
      <c r="BI452" s="798">
        <f t="shared" si="448"/>
        <v>1</v>
      </c>
      <c r="BJ452" s="798">
        <f t="shared" si="448"/>
        <v>1</v>
      </c>
      <c r="BK452" s="798">
        <f t="shared" si="448"/>
        <v>1</v>
      </c>
      <c r="BL452" s="765"/>
      <c r="BM452" s="817"/>
      <c r="BN452" s="817"/>
    </row>
    <row r="453" hidden="1">
      <c r="A453" s="765"/>
      <c r="B453" s="765"/>
      <c r="C453" s="765"/>
      <c r="D453" s="765"/>
      <c r="E453" s="765"/>
      <c r="F453" s="765"/>
      <c r="G453" s="765"/>
      <c r="H453" s="765"/>
      <c r="I453" s="765">
        <f t="shared" si="17"/>
        <v>442</v>
      </c>
      <c r="J453" s="763">
        <f t="shared" si="5"/>
        <v>256602354574885</v>
      </c>
      <c r="K453" s="796">
        <f t="shared" si="7"/>
        <v>0.45479</v>
      </c>
      <c r="L453" s="796">
        <v>5.0E-4</v>
      </c>
      <c r="M453" s="763">
        <v>2.92591054247303E14</v>
      </c>
      <c r="N453" s="797">
        <f t="shared" si="8"/>
        <v>0</v>
      </c>
      <c r="O453" s="798">
        <f t="shared" ref="O453:BK453" si="449">FLOOR(MIN((((N("value of ELS upgrade")+N$8*($K453-$K452))*(N("Check checkbox")+(IF($G$6=TRUE,$G$7,$G$8))/$G$8))/(N("ROI of ELS and multiply by 2 if ELS is 1:1")+IF($G$12 = True, 2, 1) * $J453))/((N("difference in ELS+ and the cost of it")+(($K452*O$8)-($K452*N$8)) / O$7)),(N("MIN lets it return 0 or 1 after floored")+1)),1)</f>
        <v>0</v>
      </c>
      <c r="P453" s="798">
        <f t="shared" si="449"/>
        <v>0</v>
      </c>
      <c r="Q453" s="798">
        <f t="shared" si="449"/>
        <v>0</v>
      </c>
      <c r="R453" s="798">
        <f t="shared" si="449"/>
        <v>0</v>
      </c>
      <c r="S453" s="798">
        <f t="shared" si="449"/>
        <v>0</v>
      </c>
      <c r="T453" s="798">
        <f t="shared" si="449"/>
        <v>0</v>
      </c>
      <c r="U453" s="798">
        <f t="shared" si="449"/>
        <v>0</v>
      </c>
      <c r="V453" s="798">
        <f t="shared" si="449"/>
        <v>0</v>
      </c>
      <c r="W453" s="798">
        <f t="shared" si="449"/>
        <v>0</v>
      </c>
      <c r="X453" s="798">
        <f t="shared" si="449"/>
        <v>0</v>
      </c>
      <c r="Y453" s="798">
        <f t="shared" si="449"/>
        <v>0</v>
      </c>
      <c r="Z453" s="798">
        <f t="shared" si="449"/>
        <v>0</v>
      </c>
      <c r="AA453" s="798">
        <f t="shared" si="449"/>
        <v>0</v>
      </c>
      <c r="AB453" s="798">
        <f t="shared" si="449"/>
        <v>0</v>
      </c>
      <c r="AC453" s="798">
        <f t="shared" si="449"/>
        <v>0</v>
      </c>
      <c r="AD453" s="798">
        <f t="shared" si="449"/>
        <v>0</v>
      </c>
      <c r="AE453" s="798">
        <f t="shared" si="449"/>
        <v>0</v>
      </c>
      <c r="AF453" s="798">
        <f t="shared" si="449"/>
        <v>0</v>
      </c>
      <c r="AG453" s="798">
        <f t="shared" si="449"/>
        <v>0</v>
      </c>
      <c r="AH453" s="798">
        <f t="shared" si="449"/>
        <v>1</v>
      </c>
      <c r="AI453" s="798">
        <f t="shared" si="449"/>
        <v>1</v>
      </c>
      <c r="AJ453" s="798">
        <f t="shared" si="449"/>
        <v>1</v>
      </c>
      <c r="AK453" s="798">
        <f t="shared" si="449"/>
        <v>1</v>
      </c>
      <c r="AL453" s="798">
        <f t="shared" si="449"/>
        <v>1</v>
      </c>
      <c r="AM453" s="798">
        <f t="shared" si="449"/>
        <v>1</v>
      </c>
      <c r="AN453" s="798">
        <f t="shared" si="449"/>
        <v>1</v>
      </c>
      <c r="AO453" s="798">
        <f t="shared" si="449"/>
        <v>1</v>
      </c>
      <c r="AP453" s="798">
        <f t="shared" si="449"/>
        <v>1</v>
      </c>
      <c r="AQ453" s="798">
        <f t="shared" si="449"/>
        <v>1</v>
      </c>
      <c r="AR453" s="798">
        <f t="shared" si="449"/>
        <v>1</v>
      </c>
      <c r="AS453" s="798">
        <f t="shared" si="449"/>
        <v>1</v>
      </c>
      <c r="AT453" s="798">
        <f t="shared" si="449"/>
        <v>1</v>
      </c>
      <c r="AU453" s="798">
        <f t="shared" si="449"/>
        <v>1</v>
      </c>
      <c r="AV453" s="798">
        <f t="shared" si="449"/>
        <v>1</v>
      </c>
      <c r="AW453" s="798">
        <f t="shared" si="449"/>
        <v>1</v>
      </c>
      <c r="AX453" s="798">
        <f t="shared" si="449"/>
        <v>1</v>
      </c>
      <c r="AY453" s="798">
        <f t="shared" si="449"/>
        <v>1</v>
      </c>
      <c r="AZ453" s="798">
        <f t="shared" si="449"/>
        <v>1</v>
      </c>
      <c r="BA453" s="798">
        <f t="shared" si="449"/>
        <v>1</v>
      </c>
      <c r="BB453" s="798">
        <f t="shared" si="449"/>
        <v>1</v>
      </c>
      <c r="BC453" s="798">
        <f t="shared" si="449"/>
        <v>1</v>
      </c>
      <c r="BD453" s="798">
        <f t="shared" si="449"/>
        <v>1</v>
      </c>
      <c r="BE453" s="798">
        <f t="shared" si="449"/>
        <v>1</v>
      </c>
      <c r="BF453" s="798">
        <f t="shared" si="449"/>
        <v>1</v>
      </c>
      <c r="BG453" s="798">
        <f t="shared" si="449"/>
        <v>1</v>
      </c>
      <c r="BH453" s="798">
        <f t="shared" si="449"/>
        <v>1</v>
      </c>
      <c r="BI453" s="798">
        <f t="shared" si="449"/>
        <v>1</v>
      </c>
      <c r="BJ453" s="798">
        <f t="shared" si="449"/>
        <v>1</v>
      </c>
      <c r="BK453" s="798">
        <f t="shared" si="449"/>
        <v>1</v>
      </c>
      <c r="BL453" s="765"/>
      <c r="BM453" s="817"/>
      <c r="BN453" s="817"/>
    </row>
    <row r="454" hidden="1">
      <c r="A454" s="765"/>
      <c r="B454" s="765"/>
      <c r="C454" s="765"/>
      <c r="D454" s="765"/>
      <c r="E454" s="765"/>
      <c r="F454" s="765"/>
      <c r="G454" s="765"/>
      <c r="H454" s="765"/>
      <c r="I454" s="765">
        <f t="shared" si="17"/>
        <v>443</v>
      </c>
      <c r="J454" s="763">
        <f t="shared" si="5"/>
        <v>257554355977464</v>
      </c>
      <c r="K454" s="796">
        <f t="shared" si="7"/>
        <v>0.45529</v>
      </c>
      <c r="L454" s="796">
        <v>5.0E-4</v>
      </c>
      <c r="M454" s="763">
        <v>2.93676574660734E14</v>
      </c>
      <c r="N454" s="797">
        <f t="shared" si="8"/>
        <v>0</v>
      </c>
      <c r="O454" s="798">
        <f t="shared" ref="O454:BK454" si="450">FLOOR(MIN((((N("value of ELS upgrade")+N$8*($K454-$K453))*(N("Check checkbox")+(IF($G$6=TRUE,$G$7,$G$8))/$G$8))/(N("ROI of ELS and multiply by 2 if ELS is 1:1")+IF($G$12 = True, 2, 1) * $J454))/((N("difference in ELS+ and the cost of it")+(($K453*O$8)-($K453*N$8)) / O$7)),(N("MIN lets it return 0 or 1 after floored")+1)),1)</f>
        <v>0</v>
      </c>
      <c r="P454" s="798">
        <f t="shared" si="450"/>
        <v>0</v>
      </c>
      <c r="Q454" s="798">
        <f t="shared" si="450"/>
        <v>0</v>
      </c>
      <c r="R454" s="798">
        <f t="shared" si="450"/>
        <v>0</v>
      </c>
      <c r="S454" s="798">
        <f t="shared" si="450"/>
        <v>0</v>
      </c>
      <c r="T454" s="798">
        <f t="shared" si="450"/>
        <v>0</v>
      </c>
      <c r="U454" s="798">
        <f t="shared" si="450"/>
        <v>0</v>
      </c>
      <c r="V454" s="798">
        <f t="shared" si="450"/>
        <v>0</v>
      </c>
      <c r="W454" s="798">
        <f t="shared" si="450"/>
        <v>0</v>
      </c>
      <c r="X454" s="798">
        <f t="shared" si="450"/>
        <v>0</v>
      </c>
      <c r="Y454" s="798">
        <f t="shared" si="450"/>
        <v>0</v>
      </c>
      <c r="Z454" s="798">
        <f t="shared" si="450"/>
        <v>0</v>
      </c>
      <c r="AA454" s="798">
        <f t="shared" si="450"/>
        <v>0</v>
      </c>
      <c r="AB454" s="798">
        <f t="shared" si="450"/>
        <v>0</v>
      </c>
      <c r="AC454" s="798">
        <f t="shared" si="450"/>
        <v>0</v>
      </c>
      <c r="AD454" s="798">
        <f t="shared" si="450"/>
        <v>0</v>
      </c>
      <c r="AE454" s="798">
        <f t="shared" si="450"/>
        <v>0</v>
      </c>
      <c r="AF454" s="798">
        <f t="shared" si="450"/>
        <v>0</v>
      </c>
      <c r="AG454" s="798">
        <f t="shared" si="450"/>
        <v>0</v>
      </c>
      <c r="AH454" s="798">
        <f t="shared" si="450"/>
        <v>1</v>
      </c>
      <c r="AI454" s="798">
        <f t="shared" si="450"/>
        <v>1</v>
      </c>
      <c r="AJ454" s="798">
        <f t="shared" si="450"/>
        <v>1</v>
      </c>
      <c r="AK454" s="798">
        <f t="shared" si="450"/>
        <v>1</v>
      </c>
      <c r="AL454" s="798">
        <f t="shared" si="450"/>
        <v>1</v>
      </c>
      <c r="AM454" s="798">
        <f t="shared" si="450"/>
        <v>1</v>
      </c>
      <c r="AN454" s="798">
        <f t="shared" si="450"/>
        <v>1</v>
      </c>
      <c r="AO454" s="798">
        <f t="shared" si="450"/>
        <v>1</v>
      </c>
      <c r="AP454" s="798">
        <f t="shared" si="450"/>
        <v>1</v>
      </c>
      <c r="AQ454" s="798">
        <f t="shared" si="450"/>
        <v>1</v>
      </c>
      <c r="AR454" s="798">
        <f t="shared" si="450"/>
        <v>1</v>
      </c>
      <c r="AS454" s="798">
        <f t="shared" si="450"/>
        <v>1</v>
      </c>
      <c r="AT454" s="798">
        <f t="shared" si="450"/>
        <v>1</v>
      </c>
      <c r="AU454" s="798">
        <f t="shared" si="450"/>
        <v>1</v>
      </c>
      <c r="AV454" s="798">
        <f t="shared" si="450"/>
        <v>1</v>
      </c>
      <c r="AW454" s="798">
        <f t="shared" si="450"/>
        <v>1</v>
      </c>
      <c r="AX454" s="798">
        <f t="shared" si="450"/>
        <v>1</v>
      </c>
      <c r="AY454" s="798">
        <f t="shared" si="450"/>
        <v>1</v>
      </c>
      <c r="AZ454" s="798">
        <f t="shared" si="450"/>
        <v>1</v>
      </c>
      <c r="BA454" s="798">
        <f t="shared" si="450"/>
        <v>1</v>
      </c>
      <c r="BB454" s="798">
        <f t="shared" si="450"/>
        <v>1</v>
      </c>
      <c r="BC454" s="798">
        <f t="shared" si="450"/>
        <v>1</v>
      </c>
      <c r="BD454" s="798">
        <f t="shared" si="450"/>
        <v>1</v>
      </c>
      <c r="BE454" s="798">
        <f t="shared" si="450"/>
        <v>1</v>
      </c>
      <c r="BF454" s="798">
        <f t="shared" si="450"/>
        <v>1</v>
      </c>
      <c r="BG454" s="798">
        <f t="shared" si="450"/>
        <v>1</v>
      </c>
      <c r="BH454" s="798">
        <f t="shared" si="450"/>
        <v>1</v>
      </c>
      <c r="BI454" s="798">
        <f t="shared" si="450"/>
        <v>1</v>
      </c>
      <c r="BJ454" s="798">
        <f t="shared" si="450"/>
        <v>1</v>
      </c>
      <c r="BK454" s="798">
        <f t="shared" si="450"/>
        <v>1</v>
      </c>
      <c r="BL454" s="765"/>
      <c r="BM454" s="817"/>
      <c r="BN454" s="817"/>
    </row>
    <row r="455" hidden="1">
      <c r="A455" s="765"/>
      <c r="B455" s="765"/>
      <c r="C455" s="765"/>
      <c r="D455" s="765"/>
      <c r="E455" s="765"/>
      <c r="F455" s="765"/>
      <c r="G455" s="765"/>
      <c r="H455" s="765"/>
      <c r="I455" s="765">
        <f t="shared" si="17"/>
        <v>444</v>
      </c>
      <c r="J455" s="763">
        <f t="shared" si="5"/>
        <v>258509293697007</v>
      </c>
      <c r="K455" s="796">
        <f t="shared" si="7"/>
        <v>0.45579</v>
      </c>
      <c r="L455" s="796">
        <v>5.0E-4</v>
      </c>
      <c r="M455" s="763">
        <v>2.94765443212095E14</v>
      </c>
      <c r="N455" s="797">
        <f t="shared" si="8"/>
        <v>0</v>
      </c>
      <c r="O455" s="798">
        <f t="shared" ref="O455:BK455" si="451">FLOOR(MIN((((N("value of ELS upgrade")+N$8*($K455-$K454))*(N("Check checkbox")+(IF($G$6=TRUE,$G$7,$G$8))/$G$8))/(N("ROI of ELS and multiply by 2 if ELS is 1:1")+IF($G$12 = True, 2, 1) * $J455))/((N("difference in ELS+ and the cost of it")+(($K454*O$8)-($K454*N$8)) / O$7)),(N("MIN lets it return 0 or 1 after floored")+1)),1)</f>
        <v>0</v>
      </c>
      <c r="P455" s="798">
        <f t="shared" si="451"/>
        <v>0</v>
      </c>
      <c r="Q455" s="798">
        <f t="shared" si="451"/>
        <v>0</v>
      </c>
      <c r="R455" s="798">
        <f t="shared" si="451"/>
        <v>0</v>
      </c>
      <c r="S455" s="798">
        <f t="shared" si="451"/>
        <v>0</v>
      </c>
      <c r="T455" s="798">
        <f t="shared" si="451"/>
        <v>0</v>
      </c>
      <c r="U455" s="798">
        <f t="shared" si="451"/>
        <v>0</v>
      </c>
      <c r="V455" s="798">
        <f t="shared" si="451"/>
        <v>0</v>
      </c>
      <c r="W455" s="798">
        <f t="shared" si="451"/>
        <v>0</v>
      </c>
      <c r="X455" s="798">
        <f t="shared" si="451"/>
        <v>0</v>
      </c>
      <c r="Y455" s="798">
        <f t="shared" si="451"/>
        <v>0</v>
      </c>
      <c r="Z455" s="798">
        <f t="shared" si="451"/>
        <v>0</v>
      </c>
      <c r="AA455" s="798">
        <f t="shared" si="451"/>
        <v>0</v>
      </c>
      <c r="AB455" s="798">
        <f t="shared" si="451"/>
        <v>0</v>
      </c>
      <c r="AC455" s="798">
        <f t="shared" si="451"/>
        <v>0</v>
      </c>
      <c r="AD455" s="798">
        <f t="shared" si="451"/>
        <v>0</v>
      </c>
      <c r="AE455" s="798">
        <f t="shared" si="451"/>
        <v>0</v>
      </c>
      <c r="AF455" s="798">
        <f t="shared" si="451"/>
        <v>0</v>
      </c>
      <c r="AG455" s="798">
        <f t="shared" si="451"/>
        <v>0</v>
      </c>
      <c r="AH455" s="798">
        <f t="shared" si="451"/>
        <v>1</v>
      </c>
      <c r="AI455" s="798">
        <f t="shared" si="451"/>
        <v>1</v>
      </c>
      <c r="AJ455" s="798">
        <f t="shared" si="451"/>
        <v>1</v>
      </c>
      <c r="AK455" s="798">
        <f t="shared" si="451"/>
        <v>1</v>
      </c>
      <c r="AL455" s="798">
        <f t="shared" si="451"/>
        <v>1</v>
      </c>
      <c r="AM455" s="798">
        <f t="shared" si="451"/>
        <v>1</v>
      </c>
      <c r="AN455" s="798">
        <f t="shared" si="451"/>
        <v>1</v>
      </c>
      <c r="AO455" s="798">
        <f t="shared" si="451"/>
        <v>1</v>
      </c>
      <c r="AP455" s="798">
        <f t="shared" si="451"/>
        <v>1</v>
      </c>
      <c r="AQ455" s="798">
        <f t="shared" si="451"/>
        <v>1</v>
      </c>
      <c r="AR455" s="798">
        <f t="shared" si="451"/>
        <v>1</v>
      </c>
      <c r="AS455" s="798">
        <f t="shared" si="451"/>
        <v>1</v>
      </c>
      <c r="AT455" s="798">
        <f t="shared" si="451"/>
        <v>1</v>
      </c>
      <c r="AU455" s="798">
        <f t="shared" si="451"/>
        <v>1</v>
      </c>
      <c r="AV455" s="798">
        <f t="shared" si="451"/>
        <v>1</v>
      </c>
      <c r="AW455" s="798">
        <f t="shared" si="451"/>
        <v>1</v>
      </c>
      <c r="AX455" s="798">
        <f t="shared" si="451"/>
        <v>1</v>
      </c>
      <c r="AY455" s="798">
        <f t="shared" si="451"/>
        <v>1</v>
      </c>
      <c r="AZ455" s="798">
        <f t="shared" si="451"/>
        <v>1</v>
      </c>
      <c r="BA455" s="798">
        <f t="shared" si="451"/>
        <v>1</v>
      </c>
      <c r="BB455" s="798">
        <f t="shared" si="451"/>
        <v>1</v>
      </c>
      <c r="BC455" s="798">
        <f t="shared" si="451"/>
        <v>1</v>
      </c>
      <c r="BD455" s="798">
        <f t="shared" si="451"/>
        <v>1</v>
      </c>
      <c r="BE455" s="798">
        <f t="shared" si="451"/>
        <v>1</v>
      </c>
      <c r="BF455" s="798">
        <f t="shared" si="451"/>
        <v>1</v>
      </c>
      <c r="BG455" s="798">
        <f t="shared" si="451"/>
        <v>1</v>
      </c>
      <c r="BH455" s="798">
        <f t="shared" si="451"/>
        <v>1</v>
      </c>
      <c r="BI455" s="798">
        <f t="shared" si="451"/>
        <v>1</v>
      </c>
      <c r="BJ455" s="798">
        <f t="shared" si="451"/>
        <v>1</v>
      </c>
      <c r="BK455" s="798">
        <f t="shared" si="451"/>
        <v>1</v>
      </c>
      <c r="BL455" s="765"/>
      <c r="BM455" s="817"/>
      <c r="BN455" s="817"/>
    </row>
    <row r="456" hidden="1">
      <c r="A456" s="765"/>
      <c r="B456" s="765"/>
      <c r="C456" s="765"/>
      <c r="D456" s="765"/>
      <c r="E456" s="765"/>
      <c r="F456" s="765"/>
      <c r="G456" s="765"/>
      <c r="H456" s="765"/>
      <c r="I456" s="765">
        <f t="shared" si="17"/>
        <v>445</v>
      </c>
      <c r="J456" s="763">
        <f t="shared" si="5"/>
        <v>259467180555861</v>
      </c>
      <c r="K456" s="796">
        <f t="shared" si="7"/>
        <v>0.45629</v>
      </c>
      <c r="L456" s="796">
        <v>5.0E-4</v>
      </c>
      <c r="M456" s="763">
        <v>2.95857674522076E14</v>
      </c>
      <c r="N456" s="797">
        <f t="shared" si="8"/>
        <v>0</v>
      </c>
      <c r="O456" s="798">
        <f t="shared" ref="O456:BK456" si="452">FLOOR(MIN((((N("value of ELS upgrade")+N$8*($K456-$K455))*(N("Check checkbox")+(IF($G$6=TRUE,$G$7,$G$8))/$G$8))/(N("ROI of ELS and multiply by 2 if ELS is 1:1")+IF($G$12 = True, 2, 1) * $J456))/((N("difference in ELS+ and the cost of it")+(($K455*O$8)-($K455*N$8)) / O$7)),(N("MIN lets it return 0 or 1 after floored")+1)),1)</f>
        <v>0</v>
      </c>
      <c r="P456" s="798">
        <f t="shared" si="452"/>
        <v>0</v>
      </c>
      <c r="Q456" s="798">
        <f t="shared" si="452"/>
        <v>0</v>
      </c>
      <c r="R456" s="798">
        <f t="shared" si="452"/>
        <v>0</v>
      </c>
      <c r="S456" s="798">
        <f t="shared" si="452"/>
        <v>0</v>
      </c>
      <c r="T456" s="798">
        <f t="shared" si="452"/>
        <v>0</v>
      </c>
      <c r="U456" s="798">
        <f t="shared" si="452"/>
        <v>0</v>
      </c>
      <c r="V456" s="798">
        <f t="shared" si="452"/>
        <v>0</v>
      </c>
      <c r="W456" s="798">
        <f t="shared" si="452"/>
        <v>0</v>
      </c>
      <c r="X456" s="798">
        <f t="shared" si="452"/>
        <v>0</v>
      </c>
      <c r="Y456" s="798">
        <f t="shared" si="452"/>
        <v>0</v>
      </c>
      <c r="Z456" s="798">
        <f t="shared" si="452"/>
        <v>0</v>
      </c>
      <c r="AA456" s="798">
        <f t="shared" si="452"/>
        <v>0</v>
      </c>
      <c r="AB456" s="798">
        <f t="shared" si="452"/>
        <v>0</v>
      </c>
      <c r="AC456" s="798">
        <f t="shared" si="452"/>
        <v>0</v>
      </c>
      <c r="AD456" s="798">
        <f t="shared" si="452"/>
        <v>0</v>
      </c>
      <c r="AE456" s="798">
        <f t="shared" si="452"/>
        <v>0</v>
      </c>
      <c r="AF456" s="798">
        <f t="shared" si="452"/>
        <v>0</v>
      </c>
      <c r="AG456" s="798">
        <f t="shared" si="452"/>
        <v>0</v>
      </c>
      <c r="AH456" s="798">
        <f t="shared" si="452"/>
        <v>1</v>
      </c>
      <c r="AI456" s="798">
        <f t="shared" si="452"/>
        <v>1</v>
      </c>
      <c r="AJ456" s="798">
        <f t="shared" si="452"/>
        <v>1</v>
      </c>
      <c r="AK456" s="798">
        <f t="shared" si="452"/>
        <v>1</v>
      </c>
      <c r="AL456" s="798">
        <f t="shared" si="452"/>
        <v>1</v>
      </c>
      <c r="AM456" s="798">
        <f t="shared" si="452"/>
        <v>1</v>
      </c>
      <c r="AN456" s="798">
        <f t="shared" si="452"/>
        <v>1</v>
      </c>
      <c r="AO456" s="798">
        <f t="shared" si="452"/>
        <v>1</v>
      </c>
      <c r="AP456" s="798">
        <f t="shared" si="452"/>
        <v>1</v>
      </c>
      <c r="AQ456" s="798">
        <f t="shared" si="452"/>
        <v>1</v>
      </c>
      <c r="AR456" s="798">
        <f t="shared" si="452"/>
        <v>1</v>
      </c>
      <c r="AS456" s="798">
        <f t="shared" si="452"/>
        <v>1</v>
      </c>
      <c r="AT456" s="798">
        <f t="shared" si="452"/>
        <v>1</v>
      </c>
      <c r="AU456" s="798">
        <f t="shared" si="452"/>
        <v>1</v>
      </c>
      <c r="AV456" s="798">
        <f t="shared" si="452"/>
        <v>1</v>
      </c>
      <c r="AW456" s="798">
        <f t="shared" si="452"/>
        <v>1</v>
      </c>
      <c r="AX456" s="798">
        <f t="shared" si="452"/>
        <v>1</v>
      </c>
      <c r="AY456" s="798">
        <f t="shared" si="452"/>
        <v>1</v>
      </c>
      <c r="AZ456" s="798">
        <f t="shared" si="452"/>
        <v>1</v>
      </c>
      <c r="BA456" s="798">
        <f t="shared" si="452"/>
        <v>1</v>
      </c>
      <c r="BB456" s="798">
        <f t="shared" si="452"/>
        <v>1</v>
      </c>
      <c r="BC456" s="798">
        <f t="shared" si="452"/>
        <v>1</v>
      </c>
      <c r="BD456" s="798">
        <f t="shared" si="452"/>
        <v>1</v>
      </c>
      <c r="BE456" s="798">
        <f t="shared" si="452"/>
        <v>1</v>
      </c>
      <c r="BF456" s="798">
        <f t="shared" si="452"/>
        <v>1</v>
      </c>
      <c r="BG456" s="798">
        <f t="shared" si="452"/>
        <v>1</v>
      </c>
      <c r="BH456" s="798">
        <f t="shared" si="452"/>
        <v>1</v>
      </c>
      <c r="BI456" s="798">
        <f t="shared" si="452"/>
        <v>1</v>
      </c>
      <c r="BJ456" s="798">
        <f t="shared" si="452"/>
        <v>1</v>
      </c>
      <c r="BK456" s="798">
        <f t="shared" si="452"/>
        <v>1</v>
      </c>
      <c r="BL456" s="765"/>
      <c r="BM456" s="817"/>
      <c r="BN456" s="817"/>
    </row>
    <row r="457" hidden="1">
      <c r="A457" s="765"/>
      <c r="B457" s="765"/>
      <c r="C457" s="765"/>
      <c r="D457" s="765"/>
      <c r="E457" s="765"/>
      <c r="F457" s="765"/>
      <c r="G457" s="765"/>
      <c r="H457" s="765"/>
      <c r="I457" s="765">
        <f t="shared" si="17"/>
        <v>446</v>
      </c>
      <c r="J457" s="763">
        <f t="shared" si="5"/>
        <v>260428022965195</v>
      </c>
      <c r="K457" s="796">
        <f t="shared" si="7"/>
        <v>0.45679</v>
      </c>
      <c r="L457" s="796">
        <v>5.0E-4</v>
      </c>
      <c r="M457" s="763">
        <v>2.96953275901021E14</v>
      </c>
      <c r="N457" s="797">
        <f t="shared" si="8"/>
        <v>0</v>
      </c>
      <c r="O457" s="798">
        <f t="shared" ref="O457:BK457" si="453">FLOOR(MIN((((N("value of ELS upgrade")+N$8*($K457-$K456))*(N("Check checkbox")+(IF($G$6=TRUE,$G$7,$G$8))/$G$8))/(N("ROI of ELS and multiply by 2 if ELS is 1:1")+IF($G$12 = True, 2, 1) * $J457))/((N("difference in ELS+ and the cost of it")+(($K456*O$8)-($K456*N$8)) / O$7)),(N("MIN lets it return 0 or 1 after floored")+1)),1)</f>
        <v>0</v>
      </c>
      <c r="P457" s="798">
        <f t="shared" si="453"/>
        <v>0</v>
      </c>
      <c r="Q457" s="798">
        <f t="shared" si="453"/>
        <v>0</v>
      </c>
      <c r="R457" s="798">
        <f t="shared" si="453"/>
        <v>0</v>
      </c>
      <c r="S457" s="798">
        <f t="shared" si="453"/>
        <v>0</v>
      </c>
      <c r="T457" s="798">
        <f t="shared" si="453"/>
        <v>0</v>
      </c>
      <c r="U457" s="798">
        <f t="shared" si="453"/>
        <v>0</v>
      </c>
      <c r="V457" s="798">
        <f t="shared" si="453"/>
        <v>0</v>
      </c>
      <c r="W457" s="798">
        <f t="shared" si="453"/>
        <v>0</v>
      </c>
      <c r="X457" s="798">
        <f t="shared" si="453"/>
        <v>0</v>
      </c>
      <c r="Y457" s="798">
        <f t="shared" si="453"/>
        <v>0</v>
      </c>
      <c r="Z457" s="798">
        <f t="shared" si="453"/>
        <v>0</v>
      </c>
      <c r="AA457" s="798">
        <f t="shared" si="453"/>
        <v>0</v>
      </c>
      <c r="AB457" s="798">
        <f t="shared" si="453"/>
        <v>0</v>
      </c>
      <c r="AC457" s="798">
        <f t="shared" si="453"/>
        <v>0</v>
      </c>
      <c r="AD457" s="798">
        <f t="shared" si="453"/>
        <v>0</v>
      </c>
      <c r="AE457" s="798">
        <f t="shared" si="453"/>
        <v>0</v>
      </c>
      <c r="AF457" s="798">
        <f t="shared" si="453"/>
        <v>0</v>
      </c>
      <c r="AG457" s="798">
        <f t="shared" si="453"/>
        <v>0</v>
      </c>
      <c r="AH457" s="798">
        <f t="shared" si="453"/>
        <v>1</v>
      </c>
      <c r="AI457" s="798">
        <f t="shared" si="453"/>
        <v>1</v>
      </c>
      <c r="AJ457" s="798">
        <f t="shared" si="453"/>
        <v>1</v>
      </c>
      <c r="AK457" s="798">
        <f t="shared" si="453"/>
        <v>1</v>
      </c>
      <c r="AL457" s="798">
        <f t="shared" si="453"/>
        <v>1</v>
      </c>
      <c r="AM457" s="798">
        <f t="shared" si="453"/>
        <v>1</v>
      </c>
      <c r="AN457" s="798">
        <f t="shared" si="453"/>
        <v>1</v>
      </c>
      <c r="AO457" s="798">
        <f t="shared" si="453"/>
        <v>1</v>
      </c>
      <c r="AP457" s="798">
        <f t="shared" si="453"/>
        <v>1</v>
      </c>
      <c r="AQ457" s="798">
        <f t="shared" si="453"/>
        <v>1</v>
      </c>
      <c r="AR457" s="798">
        <f t="shared" si="453"/>
        <v>1</v>
      </c>
      <c r="AS457" s="798">
        <f t="shared" si="453"/>
        <v>1</v>
      </c>
      <c r="AT457" s="798">
        <f t="shared" si="453"/>
        <v>1</v>
      </c>
      <c r="AU457" s="798">
        <f t="shared" si="453"/>
        <v>1</v>
      </c>
      <c r="AV457" s="798">
        <f t="shared" si="453"/>
        <v>1</v>
      </c>
      <c r="AW457" s="798">
        <f t="shared" si="453"/>
        <v>1</v>
      </c>
      <c r="AX457" s="798">
        <f t="shared" si="453"/>
        <v>1</v>
      </c>
      <c r="AY457" s="798">
        <f t="shared" si="453"/>
        <v>1</v>
      </c>
      <c r="AZ457" s="798">
        <f t="shared" si="453"/>
        <v>1</v>
      </c>
      <c r="BA457" s="798">
        <f t="shared" si="453"/>
        <v>1</v>
      </c>
      <c r="BB457" s="798">
        <f t="shared" si="453"/>
        <v>1</v>
      </c>
      <c r="BC457" s="798">
        <f t="shared" si="453"/>
        <v>1</v>
      </c>
      <c r="BD457" s="798">
        <f t="shared" si="453"/>
        <v>1</v>
      </c>
      <c r="BE457" s="798">
        <f t="shared" si="453"/>
        <v>1</v>
      </c>
      <c r="BF457" s="798">
        <f t="shared" si="453"/>
        <v>1</v>
      </c>
      <c r="BG457" s="798">
        <f t="shared" si="453"/>
        <v>1</v>
      </c>
      <c r="BH457" s="798">
        <f t="shared" si="453"/>
        <v>1</v>
      </c>
      <c r="BI457" s="798">
        <f t="shared" si="453"/>
        <v>1</v>
      </c>
      <c r="BJ457" s="798">
        <f t="shared" si="453"/>
        <v>1</v>
      </c>
      <c r="BK457" s="798">
        <f t="shared" si="453"/>
        <v>1</v>
      </c>
      <c r="BL457" s="765"/>
      <c r="BM457" s="817"/>
      <c r="BN457" s="817"/>
    </row>
    <row r="458" hidden="1">
      <c r="A458" s="765"/>
      <c r="B458" s="765"/>
      <c r="C458" s="765"/>
      <c r="D458" s="765"/>
      <c r="E458" s="765"/>
      <c r="F458" s="765"/>
      <c r="G458" s="765"/>
      <c r="H458" s="765"/>
      <c r="I458" s="765">
        <f t="shared" si="17"/>
        <v>447</v>
      </c>
      <c r="J458" s="763">
        <f t="shared" si="5"/>
        <v>261391833747357</v>
      </c>
      <c r="K458" s="796">
        <f t="shared" si="7"/>
        <v>0.45729</v>
      </c>
      <c r="L458" s="796">
        <v>5.0E-4</v>
      </c>
      <c r="M458" s="763">
        <v>2.9805226196962E14</v>
      </c>
      <c r="N458" s="797">
        <f t="shared" si="8"/>
        <v>0</v>
      </c>
      <c r="O458" s="798">
        <f t="shared" ref="O458:BK458" si="454">FLOOR(MIN((((N("value of ELS upgrade")+N$8*($K458-$K457))*(N("Check checkbox")+(IF($G$6=TRUE,$G$7,$G$8))/$G$8))/(N("ROI of ELS and multiply by 2 if ELS is 1:1")+IF($G$12 = True, 2, 1) * $J458))/((N("difference in ELS+ and the cost of it")+(($K457*O$8)-($K457*N$8)) / O$7)),(N("MIN lets it return 0 or 1 after floored")+1)),1)</f>
        <v>0</v>
      </c>
      <c r="P458" s="798">
        <f t="shared" si="454"/>
        <v>0</v>
      </c>
      <c r="Q458" s="798">
        <f t="shared" si="454"/>
        <v>0</v>
      </c>
      <c r="R458" s="798">
        <f t="shared" si="454"/>
        <v>0</v>
      </c>
      <c r="S458" s="798">
        <f t="shared" si="454"/>
        <v>0</v>
      </c>
      <c r="T458" s="798">
        <f t="shared" si="454"/>
        <v>0</v>
      </c>
      <c r="U458" s="798">
        <f t="shared" si="454"/>
        <v>0</v>
      </c>
      <c r="V458" s="798">
        <f t="shared" si="454"/>
        <v>0</v>
      </c>
      <c r="W458" s="798">
        <f t="shared" si="454"/>
        <v>0</v>
      </c>
      <c r="X458" s="798">
        <f t="shared" si="454"/>
        <v>0</v>
      </c>
      <c r="Y458" s="798">
        <f t="shared" si="454"/>
        <v>0</v>
      </c>
      <c r="Z458" s="798">
        <f t="shared" si="454"/>
        <v>0</v>
      </c>
      <c r="AA458" s="798">
        <f t="shared" si="454"/>
        <v>0</v>
      </c>
      <c r="AB458" s="798">
        <f t="shared" si="454"/>
        <v>0</v>
      </c>
      <c r="AC458" s="798">
        <f t="shared" si="454"/>
        <v>0</v>
      </c>
      <c r="AD458" s="798">
        <f t="shared" si="454"/>
        <v>0</v>
      </c>
      <c r="AE458" s="798">
        <f t="shared" si="454"/>
        <v>0</v>
      </c>
      <c r="AF458" s="798">
        <f t="shared" si="454"/>
        <v>0</v>
      </c>
      <c r="AG458" s="798">
        <f t="shared" si="454"/>
        <v>0</v>
      </c>
      <c r="AH458" s="798">
        <f t="shared" si="454"/>
        <v>1</v>
      </c>
      <c r="AI458" s="798">
        <f t="shared" si="454"/>
        <v>1</v>
      </c>
      <c r="AJ458" s="798">
        <f t="shared" si="454"/>
        <v>1</v>
      </c>
      <c r="AK458" s="798">
        <f t="shared" si="454"/>
        <v>1</v>
      </c>
      <c r="AL458" s="798">
        <f t="shared" si="454"/>
        <v>1</v>
      </c>
      <c r="AM458" s="798">
        <f t="shared" si="454"/>
        <v>1</v>
      </c>
      <c r="AN458" s="798">
        <f t="shared" si="454"/>
        <v>1</v>
      </c>
      <c r="AO458" s="798">
        <f t="shared" si="454"/>
        <v>1</v>
      </c>
      <c r="AP458" s="798">
        <f t="shared" si="454"/>
        <v>1</v>
      </c>
      <c r="AQ458" s="798">
        <f t="shared" si="454"/>
        <v>1</v>
      </c>
      <c r="AR458" s="798">
        <f t="shared" si="454"/>
        <v>1</v>
      </c>
      <c r="AS458" s="798">
        <f t="shared" si="454"/>
        <v>1</v>
      </c>
      <c r="AT458" s="798">
        <f t="shared" si="454"/>
        <v>1</v>
      </c>
      <c r="AU458" s="798">
        <f t="shared" si="454"/>
        <v>1</v>
      </c>
      <c r="AV458" s="798">
        <f t="shared" si="454"/>
        <v>1</v>
      </c>
      <c r="AW458" s="798">
        <f t="shared" si="454"/>
        <v>1</v>
      </c>
      <c r="AX458" s="798">
        <f t="shared" si="454"/>
        <v>1</v>
      </c>
      <c r="AY458" s="798">
        <f t="shared" si="454"/>
        <v>1</v>
      </c>
      <c r="AZ458" s="798">
        <f t="shared" si="454"/>
        <v>1</v>
      </c>
      <c r="BA458" s="798">
        <f t="shared" si="454"/>
        <v>1</v>
      </c>
      <c r="BB458" s="798">
        <f t="shared" si="454"/>
        <v>1</v>
      </c>
      <c r="BC458" s="798">
        <f t="shared" si="454"/>
        <v>1</v>
      </c>
      <c r="BD458" s="798">
        <f t="shared" si="454"/>
        <v>1</v>
      </c>
      <c r="BE458" s="798">
        <f t="shared" si="454"/>
        <v>1</v>
      </c>
      <c r="BF458" s="798">
        <f t="shared" si="454"/>
        <v>1</v>
      </c>
      <c r="BG458" s="798">
        <f t="shared" si="454"/>
        <v>1</v>
      </c>
      <c r="BH458" s="798">
        <f t="shared" si="454"/>
        <v>1</v>
      </c>
      <c r="BI458" s="798">
        <f t="shared" si="454"/>
        <v>1</v>
      </c>
      <c r="BJ458" s="798">
        <f t="shared" si="454"/>
        <v>1</v>
      </c>
      <c r="BK458" s="798">
        <f t="shared" si="454"/>
        <v>1</v>
      </c>
      <c r="BL458" s="765"/>
      <c r="BM458" s="817"/>
      <c r="BN458" s="817"/>
    </row>
    <row r="459" hidden="1">
      <c r="A459" s="765"/>
      <c r="B459" s="765"/>
      <c r="C459" s="765"/>
      <c r="D459" s="765"/>
      <c r="E459" s="765"/>
      <c r="F459" s="765"/>
      <c r="G459" s="765"/>
      <c r="H459" s="765"/>
      <c r="I459" s="765">
        <f t="shared" si="17"/>
        <v>448</v>
      </c>
      <c r="J459" s="763">
        <f t="shared" si="5"/>
        <v>262358619313518</v>
      </c>
      <c r="K459" s="796">
        <f t="shared" si="7"/>
        <v>0.45779</v>
      </c>
      <c r="L459" s="796">
        <v>5.0E-4</v>
      </c>
      <c r="M459" s="763">
        <v>2.99154640038219E14</v>
      </c>
      <c r="N459" s="797">
        <f t="shared" si="8"/>
        <v>0</v>
      </c>
      <c r="O459" s="798">
        <f t="shared" ref="O459:BK459" si="455">FLOOR(MIN((((N("value of ELS upgrade")+N$8*($K459-$K458))*(N("Check checkbox")+(IF($G$6=TRUE,$G$7,$G$8))/$G$8))/(N("ROI of ELS and multiply by 2 if ELS is 1:1")+IF($G$12 = True, 2, 1) * $J459))/((N("difference in ELS+ and the cost of it")+(($K458*O$8)-($K458*N$8)) / O$7)),(N("MIN lets it return 0 or 1 after floored")+1)),1)</f>
        <v>0</v>
      </c>
      <c r="P459" s="798">
        <f t="shared" si="455"/>
        <v>0</v>
      </c>
      <c r="Q459" s="798">
        <f t="shared" si="455"/>
        <v>0</v>
      </c>
      <c r="R459" s="798">
        <f t="shared" si="455"/>
        <v>0</v>
      </c>
      <c r="S459" s="798">
        <f t="shared" si="455"/>
        <v>0</v>
      </c>
      <c r="T459" s="798">
        <f t="shared" si="455"/>
        <v>0</v>
      </c>
      <c r="U459" s="798">
        <f t="shared" si="455"/>
        <v>0</v>
      </c>
      <c r="V459" s="798">
        <f t="shared" si="455"/>
        <v>0</v>
      </c>
      <c r="W459" s="798">
        <f t="shared" si="455"/>
        <v>0</v>
      </c>
      <c r="X459" s="798">
        <f t="shared" si="455"/>
        <v>0</v>
      </c>
      <c r="Y459" s="798">
        <f t="shared" si="455"/>
        <v>0</v>
      </c>
      <c r="Z459" s="798">
        <f t="shared" si="455"/>
        <v>0</v>
      </c>
      <c r="AA459" s="798">
        <f t="shared" si="455"/>
        <v>0</v>
      </c>
      <c r="AB459" s="798">
        <f t="shared" si="455"/>
        <v>0</v>
      </c>
      <c r="AC459" s="798">
        <f t="shared" si="455"/>
        <v>0</v>
      </c>
      <c r="AD459" s="798">
        <f t="shared" si="455"/>
        <v>0</v>
      </c>
      <c r="AE459" s="798">
        <f t="shared" si="455"/>
        <v>0</v>
      </c>
      <c r="AF459" s="798">
        <f t="shared" si="455"/>
        <v>0</v>
      </c>
      <c r="AG459" s="798">
        <f t="shared" si="455"/>
        <v>0</v>
      </c>
      <c r="AH459" s="798">
        <f t="shared" si="455"/>
        <v>1</v>
      </c>
      <c r="AI459" s="798">
        <f t="shared" si="455"/>
        <v>1</v>
      </c>
      <c r="AJ459" s="798">
        <f t="shared" si="455"/>
        <v>1</v>
      </c>
      <c r="AK459" s="798">
        <f t="shared" si="455"/>
        <v>1</v>
      </c>
      <c r="AL459" s="798">
        <f t="shared" si="455"/>
        <v>1</v>
      </c>
      <c r="AM459" s="798">
        <f t="shared" si="455"/>
        <v>1</v>
      </c>
      <c r="AN459" s="798">
        <f t="shared" si="455"/>
        <v>1</v>
      </c>
      <c r="AO459" s="798">
        <f t="shared" si="455"/>
        <v>1</v>
      </c>
      <c r="AP459" s="798">
        <f t="shared" si="455"/>
        <v>1</v>
      </c>
      <c r="AQ459" s="798">
        <f t="shared" si="455"/>
        <v>1</v>
      </c>
      <c r="AR459" s="798">
        <f t="shared" si="455"/>
        <v>1</v>
      </c>
      <c r="AS459" s="798">
        <f t="shared" si="455"/>
        <v>1</v>
      </c>
      <c r="AT459" s="798">
        <f t="shared" si="455"/>
        <v>1</v>
      </c>
      <c r="AU459" s="798">
        <f t="shared" si="455"/>
        <v>1</v>
      </c>
      <c r="AV459" s="798">
        <f t="shared" si="455"/>
        <v>1</v>
      </c>
      <c r="AW459" s="798">
        <f t="shared" si="455"/>
        <v>1</v>
      </c>
      <c r="AX459" s="798">
        <f t="shared" si="455"/>
        <v>1</v>
      </c>
      <c r="AY459" s="798">
        <f t="shared" si="455"/>
        <v>1</v>
      </c>
      <c r="AZ459" s="798">
        <f t="shared" si="455"/>
        <v>1</v>
      </c>
      <c r="BA459" s="798">
        <f t="shared" si="455"/>
        <v>1</v>
      </c>
      <c r="BB459" s="798">
        <f t="shared" si="455"/>
        <v>1</v>
      </c>
      <c r="BC459" s="798">
        <f t="shared" si="455"/>
        <v>1</v>
      </c>
      <c r="BD459" s="798">
        <f t="shared" si="455"/>
        <v>1</v>
      </c>
      <c r="BE459" s="798">
        <f t="shared" si="455"/>
        <v>1</v>
      </c>
      <c r="BF459" s="798">
        <f t="shared" si="455"/>
        <v>1</v>
      </c>
      <c r="BG459" s="798">
        <f t="shared" si="455"/>
        <v>1</v>
      </c>
      <c r="BH459" s="798">
        <f t="shared" si="455"/>
        <v>1</v>
      </c>
      <c r="BI459" s="798">
        <f t="shared" si="455"/>
        <v>1</v>
      </c>
      <c r="BJ459" s="798">
        <f t="shared" si="455"/>
        <v>1</v>
      </c>
      <c r="BK459" s="798">
        <f t="shared" si="455"/>
        <v>1</v>
      </c>
      <c r="BL459" s="765"/>
      <c r="BM459" s="817"/>
      <c r="BN459" s="817"/>
    </row>
    <row r="460" hidden="1">
      <c r="A460" s="765"/>
      <c r="B460" s="765"/>
      <c r="C460" s="765"/>
      <c r="D460" s="765"/>
      <c r="E460" s="765"/>
      <c r="F460" s="765"/>
      <c r="G460" s="765"/>
      <c r="H460" s="765"/>
      <c r="I460" s="765">
        <f t="shared" si="17"/>
        <v>449</v>
      </c>
      <c r="J460" s="763">
        <f t="shared" si="5"/>
        <v>263328386074849</v>
      </c>
      <c r="K460" s="796">
        <f t="shared" si="7"/>
        <v>0.45829</v>
      </c>
      <c r="L460" s="796">
        <v>5.0E-4</v>
      </c>
      <c r="M460" s="763">
        <v>3.0026041741716E14</v>
      </c>
      <c r="N460" s="797">
        <f t="shared" si="8"/>
        <v>0</v>
      </c>
      <c r="O460" s="798">
        <f t="shared" ref="O460:BK460" si="456">FLOOR(MIN((((N("value of ELS upgrade")+N$8*($K460-$K459))*(N("Check checkbox")+(IF($G$6=TRUE,$G$7,$G$8))/$G$8))/(N("ROI of ELS and multiply by 2 if ELS is 1:1")+IF($G$12 = True, 2, 1) * $J460))/((N("difference in ELS+ and the cost of it")+(($K459*O$8)-($K459*N$8)) / O$7)),(N("MIN lets it return 0 or 1 after floored")+1)),1)</f>
        <v>0</v>
      </c>
      <c r="P460" s="798">
        <f t="shared" si="456"/>
        <v>0</v>
      </c>
      <c r="Q460" s="798">
        <f t="shared" si="456"/>
        <v>0</v>
      </c>
      <c r="R460" s="798">
        <f t="shared" si="456"/>
        <v>0</v>
      </c>
      <c r="S460" s="798">
        <f t="shared" si="456"/>
        <v>0</v>
      </c>
      <c r="T460" s="798">
        <f t="shared" si="456"/>
        <v>0</v>
      </c>
      <c r="U460" s="798">
        <f t="shared" si="456"/>
        <v>0</v>
      </c>
      <c r="V460" s="798">
        <f t="shared" si="456"/>
        <v>0</v>
      </c>
      <c r="W460" s="798">
        <f t="shared" si="456"/>
        <v>0</v>
      </c>
      <c r="X460" s="798">
        <f t="shared" si="456"/>
        <v>0</v>
      </c>
      <c r="Y460" s="798">
        <f t="shared" si="456"/>
        <v>0</v>
      </c>
      <c r="Z460" s="798">
        <f t="shared" si="456"/>
        <v>0</v>
      </c>
      <c r="AA460" s="798">
        <f t="shared" si="456"/>
        <v>0</v>
      </c>
      <c r="AB460" s="798">
        <f t="shared" si="456"/>
        <v>0</v>
      </c>
      <c r="AC460" s="798">
        <f t="shared" si="456"/>
        <v>0</v>
      </c>
      <c r="AD460" s="798">
        <f t="shared" si="456"/>
        <v>0</v>
      </c>
      <c r="AE460" s="798">
        <f t="shared" si="456"/>
        <v>0</v>
      </c>
      <c r="AF460" s="798">
        <f t="shared" si="456"/>
        <v>0</v>
      </c>
      <c r="AG460" s="798">
        <f t="shared" si="456"/>
        <v>0</v>
      </c>
      <c r="AH460" s="798">
        <f t="shared" si="456"/>
        <v>1</v>
      </c>
      <c r="AI460" s="798">
        <f t="shared" si="456"/>
        <v>1</v>
      </c>
      <c r="AJ460" s="798">
        <f t="shared" si="456"/>
        <v>1</v>
      </c>
      <c r="AK460" s="798">
        <f t="shared" si="456"/>
        <v>1</v>
      </c>
      <c r="AL460" s="798">
        <f t="shared" si="456"/>
        <v>1</v>
      </c>
      <c r="AM460" s="798">
        <f t="shared" si="456"/>
        <v>1</v>
      </c>
      <c r="AN460" s="798">
        <f t="shared" si="456"/>
        <v>1</v>
      </c>
      <c r="AO460" s="798">
        <f t="shared" si="456"/>
        <v>1</v>
      </c>
      <c r="AP460" s="798">
        <f t="shared" si="456"/>
        <v>1</v>
      </c>
      <c r="AQ460" s="798">
        <f t="shared" si="456"/>
        <v>1</v>
      </c>
      <c r="AR460" s="798">
        <f t="shared" si="456"/>
        <v>1</v>
      </c>
      <c r="AS460" s="798">
        <f t="shared" si="456"/>
        <v>1</v>
      </c>
      <c r="AT460" s="798">
        <f t="shared" si="456"/>
        <v>1</v>
      </c>
      <c r="AU460" s="798">
        <f t="shared" si="456"/>
        <v>1</v>
      </c>
      <c r="AV460" s="798">
        <f t="shared" si="456"/>
        <v>1</v>
      </c>
      <c r="AW460" s="798">
        <f t="shared" si="456"/>
        <v>1</v>
      </c>
      <c r="AX460" s="798">
        <f t="shared" si="456"/>
        <v>1</v>
      </c>
      <c r="AY460" s="798">
        <f t="shared" si="456"/>
        <v>1</v>
      </c>
      <c r="AZ460" s="798">
        <f t="shared" si="456"/>
        <v>1</v>
      </c>
      <c r="BA460" s="798">
        <f t="shared" si="456"/>
        <v>1</v>
      </c>
      <c r="BB460" s="798">
        <f t="shared" si="456"/>
        <v>1</v>
      </c>
      <c r="BC460" s="798">
        <f t="shared" si="456"/>
        <v>1</v>
      </c>
      <c r="BD460" s="798">
        <f t="shared" si="456"/>
        <v>1</v>
      </c>
      <c r="BE460" s="798">
        <f t="shared" si="456"/>
        <v>1</v>
      </c>
      <c r="BF460" s="798">
        <f t="shared" si="456"/>
        <v>1</v>
      </c>
      <c r="BG460" s="798">
        <f t="shared" si="456"/>
        <v>1</v>
      </c>
      <c r="BH460" s="798">
        <f t="shared" si="456"/>
        <v>1</v>
      </c>
      <c r="BI460" s="798">
        <f t="shared" si="456"/>
        <v>1</v>
      </c>
      <c r="BJ460" s="798">
        <f t="shared" si="456"/>
        <v>1</v>
      </c>
      <c r="BK460" s="798">
        <f t="shared" si="456"/>
        <v>1</v>
      </c>
      <c r="BL460" s="765"/>
      <c r="BM460" s="817"/>
      <c r="BN460" s="817"/>
    </row>
    <row r="461" hidden="1">
      <c r="A461" s="765"/>
      <c r="B461" s="765"/>
      <c r="C461" s="765"/>
      <c r="D461" s="765"/>
      <c r="E461" s="765"/>
      <c r="F461" s="765"/>
      <c r="G461" s="765"/>
      <c r="H461" s="765"/>
      <c r="I461" s="765">
        <f t="shared" si="17"/>
        <v>450</v>
      </c>
      <c r="J461" s="763">
        <f t="shared" si="5"/>
        <v>264301146853697</v>
      </c>
      <c r="K461" s="796">
        <f t="shared" si="7"/>
        <v>0.45879</v>
      </c>
      <c r="L461" s="796">
        <v>5.0E-4</v>
      </c>
      <c r="M461" s="763">
        <v>3.01369608727135E14</v>
      </c>
      <c r="N461" s="797">
        <f t="shared" si="8"/>
        <v>0</v>
      </c>
      <c r="O461" s="798">
        <f t="shared" ref="O461:BK461" si="457">FLOOR(MIN((((N("value of ELS upgrade")+N$8*($K461-$K460))*(N("Check checkbox")+(IF($G$6=TRUE,$G$7,$G$8))/$G$8))/(N("ROI of ELS and multiply by 2 if ELS is 1:1")+IF($G$12 = True, 2, 1) * $J461))/((N("difference in ELS+ and the cost of it")+(($K460*O$8)-($K460*N$8)) / O$7)),(N("MIN lets it return 0 or 1 after floored")+1)),1)</f>
        <v>0</v>
      </c>
      <c r="P461" s="798">
        <f t="shared" si="457"/>
        <v>0</v>
      </c>
      <c r="Q461" s="798">
        <f t="shared" si="457"/>
        <v>0</v>
      </c>
      <c r="R461" s="798">
        <f t="shared" si="457"/>
        <v>0</v>
      </c>
      <c r="S461" s="798">
        <f t="shared" si="457"/>
        <v>0</v>
      </c>
      <c r="T461" s="798">
        <f t="shared" si="457"/>
        <v>0</v>
      </c>
      <c r="U461" s="798">
        <f t="shared" si="457"/>
        <v>0</v>
      </c>
      <c r="V461" s="798">
        <f t="shared" si="457"/>
        <v>0</v>
      </c>
      <c r="W461" s="798">
        <f t="shared" si="457"/>
        <v>0</v>
      </c>
      <c r="X461" s="798">
        <f t="shared" si="457"/>
        <v>0</v>
      </c>
      <c r="Y461" s="798">
        <f t="shared" si="457"/>
        <v>0</v>
      </c>
      <c r="Z461" s="798">
        <f t="shared" si="457"/>
        <v>0</v>
      </c>
      <c r="AA461" s="798">
        <f t="shared" si="457"/>
        <v>0</v>
      </c>
      <c r="AB461" s="798">
        <f t="shared" si="457"/>
        <v>0</v>
      </c>
      <c r="AC461" s="798">
        <f t="shared" si="457"/>
        <v>0</v>
      </c>
      <c r="AD461" s="798">
        <f t="shared" si="457"/>
        <v>0</v>
      </c>
      <c r="AE461" s="798">
        <f t="shared" si="457"/>
        <v>0</v>
      </c>
      <c r="AF461" s="798">
        <f t="shared" si="457"/>
        <v>0</v>
      </c>
      <c r="AG461" s="798">
        <f t="shared" si="457"/>
        <v>0</v>
      </c>
      <c r="AH461" s="798">
        <f t="shared" si="457"/>
        <v>1</v>
      </c>
      <c r="AI461" s="798">
        <f t="shared" si="457"/>
        <v>1</v>
      </c>
      <c r="AJ461" s="798">
        <f t="shared" si="457"/>
        <v>1</v>
      </c>
      <c r="AK461" s="798">
        <f t="shared" si="457"/>
        <v>1</v>
      </c>
      <c r="AL461" s="798">
        <f t="shared" si="457"/>
        <v>1</v>
      </c>
      <c r="AM461" s="798">
        <f t="shared" si="457"/>
        <v>1</v>
      </c>
      <c r="AN461" s="798">
        <f t="shared" si="457"/>
        <v>1</v>
      </c>
      <c r="AO461" s="798">
        <f t="shared" si="457"/>
        <v>1</v>
      </c>
      <c r="AP461" s="798">
        <f t="shared" si="457"/>
        <v>1</v>
      </c>
      <c r="AQ461" s="798">
        <f t="shared" si="457"/>
        <v>1</v>
      </c>
      <c r="AR461" s="798">
        <f t="shared" si="457"/>
        <v>1</v>
      </c>
      <c r="AS461" s="798">
        <f t="shared" si="457"/>
        <v>1</v>
      </c>
      <c r="AT461" s="798">
        <f t="shared" si="457"/>
        <v>1</v>
      </c>
      <c r="AU461" s="798">
        <f t="shared" si="457"/>
        <v>1</v>
      </c>
      <c r="AV461" s="798">
        <f t="shared" si="457"/>
        <v>1</v>
      </c>
      <c r="AW461" s="798">
        <f t="shared" si="457"/>
        <v>1</v>
      </c>
      <c r="AX461" s="798">
        <f t="shared" si="457"/>
        <v>1</v>
      </c>
      <c r="AY461" s="798">
        <f t="shared" si="457"/>
        <v>1</v>
      </c>
      <c r="AZ461" s="798">
        <f t="shared" si="457"/>
        <v>1</v>
      </c>
      <c r="BA461" s="798">
        <f t="shared" si="457"/>
        <v>1</v>
      </c>
      <c r="BB461" s="798">
        <f t="shared" si="457"/>
        <v>1</v>
      </c>
      <c r="BC461" s="798">
        <f t="shared" si="457"/>
        <v>1</v>
      </c>
      <c r="BD461" s="798">
        <f t="shared" si="457"/>
        <v>1</v>
      </c>
      <c r="BE461" s="798">
        <f t="shared" si="457"/>
        <v>1</v>
      </c>
      <c r="BF461" s="798">
        <f t="shared" si="457"/>
        <v>1</v>
      </c>
      <c r="BG461" s="798">
        <f t="shared" si="457"/>
        <v>1</v>
      </c>
      <c r="BH461" s="798">
        <f t="shared" si="457"/>
        <v>1</v>
      </c>
      <c r="BI461" s="798">
        <f t="shared" si="457"/>
        <v>1</v>
      </c>
      <c r="BJ461" s="798">
        <f t="shared" si="457"/>
        <v>1</v>
      </c>
      <c r="BK461" s="798">
        <f t="shared" si="457"/>
        <v>1</v>
      </c>
      <c r="BL461" s="765"/>
      <c r="BM461" s="817"/>
      <c r="BN461" s="817"/>
    </row>
    <row r="462" hidden="1">
      <c r="A462" s="765"/>
      <c r="B462" s="765"/>
      <c r="C462" s="765"/>
      <c r="D462" s="765"/>
      <c r="E462" s="765"/>
      <c r="F462" s="765"/>
      <c r="G462" s="765"/>
      <c r="H462" s="765"/>
      <c r="I462" s="765">
        <f t="shared" si="17"/>
        <v>451</v>
      </c>
      <c r="J462" s="763">
        <f t="shared" si="5"/>
        <v>265276908061235</v>
      </c>
      <c r="K462" s="796">
        <f t="shared" si="7"/>
        <v>0.45929</v>
      </c>
      <c r="L462" s="796">
        <v>5.0E-4</v>
      </c>
      <c r="M462" s="763">
        <v>3.02482221278489E14</v>
      </c>
      <c r="N462" s="797">
        <f t="shared" si="8"/>
        <v>0</v>
      </c>
      <c r="O462" s="798">
        <f t="shared" ref="O462:BK462" si="458">FLOOR(MIN((((N("value of ELS upgrade")+N$8*($K462-$K461))*(N("Check checkbox")+(IF($G$6=TRUE,$G$7,$G$8))/$G$8))/(N("ROI of ELS and multiply by 2 if ELS is 1:1")+IF($G$12 = True, 2, 1) * $J462))/((N("difference in ELS+ and the cost of it")+(($K461*O$8)-($K461*N$8)) / O$7)),(N("MIN lets it return 0 or 1 after floored")+1)),1)</f>
        <v>0</v>
      </c>
      <c r="P462" s="798">
        <f t="shared" si="458"/>
        <v>0</v>
      </c>
      <c r="Q462" s="798">
        <f t="shared" si="458"/>
        <v>0</v>
      </c>
      <c r="R462" s="798">
        <f t="shared" si="458"/>
        <v>0</v>
      </c>
      <c r="S462" s="798">
        <f t="shared" si="458"/>
        <v>0</v>
      </c>
      <c r="T462" s="798">
        <f t="shared" si="458"/>
        <v>0</v>
      </c>
      <c r="U462" s="798">
        <f t="shared" si="458"/>
        <v>0</v>
      </c>
      <c r="V462" s="798">
        <f t="shared" si="458"/>
        <v>0</v>
      </c>
      <c r="W462" s="798">
        <f t="shared" si="458"/>
        <v>0</v>
      </c>
      <c r="X462" s="798">
        <f t="shared" si="458"/>
        <v>0</v>
      </c>
      <c r="Y462" s="798">
        <f t="shared" si="458"/>
        <v>0</v>
      </c>
      <c r="Z462" s="798">
        <f t="shared" si="458"/>
        <v>0</v>
      </c>
      <c r="AA462" s="798">
        <f t="shared" si="458"/>
        <v>0</v>
      </c>
      <c r="AB462" s="798">
        <f t="shared" si="458"/>
        <v>0</v>
      </c>
      <c r="AC462" s="798">
        <f t="shared" si="458"/>
        <v>0</v>
      </c>
      <c r="AD462" s="798">
        <f t="shared" si="458"/>
        <v>0</v>
      </c>
      <c r="AE462" s="798">
        <f t="shared" si="458"/>
        <v>0</v>
      </c>
      <c r="AF462" s="798">
        <f t="shared" si="458"/>
        <v>0</v>
      </c>
      <c r="AG462" s="798">
        <f t="shared" si="458"/>
        <v>0</v>
      </c>
      <c r="AH462" s="798">
        <f t="shared" si="458"/>
        <v>1</v>
      </c>
      <c r="AI462" s="798">
        <f t="shared" si="458"/>
        <v>1</v>
      </c>
      <c r="AJ462" s="798">
        <f t="shared" si="458"/>
        <v>1</v>
      </c>
      <c r="AK462" s="798">
        <f t="shared" si="458"/>
        <v>1</v>
      </c>
      <c r="AL462" s="798">
        <f t="shared" si="458"/>
        <v>1</v>
      </c>
      <c r="AM462" s="798">
        <f t="shared" si="458"/>
        <v>1</v>
      </c>
      <c r="AN462" s="798">
        <f t="shared" si="458"/>
        <v>1</v>
      </c>
      <c r="AO462" s="798">
        <f t="shared" si="458"/>
        <v>1</v>
      </c>
      <c r="AP462" s="798">
        <f t="shared" si="458"/>
        <v>1</v>
      </c>
      <c r="AQ462" s="798">
        <f t="shared" si="458"/>
        <v>1</v>
      </c>
      <c r="AR462" s="798">
        <f t="shared" si="458"/>
        <v>1</v>
      </c>
      <c r="AS462" s="798">
        <f t="shared" si="458"/>
        <v>1</v>
      </c>
      <c r="AT462" s="798">
        <f t="shared" si="458"/>
        <v>1</v>
      </c>
      <c r="AU462" s="798">
        <f t="shared" si="458"/>
        <v>1</v>
      </c>
      <c r="AV462" s="798">
        <f t="shared" si="458"/>
        <v>1</v>
      </c>
      <c r="AW462" s="798">
        <f t="shared" si="458"/>
        <v>1</v>
      </c>
      <c r="AX462" s="798">
        <f t="shared" si="458"/>
        <v>1</v>
      </c>
      <c r="AY462" s="798">
        <f t="shared" si="458"/>
        <v>1</v>
      </c>
      <c r="AZ462" s="798">
        <f t="shared" si="458"/>
        <v>1</v>
      </c>
      <c r="BA462" s="798">
        <f t="shared" si="458"/>
        <v>1</v>
      </c>
      <c r="BB462" s="798">
        <f t="shared" si="458"/>
        <v>1</v>
      </c>
      <c r="BC462" s="798">
        <f t="shared" si="458"/>
        <v>1</v>
      </c>
      <c r="BD462" s="798">
        <f t="shared" si="458"/>
        <v>1</v>
      </c>
      <c r="BE462" s="798">
        <f t="shared" si="458"/>
        <v>1</v>
      </c>
      <c r="BF462" s="798">
        <f t="shared" si="458"/>
        <v>1</v>
      </c>
      <c r="BG462" s="798">
        <f t="shared" si="458"/>
        <v>1</v>
      </c>
      <c r="BH462" s="798">
        <f t="shared" si="458"/>
        <v>1</v>
      </c>
      <c r="BI462" s="798">
        <f t="shared" si="458"/>
        <v>1</v>
      </c>
      <c r="BJ462" s="798">
        <f t="shared" si="458"/>
        <v>1</v>
      </c>
      <c r="BK462" s="798">
        <f t="shared" si="458"/>
        <v>1</v>
      </c>
      <c r="BL462" s="765"/>
      <c r="BM462" s="817"/>
      <c r="BN462" s="817"/>
    </row>
    <row r="463" hidden="1">
      <c r="A463" s="765"/>
      <c r="B463" s="765"/>
      <c r="C463" s="765"/>
      <c r="D463" s="765"/>
      <c r="E463" s="765"/>
      <c r="F463" s="765"/>
      <c r="G463" s="765"/>
      <c r="H463" s="765"/>
      <c r="I463" s="765">
        <f t="shared" si="17"/>
        <v>452</v>
      </c>
      <c r="J463" s="763">
        <f t="shared" si="5"/>
        <v>266255688930978</v>
      </c>
      <c r="K463" s="796">
        <f t="shared" si="7"/>
        <v>0.45979</v>
      </c>
      <c r="L463" s="796">
        <v>5.0E-4</v>
      </c>
      <c r="M463" s="763">
        <v>3.03598277002255E14</v>
      </c>
      <c r="N463" s="797">
        <f t="shared" si="8"/>
        <v>0</v>
      </c>
      <c r="O463" s="798">
        <f t="shared" ref="O463:BK463" si="459">FLOOR(MIN((((N("value of ELS upgrade")+N$8*($K463-$K462))*(N("Check checkbox")+(IF($G$6=TRUE,$G$7,$G$8))/$G$8))/(N("ROI of ELS and multiply by 2 if ELS is 1:1")+IF($G$12 = True, 2, 1) * $J463))/((N("difference in ELS+ and the cost of it")+(($K462*O$8)-($K462*N$8)) / O$7)),(N("MIN lets it return 0 or 1 after floored")+1)),1)</f>
        <v>0</v>
      </c>
      <c r="P463" s="798">
        <f t="shared" si="459"/>
        <v>0</v>
      </c>
      <c r="Q463" s="798">
        <f t="shared" si="459"/>
        <v>0</v>
      </c>
      <c r="R463" s="798">
        <f t="shared" si="459"/>
        <v>0</v>
      </c>
      <c r="S463" s="798">
        <f t="shared" si="459"/>
        <v>0</v>
      </c>
      <c r="T463" s="798">
        <f t="shared" si="459"/>
        <v>0</v>
      </c>
      <c r="U463" s="798">
        <f t="shared" si="459"/>
        <v>0</v>
      </c>
      <c r="V463" s="798">
        <f t="shared" si="459"/>
        <v>0</v>
      </c>
      <c r="W463" s="798">
        <f t="shared" si="459"/>
        <v>0</v>
      </c>
      <c r="X463" s="798">
        <f t="shared" si="459"/>
        <v>0</v>
      </c>
      <c r="Y463" s="798">
        <f t="shared" si="459"/>
        <v>0</v>
      </c>
      <c r="Z463" s="798">
        <f t="shared" si="459"/>
        <v>0</v>
      </c>
      <c r="AA463" s="798">
        <f t="shared" si="459"/>
        <v>0</v>
      </c>
      <c r="AB463" s="798">
        <f t="shared" si="459"/>
        <v>0</v>
      </c>
      <c r="AC463" s="798">
        <f t="shared" si="459"/>
        <v>0</v>
      </c>
      <c r="AD463" s="798">
        <f t="shared" si="459"/>
        <v>0</v>
      </c>
      <c r="AE463" s="798">
        <f t="shared" si="459"/>
        <v>0</v>
      </c>
      <c r="AF463" s="798">
        <f t="shared" si="459"/>
        <v>0</v>
      </c>
      <c r="AG463" s="798">
        <f t="shared" si="459"/>
        <v>0</v>
      </c>
      <c r="AH463" s="798">
        <f t="shared" si="459"/>
        <v>1</v>
      </c>
      <c r="AI463" s="798">
        <f t="shared" si="459"/>
        <v>1</v>
      </c>
      <c r="AJ463" s="798">
        <f t="shared" si="459"/>
        <v>1</v>
      </c>
      <c r="AK463" s="798">
        <f t="shared" si="459"/>
        <v>1</v>
      </c>
      <c r="AL463" s="798">
        <f t="shared" si="459"/>
        <v>1</v>
      </c>
      <c r="AM463" s="798">
        <f t="shared" si="459"/>
        <v>1</v>
      </c>
      <c r="AN463" s="798">
        <f t="shared" si="459"/>
        <v>1</v>
      </c>
      <c r="AO463" s="798">
        <f t="shared" si="459"/>
        <v>1</v>
      </c>
      <c r="AP463" s="798">
        <f t="shared" si="459"/>
        <v>1</v>
      </c>
      <c r="AQ463" s="798">
        <f t="shared" si="459"/>
        <v>1</v>
      </c>
      <c r="AR463" s="798">
        <f t="shared" si="459"/>
        <v>1</v>
      </c>
      <c r="AS463" s="798">
        <f t="shared" si="459"/>
        <v>1</v>
      </c>
      <c r="AT463" s="798">
        <f t="shared" si="459"/>
        <v>1</v>
      </c>
      <c r="AU463" s="798">
        <f t="shared" si="459"/>
        <v>1</v>
      </c>
      <c r="AV463" s="798">
        <f t="shared" si="459"/>
        <v>1</v>
      </c>
      <c r="AW463" s="798">
        <f t="shared" si="459"/>
        <v>1</v>
      </c>
      <c r="AX463" s="798">
        <f t="shared" si="459"/>
        <v>1</v>
      </c>
      <c r="AY463" s="798">
        <f t="shared" si="459"/>
        <v>1</v>
      </c>
      <c r="AZ463" s="798">
        <f t="shared" si="459"/>
        <v>1</v>
      </c>
      <c r="BA463" s="798">
        <f t="shared" si="459"/>
        <v>1</v>
      </c>
      <c r="BB463" s="798">
        <f t="shared" si="459"/>
        <v>1</v>
      </c>
      <c r="BC463" s="798">
        <f t="shared" si="459"/>
        <v>1</v>
      </c>
      <c r="BD463" s="798">
        <f t="shared" si="459"/>
        <v>1</v>
      </c>
      <c r="BE463" s="798">
        <f t="shared" si="459"/>
        <v>1</v>
      </c>
      <c r="BF463" s="798">
        <f t="shared" si="459"/>
        <v>1</v>
      </c>
      <c r="BG463" s="798">
        <f t="shared" si="459"/>
        <v>1</v>
      </c>
      <c r="BH463" s="798">
        <f t="shared" si="459"/>
        <v>1</v>
      </c>
      <c r="BI463" s="798">
        <f t="shared" si="459"/>
        <v>1</v>
      </c>
      <c r="BJ463" s="798">
        <f t="shared" si="459"/>
        <v>1</v>
      </c>
      <c r="BK463" s="798">
        <f t="shared" si="459"/>
        <v>1</v>
      </c>
      <c r="BL463" s="765"/>
      <c r="BM463" s="817"/>
      <c r="BN463" s="817"/>
    </row>
    <row r="464" hidden="1">
      <c r="A464" s="765"/>
      <c r="B464" s="765"/>
      <c r="C464" s="765"/>
      <c r="D464" s="765"/>
      <c r="E464" s="765"/>
      <c r="F464" s="765"/>
      <c r="G464" s="765"/>
      <c r="H464" s="765"/>
      <c r="I464" s="765">
        <f t="shared" si="17"/>
        <v>453</v>
      </c>
      <c r="J464" s="763">
        <f t="shared" si="5"/>
        <v>267237483051753</v>
      </c>
      <c r="K464" s="796">
        <f t="shared" si="7"/>
        <v>0.46029</v>
      </c>
      <c r="L464" s="796">
        <v>5.0E-4</v>
      </c>
      <c r="M464" s="763">
        <v>3.04717768588088E14</v>
      </c>
      <c r="N464" s="797">
        <f t="shared" si="8"/>
        <v>0</v>
      </c>
      <c r="O464" s="798">
        <f t="shared" ref="O464:BK464" si="460">FLOOR(MIN((((N("value of ELS upgrade")+N$8*($K464-$K463))*(N("Check checkbox")+(IF($G$6=TRUE,$G$7,$G$8))/$G$8))/(N("ROI of ELS and multiply by 2 if ELS is 1:1")+IF($G$12 = True, 2, 1) * $J464))/((N("difference in ELS+ and the cost of it")+(($K463*O$8)-($K463*N$8)) / O$7)),(N("MIN lets it return 0 or 1 after floored")+1)),1)</f>
        <v>0</v>
      </c>
      <c r="P464" s="798">
        <f t="shared" si="460"/>
        <v>0</v>
      </c>
      <c r="Q464" s="798">
        <f t="shared" si="460"/>
        <v>0</v>
      </c>
      <c r="R464" s="798">
        <f t="shared" si="460"/>
        <v>0</v>
      </c>
      <c r="S464" s="798">
        <f t="shared" si="460"/>
        <v>0</v>
      </c>
      <c r="T464" s="798">
        <f t="shared" si="460"/>
        <v>0</v>
      </c>
      <c r="U464" s="798">
        <f t="shared" si="460"/>
        <v>0</v>
      </c>
      <c r="V464" s="798">
        <f t="shared" si="460"/>
        <v>0</v>
      </c>
      <c r="W464" s="798">
        <f t="shared" si="460"/>
        <v>0</v>
      </c>
      <c r="X464" s="798">
        <f t="shared" si="460"/>
        <v>0</v>
      </c>
      <c r="Y464" s="798">
        <f t="shared" si="460"/>
        <v>0</v>
      </c>
      <c r="Z464" s="798">
        <f t="shared" si="460"/>
        <v>0</v>
      </c>
      <c r="AA464" s="798">
        <f t="shared" si="460"/>
        <v>0</v>
      </c>
      <c r="AB464" s="798">
        <f t="shared" si="460"/>
        <v>0</v>
      </c>
      <c r="AC464" s="798">
        <f t="shared" si="460"/>
        <v>0</v>
      </c>
      <c r="AD464" s="798">
        <f t="shared" si="460"/>
        <v>0</v>
      </c>
      <c r="AE464" s="798">
        <f t="shared" si="460"/>
        <v>0</v>
      </c>
      <c r="AF464" s="798">
        <f t="shared" si="460"/>
        <v>0</v>
      </c>
      <c r="AG464" s="798">
        <f t="shared" si="460"/>
        <v>0</v>
      </c>
      <c r="AH464" s="798">
        <f t="shared" si="460"/>
        <v>1</v>
      </c>
      <c r="AI464" s="798">
        <f t="shared" si="460"/>
        <v>1</v>
      </c>
      <c r="AJ464" s="798">
        <f t="shared" si="460"/>
        <v>1</v>
      </c>
      <c r="AK464" s="798">
        <f t="shared" si="460"/>
        <v>1</v>
      </c>
      <c r="AL464" s="798">
        <f t="shared" si="460"/>
        <v>1</v>
      </c>
      <c r="AM464" s="798">
        <f t="shared" si="460"/>
        <v>1</v>
      </c>
      <c r="AN464" s="798">
        <f t="shared" si="460"/>
        <v>1</v>
      </c>
      <c r="AO464" s="798">
        <f t="shared" si="460"/>
        <v>1</v>
      </c>
      <c r="AP464" s="798">
        <f t="shared" si="460"/>
        <v>1</v>
      </c>
      <c r="AQ464" s="798">
        <f t="shared" si="460"/>
        <v>1</v>
      </c>
      <c r="AR464" s="798">
        <f t="shared" si="460"/>
        <v>1</v>
      </c>
      <c r="AS464" s="798">
        <f t="shared" si="460"/>
        <v>1</v>
      </c>
      <c r="AT464" s="798">
        <f t="shared" si="460"/>
        <v>1</v>
      </c>
      <c r="AU464" s="798">
        <f t="shared" si="460"/>
        <v>1</v>
      </c>
      <c r="AV464" s="798">
        <f t="shared" si="460"/>
        <v>1</v>
      </c>
      <c r="AW464" s="798">
        <f t="shared" si="460"/>
        <v>1</v>
      </c>
      <c r="AX464" s="798">
        <f t="shared" si="460"/>
        <v>1</v>
      </c>
      <c r="AY464" s="798">
        <f t="shared" si="460"/>
        <v>1</v>
      </c>
      <c r="AZ464" s="798">
        <f t="shared" si="460"/>
        <v>1</v>
      </c>
      <c r="BA464" s="798">
        <f t="shared" si="460"/>
        <v>1</v>
      </c>
      <c r="BB464" s="798">
        <f t="shared" si="460"/>
        <v>1</v>
      </c>
      <c r="BC464" s="798">
        <f t="shared" si="460"/>
        <v>1</v>
      </c>
      <c r="BD464" s="798">
        <f t="shared" si="460"/>
        <v>1</v>
      </c>
      <c r="BE464" s="798">
        <f t="shared" si="460"/>
        <v>1</v>
      </c>
      <c r="BF464" s="798">
        <f t="shared" si="460"/>
        <v>1</v>
      </c>
      <c r="BG464" s="798">
        <f t="shared" si="460"/>
        <v>1</v>
      </c>
      <c r="BH464" s="798">
        <f t="shared" si="460"/>
        <v>1</v>
      </c>
      <c r="BI464" s="798">
        <f t="shared" si="460"/>
        <v>1</v>
      </c>
      <c r="BJ464" s="798">
        <f t="shared" si="460"/>
        <v>1</v>
      </c>
      <c r="BK464" s="798">
        <f t="shared" si="460"/>
        <v>1</v>
      </c>
      <c r="BL464" s="765"/>
      <c r="BM464" s="817"/>
      <c r="BN464" s="817"/>
    </row>
    <row r="465" hidden="1">
      <c r="A465" s="765"/>
      <c r="B465" s="765"/>
      <c r="C465" s="765"/>
      <c r="D465" s="765"/>
      <c r="E465" s="765"/>
      <c r="F465" s="765"/>
      <c r="G465" s="765"/>
      <c r="H465" s="765"/>
      <c r="I465" s="765">
        <f t="shared" si="17"/>
        <v>454</v>
      </c>
      <c r="J465" s="763">
        <f t="shared" si="5"/>
        <v>268222303245908</v>
      </c>
      <c r="K465" s="796">
        <f t="shared" si="7"/>
        <v>0.46079</v>
      </c>
      <c r="L465" s="796">
        <v>5.0E-4</v>
      </c>
      <c r="M465" s="763">
        <v>3.0584071065668E14</v>
      </c>
      <c r="N465" s="797">
        <f t="shared" si="8"/>
        <v>0</v>
      </c>
      <c r="O465" s="798">
        <f t="shared" ref="O465:BK465" si="461">FLOOR(MIN((((N("value of ELS upgrade")+N$8*($K465-$K464))*(N("Check checkbox")+(IF($G$6=TRUE,$G$7,$G$8))/$G$8))/(N("ROI of ELS and multiply by 2 if ELS is 1:1")+IF($G$12 = True, 2, 1) * $J465))/((N("difference in ELS+ and the cost of it")+(($K464*O$8)-($K464*N$8)) / O$7)),(N("MIN lets it return 0 or 1 after floored")+1)),1)</f>
        <v>0</v>
      </c>
      <c r="P465" s="798">
        <f t="shared" si="461"/>
        <v>0</v>
      </c>
      <c r="Q465" s="798">
        <f t="shared" si="461"/>
        <v>0</v>
      </c>
      <c r="R465" s="798">
        <f t="shared" si="461"/>
        <v>0</v>
      </c>
      <c r="S465" s="798">
        <f t="shared" si="461"/>
        <v>0</v>
      </c>
      <c r="T465" s="798">
        <f t="shared" si="461"/>
        <v>0</v>
      </c>
      <c r="U465" s="798">
        <f t="shared" si="461"/>
        <v>0</v>
      </c>
      <c r="V465" s="798">
        <f t="shared" si="461"/>
        <v>0</v>
      </c>
      <c r="W465" s="798">
        <f t="shared" si="461"/>
        <v>0</v>
      </c>
      <c r="X465" s="798">
        <f t="shared" si="461"/>
        <v>0</v>
      </c>
      <c r="Y465" s="798">
        <f t="shared" si="461"/>
        <v>0</v>
      </c>
      <c r="Z465" s="798">
        <f t="shared" si="461"/>
        <v>0</v>
      </c>
      <c r="AA465" s="798">
        <f t="shared" si="461"/>
        <v>0</v>
      </c>
      <c r="AB465" s="798">
        <f t="shared" si="461"/>
        <v>0</v>
      </c>
      <c r="AC465" s="798">
        <f t="shared" si="461"/>
        <v>0</v>
      </c>
      <c r="AD465" s="798">
        <f t="shared" si="461"/>
        <v>0</v>
      </c>
      <c r="AE465" s="798">
        <f t="shared" si="461"/>
        <v>0</v>
      </c>
      <c r="AF465" s="798">
        <f t="shared" si="461"/>
        <v>0</v>
      </c>
      <c r="AG465" s="798">
        <f t="shared" si="461"/>
        <v>0</v>
      </c>
      <c r="AH465" s="798">
        <f t="shared" si="461"/>
        <v>1</v>
      </c>
      <c r="AI465" s="798">
        <f t="shared" si="461"/>
        <v>1</v>
      </c>
      <c r="AJ465" s="798">
        <f t="shared" si="461"/>
        <v>1</v>
      </c>
      <c r="AK465" s="798">
        <f t="shared" si="461"/>
        <v>1</v>
      </c>
      <c r="AL465" s="798">
        <f t="shared" si="461"/>
        <v>1</v>
      </c>
      <c r="AM465" s="798">
        <f t="shared" si="461"/>
        <v>1</v>
      </c>
      <c r="AN465" s="798">
        <f t="shared" si="461"/>
        <v>1</v>
      </c>
      <c r="AO465" s="798">
        <f t="shared" si="461"/>
        <v>1</v>
      </c>
      <c r="AP465" s="798">
        <f t="shared" si="461"/>
        <v>1</v>
      </c>
      <c r="AQ465" s="798">
        <f t="shared" si="461"/>
        <v>1</v>
      </c>
      <c r="AR465" s="798">
        <f t="shared" si="461"/>
        <v>1</v>
      </c>
      <c r="AS465" s="798">
        <f t="shared" si="461"/>
        <v>1</v>
      </c>
      <c r="AT465" s="798">
        <f t="shared" si="461"/>
        <v>1</v>
      </c>
      <c r="AU465" s="798">
        <f t="shared" si="461"/>
        <v>1</v>
      </c>
      <c r="AV465" s="798">
        <f t="shared" si="461"/>
        <v>1</v>
      </c>
      <c r="AW465" s="798">
        <f t="shared" si="461"/>
        <v>1</v>
      </c>
      <c r="AX465" s="798">
        <f t="shared" si="461"/>
        <v>1</v>
      </c>
      <c r="AY465" s="798">
        <f t="shared" si="461"/>
        <v>1</v>
      </c>
      <c r="AZ465" s="798">
        <f t="shared" si="461"/>
        <v>1</v>
      </c>
      <c r="BA465" s="798">
        <f t="shared" si="461"/>
        <v>1</v>
      </c>
      <c r="BB465" s="798">
        <f t="shared" si="461"/>
        <v>1</v>
      </c>
      <c r="BC465" s="798">
        <f t="shared" si="461"/>
        <v>1</v>
      </c>
      <c r="BD465" s="798">
        <f t="shared" si="461"/>
        <v>1</v>
      </c>
      <c r="BE465" s="798">
        <f t="shared" si="461"/>
        <v>1</v>
      </c>
      <c r="BF465" s="798">
        <f t="shared" si="461"/>
        <v>1</v>
      </c>
      <c r="BG465" s="798">
        <f t="shared" si="461"/>
        <v>1</v>
      </c>
      <c r="BH465" s="798">
        <f t="shared" si="461"/>
        <v>1</v>
      </c>
      <c r="BI465" s="798">
        <f t="shared" si="461"/>
        <v>1</v>
      </c>
      <c r="BJ465" s="798">
        <f t="shared" si="461"/>
        <v>1</v>
      </c>
      <c r="BK465" s="798">
        <f t="shared" si="461"/>
        <v>1</v>
      </c>
      <c r="BL465" s="765"/>
      <c r="BM465" s="817"/>
      <c r="BN465" s="817"/>
    </row>
    <row r="466" hidden="1">
      <c r="A466" s="765"/>
      <c r="B466" s="765"/>
      <c r="C466" s="765"/>
      <c r="D466" s="765"/>
      <c r="E466" s="765"/>
      <c r="F466" s="765"/>
      <c r="G466" s="765"/>
      <c r="H466" s="765"/>
      <c r="I466" s="765">
        <f t="shared" si="17"/>
        <v>455</v>
      </c>
      <c r="J466" s="763">
        <f t="shared" si="5"/>
        <v>269210162335786</v>
      </c>
      <c r="K466" s="796">
        <f t="shared" si="7"/>
        <v>0.46129</v>
      </c>
      <c r="L466" s="796">
        <v>5.0E-4</v>
      </c>
      <c r="M466" s="763">
        <v>3.06967117828718E14</v>
      </c>
      <c r="N466" s="797">
        <f t="shared" si="8"/>
        <v>0</v>
      </c>
      <c r="O466" s="798">
        <f t="shared" ref="O466:BK466" si="462">FLOOR(MIN((((N("value of ELS upgrade")+N$8*($K466-$K465))*(N("Check checkbox")+(IF($G$6=TRUE,$G$7,$G$8))/$G$8))/(N("ROI of ELS and multiply by 2 if ELS is 1:1")+IF($G$12 = True, 2, 1) * $J466))/((N("difference in ELS+ and the cost of it")+(($K465*O$8)-($K465*N$8)) / O$7)),(N("MIN lets it return 0 or 1 after floored")+1)),1)</f>
        <v>0</v>
      </c>
      <c r="P466" s="798">
        <f t="shared" si="462"/>
        <v>0</v>
      </c>
      <c r="Q466" s="798">
        <f t="shared" si="462"/>
        <v>0</v>
      </c>
      <c r="R466" s="798">
        <f t="shared" si="462"/>
        <v>0</v>
      </c>
      <c r="S466" s="798">
        <f t="shared" si="462"/>
        <v>0</v>
      </c>
      <c r="T466" s="798">
        <f t="shared" si="462"/>
        <v>0</v>
      </c>
      <c r="U466" s="798">
        <f t="shared" si="462"/>
        <v>0</v>
      </c>
      <c r="V466" s="798">
        <f t="shared" si="462"/>
        <v>0</v>
      </c>
      <c r="W466" s="798">
        <f t="shared" si="462"/>
        <v>0</v>
      </c>
      <c r="X466" s="798">
        <f t="shared" si="462"/>
        <v>0</v>
      </c>
      <c r="Y466" s="798">
        <f t="shared" si="462"/>
        <v>0</v>
      </c>
      <c r="Z466" s="798">
        <f t="shared" si="462"/>
        <v>0</v>
      </c>
      <c r="AA466" s="798">
        <f t="shared" si="462"/>
        <v>0</v>
      </c>
      <c r="AB466" s="798">
        <f t="shared" si="462"/>
        <v>0</v>
      </c>
      <c r="AC466" s="798">
        <f t="shared" si="462"/>
        <v>0</v>
      </c>
      <c r="AD466" s="798">
        <f t="shared" si="462"/>
        <v>0</v>
      </c>
      <c r="AE466" s="798">
        <f t="shared" si="462"/>
        <v>0</v>
      </c>
      <c r="AF466" s="798">
        <f t="shared" si="462"/>
        <v>0</v>
      </c>
      <c r="AG466" s="798">
        <f t="shared" si="462"/>
        <v>0</v>
      </c>
      <c r="AH466" s="798">
        <f t="shared" si="462"/>
        <v>1</v>
      </c>
      <c r="AI466" s="798">
        <f t="shared" si="462"/>
        <v>1</v>
      </c>
      <c r="AJ466" s="798">
        <f t="shared" si="462"/>
        <v>1</v>
      </c>
      <c r="AK466" s="798">
        <f t="shared" si="462"/>
        <v>1</v>
      </c>
      <c r="AL466" s="798">
        <f t="shared" si="462"/>
        <v>1</v>
      </c>
      <c r="AM466" s="798">
        <f t="shared" si="462"/>
        <v>1</v>
      </c>
      <c r="AN466" s="798">
        <f t="shared" si="462"/>
        <v>1</v>
      </c>
      <c r="AO466" s="798">
        <f t="shared" si="462"/>
        <v>1</v>
      </c>
      <c r="AP466" s="798">
        <f t="shared" si="462"/>
        <v>1</v>
      </c>
      <c r="AQ466" s="798">
        <f t="shared" si="462"/>
        <v>1</v>
      </c>
      <c r="AR466" s="798">
        <f t="shared" si="462"/>
        <v>1</v>
      </c>
      <c r="AS466" s="798">
        <f t="shared" si="462"/>
        <v>1</v>
      </c>
      <c r="AT466" s="798">
        <f t="shared" si="462"/>
        <v>1</v>
      </c>
      <c r="AU466" s="798">
        <f t="shared" si="462"/>
        <v>1</v>
      </c>
      <c r="AV466" s="798">
        <f t="shared" si="462"/>
        <v>1</v>
      </c>
      <c r="AW466" s="798">
        <f t="shared" si="462"/>
        <v>1</v>
      </c>
      <c r="AX466" s="798">
        <f t="shared" si="462"/>
        <v>1</v>
      </c>
      <c r="AY466" s="798">
        <f t="shared" si="462"/>
        <v>1</v>
      </c>
      <c r="AZ466" s="798">
        <f t="shared" si="462"/>
        <v>1</v>
      </c>
      <c r="BA466" s="798">
        <f t="shared" si="462"/>
        <v>1</v>
      </c>
      <c r="BB466" s="798">
        <f t="shared" si="462"/>
        <v>1</v>
      </c>
      <c r="BC466" s="798">
        <f t="shared" si="462"/>
        <v>1</v>
      </c>
      <c r="BD466" s="798">
        <f t="shared" si="462"/>
        <v>1</v>
      </c>
      <c r="BE466" s="798">
        <f t="shared" si="462"/>
        <v>1</v>
      </c>
      <c r="BF466" s="798">
        <f t="shared" si="462"/>
        <v>1</v>
      </c>
      <c r="BG466" s="798">
        <f t="shared" si="462"/>
        <v>1</v>
      </c>
      <c r="BH466" s="798">
        <f t="shared" si="462"/>
        <v>1</v>
      </c>
      <c r="BI466" s="798">
        <f t="shared" si="462"/>
        <v>1</v>
      </c>
      <c r="BJ466" s="798">
        <f t="shared" si="462"/>
        <v>1</v>
      </c>
      <c r="BK466" s="798">
        <f t="shared" si="462"/>
        <v>1</v>
      </c>
      <c r="BL466" s="765"/>
      <c r="BM466" s="817"/>
      <c r="BN466" s="817"/>
    </row>
    <row r="467" hidden="1">
      <c r="A467" s="765"/>
      <c r="B467" s="765"/>
      <c r="C467" s="765"/>
      <c r="D467" s="765"/>
      <c r="E467" s="765"/>
      <c r="F467" s="765"/>
      <c r="G467" s="765"/>
      <c r="H467" s="765"/>
      <c r="I467" s="765">
        <f t="shared" si="17"/>
        <v>456</v>
      </c>
      <c r="J467" s="763">
        <f t="shared" si="5"/>
        <v>270201073143731</v>
      </c>
      <c r="K467" s="796">
        <f t="shared" si="7"/>
        <v>0.46179</v>
      </c>
      <c r="L467" s="796">
        <v>5.0E-4</v>
      </c>
      <c r="M467" s="763">
        <v>3.08097004724893E14</v>
      </c>
      <c r="N467" s="797">
        <f t="shared" si="8"/>
        <v>0</v>
      </c>
      <c r="O467" s="798">
        <f t="shared" ref="O467:BK467" si="463">FLOOR(MIN((((N("value of ELS upgrade")+N$8*($K467-$K466))*(N("Check checkbox")+(IF($G$6=TRUE,$G$7,$G$8))/$G$8))/(N("ROI of ELS and multiply by 2 if ELS is 1:1")+IF($G$12 = True, 2, 1) * $J467))/((N("difference in ELS+ and the cost of it")+(($K466*O$8)-($K466*N$8)) / O$7)),(N("MIN lets it return 0 or 1 after floored")+1)),1)</f>
        <v>0</v>
      </c>
      <c r="P467" s="798">
        <f t="shared" si="463"/>
        <v>0</v>
      </c>
      <c r="Q467" s="798">
        <f t="shared" si="463"/>
        <v>0</v>
      </c>
      <c r="R467" s="798">
        <f t="shared" si="463"/>
        <v>0</v>
      </c>
      <c r="S467" s="798">
        <f t="shared" si="463"/>
        <v>0</v>
      </c>
      <c r="T467" s="798">
        <f t="shared" si="463"/>
        <v>0</v>
      </c>
      <c r="U467" s="798">
        <f t="shared" si="463"/>
        <v>0</v>
      </c>
      <c r="V467" s="798">
        <f t="shared" si="463"/>
        <v>0</v>
      </c>
      <c r="W467" s="798">
        <f t="shared" si="463"/>
        <v>0</v>
      </c>
      <c r="X467" s="798">
        <f t="shared" si="463"/>
        <v>0</v>
      </c>
      <c r="Y467" s="798">
        <f t="shared" si="463"/>
        <v>0</v>
      </c>
      <c r="Z467" s="798">
        <f t="shared" si="463"/>
        <v>0</v>
      </c>
      <c r="AA467" s="798">
        <f t="shared" si="463"/>
        <v>0</v>
      </c>
      <c r="AB467" s="798">
        <f t="shared" si="463"/>
        <v>0</v>
      </c>
      <c r="AC467" s="798">
        <f t="shared" si="463"/>
        <v>0</v>
      </c>
      <c r="AD467" s="798">
        <f t="shared" si="463"/>
        <v>0</v>
      </c>
      <c r="AE467" s="798">
        <f t="shared" si="463"/>
        <v>0</v>
      </c>
      <c r="AF467" s="798">
        <f t="shared" si="463"/>
        <v>0</v>
      </c>
      <c r="AG467" s="798">
        <f t="shared" si="463"/>
        <v>0</v>
      </c>
      <c r="AH467" s="798">
        <f t="shared" si="463"/>
        <v>1</v>
      </c>
      <c r="AI467" s="798">
        <f t="shared" si="463"/>
        <v>1</v>
      </c>
      <c r="AJ467" s="798">
        <f t="shared" si="463"/>
        <v>1</v>
      </c>
      <c r="AK467" s="798">
        <f t="shared" si="463"/>
        <v>1</v>
      </c>
      <c r="AL467" s="798">
        <f t="shared" si="463"/>
        <v>1</v>
      </c>
      <c r="AM467" s="798">
        <f t="shared" si="463"/>
        <v>1</v>
      </c>
      <c r="AN467" s="798">
        <f t="shared" si="463"/>
        <v>1</v>
      </c>
      <c r="AO467" s="798">
        <f t="shared" si="463"/>
        <v>1</v>
      </c>
      <c r="AP467" s="798">
        <f t="shared" si="463"/>
        <v>1</v>
      </c>
      <c r="AQ467" s="798">
        <f t="shared" si="463"/>
        <v>1</v>
      </c>
      <c r="AR467" s="798">
        <f t="shared" si="463"/>
        <v>1</v>
      </c>
      <c r="AS467" s="798">
        <f t="shared" si="463"/>
        <v>1</v>
      </c>
      <c r="AT467" s="798">
        <f t="shared" si="463"/>
        <v>1</v>
      </c>
      <c r="AU467" s="798">
        <f t="shared" si="463"/>
        <v>1</v>
      </c>
      <c r="AV467" s="798">
        <f t="shared" si="463"/>
        <v>1</v>
      </c>
      <c r="AW467" s="798">
        <f t="shared" si="463"/>
        <v>1</v>
      </c>
      <c r="AX467" s="798">
        <f t="shared" si="463"/>
        <v>1</v>
      </c>
      <c r="AY467" s="798">
        <f t="shared" si="463"/>
        <v>1</v>
      </c>
      <c r="AZ467" s="798">
        <f t="shared" si="463"/>
        <v>1</v>
      </c>
      <c r="BA467" s="798">
        <f t="shared" si="463"/>
        <v>1</v>
      </c>
      <c r="BB467" s="798">
        <f t="shared" si="463"/>
        <v>1</v>
      </c>
      <c r="BC467" s="798">
        <f t="shared" si="463"/>
        <v>1</v>
      </c>
      <c r="BD467" s="798">
        <f t="shared" si="463"/>
        <v>1</v>
      </c>
      <c r="BE467" s="798">
        <f t="shared" si="463"/>
        <v>1</v>
      </c>
      <c r="BF467" s="798">
        <f t="shared" si="463"/>
        <v>1</v>
      </c>
      <c r="BG467" s="798">
        <f t="shared" si="463"/>
        <v>1</v>
      </c>
      <c r="BH467" s="798">
        <f t="shared" si="463"/>
        <v>1</v>
      </c>
      <c r="BI467" s="798">
        <f t="shared" si="463"/>
        <v>1</v>
      </c>
      <c r="BJ467" s="798">
        <f t="shared" si="463"/>
        <v>1</v>
      </c>
      <c r="BK467" s="798">
        <f t="shared" si="463"/>
        <v>1</v>
      </c>
      <c r="BL467" s="765"/>
      <c r="BM467" s="817"/>
      <c r="BN467" s="817"/>
    </row>
    <row r="468" hidden="1">
      <c r="A468" s="765"/>
      <c r="B468" s="765"/>
      <c r="C468" s="765"/>
      <c r="D468" s="765"/>
      <c r="E468" s="765"/>
      <c r="F468" s="765"/>
      <c r="G468" s="765"/>
      <c r="H468" s="765"/>
      <c r="I468" s="765">
        <f t="shared" si="17"/>
        <v>457</v>
      </c>
      <c r="J468" s="763">
        <f t="shared" si="5"/>
        <v>271195035669745</v>
      </c>
      <c r="K468" s="796">
        <f t="shared" si="7"/>
        <v>0.46229</v>
      </c>
      <c r="L468" s="796">
        <v>5.0E-4</v>
      </c>
      <c r="M468" s="763">
        <v>3.09230371345205E14</v>
      </c>
      <c r="N468" s="797">
        <f t="shared" si="8"/>
        <v>0</v>
      </c>
      <c r="O468" s="798">
        <f t="shared" ref="O468:BK468" si="464">FLOOR(MIN((((N("value of ELS upgrade")+N$8*($K468-$K467))*(N("Check checkbox")+(IF($G$6=TRUE,$G$7,$G$8))/$G$8))/(N("ROI of ELS and multiply by 2 if ELS is 1:1")+IF($G$12 = True, 2, 1) * $J468))/((N("difference in ELS+ and the cost of it")+(($K467*O$8)-($K467*N$8)) / O$7)),(N("MIN lets it return 0 or 1 after floored")+1)),1)</f>
        <v>0</v>
      </c>
      <c r="P468" s="798">
        <f t="shared" si="464"/>
        <v>0</v>
      </c>
      <c r="Q468" s="798">
        <f t="shared" si="464"/>
        <v>0</v>
      </c>
      <c r="R468" s="798">
        <f t="shared" si="464"/>
        <v>0</v>
      </c>
      <c r="S468" s="798">
        <f t="shared" si="464"/>
        <v>0</v>
      </c>
      <c r="T468" s="798">
        <f t="shared" si="464"/>
        <v>0</v>
      </c>
      <c r="U468" s="798">
        <f t="shared" si="464"/>
        <v>0</v>
      </c>
      <c r="V468" s="798">
        <f t="shared" si="464"/>
        <v>0</v>
      </c>
      <c r="W468" s="798">
        <f t="shared" si="464"/>
        <v>0</v>
      </c>
      <c r="X468" s="798">
        <f t="shared" si="464"/>
        <v>0</v>
      </c>
      <c r="Y468" s="798">
        <f t="shared" si="464"/>
        <v>0</v>
      </c>
      <c r="Z468" s="798">
        <f t="shared" si="464"/>
        <v>0</v>
      </c>
      <c r="AA468" s="798">
        <f t="shared" si="464"/>
        <v>0</v>
      </c>
      <c r="AB468" s="798">
        <f t="shared" si="464"/>
        <v>0</v>
      </c>
      <c r="AC468" s="798">
        <f t="shared" si="464"/>
        <v>0</v>
      </c>
      <c r="AD468" s="798">
        <f t="shared" si="464"/>
        <v>0</v>
      </c>
      <c r="AE468" s="798">
        <f t="shared" si="464"/>
        <v>0</v>
      </c>
      <c r="AF468" s="798">
        <f t="shared" si="464"/>
        <v>0</v>
      </c>
      <c r="AG468" s="798">
        <f t="shared" si="464"/>
        <v>0</v>
      </c>
      <c r="AH468" s="798">
        <f t="shared" si="464"/>
        <v>1</v>
      </c>
      <c r="AI468" s="798">
        <f t="shared" si="464"/>
        <v>1</v>
      </c>
      <c r="AJ468" s="798">
        <f t="shared" si="464"/>
        <v>1</v>
      </c>
      <c r="AK468" s="798">
        <f t="shared" si="464"/>
        <v>1</v>
      </c>
      <c r="AL468" s="798">
        <f t="shared" si="464"/>
        <v>1</v>
      </c>
      <c r="AM468" s="798">
        <f t="shared" si="464"/>
        <v>1</v>
      </c>
      <c r="AN468" s="798">
        <f t="shared" si="464"/>
        <v>1</v>
      </c>
      <c r="AO468" s="798">
        <f t="shared" si="464"/>
        <v>1</v>
      </c>
      <c r="AP468" s="798">
        <f t="shared" si="464"/>
        <v>1</v>
      </c>
      <c r="AQ468" s="798">
        <f t="shared" si="464"/>
        <v>1</v>
      </c>
      <c r="AR468" s="798">
        <f t="shared" si="464"/>
        <v>1</v>
      </c>
      <c r="AS468" s="798">
        <f t="shared" si="464"/>
        <v>1</v>
      </c>
      <c r="AT468" s="798">
        <f t="shared" si="464"/>
        <v>1</v>
      </c>
      <c r="AU468" s="798">
        <f t="shared" si="464"/>
        <v>1</v>
      </c>
      <c r="AV468" s="798">
        <f t="shared" si="464"/>
        <v>1</v>
      </c>
      <c r="AW468" s="798">
        <f t="shared" si="464"/>
        <v>1</v>
      </c>
      <c r="AX468" s="798">
        <f t="shared" si="464"/>
        <v>1</v>
      </c>
      <c r="AY468" s="798">
        <f t="shared" si="464"/>
        <v>1</v>
      </c>
      <c r="AZ468" s="798">
        <f t="shared" si="464"/>
        <v>1</v>
      </c>
      <c r="BA468" s="798">
        <f t="shared" si="464"/>
        <v>1</v>
      </c>
      <c r="BB468" s="798">
        <f t="shared" si="464"/>
        <v>1</v>
      </c>
      <c r="BC468" s="798">
        <f t="shared" si="464"/>
        <v>1</v>
      </c>
      <c r="BD468" s="798">
        <f t="shared" si="464"/>
        <v>1</v>
      </c>
      <c r="BE468" s="798">
        <f t="shared" si="464"/>
        <v>1</v>
      </c>
      <c r="BF468" s="798">
        <f t="shared" si="464"/>
        <v>1</v>
      </c>
      <c r="BG468" s="798">
        <f t="shared" si="464"/>
        <v>1</v>
      </c>
      <c r="BH468" s="798">
        <f t="shared" si="464"/>
        <v>1</v>
      </c>
      <c r="BI468" s="798">
        <f t="shared" si="464"/>
        <v>1</v>
      </c>
      <c r="BJ468" s="798">
        <f t="shared" si="464"/>
        <v>1</v>
      </c>
      <c r="BK468" s="798">
        <f t="shared" si="464"/>
        <v>1</v>
      </c>
      <c r="BL468" s="765"/>
      <c r="BM468" s="817"/>
      <c r="BN468" s="817"/>
    </row>
    <row r="469" hidden="1">
      <c r="A469" s="765"/>
      <c r="B469" s="765"/>
      <c r="C469" s="765"/>
      <c r="D469" s="765"/>
      <c r="E469" s="765"/>
      <c r="F469" s="765"/>
      <c r="G469" s="765"/>
      <c r="H469" s="765"/>
      <c r="I469" s="765">
        <f t="shared" si="17"/>
        <v>458</v>
      </c>
      <c r="J469" s="763">
        <f t="shared" si="5"/>
        <v>272192069147343</v>
      </c>
      <c r="K469" s="796">
        <f t="shared" si="7"/>
        <v>0.46279</v>
      </c>
      <c r="L469" s="796">
        <v>5.0E-4</v>
      </c>
      <c r="M469" s="763">
        <v>3.10367239620688E14</v>
      </c>
      <c r="N469" s="797">
        <f t="shared" si="8"/>
        <v>0</v>
      </c>
      <c r="O469" s="798">
        <f t="shared" ref="O469:BK469" si="465">FLOOR(MIN((((N("value of ELS upgrade")+N$8*($K469-$K468))*(N("Check checkbox")+(IF($G$6=TRUE,$G$7,$G$8))/$G$8))/(N("ROI of ELS and multiply by 2 if ELS is 1:1")+IF($G$12 = True, 2, 1) * $J469))/((N("difference in ELS+ and the cost of it")+(($K468*O$8)-($K468*N$8)) / O$7)),(N("MIN lets it return 0 or 1 after floored")+1)),1)</f>
        <v>0</v>
      </c>
      <c r="P469" s="798">
        <f t="shared" si="465"/>
        <v>0</v>
      </c>
      <c r="Q469" s="798">
        <f t="shared" si="465"/>
        <v>0</v>
      </c>
      <c r="R469" s="798">
        <f t="shared" si="465"/>
        <v>0</v>
      </c>
      <c r="S469" s="798">
        <f t="shared" si="465"/>
        <v>0</v>
      </c>
      <c r="T469" s="798">
        <f t="shared" si="465"/>
        <v>0</v>
      </c>
      <c r="U469" s="798">
        <f t="shared" si="465"/>
        <v>0</v>
      </c>
      <c r="V469" s="798">
        <f t="shared" si="465"/>
        <v>0</v>
      </c>
      <c r="W469" s="798">
        <f t="shared" si="465"/>
        <v>0</v>
      </c>
      <c r="X469" s="798">
        <f t="shared" si="465"/>
        <v>0</v>
      </c>
      <c r="Y469" s="798">
        <f t="shared" si="465"/>
        <v>0</v>
      </c>
      <c r="Z469" s="798">
        <f t="shared" si="465"/>
        <v>0</v>
      </c>
      <c r="AA469" s="798">
        <f t="shared" si="465"/>
        <v>0</v>
      </c>
      <c r="AB469" s="798">
        <f t="shared" si="465"/>
        <v>0</v>
      </c>
      <c r="AC469" s="798">
        <f t="shared" si="465"/>
        <v>0</v>
      </c>
      <c r="AD469" s="798">
        <f t="shared" si="465"/>
        <v>0</v>
      </c>
      <c r="AE469" s="798">
        <f t="shared" si="465"/>
        <v>0</v>
      </c>
      <c r="AF469" s="798">
        <f t="shared" si="465"/>
        <v>0</v>
      </c>
      <c r="AG469" s="798">
        <f t="shared" si="465"/>
        <v>0</v>
      </c>
      <c r="AH469" s="798">
        <f t="shared" si="465"/>
        <v>1</v>
      </c>
      <c r="AI469" s="798">
        <f t="shared" si="465"/>
        <v>1</v>
      </c>
      <c r="AJ469" s="798">
        <f t="shared" si="465"/>
        <v>1</v>
      </c>
      <c r="AK469" s="798">
        <f t="shared" si="465"/>
        <v>1</v>
      </c>
      <c r="AL469" s="798">
        <f t="shared" si="465"/>
        <v>1</v>
      </c>
      <c r="AM469" s="798">
        <f t="shared" si="465"/>
        <v>1</v>
      </c>
      <c r="AN469" s="798">
        <f t="shared" si="465"/>
        <v>1</v>
      </c>
      <c r="AO469" s="798">
        <f t="shared" si="465"/>
        <v>1</v>
      </c>
      <c r="AP469" s="798">
        <f t="shared" si="465"/>
        <v>1</v>
      </c>
      <c r="AQ469" s="798">
        <f t="shared" si="465"/>
        <v>1</v>
      </c>
      <c r="AR469" s="798">
        <f t="shared" si="465"/>
        <v>1</v>
      </c>
      <c r="AS469" s="798">
        <f t="shared" si="465"/>
        <v>1</v>
      </c>
      <c r="AT469" s="798">
        <f t="shared" si="465"/>
        <v>1</v>
      </c>
      <c r="AU469" s="798">
        <f t="shared" si="465"/>
        <v>1</v>
      </c>
      <c r="AV469" s="798">
        <f t="shared" si="465"/>
        <v>1</v>
      </c>
      <c r="AW469" s="798">
        <f t="shared" si="465"/>
        <v>1</v>
      </c>
      <c r="AX469" s="798">
        <f t="shared" si="465"/>
        <v>1</v>
      </c>
      <c r="AY469" s="798">
        <f t="shared" si="465"/>
        <v>1</v>
      </c>
      <c r="AZ469" s="798">
        <f t="shared" si="465"/>
        <v>1</v>
      </c>
      <c r="BA469" s="798">
        <f t="shared" si="465"/>
        <v>1</v>
      </c>
      <c r="BB469" s="798">
        <f t="shared" si="465"/>
        <v>1</v>
      </c>
      <c r="BC469" s="798">
        <f t="shared" si="465"/>
        <v>1</v>
      </c>
      <c r="BD469" s="798">
        <f t="shared" si="465"/>
        <v>1</v>
      </c>
      <c r="BE469" s="798">
        <f t="shared" si="465"/>
        <v>1</v>
      </c>
      <c r="BF469" s="798">
        <f t="shared" si="465"/>
        <v>1</v>
      </c>
      <c r="BG469" s="798">
        <f t="shared" si="465"/>
        <v>1</v>
      </c>
      <c r="BH469" s="798">
        <f t="shared" si="465"/>
        <v>1</v>
      </c>
      <c r="BI469" s="798">
        <f t="shared" si="465"/>
        <v>1</v>
      </c>
      <c r="BJ469" s="798">
        <f t="shared" si="465"/>
        <v>1</v>
      </c>
      <c r="BK469" s="798">
        <f t="shared" si="465"/>
        <v>1</v>
      </c>
      <c r="BL469" s="765"/>
      <c r="BM469" s="817"/>
      <c r="BN469" s="817"/>
    </row>
    <row r="470" hidden="1">
      <c r="A470" s="765"/>
      <c r="B470" s="765"/>
      <c r="C470" s="765"/>
      <c r="D470" s="765"/>
      <c r="E470" s="765"/>
      <c r="F470" s="765"/>
      <c r="G470" s="765"/>
      <c r="H470" s="765"/>
      <c r="I470" s="765">
        <f t="shared" si="17"/>
        <v>459</v>
      </c>
      <c r="J470" s="763">
        <f t="shared" si="5"/>
        <v>273192173576527</v>
      </c>
      <c r="K470" s="796">
        <f t="shared" si="7"/>
        <v>0.46329</v>
      </c>
      <c r="L470" s="796">
        <v>5.0E-4</v>
      </c>
      <c r="M470" s="763">
        <v>3.11507609551342E14</v>
      </c>
      <c r="N470" s="797">
        <f t="shared" si="8"/>
        <v>0</v>
      </c>
      <c r="O470" s="798">
        <f t="shared" ref="O470:BK470" si="466">FLOOR(MIN((((N("value of ELS upgrade")+N$8*($K470-$K469))*(N("Check checkbox")+(IF($G$6=TRUE,$G$7,$G$8))/$G$8))/(N("ROI of ELS and multiply by 2 if ELS is 1:1")+IF($G$12 = True, 2, 1) * $J470))/((N("difference in ELS+ and the cost of it")+(($K469*O$8)-($K469*N$8)) / O$7)),(N("MIN lets it return 0 or 1 after floored")+1)),1)</f>
        <v>0</v>
      </c>
      <c r="P470" s="798">
        <f t="shared" si="466"/>
        <v>0</v>
      </c>
      <c r="Q470" s="798">
        <f t="shared" si="466"/>
        <v>0</v>
      </c>
      <c r="R470" s="798">
        <f t="shared" si="466"/>
        <v>0</v>
      </c>
      <c r="S470" s="798">
        <f t="shared" si="466"/>
        <v>0</v>
      </c>
      <c r="T470" s="798">
        <f t="shared" si="466"/>
        <v>0</v>
      </c>
      <c r="U470" s="798">
        <f t="shared" si="466"/>
        <v>0</v>
      </c>
      <c r="V470" s="798">
        <f t="shared" si="466"/>
        <v>0</v>
      </c>
      <c r="W470" s="798">
        <f t="shared" si="466"/>
        <v>0</v>
      </c>
      <c r="X470" s="798">
        <f t="shared" si="466"/>
        <v>0</v>
      </c>
      <c r="Y470" s="798">
        <f t="shared" si="466"/>
        <v>0</v>
      </c>
      <c r="Z470" s="798">
        <f t="shared" si="466"/>
        <v>0</v>
      </c>
      <c r="AA470" s="798">
        <f t="shared" si="466"/>
        <v>0</v>
      </c>
      <c r="AB470" s="798">
        <f t="shared" si="466"/>
        <v>0</v>
      </c>
      <c r="AC470" s="798">
        <f t="shared" si="466"/>
        <v>0</v>
      </c>
      <c r="AD470" s="798">
        <f t="shared" si="466"/>
        <v>0</v>
      </c>
      <c r="AE470" s="798">
        <f t="shared" si="466"/>
        <v>0</v>
      </c>
      <c r="AF470" s="798">
        <f t="shared" si="466"/>
        <v>0</v>
      </c>
      <c r="AG470" s="798">
        <f t="shared" si="466"/>
        <v>0</v>
      </c>
      <c r="AH470" s="798">
        <f t="shared" si="466"/>
        <v>1</v>
      </c>
      <c r="AI470" s="798">
        <f t="shared" si="466"/>
        <v>1</v>
      </c>
      <c r="AJ470" s="798">
        <f t="shared" si="466"/>
        <v>1</v>
      </c>
      <c r="AK470" s="798">
        <f t="shared" si="466"/>
        <v>1</v>
      </c>
      <c r="AL470" s="798">
        <f t="shared" si="466"/>
        <v>1</v>
      </c>
      <c r="AM470" s="798">
        <f t="shared" si="466"/>
        <v>1</v>
      </c>
      <c r="AN470" s="798">
        <f t="shared" si="466"/>
        <v>1</v>
      </c>
      <c r="AO470" s="798">
        <f t="shared" si="466"/>
        <v>1</v>
      </c>
      <c r="AP470" s="798">
        <f t="shared" si="466"/>
        <v>1</v>
      </c>
      <c r="AQ470" s="798">
        <f t="shared" si="466"/>
        <v>1</v>
      </c>
      <c r="AR470" s="798">
        <f t="shared" si="466"/>
        <v>1</v>
      </c>
      <c r="AS470" s="798">
        <f t="shared" si="466"/>
        <v>1</v>
      </c>
      <c r="AT470" s="798">
        <f t="shared" si="466"/>
        <v>1</v>
      </c>
      <c r="AU470" s="798">
        <f t="shared" si="466"/>
        <v>1</v>
      </c>
      <c r="AV470" s="798">
        <f t="shared" si="466"/>
        <v>1</v>
      </c>
      <c r="AW470" s="798">
        <f t="shared" si="466"/>
        <v>1</v>
      </c>
      <c r="AX470" s="798">
        <f t="shared" si="466"/>
        <v>1</v>
      </c>
      <c r="AY470" s="798">
        <f t="shared" si="466"/>
        <v>1</v>
      </c>
      <c r="AZ470" s="798">
        <f t="shared" si="466"/>
        <v>1</v>
      </c>
      <c r="BA470" s="798">
        <f t="shared" si="466"/>
        <v>1</v>
      </c>
      <c r="BB470" s="798">
        <f t="shared" si="466"/>
        <v>1</v>
      </c>
      <c r="BC470" s="798">
        <f t="shared" si="466"/>
        <v>1</v>
      </c>
      <c r="BD470" s="798">
        <f t="shared" si="466"/>
        <v>1</v>
      </c>
      <c r="BE470" s="798">
        <f t="shared" si="466"/>
        <v>1</v>
      </c>
      <c r="BF470" s="798">
        <f t="shared" si="466"/>
        <v>1</v>
      </c>
      <c r="BG470" s="798">
        <f t="shared" si="466"/>
        <v>1</v>
      </c>
      <c r="BH470" s="798">
        <f t="shared" si="466"/>
        <v>1</v>
      </c>
      <c r="BI470" s="798">
        <f t="shared" si="466"/>
        <v>1</v>
      </c>
      <c r="BJ470" s="798">
        <f t="shared" si="466"/>
        <v>1</v>
      </c>
      <c r="BK470" s="798">
        <f t="shared" si="466"/>
        <v>1</v>
      </c>
      <c r="BL470" s="765"/>
      <c r="BM470" s="817"/>
      <c r="BN470" s="817"/>
    </row>
    <row r="471" hidden="1">
      <c r="A471" s="765"/>
      <c r="B471" s="765"/>
      <c r="C471" s="765"/>
      <c r="D471" s="765"/>
      <c r="E471" s="765"/>
      <c r="F471" s="765"/>
      <c r="G471" s="765"/>
      <c r="H471" s="765"/>
      <c r="I471" s="765">
        <f t="shared" si="17"/>
        <v>460</v>
      </c>
      <c r="J471" s="763">
        <f t="shared" si="5"/>
        <v>274195361779641</v>
      </c>
      <c r="K471" s="796">
        <f t="shared" si="7"/>
        <v>0.46379</v>
      </c>
      <c r="L471" s="796">
        <v>5.0E-4</v>
      </c>
      <c r="M471" s="763">
        <v>3.12651495757858E14</v>
      </c>
      <c r="N471" s="797">
        <f t="shared" si="8"/>
        <v>0</v>
      </c>
      <c r="O471" s="798">
        <f t="shared" ref="O471:BK471" si="467">FLOOR(MIN((((N("value of ELS upgrade")+N$8*($K471-$K470))*(N("Check checkbox")+(IF($G$6=TRUE,$G$7,$G$8))/$G$8))/(N("ROI of ELS and multiply by 2 if ELS is 1:1")+IF($G$12 = True, 2, 1) * $J471))/((N("difference in ELS+ and the cost of it")+(($K470*O$8)-($K470*N$8)) / O$7)),(N("MIN lets it return 0 or 1 after floored")+1)),1)</f>
        <v>0</v>
      </c>
      <c r="P471" s="798">
        <f t="shared" si="467"/>
        <v>0</v>
      </c>
      <c r="Q471" s="798">
        <f t="shared" si="467"/>
        <v>0</v>
      </c>
      <c r="R471" s="798">
        <f t="shared" si="467"/>
        <v>0</v>
      </c>
      <c r="S471" s="798">
        <f t="shared" si="467"/>
        <v>0</v>
      </c>
      <c r="T471" s="798">
        <f t="shared" si="467"/>
        <v>0</v>
      </c>
      <c r="U471" s="798">
        <f t="shared" si="467"/>
        <v>0</v>
      </c>
      <c r="V471" s="798">
        <f t="shared" si="467"/>
        <v>0</v>
      </c>
      <c r="W471" s="798">
        <f t="shared" si="467"/>
        <v>0</v>
      </c>
      <c r="X471" s="798">
        <f t="shared" si="467"/>
        <v>0</v>
      </c>
      <c r="Y471" s="798">
        <f t="shared" si="467"/>
        <v>0</v>
      </c>
      <c r="Z471" s="798">
        <f t="shared" si="467"/>
        <v>0</v>
      </c>
      <c r="AA471" s="798">
        <f t="shared" si="467"/>
        <v>0</v>
      </c>
      <c r="AB471" s="798">
        <f t="shared" si="467"/>
        <v>0</v>
      </c>
      <c r="AC471" s="798">
        <f t="shared" si="467"/>
        <v>0</v>
      </c>
      <c r="AD471" s="798">
        <f t="shared" si="467"/>
        <v>0</v>
      </c>
      <c r="AE471" s="798">
        <f t="shared" si="467"/>
        <v>0</v>
      </c>
      <c r="AF471" s="798">
        <f t="shared" si="467"/>
        <v>0</v>
      </c>
      <c r="AG471" s="798">
        <f t="shared" si="467"/>
        <v>0</v>
      </c>
      <c r="AH471" s="798">
        <f t="shared" si="467"/>
        <v>1</v>
      </c>
      <c r="AI471" s="798">
        <f t="shared" si="467"/>
        <v>1</v>
      </c>
      <c r="AJ471" s="798">
        <f t="shared" si="467"/>
        <v>1</v>
      </c>
      <c r="AK471" s="798">
        <f t="shared" si="467"/>
        <v>1</v>
      </c>
      <c r="AL471" s="798">
        <f t="shared" si="467"/>
        <v>1</v>
      </c>
      <c r="AM471" s="798">
        <f t="shared" si="467"/>
        <v>1</v>
      </c>
      <c r="AN471" s="798">
        <f t="shared" si="467"/>
        <v>1</v>
      </c>
      <c r="AO471" s="798">
        <f t="shared" si="467"/>
        <v>1</v>
      </c>
      <c r="AP471" s="798">
        <f t="shared" si="467"/>
        <v>1</v>
      </c>
      <c r="AQ471" s="798">
        <f t="shared" si="467"/>
        <v>1</v>
      </c>
      <c r="AR471" s="798">
        <f t="shared" si="467"/>
        <v>1</v>
      </c>
      <c r="AS471" s="798">
        <f t="shared" si="467"/>
        <v>1</v>
      </c>
      <c r="AT471" s="798">
        <f t="shared" si="467"/>
        <v>1</v>
      </c>
      <c r="AU471" s="798">
        <f t="shared" si="467"/>
        <v>1</v>
      </c>
      <c r="AV471" s="798">
        <f t="shared" si="467"/>
        <v>1</v>
      </c>
      <c r="AW471" s="798">
        <f t="shared" si="467"/>
        <v>1</v>
      </c>
      <c r="AX471" s="798">
        <f t="shared" si="467"/>
        <v>1</v>
      </c>
      <c r="AY471" s="798">
        <f t="shared" si="467"/>
        <v>1</v>
      </c>
      <c r="AZ471" s="798">
        <f t="shared" si="467"/>
        <v>1</v>
      </c>
      <c r="BA471" s="798">
        <f t="shared" si="467"/>
        <v>1</v>
      </c>
      <c r="BB471" s="798">
        <f t="shared" si="467"/>
        <v>1</v>
      </c>
      <c r="BC471" s="798">
        <f t="shared" si="467"/>
        <v>1</v>
      </c>
      <c r="BD471" s="798">
        <f t="shared" si="467"/>
        <v>1</v>
      </c>
      <c r="BE471" s="798">
        <f t="shared" si="467"/>
        <v>1</v>
      </c>
      <c r="BF471" s="798">
        <f t="shared" si="467"/>
        <v>1</v>
      </c>
      <c r="BG471" s="798">
        <f t="shared" si="467"/>
        <v>1</v>
      </c>
      <c r="BH471" s="798">
        <f t="shared" si="467"/>
        <v>1</v>
      </c>
      <c r="BI471" s="798">
        <f t="shared" si="467"/>
        <v>1</v>
      </c>
      <c r="BJ471" s="798">
        <f t="shared" si="467"/>
        <v>1</v>
      </c>
      <c r="BK471" s="798">
        <f t="shared" si="467"/>
        <v>1</v>
      </c>
      <c r="BL471" s="765"/>
      <c r="BM471" s="817"/>
      <c r="BN471" s="817"/>
    </row>
    <row r="472" hidden="1">
      <c r="A472" s="765"/>
      <c r="B472" s="765"/>
      <c r="C472" s="765"/>
      <c r="D472" s="765"/>
      <c r="E472" s="765"/>
      <c r="F472" s="765"/>
      <c r="G472" s="765"/>
      <c r="H472" s="765"/>
      <c r="I472" s="765">
        <f t="shared" si="17"/>
        <v>461</v>
      </c>
      <c r="J472" s="763">
        <f t="shared" si="5"/>
        <v>275201646579030</v>
      </c>
      <c r="K472" s="796">
        <f t="shared" si="7"/>
        <v>0.46429</v>
      </c>
      <c r="L472" s="796">
        <v>5.0E-4</v>
      </c>
      <c r="M472" s="763">
        <v>3.13798912860924E14</v>
      </c>
      <c r="N472" s="797">
        <f t="shared" si="8"/>
        <v>0</v>
      </c>
      <c r="O472" s="798">
        <f t="shared" ref="O472:BK472" si="468">FLOOR(MIN((((N("value of ELS upgrade")+N$8*($K472-$K471))*(N("Check checkbox")+(IF($G$6=TRUE,$G$7,$G$8))/$G$8))/(N("ROI of ELS and multiply by 2 if ELS is 1:1")+IF($G$12 = True, 2, 1) * $J472))/((N("difference in ELS+ and the cost of it")+(($K471*O$8)-($K471*N$8)) / O$7)),(N("MIN lets it return 0 or 1 after floored")+1)),1)</f>
        <v>0</v>
      </c>
      <c r="P472" s="798">
        <f t="shared" si="468"/>
        <v>0</v>
      </c>
      <c r="Q472" s="798">
        <f t="shared" si="468"/>
        <v>0</v>
      </c>
      <c r="R472" s="798">
        <f t="shared" si="468"/>
        <v>0</v>
      </c>
      <c r="S472" s="798">
        <f t="shared" si="468"/>
        <v>0</v>
      </c>
      <c r="T472" s="798">
        <f t="shared" si="468"/>
        <v>0</v>
      </c>
      <c r="U472" s="798">
        <f t="shared" si="468"/>
        <v>0</v>
      </c>
      <c r="V472" s="798">
        <f t="shared" si="468"/>
        <v>0</v>
      </c>
      <c r="W472" s="798">
        <f t="shared" si="468"/>
        <v>0</v>
      </c>
      <c r="X472" s="798">
        <f t="shared" si="468"/>
        <v>0</v>
      </c>
      <c r="Y472" s="798">
        <f t="shared" si="468"/>
        <v>0</v>
      </c>
      <c r="Z472" s="798">
        <f t="shared" si="468"/>
        <v>0</v>
      </c>
      <c r="AA472" s="798">
        <f t="shared" si="468"/>
        <v>0</v>
      </c>
      <c r="AB472" s="798">
        <f t="shared" si="468"/>
        <v>0</v>
      </c>
      <c r="AC472" s="798">
        <f t="shared" si="468"/>
        <v>0</v>
      </c>
      <c r="AD472" s="798">
        <f t="shared" si="468"/>
        <v>0</v>
      </c>
      <c r="AE472" s="798">
        <f t="shared" si="468"/>
        <v>0</v>
      </c>
      <c r="AF472" s="798">
        <f t="shared" si="468"/>
        <v>0</v>
      </c>
      <c r="AG472" s="798">
        <f t="shared" si="468"/>
        <v>0</v>
      </c>
      <c r="AH472" s="798">
        <f t="shared" si="468"/>
        <v>1</v>
      </c>
      <c r="AI472" s="798">
        <f t="shared" si="468"/>
        <v>1</v>
      </c>
      <c r="AJ472" s="798">
        <f t="shared" si="468"/>
        <v>1</v>
      </c>
      <c r="AK472" s="798">
        <f t="shared" si="468"/>
        <v>1</v>
      </c>
      <c r="AL472" s="798">
        <f t="shared" si="468"/>
        <v>1</v>
      </c>
      <c r="AM472" s="798">
        <f t="shared" si="468"/>
        <v>1</v>
      </c>
      <c r="AN472" s="798">
        <f t="shared" si="468"/>
        <v>1</v>
      </c>
      <c r="AO472" s="798">
        <f t="shared" si="468"/>
        <v>1</v>
      </c>
      <c r="AP472" s="798">
        <f t="shared" si="468"/>
        <v>1</v>
      </c>
      <c r="AQ472" s="798">
        <f t="shared" si="468"/>
        <v>1</v>
      </c>
      <c r="AR472" s="798">
        <f t="shared" si="468"/>
        <v>1</v>
      </c>
      <c r="AS472" s="798">
        <f t="shared" si="468"/>
        <v>1</v>
      </c>
      <c r="AT472" s="798">
        <f t="shared" si="468"/>
        <v>1</v>
      </c>
      <c r="AU472" s="798">
        <f t="shared" si="468"/>
        <v>1</v>
      </c>
      <c r="AV472" s="798">
        <f t="shared" si="468"/>
        <v>1</v>
      </c>
      <c r="AW472" s="798">
        <f t="shared" si="468"/>
        <v>1</v>
      </c>
      <c r="AX472" s="798">
        <f t="shared" si="468"/>
        <v>1</v>
      </c>
      <c r="AY472" s="798">
        <f t="shared" si="468"/>
        <v>1</v>
      </c>
      <c r="AZ472" s="798">
        <f t="shared" si="468"/>
        <v>1</v>
      </c>
      <c r="BA472" s="798">
        <f t="shared" si="468"/>
        <v>1</v>
      </c>
      <c r="BB472" s="798">
        <f t="shared" si="468"/>
        <v>1</v>
      </c>
      <c r="BC472" s="798">
        <f t="shared" si="468"/>
        <v>1</v>
      </c>
      <c r="BD472" s="798">
        <f t="shared" si="468"/>
        <v>1</v>
      </c>
      <c r="BE472" s="798">
        <f t="shared" si="468"/>
        <v>1</v>
      </c>
      <c r="BF472" s="798">
        <f t="shared" si="468"/>
        <v>1</v>
      </c>
      <c r="BG472" s="798">
        <f t="shared" si="468"/>
        <v>1</v>
      </c>
      <c r="BH472" s="798">
        <f t="shared" si="468"/>
        <v>1</v>
      </c>
      <c r="BI472" s="798">
        <f t="shared" si="468"/>
        <v>1</v>
      </c>
      <c r="BJ472" s="798">
        <f t="shared" si="468"/>
        <v>1</v>
      </c>
      <c r="BK472" s="798">
        <f t="shared" si="468"/>
        <v>1</v>
      </c>
      <c r="BL472" s="765"/>
      <c r="BM472" s="817"/>
      <c r="BN472" s="817"/>
    </row>
    <row r="473" hidden="1">
      <c r="A473" s="765"/>
      <c r="B473" s="765"/>
      <c r="C473" s="765"/>
      <c r="D473" s="765"/>
      <c r="E473" s="765"/>
      <c r="F473" s="765"/>
      <c r="G473" s="765"/>
      <c r="H473" s="765"/>
      <c r="I473" s="765">
        <f t="shared" si="17"/>
        <v>462</v>
      </c>
      <c r="J473" s="763">
        <f t="shared" si="5"/>
        <v>276211021563521</v>
      </c>
      <c r="K473" s="796">
        <f t="shared" si="7"/>
        <v>0.46479</v>
      </c>
      <c r="L473" s="796">
        <v>5.0E-4</v>
      </c>
      <c r="M473" s="763">
        <v>3.14949853550195E14</v>
      </c>
      <c r="N473" s="797">
        <f t="shared" si="8"/>
        <v>0</v>
      </c>
      <c r="O473" s="798">
        <f t="shared" ref="O473:BK473" si="469">FLOOR(MIN((((N("value of ELS upgrade")+N$8*($K473-$K472))*(N("Check checkbox")+(IF($G$6=TRUE,$G$7,$G$8))/$G$8))/(N("ROI of ELS and multiply by 2 if ELS is 1:1")+IF($G$12 = True, 2, 1) * $J473))/((N("difference in ELS+ and the cost of it")+(($K472*O$8)-($K472*N$8)) / O$7)),(N("MIN lets it return 0 or 1 after floored")+1)),1)</f>
        <v>0</v>
      </c>
      <c r="P473" s="798">
        <f t="shared" si="469"/>
        <v>0</v>
      </c>
      <c r="Q473" s="798">
        <f t="shared" si="469"/>
        <v>0</v>
      </c>
      <c r="R473" s="798">
        <f t="shared" si="469"/>
        <v>0</v>
      </c>
      <c r="S473" s="798">
        <f t="shared" si="469"/>
        <v>0</v>
      </c>
      <c r="T473" s="798">
        <f t="shared" si="469"/>
        <v>0</v>
      </c>
      <c r="U473" s="798">
        <f t="shared" si="469"/>
        <v>0</v>
      </c>
      <c r="V473" s="798">
        <f t="shared" si="469"/>
        <v>0</v>
      </c>
      <c r="W473" s="798">
        <f t="shared" si="469"/>
        <v>0</v>
      </c>
      <c r="X473" s="798">
        <f t="shared" si="469"/>
        <v>0</v>
      </c>
      <c r="Y473" s="798">
        <f t="shared" si="469"/>
        <v>0</v>
      </c>
      <c r="Z473" s="798">
        <f t="shared" si="469"/>
        <v>0</v>
      </c>
      <c r="AA473" s="798">
        <f t="shared" si="469"/>
        <v>0</v>
      </c>
      <c r="AB473" s="798">
        <f t="shared" si="469"/>
        <v>0</v>
      </c>
      <c r="AC473" s="798">
        <f t="shared" si="469"/>
        <v>0</v>
      </c>
      <c r="AD473" s="798">
        <f t="shared" si="469"/>
        <v>0</v>
      </c>
      <c r="AE473" s="798">
        <f t="shared" si="469"/>
        <v>0</v>
      </c>
      <c r="AF473" s="798">
        <f t="shared" si="469"/>
        <v>0</v>
      </c>
      <c r="AG473" s="798">
        <f t="shared" si="469"/>
        <v>0</v>
      </c>
      <c r="AH473" s="798">
        <f t="shared" si="469"/>
        <v>1</v>
      </c>
      <c r="AI473" s="798">
        <f t="shared" si="469"/>
        <v>1</v>
      </c>
      <c r="AJ473" s="798">
        <f t="shared" si="469"/>
        <v>1</v>
      </c>
      <c r="AK473" s="798">
        <f t="shared" si="469"/>
        <v>1</v>
      </c>
      <c r="AL473" s="798">
        <f t="shared" si="469"/>
        <v>1</v>
      </c>
      <c r="AM473" s="798">
        <f t="shared" si="469"/>
        <v>1</v>
      </c>
      <c r="AN473" s="798">
        <f t="shared" si="469"/>
        <v>1</v>
      </c>
      <c r="AO473" s="798">
        <f t="shared" si="469"/>
        <v>1</v>
      </c>
      <c r="AP473" s="798">
        <f t="shared" si="469"/>
        <v>1</v>
      </c>
      <c r="AQ473" s="798">
        <f t="shared" si="469"/>
        <v>1</v>
      </c>
      <c r="AR473" s="798">
        <f t="shared" si="469"/>
        <v>1</v>
      </c>
      <c r="AS473" s="798">
        <f t="shared" si="469"/>
        <v>1</v>
      </c>
      <c r="AT473" s="798">
        <f t="shared" si="469"/>
        <v>1</v>
      </c>
      <c r="AU473" s="798">
        <f t="shared" si="469"/>
        <v>1</v>
      </c>
      <c r="AV473" s="798">
        <f t="shared" si="469"/>
        <v>1</v>
      </c>
      <c r="AW473" s="798">
        <f t="shared" si="469"/>
        <v>1</v>
      </c>
      <c r="AX473" s="798">
        <f t="shared" si="469"/>
        <v>1</v>
      </c>
      <c r="AY473" s="798">
        <f t="shared" si="469"/>
        <v>1</v>
      </c>
      <c r="AZ473" s="798">
        <f t="shared" si="469"/>
        <v>1</v>
      </c>
      <c r="BA473" s="798">
        <f t="shared" si="469"/>
        <v>1</v>
      </c>
      <c r="BB473" s="798">
        <f t="shared" si="469"/>
        <v>1</v>
      </c>
      <c r="BC473" s="798">
        <f t="shared" si="469"/>
        <v>1</v>
      </c>
      <c r="BD473" s="798">
        <f t="shared" si="469"/>
        <v>1</v>
      </c>
      <c r="BE473" s="798">
        <f t="shared" si="469"/>
        <v>1</v>
      </c>
      <c r="BF473" s="798">
        <f t="shared" si="469"/>
        <v>1</v>
      </c>
      <c r="BG473" s="798">
        <f t="shared" si="469"/>
        <v>1</v>
      </c>
      <c r="BH473" s="798">
        <f t="shared" si="469"/>
        <v>1</v>
      </c>
      <c r="BI473" s="798">
        <f t="shared" si="469"/>
        <v>1</v>
      </c>
      <c r="BJ473" s="798">
        <f t="shared" si="469"/>
        <v>1</v>
      </c>
      <c r="BK473" s="798">
        <f t="shared" si="469"/>
        <v>1</v>
      </c>
      <c r="BL473" s="765"/>
      <c r="BM473" s="817"/>
      <c r="BN473" s="817"/>
    </row>
    <row r="474" hidden="1">
      <c r="A474" s="765"/>
      <c r="B474" s="765"/>
      <c r="C474" s="765"/>
      <c r="D474" s="765"/>
      <c r="E474" s="765"/>
      <c r="F474" s="765"/>
      <c r="G474" s="765"/>
      <c r="H474" s="765"/>
      <c r="I474" s="765">
        <f t="shared" si="17"/>
        <v>463</v>
      </c>
      <c r="J474" s="763">
        <f t="shared" si="5"/>
        <v>277223518788977</v>
      </c>
      <c r="K474" s="796">
        <f t="shared" si="7"/>
        <v>0.46529</v>
      </c>
      <c r="L474" s="796">
        <v>5.0E-4</v>
      </c>
      <c r="M474" s="763">
        <v>3.16104354377397E14</v>
      </c>
      <c r="N474" s="797">
        <f t="shared" si="8"/>
        <v>0</v>
      </c>
      <c r="O474" s="798">
        <f t="shared" ref="O474:BK474" si="470">FLOOR(MIN((((N("value of ELS upgrade")+N$8*($K474-$K473))*(N("Check checkbox")+(IF($G$6=TRUE,$G$7,$G$8))/$G$8))/(N("ROI of ELS and multiply by 2 if ELS is 1:1")+IF($G$12 = True, 2, 1) * $J474))/((N("difference in ELS+ and the cost of it")+(($K473*O$8)-($K473*N$8)) / O$7)),(N("MIN lets it return 0 or 1 after floored")+1)),1)</f>
        <v>0</v>
      </c>
      <c r="P474" s="798">
        <f t="shared" si="470"/>
        <v>0</v>
      </c>
      <c r="Q474" s="798">
        <f t="shared" si="470"/>
        <v>0</v>
      </c>
      <c r="R474" s="798">
        <f t="shared" si="470"/>
        <v>0</v>
      </c>
      <c r="S474" s="798">
        <f t="shared" si="470"/>
        <v>0</v>
      </c>
      <c r="T474" s="798">
        <f t="shared" si="470"/>
        <v>0</v>
      </c>
      <c r="U474" s="798">
        <f t="shared" si="470"/>
        <v>0</v>
      </c>
      <c r="V474" s="798">
        <f t="shared" si="470"/>
        <v>0</v>
      </c>
      <c r="W474" s="798">
        <f t="shared" si="470"/>
        <v>0</v>
      </c>
      <c r="X474" s="798">
        <f t="shared" si="470"/>
        <v>0</v>
      </c>
      <c r="Y474" s="798">
        <f t="shared" si="470"/>
        <v>0</v>
      </c>
      <c r="Z474" s="798">
        <f t="shared" si="470"/>
        <v>0</v>
      </c>
      <c r="AA474" s="798">
        <f t="shared" si="470"/>
        <v>0</v>
      </c>
      <c r="AB474" s="798">
        <f t="shared" si="470"/>
        <v>0</v>
      </c>
      <c r="AC474" s="798">
        <f t="shared" si="470"/>
        <v>0</v>
      </c>
      <c r="AD474" s="798">
        <f t="shared" si="470"/>
        <v>0</v>
      </c>
      <c r="AE474" s="798">
        <f t="shared" si="470"/>
        <v>0</v>
      </c>
      <c r="AF474" s="798">
        <f t="shared" si="470"/>
        <v>0</v>
      </c>
      <c r="AG474" s="798">
        <f t="shared" si="470"/>
        <v>0</v>
      </c>
      <c r="AH474" s="798">
        <f t="shared" si="470"/>
        <v>1</v>
      </c>
      <c r="AI474" s="798">
        <f t="shared" si="470"/>
        <v>1</v>
      </c>
      <c r="AJ474" s="798">
        <f t="shared" si="470"/>
        <v>1</v>
      </c>
      <c r="AK474" s="798">
        <f t="shared" si="470"/>
        <v>1</v>
      </c>
      <c r="AL474" s="798">
        <f t="shared" si="470"/>
        <v>1</v>
      </c>
      <c r="AM474" s="798">
        <f t="shared" si="470"/>
        <v>1</v>
      </c>
      <c r="AN474" s="798">
        <f t="shared" si="470"/>
        <v>1</v>
      </c>
      <c r="AO474" s="798">
        <f t="shared" si="470"/>
        <v>1</v>
      </c>
      <c r="AP474" s="798">
        <f t="shared" si="470"/>
        <v>1</v>
      </c>
      <c r="AQ474" s="798">
        <f t="shared" si="470"/>
        <v>1</v>
      </c>
      <c r="AR474" s="798">
        <f t="shared" si="470"/>
        <v>1</v>
      </c>
      <c r="AS474" s="798">
        <f t="shared" si="470"/>
        <v>1</v>
      </c>
      <c r="AT474" s="798">
        <f t="shared" si="470"/>
        <v>1</v>
      </c>
      <c r="AU474" s="798">
        <f t="shared" si="470"/>
        <v>1</v>
      </c>
      <c r="AV474" s="798">
        <f t="shared" si="470"/>
        <v>1</v>
      </c>
      <c r="AW474" s="798">
        <f t="shared" si="470"/>
        <v>1</v>
      </c>
      <c r="AX474" s="798">
        <f t="shared" si="470"/>
        <v>1</v>
      </c>
      <c r="AY474" s="798">
        <f t="shared" si="470"/>
        <v>1</v>
      </c>
      <c r="AZ474" s="798">
        <f t="shared" si="470"/>
        <v>1</v>
      </c>
      <c r="BA474" s="798">
        <f t="shared" si="470"/>
        <v>1</v>
      </c>
      <c r="BB474" s="798">
        <f t="shared" si="470"/>
        <v>1</v>
      </c>
      <c r="BC474" s="798">
        <f t="shared" si="470"/>
        <v>1</v>
      </c>
      <c r="BD474" s="798">
        <f t="shared" si="470"/>
        <v>1</v>
      </c>
      <c r="BE474" s="798">
        <f t="shared" si="470"/>
        <v>1</v>
      </c>
      <c r="BF474" s="798">
        <f t="shared" si="470"/>
        <v>1</v>
      </c>
      <c r="BG474" s="798">
        <f t="shared" si="470"/>
        <v>1</v>
      </c>
      <c r="BH474" s="798">
        <f t="shared" si="470"/>
        <v>1</v>
      </c>
      <c r="BI474" s="798">
        <f t="shared" si="470"/>
        <v>1</v>
      </c>
      <c r="BJ474" s="798">
        <f t="shared" si="470"/>
        <v>1</v>
      </c>
      <c r="BK474" s="798">
        <f t="shared" si="470"/>
        <v>1</v>
      </c>
      <c r="BL474" s="765"/>
      <c r="BM474" s="817"/>
      <c r="BN474" s="817"/>
    </row>
    <row r="475" hidden="1">
      <c r="A475" s="765"/>
      <c r="B475" s="765"/>
      <c r="C475" s="765"/>
      <c r="D475" s="765"/>
      <c r="E475" s="765"/>
      <c r="F475" s="765"/>
      <c r="G475" s="765"/>
      <c r="H475" s="765"/>
      <c r="I475" s="765">
        <f t="shared" si="17"/>
        <v>464</v>
      </c>
      <c r="J475" s="763">
        <f t="shared" si="5"/>
        <v>278239131844225</v>
      </c>
      <c r="K475" s="796">
        <f t="shared" si="7"/>
        <v>0.46579</v>
      </c>
      <c r="L475" s="796">
        <v>5.0E-4</v>
      </c>
      <c r="M475" s="763">
        <v>3.17262408032183E14</v>
      </c>
      <c r="N475" s="797">
        <f t="shared" si="8"/>
        <v>0</v>
      </c>
      <c r="O475" s="798">
        <f t="shared" ref="O475:BK475" si="471">FLOOR(MIN((((N("value of ELS upgrade")+N$8*($K475-$K474))*(N("Check checkbox")+(IF($G$6=TRUE,$G$7,$G$8))/$G$8))/(N("ROI of ELS and multiply by 2 if ELS is 1:1")+IF($G$12 = True, 2, 1) * $J475))/((N("difference in ELS+ and the cost of it")+(($K474*O$8)-($K474*N$8)) / O$7)),(N("MIN lets it return 0 or 1 after floored")+1)),1)</f>
        <v>0</v>
      </c>
      <c r="P475" s="798">
        <f t="shared" si="471"/>
        <v>0</v>
      </c>
      <c r="Q475" s="798">
        <f t="shared" si="471"/>
        <v>0</v>
      </c>
      <c r="R475" s="798">
        <f t="shared" si="471"/>
        <v>0</v>
      </c>
      <c r="S475" s="798">
        <f t="shared" si="471"/>
        <v>0</v>
      </c>
      <c r="T475" s="798">
        <f t="shared" si="471"/>
        <v>0</v>
      </c>
      <c r="U475" s="798">
        <f t="shared" si="471"/>
        <v>0</v>
      </c>
      <c r="V475" s="798">
        <f t="shared" si="471"/>
        <v>0</v>
      </c>
      <c r="W475" s="798">
        <f t="shared" si="471"/>
        <v>0</v>
      </c>
      <c r="X475" s="798">
        <f t="shared" si="471"/>
        <v>0</v>
      </c>
      <c r="Y475" s="798">
        <f t="shared" si="471"/>
        <v>0</v>
      </c>
      <c r="Z475" s="798">
        <f t="shared" si="471"/>
        <v>0</v>
      </c>
      <c r="AA475" s="798">
        <f t="shared" si="471"/>
        <v>0</v>
      </c>
      <c r="AB475" s="798">
        <f t="shared" si="471"/>
        <v>0</v>
      </c>
      <c r="AC475" s="798">
        <f t="shared" si="471"/>
        <v>0</v>
      </c>
      <c r="AD475" s="798">
        <f t="shared" si="471"/>
        <v>0</v>
      </c>
      <c r="AE475" s="798">
        <f t="shared" si="471"/>
        <v>0</v>
      </c>
      <c r="AF475" s="798">
        <f t="shared" si="471"/>
        <v>0</v>
      </c>
      <c r="AG475" s="798">
        <f t="shared" si="471"/>
        <v>0</v>
      </c>
      <c r="AH475" s="798">
        <f t="shared" si="471"/>
        <v>1</v>
      </c>
      <c r="AI475" s="798">
        <f t="shared" si="471"/>
        <v>1</v>
      </c>
      <c r="AJ475" s="798">
        <f t="shared" si="471"/>
        <v>1</v>
      </c>
      <c r="AK475" s="798">
        <f t="shared" si="471"/>
        <v>1</v>
      </c>
      <c r="AL475" s="798">
        <f t="shared" si="471"/>
        <v>1</v>
      </c>
      <c r="AM475" s="798">
        <f t="shared" si="471"/>
        <v>1</v>
      </c>
      <c r="AN475" s="798">
        <f t="shared" si="471"/>
        <v>1</v>
      </c>
      <c r="AO475" s="798">
        <f t="shared" si="471"/>
        <v>1</v>
      </c>
      <c r="AP475" s="798">
        <f t="shared" si="471"/>
        <v>1</v>
      </c>
      <c r="AQ475" s="798">
        <f t="shared" si="471"/>
        <v>1</v>
      </c>
      <c r="AR475" s="798">
        <f t="shared" si="471"/>
        <v>1</v>
      </c>
      <c r="AS475" s="798">
        <f t="shared" si="471"/>
        <v>1</v>
      </c>
      <c r="AT475" s="798">
        <f t="shared" si="471"/>
        <v>1</v>
      </c>
      <c r="AU475" s="798">
        <f t="shared" si="471"/>
        <v>1</v>
      </c>
      <c r="AV475" s="798">
        <f t="shared" si="471"/>
        <v>1</v>
      </c>
      <c r="AW475" s="798">
        <f t="shared" si="471"/>
        <v>1</v>
      </c>
      <c r="AX475" s="798">
        <f t="shared" si="471"/>
        <v>1</v>
      </c>
      <c r="AY475" s="798">
        <f t="shared" si="471"/>
        <v>1</v>
      </c>
      <c r="AZ475" s="798">
        <f t="shared" si="471"/>
        <v>1</v>
      </c>
      <c r="BA475" s="798">
        <f t="shared" si="471"/>
        <v>1</v>
      </c>
      <c r="BB475" s="798">
        <f t="shared" si="471"/>
        <v>1</v>
      </c>
      <c r="BC475" s="798">
        <f t="shared" si="471"/>
        <v>1</v>
      </c>
      <c r="BD475" s="798">
        <f t="shared" si="471"/>
        <v>1</v>
      </c>
      <c r="BE475" s="798">
        <f t="shared" si="471"/>
        <v>1</v>
      </c>
      <c r="BF475" s="798">
        <f t="shared" si="471"/>
        <v>1</v>
      </c>
      <c r="BG475" s="798">
        <f t="shared" si="471"/>
        <v>1</v>
      </c>
      <c r="BH475" s="798">
        <f t="shared" si="471"/>
        <v>1</v>
      </c>
      <c r="BI475" s="798">
        <f t="shared" si="471"/>
        <v>1</v>
      </c>
      <c r="BJ475" s="798">
        <f t="shared" si="471"/>
        <v>1</v>
      </c>
      <c r="BK475" s="798">
        <f t="shared" si="471"/>
        <v>1</v>
      </c>
      <c r="BL475" s="765"/>
      <c r="BM475" s="817"/>
      <c r="BN475" s="817"/>
    </row>
    <row r="476" hidden="1">
      <c r="A476" s="765"/>
      <c r="B476" s="765"/>
      <c r="C476" s="765"/>
      <c r="D476" s="765"/>
      <c r="E476" s="765"/>
      <c r="F476" s="765"/>
      <c r="G476" s="765"/>
      <c r="H476" s="765"/>
      <c r="I476" s="765">
        <f t="shared" si="17"/>
        <v>465</v>
      </c>
      <c r="J476" s="763">
        <f t="shared" si="5"/>
        <v>279257873551609</v>
      </c>
      <c r="K476" s="796">
        <f t="shared" si="7"/>
        <v>0.46629</v>
      </c>
      <c r="L476" s="796">
        <v>5.0E-4</v>
      </c>
      <c r="M476" s="763">
        <v>3.18424029135244E14</v>
      </c>
      <c r="N476" s="797">
        <f t="shared" si="8"/>
        <v>0</v>
      </c>
      <c r="O476" s="798">
        <f t="shared" ref="O476:BK476" si="472">FLOOR(MIN((((N("value of ELS upgrade")+N$8*($K476-$K475))*(N("Check checkbox")+(IF($G$6=TRUE,$G$7,$G$8))/$G$8))/(N("ROI of ELS and multiply by 2 if ELS is 1:1")+IF($G$12 = True, 2, 1) * $J476))/((N("difference in ELS+ and the cost of it")+(($K475*O$8)-($K475*N$8)) / O$7)),(N("MIN lets it return 0 or 1 after floored")+1)),1)</f>
        <v>0</v>
      </c>
      <c r="P476" s="798">
        <f t="shared" si="472"/>
        <v>0</v>
      </c>
      <c r="Q476" s="798">
        <f t="shared" si="472"/>
        <v>0</v>
      </c>
      <c r="R476" s="798">
        <f t="shared" si="472"/>
        <v>0</v>
      </c>
      <c r="S476" s="798">
        <f t="shared" si="472"/>
        <v>0</v>
      </c>
      <c r="T476" s="798">
        <f t="shared" si="472"/>
        <v>0</v>
      </c>
      <c r="U476" s="798">
        <f t="shared" si="472"/>
        <v>0</v>
      </c>
      <c r="V476" s="798">
        <f t="shared" si="472"/>
        <v>0</v>
      </c>
      <c r="W476" s="798">
        <f t="shared" si="472"/>
        <v>0</v>
      </c>
      <c r="X476" s="798">
        <f t="shared" si="472"/>
        <v>0</v>
      </c>
      <c r="Y476" s="798">
        <f t="shared" si="472"/>
        <v>0</v>
      </c>
      <c r="Z476" s="798">
        <f t="shared" si="472"/>
        <v>0</v>
      </c>
      <c r="AA476" s="798">
        <f t="shared" si="472"/>
        <v>0</v>
      </c>
      <c r="AB476" s="798">
        <f t="shared" si="472"/>
        <v>0</v>
      </c>
      <c r="AC476" s="798">
        <f t="shared" si="472"/>
        <v>0</v>
      </c>
      <c r="AD476" s="798">
        <f t="shared" si="472"/>
        <v>0</v>
      </c>
      <c r="AE476" s="798">
        <f t="shared" si="472"/>
        <v>0</v>
      </c>
      <c r="AF476" s="798">
        <f t="shared" si="472"/>
        <v>0</v>
      </c>
      <c r="AG476" s="798">
        <f t="shared" si="472"/>
        <v>0</v>
      </c>
      <c r="AH476" s="798">
        <f t="shared" si="472"/>
        <v>1</v>
      </c>
      <c r="AI476" s="798">
        <f t="shared" si="472"/>
        <v>1</v>
      </c>
      <c r="AJ476" s="798">
        <f t="shared" si="472"/>
        <v>1</v>
      </c>
      <c r="AK476" s="798">
        <f t="shared" si="472"/>
        <v>1</v>
      </c>
      <c r="AL476" s="798">
        <f t="shared" si="472"/>
        <v>1</v>
      </c>
      <c r="AM476" s="798">
        <f t="shared" si="472"/>
        <v>1</v>
      </c>
      <c r="AN476" s="798">
        <f t="shared" si="472"/>
        <v>1</v>
      </c>
      <c r="AO476" s="798">
        <f t="shared" si="472"/>
        <v>1</v>
      </c>
      <c r="AP476" s="798">
        <f t="shared" si="472"/>
        <v>1</v>
      </c>
      <c r="AQ476" s="798">
        <f t="shared" si="472"/>
        <v>1</v>
      </c>
      <c r="AR476" s="798">
        <f t="shared" si="472"/>
        <v>1</v>
      </c>
      <c r="AS476" s="798">
        <f t="shared" si="472"/>
        <v>1</v>
      </c>
      <c r="AT476" s="798">
        <f t="shared" si="472"/>
        <v>1</v>
      </c>
      <c r="AU476" s="798">
        <f t="shared" si="472"/>
        <v>1</v>
      </c>
      <c r="AV476" s="798">
        <f t="shared" si="472"/>
        <v>1</v>
      </c>
      <c r="AW476" s="798">
        <f t="shared" si="472"/>
        <v>1</v>
      </c>
      <c r="AX476" s="798">
        <f t="shared" si="472"/>
        <v>1</v>
      </c>
      <c r="AY476" s="798">
        <f t="shared" si="472"/>
        <v>1</v>
      </c>
      <c r="AZ476" s="798">
        <f t="shared" si="472"/>
        <v>1</v>
      </c>
      <c r="BA476" s="798">
        <f t="shared" si="472"/>
        <v>1</v>
      </c>
      <c r="BB476" s="798">
        <f t="shared" si="472"/>
        <v>1</v>
      </c>
      <c r="BC476" s="798">
        <f t="shared" si="472"/>
        <v>1</v>
      </c>
      <c r="BD476" s="798">
        <f t="shared" si="472"/>
        <v>1</v>
      </c>
      <c r="BE476" s="798">
        <f t="shared" si="472"/>
        <v>1</v>
      </c>
      <c r="BF476" s="798">
        <f t="shared" si="472"/>
        <v>1</v>
      </c>
      <c r="BG476" s="798">
        <f t="shared" si="472"/>
        <v>1</v>
      </c>
      <c r="BH476" s="798">
        <f t="shared" si="472"/>
        <v>1</v>
      </c>
      <c r="BI476" s="798">
        <f t="shared" si="472"/>
        <v>1</v>
      </c>
      <c r="BJ476" s="798">
        <f t="shared" si="472"/>
        <v>1</v>
      </c>
      <c r="BK476" s="798">
        <f t="shared" si="472"/>
        <v>1</v>
      </c>
      <c r="BL476" s="765"/>
      <c r="BM476" s="817"/>
      <c r="BN476" s="817"/>
    </row>
    <row r="477" hidden="1">
      <c r="A477" s="765"/>
      <c r="B477" s="765"/>
      <c r="C477" s="765"/>
      <c r="D477" s="765"/>
      <c r="E477" s="765"/>
      <c r="F477" s="765"/>
      <c r="G477" s="765"/>
      <c r="H477" s="765"/>
      <c r="I477" s="765">
        <f t="shared" si="17"/>
        <v>466</v>
      </c>
      <c r="J477" s="763">
        <f t="shared" si="5"/>
        <v>280279756733475</v>
      </c>
      <c r="K477" s="796">
        <f t="shared" si="7"/>
        <v>0.46679</v>
      </c>
      <c r="L477" s="796">
        <v>5.0E-4</v>
      </c>
      <c r="M477" s="763">
        <v>3.19589232307269E14</v>
      </c>
      <c r="N477" s="797">
        <f t="shared" si="8"/>
        <v>0</v>
      </c>
      <c r="O477" s="798">
        <f t="shared" ref="O477:BK477" si="473">FLOOR(MIN((((N("value of ELS upgrade")+N$8*($K477-$K476))*(N("Check checkbox")+(IF($G$6=TRUE,$G$7,$G$8))/$G$8))/(N("ROI of ELS and multiply by 2 if ELS is 1:1")+IF($G$12 = True, 2, 1) * $J477))/((N("difference in ELS+ and the cost of it")+(($K476*O$8)-($K476*N$8)) / O$7)),(N("MIN lets it return 0 or 1 after floored")+1)),1)</f>
        <v>0</v>
      </c>
      <c r="P477" s="798">
        <f t="shared" si="473"/>
        <v>0</v>
      </c>
      <c r="Q477" s="798">
        <f t="shared" si="473"/>
        <v>0</v>
      </c>
      <c r="R477" s="798">
        <f t="shared" si="473"/>
        <v>0</v>
      </c>
      <c r="S477" s="798">
        <f t="shared" si="473"/>
        <v>0</v>
      </c>
      <c r="T477" s="798">
        <f t="shared" si="473"/>
        <v>0</v>
      </c>
      <c r="U477" s="798">
        <f t="shared" si="473"/>
        <v>0</v>
      </c>
      <c r="V477" s="798">
        <f t="shared" si="473"/>
        <v>0</v>
      </c>
      <c r="W477" s="798">
        <f t="shared" si="473"/>
        <v>0</v>
      </c>
      <c r="X477" s="798">
        <f t="shared" si="473"/>
        <v>0</v>
      </c>
      <c r="Y477" s="798">
        <f t="shared" si="473"/>
        <v>0</v>
      </c>
      <c r="Z477" s="798">
        <f t="shared" si="473"/>
        <v>0</v>
      </c>
      <c r="AA477" s="798">
        <f t="shared" si="473"/>
        <v>0</v>
      </c>
      <c r="AB477" s="798">
        <f t="shared" si="473"/>
        <v>0</v>
      </c>
      <c r="AC477" s="798">
        <f t="shared" si="473"/>
        <v>0</v>
      </c>
      <c r="AD477" s="798">
        <f t="shared" si="473"/>
        <v>0</v>
      </c>
      <c r="AE477" s="798">
        <f t="shared" si="473"/>
        <v>0</v>
      </c>
      <c r="AF477" s="798">
        <f t="shared" si="473"/>
        <v>0</v>
      </c>
      <c r="AG477" s="798">
        <f t="shared" si="473"/>
        <v>0</v>
      </c>
      <c r="AH477" s="798">
        <f t="shared" si="473"/>
        <v>1</v>
      </c>
      <c r="AI477" s="798">
        <f t="shared" si="473"/>
        <v>1</v>
      </c>
      <c r="AJ477" s="798">
        <f t="shared" si="473"/>
        <v>1</v>
      </c>
      <c r="AK477" s="798">
        <f t="shared" si="473"/>
        <v>1</v>
      </c>
      <c r="AL477" s="798">
        <f t="shared" si="473"/>
        <v>1</v>
      </c>
      <c r="AM477" s="798">
        <f t="shared" si="473"/>
        <v>1</v>
      </c>
      <c r="AN477" s="798">
        <f t="shared" si="473"/>
        <v>1</v>
      </c>
      <c r="AO477" s="798">
        <f t="shared" si="473"/>
        <v>1</v>
      </c>
      <c r="AP477" s="798">
        <f t="shared" si="473"/>
        <v>1</v>
      </c>
      <c r="AQ477" s="798">
        <f t="shared" si="473"/>
        <v>1</v>
      </c>
      <c r="AR477" s="798">
        <f t="shared" si="473"/>
        <v>1</v>
      </c>
      <c r="AS477" s="798">
        <f t="shared" si="473"/>
        <v>1</v>
      </c>
      <c r="AT477" s="798">
        <f t="shared" si="473"/>
        <v>1</v>
      </c>
      <c r="AU477" s="798">
        <f t="shared" si="473"/>
        <v>1</v>
      </c>
      <c r="AV477" s="798">
        <f t="shared" si="473"/>
        <v>1</v>
      </c>
      <c r="AW477" s="798">
        <f t="shared" si="473"/>
        <v>1</v>
      </c>
      <c r="AX477" s="798">
        <f t="shared" si="473"/>
        <v>1</v>
      </c>
      <c r="AY477" s="798">
        <f t="shared" si="473"/>
        <v>1</v>
      </c>
      <c r="AZ477" s="798">
        <f t="shared" si="473"/>
        <v>1</v>
      </c>
      <c r="BA477" s="798">
        <f t="shared" si="473"/>
        <v>1</v>
      </c>
      <c r="BB477" s="798">
        <f t="shared" si="473"/>
        <v>1</v>
      </c>
      <c r="BC477" s="798">
        <f t="shared" si="473"/>
        <v>1</v>
      </c>
      <c r="BD477" s="798">
        <f t="shared" si="473"/>
        <v>1</v>
      </c>
      <c r="BE477" s="798">
        <f t="shared" si="473"/>
        <v>1</v>
      </c>
      <c r="BF477" s="798">
        <f t="shared" si="473"/>
        <v>1</v>
      </c>
      <c r="BG477" s="798">
        <f t="shared" si="473"/>
        <v>1</v>
      </c>
      <c r="BH477" s="798">
        <f t="shared" si="473"/>
        <v>1</v>
      </c>
      <c r="BI477" s="798">
        <f t="shared" si="473"/>
        <v>1</v>
      </c>
      <c r="BJ477" s="798">
        <f t="shared" si="473"/>
        <v>1</v>
      </c>
      <c r="BK477" s="798">
        <f t="shared" si="473"/>
        <v>1</v>
      </c>
      <c r="BL477" s="765"/>
      <c r="BM477" s="817"/>
      <c r="BN477" s="817"/>
    </row>
    <row r="478" hidden="1">
      <c r="A478" s="765"/>
      <c r="B478" s="765"/>
      <c r="C478" s="765"/>
      <c r="D478" s="765"/>
      <c r="E478" s="765"/>
      <c r="F478" s="765"/>
      <c r="G478" s="765"/>
      <c r="H478" s="765"/>
      <c r="I478" s="765">
        <f t="shared" si="17"/>
        <v>467</v>
      </c>
      <c r="J478" s="763">
        <f t="shared" si="5"/>
        <v>281304781389823</v>
      </c>
      <c r="K478" s="796">
        <f t="shared" si="7"/>
        <v>0.46729</v>
      </c>
      <c r="L478" s="796">
        <v>5.0E-4</v>
      </c>
      <c r="M478" s="763">
        <v>3.20758017548259E14</v>
      </c>
      <c r="N478" s="797">
        <f t="shared" si="8"/>
        <v>0</v>
      </c>
      <c r="O478" s="798">
        <f t="shared" ref="O478:BK478" si="474">FLOOR(MIN((((N("value of ELS upgrade")+N$8*($K478-$K477))*(N("Check checkbox")+(IF($G$6=TRUE,$G$7,$G$8))/$G$8))/(N("ROI of ELS and multiply by 2 if ELS is 1:1")+IF($G$12 = True, 2, 1) * $J478))/((N("difference in ELS+ and the cost of it")+(($K477*O$8)-($K477*N$8)) / O$7)),(N("MIN lets it return 0 or 1 after floored")+1)),1)</f>
        <v>0</v>
      </c>
      <c r="P478" s="798">
        <f t="shared" si="474"/>
        <v>0</v>
      </c>
      <c r="Q478" s="798">
        <f t="shared" si="474"/>
        <v>0</v>
      </c>
      <c r="R478" s="798">
        <f t="shared" si="474"/>
        <v>0</v>
      </c>
      <c r="S478" s="798">
        <f t="shared" si="474"/>
        <v>0</v>
      </c>
      <c r="T478" s="798">
        <f t="shared" si="474"/>
        <v>0</v>
      </c>
      <c r="U478" s="798">
        <f t="shared" si="474"/>
        <v>0</v>
      </c>
      <c r="V478" s="798">
        <f t="shared" si="474"/>
        <v>0</v>
      </c>
      <c r="W478" s="798">
        <f t="shared" si="474"/>
        <v>0</v>
      </c>
      <c r="X478" s="798">
        <f t="shared" si="474"/>
        <v>0</v>
      </c>
      <c r="Y478" s="798">
        <f t="shared" si="474"/>
        <v>0</v>
      </c>
      <c r="Z478" s="798">
        <f t="shared" si="474"/>
        <v>0</v>
      </c>
      <c r="AA478" s="798">
        <f t="shared" si="474"/>
        <v>0</v>
      </c>
      <c r="AB478" s="798">
        <f t="shared" si="474"/>
        <v>0</v>
      </c>
      <c r="AC478" s="798">
        <f t="shared" si="474"/>
        <v>0</v>
      </c>
      <c r="AD478" s="798">
        <f t="shared" si="474"/>
        <v>0</v>
      </c>
      <c r="AE478" s="798">
        <f t="shared" si="474"/>
        <v>0</v>
      </c>
      <c r="AF478" s="798">
        <f t="shared" si="474"/>
        <v>0</v>
      </c>
      <c r="AG478" s="798">
        <f t="shared" si="474"/>
        <v>0</v>
      </c>
      <c r="AH478" s="798">
        <f t="shared" si="474"/>
        <v>1</v>
      </c>
      <c r="AI478" s="798">
        <f t="shared" si="474"/>
        <v>1</v>
      </c>
      <c r="AJ478" s="798">
        <f t="shared" si="474"/>
        <v>1</v>
      </c>
      <c r="AK478" s="798">
        <f t="shared" si="474"/>
        <v>1</v>
      </c>
      <c r="AL478" s="798">
        <f t="shared" si="474"/>
        <v>1</v>
      </c>
      <c r="AM478" s="798">
        <f t="shared" si="474"/>
        <v>1</v>
      </c>
      <c r="AN478" s="798">
        <f t="shared" si="474"/>
        <v>1</v>
      </c>
      <c r="AO478" s="798">
        <f t="shared" si="474"/>
        <v>1</v>
      </c>
      <c r="AP478" s="798">
        <f t="shared" si="474"/>
        <v>1</v>
      </c>
      <c r="AQ478" s="798">
        <f t="shared" si="474"/>
        <v>1</v>
      </c>
      <c r="AR478" s="798">
        <f t="shared" si="474"/>
        <v>1</v>
      </c>
      <c r="AS478" s="798">
        <f t="shared" si="474"/>
        <v>1</v>
      </c>
      <c r="AT478" s="798">
        <f t="shared" si="474"/>
        <v>1</v>
      </c>
      <c r="AU478" s="798">
        <f t="shared" si="474"/>
        <v>1</v>
      </c>
      <c r="AV478" s="798">
        <f t="shared" si="474"/>
        <v>1</v>
      </c>
      <c r="AW478" s="798">
        <f t="shared" si="474"/>
        <v>1</v>
      </c>
      <c r="AX478" s="798">
        <f t="shared" si="474"/>
        <v>1</v>
      </c>
      <c r="AY478" s="798">
        <f t="shared" si="474"/>
        <v>1</v>
      </c>
      <c r="AZ478" s="798">
        <f t="shared" si="474"/>
        <v>1</v>
      </c>
      <c r="BA478" s="798">
        <f t="shared" si="474"/>
        <v>1</v>
      </c>
      <c r="BB478" s="798">
        <f t="shared" si="474"/>
        <v>1</v>
      </c>
      <c r="BC478" s="798">
        <f t="shared" si="474"/>
        <v>1</v>
      </c>
      <c r="BD478" s="798">
        <f t="shared" si="474"/>
        <v>1</v>
      </c>
      <c r="BE478" s="798">
        <f t="shared" si="474"/>
        <v>1</v>
      </c>
      <c r="BF478" s="798">
        <f t="shared" si="474"/>
        <v>1</v>
      </c>
      <c r="BG478" s="798">
        <f t="shared" si="474"/>
        <v>1</v>
      </c>
      <c r="BH478" s="798">
        <f t="shared" si="474"/>
        <v>1</v>
      </c>
      <c r="BI478" s="798">
        <f t="shared" si="474"/>
        <v>1</v>
      </c>
      <c r="BJ478" s="798">
        <f t="shared" si="474"/>
        <v>1</v>
      </c>
      <c r="BK478" s="798">
        <f t="shared" si="474"/>
        <v>1</v>
      </c>
      <c r="BL478" s="765"/>
      <c r="BM478" s="817"/>
      <c r="BN478" s="817"/>
    </row>
    <row r="479" hidden="1">
      <c r="A479" s="765"/>
      <c r="B479" s="765"/>
      <c r="C479" s="765"/>
      <c r="D479" s="765"/>
      <c r="E479" s="765"/>
      <c r="F479" s="765"/>
      <c r="G479" s="765"/>
      <c r="H479" s="765"/>
      <c r="I479" s="765">
        <f t="shared" si="17"/>
        <v>468</v>
      </c>
      <c r="J479" s="763">
        <f t="shared" si="5"/>
        <v>282332966754171</v>
      </c>
      <c r="K479" s="796">
        <f t="shared" si="7"/>
        <v>0.46779</v>
      </c>
      <c r="L479" s="796">
        <v>5.0E-4</v>
      </c>
      <c r="M479" s="763">
        <v>3.21930406789248E14</v>
      </c>
      <c r="N479" s="797">
        <f t="shared" si="8"/>
        <v>0</v>
      </c>
      <c r="O479" s="798">
        <f t="shared" ref="O479:BK479" si="475">FLOOR(MIN((((N("value of ELS upgrade")+N$8*($K479-$K478))*(N("Check checkbox")+(IF($G$6=TRUE,$G$7,$G$8))/$G$8))/(N("ROI of ELS and multiply by 2 if ELS is 1:1")+IF($G$12 = True, 2, 1) * $J479))/((N("difference in ELS+ and the cost of it")+(($K478*O$8)-($K478*N$8)) / O$7)),(N("MIN lets it return 0 or 1 after floored")+1)),1)</f>
        <v>0</v>
      </c>
      <c r="P479" s="798">
        <f t="shared" si="475"/>
        <v>0</v>
      </c>
      <c r="Q479" s="798">
        <f t="shared" si="475"/>
        <v>0</v>
      </c>
      <c r="R479" s="798">
        <f t="shared" si="475"/>
        <v>0</v>
      </c>
      <c r="S479" s="798">
        <f t="shared" si="475"/>
        <v>0</v>
      </c>
      <c r="T479" s="798">
        <f t="shared" si="475"/>
        <v>0</v>
      </c>
      <c r="U479" s="798">
        <f t="shared" si="475"/>
        <v>0</v>
      </c>
      <c r="V479" s="798">
        <f t="shared" si="475"/>
        <v>0</v>
      </c>
      <c r="W479" s="798">
        <f t="shared" si="475"/>
        <v>0</v>
      </c>
      <c r="X479" s="798">
        <f t="shared" si="475"/>
        <v>0</v>
      </c>
      <c r="Y479" s="798">
        <f t="shared" si="475"/>
        <v>0</v>
      </c>
      <c r="Z479" s="798">
        <f t="shared" si="475"/>
        <v>0</v>
      </c>
      <c r="AA479" s="798">
        <f t="shared" si="475"/>
        <v>0</v>
      </c>
      <c r="AB479" s="798">
        <f t="shared" si="475"/>
        <v>0</v>
      </c>
      <c r="AC479" s="798">
        <f t="shared" si="475"/>
        <v>0</v>
      </c>
      <c r="AD479" s="798">
        <f t="shared" si="475"/>
        <v>0</v>
      </c>
      <c r="AE479" s="798">
        <f t="shared" si="475"/>
        <v>0</v>
      </c>
      <c r="AF479" s="798">
        <f t="shared" si="475"/>
        <v>0</v>
      </c>
      <c r="AG479" s="798">
        <f t="shared" si="475"/>
        <v>0</v>
      </c>
      <c r="AH479" s="798">
        <f t="shared" si="475"/>
        <v>1</v>
      </c>
      <c r="AI479" s="798">
        <f t="shared" si="475"/>
        <v>1</v>
      </c>
      <c r="AJ479" s="798">
        <f t="shared" si="475"/>
        <v>1</v>
      </c>
      <c r="AK479" s="798">
        <f t="shared" si="475"/>
        <v>1</v>
      </c>
      <c r="AL479" s="798">
        <f t="shared" si="475"/>
        <v>1</v>
      </c>
      <c r="AM479" s="798">
        <f t="shared" si="475"/>
        <v>1</v>
      </c>
      <c r="AN479" s="798">
        <f t="shared" si="475"/>
        <v>1</v>
      </c>
      <c r="AO479" s="798">
        <f t="shared" si="475"/>
        <v>1</v>
      </c>
      <c r="AP479" s="798">
        <f t="shared" si="475"/>
        <v>1</v>
      </c>
      <c r="AQ479" s="798">
        <f t="shared" si="475"/>
        <v>1</v>
      </c>
      <c r="AR479" s="798">
        <f t="shared" si="475"/>
        <v>1</v>
      </c>
      <c r="AS479" s="798">
        <f t="shared" si="475"/>
        <v>1</v>
      </c>
      <c r="AT479" s="798">
        <f t="shared" si="475"/>
        <v>1</v>
      </c>
      <c r="AU479" s="798">
        <f t="shared" si="475"/>
        <v>1</v>
      </c>
      <c r="AV479" s="798">
        <f t="shared" si="475"/>
        <v>1</v>
      </c>
      <c r="AW479" s="798">
        <f t="shared" si="475"/>
        <v>1</v>
      </c>
      <c r="AX479" s="798">
        <f t="shared" si="475"/>
        <v>1</v>
      </c>
      <c r="AY479" s="798">
        <f t="shared" si="475"/>
        <v>1</v>
      </c>
      <c r="AZ479" s="798">
        <f t="shared" si="475"/>
        <v>1</v>
      </c>
      <c r="BA479" s="798">
        <f t="shared" si="475"/>
        <v>1</v>
      </c>
      <c r="BB479" s="798">
        <f t="shared" si="475"/>
        <v>1</v>
      </c>
      <c r="BC479" s="798">
        <f t="shared" si="475"/>
        <v>1</v>
      </c>
      <c r="BD479" s="798">
        <f t="shared" si="475"/>
        <v>1</v>
      </c>
      <c r="BE479" s="798">
        <f t="shared" si="475"/>
        <v>1</v>
      </c>
      <c r="BF479" s="798">
        <f t="shared" si="475"/>
        <v>1</v>
      </c>
      <c r="BG479" s="798">
        <f t="shared" si="475"/>
        <v>1</v>
      </c>
      <c r="BH479" s="798">
        <f t="shared" si="475"/>
        <v>1</v>
      </c>
      <c r="BI479" s="798">
        <f t="shared" si="475"/>
        <v>1</v>
      </c>
      <c r="BJ479" s="798">
        <f t="shared" si="475"/>
        <v>1</v>
      </c>
      <c r="BK479" s="798">
        <f t="shared" si="475"/>
        <v>1</v>
      </c>
      <c r="BL479" s="765"/>
      <c r="BM479" s="817"/>
      <c r="BN479" s="817"/>
    </row>
    <row r="480" hidden="1">
      <c r="A480" s="765"/>
      <c r="B480" s="765"/>
      <c r="C480" s="765"/>
      <c r="D480" s="765"/>
      <c r="E480" s="765"/>
      <c r="F480" s="765"/>
      <c r="G480" s="765"/>
      <c r="H480" s="765"/>
      <c r="I480" s="765">
        <f t="shared" si="17"/>
        <v>469</v>
      </c>
      <c r="J480" s="763">
        <f t="shared" si="5"/>
        <v>283364312826516</v>
      </c>
      <c r="K480" s="796">
        <f t="shared" si="7"/>
        <v>0.46829</v>
      </c>
      <c r="L480" s="796">
        <v>5.0E-4</v>
      </c>
      <c r="M480" s="763">
        <v>3.23106400030235E14</v>
      </c>
      <c r="N480" s="797">
        <f t="shared" si="8"/>
        <v>0</v>
      </c>
      <c r="O480" s="798">
        <f t="shared" ref="O480:BK480" si="476">FLOOR(MIN((((N("value of ELS upgrade")+N$8*($K480-$K479))*(N("Check checkbox")+(IF($G$6=TRUE,$G$7,$G$8))/$G$8))/(N("ROI of ELS and multiply by 2 if ELS is 1:1")+IF($G$12 = True, 2, 1) * $J480))/((N("difference in ELS+ and the cost of it")+(($K479*O$8)-($K479*N$8)) / O$7)),(N("MIN lets it return 0 or 1 after floored")+1)),1)</f>
        <v>0</v>
      </c>
      <c r="P480" s="798">
        <f t="shared" si="476"/>
        <v>0</v>
      </c>
      <c r="Q480" s="798">
        <f t="shared" si="476"/>
        <v>0</v>
      </c>
      <c r="R480" s="798">
        <f t="shared" si="476"/>
        <v>0</v>
      </c>
      <c r="S480" s="798">
        <f t="shared" si="476"/>
        <v>0</v>
      </c>
      <c r="T480" s="798">
        <f t="shared" si="476"/>
        <v>0</v>
      </c>
      <c r="U480" s="798">
        <f t="shared" si="476"/>
        <v>0</v>
      </c>
      <c r="V480" s="798">
        <f t="shared" si="476"/>
        <v>0</v>
      </c>
      <c r="W480" s="798">
        <f t="shared" si="476"/>
        <v>0</v>
      </c>
      <c r="X480" s="798">
        <f t="shared" si="476"/>
        <v>0</v>
      </c>
      <c r="Y480" s="798">
        <f t="shared" si="476"/>
        <v>0</v>
      </c>
      <c r="Z480" s="798">
        <f t="shared" si="476"/>
        <v>0</v>
      </c>
      <c r="AA480" s="798">
        <f t="shared" si="476"/>
        <v>0</v>
      </c>
      <c r="AB480" s="798">
        <f t="shared" si="476"/>
        <v>0</v>
      </c>
      <c r="AC480" s="798">
        <f t="shared" si="476"/>
        <v>0</v>
      </c>
      <c r="AD480" s="798">
        <f t="shared" si="476"/>
        <v>0</v>
      </c>
      <c r="AE480" s="798">
        <f t="shared" si="476"/>
        <v>0</v>
      </c>
      <c r="AF480" s="798">
        <f t="shared" si="476"/>
        <v>0</v>
      </c>
      <c r="AG480" s="798">
        <f t="shared" si="476"/>
        <v>0</v>
      </c>
      <c r="AH480" s="798">
        <f t="shared" si="476"/>
        <v>1</v>
      </c>
      <c r="AI480" s="798">
        <f t="shared" si="476"/>
        <v>1</v>
      </c>
      <c r="AJ480" s="798">
        <f t="shared" si="476"/>
        <v>1</v>
      </c>
      <c r="AK480" s="798">
        <f t="shared" si="476"/>
        <v>1</v>
      </c>
      <c r="AL480" s="798">
        <f t="shared" si="476"/>
        <v>1</v>
      </c>
      <c r="AM480" s="798">
        <f t="shared" si="476"/>
        <v>1</v>
      </c>
      <c r="AN480" s="798">
        <f t="shared" si="476"/>
        <v>1</v>
      </c>
      <c r="AO480" s="798">
        <f t="shared" si="476"/>
        <v>1</v>
      </c>
      <c r="AP480" s="798">
        <f t="shared" si="476"/>
        <v>1</v>
      </c>
      <c r="AQ480" s="798">
        <f t="shared" si="476"/>
        <v>1</v>
      </c>
      <c r="AR480" s="798">
        <f t="shared" si="476"/>
        <v>1</v>
      </c>
      <c r="AS480" s="798">
        <f t="shared" si="476"/>
        <v>1</v>
      </c>
      <c r="AT480" s="798">
        <f t="shared" si="476"/>
        <v>1</v>
      </c>
      <c r="AU480" s="798">
        <f t="shared" si="476"/>
        <v>1</v>
      </c>
      <c r="AV480" s="798">
        <f t="shared" si="476"/>
        <v>1</v>
      </c>
      <c r="AW480" s="798">
        <f t="shared" si="476"/>
        <v>1</v>
      </c>
      <c r="AX480" s="798">
        <f t="shared" si="476"/>
        <v>1</v>
      </c>
      <c r="AY480" s="798">
        <f t="shared" si="476"/>
        <v>1</v>
      </c>
      <c r="AZ480" s="798">
        <f t="shared" si="476"/>
        <v>1</v>
      </c>
      <c r="BA480" s="798">
        <f t="shared" si="476"/>
        <v>1</v>
      </c>
      <c r="BB480" s="798">
        <f t="shared" si="476"/>
        <v>1</v>
      </c>
      <c r="BC480" s="798">
        <f t="shared" si="476"/>
        <v>1</v>
      </c>
      <c r="BD480" s="798">
        <f t="shared" si="476"/>
        <v>1</v>
      </c>
      <c r="BE480" s="798">
        <f t="shared" si="476"/>
        <v>1</v>
      </c>
      <c r="BF480" s="798">
        <f t="shared" si="476"/>
        <v>1</v>
      </c>
      <c r="BG480" s="798">
        <f t="shared" si="476"/>
        <v>1</v>
      </c>
      <c r="BH480" s="798">
        <f t="shared" si="476"/>
        <v>1</v>
      </c>
      <c r="BI480" s="798">
        <f t="shared" si="476"/>
        <v>1</v>
      </c>
      <c r="BJ480" s="798">
        <f t="shared" si="476"/>
        <v>1</v>
      </c>
      <c r="BK480" s="798">
        <f t="shared" si="476"/>
        <v>1</v>
      </c>
      <c r="BL480" s="765"/>
      <c r="BM480" s="817"/>
      <c r="BN480" s="817"/>
    </row>
    <row r="481" hidden="1">
      <c r="A481" s="765"/>
      <c r="B481" s="765"/>
      <c r="C481" s="765"/>
      <c r="D481" s="765"/>
      <c r="E481" s="765"/>
      <c r="F481" s="765"/>
      <c r="G481" s="765"/>
      <c r="H481" s="765"/>
      <c r="I481" s="765">
        <f t="shared" si="17"/>
        <v>470</v>
      </c>
      <c r="J481" s="763">
        <f t="shared" si="5"/>
        <v>284398838840379</v>
      </c>
      <c r="K481" s="796">
        <f t="shared" si="7"/>
        <v>0.46879</v>
      </c>
      <c r="L481" s="796">
        <v>5.0E-4</v>
      </c>
      <c r="M481" s="763">
        <v>3.24286019202256E14</v>
      </c>
      <c r="N481" s="797">
        <f t="shared" si="8"/>
        <v>0</v>
      </c>
      <c r="O481" s="798">
        <f t="shared" ref="O481:BK481" si="477">FLOOR(MIN((((N("value of ELS upgrade")+N$8*($K481-$K480))*(N("Check checkbox")+(IF($G$6=TRUE,$G$7,$G$8))/$G$8))/(N("ROI of ELS and multiply by 2 if ELS is 1:1")+IF($G$12 = True, 2, 1) * $J481))/((N("difference in ELS+ and the cost of it")+(($K480*O$8)-($K480*N$8)) / O$7)),(N("MIN lets it return 0 or 1 after floored")+1)),1)</f>
        <v>0</v>
      </c>
      <c r="P481" s="798">
        <f t="shared" si="477"/>
        <v>0</v>
      </c>
      <c r="Q481" s="798">
        <f t="shared" si="477"/>
        <v>0</v>
      </c>
      <c r="R481" s="798">
        <f t="shared" si="477"/>
        <v>0</v>
      </c>
      <c r="S481" s="798">
        <f t="shared" si="477"/>
        <v>0</v>
      </c>
      <c r="T481" s="798">
        <f t="shared" si="477"/>
        <v>0</v>
      </c>
      <c r="U481" s="798">
        <f t="shared" si="477"/>
        <v>0</v>
      </c>
      <c r="V481" s="798">
        <f t="shared" si="477"/>
        <v>0</v>
      </c>
      <c r="W481" s="798">
        <f t="shared" si="477"/>
        <v>0</v>
      </c>
      <c r="X481" s="798">
        <f t="shared" si="477"/>
        <v>0</v>
      </c>
      <c r="Y481" s="798">
        <f t="shared" si="477"/>
        <v>0</v>
      </c>
      <c r="Z481" s="798">
        <f t="shared" si="477"/>
        <v>0</v>
      </c>
      <c r="AA481" s="798">
        <f t="shared" si="477"/>
        <v>0</v>
      </c>
      <c r="AB481" s="798">
        <f t="shared" si="477"/>
        <v>0</v>
      </c>
      <c r="AC481" s="798">
        <f t="shared" si="477"/>
        <v>0</v>
      </c>
      <c r="AD481" s="798">
        <f t="shared" si="477"/>
        <v>0</v>
      </c>
      <c r="AE481" s="798">
        <f t="shared" si="477"/>
        <v>0</v>
      </c>
      <c r="AF481" s="798">
        <f t="shared" si="477"/>
        <v>0</v>
      </c>
      <c r="AG481" s="798">
        <f t="shared" si="477"/>
        <v>0</v>
      </c>
      <c r="AH481" s="798">
        <f t="shared" si="477"/>
        <v>1</v>
      </c>
      <c r="AI481" s="798">
        <f t="shared" si="477"/>
        <v>1</v>
      </c>
      <c r="AJ481" s="798">
        <f t="shared" si="477"/>
        <v>1</v>
      </c>
      <c r="AK481" s="798">
        <f t="shared" si="477"/>
        <v>1</v>
      </c>
      <c r="AL481" s="798">
        <f t="shared" si="477"/>
        <v>1</v>
      </c>
      <c r="AM481" s="798">
        <f t="shared" si="477"/>
        <v>1</v>
      </c>
      <c r="AN481" s="798">
        <f t="shared" si="477"/>
        <v>1</v>
      </c>
      <c r="AO481" s="798">
        <f t="shared" si="477"/>
        <v>1</v>
      </c>
      <c r="AP481" s="798">
        <f t="shared" si="477"/>
        <v>1</v>
      </c>
      <c r="AQ481" s="798">
        <f t="shared" si="477"/>
        <v>1</v>
      </c>
      <c r="AR481" s="798">
        <f t="shared" si="477"/>
        <v>1</v>
      </c>
      <c r="AS481" s="798">
        <f t="shared" si="477"/>
        <v>1</v>
      </c>
      <c r="AT481" s="798">
        <f t="shared" si="477"/>
        <v>1</v>
      </c>
      <c r="AU481" s="798">
        <f t="shared" si="477"/>
        <v>1</v>
      </c>
      <c r="AV481" s="798">
        <f t="shared" si="477"/>
        <v>1</v>
      </c>
      <c r="AW481" s="798">
        <f t="shared" si="477"/>
        <v>1</v>
      </c>
      <c r="AX481" s="798">
        <f t="shared" si="477"/>
        <v>1</v>
      </c>
      <c r="AY481" s="798">
        <f t="shared" si="477"/>
        <v>1</v>
      </c>
      <c r="AZ481" s="798">
        <f t="shared" si="477"/>
        <v>1</v>
      </c>
      <c r="BA481" s="798">
        <f t="shared" si="477"/>
        <v>1</v>
      </c>
      <c r="BB481" s="798">
        <f t="shared" si="477"/>
        <v>1</v>
      </c>
      <c r="BC481" s="798">
        <f t="shared" si="477"/>
        <v>1</v>
      </c>
      <c r="BD481" s="798">
        <f t="shared" si="477"/>
        <v>1</v>
      </c>
      <c r="BE481" s="798">
        <f t="shared" si="477"/>
        <v>1</v>
      </c>
      <c r="BF481" s="798">
        <f t="shared" si="477"/>
        <v>1</v>
      </c>
      <c r="BG481" s="798">
        <f t="shared" si="477"/>
        <v>1</v>
      </c>
      <c r="BH481" s="798">
        <f t="shared" si="477"/>
        <v>1</v>
      </c>
      <c r="BI481" s="798">
        <f t="shared" si="477"/>
        <v>1</v>
      </c>
      <c r="BJ481" s="798">
        <f t="shared" si="477"/>
        <v>1</v>
      </c>
      <c r="BK481" s="798">
        <f t="shared" si="477"/>
        <v>1</v>
      </c>
      <c r="BL481" s="765"/>
      <c r="BM481" s="817"/>
      <c r="BN481" s="817"/>
    </row>
    <row r="482" hidden="1">
      <c r="A482" s="765"/>
      <c r="B482" s="765"/>
      <c r="C482" s="765"/>
      <c r="D482" s="765"/>
      <c r="E482" s="765"/>
      <c r="F482" s="765"/>
      <c r="G482" s="765"/>
      <c r="H482" s="765"/>
      <c r="I482" s="765">
        <f t="shared" si="17"/>
        <v>471</v>
      </c>
      <c r="J482" s="763">
        <f t="shared" si="5"/>
        <v>285436544795757</v>
      </c>
      <c r="K482" s="796">
        <f t="shared" si="7"/>
        <v>0.46929</v>
      </c>
      <c r="L482" s="796">
        <v>5.0E-4</v>
      </c>
      <c r="M482" s="763">
        <v>3.2546926430531E14</v>
      </c>
      <c r="N482" s="797">
        <f t="shared" si="8"/>
        <v>0</v>
      </c>
      <c r="O482" s="798">
        <f t="shared" ref="O482:BK482" si="478">FLOOR(MIN((((N("value of ELS upgrade")+N$8*($K482-$K481))*(N("Check checkbox")+(IF($G$6=TRUE,$G$7,$G$8))/$G$8))/(N("ROI of ELS and multiply by 2 if ELS is 1:1")+IF($G$12 = True, 2, 1) * $J482))/((N("difference in ELS+ and the cost of it")+(($K481*O$8)-($K481*N$8)) / O$7)),(N("MIN lets it return 0 or 1 after floored")+1)),1)</f>
        <v>0</v>
      </c>
      <c r="P482" s="798">
        <f t="shared" si="478"/>
        <v>0</v>
      </c>
      <c r="Q482" s="798">
        <f t="shared" si="478"/>
        <v>0</v>
      </c>
      <c r="R482" s="798">
        <f t="shared" si="478"/>
        <v>0</v>
      </c>
      <c r="S482" s="798">
        <f t="shared" si="478"/>
        <v>0</v>
      </c>
      <c r="T482" s="798">
        <f t="shared" si="478"/>
        <v>0</v>
      </c>
      <c r="U482" s="798">
        <f t="shared" si="478"/>
        <v>0</v>
      </c>
      <c r="V482" s="798">
        <f t="shared" si="478"/>
        <v>0</v>
      </c>
      <c r="W482" s="798">
        <f t="shared" si="478"/>
        <v>0</v>
      </c>
      <c r="X482" s="798">
        <f t="shared" si="478"/>
        <v>0</v>
      </c>
      <c r="Y482" s="798">
        <f t="shared" si="478"/>
        <v>0</v>
      </c>
      <c r="Z482" s="798">
        <f t="shared" si="478"/>
        <v>0</v>
      </c>
      <c r="AA482" s="798">
        <f t="shared" si="478"/>
        <v>0</v>
      </c>
      <c r="AB482" s="798">
        <f t="shared" si="478"/>
        <v>0</v>
      </c>
      <c r="AC482" s="798">
        <f t="shared" si="478"/>
        <v>0</v>
      </c>
      <c r="AD482" s="798">
        <f t="shared" si="478"/>
        <v>0</v>
      </c>
      <c r="AE482" s="798">
        <f t="shared" si="478"/>
        <v>0</v>
      </c>
      <c r="AF482" s="798">
        <f t="shared" si="478"/>
        <v>0</v>
      </c>
      <c r="AG482" s="798">
        <f t="shared" si="478"/>
        <v>0</v>
      </c>
      <c r="AH482" s="798">
        <f t="shared" si="478"/>
        <v>1</v>
      </c>
      <c r="AI482" s="798">
        <f t="shared" si="478"/>
        <v>1</v>
      </c>
      <c r="AJ482" s="798">
        <f t="shared" si="478"/>
        <v>1</v>
      </c>
      <c r="AK482" s="798">
        <f t="shared" si="478"/>
        <v>1</v>
      </c>
      <c r="AL482" s="798">
        <f t="shared" si="478"/>
        <v>1</v>
      </c>
      <c r="AM482" s="798">
        <f t="shared" si="478"/>
        <v>1</v>
      </c>
      <c r="AN482" s="798">
        <f t="shared" si="478"/>
        <v>1</v>
      </c>
      <c r="AO482" s="798">
        <f t="shared" si="478"/>
        <v>1</v>
      </c>
      <c r="AP482" s="798">
        <f t="shared" si="478"/>
        <v>1</v>
      </c>
      <c r="AQ482" s="798">
        <f t="shared" si="478"/>
        <v>1</v>
      </c>
      <c r="AR482" s="798">
        <f t="shared" si="478"/>
        <v>1</v>
      </c>
      <c r="AS482" s="798">
        <f t="shared" si="478"/>
        <v>1</v>
      </c>
      <c r="AT482" s="798">
        <f t="shared" si="478"/>
        <v>1</v>
      </c>
      <c r="AU482" s="798">
        <f t="shared" si="478"/>
        <v>1</v>
      </c>
      <c r="AV482" s="798">
        <f t="shared" si="478"/>
        <v>1</v>
      </c>
      <c r="AW482" s="798">
        <f t="shared" si="478"/>
        <v>1</v>
      </c>
      <c r="AX482" s="798">
        <f t="shared" si="478"/>
        <v>1</v>
      </c>
      <c r="AY482" s="798">
        <f t="shared" si="478"/>
        <v>1</v>
      </c>
      <c r="AZ482" s="798">
        <f t="shared" si="478"/>
        <v>1</v>
      </c>
      <c r="BA482" s="798">
        <f t="shared" si="478"/>
        <v>1</v>
      </c>
      <c r="BB482" s="798">
        <f t="shared" si="478"/>
        <v>1</v>
      </c>
      <c r="BC482" s="798">
        <f t="shared" si="478"/>
        <v>1</v>
      </c>
      <c r="BD482" s="798">
        <f t="shared" si="478"/>
        <v>1</v>
      </c>
      <c r="BE482" s="798">
        <f t="shared" si="478"/>
        <v>1</v>
      </c>
      <c r="BF482" s="798">
        <f t="shared" si="478"/>
        <v>1</v>
      </c>
      <c r="BG482" s="798">
        <f t="shared" si="478"/>
        <v>1</v>
      </c>
      <c r="BH482" s="798">
        <f t="shared" si="478"/>
        <v>1</v>
      </c>
      <c r="BI482" s="798">
        <f t="shared" si="478"/>
        <v>1</v>
      </c>
      <c r="BJ482" s="798">
        <f t="shared" si="478"/>
        <v>1</v>
      </c>
      <c r="BK482" s="798">
        <f t="shared" si="478"/>
        <v>1</v>
      </c>
      <c r="BL482" s="765"/>
      <c r="BM482" s="817"/>
      <c r="BN482" s="817"/>
    </row>
    <row r="483" hidden="1">
      <c r="A483" s="765"/>
      <c r="B483" s="765"/>
      <c r="C483" s="765"/>
      <c r="D483" s="765"/>
      <c r="E483" s="765"/>
      <c r="F483" s="765"/>
      <c r="G483" s="765"/>
      <c r="H483" s="765"/>
      <c r="I483" s="765">
        <f t="shared" si="17"/>
        <v>472</v>
      </c>
      <c r="J483" s="763">
        <f t="shared" si="5"/>
        <v>286477449926168</v>
      </c>
      <c r="K483" s="796">
        <f t="shared" si="7"/>
        <v>0.46979</v>
      </c>
      <c r="L483" s="796">
        <v>5.0E-4</v>
      </c>
      <c r="M483" s="763">
        <v>3.26656157270431E14</v>
      </c>
      <c r="N483" s="797">
        <f t="shared" si="8"/>
        <v>0</v>
      </c>
      <c r="O483" s="798">
        <f t="shared" ref="O483:BK483" si="479">FLOOR(MIN((((N("value of ELS upgrade")+N$8*($K483-$K482))*(N("Check checkbox")+(IF($G$6=TRUE,$G$7,$G$8))/$G$8))/(N("ROI of ELS and multiply by 2 if ELS is 1:1")+IF($G$12 = True, 2, 1) * $J483))/((N("difference in ELS+ and the cost of it")+(($K482*O$8)-($K482*N$8)) / O$7)),(N("MIN lets it return 0 or 1 after floored")+1)),1)</f>
        <v>0</v>
      </c>
      <c r="P483" s="798">
        <f t="shared" si="479"/>
        <v>0</v>
      </c>
      <c r="Q483" s="798">
        <f t="shared" si="479"/>
        <v>0</v>
      </c>
      <c r="R483" s="798">
        <f t="shared" si="479"/>
        <v>0</v>
      </c>
      <c r="S483" s="798">
        <f t="shared" si="479"/>
        <v>0</v>
      </c>
      <c r="T483" s="798">
        <f t="shared" si="479"/>
        <v>0</v>
      </c>
      <c r="U483" s="798">
        <f t="shared" si="479"/>
        <v>0</v>
      </c>
      <c r="V483" s="798">
        <f t="shared" si="479"/>
        <v>0</v>
      </c>
      <c r="W483" s="798">
        <f t="shared" si="479"/>
        <v>0</v>
      </c>
      <c r="X483" s="798">
        <f t="shared" si="479"/>
        <v>0</v>
      </c>
      <c r="Y483" s="798">
        <f t="shared" si="479"/>
        <v>0</v>
      </c>
      <c r="Z483" s="798">
        <f t="shared" si="479"/>
        <v>0</v>
      </c>
      <c r="AA483" s="798">
        <f t="shared" si="479"/>
        <v>0</v>
      </c>
      <c r="AB483" s="798">
        <f t="shared" si="479"/>
        <v>0</v>
      </c>
      <c r="AC483" s="798">
        <f t="shared" si="479"/>
        <v>0</v>
      </c>
      <c r="AD483" s="798">
        <f t="shared" si="479"/>
        <v>0</v>
      </c>
      <c r="AE483" s="798">
        <f t="shared" si="479"/>
        <v>0</v>
      </c>
      <c r="AF483" s="798">
        <f t="shared" si="479"/>
        <v>0</v>
      </c>
      <c r="AG483" s="798">
        <f t="shared" si="479"/>
        <v>0</v>
      </c>
      <c r="AH483" s="798">
        <f t="shared" si="479"/>
        <v>1</v>
      </c>
      <c r="AI483" s="798">
        <f t="shared" si="479"/>
        <v>1</v>
      </c>
      <c r="AJ483" s="798">
        <f t="shared" si="479"/>
        <v>1</v>
      </c>
      <c r="AK483" s="798">
        <f t="shared" si="479"/>
        <v>1</v>
      </c>
      <c r="AL483" s="798">
        <f t="shared" si="479"/>
        <v>1</v>
      </c>
      <c r="AM483" s="798">
        <f t="shared" si="479"/>
        <v>1</v>
      </c>
      <c r="AN483" s="798">
        <f t="shared" si="479"/>
        <v>1</v>
      </c>
      <c r="AO483" s="798">
        <f t="shared" si="479"/>
        <v>1</v>
      </c>
      <c r="AP483" s="798">
        <f t="shared" si="479"/>
        <v>1</v>
      </c>
      <c r="AQ483" s="798">
        <f t="shared" si="479"/>
        <v>1</v>
      </c>
      <c r="AR483" s="798">
        <f t="shared" si="479"/>
        <v>1</v>
      </c>
      <c r="AS483" s="798">
        <f t="shared" si="479"/>
        <v>1</v>
      </c>
      <c r="AT483" s="798">
        <f t="shared" si="479"/>
        <v>1</v>
      </c>
      <c r="AU483" s="798">
        <f t="shared" si="479"/>
        <v>1</v>
      </c>
      <c r="AV483" s="798">
        <f t="shared" si="479"/>
        <v>1</v>
      </c>
      <c r="AW483" s="798">
        <f t="shared" si="479"/>
        <v>1</v>
      </c>
      <c r="AX483" s="798">
        <f t="shared" si="479"/>
        <v>1</v>
      </c>
      <c r="AY483" s="798">
        <f t="shared" si="479"/>
        <v>1</v>
      </c>
      <c r="AZ483" s="798">
        <f t="shared" si="479"/>
        <v>1</v>
      </c>
      <c r="BA483" s="798">
        <f t="shared" si="479"/>
        <v>1</v>
      </c>
      <c r="BB483" s="798">
        <f t="shared" si="479"/>
        <v>1</v>
      </c>
      <c r="BC483" s="798">
        <f t="shared" si="479"/>
        <v>1</v>
      </c>
      <c r="BD483" s="798">
        <f t="shared" si="479"/>
        <v>1</v>
      </c>
      <c r="BE483" s="798">
        <f t="shared" si="479"/>
        <v>1</v>
      </c>
      <c r="BF483" s="798">
        <f t="shared" si="479"/>
        <v>1</v>
      </c>
      <c r="BG483" s="798">
        <f t="shared" si="479"/>
        <v>1</v>
      </c>
      <c r="BH483" s="798">
        <f t="shared" si="479"/>
        <v>1</v>
      </c>
      <c r="BI483" s="798">
        <f t="shared" si="479"/>
        <v>1</v>
      </c>
      <c r="BJ483" s="798">
        <f t="shared" si="479"/>
        <v>1</v>
      </c>
      <c r="BK483" s="798">
        <f t="shared" si="479"/>
        <v>1</v>
      </c>
      <c r="BL483" s="765"/>
      <c r="BM483" s="817"/>
      <c r="BN483" s="817"/>
    </row>
    <row r="484" hidden="1">
      <c r="A484" s="765"/>
      <c r="B484" s="765"/>
      <c r="C484" s="765"/>
      <c r="D484" s="765"/>
      <c r="E484" s="765"/>
      <c r="F484" s="765"/>
      <c r="G484" s="765"/>
      <c r="H484" s="765"/>
      <c r="I484" s="765">
        <f t="shared" si="17"/>
        <v>473</v>
      </c>
      <c r="J484" s="763">
        <f t="shared" si="5"/>
        <v>287521547820441</v>
      </c>
      <c r="K484" s="796">
        <f t="shared" si="7"/>
        <v>0.47029</v>
      </c>
      <c r="L484" s="796">
        <v>5.0E-4</v>
      </c>
      <c r="M484" s="763">
        <v>3.27846690787276E14</v>
      </c>
      <c r="N484" s="797">
        <f t="shared" si="8"/>
        <v>0</v>
      </c>
      <c r="O484" s="798">
        <f t="shared" ref="O484:BK484" si="480">FLOOR(MIN((((N("value of ELS upgrade")+N$8*($K484-$K483))*(N("Check checkbox")+(IF($G$6=TRUE,$G$7,$G$8))/$G$8))/(N("ROI of ELS and multiply by 2 if ELS is 1:1")+IF($G$12 = True, 2, 1) * $J484))/((N("difference in ELS+ and the cost of it")+(($K483*O$8)-($K483*N$8)) / O$7)),(N("MIN lets it return 0 or 1 after floored")+1)),1)</f>
        <v>0</v>
      </c>
      <c r="P484" s="798">
        <f t="shared" si="480"/>
        <v>0</v>
      </c>
      <c r="Q484" s="798">
        <f t="shared" si="480"/>
        <v>0</v>
      </c>
      <c r="R484" s="798">
        <f t="shared" si="480"/>
        <v>0</v>
      </c>
      <c r="S484" s="798">
        <f t="shared" si="480"/>
        <v>0</v>
      </c>
      <c r="T484" s="798">
        <f t="shared" si="480"/>
        <v>0</v>
      </c>
      <c r="U484" s="798">
        <f t="shared" si="480"/>
        <v>0</v>
      </c>
      <c r="V484" s="798">
        <f t="shared" si="480"/>
        <v>0</v>
      </c>
      <c r="W484" s="798">
        <f t="shared" si="480"/>
        <v>0</v>
      </c>
      <c r="X484" s="798">
        <f t="shared" si="480"/>
        <v>0</v>
      </c>
      <c r="Y484" s="798">
        <f t="shared" si="480"/>
        <v>0</v>
      </c>
      <c r="Z484" s="798">
        <f t="shared" si="480"/>
        <v>0</v>
      </c>
      <c r="AA484" s="798">
        <f t="shared" si="480"/>
        <v>0</v>
      </c>
      <c r="AB484" s="798">
        <f t="shared" si="480"/>
        <v>0</v>
      </c>
      <c r="AC484" s="798">
        <f t="shared" si="480"/>
        <v>0</v>
      </c>
      <c r="AD484" s="798">
        <f t="shared" si="480"/>
        <v>0</v>
      </c>
      <c r="AE484" s="798">
        <f t="shared" si="480"/>
        <v>0</v>
      </c>
      <c r="AF484" s="798">
        <f t="shared" si="480"/>
        <v>0</v>
      </c>
      <c r="AG484" s="798">
        <f t="shared" si="480"/>
        <v>0</v>
      </c>
      <c r="AH484" s="798">
        <f t="shared" si="480"/>
        <v>1</v>
      </c>
      <c r="AI484" s="798">
        <f t="shared" si="480"/>
        <v>1</v>
      </c>
      <c r="AJ484" s="798">
        <f t="shared" si="480"/>
        <v>1</v>
      </c>
      <c r="AK484" s="798">
        <f t="shared" si="480"/>
        <v>1</v>
      </c>
      <c r="AL484" s="798">
        <f t="shared" si="480"/>
        <v>1</v>
      </c>
      <c r="AM484" s="798">
        <f t="shared" si="480"/>
        <v>1</v>
      </c>
      <c r="AN484" s="798">
        <f t="shared" si="480"/>
        <v>1</v>
      </c>
      <c r="AO484" s="798">
        <f t="shared" si="480"/>
        <v>1</v>
      </c>
      <c r="AP484" s="798">
        <f t="shared" si="480"/>
        <v>1</v>
      </c>
      <c r="AQ484" s="798">
        <f t="shared" si="480"/>
        <v>1</v>
      </c>
      <c r="AR484" s="798">
        <f t="shared" si="480"/>
        <v>1</v>
      </c>
      <c r="AS484" s="798">
        <f t="shared" si="480"/>
        <v>1</v>
      </c>
      <c r="AT484" s="798">
        <f t="shared" si="480"/>
        <v>1</v>
      </c>
      <c r="AU484" s="798">
        <f t="shared" si="480"/>
        <v>1</v>
      </c>
      <c r="AV484" s="798">
        <f t="shared" si="480"/>
        <v>1</v>
      </c>
      <c r="AW484" s="798">
        <f t="shared" si="480"/>
        <v>1</v>
      </c>
      <c r="AX484" s="798">
        <f t="shared" si="480"/>
        <v>1</v>
      </c>
      <c r="AY484" s="798">
        <f t="shared" si="480"/>
        <v>1</v>
      </c>
      <c r="AZ484" s="798">
        <f t="shared" si="480"/>
        <v>1</v>
      </c>
      <c r="BA484" s="798">
        <f t="shared" si="480"/>
        <v>1</v>
      </c>
      <c r="BB484" s="798">
        <f t="shared" si="480"/>
        <v>1</v>
      </c>
      <c r="BC484" s="798">
        <f t="shared" si="480"/>
        <v>1</v>
      </c>
      <c r="BD484" s="798">
        <f t="shared" si="480"/>
        <v>1</v>
      </c>
      <c r="BE484" s="798">
        <f t="shared" si="480"/>
        <v>1</v>
      </c>
      <c r="BF484" s="798">
        <f t="shared" si="480"/>
        <v>1</v>
      </c>
      <c r="BG484" s="798">
        <f t="shared" si="480"/>
        <v>1</v>
      </c>
      <c r="BH484" s="798">
        <f t="shared" si="480"/>
        <v>1</v>
      </c>
      <c r="BI484" s="798">
        <f t="shared" si="480"/>
        <v>1</v>
      </c>
      <c r="BJ484" s="798">
        <f t="shared" si="480"/>
        <v>1</v>
      </c>
      <c r="BK484" s="798">
        <f t="shared" si="480"/>
        <v>1</v>
      </c>
      <c r="BL484" s="765"/>
      <c r="BM484" s="817"/>
      <c r="BN484" s="817"/>
    </row>
    <row r="485" hidden="1">
      <c r="A485" s="765"/>
      <c r="B485" s="765"/>
      <c r="C485" s="765"/>
      <c r="D485" s="765"/>
      <c r="E485" s="765"/>
      <c r="F485" s="765"/>
      <c r="G485" s="765"/>
      <c r="H485" s="765"/>
      <c r="I485" s="765">
        <f t="shared" si="17"/>
        <v>474</v>
      </c>
      <c r="J485" s="763">
        <f t="shared" si="5"/>
        <v>288568864123265</v>
      </c>
      <c r="K485" s="796">
        <f t="shared" si="7"/>
        <v>0.47079</v>
      </c>
      <c r="L485" s="796">
        <v>5.0E-4</v>
      </c>
      <c r="M485" s="763">
        <v>3.29040894097223E14</v>
      </c>
      <c r="N485" s="797">
        <f t="shared" si="8"/>
        <v>0</v>
      </c>
      <c r="O485" s="798">
        <f t="shared" ref="O485:BK485" si="481">FLOOR(MIN((((N("value of ELS upgrade")+N$8*($K485-$K484))*(N("Check checkbox")+(IF($G$6=TRUE,$G$7,$G$8))/$G$8))/(N("ROI of ELS and multiply by 2 if ELS is 1:1")+IF($G$12 = True, 2, 1) * $J485))/((N("difference in ELS+ and the cost of it")+(($K484*O$8)-($K484*N$8)) / O$7)),(N("MIN lets it return 0 or 1 after floored")+1)),1)</f>
        <v>0</v>
      </c>
      <c r="P485" s="798">
        <f t="shared" si="481"/>
        <v>0</v>
      </c>
      <c r="Q485" s="798">
        <f t="shared" si="481"/>
        <v>0</v>
      </c>
      <c r="R485" s="798">
        <f t="shared" si="481"/>
        <v>0</v>
      </c>
      <c r="S485" s="798">
        <f t="shared" si="481"/>
        <v>0</v>
      </c>
      <c r="T485" s="798">
        <f t="shared" si="481"/>
        <v>0</v>
      </c>
      <c r="U485" s="798">
        <f t="shared" si="481"/>
        <v>0</v>
      </c>
      <c r="V485" s="798">
        <f t="shared" si="481"/>
        <v>0</v>
      </c>
      <c r="W485" s="798">
        <f t="shared" si="481"/>
        <v>0</v>
      </c>
      <c r="X485" s="798">
        <f t="shared" si="481"/>
        <v>0</v>
      </c>
      <c r="Y485" s="798">
        <f t="shared" si="481"/>
        <v>0</v>
      </c>
      <c r="Z485" s="798">
        <f t="shared" si="481"/>
        <v>0</v>
      </c>
      <c r="AA485" s="798">
        <f t="shared" si="481"/>
        <v>0</v>
      </c>
      <c r="AB485" s="798">
        <f t="shared" si="481"/>
        <v>0</v>
      </c>
      <c r="AC485" s="798">
        <f t="shared" si="481"/>
        <v>0</v>
      </c>
      <c r="AD485" s="798">
        <f t="shared" si="481"/>
        <v>0</v>
      </c>
      <c r="AE485" s="798">
        <f t="shared" si="481"/>
        <v>0</v>
      </c>
      <c r="AF485" s="798">
        <f t="shared" si="481"/>
        <v>0</v>
      </c>
      <c r="AG485" s="798">
        <f t="shared" si="481"/>
        <v>0</v>
      </c>
      <c r="AH485" s="798">
        <f t="shared" si="481"/>
        <v>1</v>
      </c>
      <c r="AI485" s="798">
        <f t="shared" si="481"/>
        <v>1</v>
      </c>
      <c r="AJ485" s="798">
        <f t="shared" si="481"/>
        <v>1</v>
      </c>
      <c r="AK485" s="798">
        <f t="shared" si="481"/>
        <v>1</v>
      </c>
      <c r="AL485" s="798">
        <f t="shared" si="481"/>
        <v>1</v>
      </c>
      <c r="AM485" s="798">
        <f t="shared" si="481"/>
        <v>1</v>
      </c>
      <c r="AN485" s="798">
        <f t="shared" si="481"/>
        <v>1</v>
      </c>
      <c r="AO485" s="798">
        <f t="shared" si="481"/>
        <v>1</v>
      </c>
      <c r="AP485" s="798">
        <f t="shared" si="481"/>
        <v>1</v>
      </c>
      <c r="AQ485" s="798">
        <f t="shared" si="481"/>
        <v>1</v>
      </c>
      <c r="AR485" s="798">
        <f t="shared" si="481"/>
        <v>1</v>
      </c>
      <c r="AS485" s="798">
        <f t="shared" si="481"/>
        <v>1</v>
      </c>
      <c r="AT485" s="798">
        <f t="shared" si="481"/>
        <v>1</v>
      </c>
      <c r="AU485" s="798">
        <f t="shared" si="481"/>
        <v>1</v>
      </c>
      <c r="AV485" s="798">
        <f t="shared" si="481"/>
        <v>1</v>
      </c>
      <c r="AW485" s="798">
        <f t="shared" si="481"/>
        <v>1</v>
      </c>
      <c r="AX485" s="798">
        <f t="shared" si="481"/>
        <v>1</v>
      </c>
      <c r="AY485" s="798">
        <f t="shared" si="481"/>
        <v>1</v>
      </c>
      <c r="AZ485" s="798">
        <f t="shared" si="481"/>
        <v>1</v>
      </c>
      <c r="BA485" s="798">
        <f t="shared" si="481"/>
        <v>1</v>
      </c>
      <c r="BB485" s="798">
        <f t="shared" si="481"/>
        <v>1</v>
      </c>
      <c r="BC485" s="798">
        <f t="shared" si="481"/>
        <v>1</v>
      </c>
      <c r="BD485" s="798">
        <f t="shared" si="481"/>
        <v>1</v>
      </c>
      <c r="BE485" s="798">
        <f t="shared" si="481"/>
        <v>1</v>
      </c>
      <c r="BF485" s="798">
        <f t="shared" si="481"/>
        <v>1</v>
      </c>
      <c r="BG485" s="798">
        <f t="shared" si="481"/>
        <v>1</v>
      </c>
      <c r="BH485" s="798">
        <f t="shared" si="481"/>
        <v>1</v>
      </c>
      <c r="BI485" s="798">
        <f t="shared" si="481"/>
        <v>1</v>
      </c>
      <c r="BJ485" s="798">
        <f t="shared" si="481"/>
        <v>1</v>
      </c>
      <c r="BK485" s="798">
        <f t="shared" si="481"/>
        <v>1</v>
      </c>
      <c r="BL485" s="765"/>
      <c r="BM485" s="817"/>
      <c r="BN485" s="817"/>
    </row>
    <row r="486" hidden="1">
      <c r="A486" s="765"/>
      <c r="B486" s="765"/>
      <c r="C486" s="765"/>
      <c r="D486" s="765"/>
      <c r="E486" s="765"/>
      <c r="F486" s="765"/>
      <c r="G486" s="765"/>
      <c r="H486" s="765"/>
      <c r="I486" s="765">
        <f t="shared" si="17"/>
        <v>475</v>
      </c>
      <c r="J486" s="763">
        <f t="shared" si="5"/>
        <v>289619398834639</v>
      </c>
      <c r="K486" s="796">
        <f t="shared" si="7"/>
        <v>0.47129</v>
      </c>
      <c r="L486" s="796">
        <v>5.0E-4</v>
      </c>
      <c r="M486" s="763">
        <v>3.30238767200272E14</v>
      </c>
      <c r="N486" s="797">
        <f t="shared" si="8"/>
        <v>0</v>
      </c>
      <c r="O486" s="798">
        <f t="shared" ref="O486:BK486" si="482">FLOOR(MIN((((N("value of ELS upgrade")+N$8*($K486-$K485))*(N("Check checkbox")+(IF($G$6=TRUE,$G$7,$G$8))/$G$8))/(N("ROI of ELS and multiply by 2 if ELS is 1:1")+IF($G$12 = True, 2, 1) * $J486))/((N("difference in ELS+ and the cost of it")+(($K485*O$8)-($K485*N$8)) / O$7)),(N("MIN lets it return 0 or 1 after floored")+1)),1)</f>
        <v>0</v>
      </c>
      <c r="P486" s="798">
        <f t="shared" si="482"/>
        <v>0</v>
      </c>
      <c r="Q486" s="798">
        <f t="shared" si="482"/>
        <v>0</v>
      </c>
      <c r="R486" s="798">
        <f t="shared" si="482"/>
        <v>0</v>
      </c>
      <c r="S486" s="798">
        <f t="shared" si="482"/>
        <v>0</v>
      </c>
      <c r="T486" s="798">
        <f t="shared" si="482"/>
        <v>0</v>
      </c>
      <c r="U486" s="798">
        <f t="shared" si="482"/>
        <v>0</v>
      </c>
      <c r="V486" s="798">
        <f t="shared" si="482"/>
        <v>0</v>
      </c>
      <c r="W486" s="798">
        <f t="shared" si="482"/>
        <v>0</v>
      </c>
      <c r="X486" s="798">
        <f t="shared" si="482"/>
        <v>0</v>
      </c>
      <c r="Y486" s="798">
        <f t="shared" si="482"/>
        <v>0</v>
      </c>
      <c r="Z486" s="798">
        <f t="shared" si="482"/>
        <v>0</v>
      </c>
      <c r="AA486" s="798">
        <f t="shared" si="482"/>
        <v>0</v>
      </c>
      <c r="AB486" s="798">
        <f t="shared" si="482"/>
        <v>0</v>
      </c>
      <c r="AC486" s="798">
        <f t="shared" si="482"/>
        <v>0</v>
      </c>
      <c r="AD486" s="798">
        <f t="shared" si="482"/>
        <v>0</v>
      </c>
      <c r="AE486" s="798">
        <f t="shared" si="482"/>
        <v>0</v>
      </c>
      <c r="AF486" s="798">
        <f t="shared" si="482"/>
        <v>0</v>
      </c>
      <c r="AG486" s="798">
        <f t="shared" si="482"/>
        <v>0</v>
      </c>
      <c r="AH486" s="798">
        <f t="shared" si="482"/>
        <v>1</v>
      </c>
      <c r="AI486" s="798">
        <f t="shared" si="482"/>
        <v>1</v>
      </c>
      <c r="AJ486" s="798">
        <f t="shared" si="482"/>
        <v>1</v>
      </c>
      <c r="AK486" s="798">
        <f t="shared" si="482"/>
        <v>1</v>
      </c>
      <c r="AL486" s="798">
        <f t="shared" si="482"/>
        <v>1</v>
      </c>
      <c r="AM486" s="798">
        <f t="shared" si="482"/>
        <v>1</v>
      </c>
      <c r="AN486" s="798">
        <f t="shared" si="482"/>
        <v>1</v>
      </c>
      <c r="AO486" s="798">
        <f t="shared" si="482"/>
        <v>1</v>
      </c>
      <c r="AP486" s="798">
        <f t="shared" si="482"/>
        <v>1</v>
      </c>
      <c r="AQ486" s="798">
        <f t="shared" si="482"/>
        <v>1</v>
      </c>
      <c r="AR486" s="798">
        <f t="shared" si="482"/>
        <v>1</v>
      </c>
      <c r="AS486" s="798">
        <f t="shared" si="482"/>
        <v>1</v>
      </c>
      <c r="AT486" s="798">
        <f t="shared" si="482"/>
        <v>1</v>
      </c>
      <c r="AU486" s="798">
        <f t="shared" si="482"/>
        <v>1</v>
      </c>
      <c r="AV486" s="798">
        <f t="shared" si="482"/>
        <v>1</v>
      </c>
      <c r="AW486" s="798">
        <f t="shared" si="482"/>
        <v>1</v>
      </c>
      <c r="AX486" s="798">
        <f t="shared" si="482"/>
        <v>1</v>
      </c>
      <c r="AY486" s="798">
        <f t="shared" si="482"/>
        <v>1</v>
      </c>
      <c r="AZ486" s="798">
        <f t="shared" si="482"/>
        <v>1</v>
      </c>
      <c r="BA486" s="798">
        <f t="shared" si="482"/>
        <v>1</v>
      </c>
      <c r="BB486" s="798">
        <f t="shared" si="482"/>
        <v>1</v>
      </c>
      <c r="BC486" s="798">
        <f t="shared" si="482"/>
        <v>1</v>
      </c>
      <c r="BD486" s="798">
        <f t="shared" si="482"/>
        <v>1</v>
      </c>
      <c r="BE486" s="798">
        <f t="shared" si="482"/>
        <v>1</v>
      </c>
      <c r="BF486" s="798">
        <f t="shared" si="482"/>
        <v>1</v>
      </c>
      <c r="BG486" s="798">
        <f t="shared" si="482"/>
        <v>1</v>
      </c>
      <c r="BH486" s="798">
        <f t="shared" si="482"/>
        <v>1</v>
      </c>
      <c r="BI486" s="798">
        <f t="shared" si="482"/>
        <v>1</v>
      </c>
      <c r="BJ486" s="798">
        <f t="shared" si="482"/>
        <v>1</v>
      </c>
      <c r="BK486" s="798">
        <f t="shared" si="482"/>
        <v>1</v>
      </c>
      <c r="BL486" s="765"/>
      <c r="BM486" s="817"/>
      <c r="BN486" s="817"/>
    </row>
    <row r="487" hidden="1">
      <c r="A487" s="765"/>
      <c r="B487" s="765"/>
      <c r="C487" s="765"/>
      <c r="D487" s="765"/>
      <c r="E487" s="765"/>
      <c r="F487" s="765"/>
      <c r="G487" s="765"/>
      <c r="H487" s="765"/>
      <c r="I487" s="765">
        <f t="shared" si="17"/>
        <v>476</v>
      </c>
      <c r="J487" s="763">
        <f t="shared" si="5"/>
        <v>290673164776907</v>
      </c>
      <c r="K487" s="796">
        <f t="shared" si="7"/>
        <v>0.47179</v>
      </c>
      <c r="L487" s="796">
        <v>5.0E-4</v>
      </c>
      <c r="M487" s="763">
        <v>3.31440324717112E14</v>
      </c>
      <c r="N487" s="797">
        <f t="shared" si="8"/>
        <v>0</v>
      </c>
      <c r="O487" s="798">
        <f t="shared" ref="O487:BK487" si="483">FLOOR(MIN((((N("value of ELS upgrade")+N$8*($K487-$K486))*(N("Check checkbox")+(IF($G$6=TRUE,$G$7,$G$8))/$G$8))/(N("ROI of ELS and multiply by 2 if ELS is 1:1")+IF($G$12 = True, 2, 1) * $J487))/((N("difference in ELS+ and the cost of it")+(($K486*O$8)-($K486*N$8)) / O$7)),(N("MIN lets it return 0 or 1 after floored")+1)),1)</f>
        <v>0</v>
      </c>
      <c r="P487" s="798">
        <f t="shared" si="483"/>
        <v>0</v>
      </c>
      <c r="Q487" s="798">
        <f t="shared" si="483"/>
        <v>0</v>
      </c>
      <c r="R487" s="798">
        <f t="shared" si="483"/>
        <v>0</v>
      </c>
      <c r="S487" s="798">
        <f t="shared" si="483"/>
        <v>0</v>
      </c>
      <c r="T487" s="798">
        <f t="shared" si="483"/>
        <v>0</v>
      </c>
      <c r="U487" s="798">
        <f t="shared" si="483"/>
        <v>0</v>
      </c>
      <c r="V487" s="798">
        <f t="shared" si="483"/>
        <v>0</v>
      </c>
      <c r="W487" s="798">
        <f t="shared" si="483"/>
        <v>0</v>
      </c>
      <c r="X487" s="798">
        <f t="shared" si="483"/>
        <v>0</v>
      </c>
      <c r="Y487" s="798">
        <f t="shared" si="483"/>
        <v>0</v>
      </c>
      <c r="Z487" s="798">
        <f t="shared" si="483"/>
        <v>0</v>
      </c>
      <c r="AA487" s="798">
        <f t="shared" si="483"/>
        <v>0</v>
      </c>
      <c r="AB487" s="798">
        <f t="shared" si="483"/>
        <v>0</v>
      </c>
      <c r="AC487" s="798">
        <f t="shared" si="483"/>
        <v>0</v>
      </c>
      <c r="AD487" s="798">
        <f t="shared" si="483"/>
        <v>0</v>
      </c>
      <c r="AE487" s="798">
        <f t="shared" si="483"/>
        <v>0</v>
      </c>
      <c r="AF487" s="798">
        <f t="shared" si="483"/>
        <v>0</v>
      </c>
      <c r="AG487" s="798">
        <f t="shared" si="483"/>
        <v>0</v>
      </c>
      <c r="AH487" s="798">
        <f t="shared" si="483"/>
        <v>1</v>
      </c>
      <c r="AI487" s="798">
        <f t="shared" si="483"/>
        <v>1</v>
      </c>
      <c r="AJ487" s="798">
        <f t="shared" si="483"/>
        <v>1</v>
      </c>
      <c r="AK487" s="798">
        <f t="shared" si="483"/>
        <v>1</v>
      </c>
      <c r="AL487" s="798">
        <f t="shared" si="483"/>
        <v>1</v>
      </c>
      <c r="AM487" s="798">
        <f t="shared" si="483"/>
        <v>1</v>
      </c>
      <c r="AN487" s="798">
        <f t="shared" si="483"/>
        <v>1</v>
      </c>
      <c r="AO487" s="798">
        <f t="shared" si="483"/>
        <v>1</v>
      </c>
      <c r="AP487" s="798">
        <f t="shared" si="483"/>
        <v>1</v>
      </c>
      <c r="AQ487" s="798">
        <f t="shared" si="483"/>
        <v>1</v>
      </c>
      <c r="AR487" s="798">
        <f t="shared" si="483"/>
        <v>1</v>
      </c>
      <c r="AS487" s="798">
        <f t="shared" si="483"/>
        <v>1</v>
      </c>
      <c r="AT487" s="798">
        <f t="shared" si="483"/>
        <v>1</v>
      </c>
      <c r="AU487" s="798">
        <f t="shared" si="483"/>
        <v>1</v>
      </c>
      <c r="AV487" s="798">
        <f t="shared" si="483"/>
        <v>1</v>
      </c>
      <c r="AW487" s="798">
        <f t="shared" si="483"/>
        <v>1</v>
      </c>
      <c r="AX487" s="798">
        <f t="shared" si="483"/>
        <v>1</v>
      </c>
      <c r="AY487" s="798">
        <f t="shared" si="483"/>
        <v>1</v>
      </c>
      <c r="AZ487" s="798">
        <f t="shared" si="483"/>
        <v>1</v>
      </c>
      <c r="BA487" s="798">
        <f t="shared" si="483"/>
        <v>1</v>
      </c>
      <c r="BB487" s="798">
        <f t="shared" si="483"/>
        <v>1</v>
      </c>
      <c r="BC487" s="798">
        <f t="shared" si="483"/>
        <v>1</v>
      </c>
      <c r="BD487" s="798">
        <f t="shared" si="483"/>
        <v>1</v>
      </c>
      <c r="BE487" s="798">
        <f t="shared" si="483"/>
        <v>1</v>
      </c>
      <c r="BF487" s="798">
        <f t="shared" si="483"/>
        <v>1</v>
      </c>
      <c r="BG487" s="798">
        <f t="shared" si="483"/>
        <v>1</v>
      </c>
      <c r="BH487" s="798">
        <f t="shared" si="483"/>
        <v>1</v>
      </c>
      <c r="BI487" s="798">
        <f t="shared" si="483"/>
        <v>1</v>
      </c>
      <c r="BJ487" s="798">
        <f t="shared" si="483"/>
        <v>1</v>
      </c>
      <c r="BK487" s="798">
        <f t="shared" si="483"/>
        <v>1</v>
      </c>
      <c r="BL487" s="765"/>
      <c r="BM487" s="817"/>
      <c r="BN487" s="817"/>
    </row>
    <row r="488" hidden="1">
      <c r="A488" s="765"/>
      <c r="B488" s="765"/>
      <c r="C488" s="765"/>
      <c r="D488" s="765"/>
      <c r="E488" s="765"/>
      <c r="F488" s="765"/>
      <c r="G488" s="765"/>
      <c r="H488" s="765"/>
      <c r="I488" s="765">
        <f t="shared" si="17"/>
        <v>477</v>
      </c>
      <c r="J488" s="763">
        <f t="shared" si="5"/>
        <v>291730168361245</v>
      </c>
      <c r="K488" s="796">
        <f t="shared" si="7"/>
        <v>0.47229</v>
      </c>
      <c r="L488" s="796">
        <v>5.0E-4</v>
      </c>
      <c r="M488" s="763">
        <v>3.3264557395809E14</v>
      </c>
      <c r="N488" s="797">
        <f t="shared" si="8"/>
        <v>0</v>
      </c>
      <c r="O488" s="798">
        <f t="shared" ref="O488:BK488" si="484">FLOOR(MIN((((N("value of ELS upgrade")+N$8*($K488-$K487))*(N("Check checkbox")+(IF($G$6=TRUE,$G$7,$G$8))/$G$8))/(N("ROI of ELS and multiply by 2 if ELS is 1:1")+IF($G$12 = True, 2, 1) * $J488))/((N("difference in ELS+ and the cost of it")+(($K487*O$8)-($K487*N$8)) / O$7)),(N("MIN lets it return 0 or 1 after floored")+1)),1)</f>
        <v>0</v>
      </c>
      <c r="P488" s="798">
        <f t="shared" si="484"/>
        <v>0</v>
      </c>
      <c r="Q488" s="798">
        <f t="shared" si="484"/>
        <v>0</v>
      </c>
      <c r="R488" s="798">
        <f t="shared" si="484"/>
        <v>0</v>
      </c>
      <c r="S488" s="798">
        <f t="shared" si="484"/>
        <v>0</v>
      </c>
      <c r="T488" s="798">
        <f t="shared" si="484"/>
        <v>0</v>
      </c>
      <c r="U488" s="798">
        <f t="shared" si="484"/>
        <v>0</v>
      </c>
      <c r="V488" s="798">
        <f t="shared" si="484"/>
        <v>0</v>
      </c>
      <c r="W488" s="798">
        <f t="shared" si="484"/>
        <v>0</v>
      </c>
      <c r="X488" s="798">
        <f t="shared" si="484"/>
        <v>0</v>
      </c>
      <c r="Y488" s="798">
        <f t="shared" si="484"/>
        <v>0</v>
      </c>
      <c r="Z488" s="798">
        <f t="shared" si="484"/>
        <v>0</v>
      </c>
      <c r="AA488" s="798">
        <f t="shared" si="484"/>
        <v>0</v>
      </c>
      <c r="AB488" s="798">
        <f t="shared" si="484"/>
        <v>0</v>
      </c>
      <c r="AC488" s="798">
        <f t="shared" si="484"/>
        <v>0</v>
      </c>
      <c r="AD488" s="798">
        <f t="shared" si="484"/>
        <v>0</v>
      </c>
      <c r="AE488" s="798">
        <f t="shared" si="484"/>
        <v>0</v>
      </c>
      <c r="AF488" s="798">
        <f t="shared" si="484"/>
        <v>0</v>
      </c>
      <c r="AG488" s="798">
        <f t="shared" si="484"/>
        <v>0</v>
      </c>
      <c r="AH488" s="798">
        <f t="shared" si="484"/>
        <v>1</v>
      </c>
      <c r="AI488" s="798">
        <f t="shared" si="484"/>
        <v>1</v>
      </c>
      <c r="AJ488" s="798">
        <f t="shared" si="484"/>
        <v>1</v>
      </c>
      <c r="AK488" s="798">
        <f t="shared" si="484"/>
        <v>1</v>
      </c>
      <c r="AL488" s="798">
        <f t="shared" si="484"/>
        <v>1</v>
      </c>
      <c r="AM488" s="798">
        <f t="shared" si="484"/>
        <v>1</v>
      </c>
      <c r="AN488" s="798">
        <f t="shared" si="484"/>
        <v>1</v>
      </c>
      <c r="AO488" s="798">
        <f t="shared" si="484"/>
        <v>1</v>
      </c>
      <c r="AP488" s="798">
        <f t="shared" si="484"/>
        <v>1</v>
      </c>
      <c r="AQ488" s="798">
        <f t="shared" si="484"/>
        <v>1</v>
      </c>
      <c r="AR488" s="798">
        <f t="shared" si="484"/>
        <v>1</v>
      </c>
      <c r="AS488" s="798">
        <f t="shared" si="484"/>
        <v>1</v>
      </c>
      <c r="AT488" s="798">
        <f t="shared" si="484"/>
        <v>1</v>
      </c>
      <c r="AU488" s="798">
        <f t="shared" si="484"/>
        <v>1</v>
      </c>
      <c r="AV488" s="798">
        <f t="shared" si="484"/>
        <v>1</v>
      </c>
      <c r="AW488" s="798">
        <f t="shared" si="484"/>
        <v>1</v>
      </c>
      <c r="AX488" s="798">
        <f t="shared" si="484"/>
        <v>1</v>
      </c>
      <c r="AY488" s="798">
        <f t="shared" si="484"/>
        <v>1</v>
      </c>
      <c r="AZ488" s="798">
        <f t="shared" si="484"/>
        <v>1</v>
      </c>
      <c r="BA488" s="798">
        <f t="shared" si="484"/>
        <v>1</v>
      </c>
      <c r="BB488" s="798">
        <f t="shared" si="484"/>
        <v>1</v>
      </c>
      <c r="BC488" s="798">
        <f t="shared" si="484"/>
        <v>1</v>
      </c>
      <c r="BD488" s="798">
        <f t="shared" si="484"/>
        <v>1</v>
      </c>
      <c r="BE488" s="798">
        <f t="shared" si="484"/>
        <v>1</v>
      </c>
      <c r="BF488" s="798">
        <f t="shared" si="484"/>
        <v>1</v>
      </c>
      <c r="BG488" s="798">
        <f t="shared" si="484"/>
        <v>1</v>
      </c>
      <c r="BH488" s="798">
        <f t="shared" si="484"/>
        <v>1</v>
      </c>
      <c r="BI488" s="798">
        <f t="shared" si="484"/>
        <v>1</v>
      </c>
      <c r="BJ488" s="798">
        <f t="shared" si="484"/>
        <v>1</v>
      </c>
      <c r="BK488" s="798">
        <f t="shared" si="484"/>
        <v>1</v>
      </c>
      <c r="BL488" s="765"/>
      <c r="BM488" s="817"/>
      <c r="BN488" s="817"/>
    </row>
    <row r="489" hidden="1">
      <c r="A489" s="765"/>
      <c r="B489" s="765"/>
      <c r="C489" s="765"/>
      <c r="D489" s="765"/>
      <c r="E489" s="765"/>
      <c r="F489" s="765"/>
      <c r="G489" s="765"/>
      <c r="H489" s="765"/>
      <c r="I489" s="765">
        <f t="shared" si="17"/>
        <v>478</v>
      </c>
      <c r="J489" s="763">
        <f t="shared" si="5"/>
        <v>292790415998823</v>
      </c>
      <c r="K489" s="796">
        <f t="shared" si="7"/>
        <v>0.47279</v>
      </c>
      <c r="L489" s="796">
        <v>5.0E-4</v>
      </c>
      <c r="M489" s="763">
        <v>3.33854522233549E14</v>
      </c>
      <c r="N489" s="797">
        <f t="shared" si="8"/>
        <v>0</v>
      </c>
      <c r="O489" s="798">
        <f t="shared" ref="O489:BK489" si="485">FLOOR(MIN((((N("value of ELS upgrade")+N$8*($K489-$K488))*(N("Check checkbox")+(IF($G$6=TRUE,$G$7,$G$8))/$G$8))/(N("ROI of ELS and multiply by 2 if ELS is 1:1")+IF($G$12 = True, 2, 1) * $J489))/((N("difference in ELS+ and the cost of it")+(($K488*O$8)-($K488*N$8)) / O$7)),(N("MIN lets it return 0 or 1 after floored")+1)),1)</f>
        <v>0</v>
      </c>
      <c r="P489" s="798">
        <f t="shared" si="485"/>
        <v>0</v>
      </c>
      <c r="Q489" s="798">
        <f t="shared" si="485"/>
        <v>0</v>
      </c>
      <c r="R489" s="798">
        <f t="shared" si="485"/>
        <v>0</v>
      </c>
      <c r="S489" s="798">
        <f t="shared" si="485"/>
        <v>0</v>
      </c>
      <c r="T489" s="798">
        <f t="shared" si="485"/>
        <v>0</v>
      </c>
      <c r="U489" s="798">
        <f t="shared" si="485"/>
        <v>0</v>
      </c>
      <c r="V489" s="798">
        <f t="shared" si="485"/>
        <v>0</v>
      </c>
      <c r="W489" s="798">
        <f t="shared" si="485"/>
        <v>0</v>
      </c>
      <c r="X489" s="798">
        <f t="shared" si="485"/>
        <v>0</v>
      </c>
      <c r="Y489" s="798">
        <f t="shared" si="485"/>
        <v>0</v>
      </c>
      <c r="Z489" s="798">
        <f t="shared" si="485"/>
        <v>0</v>
      </c>
      <c r="AA489" s="798">
        <f t="shared" si="485"/>
        <v>0</v>
      </c>
      <c r="AB489" s="798">
        <f t="shared" si="485"/>
        <v>0</v>
      </c>
      <c r="AC489" s="798">
        <f t="shared" si="485"/>
        <v>0</v>
      </c>
      <c r="AD489" s="798">
        <f t="shared" si="485"/>
        <v>0</v>
      </c>
      <c r="AE489" s="798">
        <f t="shared" si="485"/>
        <v>0</v>
      </c>
      <c r="AF489" s="798">
        <f t="shared" si="485"/>
        <v>0</v>
      </c>
      <c r="AG489" s="798">
        <f t="shared" si="485"/>
        <v>0</v>
      </c>
      <c r="AH489" s="798">
        <f t="shared" si="485"/>
        <v>1</v>
      </c>
      <c r="AI489" s="798">
        <f t="shared" si="485"/>
        <v>1</v>
      </c>
      <c r="AJ489" s="798">
        <f t="shared" si="485"/>
        <v>1</v>
      </c>
      <c r="AK489" s="798">
        <f t="shared" si="485"/>
        <v>1</v>
      </c>
      <c r="AL489" s="798">
        <f t="shared" si="485"/>
        <v>1</v>
      </c>
      <c r="AM489" s="798">
        <f t="shared" si="485"/>
        <v>1</v>
      </c>
      <c r="AN489" s="798">
        <f t="shared" si="485"/>
        <v>1</v>
      </c>
      <c r="AO489" s="798">
        <f t="shared" si="485"/>
        <v>1</v>
      </c>
      <c r="AP489" s="798">
        <f t="shared" si="485"/>
        <v>1</v>
      </c>
      <c r="AQ489" s="798">
        <f t="shared" si="485"/>
        <v>1</v>
      </c>
      <c r="AR489" s="798">
        <f t="shared" si="485"/>
        <v>1</v>
      </c>
      <c r="AS489" s="798">
        <f t="shared" si="485"/>
        <v>1</v>
      </c>
      <c r="AT489" s="798">
        <f t="shared" si="485"/>
        <v>1</v>
      </c>
      <c r="AU489" s="798">
        <f t="shared" si="485"/>
        <v>1</v>
      </c>
      <c r="AV489" s="798">
        <f t="shared" si="485"/>
        <v>1</v>
      </c>
      <c r="AW489" s="798">
        <f t="shared" si="485"/>
        <v>1</v>
      </c>
      <c r="AX489" s="798">
        <f t="shared" si="485"/>
        <v>1</v>
      </c>
      <c r="AY489" s="798">
        <f t="shared" si="485"/>
        <v>1</v>
      </c>
      <c r="AZ489" s="798">
        <f t="shared" si="485"/>
        <v>1</v>
      </c>
      <c r="BA489" s="798">
        <f t="shared" si="485"/>
        <v>1</v>
      </c>
      <c r="BB489" s="798">
        <f t="shared" si="485"/>
        <v>1</v>
      </c>
      <c r="BC489" s="798">
        <f t="shared" si="485"/>
        <v>1</v>
      </c>
      <c r="BD489" s="798">
        <f t="shared" si="485"/>
        <v>1</v>
      </c>
      <c r="BE489" s="798">
        <f t="shared" si="485"/>
        <v>1</v>
      </c>
      <c r="BF489" s="798">
        <f t="shared" si="485"/>
        <v>1</v>
      </c>
      <c r="BG489" s="798">
        <f t="shared" si="485"/>
        <v>1</v>
      </c>
      <c r="BH489" s="798">
        <f t="shared" si="485"/>
        <v>1</v>
      </c>
      <c r="BI489" s="798">
        <f t="shared" si="485"/>
        <v>1</v>
      </c>
      <c r="BJ489" s="798">
        <f t="shared" si="485"/>
        <v>1</v>
      </c>
      <c r="BK489" s="798">
        <f t="shared" si="485"/>
        <v>1</v>
      </c>
      <c r="BL489" s="765"/>
      <c r="BM489" s="817"/>
      <c r="BN489" s="817"/>
    </row>
    <row r="490" hidden="1">
      <c r="A490" s="765"/>
      <c r="B490" s="765"/>
      <c r="C490" s="765"/>
      <c r="D490" s="765"/>
      <c r="E490" s="765"/>
      <c r="F490" s="765"/>
      <c r="G490" s="765"/>
      <c r="H490" s="765"/>
      <c r="I490" s="765">
        <f t="shared" si="17"/>
        <v>479</v>
      </c>
      <c r="J490" s="763">
        <f t="shared" si="5"/>
        <v>293853926923158</v>
      </c>
      <c r="K490" s="796">
        <f t="shared" si="7"/>
        <v>0.47329</v>
      </c>
      <c r="L490" s="796">
        <v>5.0E-4</v>
      </c>
      <c r="M490" s="763">
        <v>3.35067191474524E14</v>
      </c>
      <c r="N490" s="797">
        <f t="shared" si="8"/>
        <v>0</v>
      </c>
      <c r="O490" s="798">
        <f t="shared" ref="O490:BK490" si="486">FLOOR(MIN((((N("value of ELS upgrade")+N$8*($K490-$K489))*(N("Check checkbox")+(IF($G$6=TRUE,$G$7,$G$8))/$G$8))/(N("ROI of ELS and multiply by 2 if ELS is 1:1")+IF($G$12 = True, 2, 1) * $J490))/((N("difference in ELS+ and the cost of it")+(($K489*O$8)-($K489*N$8)) / O$7)),(N("MIN lets it return 0 or 1 after floored")+1)),1)</f>
        <v>0</v>
      </c>
      <c r="P490" s="798">
        <f t="shared" si="486"/>
        <v>0</v>
      </c>
      <c r="Q490" s="798">
        <f t="shared" si="486"/>
        <v>0</v>
      </c>
      <c r="R490" s="798">
        <f t="shared" si="486"/>
        <v>0</v>
      </c>
      <c r="S490" s="798">
        <f t="shared" si="486"/>
        <v>0</v>
      </c>
      <c r="T490" s="798">
        <f t="shared" si="486"/>
        <v>0</v>
      </c>
      <c r="U490" s="798">
        <f t="shared" si="486"/>
        <v>0</v>
      </c>
      <c r="V490" s="798">
        <f t="shared" si="486"/>
        <v>0</v>
      </c>
      <c r="W490" s="798">
        <f t="shared" si="486"/>
        <v>0</v>
      </c>
      <c r="X490" s="798">
        <f t="shared" si="486"/>
        <v>0</v>
      </c>
      <c r="Y490" s="798">
        <f t="shared" si="486"/>
        <v>0</v>
      </c>
      <c r="Z490" s="798">
        <f t="shared" si="486"/>
        <v>0</v>
      </c>
      <c r="AA490" s="798">
        <f t="shared" si="486"/>
        <v>0</v>
      </c>
      <c r="AB490" s="798">
        <f t="shared" si="486"/>
        <v>0</v>
      </c>
      <c r="AC490" s="798">
        <f t="shared" si="486"/>
        <v>0</v>
      </c>
      <c r="AD490" s="798">
        <f t="shared" si="486"/>
        <v>0</v>
      </c>
      <c r="AE490" s="798">
        <f t="shared" si="486"/>
        <v>0</v>
      </c>
      <c r="AF490" s="798">
        <f t="shared" si="486"/>
        <v>0</v>
      </c>
      <c r="AG490" s="798">
        <f t="shared" si="486"/>
        <v>0</v>
      </c>
      <c r="AH490" s="798">
        <f t="shared" si="486"/>
        <v>1</v>
      </c>
      <c r="AI490" s="798">
        <f t="shared" si="486"/>
        <v>1</v>
      </c>
      <c r="AJ490" s="798">
        <f t="shared" si="486"/>
        <v>1</v>
      </c>
      <c r="AK490" s="798">
        <f t="shared" si="486"/>
        <v>1</v>
      </c>
      <c r="AL490" s="798">
        <f t="shared" si="486"/>
        <v>1</v>
      </c>
      <c r="AM490" s="798">
        <f t="shared" si="486"/>
        <v>1</v>
      </c>
      <c r="AN490" s="798">
        <f t="shared" si="486"/>
        <v>1</v>
      </c>
      <c r="AO490" s="798">
        <f t="shared" si="486"/>
        <v>1</v>
      </c>
      <c r="AP490" s="798">
        <f t="shared" si="486"/>
        <v>1</v>
      </c>
      <c r="AQ490" s="798">
        <f t="shared" si="486"/>
        <v>1</v>
      </c>
      <c r="AR490" s="798">
        <f t="shared" si="486"/>
        <v>1</v>
      </c>
      <c r="AS490" s="798">
        <f t="shared" si="486"/>
        <v>1</v>
      </c>
      <c r="AT490" s="798">
        <f t="shared" si="486"/>
        <v>1</v>
      </c>
      <c r="AU490" s="798">
        <f t="shared" si="486"/>
        <v>1</v>
      </c>
      <c r="AV490" s="798">
        <f t="shared" si="486"/>
        <v>1</v>
      </c>
      <c r="AW490" s="798">
        <f t="shared" si="486"/>
        <v>1</v>
      </c>
      <c r="AX490" s="798">
        <f t="shared" si="486"/>
        <v>1</v>
      </c>
      <c r="AY490" s="798">
        <f t="shared" si="486"/>
        <v>1</v>
      </c>
      <c r="AZ490" s="798">
        <f t="shared" si="486"/>
        <v>1</v>
      </c>
      <c r="BA490" s="798">
        <f t="shared" si="486"/>
        <v>1</v>
      </c>
      <c r="BB490" s="798">
        <f t="shared" si="486"/>
        <v>1</v>
      </c>
      <c r="BC490" s="798">
        <f t="shared" si="486"/>
        <v>1</v>
      </c>
      <c r="BD490" s="798">
        <f t="shared" si="486"/>
        <v>1</v>
      </c>
      <c r="BE490" s="798">
        <f t="shared" si="486"/>
        <v>1</v>
      </c>
      <c r="BF490" s="798">
        <f t="shared" si="486"/>
        <v>1</v>
      </c>
      <c r="BG490" s="798">
        <f t="shared" si="486"/>
        <v>1</v>
      </c>
      <c r="BH490" s="798">
        <f t="shared" si="486"/>
        <v>1</v>
      </c>
      <c r="BI490" s="798">
        <f t="shared" si="486"/>
        <v>1</v>
      </c>
      <c r="BJ490" s="798">
        <f t="shared" si="486"/>
        <v>1</v>
      </c>
      <c r="BK490" s="798">
        <f t="shared" si="486"/>
        <v>1</v>
      </c>
      <c r="BL490" s="765"/>
      <c r="BM490" s="817"/>
      <c r="BN490" s="817"/>
    </row>
    <row r="491" hidden="1">
      <c r="A491" s="765"/>
      <c r="B491" s="765"/>
      <c r="C491" s="765"/>
      <c r="D491" s="765"/>
      <c r="E491" s="765"/>
      <c r="F491" s="765"/>
      <c r="G491" s="765"/>
      <c r="H491" s="765"/>
      <c r="I491" s="765">
        <f t="shared" si="17"/>
        <v>480</v>
      </c>
      <c r="J491" s="763">
        <f t="shared" si="5"/>
        <v>294920707545423</v>
      </c>
      <c r="K491" s="796">
        <f t="shared" si="7"/>
        <v>0.47379</v>
      </c>
      <c r="L491" s="796">
        <v>5.0E-4</v>
      </c>
      <c r="M491" s="763">
        <v>3.3628358899136E14</v>
      </c>
      <c r="N491" s="797">
        <f t="shared" si="8"/>
        <v>0</v>
      </c>
      <c r="O491" s="798">
        <f t="shared" ref="O491:BK491" si="487">FLOOR(MIN((((N("value of ELS upgrade")+N$8*($K491-$K490))*(N("Check checkbox")+(IF($G$6=TRUE,$G$7,$G$8))/$G$8))/(N("ROI of ELS and multiply by 2 if ELS is 1:1")+IF($G$12 = True, 2, 1) * $J491))/((N("difference in ELS+ and the cost of it")+(($K490*O$8)-($K490*N$8)) / O$7)),(N("MIN lets it return 0 or 1 after floored")+1)),1)</f>
        <v>0</v>
      </c>
      <c r="P491" s="798">
        <f t="shared" si="487"/>
        <v>0</v>
      </c>
      <c r="Q491" s="798">
        <f t="shared" si="487"/>
        <v>0</v>
      </c>
      <c r="R491" s="798">
        <f t="shared" si="487"/>
        <v>0</v>
      </c>
      <c r="S491" s="798">
        <f t="shared" si="487"/>
        <v>0</v>
      </c>
      <c r="T491" s="798">
        <f t="shared" si="487"/>
        <v>0</v>
      </c>
      <c r="U491" s="798">
        <f t="shared" si="487"/>
        <v>0</v>
      </c>
      <c r="V491" s="798">
        <f t="shared" si="487"/>
        <v>0</v>
      </c>
      <c r="W491" s="798">
        <f t="shared" si="487"/>
        <v>0</v>
      </c>
      <c r="X491" s="798">
        <f t="shared" si="487"/>
        <v>0</v>
      </c>
      <c r="Y491" s="798">
        <f t="shared" si="487"/>
        <v>0</v>
      </c>
      <c r="Z491" s="798">
        <f t="shared" si="487"/>
        <v>0</v>
      </c>
      <c r="AA491" s="798">
        <f t="shared" si="487"/>
        <v>0</v>
      </c>
      <c r="AB491" s="798">
        <f t="shared" si="487"/>
        <v>0</v>
      </c>
      <c r="AC491" s="798">
        <f t="shared" si="487"/>
        <v>0</v>
      </c>
      <c r="AD491" s="798">
        <f t="shared" si="487"/>
        <v>0</v>
      </c>
      <c r="AE491" s="798">
        <f t="shared" si="487"/>
        <v>0</v>
      </c>
      <c r="AF491" s="798">
        <f t="shared" si="487"/>
        <v>0</v>
      </c>
      <c r="AG491" s="798">
        <f t="shared" si="487"/>
        <v>0</v>
      </c>
      <c r="AH491" s="798">
        <f t="shared" si="487"/>
        <v>1</v>
      </c>
      <c r="AI491" s="798">
        <f t="shared" si="487"/>
        <v>1</v>
      </c>
      <c r="AJ491" s="798">
        <f t="shared" si="487"/>
        <v>1</v>
      </c>
      <c r="AK491" s="798">
        <f t="shared" si="487"/>
        <v>1</v>
      </c>
      <c r="AL491" s="798">
        <f t="shared" si="487"/>
        <v>1</v>
      </c>
      <c r="AM491" s="798">
        <f t="shared" si="487"/>
        <v>1</v>
      </c>
      <c r="AN491" s="798">
        <f t="shared" si="487"/>
        <v>1</v>
      </c>
      <c r="AO491" s="798">
        <f t="shared" si="487"/>
        <v>1</v>
      </c>
      <c r="AP491" s="798">
        <f t="shared" si="487"/>
        <v>1</v>
      </c>
      <c r="AQ491" s="798">
        <f t="shared" si="487"/>
        <v>1</v>
      </c>
      <c r="AR491" s="798">
        <f t="shared" si="487"/>
        <v>1</v>
      </c>
      <c r="AS491" s="798">
        <f t="shared" si="487"/>
        <v>1</v>
      </c>
      <c r="AT491" s="798">
        <f t="shared" si="487"/>
        <v>1</v>
      </c>
      <c r="AU491" s="798">
        <f t="shared" si="487"/>
        <v>1</v>
      </c>
      <c r="AV491" s="798">
        <f t="shared" si="487"/>
        <v>1</v>
      </c>
      <c r="AW491" s="798">
        <f t="shared" si="487"/>
        <v>1</v>
      </c>
      <c r="AX491" s="798">
        <f t="shared" si="487"/>
        <v>1</v>
      </c>
      <c r="AY491" s="798">
        <f t="shared" si="487"/>
        <v>1</v>
      </c>
      <c r="AZ491" s="798">
        <f t="shared" si="487"/>
        <v>1</v>
      </c>
      <c r="BA491" s="798">
        <f t="shared" si="487"/>
        <v>1</v>
      </c>
      <c r="BB491" s="798">
        <f t="shared" si="487"/>
        <v>1</v>
      </c>
      <c r="BC491" s="798">
        <f t="shared" si="487"/>
        <v>1</v>
      </c>
      <c r="BD491" s="798">
        <f t="shared" si="487"/>
        <v>1</v>
      </c>
      <c r="BE491" s="798">
        <f t="shared" si="487"/>
        <v>1</v>
      </c>
      <c r="BF491" s="798">
        <f t="shared" si="487"/>
        <v>1</v>
      </c>
      <c r="BG491" s="798">
        <f t="shared" si="487"/>
        <v>1</v>
      </c>
      <c r="BH491" s="798">
        <f t="shared" si="487"/>
        <v>1</v>
      </c>
      <c r="BI491" s="798">
        <f t="shared" si="487"/>
        <v>1</v>
      </c>
      <c r="BJ491" s="798">
        <f t="shared" si="487"/>
        <v>1</v>
      </c>
      <c r="BK491" s="798">
        <f t="shared" si="487"/>
        <v>1</v>
      </c>
      <c r="BL491" s="765"/>
      <c r="BM491" s="817"/>
      <c r="BN491" s="817"/>
    </row>
    <row r="492" hidden="1">
      <c r="A492" s="765"/>
      <c r="B492" s="765"/>
      <c r="C492" s="765"/>
      <c r="D492" s="765"/>
      <c r="E492" s="765"/>
      <c r="F492" s="765"/>
      <c r="G492" s="765"/>
      <c r="H492" s="765"/>
      <c r="I492" s="765">
        <f t="shared" si="17"/>
        <v>481</v>
      </c>
      <c r="J492" s="763">
        <f t="shared" si="5"/>
        <v>1.18396E+15</v>
      </c>
      <c r="K492" s="796">
        <f t="shared" si="7"/>
        <v>0.47429</v>
      </c>
      <c r="L492" s="796">
        <v>5.0E-4</v>
      </c>
      <c r="M492" s="763">
        <v>1.35001485913623E15</v>
      </c>
      <c r="N492" s="797">
        <f t="shared" si="8"/>
        <v>0</v>
      </c>
      <c r="O492" s="798">
        <f t="shared" ref="O492:BK492" si="488">FLOOR(MIN((((N("value of ELS upgrade")+N$8*($K492-$K491))*(N("Check checkbox")+(IF($G$6=TRUE,$G$7,$G$8))/$G$8))/(N("ROI of ELS and multiply by 2 if ELS is 1:1")+IF($G$12 = True, 2, 1) * $J492))/((N("difference in ELS+ and the cost of it")+(($K491*O$8)-($K491*N$8)) / O$7)),(N("MIN lets it return 0 or 1 after floored")+1)),1)</f>
        <v>0</v>
      </c>
      <c r="P492" s="798">
        <f t="shared" si="488"/>
        <v>0</v>
      </c>
      <c r="Q492" s="798">
        <f t="shared" si="488"/>
        <v>0</v>
      </c>
      <c r="R492" s="798">
        <f t="shared" si="488"/>
        <v>0</v>
      </c>
      <c r="S492" s="798">
        <f t="shared" si="488"/>
        <v>0</v>
      </c>
      <c r="T492" s="798">
        <f t="shared" si="488"/>
        <v>0</v>
      </c>
      <c r="U492" s="798">
        <f t="shared" si="488"/>
        <v>0</v>
      </c>
      <c r="V492" s="798">
        <f t="shared" si="488"/>
        <v>0</v>
      </c>
      <c r="W492" s="798">
        <f t="shared" si="488"/>
        <v>0</v>
      </c>
      <c r="X492" s="798">
        <f t="shared" si="488"/>
        <v>0</v>
      </c>
      <c r="Y492" s="798">
        <f t="shared" si="488"/>
        <v>0</v>
      </c>
      <c r="Z492" s="798">
        <f t="shared" si="488"/>
        <v>0</v>
      </c>
      <c r="AA492" s="798">
        <f t="shared" si="488"/>
        <v>0</v>
      </c>
      <c r="AB492" s="798">
        <f t="shared" si="488"/>
        <v>0</v>
      </c>
      <c r="AC492" s="798">
        <f t="shared" si="488"/>
        <v>0</v>
      </c>
      <c r="AD492" s="798">
        <f t="shared" si="488"/>
        <v>0</v>
      </c>
      <c r="AE492" s="798">
        <f t="shared" si="488"/>
        <v>0</v>
      </c>
      <c r="AF492" s="798">
        <f t="shared" si="488"/>
        <v>0</v>
      </c>
      <c r="AG492" s="798">
        <f t="shared" si="488"/>
        <v>0</v>
      </c>
      <c r="AH492" s="798">
        <f t="shared" si="488"/>
        <v>0</v>
      </c>
      <c r="AI492" s="798">
        <f t="shared" si="488"/>
        <v>0</v>
      </c>
      <c r="AJ492" s="798">
        <f t="shared" si="488"/>
        <v>0</v>
      </c>
      <c r="AK492" s="798">
        <f t="shared" si="488"/>
        <v>0</v>
      </c>
      <c r="AL492" s="798">
        <f t="shared" si="488"/>
        <v>1</v>
      </c>
      <c r="AM492" s="798">
        <f t="shared" si="488"/>
        <v>1</v>
      </c>
      <c r="AN492" s="798">
        <f t="shared" si="488"/>
        <v>1</v>
      </c>
      <c r="AO492" s="798">
        <f t="shared" si="488"/>
        <v>1</v>
      </c>
      <c r="AP492" s="798">
        <f t="shared" si="488"/>
        <v>1</v>
      </c>
      <c r="AQ492" s="798">
        <f t="shared" si="488"/>
        <v>1</v>
      </c>
      <c r="AR492" s="798">
        <f t="shared" si="488"/>
        <v>1</v>
      </c>
      <c r="AS492" s="798">
        <f t="shared" si="488"/>
        <v>1</v>
      </c>
      <c r="AT492" s="798">
        <f t="shared" si="488"/>
        <v>1</v>
      </c>
      <c r="AU492" s="798">
        <f t="shared" si="488"/>
        <v>1</v>
      </c>
      <c r="AV492" s="798">
        <f t="shared" si="488"/>
        <v>1</v>
      </c>
      <c r="AW492" s="798">
        <f t="shared" si="488"/>
        <v>1</v>
      </c>
      <c r="AX492" s="798">
        <f t="shared" si="488"/>
        <v>1</v>
      </c>
      <c r="AY492" s="798">
        <f t="shared" si="488"/>
        <v>1</v>
      </c>
      <c r="AZ492" s="798">
        <f t="shared" si="488"/>
        <v>1</v>
      </c>
      <c r="BA492" s="798">
        <f t="shared" si="488"/>
        <v>1</v>
      </c>
      <c r="BB492" s="798">
        <f t="shared" si="488"/>
        <v>1</v>
      </c>
      <c r="BC492" s="798">
        <f t="shared" si="488"/>
        <v>1</v>
      </c>
      <c r="BD492" s="798">
        <f t="shared" si="488"/>
        <v>1</v>
      </c>
      <c r="BE492" s="798">
        <f t="shared" si="488"/>
        <v>1</v>
      </c>
      <c r="BF492" s="798">
        <f t="shared" si="488"/>
        <v>1</v>
      </c>
      <c r="BG492" s="798">
        <f t="shared" si="488"/>
        <v>1</v>
      </c>
      <c r="BH492" s="798">
        <f t="shared" si="488"/>
        <v>1</v>
      </c>
      <c r="BI492" s="798">
        <f t="shared" si="488"/>
        <v>1</v>
      </c>
      <c r="BJ492" s="798">
        <f t="shared" si="488"/>
        <v>1</v>
      </c>
      <c r="BK492" s="798">
        <f t="shared" si="488"/>
        <v>1</v>
      </c>
      <c r="BL492" s="765"/>
      <c r="BM492" s="817"/>
      <c r="BN492" s="817"/>
    </row>
    <row r="493" hidden="1">
      <c r="A493" s="765"/>
      <c r="B493" s="765"/>
      <c r="C493" s="765"/>
      <c r="D493" s="765"/>
      <c r="E493" s="765"/>
      <c r="F493" s="765"/>
      <c r="G493" s="765"/>
      <c r="H493" s="765"/>
      <c r="I493" s="765">
        <f t="shared" si="17"/>
        <v>482</v>
      </c>
      <c r="J493" s="763">
        <f t="shared" si="5"/>
        <v>1.18826E+15</v>
      </c>
      <c r="K493" s="796">
        <f t="shared" si="7"/>
        <v>0.47479</v>
      </c>
      <c r="L493" s="796">
        <v>5.0E-4</v>
      </c>
      <c r="M493" s="763">
        <v>1.35491033389322E15</v>
      </c>
      <c r="N493" s="797">
        <f t="shared" si="8"/>
        <v>0</v>
      </c>
      <c r="O493" s="798">
        <f t="shared" ref="O493:BK493" si="489">FLOOR(MIN((((N("value of ELS upgrade")+N$8*($K493-$K492))*(N("Check checkbox")+(IF($G$6=TRUE,$G$7,$G$8))/$G$8))/(N("ROI of ELS and multiply by 2 if ELS is 1:1")+IF($G$12 = True, 2, 1) * $J493))/((N("difference in ELS+ and the cost of it")+(($K492*O$8)-($K492*N$8)) / O$7)),(N("MIN lets it return 0 or 1 after floored")+1)),1)</f>
        <v>0</v>
      </c>
      <c r="P493" s="798">
        <f t="shared" si="489"/>
        <v>0</v>
      </c>
      <c r="Q493" s="798">
        <f t="shared" si="489"/>
        <v>0</v>
      </c>
      <c r="R493" s="798">
        <f t="shared" si="489"/>
        <v>0</v>
      </c>
      <c r="S493" s="798">
        <f t="shared" si="489"/>
        <v>0</v>
      </c>
      <c r="T493" s="798">
        <f t="shared" si="489"/>
        <v>0</v>
      </c>
      <c r="U493" s="798">
        <f t="shared" si="489"/>
        <v>0</v>
      </c>
      <c r="V493" s="798">
        <f t="shared" si="489"/>
        <v>0</v>
      </c>
      <c r="W493" s="798">
        <f t="shared" si="489"/>
        <v>0</v>
      </c>
      <c r="X493" s="798">
        <f t="shared" si="489"/>
        <v>0</v>
      </c>
      <c r="Y493" s="798">
        <f t="shared" si="489"/>
        <v>0</v>
      </c>
      <c r="Z493" s="798">
        <f t="shared" si="489"/>
        <v>0</v>
      </c>
      <c r="AA493" s="798">
        <f t="shared" si="489"/>
        <v>0</v>
      </c>
      <c r="AB493" s="798">
        <f t="shared" si="489"/>
        <v>0</v>
      </c>
      <c r="AC493" s="798">
        <f t="shared" si="489"/>
        <v>0</v>
      </c>
      <c r="AD493" s="798">
        <f t="shared" si="489"/>
        <v>0</v>
      </c>
      <c r="AE493" s="798">
        <f t="shared" si="489"/>
        <v>0</v>
      </c>
      <c r="AF493" s="798">
        <f t="shared" si="489"/>
        <v>0</v>
      </c>
      <c r="AG493" s="798">
        <f t="shared" si="489"/>
        <v>0</v>
      </c>
      <c r="AH493" s="798">
        <f t="shared" si="489"/>
        <v>0</v>
      </c>
      <c r="AI493" s="798">
        <f t="shared" si="489"/>
        <v>0</v>
      </c>
      <c r="AJ493" s="798">
        <f t="shared" si="489"/>
        <v>0</v>
      </c>
      <c r="AK493" s="798">
        <f t="shared" si="489"/>
        <v>0</v>
      </c>
      <c r="AL493" s="798">
        <f t="shared" si="489"/>
        <v>1</v>
      </c>
      <c r="AM493" s="798">
        <f t="shared" si="489"/>
        <v>1</v>
      </c>
      <c r="AN493" s="798">
        <f t="shared" si="489"/>
        <v>1</v>
      </c>
      <c r="AO493" s="798">
        <f t="shared" si="489"/>
        <v>1</v>
      </c>
      <c r="AP493" s="798">
        <f t="shared" si="489"/>
        <v>1</v>
      </c>
      <c r="AQ493" s="798">
        <f t="shared" si="489"/>
        <v>1</v>
      </c>
      <c r="AR493" s="798">
        <f t="shared" si="489"/>
        <v>1</v>
      </c>
      <c r="AS493" s="798">
        <f t="shared" si="489"/>
        <v>1</v>
      </c>
      <c r="AT493" s="798">
        <f t="shared" si="489"/>
        <v>1</v>
      </c>
      <c r="AU493" s="798">
        <f t="shared" si="489"/>
        <v>1</v>
      </c>
      <c r="AV493" s="798">
        <f t="shared" si="489"/>
        <v>1</v>
      </c>
      <c r="AW493" s="798">
        <f t="shared" si="489"/>
        <v>1</v>
      </c>
      <c r="AX493" s="798">
        <f t="shared" si="489"/>
        <v>1</v>
      </c>
      <c r="AY493" s="798">
        <f t="shared" si="489"/>
        <v>1</v>
      </c>
      <c r="AZ493" s="798">
        <f t="shared" si="489"/>
        <v>1</v>
      </c>
      <c r="BA493" s="798">
        <f t="shared" si="489"/>
        <v>1</v>
      </c>
      <c r="BB493" s="798">
        <f t="shared" si="489"/>
        <v>1</v>
      </c>
      <c r="BC493" s="798">
        <f t="shared" si="489"/>
        <v>1</v>
      </c>
      <c r="BD493" s="798">
        <f t="shared" si="489"/>
        <v>1</v>
      </c>
      <c r="BE493" s="798">
        <f t="shared" si="489"/>
        <v>1</v>
      </c>
      <c r="BF493" s="798">
        <f t="shared" si="489"/>
        <v>1</v>
      </c>
      <c r="BG493" s="798">
        <f t="shared" si="489"/>
        <v>1</v>
      </c>
      <c r="BH493" s="798">
        <f t="shared" si="489"/>
        <v>1</v>
      </c>
      <c r="BI493" s="798">
        <f t="shared" si="489"/>
        <v>1</v>
      </c>
      <c r="BJ493" s="798">
        <f t="shared" si="489"/>
        <v>1</v>
      </c>
      <c r="BK493" s="798">
        <f t="shared" si="489"/>
        <v>1</v>
      </c>
      <c r="BL493" s="765"/>
      <c r="BM493" s="817"/>
      <c r="BN493" s="817"/>
    </row>
    <row r="494" hidden="1">
      <c r="A494" s="765"/>
      <c r="B494" s="765"/>
      <c r="C494" s="765"/>
      <c r="D494" s="765"/>
      <c r="E494" s="765"/>
      <c r="F494" s="765"/>
      <c r="G494" s="765"/>
      <c r="H494" s="765"/>
      <c r="I494" s="765">
        <f t="shared" si="17"/>
        <v>483</v>
      </c>
      <c r="J494" s="763">
        <f t="shared" si="5"/>
        <v>1.19256E+15</v>
      </c>
      <c r="K494" s="796">
        <f t="shared" si="7"/>
        <v>0.47529</v>
      </c>
      <c r="L494" s="796">
        <v>5.0E-4</v>
      </c>
      <c r="M494" s="763">
        <v>1.35982086796055E15</v>
      </c>
      <c r="N494" s="797">
        <f t="shared" si="8"/>
        <v>0</v>
      </c>
      <c r="O494" s="798">
        <f t="shared" ref="O494:BK494" si="490">FLOOR(MIN((((N("value of ELS upgrade")+N$8*($K494-$K493))*(N("Check checkbox")+(IF($G$6=TRUE,$G$7,$G$8))/$G$8))/(N("ROI of ELS and multiply by 2 if ELS is 1:1")+IF($G$12 = True, 2, 1) * $J494))/((N("difference in ELS+ and the cost of it")+(($K493*O$8)-($K493*N$8)) / O$7)),(N("MIN lets it return 0 or 1 after floored")+1)),1)</f>
        <v>0</v>
      </c>
      <c r="P494" s="798">
        <f t="shared" si="490"/>
        <v>0</v>
      </c>
      <c r="Q494" s="798">
        <f t="shared" si="490"/>
        <v>0</v>
      </c>
      <c r="R494" s="798">
        <f t="shared" si="490"/>
        <v>0</v>
      </c>
      <c r="S494" s="798">
        <f t="shared" si="490"/>
        <v>0</v>
      </c>
      <c r="T494" s="798">
        <f t="shared" si="490"/>
        <v>0</v>
      </c>
      <c r="U494" s="798">
        <f t="shared" si="490"/>
        <v>0</v>
      </c>
      <c r="V494" s="798">
        <f t="shared" si="490"/>
        <v>0</v>
      </c>
      <c r="W494" s="798">
        <f t="shared" si="490"/>
        <v>0</v>
      </c>
      <c r="X494" s="798">
        <f t="shared" si="490"/>
        <v>0</v>
      </c>
      <c r="Y494" s="798">
        <f t="shared" si="490"/>
        <v>0</v>
      </c>
      <c r="Z494" s="798">
        <f t="shared" si="490"/>
        <v>0</v>
      </c>
      <c r="AA494" s="798">
        <f t="shared" si="490"/>
        <v>0</v>
      </c>
      <c r="AB494" s="798">
        <f t="shared" si="490"/>
        <v>0</v>
      </c>
      <c r="AC494" s="798">
        <f t="shared" si="490"/>
        <v>0</v>
      </c>
      <c r="AD494" s="798">
        <f t="shared" si="490"/>
        <v>0</v>
      </c>
      <c r="AE494" s="798">
        <f t="shared" si="490"/>
        <v>0</v>
      </c>
      <c r="AF494" s="798">
        <f t="shared" si="490"/>
        <v>0</v>
      </c>
      <c r="AG494" s="798">
        <f t="shared" si="490"/>
        <v>0</v>
      </c>
      <c r="AH494" s="798">
        <f t="shared" si="490"/>
        <v>0</v>
      </c>
      <c r="AI494" s="798">
        <f t="shared" si="490"/>
        <v>0</v>
      </c>
      <c r="AJ494" s="798">
        <f t="shared" si="490"/>
        <v>0</v>
      </c>
      <c r="AK494" s="798">
        <f t="shared" si="490"/>
        <v>0</v>
      </c>
      <c r="AL494" s="798">
        <f t="shared" si="490"/>
        <v>1</v>
      </c>
      <c r="AM494" s="798">
        <f t="shared" si="490"/>
        <v>1</v>
      </c>
      <c r="AN494" s="798">
        <f t="shared" si="490"/>
        <v>1</v>
      </c>
      <c r="AO494" s="798">
        <f t="shared" si="490"/>
        <v>1</v>
      </c>
      <c r="AP494" s="798">
        <f t="shared" si="490"/>
        <v>1</v>
      </c>
      <c r="AQ494" s="798">
        <f t="shared" si="490"/>
        <v>1</v>
      </c>
      <c r="AR494" s="798">
        <f t="shared" si="490"/>
        <v>1</v>
      </c>
      <c r="AS494" s="798">
        <f t="shared" si="490"/>
        <v>1</v>
      </c>
      <c r="AT494" s="798">
        <f t="shared" si="490"/>
        <v>1</v>
      </c>
      <c r="AU494" s="798">
        <f t="shared" si="490"/>
        <v>1</v>
      </c>
      <c r="AV494" s="798">
        <f t="shared" si="490"/>
        <v>1</v>
      </c>
      <c r="AW494" s="798">
        <f t="shared" si="490"/>
        <v>1</v>
      </c>
      <c r="AX494" s="798">
        <f t="shared" si="490"/>
        <v>1</v>
      </c>
      <c r="AY494" s="798">
        <f t="shared" si="490"/>
        <v>1</v>
      </c>
      <c r="AZ494" s="798">
        <f t="shared" si="490"/>
        <v>1</v>
      </c>
      <c r="BA494" s="798">
        <f t="shared" si="490"/>
        <v>1</v>
      </c>
      <c r="BB494" s="798">
        <f t="shared" si="490"/>
        <v>1</v>
      </c>
      <c r="BC494" s="798">
        <f t="shared" si="490"/>
        <v>1</v>
      </c>
      <c r="BD494" s="798">
        <f t="shared" si="490"/>
        <v>1</v>
      </c>
      <c r="BE494" s="798">
        <f t="shared" si="490"/>
        <v>1</v>
      </c>
      <c r="BF494" s="798">
        <f t="shared" si="490"/>
        <v>1</v>
      </c>
      <c r="BG494" s="798">
        <f t="shared" si="490"/>
        <v>1</v>
      </c>
      <c r="BH494" s="798">
        <f t="shared" si="490"/>
        <v>1</v>
      </c>
      <c r="BI494" s="798">
        <f t="shared" si="490"/>
        <v>1</v>
      </c>
      <c r="BJ494" s="798">
        <f t="shared" si="490"/>
        <v>1</v>
      </c>
      <c r="BK494" s="798">
        <f t="shared" si="490"/>
        <v>1</v>
      </c>
      <c r="BL494" s="765"/>
      <c r="BM494" s="817"/>
      <c r="BN494" s="817"/>
    </row>
    <row r="495" hidden="1">
      <c r="A495" s="765"/>
      <c r="B495" s="765"/>
      <c r="C495" s="765"/>
      <c r="D495" s="765"/>
      <c r="E495" s="765"/>
      <c r="F495" s="765"/>
      <c r="G495" s="765"/>
      <c r="H495" s="765"/>
      <c r="I495" s="765">
        <f t="shared" si="17"/>
        <v>484</v>
      </c>
      <c r="J495" s="763">
        <f t="shared" si="5"/>
        <v>1.19688E+15</v>
      </c>
      <c r="K495" s="796">
        <f t="shared" si="7"/>
        <v>0.47579</v>
      </c>
      <c r="L495" s="796">
        <v>5.0E-4</v>
      </c>
      <c r="M495" s="763">
        <v>1.36474646133821E15</v>
      </c>
      <c r="N495" s="797">
        <f t="shared" si="8"/>
        <v>0</v>
      </c>
      <c r="O495" s="798">
        <f t="shared" ref="O495:BK495" si="491">FLOOR(MIN((((N("value of ELS upgrade")+N$8*($K495-$K494))*(N("Check checkbox")+(IF($G$6=TRUE,$G$7,$G$8))/$G$8))/(N("ROI of ELS and multiply by 2 if ELS is 1:1")+IF($G$12 = True, 2, 1) * $J495))/((N("difference in ELS+ and the cost of it")+(($K494*O$8)-($K494*N$8)) / O$7)),(N("MIN lets it return 0 or 1 after floored")+1)),1)</f>
        <v>0</v>
      </c>
      <c r="P495" s="798">
        <f t="shared" si="491"/>
        <v>0</v>
      </c>
      <c r="Q495" s="798">
        <f t="shared" si="491"/>
        <v>0</v>
      </c>
      <c r="R495" s="798">
        <f t="shared" si="491"/>
        <v>0</v>
      </c>
      <c r="S495" s="798">
        <f t="shared" si="491"/>
        <v>0</v>
      </c>
      <c r="T495" s="798">
        <f t="shared" si="491"/>
        <v>0</v>
      </c>
      <c r="U495" s="798">
        <f t="shared" si="491"/>
        <v>0</v>
      </c>
      <c r="V495" s="798">
        <f t="shared" si="491"/>
        <v>0</v>
      </c>
      <c r="W495" s="798">
        <f t="shared" si="491"/>
        <v>0</v>
      </c>
      <c r="X495" s="798">
        <f t="shared" si="491"/>
        <v>0</v>
      </c>
      <c r="Y495" s="798">
        <f t="shared" si="491"/>
        <v>0</v>
      </c>
      <c r="Z495" s="798">
        <f t="shared" si="491"/>
        <v>0</v>
      </c>
      <c r="AA495" s="798">
        <f t="shared" si="491"/>
        <v>0</v>
      </c>
      <c r="AB495" s="798">
        <f t="shared" si="491"/>
        <v>0</v>
      </c>
      <c r="AC495" s="798">
        <f t="shared" si="491"/>
        <v>0</v>
      </c>
      <c r="AD495" s="798">
        <f t="shared" si="491"/>
        <v>0</v>
      </c>
      <c r="AE495" s="798">
        <f t="shared" si="491"/>
        <v>0</v>
      </c>
      <c r="AF495" s="798">
        <f t="shared" si="491"/>
        <v>0</v>
      </c>
      <c r="AG495" s="798">
        <f t="shared" si="491"/>
        <v>0</v>
      </c>
      <c r="AH495" s="798">
        <f t="shared" si="491"/>
        <v>0</v>
      </c>
      <c r="AI495" s="798">
        <f t="shared" si="491"/>
        <v>0</v>
      </c>
      <c r="AJ495" s="798">
        <f t="shared" si="491"/>
        <v>0</v>
      </c>
      <c r="AK495" s="798">
        <f t="shared" si="491"/>
        <v>0</v>
      </c>
      <c r="AL495" s="798">
        <f t="shared" si="491"/>
        <v>1</v>
      </c>
      <c r="AM495" s="798">
        <f t="shared" si="491"/>
        <v>1</v>
      </c>
      <c r="AN495" s="798">
        <f t="shared" si="491"/>
        <v>1</v>
      </c>
      <c r="AO495" s="798">
        <f t="shared" si="491"/>
        <v>1</v>
      </c>
      <c r="AP495" s="798">
        <f t="shared" si="491"/>
        <v>1</v>
      </c>
      <c r="AQ495" s="798">
        <f t="shared" si="491"/>
        <v>1</v>
      </c>
      <c r="AR495" s="798">
        <f t="shared" si="491"/>
        <v>1</v>
      </c>
      <c r="AS495" s="798">
        <f t="shared" si="491"/>
        <v>1</v>
      </c>
      <c r="AT495" s="798">
        <f t="shared" si="491"/>
        <v>1</v>
      </c>
      <c r="AU495" s="798">
        <f t="shared" si="491"/>
        <v>1</v>
      </c>
      <c r="AV495" s="798">
        <f t="shared" si="491"/>
        <v>1</v>
      </c>
      <c r="AW495" s="798">
        <f t="shared" si="491"/>
        <v>1</v>
      </c>
      <c r="AX495" s="798">
        <f t="shared" si="491"/>
        <v>1</v>
      </c>
      <c r="AY495" s="798">
        <f t="shared" si="491"/>
        <v>1</v>
      </c>
      <c r="AZ495" s="798">
        <f t="shared" si="491"/>
        <v>1</v>
      </c>
      <c r="BA495" s="798">
        <f t="shared" si="491"/>
        <v>1</v>
      </c>
      <c r="BB495" s="798">
        <f t="shared" si="491"/>
        <v>1</v>
      </c>
      <c r="BC495" s="798">
        <f t="shared" si="491"/>
        <v>1</v>
      </c>
      <c r="BD495" s="798">
        <f t="shared" si="491"/>
        <v>1</v>
      </c>
      <c r="BE495" s="798">
        <f t="shared" si="491"/>
        <v>1</v>
      </c>
      <c r="BF495" s="798">
        <f t="shared" si="491"/>
        <v>1</v>
      </c>
      <c r="BG495" s="798">
        <f t="shared" si="491"/>
        <v>1</v>
      </c>
      <c r="BH495" s="798">
        <f t="shared" si="491"/>
        <v>1</v>
      </c>
      <c r="BI495" s="798">
        <f t="shared" si="491"/>
        <v>1</v>
      </c>
      <c r="BJ495" s="798">
        <f t="shared" si="491"/>
        <v>1</v>
      </c>
      <c r="BK495" s="798">
        <f t="shared" si="491"/>
        <v>1</v>
      </c>
      <c r="BL495" s="765"/>
      <c r="BM495" s="817"/>
      <c r="BN495" s="817"/>
    </row>
    <row r="496" hidden="1">
      <c r="A496" s="765"/>
      <c r="B496" s="765"/>
      <c r="C496" s="765"/>
      <c r="D496" s="765"/>
      <c r="E496" s="765"/>
      <c r="F496" s="765"/>
      <c r="G496" s="765"/>
      <c r="H496" s="765"/>
      <c r="I496" s="765">
        <f t="shared" si="17"/>
        <v>485</v>
      </c>
      <c r="J496" s="763">
        <f t="shared" si="5"/>
        <v>1.20122E+15</v>
      </c>
      <c r="K496" s="796">
        <f t="shared" si="7"/>
        <v>0.47629</v>
      </c>
      <c r="L496" s="796">
        <v>5.0E-4</v>
      </c>
      <c r="M496" s="763">
        <v>1.3696871432676E15</v>
      </c>
      <c r="N496" s="797">
        <f t="shared" si="8"/>
        <v>0</v>
      </c>
      <c r="O496" s="798">
        <f t="shared" ref="O496:BK496" si="492">FLOOR(MIN((((N("value of ELS upgrade")+N$8*($K496-$K495))*(N("Check checkbox")+(IF($G$6=TRUE,$G$7,$G$8))/$G$8))/(N("ROI of ELS and multiply by 2 if ELS is 1:1")+IF($G$12 = True, 2, 1) * $J496))/((N("difference in ELS+ and the cost of it")+(($K495*O$8)-($K495*N$8)) / O$7)),(N("MIN lets it return 0 or 1 after floored")+1)),1)</f>
        <v>0</v>
      </c>
      <c r="P496" s="798">
        <f t="shared" si="492"/>
        <v>0</v>
      </c>
      <c r="Q496" s="798">
        <f t="shared" si="492"/>
        <v>0</v>
      </c>
      <c r="R496" s="798">
        <f t="shared" si="492"/>
        <v>0</v>
      </c>
      <c r="S496" s="798">
        <f t="shared" si="492"/>
        <v>0</v>
      </c>
      <c r="T496" s="798">
        <f t="shared" si="492"/>
        <v>0</v>
      </c>
      <c r="U496" s="798">
        <f t="shared" si="492"/>
        <v>0</v>
      </c>
      <c r="V496" s="798">
        <f t="shared" si="492"/>
        <v>0</v>
      </c>
      <c r="W496" s="798">
        <f t="shared" si="492"/>
        <v>0</v>
      </c>
      <c r="X496" s="798">
        <f t="shared" si="492"/>
        <v>0</v>
      </c>
      <c r="Y496" s="798">
        <f t="shared" si="492"/>
        <v>0</v>
      </c>
      <c r="Z496" s="798">
        <f t="shared" si="492"/>
        <v>0</v>
      </c>
      <c r="AA496" s="798">
        <f t="shared" si="492"/>
        <v>0</v>
      </c>
      <c r="AB496" s="798">
        <f t="shared" si="492"/>
        <v>0</v>
      </c>
      <c r="AC496" s="798">
        <f t="shared" si="492"/>
        <v>0</v>
      </c>
      <c r="AD496" s="798">
        <f t="shared" si="492"/>
        <v>0</v>
      </c>
      <c r="AE496" s="798">
        <f t="shared" si="492"/>
        <v>0</v>
      </c>
      <c r="AF496" s="798">
        <f t="shared" si="492"/>
        <v>0</v>
      </c>
      <c r="AG496" s="798">
        <f t="shared" si="492"/>
        <v>0</v>
      </c>
      <c r="AH496" s="798">
        <f t="shared" si="492"/>
        <v>0</v>
      </c>
      <c r="AI496" s="798">
        <f t="shared" si="492"/>
        <v>0</v>
      </c>
      <c r="AJ496" s="798">
        <f t="shared" si="492"/>
        <v>0</v>
      </c>
      <c r="AK496" s="798">
        <f t="shared" si="492"/>
        <v>0</v>
      </c>
      <c r="AL496" s="798">
        <f t="shared" si="492"/>
        <v>1</v>
      </c>
      <c r="AM496" s="798">
        <f t="shared" si="492"/>
        <v>1</v>
      </c>
      <c r="AN496" s="798">
        <f t="shared" si="492"/>
        <v>1</v>
      </c>
      <c r="AO496" s="798">
        <f t="shared" si="492"/>
        <v>1</v>
      </c>
      <c r="AP496" s="798">
        <f t="shared" si="492"/>
        <v>1</v>
      </c>
      <c r="AQ496" s="798">
        <f t="shared" si="492"/>
        <v>1</v>
      </c>
      <c r="AR496" s="798">
        <f t="shared" si="492"/>
        <v>1</v>
      </c>
      <c r="AS496" s="798">
        <f t="shared" si="492"/>
        <v>1</v>
      </c>
      <c r="AT496" s="798">
        <f t="shared" si="492"/>
        <v>1</v>
      </c>
      <c r="AU496" s="798">
        <f t="shared" si="492"/>
        <v>1</v>
      </c>
      <c r="AV496" s="798">
        <f t="shared" si="492"/>
        <v>1</v>
      </c>
      <c r="AW496" s="798">
        <f t="shared" si="492"/>
        <v>1</v>
      </c>
      <c r="AX496" s="798">
        <f t="shared" si="492"/>
        <v>1</v>
      </c>
      <c r="AY496" s="798">
        <f t="shared" si="492"/>
        <v>1</v>
      </c>
      <c r="AZ496" s="798">
        <f t="shared" si="492"/>
        <v>1</v>
      </c>
      <c r="BA496" s="798">
        <f t="shared" si="492"/>
        <v>1</v>
      </c>
      <c r="BB496" s="798">
        <f t="shared" si="492"/>
        <v>1</v>
      </c>
      <c r="BC496" s="798">
        <f t="shared" si="492"/>
        <v>1</v>
      </c>
      <c r="BD496" s="798">
        <f t="shared" si="492"/>
        <v>1</v>
      </c>
      <c r="BE496" s="798">
        <f t="shared" si="492"/>
        <v>1</v>
      </c>
      <c r="BF496" s="798">
        <f t="shared" si="492"/>
        <v>1</v>
      </c>
      <c r="BG496" s="798">
        <f t="shared" si="492"/>
        <v>1</v>
      </c>
      <c r="BH496" s="798">
        <f t="shared" si="492"/>
        <v>1</v>
      </c>
      <c r="BI496" s="798">
        <f t="shared" si="492"/>
        <v>1</v>
      </c>
      <c r="BJ496" s="798">
        <f t="shared" si="492"/>
        <v>1</v>
      </c>
      <c r="BK496" s="798">
        <f t="shared" si="492"/>
        <v>1</v>
      </c>
      <c r="BL496" s="765"/>
      <c r="BM496" s="817"/>
      <c r="BN496" s="817"/>
    </row>
    <row r="497" hidden="1">
      <c r="A497" s="765"/>
      <c r="B497" s="765"/>
      <c r="C497" s="765"/>
      <c r="D497" s="765"/>
      <c r="E497" s="765"/>
      <c r="F497" s="765"/>
      <c r="G497" s="765"/>
      <c r="H497" s="765"/>
      <c r="I497" s="765">
        <f t="shared" si="17"/>
        <v>486</v>
      </c>
      <c r="J497" s="763">
        <f t="shared" si="5"/>
        <v>1.20556E+15</v>
      </c>
      <c r="K497" s="796">
        <f t="shared" si="7"/>
        <v>0.47679</v>
      </c>
      <c r="L497" s="796">
        <v>5.0E-4</v>
      </c>
      <c r="M497" s="763">
        <v>1.37464300147285E15</v>
      </c>
      <c r="N497" s="797">
        <f t="shared" si="8"/>
        <v>0</v>
      </c>
      <c r="O497" s="798">
        <f t="shared" ref="O497:BK497" si="493">FLOOR(MIN((((N("value of ELS upgrade")+N$8*($K497-$K496))*(N("Check checkbox")+(IF($G$6=TRUE,$G$7,$G$8))/$G$8))/(N("ROI of ELS and multiply by 2 if ELS is 1:1")+IF($G$12 = True, 2, 1) * $J497))/((N("difference in ELS+ and the cost of it")+(($K496*O$8)-($K496*N$8)) / O$7)),(N("MIN lets it return 0 or 1 after floored")+1)),1)</f>
        <v>0</v>
      </c>
      <c r="P497" s="798">
        <f t="shared" si="493"/>
        <v>0</v>
      </c>
      <c r="Q497" s="798">
        <f t="shared" si="493"/>
        <v>0</v>
      </c>
      <c r="R497" s="798">
        <f t="shared" si="493"/>
        <v>0</v>
      </c>
      <c r="S497" s="798">
        <f t="shared" si="493"/>
        <v>0</v>
      </c>
      <c r="T497" s="798">
        <f t="shared" si="493"/>
        <v>0</v>
      </c>
      <c r="U497" s="798">
        <f t="shared" si="493"/>
        <v>0</v>
      </c>
      <c r="V497" s="798">
        <f t="shared" si="493"/>
        <v>0</v>
      </c>
      <c r="W497" s="798">
        <f t="shared" si="493"/>
        <v>0</v>
      </c>
      <c r="X497" s="798">
        <f t="shared" si="493"/>
        <v>0</v>
      </c>
      <c r="Y497" s="798">
        <f t="shared" si="493"/>
        <v>0</v>
      </c>
      <c r="Z497" s="798">
        <f t="shared" si="493"/>
        <v>0</v>
      </c>
      <c r="AA497" s="798">
        <f t="shared" si="493"/>
        <v>0</v>
      </c>
      <c r="AB497" s="798">
        <f t="shared" si="493"/>
        <v>0</v>
      </c>
      <c r="AC497" s="798">
        <f t="shared" si="493"/>
        <v>0</v>
      </c>
      <c r="AD497" s="798">
        <f t="shared" si="493"/>
        <v>0</v>
      </c>
      <c r="AE497" s="798">
        <f t="shared" si="493"/>
        <v>0</v>
      </c>
      <c r="AF497" s="798">
        <f t="shared" si="493"/>
        <v>0</v>
      </c>
      <c r="AG497" s="798">
        <f t="shared" si="493"/>
        <v>0</v>
      </c>
      <c r="AH497" s="798">
        <f t="shared" si="493"/>
        <v>0</v>
      </c>
      <c r="AI497" s="798">
        <f t="shared" si="493"/>
        <v>0</v>
      </c>
      <c r="AJ497" s="798">
        <f t="shared" si="493"/>
        <v>0</v>
      </c>
      <c r="AK497" s="798">
        <f t="shared" si="493"/>
        <v>0</v>
      </c>
      <c r="AL497" s="798">
        <f t="shared" si="493"/>
        <v>1</v>
      </c>
      <c r="AM497" s="798">
        <f t="shared" si="493"/>
        <v>1</v>
      </c>
      <c r="AN497" s="798">
        <f t="shared" si="493"/>
        <v>1</v>
      </c>
      <c r="AO497" s="798">
        <f t="shared" si="493"/>
        <v>1</v>
      </c>
      <c r="AP497" s="798">
        <f t="shared" si="493"/>
        <v>1</v>
      </c>
      <c r="AQ497" s="798">
        <f t="shared" si="493"/>
        <v>1</v>
      </c>
      <c r="AR497" s="798">
        <f t="shared" si="493"/>
        <v>1</v>
      </c>
      <c r="AS497" s="798">
        <f t="shared" si="493"/>
        <v>1</v>
      </c>
      <c r="AT497" s="798">
        <f t="shared" si="493"/>
        <v>1</v>
      </c>
      <c r="AU497" s="798">
        <f t="shared" si="493"/>
        <v>1</v>
      </c>
      <c r="AV497" s="798">
        <f t="shared" si="493"/>
        <v>1</v>
      </c>
      <c r="AW497" s="798">
        <f t="shared" si="493"/>
        <v>1</v>
      </c>
      <c r="AX497" s="798">
        <f t="shared" si="493"/>
        <v>1</v>
      </c>
      <c r="AY497" s="798">
        <f t="shared" si="493"/>
        <v>1</v>
      </c>
      <c r="AZ497" s="798">
        <f t="shared" si="493"/>
        <v>1</v>
      </c>
      <c r="BA497" s="798">
        <f t="shared" si="493"/>
        <v>1</v>
      </c>
      <c r="BB497" s="798">
        <f t="shared" si="493"/>
        <v>1</v>
      </c>
      <c r="BC497" s="798">
        <f t="shared" si="493"/>
        <v>1</v>
      </c>
      <c r="BD497" s="798">
        <f t="shared" si="493"/>
        <v>1</v>
      </c>
      <c r="BE497" s="798">
        <f t="shared" si="493"/>
        <v>1</v>
      </c>
      <c r="BF497" s="798">
        <f t="shared" si="493"/>
        <v>1</v>
      </c>
      <c r="BG497" s="798">
        <f t="shared" si="493"/>
        <v>1</v>
      </c>
      <c r="BH497" s="798">
        <f t="shared" si="493"/>
        <v>1</v>
      </c>
      <c r="BI497" s="798">
        <f t="shared" si="493"/>
        <v>1</v>
      </c>
      <c r="BJ497" s="798">
        <f t="shared" si="493"/>
        <v>1</v>
      </c>
      <c r="BK497" s="798">
        <f t="shared" si="493"/>
        <v>1</v>
      </c>
      <c r="BL497" s="765"/>
      <c r="BM497" s="817"/>
      <c r="BN497" s="817"/>
    </row>
    <row r="498" hidden="1">
      <c r="A498" s="765"/>
      <c r="B498" s="765"/>
      <c r="C498" s="765"/>
      <c r="D498" s="765"/>
      <c r="E498" s="765"/>
      <c r="F498" s="765"/>
      <c r="G498" s="765"/>
      <c r="H498" s="765"/>
      <c r="I498" s="765">
        <f t="shared" si="17"/>
        <v>487</v>
      </c>
      <c r="J498" s="763">
        <f t="shared" si="5"/>
        <v>1.20992E+15</v>
      </c>
      <c r="K498" s="796">
        <f t="shared" si="7"/>
        <v>0.47729</v>
      </c>
      <c r="L498" s="796">
        <v>5.0E-4</v>
      </c>
      <c r="M498" s="763">
        <v>1.37961403595395E15</v>
      </c>
      <c r="N498" s="797">
        <f t="shared" si="8"/>
        <v>0</v>
      </c>
      <c r="O498" s="798">
        <f t="shared" ref="O498:BK498" si="494">FLOOR(MIN((((N("value of ELS upgrade")+N$8*($K498-$K497))*(N("Check checkbox")+(IF($G$6=TRUE,$G$7,$G$8))/$G$8))/(N("ROI of ELS and multiply by 2 if ELS is 1:1")+IF($G$12 = True, 2, 1) * $J498))/((N("difference in ELS+ and the cost of it")+(($K497*O$8)-($K497*N$8)) / O$7)),(N("MIN lets it return 0 or 1 after floored")+1)),1)</f>
        <v>0</v>
      </c>
      <c r="P498" s="798">
        <f t="shared" si="494"/>
        <v>0</v>
      </c>
      <c r="Q498" s="798">
        <f t="shared" si="494"/>
        <v>0</v>
      </c>
      <c r="R498" s="798">
        <f t="shared" si="494"/>
        <v>0</v>
      </c>
      <c r="S498" s="798">
        <f t="shared" si="494"/>
        <v>0</v>
      </c>
      <c r="T498" s="798">
        <f t="shared" si="494"/>
        <v>0</v>
      </c>
      <c r="U498" s="798">
        <f t="shared" si="494"/>
        <v>0</v>
      </c>
      <c r="V498" s="798">
        <f t="shared" si="494"/>
        <v>0</v>
      </c>
      <c r="W498" s="798">
        <f t="shared" si="494"/>
        <v>0</v>
      </c>
      <c r="X498" s="798">
        <f t="shared" si="494"/>
        <v>0</v>
      </c>
      <c r="Y498" s="798">
        <f t="shared" si="494"/>
        <v>0</v>
      </c>
      <c r="Z498" s="798">
        <f t="shared" si="494"/>
        <v>0</v>
      </c>
      <c r="AA498" s="798">
        <f t="shared" si="494"/>
        <v>0</v>
      </c>
      <c r="AB498" s="798">
        <f t="shared" si="494"/>
        <v>0</v>
      </c>
      <c r="AC498" s="798">
        <f t="shared" si="494"/>
        <v>0</v>
      </c>
      <c r="AD498" s="798">
        <f t="shared" si="494"/>
        <v>0</v>
      </c>
      <c r="AE498" s="798">
        <f t="shared" si="494"/>
        <v>0</v>
      </c>
      <c r="AF498" s="798">
        <f t="shared" si="494"/>
        <v>0</v>
      </c>
      <c r="AG498" s="798">
        <f t="shared" si="494"/>
        <v>0</v>
      </c>
      <c r="AH498" s="798">
        <f t="shared" si="494"/>
        <v>0</v>
      </c>
      <c r="AI498" s="798">
        <f t="shared" si="494"/>
        <v>0</v>
      </c>
      <c r="AJ498" s="798">
        <f t="shared" si="494"/>
        <v>0</v>
      </c>
      <c r="AK498" s="798">
        <f t="shared" si="494"/>
        <v>0</v>
      </c>
      <c r="AL498" s="798">
        <f t="shared" si="494"/>
        <v>1</v>
      </c>
      <c r="AM498" s="798">
        <f t="shared" si="494"/>
        <v>1</v>
      </c>
      <c r="AN498" s="798">
        <f t="shared" si="494"/>
        <v>1</v>
      </c>
      <c r="AO498" s="798">
        <f t="shared" si="494"/>
        <v>1</v>
      </c>
      <c r="AP498" s="798">
        <f t="shared" si="494"/>
        <v>1</v>
      </c>
      <c r="AQ498" s="798">
        <f t="shared" si="494"/>
        <v>1</v>
      </c>
      <c r="AR498" s="798">
        <f t="shared" si="494"/>
        <v>1</v>
      </c>
      <c r="AS498" s="798">
        <f t="shared" si="494"/>
        <v>1</v>
      </c>
      <c r="AT498" s="798">
        <f t="shared" si="494"/>
        <v>1</v>
      </c>
      <c r="AU498" s="798">
        <f t="shared" si="494"/>
        <v>1</v>
      </c>
      <c r="AV498" s="798">
        <f t="shared" si="494"/>
        <v>1</v>
      </c>
      <c r="AW498" s="798">
        <f t="shared" si="494"/>
        <v>1</v>
      </c>
      <c r="AX498" s="798">
        <f t="shared" si="494"/>
        <v>1</v>
      </c>
      <c r="AY498" s="798">
        <f t="shared" si="494"/>
        <v>1</v>
      </c>
      <c r="AZ498" s="798">
        <f t="shared" si="494"/>
        <v>1</v>
      </c>
      <c r="BA498" s="798">
        <f t="shared" si="494"/>
        <v>1</v>
      </c>
      <c r="BB498" s="798">
        <f t="shared" si="494"/>
        <v>1</v>
      </c>
      <c r="BC498" s="798">
        <f t="shared" si="494"/>
        <v>1</v>
      </c>
      <c r="BD498" s="798">
        <f t="shared" si="494"/>
        <v>1</v>
      </c>
      <c r="BE498" s="798">
        <f t="shared" si="494"/>
        <v>1</v>
      </c>
      <c r="BF498" s="798">
        <f t="shared" si="494"/>
        <v>1</v>
      </c>
      <c r="BG498" s="798">
        <f t="shared" si="494"/>
        <v>1</v>
      </c>
      <c r="BH498" s="798">
        <f t="shared" si="494"/>
        <v>1</v>
      </c>
      <c r="BI498" s="798">
        <f t="shared" si="494"/>
        <v>1</v>
      </c>
      <c r="BJ498" s="798">
        <f t="shared" si="494"/>
        <v>1</v>
      </c>
      <c r="BK498" s="798">
        <f t="shared" si="494"/>
        <v>1</v>
      </c>
      <c r="BL498" s="765"/>
      <c r="BM498" s="817"/>
      <c r="BN498" s="817"/>
    </row>
    <row r="499" hidden="1">
      <c r="A499" s="765"/>
      <c r="B499" s="765"/>
      <c r="C499" s="765"/>
      <c r="D499" s="765"/>
      <c r="E499" s="765"/>
      <c r="F499" s="765"/>
      <c r="G499" s="765"/>
      <c r="H499" s="765"/>
      <c r="I499" s="765">
        <f t="shared" si="17"/>
        <v>488</v>
      </c>
      <c r="J499" s="763">
        <f t="shared" si="5"/>
        <v>1.21429E+15</v>
      </c>
      <c r="K499" s="796">
        <f t="shared" si="7"/>
        <v>0.47779</v>
      </c>
      <c r="L499" s="796">
        <v>5.0E-4</v>
      </c>
      <c r="M499" s="763">
        <v>1.38460030519367E15</v>
      </c>
      <c r="N499" s="797">
        <f t="shared" si="8"/>
        <v>0</v>
      </c>
      <c r="O499" s="798">
        <f t="shared" ref="O499:BK499" si="495">FLOOR(MIN((((N("value of ELS upgrade")+N$8*($K499-$K498))*(N("Check checkbox")+(IF($G$6=TRUE,$G$7,$G$8))/$G$8))/(N("ROI of ELS and multiply by 2 if ELS is 1:1")+IF($G$12 = True, 2, 1) * $J499))/((N("difference in ELS+ and the cost of it")+(($K498*O$8)-($K498*N$8)) / O$7)),(N("MIN lets it return 0 or 1 after floored")+1)),1)</f>
        <v>0</v>
      </c>
      <c r="P499" s="798">
        <f t="shared" si="495"/>
        <v>0</v>
      </c>
      <c r="Q499" s="798">
        <f t="shared" si="495"/>
        <v>0</v>
      </c>
      <c r="R499" s="798">
        <f t="shared" si="495"/>
        <v>0</v>
      </c>
      <c r="S499" s="798">
        <f t="shared" si="495"/>
        <v>0</v>
      </c>
      <c r="T499" s="798">
        <f t="shared" si="495"/>
        <v>0</v>
      </c>
      <c r="U499" s="798">
        <f t="shared" si="495"/>
        <v>0</v>
      </c>
      <c r="V499" s="798">
        <f t="shared" si="495"/>
        <v>0</v>
      </c>
      <c r="W499" s="798">
        <f t="shared" si="495"/>
        <v>0</v>
      </c>
      <c r="X499" s="798">
        <f t="shared" si="495"/>
        <v>0</v>
      </c>
      <c r="Y499" s="798">
        <f t="shared" si="495"/>
        <v>0</v>
      </c>
      <c r="Z499" s="798">
        <f t="shared" si="495"/>
        <v>0</v>
      </c>
      <c r="AA499" s="798">
        <f t="shared" si="495"/>
        <v>0</v>
      </c>
      <c r="AB499" s="798">
        <f t="shared" si="495"/>
        <v>0</v>
      </c>
      <c r="AC499" s="798">
        <f t="shared" si="495"/>
        <v>0</v>
      </c>
      <c r="AD499" s="798">
        <f t="shared" si="495"/>
        <v>0</v>
      </c>
      <c r="AE499" s="798">
        <f t="shared" si="495"/>
        <v>0</v>
      </c>
      <c r="AF499" s="798">
        <f t="shared" si="495"/>
        <v>0</v>
      </c>
      <c r="AG499" s="798">
        <f t="shared" si="495"/>
        <v>0</v>
      </c>
      <c r="AH499" s="798">
        <f t="shared" si="495"/>
        <v>0</v>
      </c>
      <c r="AI499" s="798">
        <f t="shared" si="495"/>
        <v>0</v>
      </c>
      <c r="AJ499" s="798">
        <f t="shared" si="495"/>
        <v>0</v>
      </c>
      <c r="AK499" s="798">
        <f t="shared" si="495"/>
        <v>0</v>
      </c>
      <c r="AL499" s="798">
        <f t="shared" si="495"/>
        <v>1</v>
      </c>
      <c r="AM499" s="798">
        <f t="shared" si="495"/>
        <v>1</v>
      </c>
      <c r="AN499" s="798">
        <f t="shared" si="495"/>
        <v>1</v>
      </c>
      <c r="AO499" s="798">
        <f t="shared" si="495"/>
        <v>1</v>
      </c>
      <c r="AP499" s="798">
        <f t="shared" si="495"/>
        <v>1</v>
      </c>
      <c r="AQ499" s="798">
        <f t="shared" si="495"/>
        <v>1</v>
      </c>
      <c r="AR499" s="798">
        <f t="shared" si="495"/>
        <v>1</v>
      </c>
      <c r="AS499" s="798">
        <f t="shared" si="495"/>
        <v>1</v>
      </c>
      <c r="AT499" s="798">
        <f t="shared" si="495"/>
        <v>1</v>
      </c>
      <c r="AU499" s="798">
        <f t="shared" si="495"/>
        <v>1</v>
      </c>
      <c r="AV499" s="798">
        <f t="shared" si="495"/>
        <v>1</v>
      </c>
      <c r="AW499" s="798">
        <f t="shared" si="495"/>
        <v>1</v>
      </c>
      <c r="AX499" s="798">
        <f t="shared" si="495"/>
        <v>1</v>
      </c>
      <c r="AY499" s="798">
        <f t="shared" si="495"/>
        <v>1</v>
      </c>
      <c r="AZ499" s="798">
        <f t="shared" si="495"/>
        <v>1</v>
      </c>
      <c r="BA499" s="798">
        <f t="shared" si="495"/>
        <v>1</v>
      </c>
      <c r="BB499" s="798">
        <f t="shared" si="495"/>
        <v>1</v>
      </c>
      <c r="BC499" s="798">
        <f t="shared" si="495"/>
        <v>1</v>
      </c>
      <c r="BD499" s="798">
        <f t="shared" si="495"/>
        <v>1</v>
      </c>
      <c r="BE499" s="798">
        <f t="shared" si="495"/>
        <v>1</v>
      </c>
      <c r="BF499" s="798">
        <f t="shared" si="495"/>
        <v>1</v>
      </c>
      <c r="BG499" s="798">
        <f t="shared" si="495"/>
        <v>1</v>
      </c>
      <c r="BH499" s="798">
        <f t="shared" si="495"/>
        <v>1</v>
      </c>
      <c r="BI499" s="798">
        <f t="shared" si="495"/>
        <v>1</v>
      </c>
      <c r="BJ499" s="798">
        <f t="shared" si="495"/>
        <v>1</v>
      </c>
      <c r="BK499" s="798">
        <f t="shared" si="495"/>
        <v>1</v>
      </c>
      <c r="BL499" s="765"/>
      <c r="BM499" s="817"/>
      <c r="BN499" s="817"/>
    </row>
    <row r="500" hidden="1">
      <c r="A500" s="765"/>
      <c r="B500" s="765"/>
      <c r="C500" s="765"/>
      <c r="D500" s="765"/>
      <c r="E500" s="765"/>
      <c r="F500" s="765"/>
      <c r="G500" s="765"/>
      <c r="H500" s="765"/>
      <c r="I500" s="765">
        <f t="shared" si="17"/>
        <v>489</v>
      </c>
      <c r="J500" s="763">
        <f t="shared" si="5"/>
        <v>1.21868E+15</v>
      </c>
      <c r="K500" s="796">
        <f t="shared" si="7"/>
        <v>0.47829</v>
      </c>
      <c r="L500" s="796">
        <v>5.0E-4</v>
      </c>
      <c r="M500" s="763">
        <v>1.38960186767476E15</v>
      </c>
      <c r="N500" s="797">
        <f t="shared" si="8"/>
        <v>0</v>
      </c>
      <c r="O500" s="798">
        <f t="shared" ref="O500:BK500" si="496">FLOOR(MIN((((N("value of ELS upgrade")+N$8*($K500-$K499))*(N("Check checkbox")+(IF($G$6=TRUE,$G$7,$G$8))/$G$8))/(N("ROI of ELS and multiply by 2 if ELS is 1:1")+IF($G$12 = True, 2, 1) * $J500))/((N("difference in ELS+ and the cost of it")+(($K499*O$8)-($K499*N$8)) / O$7)),(N("MIN lets it return 0 or 1 after floored")+1)),1)</f>
        <v>0</v>
      </c>
      <c r="P500" s="798">
        <f t="shared" si="496"/>
        <v>0</v>
      </c>
      <c r="Q500" s="798">
        <f t="shared" si="496"/>
        <v>0</v>
      </c>
      <c r="R500" s="798">
        <f t="shared" si="496"/>
        <v>0</v>
      </c>
      <c r="S500" s="798">
        <f t="shared" si="496"/>
        <v>0</v>
      </c>
      <c r="T500" s="798">
        <f t="shared" si="496"/>
        <v>0</v>
      </c>
      <c r="U500" s="798">
        <f t="shared" si="496"/>
        <v>0</v>
      </c>
      <c r="V500" s="798">
        <f t="shared" si="496"/>
        <v>0</v>
      </c>
      <c r="W500" s="798">
        <f t="shared" si="496"/>
        <v>0</v>
      </c>
      <c r="X500" s="798">
        <f t="shared" si="496"/>
        <v>0</v>
      </c>
      <c r="Y500" s="798">
        <f t="shared" si="496"/>
        <v>0</v>
      </c>
      <c r="Z500" s="798">
        <f t="shared" si="496"/>
        <v>0</v>
      </c>
      <c r="AA500" s="798">
        <f t="shared" si="496"/>
        <v>0</v>
      </c>
      <c r="AB500" s="798">
        <f t="shared" si="496"/>
        <v>0</v>
      </c>
      <c r="AC500" s="798">
        <f t="shared" si="496"/>
        <v>0</v>
      </c>
      <c r="AD500" s="798">
        <f t="shared" si="496"/>
        <v>0</v>
      </c>
      <c r="AE500" s="798">
        <f t="shared" si="496"/>
        <v>0</v>
      </c>
      <c r="AF500" s="798">
        <f t="shared" si="496"/>
        <v>0</v>
      </c>
      <c r="AG500" s="798">
        <f t="shared" si="496"/>
        <v>0</v>
      </c>
      <c r="AH500" s="798">
        <f t="shared" si="496"/>
        <v>0</v>
      </c>
      <c r="AI500" s="798">
        <f t="shared" si="496"/>
        <v>0</v>
      </c>
      <c r="AJ500" s="798">
        <f t="shared" si="496"/>
        <v>0</v>
      </c>
      <c r="AK500" s="798">
        <f t="shared" si="496"/>
        <v>0</v>
      </c>
      <c r="AL500" s="798">
        <f t="shared" si="496"/>
        <v>1</v>
      </c>
      <c r="AM500" s="798">
        <f t="shared" si="496"/>
        <v>1</v>
      </c>
      <c r="AN500" s="798">
        <f t="shared" si="496"/>
        <v>1</v>
      </c>
      <c r="AO500" s="798">
        <f t="shared" si="496"/>
        <v>1</v>
      </c>
      <c r="AP500" s="798">
        <f t="shared" si="496"/>
        <v>1</v>
      </c>
      <c r="AQ500" s="798">
        <f t="shared" si="496"/>
        <v>1</v>
      </c>
      <c r="AR500" s="798">
        <f t="shared" si="496"/>
        <v>1</v>
      </c>
      <c r="AS500" s="798">
        <f t="shared" si="496"/>
        <v>1</v>
      </c>
      <c r="AT500" s="798">
        <f t="shared" si="496"/>
        <v>1</v>
      </c>
      <c r="AU500" s="798">
        <f t="shared" si="496"/>
        <v>1</v>
      </c>
      <c r="AV500" s="798">
        <f t="shared" si="496"/>
        <v>1</v>
      </c>
      <c r="AW500" s="798">
        <f t="shared" si="496"/>
        <v>1</v>
      </c>
      <c r="AX500" s="798">
        <f t="shared" si="496"/>
        <v>1</v>
      </c>
      <c r="AY500" s="798">
        <f t="shared" si="496"/>
        <v>1</v>
      </c>
      <c r="AZ500" s="798">
        <f t="shared" si="496"/>
        <v>1</v>
      </c>
      <c r="BA500" s="798">
        <f t="shared" si="496"/>
        <v>1</v>
      </c>
      <c r="BB500" s="798">
        <f t="shared" si="496"/>
        <v>1</v>
      </c>
      <c r="BC500" s="798">
        <f t="shared" si="496"/>
        <v>1</v>
      </c>
      <c r="BD500" s="798">
        <f t="shared" si="496"/>
        <v>1</v>
      </c>
      <c r="BE500" s="798">
        <f t="shared" si="496"/>
        <v>1</v>
      </c>
      <c r="BF500" s="798">
        <f t="shared" si="496"/>
        <v>1</v>
      </c>
      <c r="BG500" s="798">
        <f t="shared" si="496"/>
        <v>1</v>
      </c>
      <c r="BH500" s="798">
        <f t="shared" si="496"/>
        <v>1</v>
      </c>
      <c r="BI500" s="798">
        <f t="shared" si="496"/>
        <v>1</v>
      </c>
      <c r="BJ500" s="798">
        <f t="shared" si="496"/>
        <v>1</v>
      </c>
      <c r="BK500" s="798">
        <f t="shared" si="496"/>
        <v>1</v>
      </c>
      <c r="BL500" s="765"/>
      <c r="BM500" s="817"/>
      <c r="BN500" s="817"/>
    </row>
    <row r="501" hidden="1">
      <c r="A501" s="765"/>
      <c r="B501" s="765"/>
      <c r="C501" s="765"/>
      <c r="D501" s="765"/>
      <c r="E501" s="765"/>
      <c r="F501" s="765"/>
      <c r="G501" s="765"/>
      <c r="H501" s="765"/>
      <c r="I501" s="765">
        <f t="shared" si="17"/>
        <v>490</v>
      </c>
      <c r="J501" s="763">
        <f t="shared" si="5"/>
        <v>1.22308E+15</v>
      </c>
      <c r="K501" s="796">
        <f t="shared" si="7"/>
        <v>0.47879</v>
      </c>
      <c r="L501" s="796">
        <v>5.0E-4</v>
      </c>
      <c r="M501" s="763">
        <v>1.3946187526386E15</v>
      </c>
      <c r="N501" s="797">
        <f t="shared" si="8"/>
        <v>0</v>
      </c>
      <c r="O501" s="798">
        <f t="shared" ref="O501:BK501" si="497">FLOOR(MIN((((N("value of ELS upgrade")+N$8*($K501-$K500))*(N("Check checkbox")+(IF($G$6=TRUE,$G$7,$G$8))/$G$8))/(N("ROI of ELS and multiply by 2 if ELS is 1:1")+IF($G$12 = True, 2, 1) * $J501))/((N("difference in ELS+ and the cost of it")+(($K500*O$8)-($K500*N$8)) / O$7)),(N("MIN lets it return 0 or 1 after floored")+1)),1)</f>
        <v>0</v>
      </c>
      <c r="P501" s="798">
        <f t="shared" si="497"/>
        <v>0</v>
      </c>
      <c r="Q501" s="798">
        <f t="shared" si="497"/>
        <v>0</v>
      </c>
      <c r="R501" s="798">
        <f t="shared" si="497"/>
        <v>0</v>
      </c>
      <c r="S501" s="798">
        <f t="shared" si="497"/>
        <v>0</v>
      </c>
      <c r="T501" s="798">
        <f t="shared" si="497"/>
        <v>0</v>
      </c>
      <c r="U501" s="798">
        <f t="shared" si="497"/>
        <v>0</v>
      </c>
      <c r="V501" s="798">
        <f t="shared" si="497"/>
        <v>0</v>
      </c>
      <c r="W501" s="798">
        <f t="shared" si="497"/>
        <v>0</v>
      </c>
      <c r="X501" s="798">
        <f t="shared" si="497"/>
        <v>0</v>
      </c>
      <c r="Y501" s="798">
        <f t="shared" si="497"/>
        <v>0</v>
      </c>
      <c r="Z501" s="798">
        <f t="shared" si="497"/>
        <v>0</v>
      </c>
      <c r="AA501" s="798">
        <f t="shared" si="497"/>
        <v>0</v>
      </c>
      <c r="AB501" s="798">
        <f t="shared" si="497"/>
        <v>0</v>
      </c>
      <c r="AC501" s="798">
        <f t="shared" si="497"/>
        <v>0</v>
      </c>
      <c r="AD501" s="798">
        <f t="shared" si="497"/>
        <v>0</v>
      </c>
      <c r="AE501" s="798">
        <f t="shared" si="497"/>
        <v>0</v>
      </c>
      <c r="AF501" s="798">
        <f t="shared" si="497"/>
        <v>0</v>
      </c>
      <c r="AG501" s="798">
        <f t="shared" si="497"/>
        <v>0</v>
      </c>
      <c r="AH501" s="798">
        <f t="shared" si="497"/>
        <v>0</v>
      </c>
      <c r="AI501" s="798">
        <f t="shared" si="497"/>
        <v>0</v>
      </c>
      <c r="AJ501" s="798">
        <f t="shared" si="497"/>
        <v>0</v>
      </c>
      <c r="AK501" s="798">
        <f t="shared" si="497"/>
        <v>0</v>
      </c>
      <c r="AL501" s="798">
        <f t="shared" si="497"/>
        <v>1</v>
      </c>
      <c r="AM501" s="798">
        <f t="shared" si="497"/>
        <v>1</v>
      </c>
      <c r="AN501" s="798">
        <f t="shared" si="497"/>
        <v>1</v>
      </c>
      <c r="AO501" s="798">
        <f t="shared" si="497"/>
        <v>1</v>
      </c>
      <c r="AP501" s="798">
        <f t="shared" si="497"/>
        <v>1</v>
      </c>
      <c r="AQ501" s="798">
        <f t="shared" si="497"/>
        <v>1</v>
      </c>
      <c r="AR501" s="798">
        <f t="shared" si="497"/>
        <v>1</v>
      </c>
      <c r="AS501" s="798">
        <f t="shared" si="497"/>
        <v>1</v>
      </c>
      <c r="AT501" s="798">
        <f t="shared" si="497"/>
        <v>1</v>
      </c>
      <c r="AU501" s="798">
        <f t="shared" si="497"/>
        <v>1</v>
      </c>
      <c r="AV501" s="798">
        <f t="shared" si="497"/>
        <v>1</v>
      </c>
      <c r="AW501" s="798">
        <f t="shared" si="497"/>
        <v>1</v>
      </c>
      <c r="AX501" s="798">
        <f t="shared" si="497"/>
        <v>1</v>
      </c>
      <c r="AY501" s="798">
        <f t="shared" si="497"/>
        <v>1</v>
      </c>
      <c r="AZ501" s="798">
        <f t="shared" si="497"/>
        <v>1</v>
      </c>
      <c r="BA501" s="798">
        <f t="shared" si="497"/>
        <v>1</v>
      </c>
      <c r="BB501" s="798">
        <f t="shared" si="497"/>
        <v>1</v>
      </c>
      <c r="BC501" s="798">
        <f t="shared" si="497"/>
        <v>1</v>
      </c>
      <c r="BD501" s="798">
        <f t="shared" si="497"/>
        <v>1</v>
      </c>
      <c r="BE501" s="798">
        <f t="shared" si="497"/>
        <v>1</v>
      </c>
      <c r="BF501" s="798">
        <f t="shared" si="497"/>
        <v>1</v>
      </c>
      <c r="BG501" s="798">
        <f t="shared" si="497"/>
        <v>1</v>
      </c>
      <c r="BH501" s="798">
        <f t="shared" si="497"/>
        <v>1</v>
      </c>
      <c r="BI501" s="798">
        <f t="shared" si="497"/>
        <v>1</v>
      </c>
      <c r="BJ501" s="798">
        <f t="shared" si="497"/>
        <v>1</v>
      </c>
      <c r="BK501" s="798">
        <f t="shared" si="497"/>
        <v>1</v>
      </c>
      <c r="BL501" s="765"/>
      <c r="BM501" s="817"/>
      <c r="BN501" s="817"/>
    </row>
    <row r="502" hidden="1">
      <c r="A502" s="765"/>
      <c r="B502" s="765"/>
      <c r="C502" s="765"/>
      <c r="D502" s="765"/>
      <c r="E502" s="765"/>
      <c r="F502" s="765"/>
      <c r="G502" s="765"/>
      <c r="H502" s="765"/>
      <c r="I502" s="765">
        <f t="shared" si="17"/>
        <v>491</v>
      </c>
      <c r="J502" s="763">
        <f t="shared" si="5"/>
        <v>1.22749E+15</v>
      </c>
      <c r="K502" s="796">
        <f t="shared" si="7"/>
        <v>0.47929</v>
      </c>
      <c r="L502" s="796">
        <v>5.0E-4</v>
      </c>
      <c r="M502" s="763">
        <v>1.39965098932658E15</v>
      </c>
      <c r="N502" s="797">
        <f t="shared" si="8"/>
        <v>0</v>
      </c>
      <c r="O502" s="798">
        <f t="shared" ref="O502:BK502" si="498">FLOOR(MIN((((N("value of ELS upgrade")+N$8*($K502-$K501))*(N("Check checkbox")+(IF($G$6=TRUE,$G$7,$G$8))/$G$8))/(N("ROI of ELS and multiply by 2 if ELS is 1:1")+IF($G$12 = True, 2, 1) * $J502))/((N("difference in ELS+ and the cost of it")+(($K501*O$8)-($K501*N$8)) / O$7)),(N("MIN lets it return 0 or 1 after floored")+1)),1)</f>
        <v>0</v>
      </c>
      <c r="P502" s="798">
        <f t="shared" si="498"/>
        <v>0</v>
      </c>
      <c r="Q502" s="798">
        <f t="shared" si="498"/>
        <v>0</v>
      </c>
      <c r="R502" s="798">
        <f t="shared" si="498"/>
        <v>0</v>
      </c>
      <c r="S502" s="798">
        <f t="shared" si="498"/>
        <v>0</v>
      </c>
      <c r="T502" s="798">
        <f t="shared" si="498"/>
        <v>0</v>
      </c>
      <c r="U502" s="798">
        <f t="shared" si="498"/>
        <v>0</v>
      </c>
      <c r="V502" s="798">
        <f t="shared" si="498"/>
        <v>0</v>
      </c>
      <c r="W502" s="798">
        <f t="shared" si="498"/>
        <v>0</v>
      </c>
      <c r="X502" s="798">
        <f t="shared" si="498"/>
        <v>0</v>
      </c>
      <c r="Y502" s="798">
        <f t="shared" si="498"/>
        <v>0</v>
      </c>
      <c r="Z502" s="798">
        <f t="shared" si="498"/>
        <v>0</v>
      </c>
      <c r="AA502" s="798">
        <f t="shared" si="498"/>
        <v>0</v>
      </c>
      <c r="AB502" s="798">
        <f t="shared" si="498"/>
        <v>0</v>
      </c>
      <c r="AC502" s="798">
        <f t="shared" si="498"/>
        <v>0</v>
      </c>
      <c r="AD502" s="798">
        <f t="shared" si="498"/>
        <v>0</v>
      </c>
      <c r="AE502" s="798">
        <f t="shared" si="498"/>
        <v>0</v>
      </c>
      <c r="AF502" s="798">
        <f t="shared" si="498"/>
        <v>0</v>
      </c>
      <c r="AG502" s="798">
        <f t="shared" si="498"/>
        <v>0</v>
      </c>
      <c r="AH502" s="798">
        <f t="shared" si="498"/>
        <v>0</v>
      </c>
      <c r="AI502" s="798">
        <f t="shared" si="498"/>
        <v>0</v>
      </c>
      <c r="AJ502" s="798">
        <f t="shared" si="498"/>
        <v>0</v>
      </c>
      <c r="AK502" s="798">
        <f t="shared" si="498"/>
        <v>0</v>
      </c>
      <c r="AL502" s="798">
        <f t="shared" si="498"/>
        <v>1</v>
      </c>
      <c r="AM502" s="798">
        <f t="shared" si="498"/>
        <v>1</v>
      </c>
      <c r="AN502" s="798">
        <f t="shared" si="498"/>
        <v>1</v>
      </c>
      <c r="AO502" s="798">
        <f t="shared" si="498"/>
        <v>1</v>
      </c>
      <c r="AP502" s="798">
        <f t="shared" si="498"/>
        <v>1</v>
      </c>
      <c r="AQ502" s="798">
        <f t="shared" si="498"/>
        <v>1</v>
      </c>
      <c r="AR502" s="798">
        <f t="shared" si="498"/>
        <v>1</v>
      </c>
      <c r="AS502" s="798">
        <f t="shared" si="498"/>
        <v>1</v>
      </c>
      <c r="AT502" s="798">
        <f t="shared" si="498"/>
        <v>1</v>
      </c>
      <c r="AU502" s="798">
        <f t="shared" si="498"/>
        <v>1</v>
      </c>
      <c r="AV502" s="798">
        <f t="shared" si="498"/>
        <v>1</v>
      </c>
      <c r="AW502" s="798">
        <f t="shared" si="498"/>
        <v>1</v>
      </c>
      <c r="AX502" s="798">
        <f t="shared" si="498"/>
        <v>1</v>
      </c>
      <c r="AY502" s="798">
        <f t="shared" si="498"/>
        <v>1</v>
      </c>
      <c r="AZ502" s="798">
        <f t="shared" si="498"/>
        <v>1</v>
      </c>
      <c r="BA502" s="798">
        <f t="shared" si="498"/>
        <v>1</v>
      </c>
      <c r="BB502" s="798">
        <f t="shared" si="498"/>
        <v>1</v>
      </c>
      <c r="BC502" s="798">
        <f t="shared" si="498"/>
        <v>1</v>
      </c>
      <c r="BD502" s="798">
        <f t="shared" si="498"/>
        <v>1</v>
      </c>
      <c r="BE502" s="798">
        <f t="shared" si="498"/>
        <v>1</v>
      </c>
      <c r="BF502" s="798">
        <f t="shared" si="498"/>
        <v>1</v>
      </c>
      <c r="BG502" s="798">
        <f t="shared" si="498"/>
        <v>1</v>
      </c>
      <c r="BH502" s="798">
        <f t="shared" si="498"/>
        <v>1</v>
      </c>
      <c r="BI502" s="798">
        <f t="shared" si="498"/>
        <v>1</v>
      </c>
      <c r="BJ502" s="798">
        <f t="shared" si="498"/>
        <v>1</v>
      </c>
      <c r="BK502" s="798">
        <f t="shared" si="498"/>
        <v>1</v>
      </c>
      <c r="BL502" s="765"/>
      <c r="BM502" s="817"/>
      <c r="BN502" s="817"/>
    </row>
    <row r="503" hidden="1">
      <c r="A503" s="765"/>
      <c r="B503" s="765"/>
      <c r="C503" s="765"/>
      <c r="D503" s="765"/>
      <c r="E503" s="765"/>
      <c r="F503" s="765"/>
      <c r="G503" s="765"/>
      <c r="H503" s="765"/>
      <c r="I503" s="765">
        <f t="shared" si="17"/>
        <v>492</v>
      </c>
      <c r="J503" s="763">
        <f t="shared" si="5"/>
        <v>1.23192E+15</v>
      </c>
      <c r="K503" s="796">
        <f t="shared" si="7"/>
        <v>0.47979</v>
      </c>
      <c r="L503" s="796">
        <v>5.0E-4</v>
      </c>
      <c r="M503" s="763">
        <v>1.40469863622145E15</v>
      </c>
      <c r="N503" s="797">
        <f t="shared" si="8"/>
        <v>0</v>
      </c>
      <c r="O503" s="798">
        <f t="shared" ref="O503:BK503" si="499">FLOOR(MIN((((N("value of ELS upgrade")+N$8*($K503-$K502))*(N("Check checkbox")+(IF($G$6=TRUE,$G$7,$G$8))/$G$8))/(N("ROI of ELS and multiply by 2 if ELS is 1:1")+IF($G$12 = True, 2, 1) * $J503))/((N("difference in ELS+ and the cost of it")+(($K502*O$8)-($K502*N$8)) / O$7)),(N("MIN lets it return 0 or 1 after floored")+1)),1)</f>
        <v>0</v>
      </c>
      <c r="P503" s="798">
        <f t="shared" si="499"/>
        <v>0</v>
      </c>
      <c r="Q503" s="798">
        <f t="shared" si="499"/>
        <v>0</v>
      </c>
      <c r="R503" s="798">
        <f t="shared" si="499"/>
        <v>0</v>
      </c>
      <c r="S503" s="798">
        <f t="shared" si="499"/>
        <v>0</v>
      </c>
      <c r="T503" s="798">
        <f t="shared" si="499"/>
        <v>0</v>
      </c>
      <c r="U503" s="798">
        <f t="shared" si="499"/>
        <v>0</v>
      </c>
      <c r="V503" s="798">
        <f t="shared" si="499"/>
        <v>0</v>
      </c>
      <c r="W503" s="798">
        <f t="shared" si="499"/>
        <v>0</v>
      </c>
      <c r="X503" s="798">
        <f t="shared" si="499"/>
        <v>0</v>
      </c>
      <c r="Y503" s="798">
        <f t="shared" si="499"/>
        <v>0</v>
      </c>
      <c r="Z503" s="798">
        <f t="shared" si="499"/>
        <v>0</v>
      </c>
      <c r="AA503" s="798">
        <f t="shared" si="499"/>
        <v>0</v>
      </c>
      <c r="AB503" s="798">
        <f t="shared" si="499"/>
        <v>0</v>
      </c>
      <c r="AC503" s="798">
        <f t="shared" si="499"/>
        <v>0</v>
      </c>
      <c r="AD503" s="798">
        <f t="shared" si="499"/>
        <v>0</v>
      </c>
      <c r="AE503" s="798">
        <f t="shared" si="499"/>
        <v>0</v>
      </c>
      <c r="AF503" s="798">
        <f t="shared" si="499"/>
        <v>0</v>
      </c>
      <c r="AG503" s="798">
        <f t="shared" si="499"/>
        <v>0</v>
      </c>
      <c r="AH503" s="798">
        <f t="shared" si="499"/>
        <v>0</v>
      </c>
      <c r="AI503" s="798">
        <f t="shared" si="499"/>
        <v>0</v>
      </c>
      <c r="AJ503" s="798">
        <f t="shared" si="499"/>
        <v>0</v>
      </c>
      <c r="AK503" s="798">
        <f t="shared" si="499"/>
        <v>0</v>
      </c>
      <c r="AL503" s="798">
        <f t="shared" si="499"/>
        <v>1</v>
      </c>
      <c r="AM503" s="798">
        <f t="shared" si="499"/>
        <v>1</v>
      </c>
      <c r="AN503" s="798">
        <f t="shared" si="499"/>
        <v>1</v>
      </c>
      <c r="AO503" s="798">
        <f t="shared" si="499"/>
        <v>1</v>
      </c>
      <c r="AP503" s="798">
        <f t="shared" si="499"/>
        <v>1</v>
      </c>
      <c r="AQ503" s="798">
        <f t="shared" si="499"/>
        <v>1</v>
      </c>
      <c r="AR503" s="798">
        <f t="shared" si="499"/>
        <v>1</v>
      </c>
      <c r="AS503" s="798">
        <f t="shared" si="499"/>
        <v>1</v>
      </c>
      <c r="AT503" s="798">
        <f t="shared" si="499"/>
        <v>1</v>
      </c>
      <c r="AU503" s="798">
        <f t="shared" si="499"/>
        <v>1</v>
      </c>
      <c r="AV503" s="798">
        <f t="shared" si="499"/>
        <v>1</v>
      </c>
      <c r="AW503" s="798">
        <f t="shared" si="499"/>
        <v>1</v>
      </c>
      <c r="AX503" s="798">
        <f t="shared" si="499"/>
        <v>1</v>
      </c>
      <c r="AY503" s="798">
        <f t="shared" si="499"/>
        <v>1</v>
      </c>
      <c r="AZ503" s="798">
        <f t="shared" si="499"/>
        <v>1</v>
      </c>
      <c r="BA503" s="798">
        <f t="shared" si="499"/>
        <v>1</v>
      </c>
      <c r="BB503" s="798">
        <f t="shared" si="499"/>
        <v>1</v>
      </c>
      <c r="BC503" s="798">
        <f t="shared" si="499"/>
        <v>1</v>
      </c>
      <c r="BD503" s="798">
        <f t="shared" si="499"/>
        <v>1</v>
      </c>
      <c r="BE503" s="798">
        <f t="shared" si="499"/>
        <v>1</v>
      </c>
      <c r="BF503" s="798">
        <f t="shared" si="499"/>
        <v>1</v>
      </c>
      <c r="BG503" s="798">
        <f t="shared" si="499"/>
        <v>1</v>
      </c>
      <c r="BH503" s="798">
        <f t="shared" si="499"/>
        <v>1</v>
      </c>
      <c r="BI503" s="798">
        <f t="shared" si="499"/>
        <v>1</v>
      </c>
      <c r="BJ503" s="798">
        <f t="shared" si="499"/>
        <v>1</v>
      </c>
      <c r="BK503" s="798">
        <f t="shared" si="499"/>
        <v>1</v>
      </c>
      <c r="BL503" s="765"/>
      <c r="BM503" s="817"/>
      <c r="BN503" s="817"/>
    </row>
    <row r="504" hidden="1">
      <c r="A504" s="765"/>
      <c r="B504" s="765"/>
      <c r="C504" s="765"/>
      <c r="D504" s="765"/>
      <c r="E504" s="765"/>
      <c r="F504" s="765"/>
      <c r="G504" s="765"/>
      <c r="H504" s="765"/>
      <c r="I504" s="765">
        <f t="shared" si="17"/>
        <v>493</v>
      </c>
      <c r="J504" s="763">
        <f t="shared" si="5"/>
        <v>1.23636E+15</v>
      </c>
      <c r="K504" s="796">
        <f t="shared" si="7"/>
        <v>0.48029</v>
      </c>
      <c r="L504" s="796">
        <v>5.0E-4</v>
      </c>
      <c r="M504" s="763">
        <v>1.40976175180597E15</v>
      </c>
      <c r="N504" s="797">
        <f t="shared" si="8"/>
        <v>0</v>
      </c>
      <c r="O504" s="798">
        <f t="shared" ref="O504:BK504" si="500">FLOOR(MIN((((N("value of ELS upgrade")+N$8*($K504-$K503))*(N("Check checkbox")+(IF($G$6=TRUE,$G$7,$G$8))/$G$8))/(N("ROI of ELS and multiply by 2 if ELS is 1:1")+IF($G$12 = True, 2, 1) * $J504))/((N("difference in ELS+ and the cost of it")+(($K503*O$8)-($K503*N$8)) / O$7)),(N("MIN lets it return 0 or 1 after floored")+1)),1)</f>
        <v>0</v>
      </c>
      <c r="P504" s="798">
        <f t="shared" si="500"/>
        <v>0</v>
      </c>
      <c r="Q504" s="798">
        <f t="shared" si="500"/>
        <v>0</v>
      </c>
      <c r="R504" s="798">
        <f t="shared" si="500"/>
        <v>0</v>
      </c>
      <c r="S504" s="798">
        <f t="shared" si="500"/>
        <v>0</v>
      </c>
      <c r="T504" s="798">
        <f t="shared" si="500"/>
        <v>0</v>
      </c>
      <c r="U504" s="798">
        <f t="shared" si="500"/>
        <v>0</v>
      </c>
      <c r="V504" s="798">
        <f t="shared" si="500"/>
        <v>0</v>
      </c>
      <c r="W504" s="798">
        <f t="shared" si="500"/>
        <v>0</v>
      </c>
      <c r="X504" s="798">
        <f t="shared" si="500"/>
        <v>0</v>
      </c>
      <c r="Y504" s="798">
        <f t="shared" si="500"/>
        <v>0</v>
      </c>
      <c r="Z504" s="798">
        <f t="shared" si="500"/>
        <v>0</v>
      </c>
      <c r="AA504" s="798">
        <f t="shared" si="500"/>
        <v>0</v>
      </c>
      <c r="AB504" s="798">
        <f t="shared" si="500"/>
        <v>0</v>
      </c>
      <c r="AC504" s="798">
        <f t="shared" si="500"/>
        <v>0</v>
      </c>
      <c r="AD504" s="798">
        <f t="shared" si="500"/>
        <v>0</v>
      </c>
      <c r="AE504" s="798">
        <f t="shared" si="500"/>
        <v>0</v>
      </c>
      <c r="AF504" s="798">
        <f t="shared" si="500"/>
        <v>0</v>
      </c>
      <c r="AG504" s="798">
        <f t="shared" si="500"/>
        <v>0</v>
      </c>
      <c r="AH504" s="798">
        <f t="shared" si="500"/>
        <v>0</v>
      </c>
      <c r="AI504" s="798">
        <f t="shared" si="500"/>
        <v>0</v>
      </c>
      <c r="AJ504" s="798">
        <f t="shared" si="500"/>
        <v>0</v>
      </c>
      <c r="AK504" s="798">
        <f t="shared" si="500"/>
        <v>0</v>
      </c>
      <c r="AL504" s="798">
        <f t="shared" si="500"/>
        <v>1</v>
      </c>
      <c r="AM504" s="798">
        <f t="shared" si="500"/>
        <v>1</v>
      </c>
      <c r="AN504" s="798">
        <f t="shared" si="500"/>
        <v>1</v>
      </c>
      <c r="AO504" s="798">
        <f t="shared" si="500"/>
        <v>1</v>
      </c>
      <c r="AP504" s="798">
        <f t="shared" si="500"/>
        <v>1</v>
      </c>
      <c r="AQ504" s="798">
        <f t="shared" si="500"/>
        <v>1</v>
      </c>
      <c r="AR504" s="798">
        <f t="shared" si="500"/>
        <v>1</v>
      </c>
      <c r="AS504" s="798">
        <f t="shared" si="500"/>
        <v>1</v>
      </c>
      <c r="AT504" s="798">
        <f t="shared" si="500"/>
        <v>1</v>
      </c>
      <c r="AU504" s="798">
        <f t="shared" si="500"/>
        <v>1</v>
      </c>
      <c r="AV504" s="798">
        <f t="shared" si="500"/>
        <v>1</v>
      </c>
      <c r="AW504" s="798">
        <f t="shared" si="500"/>
        <v>1</v>
      </c>
      <c r="AX504" s="798">
        <f t="shared" si="500"/>
        <v>1</v>
      </c>
      <c r="AY504" s="798">
        <f t="shared" si="500"/>
        <v>1</v>
      </c>
      <c r="AZ504" s="798">
        <f t="shared" si="500"/>
        <v>1</v>
      </c>
      <c r="BA504" s="798">
        <f t="shared" si="500"/>
        <v>1</v>
      </c>
      <c r="BB504" s="798">
        <f t="shared" si="500"/>
        <v>1</v>
      </c>
      <c r="BC504" s="798">
        <f t="shared" si="500"/>
        <v>1</v>
      </c>
      <c r="BD504" s="798">
        <f t="shared" si="500"/>
        <v>1</v>
      </c>
      <c r="BE504" s="798">
        <f t="shared" si="500"/>
        <v>1</v>
      </c>
      <c r="BF504" s="798">
        <f t="shared" si="500"/>
        <v>1</v>
      </c>
      <c r="BG504" s="798">
        <f t="shared" si="500"/>
        <v>1</v>
      </c>
      <c r="BH504" s="798">
        <f t="shared" si="500"/>
        <v>1</v>
      </c>
      <c r="BI504" s="798">
        <f t="shared" si="500"/>
        <v>1</v>
      </c>
      <c r="BJ504" s="798">
        <f t="shared" si="500"/>
        <v>1</v>
      </c>
      <c r="BK504" s="798">
        <f t="shared" si="500"/>
        <v>1</v>
      </c>
      <c r="BL504" s="765"/>
      <c r="BM504" s="817"/>
      <c r="BN504" s="817"/>
    </row>
    <row r="505" hidden="1">
      <c r="A505" s="765"/>
      <c r="B505" s="765"/>
      <c r="C505" s="765"/>
      <c r="D505" s="765"/>
      <c r="E505" s="765"/>
      <c r="F505" s="765"/>
      <c r="G505" s="765"/>
      <c r="H505" s="765"/>
      <c r="I505" s="765">
        <f t="shared" si="17"/>
        <v>494</v>
      </c>
      <c r="J505" s="763">
        <f t="shared" si="5"/>
        <v>1.24081E+15</v>
      </c>
      <c r="K505" s="796">
        <f t="shared" si="7"/>
        <v>0.48079</v>
      </c>
      <c r="L505" s="796">
        <v>5.0E-4</v>
      </c>
      <c r="M505" s="763">
        <v>1.41484033608014E15</v>
      </c>
      <c r="N505" s="797">
        <f t="shared" si="8"/>
        <v>0</v>
      </c>
      <c r="O505" s="798">
        <f t="shared" ref="O505:BK505" si="501">FLOOR(MIN((((N("value of ELS upgrade")+N$8*($K505-$K504))*(N("Check checkbox")+(IF($G$6=TRUE,$G$7,$G$8))/$G$8))/(N("ROI of ELS and multiply by 2 if ELS is 1:1")+IF($G$12 = True, 2, 1) * $J505))/((N("difference in ELS+ and the cost of it")+(($K504*O$8)-($K504*N$8)) / O$7)),(N("MIN lets it return 0 or 1 after floored")+1)),1)</f>
        <v>0</v>
      </c>
      <c r="P505" s="798">
        <f t="shared" si="501"/>
        <v>0</v>
      </c>
      <c r="Q505" s="798">
        <f t="shared" si="501"/>
        <v>0</v>
      </c>
      <c r="R505" s="798">
        <f t="shared" si="501"/>
        <v>0</v>
      </c>
      <c r="S505" s="798">
        <f t="shared" si="501"/>
        <v>0</v>
      </c>
      <c r="T505" s="798">
        <f t="shared" si="501"/>
        <v>0</v>
      </c>
      <c r="U505" s="798">
        <f t="shared" si="501"/>
        <v>0</v>
      </c>
      <c r="V505" s="798">
        <f t="shared" si="501"/>
        <v>0</v>
      </c>
      <c r="W505" s="798">
        <f t="shared" si="501"/>
        <v>0</v>
      </c>
      <c r="X505" s="798">
        <f t="shared" si="501"/>
        <v>0</v>
      </c>
      <c r="Y505" s="798">
        <f t="shared" si="501"/>
        <v>0</v>
      </c>
      <c r="Z505" s="798">
        <f t="shared" si="501"/>
        <v>0</v>
      </c>
      <c r="AA505" s="798">
        <f t="shared" si="501"/>
        <v>0</v>
      </c>
      <c r="AB505" s="798">
        <f t="shared" si="501"/>
        <v>0</v>
      </c>
      <c r="AC505" s="798">
        <f t="shared" si="501"/>
        <v>0</v>
      </c>
      <c r="AD505" s="798">
        <f t="shared" si="501"/>
        <v>0</v>
      </c>
      <c r="AE505" s="798">
        <f t="shared" si="501"/>
        <v>0</v>
      </c>
      <c r="AF505" s="798">
        <f t="shared" si="501"/>
        <v>0</v>
      </c>
      <c r="AG505" s="798">
        <f t="shared" si="501"/>
        <v>0</v>
      </c>
      <c r="AH505" s="798">
        <f t="shared" si="501"/>
        <v>0</v>
      </c>
      <c r="AI505" s="798">
        <f t="shared" si="501"/>
        <v>0</v>
      </c>
      <c r="AJ505" s="798">
        <f t="shared" si="501"/>
        <v>0</v>
      </c>
      <c r="AK505" s="798">
        <f t="shared" si="501"/>
        <v>0</v>
      </c>
      <c r="AL505" s="798">
        <f t="shared" si="501"/>
        <v>1</v>
      </c>
      <c r="AM505" s="798">
        <f t="shared" si="501"/>
        <v>1</v>
      </c>
      <c r="AN505" s="798">
        <f t="shared" si="501"/>
        <v>1</v>
      </c>
      <c r="AO505" s="798">
        <f t="shared" si="501"/>
        <v>1</v>
      </c>
      <c r="AP505" s="798">
        <f t="shared" si="501"/>
        <v>1</v>
      </c>
      <c r="AQ505" s="798">
        <f t="shared" si="501"/>
        <v>1</v>
      </c>
      <c r="AR505" s="798">
        <f t="shared" si="501"/>
        <v>1</v>
      </c>
      <c r="AS505" s="798">
        <f t="shared" si="501"/>
        <v>1</v>
      </c>
      <c r="AT505" s="798">
        <f t="shared" si="501"/>
        <v>1</v>
      </c>
      <c r="AU505" s="798">
        <f t="shared" si="501"/>
        <v>1</v>
      </c>
      <c r="AV505" s="798">
        <f t="shared" si="501"/>
        <v>1</v>
      </c>
      <c r="AW505" s="798">
        <f t="shared" si="501"/>
        <v>1</v>
      </c>
      <c r="AX505" s="798">
        <f t="shared" si="501"/>
        <v>1</v>
      </c>
      <c r="AY505" s="798">
        <f t="shared" si="501"/>
        <v>1</v>
      </c>
      <c r="AZ505" s="798">
        <f t="shared" si="501"/>
        <v>1</v>
      </c>
      <c r="BA505" s="798">
        <f t="shared" si="501"/>
        <v>1</v>
      </c>
      <c r="BB505" s="798">
        <f t="shared" si="501"/>
        <v>1</v>
      </c>
      <c r="BC505" s="798">
        <f t="shared" si="501"/>
        <v>1</v>
      </c>
      <c r="BD505" s="798">
        <f t="shared" si="501"/>
        <v>1</v>
      </c>
      <c r="BE505" s="798">
        <f t="shared" si="501"/>
        <v>1</v>
      </c>
      <c r="BF505" s="798">
        <f t="shared" si="501"/>
        <v>1</v>
      </c>
      <c r="BG505" s="798">
        <f t="shared" si="501"/>
        <v>1</v>
      </c>
      <c r="BH505" s="798">
        <f t="shared" si="501"/>
        <v>1</v>
      </c>
      <c r="BI505" s="798">
        <f t="shared" si="501"/>
        <v>1</v>
      </c>
      <c r="BJ505" s="798">
        <f t="shared" si="501"/>
        <v>1</v>
      </c>
      <c r="BK505" s="798">
        <f t="shared" si="501"/>
        <v>1</v>
      </c>
      <c r="BL505" s="765"/>
      <c r="BM505" s="817"/>
      <c r="BN505" s="817"/>
    </row>
    <row r="506" hidden="1">
      <c r="A506" s="765"/>
      <c r="B506" s="765"/>
      <c r="C506" s="765"/>
      <c r="D506" s="765"/>
      <c r="E506" s="765"/>
      <c r="F506" s="765"/>
      <c r="G506" s="765"/>
      <c r="H506" s="765"/>
      <c r="I506" s="765">
        <f t="shared" si="17"/>
        <v>495</v>
      </c>
      <c r="J506" s="763">
        <f t="shared" si="5"/>
        <v>1.24528E+15</v>
      </c>
      <c r="K506" s="796">
        <f t="shared" si="7"/>
        <v>0.48129</v>
      </c>
      <c r="L506" s="796">
        <v>5.0E-4</v>
      </c>
      <c r="M506" s="763">
        <v>1.41993444752672E15</v>
      </c>
      <c r="N506" s="797">
        <f t="shared" si="8"/>
        <v>0</v>
      </c>
      <c r="O506" s="798">
        <f t="shared" ref="O506:BK506" si="502">FLOOR(MIN((((N("value of ELS upgrade")+N$8*($K506-$K505))*(N("Check checkbox")+(IF($G$6=TRUE,$G$7,$G$8))/$G$8))/(N("ROI of ELS and multiply by 2 if ELS is 1:1")+IF($G$12 = True, 2, 1) * $J506))/((N("difference in ELS+ and the cost of it")+(($K505*O$8)-($K505*N$8)) / O$7)),(N("MIN lets it return 0 or 1 after floored")+1)),1)</f>
        <v>0</v>
      </c>
      <c r="P506" s="798">
        <f t="shared" si="502"/>
        <v>0</v>
      </c>
      <c r="Q506" s="798">
        <f t="shared" si="502"/>
        <v>0</v>
      </c>
      <c r="R506" s="798">
        <f t="shared" si="502"/>
        <v>0</v>
      </c>
      <c r="S506" s="798">
        <f t="shared" si="502"/>
        <v>0</v>
      </c>
      <c r="T506" s="798">
        <f t="shared" si="502"/>
        <v>0</v>
      </c>
      <c r="U506" s="798">
        <f t="shared" si="502"/>
        <v>0</v>
      </c>
      <c r="V506" s="798">
        <f t="shared" si="502"/>
        <v>0</v>
      </c>
      <c r="W506" s="798">
        <f t="shared" si="502"/>
        <v>0</v>
      </c>
      <c r="X506" s="798">
        <f t="shared" si="502"/>
        <v>0</v>
      </c>
      <c r="Y506" s="798">
        <f t="shared" si="502"/>
        <v>0</v>
      </c>
      <c r="Z506" s="798">
        <f t="shared" si="502"/>
        <v>0</v>
      </c>
      <c r="AA506" s="798">
        <f t="shared" si="502"/>
        <v>0</v>
      </c>
      <c r="AB506" s="798">
        <f t="shared" si="502"/>
        <v>0</v>
      </c>
      <c r="AC506" s="798">
        <f t="shared" si="502"/>
        <v>0</v>
      </c>
      <c r="AD506" s="798">
        <f t="shared" si="502"/>
        <v>0</v>
      </c>
      <c r="AE506" s="798">
        <f t="shared" si="502"/>
        <v>0</v>
      </c>
      <c r="AF506" s="798">
        <f t="shared" si="502"/>
        <v>0</v>
      </c>
      <c r="AG506" s="798">
        <f t="shared" si="502"/>
        <v>0</v>
      </c>
      <c r="AH506" s="798">
        <f t="shared" si="502"/>
        <v>0</v>
      </c>
      <c r="AI506" s="798">
        <f t="shared" si="502"/>
        <v>0</v>
      </c>
      <c r="AJ506" s="798">
        <f t="shared" si="502"/>
        <v>0</v>
      </c>
      <c r="AK506" s="798">
        <f t="shared" si="502"/>
        <v>0</v>
      </c>
      <c r="AL506" s="798">
        <f t="shared" si="502"/>
        <v>1</v>
      </c>
      <c r="AM506" s="798">
        <f t="shared" si="502"/>
        <v>1</v>
      </c>
      <c r="AN506" s="798">
        <f t="shared" si="502"/>
        <v>1</v>
      </c>
      <c r="AO506" s="798">
        <f t="shared" si="502"/>
        <v>1</v>
      </c>
      <c r="AP506" s="798">
        <f t="shared" si="502"/>
        <v>1</v>
      </c>
      <c r="AQ506" s="798">
        <f t="shared" si="502"/>
        <v>1</v>
      </c>
      <c r="AR506" s="798">
        <f t="shared" si="502"/>
        <v>1</v>
      </c>
      <c r="AS506" s="798">
        <f t="shared" si="502"/>
        <v>1</v>
      </c>
      <c r="AT506" s="798">
        <f t="shared" si="502"/>
        <v>1</v>
      </c>
      <c r="AU506" s="798">
        <f t="shared" si="502"/>
        <v>1</v>
      </c>
      <c r="AV506" s="798">
        <f t="shared" si="502"/>
        <v>1</v>
      </c>
      <c r="AW506" s="798">
        <f t="shared" si="502"/>
        <v>1</v>
      </c>
      <c r="AX506" s="798">
        <f t="shared" si="502"/>
        <v>1</v>
      </c>
      <c r="AY506" s="798">
        <f t="shared" si="502"/>
        <v>1</v>
      </c>
      <c r="AZ506" s="798">
        <f t="shared" si="502"/>
        <v>1</v>
      </c>
      <c r="BA506" s="798">
        <f t="shared" si="502"/>
        <v>1</v>
      </c>
      <c r="BB506" s="798">
        <f t="shared" si="502"/>
        <v>1</v>
      </c>
      <c r="BC506" s="798">
        <f t="shared" si="502"/>
        <v>1</v>
      </c>
      <c r="BD506" s="798">
        <f t="shared" si="502"/>
        <v>1</v>
      </c>
      <c r="BE506" s="798">
        <f t="shared" si="502"/>
        <v>1</v>
      </c>
      <c r="BF506" s="798">
        <f t="shared" si="502"/>
        <v>1</v>
      </c>
      <c r="BG506" s="798">
        <f t="shared" si="502"/>
        <v>1</v>
      </c>
      <c r="BH506" s="798">
        <f t="shared" si="502"/>
        <v>1</v>
      </c>
      <c r="BI506" s="798">
        <f t="shared" si="502"/>
        <v>1</v>
      </c>
      <c r="BJ506" s="798">
        <f t="shared" si="502"/>
        <v>1</v>
      </c>
      <c r="BK506" s="798">
        <f t="shared" si="502"/>
        <v>1</v>
      </c>
      <c r="BL506" s="765"/>
      <c r="BM506" s="817"/>
      <c r="BN506" s="817"/>
    </row>
    <row r="507" hidden="1">
      <c r="A507" s="765"/>
      <c r="B507" s="765"/>
      <c r="C507" s="765"/>
      <c r="D507" s="765"/>
      <c r="E507" s="765"/>
      <c r="F507" s="765"/>
      <c r="G507" s="765"/>
      <c r="H507" s="765"/>
      <c r="I507" s="765">
        <f t="shared" si="17"/>
        <v>496</v>
      </c>
      <c r="J507" s="763">
        <f t="shared" si="5"/>
        <v>1.24976E+15</v>
      </c>
      <c r="K507" s="796">
        <f t="shared" si="7"/>
        <v>0.48179</v>
      </c>
      <c r="L507" s="796">
        <v>5.0E-4</v>
      </c>
      <c r="M507" s="763">
        <v>1.42504414462846E15</v>
      </c>
      <c r="N507" s="797">
        <f t="shared" si="8"/>
        <v>0</v>
      </c>
      <c r="O507" s="798">
        <f t="shared" ref="O507:BK507" si="503">FLOOR(MIN((((N("value of ELS upgrade")+N$8*($K507-$K506))*(N("Check checkbox")+(IF($G$6=TRUE,$G$7,$G$8))/$G$8))/(N("ROI of ELS and multiply by 2 if ELS is 1:1")+IF($G$12 = True, 2, 1) * $J507))/((N("difference in ELS+ and the cost of it")+(($K506*O$8)-($K506*N$8)) / O$7)),(N("MIN lets it return 0 or 1 after floored")+1)),1)</f>
        <v>0</v>
      </c>
      <c r="P507" s="798">
        <f t="shared" si="503"/>
        <v>0</v>
      </c>
      <c r="Q507" s="798">
        <f t="shared" si="503"/>
        <v>0</v>
      </c>
      <c r="R507" s="798">
        <f t="shared" si="503"/>
        <v>0</v>
      </c>
      <c r="S507" s="798">
        <f t="shared" si="503"/>
        <v>0</v>
      </c>
      <c r="T507" s="798">
        <f t="shared" si="503"/>
        <v>0</v>
      </c>
      <c r="U507" s="798">
        <f t="shared" si="503"/>
        <v>0</v>
      </c>
      <c r="V507" s="798">
        <f t="shared" si="503"/>
        <v>0</v>
      </c>
      <c r="W507" s="798">
        <f t="shared" si="503"/>
        <v>0</v>
      </c>
      <c r="X507" s="798">
        <f t="shared" si="503"/>
        <v>0</v>
      </c>
      <c r="Y507" s="798">
        <f t="shared" si="503"/>
        <v>0</v>
      </c>
      <c r="Z507" s="798">
        <f t="shared" si="503"/>
        <v>0</v>
      </c>
      <c r="AA507" s="798">
        <f t="shared" si="503"/>
        <v>0</v>
      </c>
      <c r="AB507" s="798">
        <f t="shared" si="503"/>
        <v>0</v>
      </c>
      <c r="AC507" s="798">
        <f t="shared" si="503"/>
        <v>0</v>
      </c>
      <c r="AD507" s="798">
        <f t="shared" si="503"/>
        <v>0</v>
      </c>
      <c r="AE507" s="798">
        <f t="shared" si="503"/>
        <v>0</v>
      </c>
      <c r="AF507" s="798">
        <f t="shared" si="503"/>
        <v>0</v>
      </c>
      <c r="AG507" s="798">
        <f t="shared" si="503"/>
        <v>0</v>
      </c>
      <c r="AH507" s="798">
        <f t="shared" si="503"/>
        <v>0</v>
      </c>
      <c r="AI507" s="798">
        <f t="shared" si="503"/>
        <v>0</v>
      </c>
      <c r="AJ507" s="798">
        <f t="shared" si="503"/>
        <v>0</v>
      </c>
      <c r="AK507" s="798">
        <f t="shared" si="503"/>
        <v>0</v>
      </c>
      <c r="AL507" s="798">
        <f t="shared" si="503"/>
        <v>1</v>
      </c>
      <c r="AM507" s="798">
        <f t="shared" si="503"/>
        <v>1</v>
      </c>
      <c r="AN507" s="798">
        <f t="shared" si="503"/>
        <v>1</v>
      </c>
      <c r="AO507" s="798">
        <f t="shared" si="503"/>
        <v>1</v>
      </c>
      <c r="AP507" s="798">
        <f t="shared" si="503"/>
        <v>1</v>
      </c>
      <c r="AQ507" s="798">
        <f t="shared" si="503"/>
        <v>1</v>
      </c>
      <c r="AR507" s="798">
        <f t="shared" si="503"/>
        <v>1</v>
      </c>
      <c r="AS507" s="798">
        <f t="shared" si="503"/>
        <v>1</v>
      </c>
      <c r="AT507" s="798">
        <f t="shared" si="503"/>
        <v>1</v>
      </c>
      <c r="AU507" s="798">
        <f t="shared" si="503"/>
        <v>1</v>
      </c>
      <c r="AV507" s="798">
        <f t="shared" si="503"/>
        <v>1</v>
      </c>
      <c r="AW507" s="798">
        <f t="shared" si="503"/>
        <v>1</v>
      </c>
      <c r="AX507" s="798">
        <f t="shared" si="503"/>
        <v>1</v>
      </c>
      <c r="AY507" s="798">
        <f t="shared" si="503"/>
        <v>1</v>
      </c>
      <c r="AZ507" s="798">
        <f t="shared" si="503"/>
        <v>1</v>
      </c>
      <c r="BA507" s="798">
        <f t="shared" si="503"/>
        <v>1</v>
      </c>
      <c r="BB507" s="798">
        <f t="shared" si="503"/>
        <v>1</v>
      </c>
      <c r="BC507" s="798">
        <f t="shared" si="503"/>
        <v>1</v>
      </c>
      <c r="BD507" s="798">
        <f t="shared" si="503"/>
        <v>1</v>
      </c>
      <c r="BE507" s="798">
        <f t="shared" si="503"/>
        <v>1</v>
      </c>
      <c r="BF507" s="798">
        <f t="shared" si="503"/>
        <v>1</v>
      </c>
      <c r="BG507" s="798">
        <f t="shared" si="503"/>
        <v>1</v>
      </c>
      <c r="BH507" s="798">
        <f t="shared" si="503"/>
        <v>1</v>
      </c>
      <c r="BI507" s="798">
        <f t="shared" si="503"/>
        <v>1</v>
      </c>
      <c r="BJ507" s="798">
        <f t="shared" si="503"/>
        <v>1</v>
      </c>
      <c r="BK507" s="798">
        <f t="shared" si="503"/>
        <v>1</v>
      </c>
      <c r="BL507" s="765"/>
      <c r="BM507" s="817"/>
      <c r="BN507" s="817"/>
    </row>
    <row r="508" hidden="1">
      <c r="A508" s="765"/>
      <c r="B508" s="765"/>
      <c r="C508" s="765"/>
      <c r="D508" s="765"/>
      <c r="E508" s="765"/>
      <c r="F508" s="765"/>
      <c r="G508" s="765"/>
      <c r="H508" s="765"/>
      <c r="I508" s="765">
        <f t="shared" si="17"/>
        <v>497</v>
      </c>
      <c r="J508" s="763">
        <f t="shared" si="5"/>
        <v>1.25426E+15</v>
      </c>
      <c r="K508" s="796">
        <f t="shared" si="7"/>
        <v>0.48229</v>
      </c>
      <c r="L508" s="796">
        <v>5.0E-4</v>
      </c>
      <c r="M508" s="763">
        <v>1.43016945662675E15</v>
      </c>
      <c r="N508" s="797">
        <f t="shared" si="8"/>
        <v>0</v>
      </c>
      <c r="O508" s="798">
        <f t="shared" ref="O508:BK508" si="504">FLOOR(MIN((((N("value of ELS upgrade")+N$8*($K508-$K507))*(N("Check checkbox")+(IF($G$6=TRUE,$G$7,$G$8))/$G$8))/(N("ROI of ELS and multiply by 2 if ELS is 1:1")+IF($G$12 = True, 2, 1) * $J508))/((N("difference in ELS+ and the cost of it")+(($K507*O$8)-($K507*N$8)) / O$7)),(N("MIN lets it return 0 or 1 after floored")+1)),1)</f>
        <v>0</v>
      </c>
      <c r="P508" s="798">
        <f t="shared" si="504"/>
        <v>0</v>
      </c>
      <c r="Q508" s="798">
        <f t="shared" si="504"/>
        <v>0</v>
      </c>
      <c r="R508" s="798">
        <f t="shared" si="504"/>
        <v>0</v>
      </c>
      <c r="S508" s="798">
        <f t="shared" si="504"/>
        <v>0</v>
      </c>
      <c r="T508" s="798">
        <f t="shared" si="504"/>
        <v>0</v>
      </c>
      <c r="U508" s="798">
        <f t="shared" si="504"/>
        <v>0</v>
      </c>
      <c r="V508" s="798">
        <f t="shared" si="504"/>
        <v>0</v>
      </c>
      <c r="W508" s="798">
        <f t="shared" si="504"/>
        <v>0</v>
      </c>
      <c r="X508" s="798">
        <f t="shared" si="504"/>
        <v>0</v>
      </c>
      <c r="Y508" s="798">
        <f t="shared" si="504"/>
        <v>0</v>
      </c>
      <c r="Z508" s="798">
        <f t="shared" si="504"/>
        <v>0</v>
      </c>
      <c r="AA508" s="798">
        <f t="shared" si="504"/>
        <v>0</v>
      </c>
      <c r="AB508" s="798">
        <f t="shared" si="504"/>
        <v>0</v>
      </c>
      <c r="AC508" s="798">
        <f t="shared" si="504"/>
        <v>0</v>
      </c>
      <c r="AD508" s="798">
        <f t="shared" si="504"/>
        <v>0</v>
      </c>
      <c r="AE508" s="798">
        <f t="shared" si="504"/>
        <v>0</v>
      </c>
      <c r="AF508" s="798">
        <f t="shared" si="504"/>
        <v>0</v>
      </c>
      <c r="AG508" s="798">
        <f t="shared" si="504"/>
        <v>0</v>
      </c>
      <c r="AH508" s="798">
        <f t="shared" si="504"/>
        <v>0</v>
      </c>
      <c r="AI508" s="798">
        <f t="shared" si="504"/>
        <v>0</v>
      </c>
      <c r="AJ508" s="798">
        <f t="shared" si="504"/>
        <v>0</v>
      </c>
      <c r="AK508" s="798">
        <f t="shared" si="504"/>
        <v>0</v>
      </c>
      <c r="AL508" s="798">
        <f t="shared" si="504"/>
        <v>1</v>
      </c>
      <c r="AM508" s="798">
        <f t="shared" si="504"/>
        <v>1</v>
      </c>
      <c r="AN508" s="798">
        <f t="shared" si="504"/>
        <v>1</v>
      </c>
      <c r="AO508" s="798">
        <f t="shared" si="504"/>
        <v>1</v>
      </c>
      <c r="AP508" s="798">
        <f t="shared" si="504"/>
        <v>1</v>
      </c>
      <c r="AQ508" s="798">
        <f t="shared" si="504"/>
        <v>1</v>
      </c>
      <c r="AR508" s="798">
        <f t="shared" si="504"/>
        <v>1</v>
      </c>
      <c r="AS508" s="798">
        <f t="shared" si="504"/>
        <v>1</v>
      </c>
      <c r="AT508" s="798">
        <f t="shared" si="504"/>
        <v>1</v>
      </c>
      <c r="AU508" s="798">
        <f t="shared" si="504"/>
        <v>1</v>
      </c>
      <c r="AV508" s="798">
        <f t="shared" si="504"/>
        <v>1</v>
      </c>
      <c r="AW508" s="798">
        <f t="shared" si="504"/>
        <v>1</v>
      </c>
      <c r="AX508" s="798">
        <f t="shared" si="504"/>
        <v>1</v>
      </c>
      <c r="AY508" s="798">
        <f t="shared" si="504"/>
        <v>1</v>
      </c>
      <c r="AZ508" s="798">
        <f t="shared" si="504"/>
        <v>1</v>
      </c>
      <c r="BA508" s="798">
        <f t="shared" si="504"/>
        <v>1</v>
      </c>
      <c r="BB508" s="798">
        <f t="shared" si="504"/>
        <v>1</v>
      </c>
      <c r="BC508" s="798">
        <f t="shared" si="504"/>
        <v>1</v>
      </c>
      <c r="BD508" s="798">
        <f t="shared" si="504"/>
        <v>1</v>
      </c>
      <c r="BE508" s="798">
        <f t="shared" si="504"/>
        <v>1</v>
      </c>
      <c r="BF508" s="798">
        <f t="shared" si="504"/>
        <v>1</v>
      </c>
      <c r="BG508" s="798">
        <f t="shared" si="504"/>
        <v>1</v>
      </c>
      <c r="BH508" s="798">
        <f t="shared" si="504"/>
        <v>1</v>
      </c>
      <c r="BI508" s="798">
        <f t="shared" si="504"/>
        <v>1</v>
      </c>
      <c r="BJ508" s="798">
        <f t="shared" si="504"/>
        <v>1</v>
      </c>
      <c r="BK508" s="798">
        <f t="shared" si="504"/>
        <v>1</v>
      </c>
      <c r="BL508" s="765"/>
      <c r="BM508" s="817"/>
      <c r="BN508" s="817"/>
    </row>
    <row r="509" hidden="1">
      <c r="A509" s="765"/>
      <c r="B509" s="765"/>
      <c r="C509" s="765"/>
      <c r="D509" s="765"/>
      <c r="E509" s="765"/>
      <c r="F509" s="765"/>
      <c r="G509" s="765"/>
      <c r="H509" s="765"/>
      <c r="I509" s="765">
        <f t="shared" si="17"/>
        <v>498</v>
      </c>
      <c r="J509" s="763">
        <f t="shared" si="5"/>
        <v>1.25877E+15</v>
      </c>
      <c r="K509" s="796">
        <f t="shared" si="7"/>
        <v>0.48279</v>
      </c>
      <c r="L509" s="796">
        <v>5.0E-4</v>
      </c>
      <c r="M509" s="763">
        <v>1.43531044200435E15</v>
      </c>
      <c r="N509" s="797">
        <f t="shared" si="8"/>
        <v>0</v>
      </c>
      <c r="O509" s="798">
        <f t="shared" ref="O509:BK509" si="505">FLOOR(MIN((((N("value of ELS upgrade")+N$8*($K509-$K508))*(N("Check checkbox")+(IF($G$6=TRUE,$G$7,$G$8))/$G$8))/(N("ROI of ELS and multiply by 2 if ELS is 1:1")+IF($G$12 = True, 2, 1) * $J509))/((N("difference in ELS+ and the cost of it")+(($K508*O$8)-($K508*N$8)) / O$7)),(N("MIN lets it return 0 or 1 after floored")+1)),1)</f>
        <v>0</v>
      </c>
      <c r="P509" s="798">
        <f t="shared" si="505"/>
        <v>0</v>
      </c>
      <c r="Q509" s="798">
        <f t="shared" si="505"/>
        <v>0</v>
      </c>
      <c r="R509" s="798">
        <f t="shared" si="505"/>
        <v>0</v>
      </c>
      <c r="S509" s="798">
        <f t="shared" si="505"/>
        <v>0</v>
      </c>
      <c r="T509" s="798">
        <f t="shared" si="505"/>
        <v>0</v>
      </c>
      <c r="U509" s="798">
        <f t="shared" si="505"/>
        <v>0</v>
      </c>
      <c r="V509" s="798">
        <f t="shared" si="505"/>
        <v>0</v>
      </c>
      <c r="W509" s="798">
        <f t="shared" si="505"/>
        <v>0</v>
      </c>
      <c r="X509" s="798">
        <f t="shared" si="505"/>
        <v>0</v>
      </c>
      <c r="Y509" s="798">
        <f t="shared" si="505"/>
        <v>0</v>
      </c>
      <c r="Z509" s="798">
        <f t="shared" si="505"/>
        <v>0</v>
      </c>
      <c r="AA509" s="798">
        <f t="shared" si="505"/>
        <v>0</v>
      </c>
      <c r="AB509" s="798">
        <f t="shared" si="505"/>
        <v>0</v>
      </c>
      <c r="AC509" s="798">
        <f t="shared" si="505"/>
        <v>0</v>
      </c>
      <c r="AD509" s="798">
        <f t="shared" si="505"/>
        <v>0</v>
      </c>
      <c r="AE509" s="798">
        <f t="shared" si="505"/>
        <v>0</v>
      </c>
      <c r="AF509" s="798">
        <f t="shared" si="505"/>
        <v>0</v>
      </c>
      <c r="AG509" s="798">
        <f t="shared" si="505"/>
        <v>0</v>
      </c>
      <c r="AH509" s="798">
        <f t="shared" si="505"/>
        <v>0</v>
      </c>
      <c r="AI509" s="798">
        <f t="shared" si="505"/>
        <v>0</v>
      </c>
      <c r="AJ509" s="798">
        <f t="shared" si="505"/>
        <v>0</v>
      </c>
      <c r="AK509" s="798">
        <f t="shared" si="505"/>
        <v>0</v>
      </c>
      <c r="AL509" s="798">
        <f t="shared" si="505"/>
        <v>1</v>
      </c>
      <c r="AM509" s="798">
        <f t="shared" si="505"/>
        <v>1</v>
      </c>
      <c r="AN509" s="798">
        <f t="shared" si="505"/>
        <v>1</v>
      </c>
      <c r="AO509" s="798">
        <f t="shared" si="505"/>
        <v>1</v>
      </c>
      <c r="AP509" s="798">
        <f t="shared" si="505"/>
        <v>1</v>
      </c>
      <c r="AQ509" s="798">
        <f t="shared" si="505"/>
        <v>1</v>
      </c>
      <c r="AR509" s="798">
        <f t="shared" si="505"/>
        <v>1</v>
      </c>
      <c r="AS509" s="798">
        <f t="shared" si="505"/>
        <v>1</v>
      </c>
      <c r="AT509" s="798">
        <f t="shared" si="505"/>
        <v>1</v>
      </c>
      <c r="AU509" s="798">
        <f t="shared" si="505"/>
        <v>1</v>
      </c>
      <c r="AV509" s="798">
        <f t="shared" si="505"/>
        <v>1</v>
      </c>
      <c r="AW509" s="798">
        <f t="shared" si="505"/>
        <v>1</v>
      </c>
      <c r="AX509" s="798">
        <f t="shared" si="505"/>
        <v>1</v>
      </c>
      <c r="AY509" s="798">
        <f t="shared" si="505"/>
        <v>1</v>
      </c>
      <c r="AZ509" s="798">
        <f t="shared" si="505"/>
        <v>1</v>
      </c>
      <c r="BA509" s="798">
        <f t="shared" si="505"/>
        <v>1</v>
      </c>
      <c r="BB509" s="798">
        <f t="shared" si="505"/>
        <v>1</v>
      </c>
      <c r="BC509" s="798">
        <f t="shared" si="505"/>
        <v>1</v>
      </c>
      <c r="BD509" s="798">
        <f t="shared" si="505"/>
        <v>1</v>
      </c>
      <c r="BE509" s="798">
        <f t="shared" si="505"/>
        <v>1</v>
      </c>
      <c r="BF509" s="798">
        <f t="shared" si="505"/>
        <v>1</v>
      </c>
      <c r="BG509" s="798">
        <f t="shared" si="505"/>
        <v>1</v>
      </c>
      <c r="BH509" s="798">
        <f t="shared" si="505"/>
        <v>1</v>
      </c>
      <c r="BI509" s="798">
        <f t="shared" si="505"/>
        <v>1</v>
      </c>
      <c r="BJ509" s="798">
        <f t="shared" si="505"/>
        <v>1</v>
      </c>
      <c r="BK509" s="798">
        <f t="shared" si="505"/>
        <v>1</v>
      </c>
      <c r="BL509" s="765"/>
      <c r="BM509" s="817"/>
      <c r="BN509" s="817"/>
    </row>
    <row r="510" hidden="1">
      <c r="A510" s="765"/>
      <c r="B510" s="765"/>
      <c r="C510" s="765"/>
      <c r="D510" s="765"/>
      <c r="E510" s="765"/>
      <c r="F510" s="765"/>
      <c r="G510" s="765"/>
      <c r="H510" s="765"/>
      <c r="I510" s="765">
        <f t="shared" si="17"/>
        <v>499</v>
      </c>
      <c r="J510" s="763">
        <f t="shared" si="5"/>
        <v>1.26329E+15</v>
      </c>
      <c r="K510" s="796">
        <f t="shared" si="7"/>
        <v>0.48329</v>
      </c>
      <c r="L510" s="796">
        <v>5.0E-4</v>
      </c>
      <c r="M510" s="763">
        <v>1.44046710076125E15</v>
      </c>
      <c r="N510" s="797">
        <f t="shared" si="8"/>
        <v>0</v>
      </c>
      <c r="O510" s="798">
        <f t="shared" ref="O510:BK510" si="506">FLOOR(MIN((((N("value of ELS upgrade")+N$8*($K510-$K509))*(N("Check checkbox")+(IF($G$6=TRUE,$G$7,$G$8))/$G$8))/(N("ROI of ELS and multiply by 2 if ELS is 1:1")+IF($G$12 = True, 2, 1) * $J510))/((N("difference in ELS+ and the cost of it")+(($K509*O$8)-($K509*N$8)) / O$7)),(N("MIN lets it return 0 or 1 after floored")+1)),1)</f>
        <v>0</v>
      </c>
      <c r="P510" s="798">
        <f t="shared" si="506"/>
        <v>0</v>
      </c>
      <c r="Q510" s="798">
        <f t="shared" si="506"/>
        <v>0</v>
      </c>
      <c r="R510" s="798">
        <f t="shared" si="506"/>
        <v>0</v>
      </c>
      <c r="S510" s="798">
        <f t="shared" si="506"/>
        <v>0</v>
      </c>
      <c r="T510" s="798">
        <f t="shared" si="506"/>
        <v>0</v>
      </c>
      <c r="U510" s="798">
        <f t="shared" si="506"/>
        <v>0</v>
      </c>
      <c r="V510" s="798">
        <f t="shared" si="506"/>
        <v>0</v>
      </c>
      <c r="W510" s="798">
        <f t="shared" si="506"/>
        <v>0</v>
      </c>
      <c r="X510" s="798">
        <f t="shared" si="506"/>
        <v>0</v>
      </c>
      <c r="Y510" s="798">
        <f t="shared" si="506"/>
        <v>0</v>
      </c>
      <c r="Z510" s="798">
        <f t="shared" si="506"/>
        <v>0</v>
      </c>
      <c r="AA510" s="798">
        <f t="shared" si="506"/>
        <v>0</v>
      </c>
      <c r="AB510" s="798">
        <f t="shared" si="506"/>
        <v>0</v>
      </c>
      <c r="AC510" s="798">
        <f t="shared" si="506"/>
        <v>0</v>
      </c>
      <c r="AD510" s="798">
        <f t="shared" si="506"/>
        <v>0</v>
      </c>
      <c r="AE510" s="798">
        <f t="shared" si="506"/>
        <v>0</v>
      </c>
      <c r="AF510" s="798">
        <f t="shared" si="506"/>
        <v>0</v>
      </c>
      <c r="AG510" s="798">
        <f t="shared" si="506"/>
        <v>0</v>
      </c>
      <c r="AH510" s="798">
        <f t="shared" si="506"/>
        <v>0</v>
      </c>
      <c r="AI510" s="798">
        <f t="shared" si="506"/>
        <v>0</v>
      </c>
      <c r="AJ510" s="798">
        <f t="shared" si="506"/>
        <v>0</v>
      </c>
      <c r="AK510" s="798">
        <f t="shared" si="506"/>
        <v>0</v>
      </c>
      <c r="AL510" s="798">
        <f t="shared" si="506"/>
        <v>1</v>
      </c>
      <c r="AM510" s="798">
        <f t="shared" si="506"/>
        <v>1</v>
      </c>
      <c r="AN510" s="798">
        <f t="shared" si="506"/>
        <v>1</v>
      </c>
      <c r="AO510" s="798">
        <f t="shared" si="506"/>
        <v>1</v>
      </c>
      <c r="AP510" s="798">
        <f t="shared" si="506"/>
        <v>1</v>
      </c>
      <c r="AQ510" s="798">
        <f t="shared" si="506"/>
        <v>1</v>
      </c>
      <c r="AR510" s="798">
        <f t="shared" si="506"/>
        <v>1</v>
      </c>
      <c r="AS510" s="798">
        <f t="shared" si="506"/>
        <v>1</v>
      </c>
      <c r="AT510" s="798">
        <f t="shared" si="506"/>
        <v>1</v>
      </c>
      <c r="AU510" s="798">
        <f t="shared" si="506"/>
        <v>1</v>
      </c>
      <c r="AV510" s="798">
        <f t="shared" si="506"/>
        <v>1</v>
      </c>
      <c r="AW510" s="798">
        <f t="shared" si="506"/>
        <v>1</v>
      </c>
      <c r="AX510" s="798">
        <f t="shared" si="506"/>
        <v>1</v>
      </c>
      <c r="AY510" s="798">
        <f t="shared" si="506"/>
        <v>1</v>
      </c>
      <c r="AZ510" s="798">
        <f t="shared" si="506"/>
        <v>1</v>
      </c>
      <c r="BA510" s="798">
        <f t="shared" si="506"/>
        <v>1</v>
      </c>
      <c r="BB510" s="798">
        <f t="shared" si="506"/>
        <v>1</v>
      </c>
      <c r="BC510" s="798">
        <f t="shared" si="506"/>
        <v>1</v>
      </c>
      <c r="BD510" s="798">
        <f t="shared" si="506"/>
        <v>1</v>
      </c>
      <c r="BE510" s="798">
        <f t="shared" si="506"/>
        <v>1</v>
      </c>
      <c r="BF510" s="798">
        <f t="shared" si="506"/>
        <v>1</v>
      </c>
      <c r="BG510" s="798">
        <f t="shared" si="506"/>
        <v>1</v>
      </c>
      <c r="BH510" s="798">
        <f t="shared" si="506"/>
        <v>1</v>
      </c>
      <c r="BI510" s="798">
        <f t="shared" si="506"/>
        <v>1</v>
      </c>
      <c r="BJ510" s="798">
        <f t="shared" si="506"/>
        <v>1</v>
      </c>
      <c r="BK510" s="798">
        <f t="shared" si="506"/>
        <v>1</v>
      </c>
      <c r="BL510" s="765"/>
      <c r="BM510" s="817"/>
      <c r="BN510" s="817"/>
    </row>
    <row r="511" hidden="1">
      <c r="A511" s="765"/>
      <c r="B511" s="765"/>
      <c r="C511" s="765"/>
      <c r="D511" s="765"/>
      <c r="E511" s="765"/>
      <c r="F511" s="765"/>
      <c r="G511" s="765"/>
      <c r="H511" s="765"/>
      <c r="I511" s="765">
        <f t="shared" si="17"/>
        <v>500</v>
      </c>
      <c r="J511" s="763">
        <f t="shared" si="5"/>
        <v>1.26783E+15</v>
      </c>
      <c r="K511" s="796">
        <f t="shared" si="7"/>
        <v>0.48379</v>
      </c>
      <c r="L511" s="796">
        <v>5.0E-4</v>
      </c>
      <c r="M511" s="763">
        <v>1.44563954986298E15</v>
      </c>
      <c r="N511" s="797">
        <f t="shared" si="8"/>
        <v>0</v>
      </c>
      <c r="O511" s="798">
        <f t="shared" ref="O511:BK511" si="507">FLOOR(MIN((((N("value of ELS upgrade")+N$8*($K511-$K510))*(N("Check checkbox")+(IF($G$6=TRUE,$G$7,$G$8))/$G$8))/(N("ROI of ELS and multiply by 2 if ELS is 1:1")+IF($G$12 = True, 2, 1) * $J511))/((N("difference in ELS+ and the cost of it")+(($K510*O$8)-($K510*N$8)) / O$7)),(N("MIN lets it return 0 or 1 after floored")+1)),1)</f>
        <v>0</v>
      </c>
      <c r="P511" s="798">
        <f t="shared" si="507"/>
        <v>0</v>
      </c>
      <c r="Q511" s="798">
        <f t="shared" si="507"/>
        <v>0</v>
      </c>
      <c r="R511" s="798">
        <f t="shared" si="507"/>
        <v>0</v>
      </c>
      <c r="S511" s="798">
        <f t="shared" si="507"/>
        <v>0</v>
      </c>
      <c r="T511" s="798">
        <f t="shared" si="507"/>
        <v>0</v>
      </c>
      <c r="U511" s="798">
        <f t="shared" si="507"/>
        <v>0</v>
      </c>
      <c r="V511" s="798">
        <f t="shared" si="507"/>
        <v>0</v>
      </c>
      <c r="W511" s="798">
        <f t="shared" si="507"/>
        <v>0</v>
      </c>
      <c r="X511" s="798">
        <f t="shared" si="507"/>
        <v>0</v>
      </c>
      <c r="Y511" s="798">
        <f t="shared" si="507"/>
        <v>0</v>
      </c>
      <c r="Z511" s="798">
        <f t="shared" si="507"/>
        <v>0</v>
      </c>
      <c r="AA511" s="798">
        <f t="shared" si="507"/>
        <v>0</v>
      </c>
      <c r="AB511" s="798">
        <f t="shared" si="507"/>
        <v>0</v>
      </c>
      <c r="AC511" s="798">
        <f t="shared" si="507"/>
        <v>0</v>
      </c>
      <c r="AD511" s="798">
        <f t="shared" si="507"/>
        <v>0</v>
      </c>
      <c r="AE511" s="798">
        <f t="shared" si="507"/>
        <v>0</v>
      </c>
      <c r="AF511" s="798">
        <f t="shared" si="507"/>
        <v>0</v>
      </c>
      <c r="AG511" s="798">
        <f t="shared" si="507"/>
        <v>0</v>
      </c>
      <c r="AH511" s="798">
        <f t="shared" si="507"/>
        <v>0</v>
      </c>
      <c r="AI511" s="798">
        <f t="shared" si="507"/>
        <v>0</v>
      </c>
      <c r="AJ511" s="798">
        <f t="shared" si="507"/>
        <v>0</v>
      </c>
      <c r="AK511" s="798">
        <f t="shared" si="507"/>
        <v>0</v>
      </c>
      <c r="AL511" s="798">
        <f t="shared" si="507"/>
        <v>1</v>
      </c>
      <c r="AM511" s="798">
        <f t="shared" si="507"/>
        <v>1</v>
      </c>
      <c r="AN511" s="798">
        <f t="shared" si="507"/>
        <v>1</v>
      </c>
      <c r="AO511" s="798">
        <f t="shared" si="507"/>
        <v>1</v>
      </c>
      <c r="AP511" s="798">
        <f t="shared" si="507"/>
        <v>1</v>
      </c>
      <c r="AQ511" s="798">
        <f t="shared" si="507"/>
        <v>1</v>
      </c>
      <c r="AR511" s="798">
        <f t="shared" si="507"/>
        <v>1</v>
      </c>
      <c r="AS511" s="798">
        <f t="shared" si="507"/>
        <v>1</v>
      </c>
      <c r="AT511" s="798">
        <f t="shared" si="507"/>
        <v>1</v>
      </c>
      <c r="AU511" s="798">
        <f t="shared" si="507"/>
        <v>1</v>
      </c>
      <c r="AV511" s="798">
        <f t="shared" si="507"/>
        <v>1</v>
      </c>
      <c r="AW511" s="798">
        <f t="shared" si="507"/>
        <v>1</v>
      </c>
      <c r="AX511" s="798">
        <f t="shared" si="507"/>
        <v>1</v>
      </c>
      <c r="AY511" s="798">
        <f t="shared" si="507"/>
        <v>1</v>
      </c>
      <c r="AZ511" s="798">
        <f t="shared" si="507"/>
        <v>1</v>
      </c>
      <c r="BA511" s="798">
        <f t="shared" si="507"/>
        <v>1</v>
      </c>
      <c r="BB511" s="798">
        <f t="shared" si="507"/>
        <v>1</v>
      </c>
      <c r="BC511" s="798">
        <f t="shared" si="507"/>
        <v>1</v>
      </c>
      <c r="BD511" s="798">
        <f t="shared" si="507"/>
        <v>1</v>
      </c>
      <c r="BE511" s="798">
        <f t="shared" si="507"/>
        <v>1</v>
      </c>
      <c r="BF511" s="798">
        <f t="shared" si="507"/>
        <v>1</v>
      </c>
      <c r="BG511" s="798">
        <f t="shared" si="507"/>
        <v>1</v>
      </c>
      <c r="BH511" s="798">
        <f t="shared" si="507"/>
        <v>1</v>
      </c>
      <c r="BI511" s="798">
        <f t="shared" si="507"/>
        <v>1</v>
      </c>
      <c r="BJ511" s="798">
        <f t="shared" si="507"/>
        <v>1</v>
      </c>
      <c r="BK511" s="798">
        <f t="shared" si="507"/>
        <v>1</v>
      </c>
      <c r="BL511" s="765"/>
      <c r="BM511" s="817"/>
      <c r="BN511" s="817"/>
    </row>
    <row r="512" hidden="1">
      <c r="A512" s="765"/>
      <c r="B512" s="765"/>
      <c r="C512" s="765"/>
      <c r="D512" s="765"/>
      <c r="E512" s="765"/>
      <c r="F512" s="765"/>
      <c r="G512" s="765"/>
      <c r="H512" s="765"/>
      <c r="I512" s="765">
        <f t="shared" si="17"/>
        <v>501</v>
      </c>
      <c r="J512" s="763">
        <f t="shared" si="5"/>
        <v>1.27238E+15</v>
      </c>
      <c r="K512" s="796">
        <f t="shared" si="7"/>
        <v>0.48429</v>
      </c>
      <c r="L512" s="796">
        <v>5.0E-4</v>
      </c>
      <c r="M512" s="763">
        <v>1.45082778930952E15</v>
      </c>
      <c r="N512" s="797">
        <f t="shared" si="8"/>
        <v>0</v>
      </c>
      <c r="O512" s="798">
        <f t="shared" ref="O512:BK512" si="508">FLOOR(MIN((((N("value of ELS upgrade")+N$8*($K512-$K511))*(N("Check checkbox")+(IF($G$6=TRUE,$G$7,$G$8))/$G$8))/(N("ROI of ELS and multiply by 2 if ELS is 1:1")+IF($G$12 = True, 2, 1) * $J512))/((N("difference in ELS+ and the cost of it")+(($K511*O$8)-($K511*N$8)) / O$7)),(N("MIN lets it return 0 or 1 after floored")+1)),1)</f>
        <v>0</v>
      </c>
      <c r="P512" s="798">
        <f t="shared" si="508"/>
        <v>0</v>
      </c>
      <c r="Q512" s="798">
        <f t="shared" si="508"/>
        <v>0</v>
      </c>
      <c r="R512" s="798">
        <f t="shared" si="508"/>
        <v>0</v>
      </c>
      <c r="S512" s="798">
        <f t="shared" si="508"/>
        <v>0</v>
      </c>
      <c r="T512" s="798">
        <f t="shared" si="508"/>
        <v>0</v>
      </c>
      <c r="U512" s="798">
        <f t="shared" si="508"/>
        <v>0</v>
      </c>
      <c r="V512" s="798">
        <f t="shared" si="508"/>
        <v>0</v>
      </c>
      <c r="W512" s="798">
        <f t="shared" si="508"/>
        <v>0</v>
      </c>
      <c r="X512" s="798">
        <f t="shared" si="508"/>
        <v>0</v>
      </c>
      <c r="Y512" s="798">
        <f t="shared" si="508"/>
        <v>0</v>
      </c>
      <c r="Z512" s="798">
        <f t="shared" si="508"/>
        <v>0</v>
      </c>
      <c r="AA512" s="798">
        <f t="shared" si="508"/>
        <v>0</v>
      </c>
      <c r="AB512" s="798">
        <f t="shared" si="508"/>
        <v>0</v>
      </c>
      <c r="AC512" s="798">
        <f t="shared" si="508"/>
        <v>0</v>
      </c>
      <c r="AD512" s="798">
        <f t="shared" si="508"/>
        <v>0</v>
      </c>
      <c r="AE512" s="798">
        <f t="shared" si="508"/>
        <v>0</v>
      </c>
      <c r="AF512" s="798">
        <f t="shared" si="508"/>
        <v>0</v>
      </c>
      <c r="AG512" s="798">
        <f t="shared" si="508"/>
        <v>0</v>
      </c>
      <c r="AH512" s="798">
        <f t="shared" si="508"/>
        <v>0</v>
      </c>
      <c r="AI512" s="798">
        <f t="shared" si="508"/>
        <v>0</v>
      </c>
      <c r="AJ512" s="798">
        <f t="shared" si="508"/>
        <v>0</v>
      </c>
      <c r="AK512" s="798">
        <f t="shared" si="508"/>
        <v>0</v>
      </c>
      <c r="AL512" s="798">
        <f t="shared" si="508"/>
        <v>1</v>
      </c>
      <c r="AM512" s="798">
        <f t="shared" si="508"/>
        <v>1</v>
      </c>
      <c r="AN512" s="798">
        <f t="shared" si="508"/>
        <v>1</v>
      </c>
      <c r="AO512" s="798">
        <f t="shared" si="508"/>
        <v>1</v>
      </c>
      <c r="AP512" s="798">
        <f t="shared" si="508"/>
        <v>1</v>
      </c>
      <c r="AQ512" s="798">
        <f t="shared" si="508"/>
        <v>1</v>
      </c>
      <c r="AR512" s="798">
        <f t="shared" si="508"/>
        <v>1</v>
      </c>
      <c r="AS512" s="798">
        <f t="shared" si="508"/>
        <v>1</v>
      </c>
      <c r="AT512" s="798">
        <f t="shared" si="508"/>
        <v>1</v>
      </c>
      <c r="AU512" s="798">
        <f t="shared" si="508"/>
        <v>1</v>
      </c>
      <c r="AV512" s="798">
        <f t="shared" si="508"/>
        <v>1</v>
      </c>
      <c r="AW512" s="798">
        <f t="shared" si="508"/>
        <v>1</v>
      </c>
      <c r="AX512" s="798">
        <f t="shared" si="508"/>
        <v>1</v>
      </c>
      <c r="AY512" s="798">
        <f t="shared" si="508"/>
        <v>1</v>
      </c>
      <c r="AZ512" s="798">
        <f t="shared" si="508"/>
        <v>1</v>
      </c>
      <c r="BA512" s="798">
        <f t="shared" si="508"/>
        <v>1</v>
      </c>
      <c r="BB512" s="798">
        <f t="shared" si="508"/>
        <v>1</v>
      </c>
      <c r="BC512" s="798">
        <f t="shared" si="508"/>
        <v>1</v>
      </c>
      <c r="BD512" s="798">
        <f t="shared" si="508"/>
        <v>1</v>
      </c>
      <c r="BE512" s="798">
        <f t="shared" si="508"/>
        <v>1</v>
      </c>
      <c r="BF512" s="798">
        <f t="shared" si="508"/>
        <v>1</v>
      </c>
      <c r="BG512" s="798">
        <f t="shared" si="508"/>
        <v>1</v>
      </c>
      <c r="BH512" s="798">
        <f t="shared" si="508"/>
        <v>1</v>
      </c>
      <c r="BI512" s="798">
        <f t="shared" si="508"/>
        <v>1</v>
      </c>
      <c r="BJ512" s="798">
        <f t="shared" si="508"/>
        <v>1</v>
      </c>
      <c r="BK512" s="798">
        <f t="shared" si="508"/>
        <v>1</v>
      </c>
      <c r="BL512" s="765"/>
      <c r="BM512" s="817"/>
      <c r="BN512" s="817"/>
    </row>
    <row r="513" hidden="1">
      <c r="A513" s="765"/>
      <c r="B513" s="765"/>
      <c r="C513" s="765"/>
      <c r="D513" s="765"/>
      <c r="E513" s="765"/>
      <c r="F513" s="765"/>
      <c r="G513" s="765"/>
      <c r="H513" s="765"/>
      <c r="I513" s="765">
        <f t="shared" si="17"/>
        <v>502</v>
      </c>
      <c r="J513" s="763">
        <f t="shared" si="5"/>
        <v>1.27694E+15</v>
      </c>
      <c r="K513" s="796">
        <f t="shared" si="7"/>
        <v>0.48479</v>
      </c>
      <c r="L513" s="796">
        <v>5.0E-4</v>
      </c>
      <c r="M513" s="763">
        <v>1.45603181910089E15</v>
      </c>
      <c r="N513" s="797">
        <f t="shared" si="8"/>
        <v>0</v>
      </c>
      <c r="O513" s="798">
        <f t="shared" ref="O513:BK513" si="509">FLOOR(MIN((((N("value of ELS upgrade")+N$8*($K513-$K512))*(N("Check checkbox")+(IF($G$6=TRUE,$G$7,$G$8))/$G$8))/(N("ROI of ELS and multiply by 2 if ELS is 1:1")+IF($G$12 = True, 2, 1) * $J513))/((N("difference in ELS+ and the cost of it")+(($K512*O$8)-($K512*N$8)) / O$7)),(N("MIN lets it return 0 or 1 after floored")+1)),1)</f>
        <v>0</v>
      </c>
      <c r="P513" s="798">
        <f t="shared" si="509"/>
        <v>0</v>
      </c>
      <c r="Q513" s="798">
        <f t="shared" si="509"/>
        <v>0</v>
      </c>
      <c r="R513" s="798">
        <f t="shared" si="509"/>
        <v>0</v>
      </c>
      <c r="S513" s="798">
        <f t="shared" si="509"/>
        <v>0</v>
      </c>
      <c r="T513" s="798">
        <f t="shared" si="509"/>
        <v>0</v>
      </c>
      <c r="U513" s="798">
        <f t="shared" si="509"/>
        <v>0</v>
      </c>
      <c r="V513" s="798">
        <f t="shared" si="509"/>
        <v>0</v>
      </c>
      <c r="W513" s="798">
        <f t="shared" si="509"/>
        <v>0</v>
      </c>
      <c r="X513" s="798">
        <f t="shared" si="509"/>
        <v>0</v>
      </c>
      <c r="Y513" s="798">
        <f t="shared" si="509"/>
        <v>0</v>
      </c>
      <c r="Z513" s="798">
        <f t="shared" si="509"/>
        <v>0</v>
      </c>
      <c r="AA513" s="798">
        <f t="shared" si="509"/>
        <v>0</v>
      </c>
      <c r="AB513" s="798">
        <f t="shared" si="509"/>
        <v>0</v>
      </c>
      <c r="AC513" s="798">
        <f t="shared" si="509"/>
        <v>0</v>
      </c>
      <c r="AD513" s="798">
        <f t="shared" si="509"/>
        <v>0</v>
      </c>
      <c r="AE513" s="798">
        <f t="shared" si="509"/>
        <v>0</v>
      </c>
      <c r="AF513" s="798">
        <f t="shared" si="509"/>
        <v>0</v>
      </c>
      <c r="AG513" s="798">
        <f t="shared" si="509"/>
        <v>0</v>
      </c>
      <c r="AH513" s="798">
        <f t="shared" si="509"/>
        <v>0</v>
      </c>
      <c r="AI513" s="798">
        <f t="shared" si="509"/>
        <v>0</v>
      </c>
      <c r="AJ513" s="798">
        <f t="shared" si="509"/>
        <v>0</v>
      </c>
      <c r="AK513" s="798">
        <f t="shared" si="509"/>
        <v>0</v>
      </c>
      <c r="AL513" s="798">
        <f t="shared" si="509"/>
        <v>1</v>
      </c>
      <c r="AM513" s="798">
        <f t="shared" si="509"/>
        <v>1</v>
      </c>
      <c r="AN513" s="798">
        <f t="shared" si="509"/>
        <v>1</v>
      </c>
      <c r="AO513" s="798">
        <f t="shared" si="509"/>
        <v>1</v>
      </c>
      <c r="AP513" s="798">
        <f t="shared" si="509"/>
        <v>1</v>
      </c>
      <c r="AQ513" s="798">
        <f t="shared" si="509"/>
        <v>1</v>
      </c>
      <c r="AR513" s="798">
        <f t="shared" si="509"/>
        <v>1</v>
      </c>
      <c r="AS513" s="798">
        <f t="shared" si="509"/>
        <v>1</v>
      </c>
      <c r="AT513" s="798">
        <f t="shared" si="509"/>
        <v>1</v>
      </c>
      <c r="AU513" s="798">
        <f t="shared" si="509"/>
        <v>1</v>
      </c>
      <c r="AV513" s="798">
        <f t="shared" si="509"/>
        <v>1</v>
      </c>
      <c r="AW513" s="798">
        <f t="shared" si="509"/>
        <v>1</v>
      </c>
      <c r="AX513" s="798">
        <f t="shared" si="509"/>
        <v>1</v>
      </c>
      <c r="AY513" s="798">
        <f t="shared" si="509"/>
        <v>1</v>
      </c>
      <c r="AZ513" s="798">
        <f t="shared" si="509"/>
        <v>1</v>
      </c>
      <c r="BA513" s="798">
        <f t="shared" si="509"/>
        <v>1</v>
      </c>
      <c r="BB513" s="798">
        <f t="shared" si="509"/>
        <v>1</v>
      </c>
      <c r="BC513" s="798">
        <f t="shared" si="509"/>
        <v>1</v>
      </c>
      <c r="BD513" s="798">
        <f t="shared" si="509"/>
        <v>1</v>
      </c>
      <c r="BE513" s="798">
        <f t="shared" si="509"/>
        <v>1</v>
      </c>
      <c r="BF513" s="798">
        <f t="shared" si="509"/>
        <v>1</v>
      </c>
      <c r="BG513" s="798">
        <f t="shared" si="509"/>
        <v>1</v>
      </c>
      <c r="BH513" s="798">
        <f t="shared" si="509"/>
        <v>1</v>
      </c>
      <c r="BI513" s="798">
        <f t="shared" si="509"/>
        <v>1</v>
      </c>
      <c r="BJ513" s="798">
        <f t="shared" si="509"/>
        <v>1</v>
      </c>
      <c r="BK513" s="798">
        <f t="shared" si="509"/>
        <v>1</v>
      </c>
      <c r="BL513" s="765"/>
      <c r="BM513" s="817"/>
      <c r="BN513" s="817"/>
    </row>
    <row r="514" hidden="1">
      <c r="A514" s="765"/>
      <c r="B514" s="765"/>
      <c r="C514" s="765"/>
      <c r="D514" s="765"/>
      <c r="E514" s="765"/>
      <c r="F514" s="765"/>
      <c r="G514" s="765"/>
      <c r="H514" s="765"/>
      <c r="I514" s="765">
        <f t="shared" si="17"/>
        <v>503</v>
      </c>
      <c r="J514" s="763">
        <f t="shared" si="5"/>
        <v>1.28152E+15</v>
      </c>
      <c r="K514" s="796">
        <f t="shared" si="7"/>
        <v>0.48529</v>
      </c>
      <c r="L514" s="796">
        <v>5.0E-4</v>
      </c>
      <c r="M514" s="763">
        <v>1.4612517562026E15</v>
      </c>
      <c r="N514" s="797">
        <f t="shared" si="8"/>
        <v>0</v>
      </c>
      <c r="O514" s="798">
        <f t="shared" ref="O514:BK514" si="510">FLOOR(MIN((((N("value of ELS upgrade")+N$8*($K514-$K513))*(N("Check checkbox")+(IF($G$6=TRUE,$G$7,$G$8))/$G$8))/(N("ROI of ELS and multiply by 2 if ELS is 1:1")+IF($G$12 = True, 2, 1) * $J514))/((N("difference in ELS+ and the cost of it")+(($K513*O$8)-($K513*N$8)) / O$7)),(N("MIN lets it return 0 or 1 after floored")+1)),1)</f>
        <v>0</v>
      </c>
      <c r="P514" s="798">
        <f t="shared" si="510"/>
        <v>0</v>
      </c>
      <c r="Q514" s="798">
        <f t="shared" si="510"/>
        <v>0</v>
      </c>
      <c r="R514" s="798">
        <f t="shared" si="510"/>
        <v>0</v>
      </c>
      <c r="S514" s="798">
        <f t="shared" si="510"/>
        <v>0</v>
      </c>
      <c r="T514" s="798">
        <f t="shared" si="510"/>
        <v>0</v>
      </c>
      <c r="U514" s="798">
        <f t="shared" si="510"/>
        <v>0</v>
      </c>
      <c r="V514" s="798">
        <f t="shared" si="510"/>
        <v>0</v>
      </c>
      <c r="W514" s="798">
        <f t="shared" si="510"/>
        <v>0</v>
      </c>
      <c r="X514" s="798">
        <f t="shared" si="510"/>
        <v>0</v>
      </c>
      <c r="Y514" s="798">
        <f t="shared" si="510"/>
        <v>0</v>
      </c>
      <c r="Z514" s="798">
        <f t="shared" si="510"/>
        <v>0</v>
      </c>
      <c r="AA514" s="798">
        <f t="shared" si="510"/>
        <v>0</v>
      </c>
      <c r="AB514" s="798">
        <f t="shared" si="510"/>
        <v>0</v>
      </c>
      <c r="AC514" s="798">
        <f t="shared" si="510"/>
        <v>0</v>
      </c>
      <c r="AD514" s="798">
        <f t="shared" si="510"/>
        <v>0</v>
      </c>
      <c r="AE514" s="798">
        <f t="shared" si="510"/>
        <v>0</v>
      </c>
      <c r="AF514" s="798">
        <f t="shared" si="510"/>
        <v>0</v>
      </c>
      <c r="AG514" s="798">
        <f t="shared" si="510"/>
        <v>0</v>
      </c>
      <c r="AH514" s="798">
        <f t="shared" si="510"/>
        <v>0</v>
      </c>
      <c r="AI514" s="798">
        <f t="shared" si="510"/>
        <v>0</v>
      </c>
      <c r="AJ514" s="798">
        <f t="shared" si="510"/>
        <v>0</v>
      </c>
      <c r="AK514" s="798">
        <f t="shared" si="510"/>
        <v>0</v>
      </c>
      <c r="AL514" s="798">
        <f t="shared" si="510"/>
        <v>1</v>
      </c>
      <c r="AM514" s="798">
        <f t="shared" si="510"/>
        <v>1</v>
      </c>
      <c r="AN514" s="798">
        <f t="shared" si="510"/>
        <v>1</v>
      </c>
      <c r="AO514" s="798">
        <f t="shared" si="510"/>
        <v>1</v>
      </c>
      <c r="AP514" s="798">
        <f t="shared" si="510"/>
        <v>1</v>
      </c>
      <c r="AQ514" s="798">
        <f t="shared" si="510"/>
        <v>1</v>
      </c>
      <c r="AR514" s="798">
        <f t="shared" si="510"/>
        <v>1</v>
      </c>
      <c r="AS514" s="798">
        <f t="shared" si="510"/>
        <v>1</v>
      </c>
      <c r="AT514" s="798">
        <f t="shared" si="510"/>
        <v>1</v>
      </c>
      <c r="AU514" s="798">
        <f t="shared" si="510"/>
        <v>1</v>
      </c>
      <c r="AV514" s="798">
        <f t="shared" si="510"/>
        <v>1</v>
      </c>
      <c r="AW514" s="798">
        <f t="shared" si="510"/>
        <v>1</v>
      </c>
      <c r="AX514" s="798">
        <f t="shared" si="510"/>
        <v>1</v>
      </c>
      <c r="AY514" s="798">
        <f t="shared" si="510"/>
        <v>1</v>
      </c>
      <c r="AZ514" s="798">
        <f t="shared" si="510"/>
        <v>1</v>
      </c>
      <c r="BA514" s="798">
        <f t="shared" si="510"/>
        <v>1</v>
      </c>
      <c r="BB514" s="798">
        <f t="shared" si="510"/>
        <v>1</v>
      </c>
      <c r="BC514" s="798">
        <f t="shared" si="510"/>
        <v>1</v>
      </c>
      <c r="BD514" s="798">
        <f t="shared" si="510"/>
        <v>1</v>
      </c>
      <c r="BE514" s="798">
        <f t="shared" si="510"/>
        <v>1</v>
      </c>
      <c r="BF514" s="798">
        <f t="shared" si="510"/>
        <v>1</v>
      </c>
      <c r="BG514" s="798">
        <f t="shared" si="510"/>
        <v>1</v>
      </c>
      <c r="BH514" s="798">
        <f t="shared" si="510"/>
        <v>1</v>
      </c>
      <c r="BI514" s="798">
        <f t="shared" si="510"/>
        <v>1</v>
      </c>
      <c r="BJ514" s="798">
        <f t="shared" si="510"/>
        <v>1</v>
      </c>
      <c r="BK514" s="798">
        <f t="shared" si="510"/>
        <v>1</v>
      </c>
      <c r="BL514" s="765"/>
      <c r="BM514" s="817"/>
      <c r="BN514" s="817"/>
    </row>
    <row r="515" hidden="1">
      <c r="A515" s="765"/>
      <c r="B515" s="765"/>
      <c r="C515" s="765"/>
      <c r="D515" s="765"/>
      <c r="E515" s="765"/>
      <c r="F515" s="765"/>
      <c r="G515" s="765"/>
      <c r="H515" s="765"/>
      <c r="I515" s="765">
        <f t="shared" si="17"/>
        <v>504</v>
      </c>
      <c r="J515" s="763">
        <f t="shared" si="5"/>
        <v>1.28611E+15</v>
      </c>
      <c r="K515" s="796">
        <f t="shared" si="7"/>
        <v>0.48579</v>
      </c>
      <c r="L515" s="796">
        <v>5.0E-4</v>
      </c>
      <c r="M515" s="763">
        <v>1.46648760061465E15</v>
      </c>
      <c r="N515" s="797">
        <f t="shared" si="8"/>
        <v>0</v>
      </c>
      <c r="O515" s="798">
        <f t="shared" ref="O515:BK515" si="511">FLOOR(MIN((((N("value of ELS upgrade")+N$8*($K515-$K514))*(N("Check checkbox")+(IF($G$6=TRUE,$G$7,$G$8))/$G$8))/(N("ROI of ELS and multiply by 2 if ELS is 1:1")+IF($G$12 = True, 2, 1) * $J515))/((N("difference in ELS+ and the cost of it")+(($K514*O$8)-($K514*N$8)) / O$7)),(N("MIN lets it return 0 or 1 after floored")+1)),1)</f>
        <v>0</v>
      </c>
      <c r="P515" s="798">
        <f t="shared" si="511"/>
        <v>0</v>
      </c>
      <c r="Q515" s="798">
        <f t="shared" si="511"/>
        <v>0</v>
      </c>
      <c r="R515" s="798">
        <f t="shared" si="511"/>
        <v>0</v>
      </c>
      <c r="S515" s="798">
        <f t="shared" si="511"/>
        <v>0</v>
      </c>
      <c r="T515" s="798">
        <f t="shared" si="511"/>
        <v>0</v>
      </c>
      <c r="U515" s="798">
        <f t="shared" si="511"/>
        <v>0</v>
      </c>
      <c r="V515" s="798">
        <f t="shared" si="511"/>
        <v>0</v>
      </c>
      <c r="W515" s="798">
        <f t="shared" si="511"/>
        <v>0</v>
      </c>
      <c r="X515" s="798">
        <f t="shared" si="511"/>
        <v>0</v>
      </c>
      <c r="Y515" s="798">
        <f t="shared" si="511"/>
        <v>0</v>
      </c>
      <c r="Z515" s="798">
        <f t="shared" si="511"/>
        <v>0</v>
      </c>
      <c r="AA515" s="798">
        <f t="shared" si="511"/>
        <v>0</v>
      </c>
      <c r="AB515" s="798">
        <f t="shared" si="511"/>
        <v>0</v>
      </c>
      <c r="AC515" s="798">
        <f t="shared" si="511"/>
        <v>0</v>
      </c>
      <c r="AD515" s="798">
        <f t="shared" si="511"/>
        <v>0</v>
      </c>
      <c r="AE515" s="798">
        <f t="shared" si="511"/>
        <v>0</v>
      </c>
      <c r="AF515" s="798">
        <f t="shared" si="511"/>
        <v>0</v>
      </c>
      <c r="AG515" s="798">
        <f t="shared" si="511"/>
        <v>0</v>
      </c>
      <c r="AH515" s="798">
        <f t="shared" si="511"/>
        <v>0</v>
      </c>
      <c r="AI515" s="798">
        <f t="shared" si="511"/>
        <v>0</v>
      </c>
      <c r="AJ515" s="798">
        <f t="shared" si="511"/>
        <v>0</v>
      </c>
      <c r="AK515" s="798">
        <f t="shared" si="511"/>
        <v>0</v>
      </c>
      <c r="AL515" s="798">
        <f t="shared" si="511"/>
        <v>1</v>
      </c>
      <c r="AM515" s="798">
        <f t="shared" si="511"/>
        <v>1</v>
      </c>
      <c r="AN515" s="798">
        <f t="shared" si="511"/>
        <v>1</v>
      </c>
      <c r="AO515" s="798">
        <f t="shared" si="511"/>
        <v>1</v>
      </c>
      <c r="AP515" s="798">
        <f t="shared" si="511"/>
        <v>1</v>
      </c>
      <c r="AQ515" s="798">
        <f t="shared" si="511"/>
        <v>1</v>
      </c>
      <c r="AR515" s="798">
        <f t="shared" si="511"/>
        <v>1</v>
      </c>
      <c r="AS515" s="798">
        <f t="shared" si="511"/>
        <v>1</v>
      </c>
      <c r="AT515" s="798">
        <f t="shared" si="511"/>
        <v>1</v>
      </c>
      <c r="AU515" s="798">
        <f t="shared" si="511"/>
        <v>1</v>
      </c>
      <c r="AV515" s="798">
        <f t="shared" si="511"/>
        <v>1</v>
      </c>
      <c r="AW515" s="798">
        <f t="shared" si="511"/>
        <v>1</v>
      </c>
      <c r="AX515" s="798">
        <f t="shared" si="511"/>
        <v>1</v>
      </c>
      <c r="AY515" s="798">
        <f t="shared" si="511"/>
        <v>1</v>
      </c>
      <c r="AZ515" s="798">
        <f t="shared" si="511"/>
        <v>1</v>
      </c>
      <c r="BA515" s="798">
        <f t="shared" si="511"/>
        <v>1</v>
      </c>
      <c r="BB515" s="798">
        <f t="shared" si="511"/>
        <v>1</v>
      </c>
      <c r="BC515" s="798">
        <f t="shared" si="511"/>
        <v>1</v>
      </c>
      <c r="BD515" s="798">
        <f t="shared" si="511"/>
        <v>1</v>
      </c>
      <c r="BE515" s="798">
        <f t="shared" si="511"/>
        <v>1</v>
      </c>
      <c r="BF515" s="798">
        <f t="shared" si="511"/>
        <v>1</v>
      </c>
      <c r="BG515" s="798">
        <f t="shared" si="511"/>
        <v>1</v>
      </c>
      <c r="BH515" s="798">
        <f t="shared" si="511"/>
        <v>1</v>
      </c>
      <c r="BI515" s="798">
        <f t="shared" si="511"/>
        <v>1</v>
      </c>
      <c r="BJ515" s="798">
        <f t="shared" si="511"/>
        <v>1</v>
      </c>
      <c r="BK515" s="798">
        <f t="shared" si="511"/>
        <v>1</v>
      </c>
      <c r="BL515" s="765"/>
      <c r="BM515" s="817"/>
      <c r="BN515" s="817"/>
    </row>
    <row r="516" hidden="1">
      <c r="A516" s="765"/>
      <c r="B516" s="765"/>
      <c r="C516" s="765"/>
      <c r="D516" s="765"/>
      <c r="E516" s="765"/>
      <c r="F516" s="765"/>
      <c r="G516" s="765"/>
      <c r="H516" s="765"/>
      <c r="I516" s="765">
        <f t="shared" si="17"/>
        <v>505</v>
      </c>
      <c r="J516" s="763">
        <f t="shared" si="5"/>
        <v>1.29072E+15</v>
      </c>
      <c r="K516" s="796">
        <f t="shared" si="7"/>
        <v>0.48629</v>
      </c>
      <c r="L516" s="796">
        <v>5.0E-4</v>
      </c>
      <c r="M516" s="763">
        <v>1.47173941081979E15</v>
      </c>
      <c r="N516" s="797">
        <f t="shared" si="8"/>
        <v>0</v>
      </c>
      <c r="O516" s="798">
        <f t="shared" ref="O516:BK516" si="512">FLOOR(MIN((((N("value of ELS upgrade")+N$8*($K516-$K515))*(N("Check checkbox")+(IF($G$6=TRUE,$G$7,$G$8))/$G$8))/(N("ROI of ELS and multiply by 2 if ELS is 1:1")+IF($G$12 = True, 2, 1) * $J516))/((N("difference in ELS+ and the cost of it")+(($K515*O$8)-($K515*N$8)) / O$7)),(N("MIN lets it return 0 or 1 after floored")+1)),1)</f>
        <v>0</v>
      </c>
      <c r="P516" s="798">
        <f t="shared" si="512"/>
        <v>0</v>
      </c>
      <c r="Q516" s="798">
        <f t="shared" si="512"/>
        <v>0</v>
      </c>
      <c r="R516" s="798">
        <f t="shared" si="512"/>
        <v>0</v>
      </c>
      <c r="S516" s="798">
        <f t="shared" si="512"/>
        <v>0</v>
      </c>
      <c r="T516" s="798">
        <f t="shared" si="512"/>
        <v>0</v>
      </c>
      <c r="U516" s="798">
        <f t="shared" si="512"/>
        <v>0</v>
      </c>
      <c r="V516" s="798">
        <f t="shared" si="512"/>
        <v>0</v>
      </c>
      <c r="W516" s="798">
        <f t="shared" si="512"/>
        <v>0</v>
      </c>
      <c r="X516" s="798">
        <f t="shared" si="512"/>
        <v>0</v>
      </c>
      <c r="Y516" s="798">
        <f t="shared" si="512"/>
        <v>0</v>
      </c>
      <c r="Z516" s="798">
        <f t="shared" si="512"/>
        <v>0</v>
      </c>
      <c r="AA516" s="798">
        <f t="shared" si="512"/>
        <v>0</v>
      </c>
      <c r="AB516" s="798">
        <f t="shared" si="512"/>
        <v>0</v>
      </c>
      <c r="AC516" s="798">
        <f t="shared" si="512"/>
        <v>0</v>
      </c>
      <c r="AD516" s="798">
        <f t="shared" si="512"/>
        <v>0</v>
      </c>
      <c r="AE516" s="798">
        <f t="shared" si="512"/>
        <v>0</v>
      </c>
      <c r="AF516" s="798">
        <f t="shared" si="512"/>
        <v>0</v>
      </c>
      <c r="AG516" s="798">
        <f t="shared" si="512"/>
        <v>0</v>
      </c>
      <c r="AH516" s="798">
        <f t="shared" si="512"/>
        <v>0</v>
      </c>
      <c r="AI516" s="798">
        <f t="shared" si="512"/>
        <v>0</v>
      </c>
      <c r="AJ516" s="798">
        <f t="shared" si="512"/>
        <v>0</v>
      </c>
      <c r="AK516" s="798">
        <f t="shared" si="512"/>
        <v>0</v>
      </c>
      <c r="AL516" s="798">
        <f t="shared" si="512"/>
        <v>1</v>
      </c>
      <c r="AM516" s="798">
        <f t="shared" si="512"/>
        <v>1</v>
      </c>
      <c r="AN516" s="798">
        <f t="shared" si="512"/>
        <v>1</v>
      </c>
      <c r="AO516" s="798">
        <f t="shared" si="512"/>
        <v>1</v>
      </c>
      <c r="AP516" s="798">
        <f t="shared" si="512"/>
        <v>1</v>
      </c>
      <c r="AQ516" s="798">
        <f t="shared" si="512"/>
        <v>1</v>
      </c>
      <c r="AR516" s="798">
        <f t="shared" si="512"/>
        <v>1</v>
      </c>
      <c r="AS516" s="798">
        <f t="shared" si="512"/>
        <v>1</v>
      </c>
      <c r="AT516" s="798">
        <f t="shared" si="512"/>
        <v>1</v>
      </c>
      <c r="AU516" s="798">
        <f t="shared" si="512"/>
        <v>1</v>
      </c>
      <c r="AV516" s="798">
        <f t="shared" si="512"/>
        <v>1</v>
      </c>
      <c r="AW516" s="798">
        <f t="shared" si="512"/>
        <v>1</v>
      </c>
      <c r="AX516" s="798">
        <f t="shared" si="512"/>
        <v>1</v>
      </c>
      <c r="AY516" s="798">
        <f t="shared" si="512"/>
        <v>1</v>
      </c>
      <c r="AZ516" s="798">
        <f t="shared" si="512"/>
        <v>1</v>
      </c>
      <c r="BA516" s="798">
        <f t="shared" si="512"/>
        <v>1</v>
      </c>
      <c r="BB516" s="798">
        <f t="shared" si="512"/>
        <v>1</v>
      </c>
      <c r="BC516" s="798">
        <f t="shared" si="512"/>
        <v>1</v>
      </c>
      <c r="BD516" s="798">
        <f t="shared" si="512"/>
        <v>1</v>
      </c>
      <c r="BE516" s="798">
        <f t="shared" si="512"/>
        <v>1</v>
      </c>
      <c r="BF516" s="798">
        <f t="shared" si="512"/>
        <v>1</v>
      </c>
      <c r="BG516" s="798">
        <f t="shared" si="512"/>
        <v>1</v>
      </c>
      <c r="BH516" s="798">
        <f t="shared" si="512"/>
        <v>1</v>
      </c>
      <c r="BI516" s="798">
        <f t="shared" si="512"/>
        <v>1</v>
      </c>
      <c r="BJ516" s="798">
        <f t="shared" si="512"/>
        <v>1</v>
      </c>
      <c r="BK516" s="798">
        <f t="shared" si="512"/>
        <v>1</v>
      </c>
      <c r="BL516" s="765"/>
      <c r="BM516" s="817"/>
      <c r="BN516" s="817"/>
    </row>
    <row r="517" hidden="1">
      <c r="A517" s="765"/>
      <c r="B517" s="765"/>
      <c r="C517" s="765"/>
      <c r="D517" s="765"/>
      <c r="E517" s="765"/>
      <c r="F517" s="765"/>
      <c r="G517" s="765"/>
      <c r="H517" s="765"/>
      <c r="I517" s="765">
        <f t="shared" si="17"/>
        <v>506</v>
      </c>
      <c r="J517" s="763">
        <f t="shared" si="5"/>
        <v>1.29534E+15</v>
      </c>
      <c r="K517" s="796">
        <f t="shared" si="7"/>
        <v>0.48679</v>
      </c>
      <c r="L517" s="796">
        <v>5.0E-4</v>
      </c>
      <c r="M517" s="763">
        <v>1.47700718681804E15</v>
      </c>
      <c r="N517" s="797">
        <f t="shared" si="8"/>
        <v>0</v>
      </c>
      <c r="O517" s="798">
        <f t="shared" ref="O517:BK517" si="513">FLOOR(MIN((((N("value of ELS upgrade")+N$8*($K517-$K516))*(N("Check checkbox")+(IF($G$6=TRUE,$G$7,$G$8))/$G$8))/(N("ROI of ELS and multiply by 2 if ELS is 1:1")+IF($G$12 = True, 2, 1) * $J517))/((N("difference in ELS+ and the cost of it")+(($K516*O$8)-($K516*N$8)) / O$7)),(N("MIN lets it return 0 or 1 after floored")+1)),1)</f>
        <v>0</v>
      </c>
      <c r="P517" s="798">
        <f t="shared" si="513"/>
        <v>0</v>
      </c>
      <c r="Q517" s="798">
        <f t="shared" si="513"/>
        <v>0</v>
      </c>
      <c r="R517" s="798">
        <f t="shared" si="513"/>
        <v>0</v>
      </c>
      <c r="S517" s="798">
        <f t="shared" si="513"/>
        <v>0</v>
      </c>
      <c r="T517" s="798">
        <f t="shared" si="513"/>
        <v>0</v>
      </c>
      <c r="U517" s="798">
        <f t="shared" si="513"/>
        <v>0</v>
      </c>
      <c r="V517" s="798">
        <f t="shared" si="513"/>
        <v>0</v>
      </c>
      <c r="W517" s="798">
        <f t="shared" si="513"/>
        <v>0</v>
      </c>
      <c r="X517" s="798">
        <f t="shared" si="513"/>
        <v>0</v>
      </c>
      <c r="Y517" s="798">
        <f t="shared" si="513"/>
        <v>0</v>
      </c>
      <c r="Z517" s="798">
        <f t="shared" si="513"/>
        <v>0</v>
      </c>
      <c r="AA517" s="798">
        <f t="shared" si="513"/>
        <v>0</v>
      </c>
      <c r="AB517" s="798">
        <f t="shared" si="513"/>
        <v>0</v>
      </c>
      <c r="AC517" s="798">
        <f t="shared" si="513"/>
        <v>0</v>
      </c>
      <c r="AD517" s="798">
        <f t="shared" si="513"/>
        <v>0</v>
      </c>
      <c r="AE517" s="798">
        <f t="shared" si="513"/>
        <v>0</v>
      </c>
      <c r="AF517" s="798">
        <f t="shared" si="513"/>
        <v>0</v>
      </c>
      <c r="AG517" s="798">
        <f t="shared" si="513"/>
        <v>0</v>
      </c>
      <c r="AH517" s="798">
        <f t="shared" si="513"/>
        <v>0</v>
      </c>
      <c r="AI517" s="798">
        <f t="shared" si="513"/>
        <v>0</v>
      </c>
      <c r="AJ517" s="798">
        <f t="shared" si="513"/>
        <v>0</v>
      </c>
      <c r="AK517" s="798">
        <f t="shared" si="513"/>
        <v>0</v>
      </c>
      <c r="AL517" s="798">
        <f t="shared" si="513"/>
        <v>1</v>
      </c>
      <c r="AM517" s="798">
        <f t="shared" si="513"/>
        <v>1</v>
      </c>
      <c r="AN517" s="798">
        <f t="shared" si="513"/>
        <v>1</v>
      </c>
      <c r="AO517" s="798">
        <f t="shared" si="513"/>
        <v>1</v>
      </c>
      <c r="AP517" s="798">
        <f t="shared" si="513"/>
        <v>1</v>
      </c>
      <c r="AQ517" s="798">
        <f t="shared" si="513"/>
        <v>1</v>
      </c>
      <c r="AR517" s="798">
        <f t="shared" si="513"/>
        <v>1</v>
      </c>
      <c r="AS517" s="798">
        <f t="shared" si="513"/>
        <v>1</v>
      </c>
      <c r="AT517" s="798">
        <f t="shared" si="513"/>
        <v>1</v>
      </c>
      <c r="AU517" s="798">
        <f t="shared" si="513"/>
        <v>1</v>
      </c>
      <c r="AV517" s="798">
        <f t="shared" si="513"/>
        <v>1</v>
      </c>
      <c r="AW517" s="798">
        <f t="shared" si="513"/>
        <v>1</v>
      </c>
      <c r="AX517" s="798">
        <f t="shared" si="513"/>
        <v>1</v>
      </c>
      <c r="AY517" s="798">
        <f t="shared" si="513"/>
        <v>1</v>
      </c>
      <c r="AZ517" s="798">
        <f t="shared" si="513"/>
        <v>1</v>
      </c>
      <c r="BA517" s="798">
        <f t="shared" si="513"/>
        <v>1</v>
      </c>
      <c r="BB517" s="798">
        <f t="shared" si="513"/>
        <v>1</v>
      </c>
      <c r="BC517" s="798">
        <f t="shared" si="513"/>
        <v>1</v>
      </c>
      <c r="BD517" s="798">
        <f t="shared" si="513"/>
        <v>1</v>
      </c>
      <c r="BE517" s="798">
        <f t="shared" si="513"/>
        <v>1</v>
      </c>
      <c r="BF517" s="798">
        <f t="shared" si="513"/>
        <v>1</v>
      </c>
      <c r="BG517" s="798">
        <f t="shared" si="513"/>
        <v>1</v>
      </c>
      <c r="BH517" s="798">
        <f t="shared" si="513"/>
        <v>1</v>
      </c>
      <c r="BI517" s="798">
        <f t="shared" si="513"/>
        <v>1</v>
      </c>
      <c r="BJ517" s="798">
        <f t="shared" si="513"/>
        <v>1</v>
      </c>
      <c r="BK517" s="798">
        <f t="shared" si="513"/>
        <v>1</v>
      </c>
      <c r="BL517" s="765"/>
      <c r="BM517" s="817"/>
      <c r="BN517" s="817"/>
    </row>
    <row r="518" hidden="1">
      <c r="A518" s="765"/>
      <c r="B518" s="765"/>
      <c r="C518" s="765"/>
      <c r="D518" s="765"/>
      <c r="E518" s="765"/>
      <c r="F518" s="765"/>
      <c r="G518" s="765"/>
      <c r="H518" s="765"/>
      <c r="I518" s="765">
        <f t="shared" si="17"/>
        <v>507</v>
      </c>
      <c r="J518" s="763">
        <f t="shared" si="5"/>
        <v>1.29997E+15</v>
      </c>
      <c r="K518" s="796">
        <f t="shared" si="7"/>
        <v>0.48729</v>
      </c>
      <c r="L518" s="796">
        <v>5.0E-4</v>
      </c>
      <c r="M518" s="763">
        <v>1.4822910455749E15</v>
      </c>
      <c r="N518" s="797">
        <f t="shared" si="8"/>
        <v>0</v>
      </c>
      <c r="O518" s="798">
        <f t="shared" ref="O518:BK518" si="514">FLOOR(MIN((((N("value of ELS upgrade")+N$8*($K518-$K517))*(N("Check checkbox")+(IF($G$6=TRUE,$G$7,$G$8))/$G$8))/(N("ROI of ELS and multiply by 2 if ELS is 1:1")+IF($G$12 = True, 2, 1) * $J518))/((N("difference in ELS+ and the cost of it")+(($K517*O$8)-($K517*N$8)) / O$7)),(N("MIN lets it return 0 or 1 after floored")+1)),1)</f>
        <v>0</v>
      </c>
      <c r="P518" s="798">
        <f t="shared" si="514"/>
        <v>0</v>
      </c>
      <c r="Q518" s="798">
        <f t="shared" si="514"/>
        <v>0</v>
      </c>
      <c r="R518" s="798">
        <f t="shared" si="514"/>
        <v>0</v>
      </c>
      <c r="S518" s="798">
        <f t="shared" si="514"/>
        <v>0</v>
      </c>
      <c r="T518" s="798">
        <f t="shared" si="514"/>
        <v>0</v>
      </c>
      <c r="U518" s="798">
        <f t="shared" si="514"/>
        <v>0</v>
      </c>
      <c r="V518" s="798">
        <f t="shared" si="514"/>
        <v>0</v>
      </c>
      <c r="W518" s="798">
        <f t="shared" si="514"/>
        <v>0</v>
      </c>
      <c r="X518" s="798">
        <f t="shared" si="514"/>
        <v>0</v>
      </c>
      <c r="Y518" s="798">
        <f t="shared" si="514"/>
        <v>0</v>
      </c>
      <c r="Z518" s="798">
        <f t="shared" si="514"/>
        <v>0</v>
      </c>
      <c r="AA518" s="798">
        <f t="shared" si="514"/>
        <v>0</v>
      </c>
      <c r="AB518" s="798">
        <f t="shared" si="514"/>
        <v>0</v>
      </c>
      <c r="AC518" s="798">
        <f t="shared" si="514"/>
        <v>0</v>
      </c>
      <c r="AD518" s="798">
        <f t="shared" si="514"/>
        <v>0</v>
      </c>
      <c r="AE518" s="798">
        <f t="shared" si="514"/>
        <v>0</v>
      </c>
      <c r="AF518" s="798">
        <f t="shared" si="514"/>
        <v>0</v>
      </c>
      <c r="AG518" s="798">
        <f t="shared" si="514"/>
        <v>0</v>
      </c>
      <c r="AH518" s="798">
        <f t="shared" si="514"/>
        <v>0</v>
      </c>
      <c r="AI518" s="798">
        <f t="shared" si="514"/>
        <v>0</v>
      </c>
      <c r="AJ518" s="798">
        <f t="shared" si="514"/>
        <v>0</v>
      </c>
      <c r="AK518" s="798">
        <f t="shared" si="514"/>
        <v>0</v>
      </c>
      <c r="AL518" s="798">
        <f t="shared" si="514"/>
        <v>1</v>
      </c>
      <c r="AM518" s="798">
        <f t="shared" si="514"/>
        <v>1</v>
      </c>
      <c r="AN518" s="798">
        <f t="shared" si="514"/>
        <v>1</v>
      </c>
      <c r="AO518" s="798">
        <f t="shared" si="514"/>
        <v>1</v>
      </c>
      <c r="AP518" s="798">
        <f t="shared" si="514"/>
        <v>1</v>
      </c>
      <c r="AQ518" s="798">
        <f t="shared" si="514"/>
        <v>1</v>
      </c>
      <c r="AR518" s="798">
        <f t="shared" si="514"/>
        <v>1</v>
      </c>
      <c r="AS518" s="798">
        <f t="shared" si="514"/>
        <v>1</v>
      </c>
      <c r="AT518" s="798">
        <f t="shared" si="514"/>
        <v>1</v>
      </c>
      <c r="AU518" s="798">
        <f t="shared" si="514"/>
        <v>1</v>
      </c>
      <c r="AV518" s="798">
        <f t="shared" si="514"/>
        <v>1</v>
      </c>
      <c r="AW518" s="798">
        <f t="shared" si="514"/>
        <v>1</v>
      </c>
      <c r="AX518" s="798">
        <f t="shared" si="514"/>
        <v>1</v>
      </c>
      <c r="AY518" s="798">
        <f t="shared" si="514"/>
        <v>1</v>
      </c>
      <c r="AZ518" s="798">
        <f t="shared" si="514"/>
        <v>1</v>
      </c>
      <c r="BA518" s="798">
        <f t="shared" si="514"/>
        <v>1</v>
      </c>
      <c r="BB518" s="798">
        <f t="shared" si="514"/>
        <v>1</v>
      </c>
      <c r="BC518" s="798">
        <f t="shared" si="514"/>
        <v>1</v>
      </c>
      <c r="BD518" s="798">
        <f t="shared" si="514"/>
        <v>1</v>
      </c>
      <c r="BE518" s="798">
        <f t="shared" si="514"/>
        <v>1</v>
      </c>
      <c r="BF518" s="798">
        <f t="shared" si="514"/>
        <v>1</v>
      </c>
      <c r="BG518" s="798">
        <f t="shared" si="514"/>
        <v>1</v>
      </c>
      <c r="BH518" s="798">
        <f t="shared" si="514"/>
        <v>1</v>
      </c>
      <c r="BI518" s="798">
        <f t="shared" si="514"/>
        <v>1</v>
      </c>
      <c r="BJ518" s="798">
        <f t="shared" si="514"/>
        <v>1</v>
      </c>
      <c r="BK518" s="798">
        <f t="shared" si="514"/>
        <v>1</v>
      </c>
      <c r="BL518" s="765"/>
      <c r="BM518" s="817"/>
      <c r="BN518" s="817"/>
    </row>
    <row r="519" hidden="1">
      <c r="A519" s="765"/>
      <c r="B519" s="765"/>
      <c r="C519" s="765"/>
      <c r="D519" s="765"/>
      <c r="E519" s="765"/>
      <c r="F519" s="765"/>
      <c r="G519" s="765"/>
      <c r="H519" s="765"/>
      <c r="I519" s="765">
        <f t="shared" si="17"/>
        <v>508</v>
      </c>
      <c r="J519" s="763">
        <f t="shared" si="5"/>
        <v>1.30462E+15</v>
      </c>
      <c r="K519" s="796">
        <f t="shared" si="7"/>
        <v>0.48779</v>
      </c>
      <c r="L519" s="796">
        <v>5.0E-4</v>
      </c>
      <c r="M519" s="763">
        <v>1.48759098709037E15</v>
      </c>
      <c r="N519" s="797">
        <f t="shared" si="8"/>
        <v>0</v>
      </c>
      <c r="O519" s="798">
        <f t="shared" ref="O519:BK519" si="515">FLOOR(MIN((((N("value of ELS upgrade")+N$8*($K519-$K518))*(N("Check checkbox")+(IF($G$6=TRUE,$G$7,$G$8))/$G$8))/(N("ROI of ELS and multiply by 2 if ELS is 1:1")+IF($G$12 = True, 2, 1) * $J519))/((N("difference in ELS+ and the cost of it")+(($K518*O$8)-($K518*N$8)) / O$7)),(N("MIN lets it return 0 or 1 after floored")+1)),1)</f>
        <v>0</v>
      </c>
      <c r="P519" s="798">
        <f t="shared" si="515"/>
        <v>0</v>
      </c>
      <c r="Q519" s="798">
        <f t="shared" si="515"/>
        <v>0</v>
      </c>
      <c r="R519" s="798">
        <f t="shared" si="515"/>
        <v>0</v>
      </c>
      <c r="S519" s="798">
        <f t="shared" si="515"/>
        <v>0</v>
      </c>
      <c r="T519" s="798">
        <f t="shared" si="515"/>
        <v>0</v>
      </c>
      <c r="U519" s="798">
        <f t="shared" si="515"/>
        <v>0</v>
      </c>
      <c r="V519" s="798">
        <f t="shared" si="515"/>
        <v>0</v>
      </c>
      <c r="W519" s="798">
        <f t="shared" si="515"/>
        <v>0</v>
      </c>
      <c r="X519" s="798">
        <f t="shared" si="515"/>
        <v>0</v>
      </c>
      <c r="Y519" s="798">
        <f t="shared" si="515"/>
        <v>0</v>
      </c>
      <c r="Z519" s="798">
        <f t="shared" si="515"/>
        <v>0</v>
      </c>
      <c r="AA519" s="798">
        <f t="shared" si="515"/>
        <v>0</v>
      </c>
      <c r="AB519" s="798">
        <f t="shared" si="515"/>
        <v>0</v>
      </c>
      <c r="AC519" s="798">
        <f t="shared" si="515"/>
        <v>0</v>
      </c>
      <c r="AD519" s="798">
        <f t="shared" si="515"/>
        <v>0</v>
      </c>
      <c r="AE519" s="798">
        <f t="shared" si="515"/>
        <v>0</v>
      </c>
      <c r="AF519" s="798">
        <f t="shared" si="515"/>
        <v>0</v>
      </c>
      <c r="AG519" s="798">
        <f t="shared" si="515"/>
        <v>0</v>
      </c>
      <c r="AH519" s="798">
        <f t="shared" si="515"/>
        <v>0</v>
      </c>
      <c r="AI519" s="798">
        <f t="shared" si="515"/>
        <v>0</v>
      </c>
      <c r="AJ519" s="798">
        <f t="shared" si="515"/>
        <v>0</v>
      </c>
      <c r="AK519" s="798">
        <f t="shared" si="515"/>
        <v>0</v>
      </c>
      <c r="AL519" s="798">
        <f t="shared" si="515"/>
        <v>1</v>
      </c>
      <c r="AM519" s="798">
        <f t="shared" si="515"/>
        <v>1</v>
      </c>
      <c r="AN519" s="798">
        <f t="shared" si="515"/>
        <v>1</v>
      </c>
      <c r="AO519" s="798">
        <f t="shared" si="515"/>
        <v>1</v>
      </c>
      <c r="AP519" s="798">
        <f t="shared" si="515"/>
        <v>1</v>
      </c>
      <c r="AQ519" s="798">
        <f t="shared" si="515"/>
        <v>1</v>
      </c>
      <c r="AR519" s="798">
        <f t="shared" si="515"/>
        <v>1</v>
      </c>
      <c r="AS519" s="798">
        <f t="shared" si="515"/>
        <v>1</v>
      </c>
      <c r="AT519" s="798">
        <f t="shared" si="515"/>
        <v>1</v>
      </c>
      <c r="AU519" s="798">
        <f t="shared" si="515"/>
        <v>1</v>
      </c>
      <c r="AV519" s="798">
        <f t="shared" si="515"/>
        <v>1</v>
      </c>
      <c r="AW519" s="798">
        <f t="shared" si="515"/>
        <v>1</v>
      </c>
      <c r="AX519" s="798">
        <f t="shared" si="515"/>
        <v>1</v>
      </c>
      <c r="AY519" s="798">
        <f t="shared" si="515"/>
        <v>1</v>
      </c>
      <c r="AZ519" s="798">
        <f t="shared" si="515"/>
        <v>1</v>
      </c>
      <c r="BA519" s="798">
        <f t="shared" si="515"/>
        <v>1</v>
      </c>
      <c r="BB519" s="798">
        <f t="shared" si="515"/>
        <v>1</v>
      </c>
      <c r="BC519" s="798">
        <f t="shared" si="515"/>
        <v>1</v>
      </c>
      <c r="BD519" s="798">
        <f t="shared" si="515"/>
        <v>1</v>
      </c>
      <c r="BE519" s="798">
        <f t="shared" si="515"/>
        <v>1</v>
      </c>
      <c r="BF519" s="798">
        <f t="shared" si="515"/>
        <v>1</v>
      </c>
      <c r="BG519" s="798">
        <f t="shared" si="515"/>
        <v>1</v>
      </c>
      <c r="BH519" s="798">
        <f t="shared" si="515"/>
        <v>1</v>
      </c>
      <c r="BI519" s="798">
        <f t="shared" si="515"/>
        <v>1</v>
      </c>
      <c r="BJ519" s="798">
        <f t="shared" si="515"/>
        <v>1</v>
      </c>
      <c r="BK519" s="798">
        <f t="shared" si="515"/>
        <v>1</v>
      </c>
      <c r="BL519" s="765"/>
      <c r="BM519" s="817"/>
      <c r="BN519" s="817"/>
    </row>
    <row r="520" hidden="1">
      <c r="A520" s="765"/>
      <c r="B520" s="765"/>
      <c r="C520" s="765"/>
      <c r="D520" s="765"/>
      <c r="E520" s="765"/>
      <c r="F520" s="765"/>
      <c r="G520" s="765"/>
      <c r="H520" s="765"/>
      <c r="I520" s="765">
        <f t="shared" si="17"/>
        <v>509</v>
      </c>
      <c r="J520" s="763">
        <f t="shared" si="5"/>
        <v>1.30928E+15</v>
      </c>
      <c r="K520" s="796">
        <f t="shared" si="7"/>
        <v>0.48829</v>
      </c>
      <c r="L520" s="796">
        <v>5.0E-4</v>
      </c>
      <c r="M520" s="763">
        <v>1.49290706984722E15</v>
      </c>
      <c r="N520" s="797">
        <f t="shared" si="8"/>
        <v>0</v>
      </c>
      <c r="O520" s="798">
        <f t="shared" ref="O520:BK520" si="516">FLOOR(MIN((((N("value of ELS upgrade")+N$8*($K520-$K519))*(N("Check checkbox")+(IF($G$6=TRUE,$G$7,$G$8))/$G$8))/(N("ROI of ELS and multiply by 2 if ELS is 1:1")+IF($G$12 = True, 2, 1) * $J520))/((N("difference in ELS+ and the cost of it")+(($K519*O$8)-($K519*N$8)) / O$7)),(N("MIN lets it return 0 or 1 after floored")+1)),1)</f>
        <v>0</v>
      </c>
      <c r="P520" s="798">
        <f t="shared" si="516"/>
        <v>0</v>
      </c>
      <c r="Q520" s="798">
        <f t="shared" si="516"/>
        <v>0</v>
      </c>
      <c r="R520" s="798">
        <f t="shared" si="516"/>
        <v>0</v>
      </c>
      <c r="S520" s="798">
        <f t="shared" si="516"/>
        <v>0</v>
      </c>
      <c r="T520" s="798">
        <f t="shared" si="516"/>
        <v>0</v>
      </c>
      <c r="U520" s="798">
        <f t="shared" si="516"/>
        <v>0</v>
      </c>
      <c r="V520" s="798">
        <f t="shared" si="516"/>
        <v>0</v>
      </c>
      <c r="W520" s="798">
        <f t="shared" si="516"/>
        <v>0</v>
      </c>
      <c r="X520" s="798">
        <f t="shared" si="516"/>
        <v>0</v>
      </c>
      <c r="Y520" s="798">
        <f t="shared" si="516"/>
        <v>0</v>
      </c>
      <c r="Z520" s="798">
        <f t="shared" si="516"/>
        <v>0</v>
      </c>
      <c r="AA520" s="798">
        <f t="shared" si="516"/>
        <v>0</v>
      </c>
      <c r="AB520" s="798">
        <f t="shared" si="516"/>
        <v>0</v>
      </c>
      <c r="AC520" s="798">
        <f t="shared" si="516"/>
        <v>0</v>
      </c>
      <c r="AD520" s="798">
        <f t="shared" si="516"/>
        <v>0</v>
      </c>
      <c r="AE520" s="798">
        <f t="shared" si="516"/>
        <v>0</v>
      </c>
      <c r="AF520" s="798">
        <f t="shared" si="516"/>
        <v>0</v>
      </c>
      <c r="AG520" s="798">
        <f t="shared" si="516"/>
        <v>0</v>
      </c>
      <c r="AH520" s="798">
        <f t="shared" si="516"/>
        <v>0</v>
      </c>
      <c r="AI520" s="798">
        <f t="shared" si="516"/>
        <v>0</v>
      </c>
      <c r="AJ520" s="798">
        <f t="shared" si="516"/>
        <v>0</v>
      </c>
      <c r="AK520" s="798">
        <f t="shared" si="516"/>
        <v>0</v>
      </c>
      <c r="AL520" s="798">
        <f t="shared" si="516"/>
        <v>1</v>
      </c>
      <c r="AM520" s="798">
        <f t="shared" si="516"/>
        <v>1</v>
      </c>
      <c r="AN520" s="798">
        <f t="shared" si="516"/>
        <v>1</v>
      </c>
      <c r="AO520" s="798">
        <f t="shared" si="516"/>
        <v>1</v>
      </c>
      <c r="AP520" s="798">
        <f t="shared" si="516"/>
        <v>1</v>
      </c>
      <c r="AQ520" s="798">
        <f t="shared" si="516"/>
        <v>1</v>
      </c>
      <c r="AR520" s="798">
        <f t="shared" si="516"/>
        <v>1</v>
      </c>
      <c r="AS520" s="798">
        <f t="shared" si="516"/>
        <v>1</v>
      </c>
      <c r="AT520" s="798">
        <f t="shared" si="516"/>
        <v>1</v>
      </c>
      <c r="AU520" s="798">
        <f t="shared" si="516"/>
        <v>1</v>
      </c>
      <c r="AV520" s="798">
        <f t="shared" si="516"/>
        <v>1</v>
      </c>
      <c r="AW520" s="798">
        <f t="shared" si="516"/>
        <v>1</v>
      </c>
      <c r="AX520" s="798">
        <f t="shared" si="516"/>
        <v>1</v>
      </c>
      <c r="AY520" s="798">
        <f t="shared" si="516"/>
        <v>1</v>
      </c>
      <c r="AZ520" s="798">
        <f t="shared" si="516"/>
        <v>1</v>
      </c>
      <c r="BA520" s="798">
        <f t="shared" si="516"/>
        <v>1</v>
      </c>
      <c r="BB520" s="798">
        <f t="shared" si="516"/>
        <v>1</v>
      </c>
      <c r="BC520" s="798">
        <f t="shared" si="516"/>
        <v>1</v>
      </c>
      <c r="BD520" s="798">
        <f t="shared" si="516"/>
        <v>1</v>
      </c>
      <c r="BE520" s="798">
        <f t="shared" si="516"/>
        <v>1</v>
      </c>
      <c r="BF520" s="798">
        <f t="shared" si="516"/>
        <v>1</v>
      </c>
      <c r="BG520" s="798">
        <f t="shared" si="516"/>
        <v>1</v>
      </c>
      <c r="BH520" s="798">
        <f t="shared" si="516"/>
        <v>1</v>
      </c>
      <c r="BI520" s="798">
        <f t="shared" si="516"/>
        <v>1</v>
      </c>
      <c r="BJ520" s="798">
        <f t="shared" si="516"/>
        <v>1</v>
      </c>
      <c r="BK520" s="798">
        <f t="shared" si="516"/>
        <v>1</v>
      </c>
      <c r="BL520" s="765"/>
      <c r="BM520" s="817"/>
      <c r="BN520" s="817"/>
    </row>
    <row r="521" hidden="1">
      <c r="A521" s="765"/>
      <c r="B521" s="765"/>
      <c r="C521" s="765"/>
      <c r="D521" s="765"/>
      <c r="E521" s="765"/>
      <c r="F521" s="765"/>
      <c r="G521" s="765"/>
      <c r="H521" s="765"/>
      <c r="I521" s="765">
        <f t="shared" si="17"/>
        <v>510</v>
      </c>
      <c r="J521" s="763">
        <f t="shared" si="5"/>
        <v>1.31396E+15</v>
      </c>
      <c r="K521" s="796">
        <f t="shared" si="7"/>
        <v>0.48879</v>
      </c>
      <c r="L521" s="796">
        <v>5.0E-4</v>
      </c>
      <c r="M521" s="763">
        <v>1.4982393523282E15</v>
      </c>
      <c r="N521" s="797">
        <f t="shared" si="8"/>
        <v>0</v>
      </c>
      <c r="O521" s="798">
        <f t="shared" ref="O521:BK521" si="517">FLOOR(MIN((((N("value of ELS upgrade")+N$8*($K521-$K520))*(N("Check checkbox")+(IF($G$6=TRUE,$G$7,$G$8))/$G$8))/(N("ROI of ELS and multiply by 2 if ELS is 1:1")+IF($G$12 = True, 2, 1) * $J521))/((N("difference in ELS+ and the cost of it")+(($K520*O$8)-($K520*N$8)) / O$7)),(N("MIN lets it return 0 or 1 after floored")+1)),1)</f>
        <v>0</v>
      </c>
      <c r="P521" s="798">
        <f t="shared" si="517"/>
        <v>0</v>
      </c>
      <c r="Q521" s="798">
        <f t="shared" si="517"/>
        <v>0</v>
      </c>
      <c r="R521" s="798">
        <f t="shared" si="517"/>
        <v>0</v>
      </c>
      <c r="S521" s="798">
        <f t="shared" si="517"/>
        <v>0</v>
      </c>
      <c r="T521" s="798">
        <f t="shared" si="517"/>
        <v>0</v>
      </c>
      <c r="U521" s="798">
        <f t="shared" si="517"/>
        <v>0</v>
      </c>
      <c r="V521" s="798">
        <f t="shared" si="517"/>
        <v>0</v>
      </c>
      <c r="W521" s="798">
        <f t="shared" si="517"/>
        <v>0</v>
      </c>
      <c r="X521" s="798">
        <f t="shared" si="517"/>
        <v>0</v>
      </c>
      <c r="Y521" s="798">
        <f t="shared" si="517"/>
        <v>0</v>
      </c>
      <c r="Z521" s="798">
        <f t="shared" si="517"/>
        <v>0</v>
      </c>
      <c r="AA521" s="798">
        <f t="shared" si="517"/>
        <v>0</v>
      </c>
      <c r="AB521" s="798">
        <f t="shared" si="517"/>
        <v>0</v>
      </c>
      <c r="AC521" s="798">
        <f t="shared" si="517"/>
        <v>0</v>
      </c>
      <c r="AD521" s="798">
        <f t="shared" si="517"/>
        <v>0</v>
      </c>
      <c r="AE521" s="798">
        <f t="shared" si="517"/>
        <v>0</v>
      </c>
      <c r="AF521" s="798">
        <f t="shared" si="517"/>
        <v>0</v>
      </c>
      <c r="AG521" s="798">
        <f t="shared" si="517"/>
        <v>0</v>
      </c>
      <c r="AH521" s="798">
        <f t="shared" si="517"/>
        <v>0</v>
      </c>
      <c r="AI521" s="798">
        <f t="shared" si="517"/>
        <v>0</v>
      </c>
      <c r="AJ521" s="798">
        <f t="shared" si="517"/>
        <v>0</v>
      </c>
      <c r="AK521" s="798">
        <f t="shared" si="517"/>
        <v>0</v>
      </c>
      <c r="AL521" s="798">
        <f t="shared" si="517"/>
        <v>1</v>
      </c>
      <c r="AM521" s="798">
        <f t="shared" si="517"/>
        <v>1</v>
      </c>
      <c r="AN521" s="798">
        <f t="shared" si="517"/>
        <v>1</v>
      </c>
      <c r="AO521" s="798">
        <f t="shared" si="517"/>
        <v>1</v>
      </c>
      <c r="AP521" s="798">
        <f t="shared" si="517"/>
        <v>1</v>
      </c>
      <c r="AQ521" s="798">
        <f t="shared" si="517"/>
        <v>1</v>
      </c>
      <c r="AR521" s="798">
        <f t="shared" si="517"/>
        <v>1</v>
      </c>
      <c r="AS521" s="798">
        <f t="shared" si="517"/>
        <v>1</v>
      </c>
      <c r="AT521" s="798">
        <f t="shared" si="517"/>
        <v>1</v>
      </c>
      <c r="AU521" s="798">
        <f t="shared" si="517"/>
        <v>1</v>
      </c>
      <c r="AV521" s="798">
        <f t="shared" si="517"/>
        <v>1</v>
      </c>
      <c r="AW521" s="798">
        <f t="shared" si="517"/>
        <v>1</v>
      </c>
      <c r="AX521" s="798">
        <f t="shared" si="517"/>
        <v>1</v>
      </c>
      <c r="AY521" s="798">
        <f t="shared" si="517"/>
        <v>1</v>
      </c>
      <c r="AZ521" s="798">
        <f t="shared" si="517"/>
        <v>1</v>
      </c>
      <c r="BA521" s="798">
        <f t="shared" si="517"/>
        <v>1</v>
      </c>
      <c r="BB521" s="798">
        <f t="shared" si="517"/>
        <v>1</v>
      </c>
      <c r="BC521" s="798">
        <f t="shared" si="517"/>
        <v>1</v>
      </c>
      <c r="BD521" s="798">
        <f t="shared" si="517"/>
        <v>1</v>
      </c>
      <c r="BE521" s="798">
        <f t="shared" si="517"/>
        <v>1</v>
      </c>
      <c r="BF521" s="798">
        <f t="shared" si="517"/>
        <v>1</v>
      </c>
      <c r="BG521" s="798">
        <f t="shared" si="517"/>
        <v>1</v>
      </c>
      <c r="BH521" s="798">
        <f t="shared" si="517"/>
        <v>1</v>
      </c>
      <c r="BI521" s="798">
        <f t="shared" si="517"/>
        <v>1</v>
      </c>
      <c r="BJ521" s="798">
        <f t="shared" si="517"/>
        <v>1</v>
      </c>
      <c r="BK521" s="798">
        <f t="shared" si="517"/>
        <v>1</v>
      </c>
      <c r="BL521" s="765"/>
      <c r="BM521" s="817"/>
      <c r="BN521" s="817"/>
    </row>
    <row r="522" hidden="1">
      <c r="A522" s="765"/>
      <c r="B522" s="765"/>
      <c r="C522" s="765"/>
      <c r="D522" s="765"/>
      <c r="E522" s="765"/>
      <c r="F522" s="765"/>
      <c r="G522" s="765"/>
      <c r="H522" s="765"/>
      <c r="I522" s="765">
        <f t="shared" si="17"/>
        <v>511</v>
      </c>
      <c r="J522" s="763">
        <f t="shared" si="5"/>
        <v>1.31865E+15</v>
      </c>
      <c r="K522" s="796">
        <f t="shared" si="7"/>
        <v>0.48929</v>
      </c>
      <c r="L522" s="796">
        <v>5.0E-4</v>
      </c>
      <c r="M522" s="763">
        <v>1.50358777605056E15</v>
      </c>
      <c r="N522" s="797">
        <f t="shared" si="8"/>
        <v>0</v>
      </c>
      <c r="O522" s="798">
        <f t="shared" ref="O522:BK522" si="518">FLOOR(MIN((((N("value of ELS upgrade")+N$8*($K522-$K521))*(N("Check checkbox")+(IF($G$6=TRUE,$G$7,$G$8))/$G$8))/(N("ROI of ELS and multiply by 2 if ELS is 1:1")+IF($G$12 = True, 2, 1) * $J522))/((N("difference in ELS+ and the cost of it")+(($K521*O$8)-($K521*N$8)) / O$7)),(N("MIN lets it return 0 or 1 after floored")+1)),1)</f>
        <v>0</v>
      </c>
      <c r="P522" s="798">
        <f t="shared" si="518"/>
        <v>0</v>
      </c>
      <c r="Q522" s="798">
        <f t="shared" si="518"/>
        <v>0</v>
      </c>
      <c r="R522" s="798">
        <f t="shared" si="518"/>
        <v>0</v>
      </c>
      <c r="S522" s="798">
        <f t="shared" si="518"/>
        <v>0</v>
      </c>
      <c r="T522" s="798">
        <f t="shared" si="518"/>
        <v>0</v>
      </c>
      <c r="U522" s="798">
        <f t="shared" si="518"/>
        <v>0</v>
      </c>
      <c r="V522" s="798">
        <f t="shared" si="518"/>
        <v>0</v>
      </c>
      <c r="W522" s="798">
        <f t="shared" si="518"/>
        <v>0</v>
      </c>
      <c r="X522" s="798">
        <f t="shared" si="518"/>
        <v>0</v>
      </c>
      <c r="Y522" s="798">
        <f t="shared" si="518"/>
        <v>0</v>
      </c>
      <c r="Z522" s="798">
        <f t="shared" si="518"/>
        <v>0</v>
      </c>
      <c r="AA522" s="798">
        <f t="shared" si="518"/>
        <v>0</v>
      </c>
      <c r="AB522" s="798">
        <f t="shared" si="518"/>
        <v>0</v>
      </c>
      <c r="AC522" s="798">
        <f t="shared" si="518"/>
        <v>0</v>
      </c>
      <c r="AD522" s="798">
        <f t="shared" si="518"/>
        <v>0</v>
      </c>
      <c r="AE522" s="798">
        <f t="shared" si="518"/>
        <v>0</v>
      </c>
      <c r="AF522" s="798">
        <f t="shared" si="518"/>
        <v>0</v>
      </c>
      <c r="AG522" s="798">
        <f t="shared" si="518"/>
        <v>0</v>
      </c>
      <c r="AH522" s="798">
        <f t="shared" si="518"/>
        <v>0</v>
      </c>
      <c r="AI522" s="798">
        <f t="shared" si="518"/>
        <v>0</v>
      </c>
      <c r="AJ522" s="798">
        <f t="shared" si="518"/>
        <v>0</v>
      </c>
      <c r="AK522" s="798">
        <f t="shared" si="518"/>
        <v>0</v>
      </c>
      <c r="AL522" s="798">
        <f t="shared" si="518"/>
        <v>1</v>
      </c>
      <c r="AM522" s="798">
        <f t="shared" si="518"/>
        <v>1</v>
      </c>
      <c r="AN522" s="798">
        <f t="shared" si="518"/>
        <v>1</v>
      </c>
      <c r="AO522" s="798">
        <f t="shared" si="518"/>
        <v>1</v>
      </c>
      <c r="AP522" s="798">
        <f t="shared" si="518"/>
        <v>1</v>
      </c>
      <c r="AQ522" s="798">
        <f t="shared" si="518"/>
        <v>1</v>
      </c>
      <c r="AR522" s="798">
        <f t="shared" si="518"/>
        <v>1</v>
      </c>
      <c r="AS522" s="798">
        <f t="shared" si="518"/>
        <v>1</v>
      </c>
      <c r="AT522" s="798">
        <f t="shared" si="518"/>
        <v>1</v>
      </c>
      <c r="AU522" s="798">
        <f t="shared" si="518"/>
        <v>1</v>
      </c>
      <c r="AV522" s="798">
        <f t="shared" si="518"/>
        <v>1</v>
      </c>
      <c r="AW522" s="798">
        <f t="shared" si="518"/>
        <v>1</v>
      </c>
      <c r="AX522" s="798">
        <f t="shared" si="518"/>
        <v>1</v>
      </c>
      <c r="AY522" s="798">
        <f t="shared" si="518"/>
        <v>1</v>
      </c>
      <c r="AZ522" s="798">
        <f t="shared" si="518"/>
        <v>1</v>
      </c>
      <c r="BA522" s="798">
        <f t="shared" si="518"/>
        <v>1</v>
      </c>
      <c r="BB522" s="798">
        <f t="shared" si="518"/>
        <v>1</v>
      </c>
      <c r="BC522" s="798">
        <f t="shared" si="518"/>
        <v>1</v>
      </c>
      <c r="BD522" s="798">
        <f t="shared" si="518"/>
        <v>1</v>
      </c>
      <c r="BE522" s="798">
        <f t="shared" si="518"/>
        <v>1</v>
      </c>
      <c r="BF522" s="798">
        <f t="shared" si="518"/>
        <v>1</v>
      </c>
      <c r="BG522" s="798">
        <f t="shared" si="518"/>
        <v>1</v>
      </c>
      <c r="BH522" s="798">
        <f t="shared" si="518"/>
        <v>1</v>
      </c>
      <c r="BI522" s="798">
        <f t="shared" si="518"/>
        <v>1</v>
      </c>
      <c r="BJ522" s="798">
        <f t="shared" si="518"/>
        <v>1</v>
      </c>
      <c r="BK522" s="798">
        <f t="shared" si="518"/>
        <v>1</v>
      </c>
      <c r="BL522" s="765"/>
      <c r="BM522" s="817"/>
      <c r="BN522" s="817"/>
    </row>
    <row r="523" hidden="1">
      <c r="A523" s="765"/>
      <c r="B523" s="765"/>
      <c r="C523" s="765"/>
      <c r="D523" s="765"/>
      <c r="E523" s="765"/>
      <c r="F523" s="765"/>
      <c r="G523" s="765"/>
      <c r="H523" s="765"/>
      <c r="I523" s="765">
        <f t="shared" si="17"/>
        <v>512</v>
      </c>
      <c r="J523" s="763">
        <f t="shared" si="5"/>
        <v>1.32335E+15</v>
      </c>
      <c r="K523" s="796">
        <f t="shared" si="7"/>
        <v>0.48979</v>
      </c>
      <c r="L523" s="796">
        <v>5.0E-4</v>
      </c>
      <c r="M523" s="763">
        <v>1.50895251646256E15</v>
      </c>
      <c r="N523" s="797">
        <f t="shared" si="8"/>
        <v>0</v>
      </c>
      <c r="O523" s="798">
        <f t="shared" ref="O523:BK523" si="519">FLOOR(MIN((((N("value of ELS upgrade")+N$8*($K523-$K522))*(N("Check checkbox")+(IF($G$6=TRUE,$G$7,$G$8))/$G$8))/(N("ROI of ELS and multiply by 2 if ELS is 1:1")+IF($G$12 = True, 2, 1) * $J523))/((N("difference in ELS+ and the cost of it")+(($K522*O$8)-($K522*N$8)) / O$7)),(N("MIN lets it return 0 or 1 after floored")+1)),1)</f>
        <v>0</v>
      </c>
      <c r="P523" s="798">
        <f t="shared" si="519"/>
        <v>0</v>
      </c>
      <c r="Q523" s="798">
        <f t="shared" si="519"/>
        <v>0</v>
      </c>
      <c r="R523" s="798">
        <f t="shared" si="519"/>
        <v>0</v>
      </c>
      <c r="S523" s="798">
        <f t="shared" si="519"/>
        <v>0</v>
      </c>
      <c r="T523" s="798">
        <f t="shared" si="519"/>
        <v>0</v>
      </c>
      <c r="U523" s="798">
        <f t="shared" si="519"/>
        <v>0</v>
      </c>
      <c r="V523" s="798">
        <f t="shared" si="519"/>
        <v>0</v>
      </c>
      <c r="W523" s="798">
        <f t="shared" si="519"/>
        <v>0</v>
      </c>
      <c r="X523" s="798">
        <f t="shared" si="519"/>
        <v>0</v>
      </c>
      <c r="Y523" s="798">
        <f t="shared" si="519"/>
        <v>0</v>
      </c>
      <c r="Z523" s="798">
        <f t="shared" si="519"/>
        <v>0</v>
      </c>
      <c r="AA523" s="798">
        <f t="shared" si="519"/>
        <v>0</v>
      </c>
      <c r="AB523" s="798">
        <f t="shared" si="519"/>
        <v>0</v>
      </c>
      <c r="AC523" s="798">
        <f t="shared" si="519"/>
        <v>0</v>
      </c>
      <c r="AD523" s="798">
        <f t="shared" si="519"/>
        <v>0</v>
      </c>
      <c r="AE523" s="798">
        <f t="shared" si="519"/>
        <v>0</v>
      </c>
      <c r="AF523" s="798">
        <f t="shared" si="519"/>
        <v>0</v>
      </c>
      <c r="AG523" s="798">
        <f t="shared" si="519"/>
        <v>0</v>
      </c>
      <c r="AH523" s="798">
        <f t="shared" si="519"/>
        <v>0</v>
      </c>
      <c r="AI523" s="798">
        <f t="shared" si="519"/>
        <v>0</v>
      </c>
      <c r="AJ523" s="798">
        <f t="shared" si="519"/>
        <v>0</v>
      </c>
      <c r="AK523" s="798">
        <f t="shared" si="519"/>
        <v>0</v>
      </c>
      <c r="AL523" s="798">
        <f t="shared" si="519"/>
        <v>1</v>
      </c>
      <c r="AM523" s="798">
        <f t="shared" si="519"/>
        <v>1</v>
      </c>
      <c r="AN523" s="798">
        <f t="shared" si="519"/>
        <v>1</v>
      </c>
      <c r="AO523" s="798">
        <f t="shared" si="519"/>
        <v>1</v>
      </c>
      <c r="AP523" s="798">
        <f t="shared" si="519"/>
        <v>1</v>
      </c>
      <c r="AQ523" s="798">
        <f t="shared" si="519"/>
        <v>1</v>
      </c>
      <c r="AR523" s="798">
        <f t="shared" si="519"/>
        <v>1</v>
      </c>
      <c r="AS523" s="798">
        <f t="shared" si="519"/>
        <v>1</v>
      </c>
      <c r="AT523" s="798">
        <f t="shared" si="519"/>
        <v>1</v>
      </c>
      <c r="AU523" s="798">
        <f t="shared" si="519"/>
        <v>1</v>
      </c>
      <c r="AV523" s="798">
        <f t="shared" si="519"/>
        <v>1</v>
      </c>
      <c r="AW523" s="798">
        <f t="shared" si="519"/>
        <v>1</v>
      </c>
      <c r="AX523" s="798">
        <f t="shared" si="519"/>
        <v>1</v>
      </c>
      <c r="AY523" s="798">
        <f t="shared" si="519"/>
        <v>1</v>
      </c>
      <c r="AZ523" s="798">
        <f t="shared" si="519"/>
        <v>1</v>
      </c>
      <c r="BA523" s="798">
        <f t="shared" si="519"/>
        <v>1</v>
      </c>
      <c r="BB523" s="798">
        <f t="shared" si="519"/>
        <v>1</v>
      </c>
      <c r="BC523" s="798">
        <f t="shared" si="519"/>
        <v>1</v>
      </c>
      <c r="BD523" s="798">
        <f t="shared" si="519"/>
        <v>1</v>
      </c>
      <c r="BE523" s="798">
        <f t="shared" si="519"/>
        <v>1</v>
      </c>
      <c r="BF523" s="798">
        <f t="shared" si="519"/>
        <v>1</v>
      </c>
      <c r="BG523" s="798">
        <f t="shared" si="519"/>
        <v>1</v>
      </c>
      <c r="BH523" s="798">
        <f t="shared" si="519"/>
        <v>1</v>
      </c>
      <c r="BI523" s="798">
        <f t="shared" si="519"/>
        <v>1</v>
      </c>
      <c r="BJ523" s="798">
        <f t="shared" si="519"/>
        <v>1</v>
      </c>
      <c r="BK523" s="798">
        <f t="shared" si="519"/>
        <v>1</v>
      </c>
      <c r="BL523" s="765"/>
      <c r="BM523" s="817"/>
      <c r="BN523" s="817"/>
    </row>
    <row r="524" hidden="1">
      <c r="A524" s="765"/>
      <c r="B524" s="765"/>
      <c r="C524" s="765"/>
      <c r="D524" s="765"/>
      <c r="E524" s="765"/>
      <c r="F524" s="765"/>
      <c r="G524" s="765"/>
      <c r="H524" s="765"/>
      <c r="I524" s="765">
        <f t="shared" si="17"/>
        <v>513</v>
      </c>
      <c r="J524" s="763">
        <f t="shared" si="5"/>
        <v>1.32807E+15</v>
      </c>
      <c r="K524" s="796">
        <f t="shared" si="7"/>
        <v>0.49029</v>
      </c>
      <c r="L524" s="796">
        <v>5.0E-4</v>
      </c>
      <c r="M524" s="763">
        <v>1.51433357356422E15</v>
      </c>
      <c r="N524" s="797">
        <f t="shared" si="8"/>
        <v>0</v>
      </c>
      <c r="O524" s="798">
        <f t="shared" ref="O524:BK524" si="520">FLOOR(MIN((((N("value of ELS upgrade")+N$8*($K524-$K523))*(N("Check checkbox")+(IF($G$6=TRUE,$G$7,$G$8))/$G$8))/(N("ROI of ELS and multiply by 2 if ELS is 1:1")+IF($G$12 = True, 2, 1) * $J524))/((N("difference in ELS+ and the cost of it")+(($K523*O$8)-($K523*N$8)) / O$7)),(N("MIN lets it return 0 or 1 after floored")+1)),1)</f>
        <v>0</v>
      </c>
      <c r="P524" s="798">
        <f t="shared" si="520"/>
        <v>0</v>
      </c>
      <c r="Q524" s="798">
        <f t="shared" si="520"/>
        <v>0</v>
      </c>
      <c r="R524" s="798">
        <f t="shared" si="520"/>
        <v>0</v>
      </c>
      <c r="S524" s="798">
        <f t="shared" si="520"/>
        <v>0</v>
      </c>
      <c r="T524" s="798">
        <f t="shared" si="520"/>
        <v>0</v>
      </c>
      <c r="U524" s="798">
        <f t="shared" si="520"/>
        <v>0</v>
      </c>
      <c r="V524" s="798">
        <f t="shared" si="520"/>
        <v>0</v>
      </c>
      <c r="W524" s="798">
        <f t="shared" si="520"/>
        <v>0</v>
      </c>
      <c r="X524" s="798">
        <f t="shared" si="520"/>
        <v>0</v>
      </c>
      <c r="Y524" s="798">
        <f t="shared" si="520"/>
        <v>0</v>
      </c>
      <c r="Z524" s="798">
        <f t="shared" si="520"/>
        <v>0</v>
      </c>
      <c r="AA524" s="798">
        <f t="shared" si="520"/>
        <v>0</v>
      </c>
      <c r="AB524" s="798">
        <f t="shared" si="520"/>
        <v>0</v>
      </c>
      <c r="AC524" s="798">
        <f t="shared" si="520"/>
        <v>0</v>
      </c>
      <c r="AD524" s="798">
        <f t="shared" si="520"/>
        <v>0</v>
      </c>
      <c r="AE524" s="798">
        <f t="shared" si="520"/>
        <v>0</v>
      </c>
      <c r="AF524" s="798">
        <f t="shared" si="520"/>
        <v>0</v>
      </c>
      <c r="AG524" s="798">
        <f t="shared" si="520"/>
        <v>0</v>
      </c>
      <c r="AH524" s="798">
        <f t="shared" si="520"/>
        <v>0</v>
      </c>
      <c r="AI524" s="798">
        <f t="shared" si="520"/>
        <v>0</v>
      </c>
      <c r="AJ524" s="798">
        <f t="shared" si="520"/>
        <v>0</v>
      </c>
      <c r="AK524" s="798">
        <f t="shared" si="520"/>
        <v>0</v>
      </c>
      <c r="AL524" s="798">
        <f t="shared" si="520"/>
        <v>1</v>
      </c>
      <c r="AM524" s="798">
        <f t="shared" si="520"/>
        <v>1</v>
      </c>
      <c r="AN524" s="798">
        <f t="shared" si="520"/>
        <v>1</v>
      </c>
      <c r="AO524" s="798">
        <f t="shared" si="520"/>
        <v>1</v>
      </c>
      <c r="AP524" s="798">
        <f t="shared" si="520"/>
        <v>1</v>
      </c>
      <c r="AQ524" s="798">
        <f t="shared" si="520"/>
        <v>1</v>
      </c>
      <c r="AR524" s="798">
        <f t="shared" si="520"/>
        <v>1</v>
      </c>
      <c r="AS524" s="798">
        <f t="shared" si="520"/>
        <v>1</v>
      </c>
      <c r="AT524" s="798">
        <f t="shared" si="520"/>
        <v>1</v>
      </c>
      <c r="AU524" s="798">
        <f t="shared" si="520"/>
        <v>1</v>
      </c>
      <c r="AV524" s="798">
        <f t="shared" si="520"/>
        <v>1</v>
      </c>
      <c r="AW524" s="798">
        <f t="shared" si="520"/>
        <v>1</v>
      </c>
      <c r="AX524" s="798">
        <f t="shared" si="520"/>
        <v>1</v>
      </c>
      <c r="AY524" s="798">
        <f t="shared" si="520"/>
        <v>1</v>
      </c>
      <c r="AZ524" s="798">
        <f t="shared" si="520"/>
        <v>1</v>
      </c>
      <c r="BA524" s="798">
        <f t="shared" si="520"/>
        <v>1</v>
      </c>
      <c r="BB524" s="798">
        <f t="shared" si="520"/>
        <v>1</v>
      </c>
      <c r="BC524" s="798">
        <f t="shared" si="520"/>
        <v>1</v>
      </c>
      <c r="BD524" s="798">
        <f t="shared" si="520"/>
        <v>1</v>
      </c>
      <c r="BE524" s="798">
        <f t="shared" si="520"/>
        <v>1</v>
      </c>
      <c r="BF524" s="798">
        <f t="shared" si="520"/>
        <v>1</v>
      </c>
      <c r="BG524" s="798">
        <f t="shared" si="520"/>
        <v>1</v>
      </c>
      <c r="BH524" s="798">
        <f t="shared" si="520"/>
        <v>1</v>
      </c>
      <c r="BI524" s="798">
        <f t="shared" si="520"/>
        <v>1</v>
      </c>
      <c r="BJ524" s="798">
        <f t="shared" si="520"/>
        <v>1</v>
      </c>
      <c r="BK524" s="798">
        <f t="shared" si="520"/>
        <v>1</v>
      </c>
      <c r="BL524" s="765"/>
      <c r="BM524" s="817"/>
      <c r="BN524" s="817"/>
    </row>
    <row r="525" hidden="1">
      <c r="A525" s="765"/>
      <c r="B525" s="765"/>
      <c r="C525" s="765"/>
      <c r="D525" s="765"/>
      <c r="E525" s="765"/>
      <c r="F525" s="765"/>
      <c r="G525" s="765"/>
      <c r="H525" s="765"/>
      <c r="I525" s="765">
        <f t="shared" si="17"/>
        <v>514</v>
      </c>
      <c r="J525" s="763">
        <f t="shared" si="5"/>
        <v>1.3328E+15</v>
      </c>
      <c r="K525" s="796">
        <f t="shared" si="7"/>
        <v>0.49079</v>
      </c>
      <c r="L525" s="796">
        <v>5.0E-4</v>
      </c>
      <c r="M525" s="763">
        <v>1.51973094735552E15</v>
      </c>
      <c r="N525" s="797">
        <f t="shared" si="8"/>
        <v>0</v>
      </c>
      <c r="O525" s="798">
        <f t="shared" ref="O525:BK525" si="521">FLOOR(MIN((((N("value of ELS upgrade")+N$8*($K525-$K524))*(N("Check checkbox")+(IF($G$6=TRUE,$G$7,$G$8))/$G$8))/(N("ROI of ELS and multiply by 2 if ELS is 1:1")+IF($G$12 = True, 2, 1) * $J525))/((N("difference in ELS+ and the cost of it")+(($K524*O$8)-($K524*N$8)) / O$7)),(N("MIN lets it return 0 or 1 after floored")+1)),1)</f>
        <v>0</v>
      </c>
      <c r="P525" s="798">
        <f t="shared" si="521"/>
        <v>0</v>
      </c>
      <c r="Q525" s="798">
        <f t="shared" si="521"/>
        <v>0</v>
      </c>
      <c r="R525" s="798">
        <f t="shared" si="521"/>
        <v>0</v>
      </c>
      <c r="S525" s="798">
        <f t="shared" si="521"/>
        <v>0</v>
      </c>
      <c r="T525" s="798">
        <f t="shared" si="521"/>
        <v>0</v>
      </c>
      <c r="U525" s="798">
        <f t="shared" si="521"/>
        <v>0</v>
      </c>
      <c r="V525" s="798">
        <f t="shared" si="521"/>
        <v>0</v>
      </c>
      <c r="W525" s="798">
        <f t="shared" si="521"/>
        <v>0</v>
      </c>
      <c r="X525" s="798">
        <f t="shared" si="521"/>
        <v>0</v>
      </c>
      <c r="Y525" s="798">
        <f t="shared" si="521"/>
        <v>0</v>
      </c>
      <c r="Z525" s="798">
        <f t="shared" si="521"/>
        <v>0</v>
      </c>
      <c r="AA525" s="798">
        <f t="shared" si="521"/>
        <v>0</v>
      </c>
      <c r="AB525" s="798">
        <f t="shared" si="521"/>
        <v>0</v>
      </c>
      <c r="AC525" s="798">
        <f t="shared" si="521"/>
        <v>0</v>
      </c>
      <c r="AD525" s="798">
        <f t="shared" si="521"/>
        <v>0</v>
      </c>
      <c r="AE525" s="798">
        <f t="shared" si="521"/>
        <v>0</v>
      </c>
      <c r="AF525" s="798">
        <f t="shared" si="521"/>
        <v>0</v>
      </c>
      <c r="AG525" s="798">
        <f t="shared" si="521"/>
        <v>0</v>
      </c>
      <c r="AH525" s="798">
        <f t="shared" si="521"/>
        <v>0</v>
      </c>
      <c r="AI525" s="798">
        <f t="shared" si="521"/>
        <v>0</v>
      </c>
      <c r="AJ525" s="798">
        <f t="shared" si="521"/>
        <v>0</v>
      </c>
      <c r="AK525" s="798">
        <f t="shared" si="521"/>
        <v>0</v>
      </c>
      <c r="AL525" s="798">
        <f t="shared" si="521"/>
        <v>1</v>
      </c>
      <c r="AM525" s="798">
        <f t="shared" si="521"/>
        <v>1</v>
      </c>
      <c r="AN525" s="798">
        <f t="shared" si="521"/>
        <v>1</v>
      </c>
      <c r="AO525" s="798">
        <f t="shared" si="521"/>
        <v>1</v>
      </c>
      <c r="AP525" s="798">
        <f t="shared" si="521"/>
        <v>1</v>
      </c>
      <c r="AQ525" s="798">
        <f t="shared" si="521"/>
        <v>1</v>
      </c>
      <c r="AR525" s="798">
        <f t="shared" si="521"/>
        <v>1</v>
      </c>
      <c r="AS525" s="798">
        <f t="shared" si="521"/>
        <v>1</v>
      </c>
      <c r="AT525" s="798">
        <f t="shared" si="521"/>
        <v>1</v>
      </c>
      <c r="AU525" s="798">
        <f t="shared" si="521"/>
        <v>1</v>
      </c>
      <c r="AV525" s="798">
        <f t="shared" si="521"/>
        <v>1</v>
      </c>
      <c r="AW525" s="798">
        <f t="shared" si="521"/>
        <v>1</v>
      </c>
      <c r="AX525" s="798">
        <f t="shared" si="521"/>
        <v>1</v>
      </c>
      <c r="AY525" s="798">
        <f t="shared" si="521"/>
        <v>1</v>
      </c>
      <c r="AZ525" s="798">
        <f t="shared" si="521"/>
        <v>1</v>
      </c>
      <c r="BA525" s="798">
        <f t="shared" si="521"/>
        <v>1</v>
      </c>
      <c r="BB525" s="798">
        <f t="shared" si="521"/>
        <v>1</v>
      </c>
      <c r="BC525" s="798">
        <f t="shared" si="521"/>
        <v>1</v>
      </c>
      <c r="BD525" s="798">
        <f t="shared" si="521"/>
        <v>1</v>
      </c>
      <c r="BE525" s="798">
        <f t="shared" si="521"/>
        <v>1</v>
      </c>
      <c r="BF525" s="798">
        <f t="shared" si="521"/>
        <v>1</v>
      </c>
      <c r="BG525" s="798">
        <f t="shared" si="521"/>
        <v>1</v>
      </c>
      <c r="BH525" s="798">
        <f t="shared" si="521"/>
        <v>1</v>
      </c>
      <c r="BI525" s="798">
        <f t="shared" si="521"/>
        <v>1</v>
      </c>
      <c r="BJ525" s="798">
        <f t="shared" si="521"/>
        <v>1</v>
      </c>
      <c r="BK525" s="798">
        <f t="shared" si="521"/>
        <v>1</v>
      </c>
      <c r="BL525" s="765"/>
      <c r="BM525" s="817"/>
      <c r="BN525" s="817"/>
    </row>
    <row r="526" hidden="1">
      <c r="A526" s="765"/>
      <c r="B526" s="765"/>
      <c r="C526" s="765"/>
      <c r="D526" s="765"/>
      <c r="E526" s="765"/>
      <c r="F526" s="765"/>
      <c r="G526" s="765"/>
      <c r="H526" s="765"/>
      <c r="I526" s="765">
        <f t="shared" si="17"/>
        <v>515</v>
      </c>
      <c r="J526" s="763">
        <f t="shared" si="5"/>
        <v>1.33755E+15</v>
      </c>
      <c r="K526" s="796">
        <f t="shared" si="7"/>
        <v>0.49129</v>
      </c>
      <c r="L526" s="796">
        <v>5.0E-4</v>
      </c>
      <c r="M526" s="763">
        <v>1.52514469631923E15</v>
      </c>
      <c r="N526" s="797">
        <f t="shared" si="8"/>
        <v>0</v>
      </c>
      <c r="O526" s="798">
        <f t="shared" ref="O526:BK526" si="522">FLOOR(MIN((((N("value of ELS upgrade")+N$8*($K526-$K525))*(N("Check checkbox")+(IF($G$6=TRUE,$G$7,$G$8))/$G$8))/(N("ROI of ELS and multiply by 2 if ELS is 1:1")+IF($G$12 = True, 2, 1) * $J526))/((N("difference in ELS+ and the cost of it")+(($K525*O$8)-($K525*N$8)) / O$7)),(N("MIN lets it return 0 or 1 after floored")+1)),1)</f>
        <v>0</v>
      </c>
      <c r="P526" s="798">
        <f t="shared" si="522"/>
        <v>0</v>
      </c>
      <c r="Q526" s="798">
        <f t="shared" si="522"/>
        <v>0</v>
      </c>
      <c r="R526" s="798">
        <f t="shared" si="522"/>
        <v>0</v>
      </c>
      <c r="S526" s="798">
        <f t="shared" si="522"/>
        <v>0</v>
      </c>
      <c r="T526" s="798">
        <f t="shared" si="522"/>
        <v>0</v>
      </c>
      <c r="U526" s="798">
        <f t="shared" si="522"/>
        <v>0</v>
      </c>
      <c r="V526" s="798">
        <f t="shared" si="522"/>
        <v>0</v>
      </c>
      <c r="W526" s="798">
        <f t="shared" si="522"/>
        <v>0</v>
      </c>
      <c r="X526" s="798">
        <f t="shared" si="522"/>
        <v>0</v>
      </c>
      <c r="Y526" s="798">
        <f t="shared" si="522"/>
        <v>0</v>
      </c>
      <c r="Z526" s="798">
        <f t="shared" si="522"/>
        <v>0</v>
      </c>
      <c r="AA526" s="798">
        <f t="shared" si="522"/>
        <v>0</v>
      </c>
      <c r="AB526" s="798">
        <f t="shared" si="522"/>
        <v>0</v>
      </c>
      <c r="AC526" s="798">
        <f t="shared" si="522"/>
        <v>0</v>
      </c>
      <c r="AD526" s="798">
        <f t="shared" si="522"/>
        <v>0</v>
      </c>
      <c r="AE526" s="798">
        <f t="shared" si="522"/>
        <v>0</v>
      </c>
      <c r="AF526" s="798">
        <f t="shared" si="522"/>
        <v>0</v>
      </c>
      <c r="AG526" s="798">
        <f t="shared" si="522"/>
        <v>0</v>
      </c>
      <c r="AH526" s="798">
        <f t="shared" si="522"/>
        <v>0</v>
      </c>
      <c r="AI526" s="798">
        <f t="shared" si="522"/>
        <v>0</v>
      </c>
      <c r="AJ526" s="798">
        <f t="shared" si="522"/>
        <v>0</v>
      </c>
      <c r="AK526" s="798">
        <f t="shared" si="522"/>
        <v>0</v>
      </c>
      <c r="AL526" s="798">
        <f t="shared" si="522"/>
        <v>1</v>
      </c>
      <c r="AM526" s="798">
        <f t="shared" si="522"/>
        <v>1</v>
      </c>
      <c r="AN526" s="798">
        <f t="shared" si="522"/>
        <v>1</v>
      </c>
      <c r="AO526" s="798">
        <f t="shared" si="522"/>
        <v>1</v>
      </c>
      <c r="AP526" s="798">
        <f t="shared" si="522"/>
        <v>1</v>
      </c>
      <c r="AQ526" s="798">
        <f t="shared" si="522"/>
        <v>1</v>
      </c>
      <c r="AR526" s="798">
        <f t="shared" si="522"/>
        <v>1</v>
      </c>
      <c r="AS526" s="798">
        <f t="shared" si="522"/>
        <v>1</v>
      </c>
      <c r="AT526" s="798">
        <f t="shared" si="522"/>
        <v>1</v>
      </c>
      <c r="AU526" s="798">
        <f t="shared" si="522"/>
        <v>1</v>
      </c>
      <c r="AV526" s="798">
        <f t="shared" si="522"/>
        <v>1</v>
      </c>
      <c r="AW526" s="798">
        <f t="shared" si="522"/>
        <v>1</v>
      </c>
      <c r="AX526" s="798">
        <f t="shared" si="522"/>
        <v>1</v>
      </c>
      <c r="AY526" s="798">
        <f t="shared" si="522"/>
        <v>1</v>
      </c>
      <c r="AZ526" s="798">
        <f t="shared" si="522"/>
        <v>1</v>
      </c>
      <c r="BA526" s="798">
        <f t="shared" si="522"/>
        <v>1</v>
      </c>
      <c r="BB526" s="798">
        <f t="shared" si="522"/>
        <v>1</v>
      </c>
      <c r="BC526" s="798">
        <f t="shared" si="522"/>
        <v>1</v>
      </c>
      <c r="BD526" s="798">
        <f t="shared" si="522"/>
        <v>1</v>
      </c>
      <c r="BE526" s="798">
        <f t="shared" si="522"/>
        <v>1</v>
      </c>
      <c r="BF526" s="798">
        <f t="shared" si="522"/>
        <v>1</v>
      </c>
      <c r="BG526" s="798">
        <f t="shared" si="522"/>
        <v>1</v>
      </c>
      <c r="BH526" s="798">
        <f t="shared" si="522"/>
        <v>1</v>
      </c>
      <c r="BI526" s="798">
        <f t="shared" si="522"/>
        <v>1</v>
      </c>
      <c r="BJ526" s="798">
        <f t="shared" si="522"/>
        <v>1</v>
      </c>
      <c r="BK526" s="798">
        <f t="shared" si="522"/>
        <v>1</v>
      </c>
      <c r="BL526" s="765"/>
      <c r="BM526" s="817"/>
      <c r="BN526" s="817"/>
    </row>
    <row r="527" hidden="1">
      <c r="A527" s="765"/>
      <c r="B527" s="765"/>
      <c r="C527" s="765"/>
      <c r="D527" s="765"/>
      <c r="E527" s="765"/>
      <c r="F527" s="765"/>
      <c r="G527" s="765"/>
      <c r="H527" s="765"/>
      <c r="I527" s="765">
        <f t="shared" si="17"/>
        <v>516</v>
      </c>
      <c r="J527" s="763">
        <f t="shared" si="5"/>
        <v>1.34231E+15</v>
      </c>
      <c r="K527" s="796">
        <f t="shared" si="7"/>
        <v>0.49179</v>
      </c>
      <c r="L527" s="796">
        <v>5.0E-4</v>
      </c>
      <c r="M527" s="763">
        <v>1.53057493742087E15</v>
      </c>
      <c r="N527" s="797">
        <f t="shared" si="8"/>
        <v>0</v>
      </c>
      <c r="O527" s="798">
        <f t="shared" ref="O527:BK527" si="523">FLOOR(MIN((((N("value of ELS upgrade")+N$8*($K527-$K526))*(N("Check checkbox")+(IF($G$6=TRUE,$G$7,$G$8))/$G$8))/(N("ROI of ELS and multiply by 2 if ELS is 1:1")+IF($G$12 = True, 2, 1) * $J527))/((N("difference in ELS+ and the cost of it")+(($K526*O$8)-($K526*N$8)) / O$7)),(N("MIN lets it return 0 or 1 after floored")+1)),1)</f>
        <v>0</v>
      </c>
      <c r="P527" s="798">
        <f t="shared" si="523"/>
        <v>0</v>
      </c>
      <c r="Q527" s="798">
        <f t="shared" si="523"/>
        <v>0</v>
      </c>
      <c r="R527" s="798">
        <f t="shared" si="523"/>
        <v>0</v>
      </c>
      <c r="S527" s="798">
        <f t="shared" si="523"/>
        <v>0</v>
      </c>
      <c r="T527" s="798">
        <f t="shared" si="523"/>
        <v>0</v>
      </c>
      <c r="U527" s="798">
        <f t="shared" si="523"/>
        <v>0</v>
      </c>
      <c r="V527" s="798">
        <f t="shared" si="523"/>
        <v>0</v>
      </c>
      <c r="W527" s="798">
        <f t="shared" si="523"/>
        <v>0</v>
      </c>
      <c r="X527" s="798">
        <f t="shared" si="523"/>
        <v>0</v>
      </c>
      <c r="Y527" s="798">
        <f t="shared" si="523"/>
        <v>0</v>
      </c>
      <c r="Z527" s="798">
        <f t="shared" si="523"/>
        <v>0</v>
      </c>
      <c r="AA527" s="798">
        <f t="shared" si="523"/>
        <v>0</v>
      </c>
      <c r="AB527" s="798">
        <f t="shared" si="523"/>
        <v>0</v>
      </c>
      <c r="AC527" s="798">
        <f t="shared" si="523"/>
        <v>0</v>
      </c>
      <c r="AD527" s="798">
        <f t="shared" si="523"/>
        <v>0</v>
      </c>
      <c r="AE527" s="798">
        <f t="shared" si="523"/>
        <v>0</v>
      </c>
      <c r="AF527" s="798">
        <f t="shared" si="523"/>
        <v>0</v>
      </c>
      <c r="AG527" s="798">
        <f t="shared" si="523"/>
        <v>0</v>
      </c>
      <c r="AH527" s="798">
        <f t="shared" si="523"/>
        <v>0</v>
      </c>
      <c r="AI527" s="798">
        <f t="shared" si="523"/>
        <v>0</v>
      </c>
      <c r="AJ527" s="798">
        <f t="shared" si="523"/>
        <v>0</v>
      </c>
      <c r="AK527" s="798">
        <f t="shared" si="523"/>
        <v>0</v>
      </c>
      <c r="AL527" s="798">
        <f t="shared" si="523"/>
        <v>1</v>
      </c>
      <c r="AM527" s="798">
        <f t="shared" si="523"/>
        <v>1</v>
      </c>
      <c r="AN527" s="798">
        <f t="shared" si="523"/>
        <v>1</v>
      </c>
      <c r="AO527" s="798">
        <f t="shared" si="523"/>
        <v>1</v>
      </c>
      <c r="AP527" s="798">
        <f t="shared" si="523"/>
        <v>1</v>
      </c>
      <c r="AQ527" s="798">
        <f t="shared" si="523"/>
        <v>1</v>
      </c>
      <c r="AR527" s="798">
        <f t="shared" si="523"/>
        <v>1</v>
      </c>
      <c r="AS527" s="798">
        <f t="shared" si="523"/>
        <v>1</v>
      </c>
      <c r="AT527" s="798">
        <f t="shared" si="523"/>
        <v>1</v>
      </c>
      <c r="AU527" s="798">
        <f t="shared" si="523"/>
        <v>1</v>
      </c>
      <c r="AV527" s="798">
        <f t="shared" si="523"/>
        <v>1</v>
      </c>
      <c r="AW527" s="798">
        <f t="shared" si="523"/>
        <v>1</v>
      </c>
      <c r="AX527" s="798">
        <f t="shared" si="523"/>
        <v>1</v>
      </c>
      <c r="AY527" s="798">
        <f t="shared" si="523"/>
        <v>1</v>
      </c>
      <c r="AZ527" s="798">
        <f t="shared" si="523"/>
        <v>1</v>
      </c>
      <c r="BA527" s="798">
        <f t="shared" si="523"/>
        <v>1</v>
      </c>
      <c r="BB527" s="798">
        <f t="shared" si="523"/>
        <v>1</v>
      </c>
      <c r="BC527" s="798">
        <f t="shared" si="523"/>
        <v>1</v>
      </c>
      <c r="BD527" s="798">
        <f t="shared" si="523"/>
        <v>1</v>
      </c>
      <c r="BE527" s="798">
        <f t="shared" si="523"/>
        <v>1</v>
      </c>
      <c r="BF527" s="798">
        <f t="shared" si="523"/>
        <v>1</v>
      </c>
      <c r="BG527" s="798">
        <f t="shared" si="523"/>
        <v>1</v>
      </c>
      <c r="BH527" s="798">
        <f t="shared" si="523"/>
        <v>1</v>
      </c>
      <c r="BI527" s="798">
        <f t="shared" si="523"/>
        <v>1</v>
      </c>
      <c r="BJ527" s="798">
        <f t="shared" si="523"/>
        <v>1</v>
      </c>
      <c r="BK527" s="798">
        <f t="shared" si="523"/>
        <v>1</v>
      </c>
      <c r="BL527" s="765"/>
      <c r="BM527" s="817"/>
      <c r="BN527" s="817"/>
    </row>
    <row r="528" hidden="1">
      <c r="A528" s="765"/>
      <c r="B528" s="765"/>
      <c r="C528" s="765"/>
      <c r="D528" s="765"/>
      <c r="E528" s="765"/>
      <c r="F528" s="765"/>
      <c r="G528" s="765"/>
      <c r="H528" s="765"/>
      <c r="I528" s="765">
        <f t="shared" si="17"/>
        <v>517</v>
      </c>
      <c r="J528" s="763">
        <f t="shared" si="5"/>
        <v>1.34709E+15</v>
      </c>
      <c r="K528" s="796">
        <f t="shared" si="7"/>
        <v>0.49229</v>
      </c>
      <c r="L528" s="796">
        <v>5.0E-4</v>
      </c>
      <c r="M528" s="763">
        <v>1.53602161217768E15</v>
      </c>
      <c r="N528" s="797">
        <f t="shared" si="8"/>
        <v>0</v>
      </c>
      <c r="O528" s="798">
        <f t="shared" ref="O528:BK528" si="524">FLOOR(MIN((((N("value of ELS upgrade")+N$8*($K528-$K527))*(N("Check checkbox")+(IF($G$6=TRUE,$G$7,$G$8))/$G$8))/(N("ROI of ELS and multiply by 2 if ELS is 1:1")+IF($G$12 = True, 2, 1) * $J528))/((N("difference in ELS+ and the cost of it")+(($K527*O$8)-($K527*N$8)) / O$7)),(N("MIN lets it return 0 or 1 after floored")+1)),1)</f>
        <v>0</v>
      </c>
      <c r="P528" s="798">
        <f t="shared" si="524"/>
        <v>0</v>
      </c>
      <c r="Q528" s="798">
        <f t="shared" si="524"/>
        <v>0</v>
      </c>
      <c r="R528" s="798">
        <f t="shared" si="524"/>
        <v>0</v>
      </c>
      <c r="S528" s="798">
        <f t="shared" si="524"/>
        <v>0</v>
      </c>
      <c r="T528" s="798">
        <f t="shared" si="524"/>
        <v>0</v>
      </c>
      <c r="U528" s="798">
        <f t="shared" si="524"/>
        <v>0</v>
      </c>
      <c r="V528" s="798">
        <f t="shared" si="524"/>
        <v>0</v>
      </c>
      <c r="W528" s="798">
        <f t="shared" si="524"/>
        <v>0</v>
      </c>
      <c r="X528" s="798">
        <f t="shared" si="524"/>
        <v>0</v>
      </c>
      <c r="Y528" s="798">
        <f t="shared" si="524"/>
        <v>0</v>
      </c>
      <c r="Z528" s="798">
        <f t="shared" si="524"/>
        <v>0</v>
      </c>
      <c r="AA528" s="798">
        <f t="shared" si="524"/>
        <v>0</v>
      </c>
      <c r="AB528" s="798">
        <f t="shared" si="524"/>
        <v>0</v>
      </c>
      <c r="AC528" s="798">
        <f t="shared" si="524"/>
        <v>0</v>
      </c>
      <c r="AD528" s="798">
        <f t="shared" si="524"/>
        <v>0</v>
      </c>
      <c r="AE528" s="798">
        <f t="shared" si="524"/>
        <v>0</v>
      </c>
      <c r="AF528" s="798">
        <f t="shared" si="524"/>
        <v>0</v>
      </c>
      <c r="AG528" s="798">
        <f t="shared" si="524"/>
        <v>0</v>
      </c>
      <c r="AH528" s="798">
        <f t="shared" si="524"/>
        <v>0</v>
      </c>
      <c r="AI528" s="798">
        <f t="shared" si="524"/>
        <v>0</v>
      </c>
      <c r="AJ528" s="798">
        <f t="shared" si="524"/>
        <v>0</v>
      </c>
      <c r="AK528" s="798">
        <f t="shared" si="524"/>
        <v>0</v>
      </c>
      <c r="AL528" s="798">
        <f t="shared" si="524"/>
        <v>1</v>
      </c>
      <c r="AM528" s="798">
        <f t="shared" si="524"/>
        <v>1</v>
      </c>
      <c r="AN528" s="798">
        <f t="shared" si="524"/>
        <v>1</v>
      </c>
      <c r="AO528" s="798">
        <f t="shared" si="524"/>
        <v>1</v>
      </c>
      <c r="AP528" s="798">
        <f t="shared" si="524"/>
        <v>1</v>
      </c>
      <c r="AQ528" s="798">
        <f t="shared" si="524"/>
        <v>1</v>
      </c>
      <c r="AR528" s="798">
        <f t="shared" si="524"/>
        <v>1</v>
      </c>
      <c r="AS528" s="798">
        <f t="shared" si="524"/>
        <v>1</v>
      </c>
      <c r="AT528" s="798">
        <f t="shared" si="524"/>
        <v>1</v>
      </c>
      <c r="AU528" s="798">
        <f t="shared" si="524"/>
        <v>1</v>
      </c>
      <c r="AV528" s="798">
        <f t="shared" si="524"/>
        <v>1</v>
      </c>
      <c r="AW528" s="798">
        <f t="shared" si="524"/>
        <v>1</v>
      </c>
      <c r="AX528" s="798">
        <f t="shared" si="524"/>
        <v>1</v>
      </c>
      <c r="AY528" s="798">
        <f t="shared" si="524"/>
        <v>1</v>
      </c>
      <c r="AZ528" s="798">
        <f t="shared" si="524"/>
        <v>1</v>
      </c>
      <c r="BA528" s="798">
        <f t="shared" si="524"/>
        <v>1</v>
      </c>
      <c r="BB528" s="798">
        <f t="shared" si="524"/>
        <v>1</v>
      </c>
      <c r="BC528" s="798">
        <f t="shared" si="524"/>
        <v>1</v>
      </c>
      <c r="BD528" s="798">
        <f t="shared" si="524"/>
        <v>1</v>
      </c>
      <c r="BE528" s="798">
        <f t="shared" si="524"/>
        <v>1</v>
      </c>
      <c r="BF528" s="798">
        <f t="shared" si="524"/>
        <v>1</v>
      </c>
      <c r="BG528" s="798">
        <f t="shared" si="524"/>
        <v>1</v>
      </c>
      <c r="BH528" s="798">
        <f t="shared" si="524"/>
        <v>1</v>
      </c>
      <c r="BI528" s="798">
        <f t="shared" si="524"/>
        <v>1</v>
      </c>
      <c r="BJ528" s="798">
        <f t="shared" si="524"/>
        <v>1</v>
      </c>
      <c r="BK528" s="798">
        <f t="shared" si="524"/>
        <v>1</v>
      </c>
      <c r="BL528" s="765"/>
      <c r="BM528" s="817"/>
      <c r="BN528" s="817"/>
    </row>
    <row r="529" hidden="1">
      <c r="A529" s="765"/>
      <c r="B529" s="765"/>
      <c r="C529" s="765"/>
      <c r="D529" s="765"/>
      <c r="E529" s="765"/>
      <c r="F529" s="765"/>
      <c r="G529" s="765"/>
      <c r="H529" s="765"/>
      <c r="I529" s="765">
        <f t="shared" si="17"/>
        <v>518</v>
      </c>
      <c r="J529" s="763">
        <f t="shared" si="5"/>
        <v>1.35188E+15</v>
      </c>
      <c r="K529" s="796">
        <f t="shared" si="7"/>
        <v>0.49279</v>
      </c>
      <c r="L529" s="796">
        <v>5.0E-4</v>
      </c>
      <c r="M529" s="763">
        <v>1.54148477907241E15</v>
      </c>
      <c r="N529" s="797">
        <f t="shared" si="8"/>
        <v>0</v>
      </c>
      <c r="O529" s="798">
        <f t="shared" ref="O529:BK529" si="525">FLOOR(MIN((((N("value of ELS upgrade")+N$8*($K529-$K528))*(N("Check checkbox")+(IF($G$6=TRUE,$G$7,$G$8))/$G$8))/(N("ROI of ELS and multiply by 2 if ELS is 1:1")+IF($G$12 = True, 2, 1) * $J529))/((N("difference in ELS+ and the cost of it")+(($K528*O$8)-($K528*N$8)) / O$7)),(N("MIN lets it return 0 or 1 after floored")+1)),1)</f>
        <v>0</v>
      </c>
      <c r="P529" s="798">
        <f t="shared" si="525"/>
        <v>0</v>
      </c>
      <c r="Q529" s="798">
        <f t="shared" si="525"/>
        <v>0</v>
      </c>
      <c r="R529" s="798">
        <f t="shared" si="525"/>
        <v>0</v>
      </c>
      <c r="S529" s="798">
        <f t="shared" si="525"/>
        <v>0</v>
      </c>
      <c r="T529" s="798">
        <f t="shared" si="525"/>
        <v>0</v>
      </c>
      <c r="U529" s="798">
        <f t="shared" si="525"/>
        <v>0</v>
      </c>
      <c r="V529" s="798">
        <f t="shared" si="525"/>
        <v>0</v>
      </c>
      <c r="W529" s="798">
        <f t="shared" si="525"/>
        <v>0</v>
      </c>
      <c r="X529" s="798">
        <f t="shared" si="525"/>
        <v>0</v>
      </c>
      <c r="Y529" s="798">
        <f t="shared" si="525"/>
        <v>0</v>
      </c>
      <c r="Z529" s="798">
        <f t="shared" si="525"/>
        <v>0</v>
      </c>
      <c r="AA529" s="798">
        <f t="shared" si="525"/>
        <v>0</v>
      </c>
      <c r="AB529" s="798">
        <f t="shared" si="525"/>
        <v>0</v>
      </c>
      <c r="AC529" s="798">
        <f t="shared" si="525"/>
        <v>0</v>
      </c>
      <c r="AD529" s="798">
        <f t="shared" si="525"/>
        <v>0</v>
      </c>
      <c r="AE529" s="798">
        <f t="shared" si="525"/>
        <v>0</v>
      </c>
      <c r="AF529" s="798">
        <f t="shared" si="525"/>
        <v>0</v>
      </c>
      <c r="AG529" s="798">
        <f t="shared" si="525"/>
        <v>0</v>
      </c>
      <c r="AH529" s="798">
        <f t="shared" si="525"/>
        <v>0</v>
      </c>
      <c r="AI529" s="798">
        <f t="shared" si="525"/>
        <v>0</v>
      </c>
      <c r="AJ529" s="798">
        <f t="shared" si="525"/>
        <v>0</v>
      </c>
      <c r="AK529" s="798">
        <f t="shared" si="525"/>
        <v>0</v>
      </c>
      <c r="AL529" s="798">
        <f t="shared" si="525"/>
        <v>1</v>
      </c>
      <c r="AM529" s="798">
        <f t="shared" si="525"/>
        <v>1</v>
      </c>
      <c r="AN529" s="798">
        <f t="shared" si="525"/>
        <v>1</v>
      </c>
      <c r="AO529" s="798">
        <f t="shared" si="525"/>
        <v>1</v>
      </c>
      <c r="AP529" s="798">
        <f t="shared" si="525"/>
        <v>1</v>
      </c>
      <c r="AQ529" s="798">
        <f t="shared" si="525"/>
        <v>1</v>
      </c>
      <c r="AR529" s="798">
        <f t="shared" si="525"/>
        <v>1</v>
      </c>
      <c r="AS529" s="798">
        <f t="shared" si="525"/>
        <v>1</v>
      </c>
      <c r="AT529" s="798">
        <f t="shared" si="525"/>
        <v>1</v>
      </c>
      <c r="AU529" s="798">
        <f t="shared" si="525"/>
        <v>1</v>
      </c>
      <c r="AV529" s="798">
        <f t="shared" si="525"/>
        <v>1</v>
      </c>
      <c r="AW529" s="798">
        <f t="shared" si="525"/>
        <v>1</v>
      </c>
      <c r="AX529" s="798">
        <f t="shared" si="525"/>
        <v>1</v>
      </c>
      <c r="AY529" s="798">
        <f t="shared" si="525"/>
        <v>1</v>
      </c>
      <c r="AZ529" s="798">
        <f t="shared" si="525"/>
        <v>1</v>
      </c>
      <c r="BA529" s="798">
        <f t="shared" si="525"/>
        <v>1</v>
      </c>
      <c r="BB529" s="798">
        <f t="shared" si="525"/>
        <v>1</v>
      </c>
      <c r="BC529" s="798">
        <f t="shared" si="525"/>
        <v>1</v>
      </c>
      <c r="BD529" s="798">
        <f t="shared" si="525"/>
        <v>1</v>
      </c>
      <c r="BE529" s="798">
        <f t="shared" si="525"/>
        <v>1</v>
      </c>
      <c r="BF529" s="798">
        <f t="shared" si="525"/>
        <v>1</v>
      </c>
      <c r="BG529" s="798">
        <f t="shared" si="525"/>
        <v>1</v>
      </c>
      <c r="BH529" s="798">
        <f t="shared" si="525"/>
        <v>1</v>
      </c>
      <c r="BI529" s="798">
        <f t="shared" si="525"/>
        <v>1</v>
      </c>
      <c r="BJ529" s="798">
        <f t="shared" si="525"/>
        <v>1</v>
      </c>
      <c r="BK529" s="798">
        <f t="shared" si="525"/>
        <v>1</v>
      </c>
      <c r="BL529" s="765"/>
      <c r="BM529" s="817"/>
      <c r="BN529" s="817"/>
    </row>
    <row r="530" hidden="1">
      <c r="A530" s="765"/>
      <c r="B530" s="765"/>
      <c r="C530" s="765"/>
      <c r="D530" s="765"/>
      <c r="E530" s="765"/>
      <c r="F530" s="765"/>
      <c r="G530" s="765"/>
      <c r="H530" s="765"/>
      <c r="I530" s="765">
        <f t="shared" si="17"/>
        <v>519</v>
      </c>
      <c r="J530" s="763">
        <f t="shared" si="5"/>
        <v>1.35669E+15</v>
      </c>
      <c r="K530" s="796">
        <f t="shared" si="7"/>
        <v>0.49329</v>
      </c>
      <c r="L530" s="796">
        <v>5.0E-4</v>
      </c>
      <c r="M530" s="763">
        <v>1.54696455507058E15</v>
      </c>
      <c r="N530" s="797">
        <f t="shared" si="8"/>
        <v>0</v>
      </c>
      <c r="O530" s="798">
        <f t="shared" ref="O530:BK530" si="526">FLOOR(MIN((((N("value of ELS upgrade")+N$8*($K530-$K529))*(N("Check checkbox")+(IF($G$6=TRUE,$G$7,$G$8))/$G$8))/(N("ROI of ELS and multiply by 2 if ELS is 1:1")+IF($G$12 = True, 2, 1) * $J530))/((N("difference in ELS+ and the cost of it")+(($K529*O$8)-($K529*N$8)) / O$7)),(N("MIN lets it return 0 or 1 after floored")+1)),1)</f>
        <v>0</v>
      </c>
      <c r="P530" s="798">
        <f t="shared" si="526"/>
        <v>0</v>
      </c>
      <c r="Q530" s="798">
        <f t="shared" si="526"/>
        <v>0</v>
      </c>
      <c r="R530" s="798">
        <f t="shared" si="526"/>
        <v>0</v>
      </c>
      <c r="S530" s="798">
        <f t="shared" si="526"/>
        <v>0</v>
      </c>
      <c r="T530" s="798">
        <f t="shared" si="526"/>
        <v>0</v>
      </c>
      <c r="U530" s="798">
        <f t="shared" si="526"/>
        <v>0</v>
      </c>
      <c r="V530" s="798">
        <f t="shared" si="526"/>
        <v>0</v>
      </c>
      <c r="W530" s="798">
        <f t="shared" si="526"/>
        <v>0</v>
      </c>
      <c r="X530" s="798">
        <f t="shared" si="526"/>
        <v>0</v>
      </c>
      <c r="Y530" s="798">
        <f t="shared" si="526"/>
        <v>0</v>
      </c>
      <c r="Z530" s="798">
        <f t="shared" si="526"/>
        <v>0</v>
      </c>
      <c r="AA530" s="798">
        <f t="shared" si="526"/>
        <v>0</v>
      </c>
      <c r="AB530" s="798">
        <f t="shared" si="526"/>
        <v>0</v>
      </c>
      <c r="AC530" s="798">
        <f t="shared" si="526"/>
        <v>0</v>
      </c>
      <c r="AD530" s="798">
        <f t="shared" si="526"/>
        <v>0</v>
      </c>
      <c r="AE530" s="798">
        <f t="shared" si="526"/>
        <v>0</v>
      </c>
      <c r="AF530" s="798">
        <f t="shared" si="526"/>
        <v>0</v>
      </c>
      <c r="AG530" s="798">
        <f t="shared" si="526"/>
        <v>0</v>
      </c>
      <c r="AH530" s="798">
        <f t="shared" si="526"/>
        <v>0</v>
      </c>
      <c r="AI530" s="798">
        <f t="shared" si="526"/>
        <v>0</v>
      </c>
      <c r="AJ530" s="798">
        <f t="shared" si="526"/>
        <v>0</v>
      </c>
      <c r="AK530" s="798">
        <f t="shared" si="526"/>
        <v>0</v>
      </c>
      <c r="AL530" s="798">
        <f t="shared" si="526"/>
        <v>1</v>
      </c>
      <c r="AM530" s="798">
        <f t="shared" si="526"/>
        <v>1</v>
      </c>
      <c r="AN530" s="798">
        <f t="shared" si="526"/>
        <v>1</v>
      </c>
      <c r="AO530" s="798">
        <f t="shared" si="526"/>
        <v>1</v>
      </c>
      <c r="AP530" s="798">
        <f t="shared" si="526"/>
        <v>1</v>
      </c>
      <c r="AQ530" s="798">
        <f t="shared" si="526"/>
        <v>1</v>
      </c>
      <c r="AR530" s="798">
        <f t="shared" si="526"/>
        <v>1</v>
      </c>
      <c r="AS530" s="798">
        <f t="shared" si="526"/>
        <v>1</v>
      </c>
      <c r="AT530" s="798">
        <f t="shared" si="526"/>
        <v>1</v>
      </c>
      <c r="AU530" s="798">
        <f t="shared" si="526"/>
        <v>1</v>
      </c>
      <c r="AV530" s="798">
        <f t="shared" si="526"/>
        <v>1</v>
      </c>
      <c r="AW530" s="798">
        <f t="shared" si="526"/>
        <v>1</v>
      </c>
      <c r="AX530" s="798">
        <f t="shared" si="526"/>
        <v>1</v>
      </c>
      <c r="AY530" s="798">
        <f t="shared" si="526"/>
        <v>1</v>
      </c>
      <c r="AZ530" s="798">
        <f t="shared" si="526"/>
        <v>1</v>
      </c>
      <c r="BA530" s="798">
        <f t="shared" si="526"/>
        <v>1</v>
      </c>
      <c r="BB530" s="798">
        <f t="shared" si="526"/>
        <v>1</v>
      </c>
      <c r="BC530" s="798">
        <f t="shared" si="526"/>
        <v>1</v>
      </c>
      <c r="BD530" s="798">
        <f t="shared" si="526"/>
        <v>1</v>
      </c>
      <c r="BE530" s="798">
        <f t="shared" si="526"/>
        <v>1</v>
      </c>
      <c r="BF530" s="798">
        <f t="shared" si="526"/>
        <v>1</v>
      </c>
      <c r="BG530" s="798">
        <f t="shared" si="526"/>
        <v>1</v>
      </c>
      <c r="BH530" s="798">
        <f t="shared" si="526"/>
        <v>1</v>
      </c>
      <c r="BI530" s="798">
        <f t="shared" si="526"/>
        <v>1</v>
      </c>
      <c r="BJ530" s="798">
        <f t="shared" si="526"/>
        <v>1</v>
      </c>
      <c r="BK530" s="798">
        <f t="shared" si="526"/>
        <v>1</v>
      </c>
      <c r="BL530" s="765"/>
      <c r="BM530" s="817"/>
      <c r="BN530" s="817"/>
    </row>
    <row r="531" hidden="1">
      <c r="A531" s="765"/>
      <c r="B531" s="765"/>
      <c r="C531" s="765"/>
      <c r="D531" s="765"/>
      <c r="E531" s="765"/>
      <c r="F531" s="765"/>
      <c r="G531" s="765"/>
      <c r="H531" s="765"/>
      <c r="I531" s="765">
        <f t="shared" si="17"/>
        <v>520</v>
      </c>
      <c r="J531" s="763">
        <f t="shared" si="5"/>
        <v>1.36151E+15</v>
      </c>
      <c r="K531" s="796">
        <f t="shared" si="7"/>
        <v>0.49379</v>
      </c>
      <c r="L531" s="796">
        <v>5.0E-4</v>
      </c>
      <c r="M531" s="763">
        <v>1.5524609401722E15</v>
      </c>
      <c r="N531" s="797">
        <f t="shared" si="8"/>
        <v>0</v>
      </c>
      <c r="O531" s="798">
        <f t="shared" ref="O531:BK531" si="527">FLOOR(MIN((((N("value of ELS upgrade")+N$8*($K531-$K530))*(N("Check checkbox")+(IF($G$6=TRUE,$G$7,$G$8))/$G$8))/(N("ROI of ELS and multiply by 2 if ELS is 1:1")+IF($G$12 = True, 2, 1) * $J531))/((N("difference in ELS+ and the cost of it")+(($K530*O$8)-($K530*N$8)) / O$7)),(N("MIN lets it return 0 or 1 after floored")+1)),1)</f>
        <v>0</v>
      </c>
      <c r="P531" s="798">
        <f t="shared" si="527"/>
        <v>0</v>
      </c>
      <c r="Q531" s="798">
        <f t="shared" si="527"/>
        <v>0</v>
      </c>
      <c r="R531" s="798">
        <f t="shared" si="527"/>
        <v>0</v>
      </c>
      <c r="S531" s="798">
        <f t="shared" si="527"/>
        <v>0</v>
      </c>
      <c r="T531" s="798">
        <f t="shared" si="527"/>
        <v>0</v>
      </c>
      <c r="U531" s="798">
        <f t="shared" si="527"/>
        <v>0</v>
      </c>
      <c r="V531" s="798">
        <f t="shared" si="527"/>
        <v>0</v>
      </c>
      <c r="W531" s="798">
        <f t="shared" si="527"/>
        <v>0</v>
      </c>
      <c r="X531" s="798">
        <f t="shared" si="527"/>
        <v>0</v>
      </c>
      <c r="Y531" s="798">
        <f t="shared" si="527"/>
        <v>0</v>
      </c>
      <c r="Z531" s="798">
        <f t="shared" si="527"/>
        <v>0</v>
      </c>
      <c r="AA531" s="798">
        <f t="shared" si="527"/>
        <v>0</v>
      </c>
      <c r="AB531" s="798">
        <f t="shared" si="527"/>
        <v>0</v>
      </c>
      <c r="AC531" s="798">
        <f t="shared" si="527"/>
        <v>0</v>
      </c>
      <c r="AD531" s="798">
        <f t="shared" si="527"/>
        <v>0</v>
      </c>
      <c r="AE531" s="798">
        <f t="shared" si="527"/>
        <v>0</v>
      </c>
      <c r="AF531" s="798">
        <f t="shared" si="527"/>
        <v>0</v>
      </c>
      <c r="AG531" s="798">
        <f t="shared" si="527"/>
        <v>0</v>
      </c>
      <c r="AH531" s="798">
        <f t="shared" si="527"/>
        <v>0</v>
      </c>
      <c r="AI531" s="798">
        <f t="shared" si="527"/>
        <v>0</v>
      </c>
      <c r="AJ531" s="798">
        <f t="shared" si="527"/>
        <v>0</v>
      </c>
      <c r="AK531" s="798">
        <f t="shared" si="527"/>
        <v>0</v>
      </c>
      <c r="AL531" s="798">
        <f t="shared" si="527"/>
        <v>1</v>
      </c>
      <c r="AM531" s="798">
        <f t="shared" si="527"/>
        <v>1</v>
      </c>
      <c r="AN531" s="798">
        <f t="shared" si="527"/>
        <v>1</v>
      </c>
      <c r="AO531" s="798">
        <f t="shared" si="527"/>
        <v>1</v>
      </c>
      <c r="AP531" s="798">
        <f t="shared" si="527"/>
        <v>1</v>
      </c>
      <c r="AQ531" s="798">
        <f t="shared" si="527"/>
        <v>1</v>
      </c>
      <c r="AR531" s="798">
        <f t="shared" si="527"/>
        <v>1</v>
      </c>
      <c r="AS531" s="798">
        <f t="shared" si="527"/>
        <v>1</v>
      </c>
      <c r="AT531" s="798">
        <f t="shared" si="527"/>
        <v>1</v>
      </c>
      <c r="AU531" s="798">
        <f t="shared" si="527"/>
        <v>1</v>
      </c>
      <c r="AV531" s="798">
        <f t="shared" si="527"/>
        <v>1</v>
      </c>
      <c r="AW531" s="798">
        <f t="shared" si="527"/>
        <v>1</v>
      </c>
      <c r="AX531" s="798">
        <f t="shared" si="527"/>
        <v>1</v>
      </c>
      <c r="AY531" s="798">
        <f t="shared" si="527"/>
        <v>1</v>
      </c>
      <c r="AZ531" s="798">
        <f t="shared" si="527"/>
        <v>1</v>
      </c>
      <c r="BA531" s="798">
        <f t="shared" si="527"/>
        <v>1</v>
      </c>
      <c r="BB531" s="798">
        <f t="shared" si="527"/>
        <v>1</v>
      </c>
      <c r="BC531" s="798">
        <f t="shared" si="527"/>
        <v>1</v>
      </c>
      <c r="BD531" s="798">
        <f t="shared" si="527"/>
        <v>1</v>
      </c>
      <c r="BE531" s="798">
        <f t="shared" si="527"/>
        <v>1</v>
      </c>
      <c r="BF531" s="798">
        <f t="shared" si="527"/>
        <v>1</v>
      </c>
      <c r="BG531" s="798">
        <f t="shared" si="527"/>
        <v>1</v>
      </c>
      <c r="BH531" s="798">
        <f t="shared" si="527"/>
        <v>1</v>
      </c>
      <c r="BI531" s="798">
        <f t="shared" si="527"/>
        <v>1</v>
      </c>
      <c r="BJ531" s="798">
        <f t="shared" si="527"/>
        <v>1</v>
      </c>
      <c r="BK531" s="798">
        <f t="shared" si="527"/>
        <v>1</v>
      </c>
      <c r="BL531" s="765"/>
      <c r="BM531" s="817"/>
      <c r="BN531" s="817"/>
    </row>
    <row r="532" hidden="1">
      <c r="A532" s="765"/>
      <c r="B532" s="765"/>
      <c r="C532" s="765"/>
      <c r="D532" s="765"/>
      <c r="E532" s="765"/>
      <c r="F532" s="765"/>
      <c r="G532" s="765"/>
      <c r="H532" s="765"/>
      <c r="I532" s="765">
        <f t="shared" si="17"/>
        <v>521</v>
      </c>
      <c r="J532" s="763">
        <f t="shared" si="5"/>
        <v>5.46537E+15</v>
      </c>
      <c r="K532" s="796">
        <f t="shared" si="7"/>
        <v>0.49429</v>
      </c>
      <c r="L532" s="796">
        <v>5.0E-4</v>
      </c>
      <c r="M532" s="763">
        <v>6.23189573750903E15</v>
      </c>
      <c r="N532" s="797">
        <f t="shared" si="8"/>
        <v>0</v>
      </c>
      <c r="O532" s="798">
        <f t="shared" ref="O532:BK532" si="528">FLOOR(MIN((((N("value of ELS upgrade")+N$8*($K532-$K531))*(N("Check checkbox")+(IF($G$6=TRUE,$G$7,$G$8))/$G$8))/(N("ROI of ELS and multiply by 2 if ELS is 1:1")+IF($G$12 = True, 2, 1) * $J532))/((N("difference in ELS+ and the cost of it")+(($K531*O$8)-($K531*N$8)) / O$7)),(N("MIN lets it return 0 or 1 after floored")+1)),1)</f>
        <v>0</v>
      </c>
      <c r="P532" s="798">
        <f t="shared" si="528"/>
        <v>0</v>
      </c>
      <c r="Q532" s="798">
        <f t="shared" si="528"/>
        <v>0</v>
      </c>
      <c r="R532" s="798">
        <f t="shared" si="528"/>
        <v>0</v>
      </c>
      <c r="S532" s="798">
        <f t="shared" si="528"/>
        <v>0</v>
      </c>
      <c r="T532" s="798">
        <f t="shared" si="528"/>
        <v>0</v>
      </c>
      <c r="U532" s="798">
        <f t="shared" si="528"/>
        <v>0</v>
      </c>
      <c r="V532" s="798">
        <f t="shared" si="528"/>
        <v>0</v>
      </c>
      <c r="W532" s="798">
        <f t="shared" si="528"/>
        <v>0</v>
      </c>
      <c r="X532" s="798">
        <f t="shared" si="528"/>
        <v>0</v>
      </c>
      <c r="Y532" s="798">
        <f t="shared" si="528"/>
        <v>0</v>
      </c>
      <c r="Z532" s="798">
        <f t="shared" si="528"/>
        <v>0</v>
      </c>
      <c r="AA532" s="798">
        <f t="shared" si="528"/>
        <v>0</v>
      </c>
      <c r="AB532" s="798">
        <f t="shared" si="528"/>
        <v>0</v>
      </c>
      <c r="AC532" s="798">
        <f t="shared" si="528"/>
        <v>0</v>
      </c>
      <c r="AD532" s="798">
        <f t="shared" si="528"/>
        <v>0</v>
      </c>
      <c r="AE532" s="798">
        <f t="shared" si="528"/>
        <v>0</v>
      </c>
      <c r="AF532" s="798">
        <f t="shared" si="528"/>
        <v>0</v>
      </c>
      <c r="AG532" s="798">
        <f t="shared" si="528"/>
        <v>0</v>
      </c>
      <c r="AH532" s="798">
        <f t="shared" si="528"/>
        <v>0</v>
      </c>
      <c r="AI532" s="798">
        <f t="shared" si="528"/>
        <v>0</v>
      </c>
      <c r="AJ532" s="798">
        <f t="shared" si="528"/>
        <v>0</v>
      </c>
      <c r="AK532" s="798">
        <f t="shared" si="528"/>
        <v>0</v>
      </c>
      <c r="AL532" s="798">
        <f t="shared" si="528"/>
        <v>0</v>
      </c>
      <c r="AM532" s="798">
        <f t="shared" si="528"/>
        <v>0</v>
      </c>
      <c r="AN532" s="798">
        <f t="shared" si="528"/>
        <v>0</v>
      </c>
      <c r="AO532" s="798">
        <f t="shared" si="528"/>
        <v>0</v>
      </c>
      <c r="AP532" s="798">
        <f t="shared" si="528"/>
        <v>0</v>
      </c>
      <c r="AQ532" s="798">
        <f t="shared" si="528"/>
        <v>0</v>
      </c>
      <c r="AR532" s="798">
        <f t="shared" si="528"/>
        <v>1</v>
      </c>
      <c r="AS532" s="798">
        <f t="shared" si="528"/>
        <v>1</v>
      </c>
      <c r="AT532" s="798">
        <f t="shared" si="528"/>
        <v>1</v>
      </c>
      <c r="AU532" s="798">
        <f t="shared" si="528"/>
        <v>1</v>
      </c>
      <c r="AV532" s="798">
        <f t="shared" si="528"/>
        <v>1</v>
      </c>
      <c r="AW532" s="798">
        <f t="shared" si="528"/>
        <v>1</v>
      </c>
      <c r="AX532" s="798">
        <f t="shared" si="528"/>
        <v>1</v>
      </c>
      <c r="AY532" s="798">
        <f t="shared" si="528"/>
        <v>1</v>
      </c>
      <c r="AZ532" s="798">
        <f t="shared" si="528"/>
        <v>1</v>
      </c>
      <c r="BA532" s="798">
        <f t="shared" si="528"/>
        <v>1</v>
      </c>
      <c r="BB532" s="798">
        <f t="shared" si="528"/>
        <v>1</v>
      </c>
      <c r="BC532" s="798">
        <f t="shared" si="528"/>
        <v>1</v>
      </c>
      <c r="BD532" s="798">
        <f t="shared" si="528"/>
        <v>1</v>
      </c>
      <c r="BE532" s="798">
        <f t="shared" si="528"/>
        <v>1</v>
      </c>
      <c r="BF532" s="798">
        <f t="shared" si="528"/>
        <v>1</v>
      </c>
      <c r="BG532" s="798">
        <f t="shared" si="528"/>
        <v>1</v>
      </c>
      <c r="BH532" s="798">
        <f t="shared" si="528"/>
        <v>1</v>
      </c>
      <c r="BI532" s="798">
        <f t="shared" si="528"/>
        <v>1</v>
      </c>
      <c r="BJ532" s="798">
        <f t="shared" si="528"/>
        <v>1</v>
      </c>
      <c r="BK532" s="798">
        <f t="shared" si="528"/>
        <v>1</v>
      </c>
      <c r="BL532" s="765"/>
      <c r="BM532" s="817"/>
      <c r="BN532" s="817"/>
    </row>
    <row r="533" hidden="1">
      <c r="A533" s="765"/>
      <c r="B533" s="765"/>
      <c r="C533" s="765"/>
      <c r="D533" s="765"/>
      <c r="E533" s="765"/>
      <c r="F533" s="765"/>
      <c r="G533" s="765"/>
      <c r="H533" s="765"/>
      <c r="I533" s="765">
        <f t="shared" si="17"/>
        <v>522</v>
      </c>
      <c r="J533" s="763">
        <f t="shared" si="5"/>
        <v>5.48477E+15</v>
      </c>
      <c r="K533" s="796">
        <f t="shared" si="7"/>
        <v>0.49479</v>
      </c>
      <c r="L533" s="796">
        <v>5.0E-4</v>
      </c>
      <c r="M533" s="763">
        <v>6.2540146186051E15</v>
      </c>
      <c r="N533" s="797">
        <f t="shared" si="8"/>
        <v>0</v>
      </c>
      <c r="O533" s="798">
        <f t="shared" ref="O533:BK533" si="529">FLOOR(MIN((((N("value of ELS upgrade")+N$8*($K533-$K532))*(N("Check checkbox")+(IF($G$6=TRUE,$G$7,$G$8))/$G$8))/(N("ROI of ELS and multiply by 2 if ELS is 1:1")+IF($G$12 = True, 2, 1) * $J533))/((N("difference in ELS+ and the cost of it")+(($K532*O$8)-($K532*N$8)) / O$7)),(N("MIN lets it return 0 or 1 after floored")+1)),1)</f>
        <v>0</v>
      </c>
      <c r="P533" s="798">
        <f t="shared" si="529"/>
        <v>0</v>
      </c>
      <c r="Q533" s="798">
        <f t="shared" si="529"/>
        <v>0</v>
      </c>
      <c r="R533" s="798">
        <f t="shared" si="529"/>
        <v>0</v>
      </c>
      <c r="S533" s="798">
        <f t="shared" si="529"/>
        <v>0</v>
      </c>
      <c r="T533" s="798">
        <f t="shared" si="529"/>
        <v>0</v>
      </c>
      <c r="U533" s="798">
        <f t="shared" si="529"/>
        <v>0</v>
      </c>
      <c r="V533" s="798">
        <f t="shared" si="529"/>
        <v>0</v>
      </c>
      <c r="W533" s="798">
        <f t="shared" si="529"/>
        <v>0</v>
      </c>
      <c r="X533" s="798">
        <f t="shared" si="529"/>
        <v>0</v>
      </c>
      <c r="Y533" s="798">
        <f t="shared" si="529"/>
        <v>0</v>
      </c>
      <c r="Z533" s="798">
        <f t="shared" si="529"/>
        <v>0</v>
      </c>
      <c r="AA533" s="798">
        <f t="shared" si="529"/>
        <v>0</v>
      </c>
      <c r="AB533" s="798">
        <f t="shared" si="529"/>
        <v>0</v>
      </c>
      <c r="AC533" s="798">
        <f t="shared" si="529"/>
        <v>0</v>
      </c>
      <c r="AD533" s="798">
        <f t="shared" si="529"/>
        <v>0</v>
      </c>
      <c r="AE533" s="798">
        <f t="shared" si="529"/>
        <v>0</v>
      </c>
      <c r="AF533" s="798">
        <f t="shared" si="529"/>
        <v>0</v>
      </c>
      <c r="AG533" s="798">
        <f t="shared" si="529"/>
        <v>0</v>
      </c>
      <c r="AH533" s="798">
        <f t="shared" si="529"/>
        <v>0</v>
      </c>
      <c r="AI533" s="798">
        <f t="shared" si="529"/>
        <v>0</v>
      </c>
      <c r="AJ533" s="798">
        <f t="shared" si="529"/>
        <v>0</v>
      </c>
      <c r="AK533" s="798">
        <f t="shared" si="529"/>
        <v>0</v>
      </c>
      <c r="AL533" s="798">
        <f t="shared" si="529"/>
        <v>0</v>
      </c>
      <c r="AM533" s="798">
        <f t="shared" si="529"/>
        <v>0</v>
      </c>
      <c r="AN533" s="798">
        <f t="shared" si="529"/>
        <v>0</v>
      </c>
      <c r="AO533" s="798">
        <f t="shared" si="529"/>
        <v>0</v>
      </c>
      <c r="AP533" s="798">
        <f t="shared" si="529"/>
        <v>0</v>
      </c>
      <c r="AQ533" s="798">
        <f t="shared" si="529"/>
        <v>0</v>
      </c>
      <c r="AR533" s="798">
        <f t="shared" si="529"/>
        <v>1</v>
      </c>
      <c r="AS533" s="798">
        <f t="shared" si="529"/>
        <v>1</v>
      </c>
      <c r="AT533" s="798">
        <f t="shared" si="529"/>
        <v>1</v>
      </c>
      <c r="AU533" s="798">
        <f t="shared" si="529"/>
        <v>1</v>
      </c>
      <c r="AV533" s="798">
        <f t="shared" si="529"/>
        <v>1</v>
      </c>
      <c r="AW533" s="798">
        <f t="shared" si="529"/>
        <v>1</v>
      </c>
      <c r="AX533" s="798">
        <f t="shared" si="529"/>
        <v>1</v>
      </c>
      <c r="AY533" s="798">
        <f t="shared" si="529"/>
        <v>1</v>
      </c>
      <c r="AZ533" s="798">
        <f t="shared" si="529"/>
        <v>1</v>
      </c>
      <c r="BA533" s="798">
        <f t="shared" si="529"/>
        <v>1</v>
      </c>
      <c r="BB533" s="798">
        <f t="shared" si="529"/>
        <v>1</v>
      </c>
      <c r="BC533" s="798">
        <f t="shared" si="529"/>
        <v>1</v>
      </c>
      <c r="BD533" s="798">
        <f t="shared" si="529"/>
        <v>1</v>
      </c>
      <c r="BE533" s="798">
        <f t="shared" si="529"/>
        <v>1</v>
      </c>
      <c r="BF533" s="798">
        <f t="shared" si="529"/>
        <v>1</v>
      </c>
      <c r="BG533" s="798">
        <f t="shared" si="529"/>
        <v>1</v>
      </c>
      <c r="BH533" s="798">
        <f t="shared" si="529"/>
        <v>1</v>
      </c>
      <c r="BI533" s="798">
        <f t="shared" si="529"/>
        <v>1</v>
      </c>
      <c r="BJ533" s="798">
        <f t="shared" si="529"/>
        <v>1</v>
      </c>
      <c r="BK533" s="798">
        <f t="shared" si="529"/>
        <v>1</v>
      </c>
      <c r="BL533" s="765"/>
      <c r="BM533" s="817"/>
      <c r="BN533" s="817"/>
    </row>
    <row r="534" hidden="1">
      <c r="A534" s="765"/>
      <c r="B534" s="765"/>
      <c r="C534" s="765"/>
      <c r="D534" s="765"/>
      <c r="E534" s="765"/>
      <c r="F534" s="765"/>
      <c r="G534" s="765"/>
      <c r="H534" s="765"/>
      <c r="I534" s="765">
        <f t="shared" si="17"/>
        <v>523</v>
      </c>
      <c r="J534" s="763">
        <f t="shared" si="5"/>
        <v>5.50423E+15</v>
      </c>
      <c r="K534" s="796">
        <f t="shared" si="7"/>
        <v>0.49529</v>
      </c>
      <c r="L534" s="796">
        <v>5.0E-4</v>
      </c>
      <c r="M534" s="763">
        <v>6.27620040397702E15</v>
      </c>
      <c r="N534" s="797">
        <f t="shared" si="8"/>
        <v>0</v>
      </c>
      <c r="O534" s="798">
        <f t="shared" ref="O534:BK534" si="530">FLOOR(MIN((((N("value of ELS upgrade")+N$8*($K534-$K533))*(N("Check checkbox")+(IF($G$6=TRUE,$G$7,$G$8))/$G$8))/(N("ROI of ELS and multiply by 2 if ELS is 1:1")+IF($G$12 = True, 2, 1) * $J534))/((N("difference in ELS+ and the cost of it")+(($K533*O$8)-($K533*N$8)) / O$7)),(N("MIN lets it return 0 or 1 after floored")+1)),1)</f>
        <v>0</v>
      </c>
      <c r="P534" s="798">
        <f t="shared" si="530"/>
        <v>0</v>
      </c>
      <c r="Q534" s="798">
        <f t="shared" si="530"/>
        <v>0</v>
      </c>
      <c r="R534" s="798">
        <f t="shared" si="530"/>
        <v>0</v>
      </c>
      <c r="S534" s="798">
        <f t="shared" si="530"/>
        <v>0</v>
      </c>
      <c r="T534" s="798">
        <f t="shared" si="530"/>
        <v>0</v>
      </c>
      <c r="U534" s="798">
        <f t="shared" si="530"/>
        <v>0</v>
      </c>
      <c r="V534" s="798">
        <f t="shared" si="530"/>
        <v>0</v>
      </c>
      <c r="W534" s="798">
        <f t="shared" si="530"/>
        <v>0</v>
      </c>
      <c r="X534" s="798">
        <f t="shared" si="530"/>
        <v>0</v>
      </c>
      <c r="Y534" s="798">
        <f t="shared" si="530"/>
        <v>0</v>
      </c>
      <c r="Z534" s="798">
        <f t="shared" si="530"/>
        <v>0</v>
      </c>
      <c r="AA534" s="798">
        <f t="shared" si="530"/>
        <v>0</v>
      </c>
      <c r="AB534" s="798">
        <f t="shared" si="530"/>
        <v>0</v>
      </c>
      <c r="AC534" s="798">
        <f t="shared" si="530"/>
        <v>0</v>
      </c>
      <c r="AD534" s="798">
        <f t="shared" si="530"/>
        <v>0</v>
      </c>
      <c r="AE534" s="798">
        <f t="shared" si="530"/>
        <v>0</v>
      </c>
      <c r="AF534" s="798">
        <f t="shared" si="530"/>
        <v>0</v>
      </c>
      <c r="AG534" s="798">
        <f t="shared" si="530"/>
        <v>0</v>
      </c>
      <c r="AH534" s="798">
        <f t="shared" si="530"/>
        <v>0</v>
      </c>
      <c r="AI534" s="798">
        <f t="shared" si="530"/>
        <v>0</v>
      </c>
      <c r="AJ534" s="798">
        <f t="shared" si="530"/>
        <v>0</v>
      </c>
      <c r="AK534" s="798">
        <f t="shared" si="530"/>
        <v>0</v>
      </c>
      <c r="AL534" s="798">
        <f t="shared" si="530"/>
        <v>0</v>
      </c>
      <c r="AM534" s="798">
        <f t="shared" si="530"/>
        <v>0</v>
      </c>
      <c r="AN534" s="798">
        <f t="shared" si="530"/>
        <v>0</v>
      </c>
      <c r="AO534" s="798">
        <f t="shared" si="530"/>
        <v>0</v>
      </c>
      <c r="AP534" s="798">
        <f t="shared" si="530"/>
        <v>0</v>
      </c>
      <c r="AQ534" s="798">
        <f t="shared" si="530"/>
        <v>0</v>
      </c>
      <c r="AR534" s="798">
        <f t="shared" si="530"/>
        <v>1</v>
      </c>
      <c r="AS534" s="798">
        <f t="shared" si="530"/>
        <v>1</v>
      </c>
      <c r="AT534" s="798">
        <f t="shared" si="530"/>
        <v>1</v>
      </c>
      <c r="AU534" s="798">
        <f t="shared" si="530"/>
        <v>1</v>
      </c>
      <c r="AV534" s="798">
        <f t="shared" si="530"/>
        <v>1</v>
      </c>
      <c r="AW534" s="798">
        <f t="shared" si="530"/>
        <v>1</v>
      </c>
      <c r="AX534" s="798">
        <f t="shared" si="530"/>
        <v>1</v>
      </c>
      <c r="AY534" s="798">
        <f t="shared" si="530"/>
        <v>1</v>
      </c>
      <c r="AZ534" s="798">
        <f t="shared" si="530"/>
        <v>1</v>
      </c>
      <c r="BA534" s="798">
        <f t="shared" si="530"/>
        <v>1</v>
      </c>
      <c r="BB534" s="798">
        <f t="shared" si="530"/>
        <v>1</v>
      </c>
      <c r="BC534" s="798">
        <f t="shared" si="530"/>
        <v>1</v>
      </c>
      <c r="BD534" s="798">
        <f t="shared" si="530"/>
        <v>1</v>
      </c>
      <c r="BE534" s="798">
        <f t="shared" si="530"/>
        <v>1</v>
      </c>
      <c r="BF534" s="798">
        <f t="shared" si="530"/>
        <v>1</v>
      </c>
      <c r="BG534" s="798">
        <f t="shared" si="530"/>
        <v>1</v>
      </c>
      <c r="BH534" s="798">
        <f t="shared" si="530"/>
        <v>1</v>
      </c>
      <c r="BI534" s="798">
        <f t="shared" si="530"/>
        <v>1</v>
      </c>
      <c r="BJ534" s="798">
        <f t="shared" si="530"/>
        <v>1</v>
      </c>
      <c r="BK534" s="798">
        <f t="shared" si="530"/>
        <v>1</v>
      </c>
      <c r="BL534" s="765"/>
      <c r="BM534" s="817"/>
      <c r="BN534" s="817"/>
    </row>
    <row r="535" hidden="1">
      <c r="A535" s="765"/>
      <c r="B535" s="765"/>
      <c r="C535" s="765"/>
      <c r="D535" s="765"/>
      <c r="E535" s="765"/>
      <c r="F535" s="765"/>
      <c r="G535" s="765"/>
      <c r="H535" s="765"/>
      <c r="I535" s="765">
        <f t="shared" si="17"/>
        <v>524</v>
      </c>
      <c r="J535" s="763">
        <f t="shared" si="5"/>
        <v>5.52374E+15</v>
      </c>
      <c r="K535" s="796">
        <f t="shared" si="7"/>
        <v>0.49579</v>
      </c>
      <c r="L535" s="796">
        <v>5.0E-4</v>
      </c>
      <c r="M535" s="763">
        <v>6.29845332755581E15</v>
      </c>
      <c r="N535" s="797">
        <f t="shared" si="8"/>
        <v>0</v>
      </c>
      <c r="O535" s="798">
        <f t="shared" ref="O535:BK535" si="531">FLOOR(MIN((((N("value of ELS upgrade")+N$8*($K535-$K534))*(N("Check checkbox")+(IF($G$6=TRUE,$G$7,$G$8))/$G$8))/(N("ROI of ELS and multiply by 2 if ELS is 1:1")+IF($G$12 = True, 2, 1) * $J535))/((N("difference in ELS+ and the cost of it")+(($K534*O$8)-($K534*N$8)) / O$7)),(N("MIN lets it return 0 or 1 after floored")+1)),1)</f>
        <v>0</v>
      </c>
      <c r="P535" s="798">
        <f t="shared" si="531"/>
        <v>0</v>
      </c>
      <c r="Q535" s="798">
        <f t="shared" si="531"/>
        <v>0</v>
      </c>
      <c r="R535" s="798">
        <f t="shared" si="531"/>
        <v>0</v>
      </c>
      <c r="S535" s="798">
        <f t="shared" si="531"/>
        <v>0</v>
      </c>
      <c r="T535" s="798">
        <f t="shared" si="531"/>
        <v>0</v>
      </c>
      <c r="U535" s="798">
        <f t="shared" si="531"/>
        <v>0</v>
      </c>
      <c r="V535" s="798">
        <f t="shared" si="531"/>
        <v>0</v>
      </c>
      <c r="W535" s="798">
        <f t="shared" si="531"/>
        <v>0</v>
      </c>
      <c r="X535" s="798">
        <f t="shared" si="531"/>
        <v>0</v>
      </c>
      <c r="Y535" s="798">
        <f t="shared" si="531"/>
        <v>0</v>
      </c>
      <c r="Z535" s="798">
        <f t="shared" si="531"/>
        <v>0</v>
      </c>
      <c r="AA535" s="798">
        <f t="shared" si="531"/>
        <v>0</v>
      </c>
      <c r="AB535" s="798">
        <f t="shared" si="531"/>
        <v>0</v>
      </c>
      <c r="AC535" s="798">
        <f t="shared" si="531"/>
        <v>0</v>
      </c>
      <c r="AD535" s="798">
        <f t="shared" si="531"/>
        <v>0</v>
      </c>
      <c r="AE535" s="798">
        <f t="shared" si="531"/>
        <v>0</v>
      </c>
      <c r="AF535" s="798">
        <f t="shared" si="531"/>
        <v>0</v>
      </c>
      <c r="AG535" s="798">
        <f t="shared" si="531"/>
        <v>0</v>
      </c>
      <c r="AH535" s="798">
        <f t="shared" si="531"/>
        <v>0</v>
      </c>
      <c r="AI535" s="798">
        <f t="shared" si="531"/>
        <v>0</v>
      </c>
      <c r="AJ535" s="798">
        <f t="shared" si="531"/>
        <v>0</v>
      </c>
      <c r="AK535" s="798">
        <f t="shared" si="531"/>
        <v>0</v>
      </c>
      <c r="AL535" s="798">
        <f t="shared" si="531"/>
        <v>0</v>
      </c>
      <c r="AM535" s="798">
        <f t="shared" si="531"/>
        <v>0</v>
      </c>
      <c r="AN535" s="798">
        <f t="shared" si="531"/>
        <v>0</v>
      </c>
      <c r="AO535" s="798">
        <f t="shared" si="531"/>
        <v>0</v>
      </c>
      <c r="AP535" s="798">
        <f t="shared" si="531"/>
        <v>0</v>
      </c>
      <c r="AQ535" s="798">
        <f t="shared" si="531"/>
        <v>0</v>
      </c>
      <c r="AR535" s="798">
        <f t="shared" si="531"/>
        <v>1</v>
      </c>
      <c r="AS535" s="798">
        <f t="shared" si="531"/>
        <v>1</v>
      </c>
      <c r="AT535" s="798">
        <f t="shared" si="531"/>
        <v>1</v>
      </c>
      <c r="AU535" s="798">
        <f t="shared" si="531"/>
        <v>1</v>
      </c>
      <c r="AV535" s="798">
        <f t="shared" si="531"/>
        <v>1</v>
      </c>
      <c r="AW535" s="798">
        <f t="shared" si="531"/>
        <v>1</v>
      </c>
      <c r="AX535" s="798">
        <f t="shared" si="531"/>
        <v>1</v>
      </c>
      <c r="AY535" s="798">
        <f t="shared" si="531"/>
        <v>1</v>
      </c>
      <c r="AZ535" s="798">
        <f t="shared" si="531"/>
        <v>1</v>
      </c>
      <c r="BA535" s="798">
        <f t="shared" si="531"/>
        <v>1</v>
      </c>
      <c r="BB535" s="798">
        <f t="shared" si="531"/>
        <v>1</v>
      </c>
      <c r="BC535" s="798">
        <f t="shared" si="531"/>
        <v>1</v>
      </c>
      <c r="BD535" s="798">
        <f t="shared" si="531"/>
        <v>1</v>
      </c>
      <c r="BE535" s="798">
        <f t="shared" si="531"/>
        <v>1</v>
      </c>
      <c r="BF535" s="798">
        <f t="shared" si="531"/>
        <v>1</v>
      </c>
      <c r="BG535" s="798">
        <f t="shared" si="531"/>
        <v>1</v>
      </c>
      <c r="BH535" s="798">
        <f t="shared" si="531"/>
        <v>1</v>
      </c>
      <c r="BI535" s="798">
        <f t="shared" si="531"/>
        <v>1</v>
      </c>
      <c r="BJ535" s="798">
        <f t="shared" si="531"/>
        <v>1</v>
      </c>
      <c r="BK535" s="798">
        <f t="shared" si="531"/>
        <v>1</v>
      </c>
      <c r="BL535" s="765"/>
      <c r="BM535" s="817"/>
      <c r="BN535" s="817"/>
    </row>
    <row r="536" hidden="1">
      <c r="A536" s="765"/>
      <c r="B536" s="765"/>
      <c r="C536" s="765"/>
      <c r="D536" s="765"/>
      <c r="E536" s="765"/>
      <c r="F536" s="765"/>
      <c r="G536" s="765"/>
      <c r="H536" s="765"/>
      <c r="I536" s="765">
        <f t="shared" si="17"/>
        <v>525</v>
      </c>
      <c r="J536" s="763">
        <f t="shared" si="5"/>
        <v>5.54332E+15</v>
      </c>
      <c r="K536" s="796">
        <f t="shared" si="7"/>
        <v>0.49629</v>
      </c>
      <c r="L536" s="796">
        <v>5.0E-4</v>
      </c>
      <c r="M536" s="763">
        <v>6.32077362327251E15</v>
      </c>
      <c r="N536" s="797">
        <f t="shared" si="8"/>
        <v>0</v>
      </c>
      <c r="O536" s="798">
        <f t="shared" ref="O536:BK536" si="532">FLOOR(MIN((((N("value of ELS upgrade")+N$8*($K536-$K535))*(N("Check checkbox")+(IF($G$6=TRUE,$G$7,$G$8))/$G$8))/(N("ROI of ELS and multiply by 2 if ELS is 1:1")+IF($G$12 = True, 2, 1) * $J536))/((N("difference in ELS+ and the cost of it")+(($K535*O$8)-($K535*N$8)) / O$7)),(N("MIN lets it return 0 or 1 after floored")+1)),1)</f>
        <v>0</v>
      </c>
      <c r="P536" s="798">
        <f t="shared" si="532"/>
        <v>0</v>
      </c>
      <c r="Q536" s="798">
        <f t="shared" si="532"/>
        <v>0</v>
      </c>
      <c r="R536" s="798">
        <f t="shared" si="532"/>
        <v>0</v>
      </c>
      <c r="S536" s="798">
        <f t="shared" si="532"/>
        <v>0</v>
      </c>
      <c r="T536" s="798">
        <f t="shared" si="532"/>
        <v>0</v>
      </c>
      <c r="U536" s="798">
        <f t="shared" si="532"/>
        <v>0</v>
      </c>
      <c r="V536" s="798">
        <f t="shared" si="532"/>
        <v>0</v>
      </c>
      <c r="W536" s="798">
        <f t="shared" si="532"/>
        <v>0</v>
      </c>
      <c r="X536" s="798">
        <f t="shared" si="532"/>
        <v>0</v>
      </c>
      <c r="Y536" s="798">
        <f t="shared" si="532"/>
        <v>0</v>
      </c>
      <c r="Z536" s="798">
        <f t="shared" si="532"/>
        <v>0</v>
      </c>
      <c r="AA536" s="798">
        <f t="shared" si="532"/>
        <v>0</v>
      </c>
      <c r="AB536" s="798">
        <f t="shared" si="532"/>
        <v>0</v>
      </c>
      <c r="AC536" s="798">
        <f t="shared" si="532"/>
        <v>0</v>
      </c>
      <c r="AD536" s="798">
        <f t="shared" si="532"/>
        <v>0</v>
      </c>
      <c r="AE536" s="798">
        <f t="shared" si="532"/>
        <v>0</v>
      </c>
      <c r="AF536" s="798">
        <f t="shared" si="532"/>
        <v>0</v>
      </c>
      <c r="AG536" s="798">
        <f t="shared" si="532"/>
        <v>0</v>
      </c>
      <c r="AH536" s="798">
        <f t="shared" si="532"/>
        <v>0</v>
      </c>
      <c r="AI536" s="798">
        <f t="shared" si="532"/>
        <v>0</v>
      </c>
      <c r="AJ536" s="798">
        <f t="shared" si="532"/>
        <v>0</v>
      </c>
      <c r="AK536" s="798">
        <f t="shared" si="532"/>
        <v>0</v>
      </c>
      <c r="AL536" s="798">
        <f t="shared" si="532"/>
        <v>0</v>
      </c>
      <c r="AM536" s="798">
        <f t="shared" si="532"/>
        <v>0</v>
      </c>
      <c r="AN536" s="798">
        <f t="shared" si="532"/>
        <v>0</v>
      </c>
      <c r="AO536" s="798">
        <f t="shared" si="532"/>
        <v>0</v>
      </c>
      <c r="AP536" s="798">
        <f t="shared" si="532"/>
        <v>0</v>
      </c>
      <c r="AQ536" s="798">
        <f t="shared" si="532"/>
        <v>0</v>
      </c>
      <c r="AR536" s="798">
        <f t="shared" si="532"/>
        <v>1</v>
      </c>
      <c r="AS536" s="798">
        <f t="shared" si="532"/>
        <v>1</v>
      </c>
      <c r="AT536" s="798">
        <f t="shared" si="532"/>
        <v>1</v>
      </c>
      <c r="AU536" s="798">
        <f t="shared" si="532"/>
        <v>1</v>
      </c>
      <c r="AV536" s="798">
        <f t="shared" si="532"/>
        <v>1</v>
      </c>
      <c r="AW536" s="798">
        <f t="shared" si="532"/>
        <v>1</v>
      </c>
      <c r="AX536" s="798">
        <f t="shared" si="532"/>
        <v>1</v>
      </c>
      <c r="AY536" s="798">
        <f t="shared" si="532"/>
        <v>1</v>
      </c>
      <c r="AZ536" s="798">
        <f t="shared" si="532"/>
        <v>1</v>
      </c>
      <c r="BA536" s="798">
        <f t="shared" si="532"/>
        <v>1</v>
      </c>
      <c r="BB536" s="798">
        <f t="shared" si="532"/>
        <v>1</v>
      </c>
      <c r="BC536" s="798">
        <f t="shared" si="532"/>
        <v>1</v>
      </c>
      <c r="BD536" s="798">
        <f t="shared" si="532"/>
        <v>1</v>
      </c>
      <c r="BE536" s="798">
        <f t="shared" si="532"/>
        <v>1</v>
      </c>
      <c r="BF536" s="798">
        <f t="shared" si="532"/>
        <v>1</v>
      </c>
      <c r="BG536" s="798">
        <f t="shared" si="532"/>
        <v>1</v>
      </c>
      <c r="BH536" s="798">
        <f t="shared" si="532"/>
        <v>1</v>
      </c>
      <c r="BI536" s="798">
        <f t="shared" si="532"/>
        <v>1</v>
      </c>
      <c r="BJ536" s="798">
        <f t="shared" si="532"/>
        <v>1</v>
      </c>
      <c r="BK536" s="798">
        <f t="shared" si="532"/>
        <v>1</v>
      </c>
      <c r="BL536" s="765"/>
      <c r="BM536" s="817"/>
      <c r="BN536" s="817"/>
    </row>
    <row r="537" hidden="1">
      <c r="A537" s="765"/>
      <c r="B537" s="765"/>
      <c r="C537" s="765"/>
      <c r="D537" s="765"/>
      <c r="E537" s="765"/>
      <c r="F537" s="765"/>
      <c r="G537" s="765"/>
      <c r="H537" s="765"/>
      <c r="I537" s="765">
        <f t="shared" si="17"/>
        <v>526</v>
      </c>
      <c r="J537" s="763">
        <f t="shared" si="5"/>
        <v>5.56295E+15</v>
      </c>
      <c r="K537" s="796">
        <f t="shared" si="7"/>
        <v>0.49679</v>
      </c>
      <c r="L537" s="796">
        <v>5.0E-4</v>
      </c>
      <c r="M537" s="763">
        <v>6.34316129112711E15</v>
      </c>
      <c r="N537" s="797">
        <f t="shared" si="8"/>
        <v>0</v>
      </c>
      <c r="O537" s="798">
        <f t="shared" ref="O537:BK537" si="533">FLOOR(MIN((((N("value of ELS upgrade")+N$8*($K537-$K536))*(N("Check checkbox")+(IF($G$6=TRUE,$G$7,$G$8))/$G$8))/(N("ROI of ELS and multiply by 2 if ELS is 1:1")+IF($G$12 = True, 2, 1) * $J537))/((N("difference in ELS+ and the cost of it")+(($K536*O$8)-($K536*N$8)) / O$7)),(N("MIN lets it return 0 or 1 after floored")+1)),1)</f>
        <v>0</v>
      </c>
      <c r="P537" s="798">
        <f t="shared" si="533"/>
        <v>0</v>
      </c>
      <c r="Q537" s="798">
        <f t="shared" si="533"/>
        <v>0</v>
      </c>
      <c r="R537" s="798">
        <f t="shared" si="533"/>
        <v>0</v>
      </c>
      <c r="S537" s="798">
        <f t="shared" si="533"/>
        <v>0</v>
      </c>
      <c r="T537" s="798">
        <f t="shared" si="533"/>
        <v>0</v>
      </c>
      <c r="U537" s="798">
        <f t="shared" si="533"/>
        <v>0</v>
      </c>
      <c r="V537" s="798">
        <f t="shared" si="533"/>
        <v>0</v>
      </c>
      <c r="W537" s="798">
        <f t="shared" si="533"/>
        <v>0</v>
      </c>
      <c r="X537" s="798">
        <f t="shared" si="533"/>
        <v>0</v>
      </c>
      <c r="Y537" s="798">
        <f t="shared" si="533"/>
        <v>0</v>
      </c>
      <c r="Z537" s="798">
        <f t="shared" si="533"/>
        <v>0</v>
      </c>
      <c r="AA537" s="798">
        <f t="shared" si="533"/>
        <v>0</v>
      </c>
      <c r="AB537" s="798">
        <f t="shared" si="533"/>
        <v>0</v>
      </c>
      <c r="AC537" s="798">
        <f t="shared" si="533"/>
        <v>0</v>
      </c>
      <c r="AD537" s="798">
        <f t="shared" si="533"/>
        <v>0</v>
      </c>
      <c r="AE537" s="798">
        <f t="shared" si="533"/>
        <v>0</v>
      </c>
      <c r="AF537" s="798">
        <f t="shared" si="533"/>
        <v>0</v>
      </c>
      <c r="AG537" s="798">
        <f t="shared" si="533"/>
        <v>0</v>
      </c>
      <c r="AH537" s="798">
        <f t="shared" si="533"/>
        <v>0</v>
      </c>
      <c r="AI537" s="798">
        <f t="shared" si="533"/>
        <v>0</v>
      </c>
      <c r="AJ537" s="798">
        <f t="shared" si="533"/>
        <v>0</v>
      </c>
      <c r="AK537" s="798">
        <f t="shared" si="533"/>
        <v>0</v>
      </c>
      <c r="AL537" s="798">
        <f t="shared" si="533"/>
        <v>0</v>
      </c>
      <c r="AM537" s="798">
        <f t="shared" si="533"/>
        <v>0</v>
      </c>
      <c r="AN537" s="798">
        <f t="shared" si="533"/>
        <v>0</v>
      </c>
      <c r="AO537" s="798">
        <f t="shared" si="533"/>
        <v>0</v>
      </c>
      <c r="AP537" s="798">
        <f t="shared" si="533"/>
        <v>0</v>
      </c>
      <c r="AQ537" s="798">
        <f t="shared" si="533"/>
        <v>0</v>
      </c>
      <c r="AR537" s="798">
        <f t="shared" si="533"/>
        <v>1</v>
      </c>
      <c r="AS537" s="798">
        <f t="shared" si="533"/>
        <v>1</v>
      </c>
      <c r="AT537" s="798">
        <f t="shared" si="533"/>
        <v>1</v>
      </c>
      <c r="AU537" s="798">
        <f t="shared" si="533"/>
        <v>1</v>
      </c>
      <c r="AV537" s="798">
        <f t="shared" si="533"/>
        <v>1</v>
      </c>
      <c r="AW537" s="798">
        <f t="shared" si="533"/>
        <v>1</v>
      </c>
      <c r="AX537" s="798">
        <f t="shared" si="533"/>
        <v>1</v>
      </c>
      <c r="AY537" s="798">
        <f t="shared" si="533"/>
        <v>1</v>
      </c>
      <c r="AZ537" s="798">
        <f t="shared" si="533"/>
        <v>1</v>
      </c>
      <c r="BA537" s="798">
        <f t="shared" si="533"/>
        <v>1</v>
      </c>
      <c r="BB537" s="798">
        <f t="shared" si="533"/>
        <v>1</v>
      </c>
      <c r="BC537" s="798">
        <f t="shared" si="533"/>
        <v>1</v>
      </c>
      <c r="BD537" s="798">
        <f t="shared" si="533"/>
        <v>1</v>
      </c>
      <c r="BE537" s="798">
        <f t="shared" si="533"/>
        <v>1</v>
      </c>
      <c r="BF537" s="798">
        <f t="shared" si="533"/>
        <v>1</v>
      </c>
      <c r="BG537" s="798">
        <f t="shared" si="533"/>
        <v>1</v>
      </c>
      <c r="BH537" s="798">
        <f t="shared" si="533"/>
        <v>1</v>
      </c>
      <c r="BI537" s="798">
        <f t="shared" si="533"/>
        <v>1</v>
      </c>
      <c r="BJ537" s="798">
        <f t="shared" si="533"/>
        <v>1</v>
      </c>
      <c r="BK537" s="798">
        <f t="shared" si="533"/>
        <v>1</v>
      </c>
      <c r="BL537" s="765"/>
      <c r="BM537" s="817"/>
      <c r="BN537" s="817"/>
    </row>
    <row r="538" hidden="1">
      <c r="A538" s="765"/>
      <c r="B538" s="765"/>
      <c r="C538" s="765"/>
      <c r="D538" s="765"/>
      <c r="E538" s="765"/>
      <c r="F538" s="765"/>
      <c r="G538" s="765"/>
      <c r="H538" s="765"/>
      <c r="I538" s="765">
        <f t="shared" si="17"/>
        <v>527</v>
      </c>
      <c r="J538" s="763">
        <f t="shared" si="5"/>
        <v>5.58265E+15</v>
      </c>
      <c r="K538" s="796">
        <f t="shared" si="7"/>
        <v>0.49729</v>
      </c>
      <c r="L538" s="796">
        <v>5.0E-4</v>
      </c>
      <c r="M538" s="763">
        <v>6.36561656505066E15</v>
      </c>
      <c r="N538" s="797">
        <f t="shared" si="8"/>
        <v>0</v>
      </c>
      <c r="O538" s="798">
        <f t="shared" ref="O538:BK538" si="534">FLOOR(MIN((((N("value of ELS upgrade")+N$8*($K538-$K537))*(N("Check checkbox")+(IF($G$6=TRUE,$G$7,$G$8))/$G$8))/(N("ROI of ELS and multiply by 2 if ELS is 1:1")+IF($G$12 = True, 2, 1) * $J538))/((N("difference in ELS+ and the cost of it")+(($K537*O$8)-($K537*N$8)) / O$7)),(N("MIN lets it return 0 or 1 after floored")+1)),1)</f>
        <v>0</v>
      </c>
      <c r="P538" s="798">
        <f t="shared" si="534"/>
        <v>0</v>
      </c>
      <c r="Q538" s="798">
        <f t="shared" si="534"/>
        <v>0</v>
      </c>
      <c r="R538" s="798">
        <f t="shared" si="534"/>
        <v>0</v>
      </c>
      <c r="S538" s="798">
        <f t="shared" si="534"/>
        <v>0</v>
      </c>
      <c r="T538" s="798">
        <f t="shared" si="534"/>
        <v>0</v>
      </c>
      <c r="U538" s="798">
        <f t="shared" si="534"/>
        <v>0</v>
      </c>
      <c r="V538" s="798">
        <f t="shared" si="534"/>
        <v>0</v>
      </c>
      <c r="W538" s="798">
        <f t="shared" si="534"/>
        <v>0</v>
      </c>
      <c r="X538" s="798">
        <f t="shared" si="534"/>
        <v>0</v>
      </c>
      <c r="Y538" s="798">
        <f t="shared" si="534"/>
        <v>0</v>
      </c>
      <c r="Z538" s="798">
        <f t="shared" si="534"/>
        <v>0</v>
      </c>
      <c r="AA538" s="798">
        <f t="shared" si="534"/>
        <v>0</v>
      </c>
      <c r="AB538" s="798">
        <f t="shared" si="534"/>
        <v>0</v>
      </c>
      <c r="AC538" s="798">
        <f t="shared" si="534"/>
        <v>0</v>
      </c>
      <c r="AD538" s="798">
        <f t="shared" si="534"/>
        <v>0</v>
      </c>
      <c r="AE538" s="798">
        <f t="shared" si="534"/>
        <v>0</v>
      </c>
      <c r="AF538" s="798">
        <f t="shared" si="534"/>
        <v>0</v>
      </c>
      <c r="AG538" s="798">
        <f t="shared" si="534"/>
        <v>0</v>
      </c>
      <c r="AH538" s="798">
        <f t="shared" si="534"/>
        <v>0</v>
      </c>
      <c r="AI538" s="798">
        <f t="shared" si="534"/>
        <v>0</v>
      </c>
      <c r="AJ538" s="798">
        <f t="shared" si="534"/>
        <v>0</v>
      </c>
      <c r="AK538" s="798">
        <f t="shared" si="534"/>
        <v>0</v>
      </c>
      <c r="AL538" s="798">
        <f t="shared" si="534"/>
        <v>0</v>
      </c>
      <c r="AM538" s="798">
        <f t="shared" si="534"/>
        <v>0</v>
      </c>
      <c r="AN538" s="798">
        <f t="shared" si="534"/>
        <v>0</v>
      </c>
      <c r="AO538" s="798">
        <f t="shared" si="534"/>
        <v>0</v>
      </c>
      <c r="AP538" s="798">
        <f t="shared" si="534"/>
        <v>0</v>
      </c>
      <c r="AQ538" s="798">
        <f t="shared" si="534"/>
        <v>0</v>
      </c>
      <c r="AR538" s="798">
        <f t="shared" si="534"/>
        <v>1</v>
      </c>
      <c r="AS538" s="798">
        <f t="shared" si="534"/>
        <v>1</v>
      </c>
      <c r="AT538" s="798">
        <f t="shared" si="534"/>
        <v>1</v>
      </c>
      <c r="AU538" s="798">
        <f t="shared" si="534"/>
        <v>1</v>
      </c>
      <c r="AV538" s="798">
        <f t="shared" si="534"/>
        <v>1</v>
      </c>
      <c r="AW538" s="798">
        <f t="shared" si="534"/>
        <v>1</v>
      </c>
      <c r="AX538" s="798">
        <f t="shared" si="534"/>
        <v>1</v>
      </c>
      <c r="AY538" s="798">
        <f t="shared" si="534"/>
        <v>1</v>
      </c>
      <c r="AZ538" s="798">
        <f t="shared" si="534"/>
        <v>1</v>
      </c>
      <c r="BA538" s="798">
        <f t="shared" si="534"/>
        <v>1</v>
      </c>
      <c r="BB538" s="798">
        <f t="shared" si="534"/>
        <v>1</v>
      </c>
      <c r="BC538" s="798">
        <f t="shared" si="534"/>
        <v>1</v>
      </c>
      <c r="BD538" s="798">
        <f t="shared" si="534"/>
        <v>1</v>
      </c>
      <c r="BE538" s="798">
        <f t="shared" si="534"/>
        <v>1</v>
      </c>
      <c r="BF538" s="798">
        <f t="shared" si="534"/>
        <v>1</v>
      </c>
      <c r="BG538" s="798">
        <f t="shared" si="534"/>
        <v>1</v>
      </c>
      <c r="BH538" s="798">
        <f t="shared" si="534"/>
        <v>1</v>
      </c>
      <c r="BI538" s="798">
        <f t="shared" si="534"/>
        <v>1</v>
      </c>
      <c r="BJ538" s="798">
        <f t="shared" si="534"/>
        <v>1</v>
      </c>
      <c r="BK538" s="798">
        <f t="shared" si="534"/>
        <v>1</v>
      </c>
      <c r="BL538" s="765"/>
      <c r="BM538" s="817"/>
      <c r="BN538" s="817"/>
    </row>
    <row r="539" hidden="1">
      <c r="A539" s="765"/>
      <c r="B539" s="765"/>
      <c r="C539" s="765"/>
      <c r="D539" s="765"/>
      <c r="E539" s="765"/>
      <c r="F539" s="765"/>
      <c r="G539" s="765"/>
      <c r="H539" s="765"/>
      <c r="I539" s="765">
        <f t="shared" si="17"/>
        <v>528</v>
      </c>
      <c r="J539" s="763">
        <f t="shared" si="5"/>
        <v>5.6024E+15</v>
      </c>
      <c r="K539" s="796">
        <f t="shared" si="7"/>
        <v>0.49779</v>
      </c>
      <c r="L539" s="796">
        <v>5.0E-4</v>
      </c>
      <c r="M539" s="763">
        <v>6.38813967897419E15</v>
      </c>
      <c r="N539" s="797">
        <f t="shared" si="8"/>
        <v>0</v>
      </c>
      <c r="O539" s="798">
        <f t="shared" ref="O539:BK539" si="535">FLOOR(MIN((((N("value of ELS upgrade")+N$8*($K539-$K538))*(N("Check checkbox")+(IF($G$6=TRUE,$G$7,$G$8))/$G$8))/(N("ROI of ELS and multiply by 2 if ELS is 1:1")+IF($G$12 = True, 2, 1) * $J539))/((N("difference in ELS+ and the cost of it")+(($K538*O$8)-($K538*N$8)) / O$7)),(N("MIN lets it return 0 or 1 after floored")+1)),1)</f>
        <v>0</v>
      </c>
      <c r="P539" s="798">
        <f t="shared" si="535"/>
        <v>0</v>
      </c>
      <c r="Q539" s="798">
        <f t="shared" si="535"/>
        <v>0</v>
      </c>
      <c r="R539" s="798">
        <f t="shared" si="535"/>
        <v>0</v>
      </c>
      <c r="S539" s="798">
        <f t="shared" si="535"/>
        <v>0</v>
      </c>
      <c r="T539" s="798">
        <f t="shared" si="535"/>
        <v>0</v>
      </c>
      <c r="U539" s="798">
        <f t="shared" si="535"/>
        <v>0</v>
      </c>
      <c r="V539" s="798">
        <f t="shared" si="535"/>
        <v>0</v>
      </c>
      <c r="W539" s="798">
        <f t="shared" si="535"/>
        <v>0</v>
      </c>
      <c r="X539" s="798">
        <f t="shared" si="535"/>
        <v>0</v>
      </c>
      <c r="Y539" s="798">
        <f t="shared" si="535"/>
        <v>0</v>
      </c>
      <c r="Z539" s="798">
        <f t="shared" si="535"/>
        <v>0</v>
      </c>
      <c r="AA539" s="798">
        <f t="shared" si="535"/>
        <v>0</v>
      </c>
      <c r="AB539" s="798">
        <f t="shared" si="535"/>
        <v>0</v>
      </c>
      <c r="AC539" s="798">
        <f t="shared" si="535"/>
        <v>0</v>
      </c>
      <c r="AD539" s="798">
        <f t="shared" si="535"/>
        <v>0</v>
      </c>
      <c r="AE539" s="798">
        <f t="shared" si="535"/>
        <v>0</v>
      </c>
      <c r="AF539" s="798">
        <f t="shared" si="535"/>
        <v>0</v>
      </c>
      <c r="AG539" s="798">
        <f t="shared" si="535"/>
        <v>0</v>
      </c>
      <c r="AH539" s="798">
        <f t="shared" si="535"/>
        <v>0</v>
      </c>
      <c r="AI539" s="798">
        <f t="shared" si="535"/>
        <v>0</v>
      </c>
      <c r="AJ539" s="798">
        <f t="shared" si="535"/>
        <v>0</v>
      </c>
      <c r="AK539" s="798">
        <f t="shared" si="535"/>
        <v>0</v>
      </c>
      <c r="AL539" s="798">
        <f t="shared" si="535"/>
        <v>0</v>
      </c>
      <c r="AM539" s="798">
        <f t="shared" si="535"/>
        <v>0</v>
      </c>
      <c r="AN539" s="798">
        <f t="shared" si="535"/>
        <v>0</v>
      </c>
      <c r="AO539" s="798">
        <f t="shared" si="535"/>
        <v>0</v>
      </c>
      <c r="AP539" s="798">
        <f t="shared" si="535"/>
        <v>0</v>
      </c>
      <c r="AQ539" s="798">
        <f t="shared" si="535"/>
        <v>0</v>
      </c>
      <c r="AR539" s="798">
        <f t="shared" si="535"/>
        <v>1</v>
      </c>
      <c r="AS539" s="798">
        <f t="shared" si="535"/>
        <v>1</v>
      </c>
      <c r="AT539" s="798">
        <f t="shared" si="535"/>
        <v>1</v>
      </c>
      <c r="AU539" s="798">
        <f t="shared" si="535"/>
        <v>1</v>
      </c>
      <c r="AV539" s="798">
        <f t="shared" si="535"/>
        <v>1</v>
      </c>
      <c r="AW539" s="798">
        <f t="shared" si="535"/>
        <v>1</v>
      </c>
      <c r="AX539" s="798">
        <f t="shared" si="535"/>
        <v>1</v>
      </c>
      <c r="AY539" s="798">
        <f t="shared" si="535"/>
        <v>1</v>
      </c>
      <c r="AZ539" s="798">
        <f t="shared" si="535"/>
        <v>1</v>
      </c>
      <c r="BA539" s="798">
        <f t="shared" si="535"/>
        <v>1</v>
      </c>
      <c r="BB539" s="798">
        <f t="shared" si="535"/>
        <v>1</v>
      </c>
      <c r="BC539" s="798">
        <f t="shared" si="535"/>
        <v>1</v>
      </c>
      <c r="BD539" s="798">
        <f t="shared" si="535"/>
        <v>1</v>
      </c>
      <c r="BE539" s="798">
        <f t="shared" si="535"/>
        <v>1</v>
      </c>
      <c r="BF539" s="798">
        <f t="shared" si="535"/>
        <v>1</v>
      </c>
      <c r="BG539" s="798">
        <f t="shared" si="535"/>
        <v>1</v>
      </c>
      <c r="BH539" s="798">
        <f t="shared" si="535"/>
        <v>1</v>
      </c>
      <c r="BI539" s="798">
        <f t="shared" si="535"/>
        <v>1</v>
      </c>
      <c r="BJ539" s="798">
        <f t="shared" si="535"/>
        <v>1</v>
      </c>
      <c r="BK539" s="798">
        <f t="shared" si="535"/>
        <v>1</v>
      </c>
      <c r="BL539" s="765"/>
      <c r="BM539" s="817"/>
      <c r="BN539" s="817"/>
    </row>
    <row r="540" hidden="1">
      <c r="A540" s="765"/>
      <c r="B540" s="765"/>
      <c r="C540" s="765"/>
      <c r="D540" s="765"/>
      <c r="E540" s="765"/>
      <c r="F540" s="765"/>
      <c r="G540" s="765"/>
      <c r="H540" s="765"/>
      <c r="I540" s="765">
        <f t="shared" si="17"/>
        <v>529</v>
      </c>
      <c r="J540" s="763">
        <f t="shared" si="5"/>
        <v>5.62221E+15</v>
      </c>
      <c r="K540" s="796">
        <f t="shared" si="7"/>
        <v>0.49829</v>
      </c>
      <c r="L540" s="796">
        <v>5.0E-4</v>
      </c>
      <c r="M540" s="763">
        <v>6.41073086682873E15</v>
      </c>
      <c r="N540" s="797">
        <f t="shared" si="8"/>
        <v>0</v>
      </c>
      <c r="O540" s="798">
        <f t="shared" ref="O540:BK540" si="536">FLOOR(MIN((((N("value of ELS upgrade")+N$8*($K540-$K539))*(N("Check checkbox")+(IF($G$6=TRUE,$G$7,$G$8))/$G$8))/(N("ROI of ELS and multiply by 2 if ELS is 1:1")+IF($G$12 = True, 2, 1) * $J540))/((N("difference in ELS+ and the cost of it")+(($K539*O$8)-($K539*N$8)) / O$7)),(N("MIN lets it return 0 or 1 after floored")+1)),1)</f>
        <v>0</v>
      </c>
      <c r="P540" s="798">
        <f t="shared" si="536"/>
        <v>0</v>
      </c>
      <c r="Q540" s="798">
        <f t="shared" si="536"/>
        <v>0</v>
      </c>
      <c r="R540" s="798">
        <f t="shared" si="536"/>
        <v>0</v>
      </c>
      <c r="S540" s="798">
        <f t="shared" si="536"/>
        <v>0</v>
      </c>
      <c r="T540" s="798">
        <f t="shared" si="536"/>
        <v>0</v>
      </c>
      <c r="U540" s="798">
        <f t="shared" si="536"/>
        <v>0</v>
      </c>
      <c r="V540" s="798">
        <f t="shared" si="536"/>
        <v>0</v>
      </c>
      <c r="W540" s="798">
        <f t="shared" si="536"/>
        <v>0</v>
      </c>
      <c r="X540" s="798">
        <f t="shared" si="536"/>
        <v>0</v>
      </c>
      <c r="Y540" s="798">
        <f t="shared" si="536"/>
        <v>0</v>
      </c>
      <c r="Z540" s="798">
        <f t="shared" si="536"/>
        <v>0</v>
      </c>
      <c r="AA540" s="798">
        <f t="shared" si="536"/>
        <v>0</v>
      </c>
      <c r="AB540" s="798">
        <f t="shared" si="536"/>
        <v>0</v>
      </c>
      <c r="AC540" s="798">
        <f t="shared" si="536"/>
        <v>0</v>
      </c>
      <c r="AD540" s="798">
        <f t="shared" si="536"/>
        <v>0</v>
      </c>
      <c r="AE540" s="798">
        <f t="shared" si="536"/>
        <v>0</v>
      </c>
      <c r="AF540" s="798">
        <f t="shared" si="536"/>
        <v>0</v>
      </c>
      <c r="AG540" s="798">
        <f t="shared" si="536"/>
        <v>0</v>
      </c>
      <c r="AH540" s="798">
        <f t="shared" si="536"/>
        <v>0</v>
      </c>
      <c r="AI540" s="798">
        <f t="shared" si="536"/>
        <v>0</v>
      </c>
      <c r="AJ540" s="798">
        <f t="shared" si="536"/>
        <v>0</v>
      </c>
      <c r="AK540" s="798">
        <f t="shared" si="536"/>
        <v>0</v>
      </c>
      <c r="AL540" s="798">
        <f t="shared" si="536"/>
        <v>0</v>
      </c>
      <c r="AM540" s="798">
        <f t="shared" si="536"/>
        <v>0</v>
      </c>
      <c r="AN540" s="798">
        <f t="shared" si="536"/>
        <v>0</v>
      </c>
      <c r="AO540" s="798">
        <f t="shared" si="536"/>
        <v>0</v>
      </c>
      <c r="AP540" s="798">
        <f t="shared" si="536"/>
        <v>0</v>
      </c>
      <c r="AQ540" s="798">
        <f t="shared" si="536"/>
        <v>0</v>
      </c>
      <c r="AR540" s="798">
        <f t="shared" si="536"/>
        <v>1</v>
      </c>
      <c r="AS540" s="798">
        <f t="shared" si="536"/>
        <v>1</v>
      </c>
      <c r="AT540" s="798">
        <f t="shared" si="536"/>
        <v>1</v>
      </c>
      <c r="AU540" s="798">
        <f t="shared" si="536"/>
        <v>1</v>
      </c>
      <c r="AV540" s="798">
        <f t="shared" si="536"/>
        <v>1</v>
      </c>
      <c r="AW540" s="798">
        <f t="shared" si="536"/>
        <v>1</v>
      </c>
      <c r="AX540" s="798">
        <f t="shared" si="536"/>
        <v>1</v>
      </c>
      <c r="AY540" s="798">
        <f t="shared" si="536"/>
        <v>1</v>
      </c>
      <c r="AZ540" s="798">
        <f t="shared" si="536"/>
        <v>1</v>
      </c>
      <c r="BA540" s="798">
        <f t="shared" si="536"/>
        <v>1</v>
      </c>
      <c r="BB540" s="798">
        <f t="shared" si="536"/>
        <v>1</v>
      </c>
      <c r="BC540" s="798">
        <f t="shared" si="536"/>
        <v>1</v>
      </c>
      <c r="BD540" s="798">
        <f t="shared" si="536"/>
        <v>1</v>
      </c>
      <c r="BE540" s="798">
        <f t="shared" si="536"/>
        <v>1</v>
      </c>
      <c r="BF540" s="798">
        <f t="shared" si="536"/>
        <v>1</v>
      </c>
      <c r="BG540" s="798">
        <f t="shared" si="536"/>
        <v>1</v>
      </c>
      <c r="BH540" s="798">
        <f t="shared" si="536"/>
        <v>1</v>
      </c>
      <c r="BI540" s="798">
        <f t="shared" si="536"/>
        <v>1</v>
      </c>
      <c r="BJ540" s="798">
        <f t="shared" si="536"/>
        <v>1</v>
      </c>
      <c r="BK540" s="798">
        <f t="shared" si="536"/>
        <v>1</v>
      </c>
      <c r="BL540" s="765"/>
      <c r="BM540" s="817"/>
      <c r="BN540" s="817"/>
    </row>
    <row r="541" hidden="1">
      <c r="A541" s="765"/>
      <c r="B541" s="765"/>
      <c r="C541" s="765"/>
      <c r="D541" s="765"/>
      <c r="E541" s="765"/>
      <c r="F541" s="765"/>
      <c r="G541" s="765"/>
      <c r="H541" s="765"/>
      <c r="I541" s="765">
        <f t="shared" si="17"/>
        <v>530</v>
      </c>
      <c r="J541" s="763">
        <f t="shared" si="5"/>
        <v>5.64208E+15</v>
      </c>
      <c r="K541" s="796">
        <f t="shared" si="7"/>
        <v>0.49879</v>
      </c>
      <c r="L541" s="796">
        <v>5.0E-4</v>
      </c>
      <c r="M541" s="763">
        <v>6.43339012861428E15</v>
      </c>
      <c r="N541" s="797">
        <f t="shared" si="8"/>
        <v>0</v>
      </c>
      <c r="O541" s="798">
        <f t="shared" ref="O541:BK541" si="537">FLOOR(MIN((((N("value of ELS upgrade")+N$8*($K541-$K540))*(N("Check checkbox")+(IF($G$6=TRUE,$G$7,$G$8))/$G$8))/(N("ROI of ELS and multiply by 2 if ELS is 1:1")+IF($G$12 = True, 2, 1) * $J541))/((N("difference in ELS+ and the cost of it")+(($K540*O$8)-($K540*N$8)) / O$7)),(N("MIN lets it return 0 or 1 after floored")+1)),1)</f>
        <v>0</v>
      </c>
      <c r="P541" s="798">
        <f t="shared" si="537"/>
        <v>0</v>
      </c>
      <c r="Q541" s="798">
        <f t="shared" si="537"/>
        <v>0</v>
      </c>
      <c r="R541" s="798">
        <f t="shared" si="537"/>
        <v>0</v>
      </c>
      <c r="S541" s="798">
        <f t="shared" si="537"/>
        <v>0</v>
      </c>
      <c r="T541" s="798">
        <f t="shared" si="537"/>
        <v>0</v>
      </c>
      <c r="U541" s="798">
        <f t="shared" si="537"/>
        <v>0</v>
      </c>
      <c r="V541" s="798">
        <f t="shared" si="537"/>
        <v>0</v>
      </c>
      <c r="W541" s="798">
        <f t="shared" si="537"/>
        <v>0</v>
      </c>
      <c r="X541" s="798">
        <f t="shared" si="537"/>
        <v>0</v>
      </c>
      <c r="Y541" s="798">
        <f t="shared" si="537"/>
        <v>0</v>
      </c>
      <c r="Z541" s="798">
        <f t="shared" si="537"/>
        <v>0</v>
      </c>
      <c r="AA541" s="798">
        <f t="shared" si="537"/>
        <v>0</v>
      </c>
      <c r="AB541" s="798">
        <f t="shared" si="537"/>
        <v>0</v>
      </c>
      <c r="AC541" s="798">
        <f t="shared" si="537"/>
        <v>0</v>
      </c>
      <c r="AD541" s="798">
        <f t="shared" si="537"/>
        <v>0</v>
      </c>
      <c r="AE541" s="798">
        <f t="shared" si="537"/>
        <v>0</v>
      </c>
      <c r="AF541" s="798">
        <f t="shared" si="537"/>
        <v>0</v>
      </c>
      <c r="AG541" s="798">
        <f t="shared" si="537"/>
        <v>0</v>
      </c>
      <c r="AH541" s="798">
        <f t="shared" si="537"/>
        <v>0</v>
      </c>
      <c r="AI541" s="798">
        <f t="shared" si="537"/>
        <v>0</v>
      </c>
      <c r="AJ541" s="798">
        <f t="shared" si="537"/>
        <v>0</v>
      </c>
      <c r="AK541" s="798">
        <f t="shared" si="537"/>
        <v>0</v>
      </c>
      <c r="AL541" s="798">
        <f t="shared" si="537"/>
        <v>0</v>
      </c>
      <c r="AM541" s="798">
        <f t="shared" si="537"/>
        <v>0</v>
      </c>
      <c r="AN541" s="798">
        <f t="shared" si="537"/>
        <v>0</v>
      </c>
      <c r="AO541" s="798">
        <f t="shared" si="537"/>
        <v>0</v>
      </c>
      <c r="AP541" s="798">
        <f t="shared" si="537"/>
        <v>0</v>
      </c>
      <c r="AQ541" s="798">
        <f t="shared" si="537"/>
        <v>0</v>
      </c>
      <c r="AR541" s="798">
        <f t="shared" si="537"/>
        <v>1</v>
      </c>
      <c r="AS541" s="798">
        <f t="shared" si="537"/>
        <v>1</v>
      </c>
      <c r="AT541" s="798">
        <f t="shared" si="537"/>
        <v>1</v>
      </c>
      <c r="AU541" s="798">
        <f t="shared" si="537"/>
        <v>1</v>
      </c>
      <c r="AV541" s="798">
        <f t="shared" si="537"/>
        <v>1</v>
      </c>
      <c r="AW541" s="798">
        <f t="shared" si="537"/>
        <v>1</v>
      </c>
      <c r="AX541" s="798">
        <f t="shared" si="537"/>
        <v>1</v>
      </c>
      <c r="AY541" s="798">
        <f t="shared" si="537"/>
        <v>1</v>
      </c>
      <c r="AZ541" s="798">
        <f t="shared" si="537"/>
        <v>1</v>
      </c>
      <c r="BA541" s="798">
        <f t="shared" si="537"/>
        <v>1</v>
      </c>
      <c r="BB541" s="798">
        <f t="shared" si="537"/>
        <v>1</v>
      </c>
      <c r="BC541" s="798">
        <f t="shared" si="537"/>
        <v>1</v>
      </c>
      <c r="BD541" s="798">
        <f t="shared" si="537"/>
        <v>1</v>
      </c>
      <c r="BE541" s="798">
        <f t="shared" si="537"/>
        <v>1</v>
      </c>
      <c r="BF541" s="798">
        <f t="shared" si="537"/>
        <v>1</v>
      </c>
      <c r="BG541" s="798">
        <f t="shared" si="537"/>
        <v>1</v>
      </c>
      <c r="BH541" s="798">
        <f t="shared" si="537"/>
        <v>1</v>
      </c>
      <c r="BI541" s="798">
        <f t="shared" si="537"/>
        <v>1</v>
      </c>
      <c r="BJ541" s="798">
        <f t="shared" si="537"/>
        <v>1</v>
      </c>
      <c r="BK541" s="798">
        <f t="shared" si="537"/>
        <v>1</v>
      </c>
      <c r="BL541" s="765"/>
      <c r="BM541" s="817"/>
      <c r="BN541" s="817"/>
    </row>
    <row r="542" hidden="1">
      <c r="A542" s="765"/>
      <c r="B542" s="765"/>
      <c r="C542" s="765"/>
      <c r="D542" s="765"/>
      <c r="E542" s="765"/>
      <c r="F542" s="765"/>
      <c r="G542" s="765"/>
      <c r="H542" s="765"/>
      <c r="I542" s="765">
        <f t="shared" si="17"/>
        <v>531</v>
      </c>
      <c r="J542" s="763">
        <f t="shared" si="5"/>
        <v>5.66202E+15</v>
      </c>
      <c r="K542" s="796">
        <f t="shared" si="7"/>
        <v>0.49929</v>
      </c>
      <c r="L542" s="796">
        <v>5.0E-4</v>
      </c>
      <c r="M542" s="763">
        <v>6.45611769826188E15</v>
      </c>
      <c r="N542" s="797">
        <f t="shared" si="8"/>
        <v>0</v>
      </c>
      <c r="O542" s="798">
        <f t="shared" ref="O542:BK542" si="538">FLOOR(MIN((((N("value of ELS upgrade")+N$8*($K542-$K541))*(N("Check checkbox")+(IF($G$6=TRUE,$G$7,$G$8))/$G$8))/(N("ROI of ELS and multiply by 2 if ELS is 1:1")+IF($G$12 = True, 2, 1) * $J542))/((N("difference in ELS+ and the cost of it")+(($K541*O$8)-($K541*N$8)) / O$7)),(N("MIN lets it return 0 or 1 after floored")+1)),1)</f>
        <v>0</v>
      </c>
      <c r="P542" s="798">
        <f t="shared" si="538"/>
        <v>0</v>
      </c>
      <c r="Q542" s="798">
        <f t="shared" si="538"/>
        <v>0</v>
      </c>
      <c r="R542" s="798">
        <f t="shared" si="538"/>
        <v>0</v>
      </c>
      <c r="S542" s="798">
        <f t="shared" si="538"/>
        <v>0</v>
      </c>
      <c r="T542" s="798">
        <f t="shared" si="538"/>
        <v>0</v>
      </c>
      <c r="U542" s="798">
        <f t="shared" si="538"/>
        <v>0</v>
      </c>
      <c r="V542" s="798">
        <f t="shared" si="538"/>
        <v>0</v>
      </c>
      <c r="W542" s="798">
        <f t="shared" si="538"/>
        <v>0</v>
      </c>
      <c r="X542" s="798">
        <f t="shared" si="538"/>
        <v>0</v>
      </c>
      <c r="Y542" s="798">
        <f t="shared" si="538"/>
        <v>0</v>
      </c>
      <c r="Z542" s="798">
        <f t="shared" si="538"/>
        <v>0</v>
      </c>
      <c r="AA542" s="798">
        <f t="shared" si="538"/>
        <v>0</v>
      </c>
      <c r="AB542" s="798">
        <f t="shared" si="538"/>
        <v>0</v>
      </c>
      <c r="AC542" s="798">
        <f t="shared" si="538"/>
        <v>0</v>
      </c>
      <c r="AD542" s="798">
        <f t="shared" si="538"/>
        <v>0</v>
      </c>
      <c r="AE542" s="798">
        <f t="shared" si="538"/>
        <v>0</v>
      </c>
      <c r="AF542" s="798">
        <f t="shared" si="538"/>
        <v>0</v>
      </c>
      <c r="AG542" s="798">
        <f t="shared" si="538"/>
        <v>0</v>
      </c>
      <c r="AH542" s="798">
        <f t="shared" si="538"/>
        <v>0</v>
      </c>
      <c r="AI542" s="798">
        <f t="shared" si="538"/>
        <v>0</v>
      </c>
      <c r="AJ542" s="798">
        <f t="shared" si="538"/>
        <v>0</v>
      </c>
      <c r="AK542" s="798">
        <f t="shared" si="538"/>
        <v>0</v>
      </c>
      <c r="AL542" s="798">
        <f t="shared" si="538"/>
        <v>0</v>
      </c>
      <c r="AM542" s="798">
        <f t="shared" si="538"/>
        <v>0</v>
      </c>
      <c r="AN542" s="798">
        <f t="shared" si="538"/>
        <v>0</v>
      </c>
      <c r="AO542" s="798">
        <f t="shared" si="538"/>
        <v>0</v>
      </c>
      <c r="AP542" s="798">
        <f t="shared" si="538"/>
        <v>0</v>
      </c>
      <c r="AQ542" s="798">
        <f t="shared" si="538"/>
        <v>0</v>
      </c>
      <c r="AR542" s="798">
        <f t="shared" si="538"/>
        <v>1</v>
      </c>
      <c r="AS542" s="798">
        <f t="shared" si="538"/>
        <v>1</v>
      </c>
      <c r="AT542" s="798">
        <f t="shared" si="538"/>
        <v>1</v>
      </c>
      <c r="AU542" s="798">
        <f t="shared" si="538"/>
        <v>1</v>
      </c>
      <c r="AV542" s="798">
        <f t="shared" si="538"/>
        <v>1</v>
      </c>
      <c r="AW542" s="798">
        <f t="shared" si="538"/>
        <v>1</v>
      </c>
      <c r="AX542" s="798">
        <f t="shared" si="538"/>
        <v>1</v>
      </c>
      <c r="AY542" s="798">
        <f t="shared" si="538"/>
        <v>1</v>
      </c>
      <c r="AZ542" s="798">
        <f t="shared" si="538"/>
        <v>1</v>
      </c>
      <c r="BA542" s="798">
        <f t="shared" si="538"/>
        <v>1</v>
      </c>
      <c r="BB542" s="798">
        <f t="shared" si="538"/>
        <v>1</v>
      </c>
      <c r="BC542" s="798">
        <f t="shared" si="538"/>
        <v>1</v>
      </c>
      <c r="BD542" s="798">
        <f t="shared" si="538"/>
        <v>1</v>
      </c>
      <c r="BE542" s="798">
        <f t="shared" si="538"/>
        <v>1</v>
      </c>
      <c r="BF542" s="798">
        <f t="shared" si="538"/>
        <v>1</v>
      </c>
      <c r="BG542" s="798">
        <f t="shared" si="538"/>
        <v>1</v>
      </c>
      <c r="BH542" s="798">
        <f t="shared" si="538"/>
        <v>1</v>
      </c>
      <c r="BI542" s="798">
        <f t="shared" si="538"/>
        <v>1</v>
      </c>
      <c r="BJ542" s="798">
        <f t="shared" si="538"/>
        <v>1</v>
      </c>
      <c r="BK542" s="798">
        <f t="shared" si="538"/>
        <v>1</v>
      </c>
      <c r="BL542" s="765"/>
      <c r="BM542" s="817"/>
      <c r="BN542" s="817"/>
    </row>
    <row r="543" hidden="1">
      <c r="A543" s="765"/>
      <c r="B543" s="765"/>
      <c r="C543" s="765"/>
      <c r="D543" s="765"/>
      <c r="E543" s="765"/>
      <c r="F543" s="765"/>
      <c r="G543" s="765"/>
      <c r="H543" s="765"/>
      <c r="I543" s="765">
        <f t="shared" si="17"/>
        <v>532</v>
      </c>
      <c r="J543" s="763">
        <f t="shared" si="5"/>
        <v>5.68201E+15</v>
      </c>
      <c r="K543" s="796">
        <f t="shared" si="7"/>
        <v>0.49979</v>
      </c>
      <c r="L543" s="796">
        <v>5.0E-4</v>
      </c>
      <c r="M543" s="763">
        <v>6.47891404363359E15</v>
      </c>
      <c r="N543" s="797">
        <f t="shared" si="8"/>
        <v>0</v>
      </c>
      <c r="O543" s="798">
        <f t="shared" ref="O543:BK543" si="539">FLOOR(MIN((((N("value of ELS upgrade")+N$8*($K543-$K542))*(N("Check checkbox")+(IF($G$6=TRUE,$G$7,$G$8))/$G$8))/(N("ROI of ELS and multiply by 2 if ELS is 1:1")+IF($G$12 = True, 2, 1) * $J543))/((N("difference in ELS+ and the cost of it")+(($K542*O$8)-($K542*N$8)) / O$7)),(N("MIN lets it return 0 or 1 after floored")+1)),1)</f>
        <v>0</v>
      </c>
      <c r="P543" s="798">
        <f t="shared" si="539"/>
        <v>0</v>
      </c>
      <c r="Q543" s="798">
        <f t="shared" si="539"/>
        <v>0</v>
      </c>
      <c r="R543" s="798">
        <f t="shared" si="539"/>
        <v>0</v>
      </c>
      <c r="S543" s="798">
        <f t="shared" si="539"/>
        <v>0</v>
      </c>
      <c r="T543" s="798">
        <f t="shared" si="539"/>
        <v>0</v>
      </c>
      <c r="U543" s="798">
        <f t="shared" si="539"/>
        <v>0</v>
      </c>
      <c r="V543" s="798">
        <f t="shared" si="539"/>
        <v>0</v>
      </c>
      <c r="W543" s="798">
        <f t="shared" si="539"/>
        <v>0</v>
      </c>
      <c r="X543" s="798">
        <f t="shared" si="539"/>
        <v>0</v>
      </c>
      <c r="Y543" s="798">
        <f t="shared" si="539"/>
        <v>0</v>
      </c>
      <c r="Z543" s="798">
        <f t="shared" si="539"/>
        <v>0</v>
      </c>
      <c r="AA543" s="798">
        <f t="shared" si="539"/>
        <v>0</v>
      </c>
      <c r="AB543" s="798">
        <f t="shared" si="539"/>
        <v>0</v>
      </c>
      <c r="AC543" s="798">
        <f t="shared" si="539"/>
        <v>0</v>
      </c>
      <c r="AD543" s="798">
        <f t="shared" si="539"/>
        <v>0</v>
      </c>
      <c r="AE543" s="798">
        <f t="shared" si="539"/>
        <v>0</v>
      </c>
      <c r="AF543" s="798">
        <f t="shared" si="539"/>
        <v>0</v>
      </c>
      <c r="AG543" s="798">
        <f t="shared" si="539"/>
        <v>0</v>
      </c>
      <c r="AH543" s="798">
        <f t="shared" si="539"/>
        <v>0</v>
      </c>
      <c r="AI543" s="798">
        <f t="shared" si="539"/>
        <v>0</v>
      </c>
      <c r="AJ543" s="798">
        <f t="shared" si="539"/>
        <v>0</v>
      </c>
      <c r="AK543" s="798">
        <f t="shared" si="539"/>
        <v>0</v>
      </c>
      <c r="AL543" s="798">
        <f t="shared" si="539"/>
        <v>0</v>
      </c>
      <c r="AM543" s="798">
        <f t="shared" si="539"/>
        <v>0</v>
      </c>
      <c r="AN543" s="798">
        <f t="shared" si="539"/>
        <v>0</v>
      </c>
      <c r="AO543" s="798">
        <f t="shared" si="539"/>
        <v>0</v>
      </c>
      <c r="AP543" s="798">
        <f t="shared" si="539"/>
        <v>0</v>
      </c>
      <c r="AQ543" s="798">
        <f t="shared" si="539"/>
        <v>0</v>
      </c>
      <c r="AR543" s="798">
        <f t="shared" si="539"/>
        <v>1</v>
      </c>
      <c r="AS543" s="798">
        <f t="shared" si="539"/>
        <v>1</v>
      </c>
      <c r="AT543" s="798">
        <f t="shared" si="539"/>
        <v>1</v>
      </c>
      <c r="AU543" s="798">
        <f t="shared" si="539"/>
        <v>1</v>
      </c>
      <c r="AV543" s="798">
        <f t="shared" si="539"/>
        <v>1</v>
      </c>
      <c r="AW543" s="798">
        <f t="shared" si="539"/>
        <v>1</v>
      </c>
      <c r="AX543" s="798">
        <f t="shared" si="539"/>
        <v>1</v>
      </c>
      <c r="AY543" s="798">
        <f t="shared" si="539"/>
        <v>1</v>
      </c>
      <c r="AZ543" s="798">
        <f t="shared" si="539"/>
        <v>1</v>
      </c>
      <c r="BA543" s="798">
        <f t="shared" si="539"/>
        <v>1</v>
      </c>
      <c r="BB543" s="798">
        <f t="shared" si="539"/>
        <v>1</v>
      </c>
      <c r="BC543" s="798">
        <f t="shared" si="539"/>
        <v>1</v>
      </c>
      <c r="BD543" s="798">
        <f t="shared" si="539"/>
        <v>1</v>
      </c>
      <c r="BE543" s="798">
        <f t="shared" si="539"/>
        <v>1</v>
      </c>
      <c r="BF543" s="798">
        <f t="shared" si="539"/>
        <v>1</v>
      </c>
      <c r="BG543" s="798">
        <f t="shared" si="539"/>
        <v>1</v>
      </c>
      <c r="BH543" s="798">
        <f t="shared" si="539"/>
        <v>1</v>
      </c>
      <c r="BI543" s="798">
        <f t="shared" si="539"/>
        <v>1</v>
      </c>
      <c r="BJ543" s="798">
        <f t="shared" si="539"/>
        <v>1</v>
      </c>
      <c r="BK543" s="798">
        <f t="shared" si="539"/>
        <v>1</v>
      </c>
      <c r="BL543" s="765"/>
      <c r="BM543" s="817"/>
      <c r="BN543" s="817"/>
    </row>
    <row r="544" hidden="1">
      <c r="A544" s="765"/>
      <c r="B544" s="765"/>
      <c r="C544" s="765"/>
      <c r="D544" s="765"/>
      <c r="E544" s="765"/>
      <c r="F544" s="765"/>
      <c r="G544" s="765"/>
      <c r="H544" s="765"/>
      <c r="I544" s="765">
        <f t="shared" si="17"/>
        <v>533</v>
      </c>
      <c r="J544" s="763">
        <f t="shared" si="5"/>
        <v>5.70206E+15</v>
      </c>
      <c r="K544" s="796">
        <f t="shared" si="7"/>
        <v>0.50029</v>
      </c>
      <c r="L544" s="796">
        <v>5.0E-4</v>
      </c>
      <c r="M544" s="763">
        <v>6.50177869686735E15</v>
      </c>
      <c r="N544" s="797">
        <f t="shared" si="8"/>
        <v>0</v>
      </c>
      <c r="O544" s="798">
        <f t="shared" ref="O544:BK544" si="540">FLOOR(MIN((((N("value of ELS upgrade")+N$8*($K544-$K543))*(N("Check checkbox")+(IF($G$6=TRUE,$G$7,$G$8))/$G$8))/(N("ROI of ELS and multiply by 2 if ELS is 1:1")+IF($G$12 = True, 2, 1) * $J544))/((N("difference in ELS+ and the cost of it")+(($K543*O$8)-($K543*N$8)) / O$7)),(N("MIN lets it return 0 or 1 after floored")+1)),1)</f>
        <v>0</v>
      </c>
      <c r="P544" s="798">
        <f t="shared" si="540"/>
        <v>0</v>
      </c>
      <c r="Q544" s="798">
        <f t="shared" si="540"/>
        <v>0</v>
      </c>
      <c r="R544" s="798">
        <f t="shared" si="540"/>
        <v>0</v>
      </c>
      <c r="S544" s="798">
        <f t="shared" si="540"/>
        <v>0</v>
      </c>
      <c r="T544" s="798">
        <f t="shared" si="540"/>
        <v>0</v>
      </c>
      <c r="U544" s="798">
        <f t="shared" si="540"/>
        <v>0</v>
      </c>
      <c r="V544" s="798">
        <f t="shared" si="540"/>
        <v>0</v>
      </c>
      <c r="W544" s="798">
        <f t="shared" si="540"/>
        <v>0</v>
      </c>
      <c r="X544" s="798">
        <f t="shared" si="540"/>
        <v>0</v>
      </c>
      <c r="Y544" s="798">
        <f t="shared" si="540"/>
        <v>0</v>
      </c>
      <c r="Z544" s="798">
        <f t="shared" si="540"/>
        <v>0</v>
      </c>
      <c r="AA544" s="798">
        <f t="shared" si="540"/>
        <v>0</v>
      </c>
      <c r="AB544" s="798">
        <f t="shared" si="540"/>
        <v>0</v>
      </c>
      <c r="AC544" s="798">
        <f t="shared" si="540"/>
        <v>0</v>
      </c>
      <c r="AD544" s="798">
        <f t="shared" si="540"/>
        <v>0</v>
      </c>
      <c r="AE544" s="798">
        <f t="shared" si="540"/>
        <v>0</v>
      </c>
      <c r="AF544" s="798">
        <f t="shared" si="540"/>
        <v>0</v>
      </c>
      <c r="AG544" s="798">
        <f t="shared" si="540"/>
        <v>0</v>
      </c>
      <c r="AH544" s="798">
        <f t="shared" si="540"/>
        <v>0</v>
      </c>
      <c r="AI544" s="798">
        <f t="shared" si="540"/>
        <v>0</v>
      </c>
      <c r="AJ544" s="798">
        <f t="shared" si="540"/>
        <v>0</v>
      </c>
      <c r="AK544" s="798">
        <f t="shared" si="540"/>
        <v>0</v>
      </c>
      <c r="AL544" s="798">
        <f t="shared" si="540"/>
        <v>0</v>
      </c>
      <c r="AM544" s="798">
        <f t="shared" si="540"/>
        <v>0</v>
      </c>
      <c r="AN544" s="798">
        <f t="shared" si="540"/>
        <v>0</v>
      </c>
      <c r="AO544" s="798">
        <f t="shared" si="540"/>
        <v>0</v>
      </c>
      <c r="AP544" s="798">
        <f t="shared" si="540"/>
        <v>0</v>
      </c>
      <c r="AQ544" s="798">
        <f t="shared" si="540"/>
        <v>0</v>
      </c>
      <c r="AR544" s="798">
        <f t="shared" si="540"/>
        <v>1</v>
      </c>
      <c r="AS544" s="798">
        <f t="shared" si="540"/>
        <v>1</v>
      </c>
      <c r="AT544" s="798">
        <f t="shared" si="540"/>
        <v>1</v>
      </c>
      <c r="AU544" s="798">
        <f t="shared" si="540"/>
        <v>1</v>
      </c>
      <c r="AV544" s="798">
        <f t="shared" si="540"/>
        <v>1</v>
      </c>
      <c r="AW544" s="798">
        <f t="shared" si="540"/>
        <v>1</v>
      </c>
      <c r="AX544" s="798">
        <f t="shared" si="540"/>
        <v>1</v>
      </c>
      <c r="AY544" s="798">
        <f t="shared" si="540"/>
        <v>1</v>
      </c>
      <c r="AZ544" s="798">
        <f t="shared" si="540"/>
        <v>1</v>
      </c>
      <c r="BA544" s="798">
        <f t="shared" si="540"/>
        <v>1</v>
      </c>
      <c r="BB544" s="798">
        <f t="shared" si="540"/>
        <v>1</v>
      </c>
      <c r="BC544" s="798">
        <f t="shared" si="540"/>
        <v>1</v>
      </c>
      <c r="BD544" s="798">
        <f t="shared" si="540"/>
        <v>1</v>
      </c>
      <c r="BE544" s="798">
        <f t="shared" si="540"/>
        <v>1</v>
      </c>
      <c r="BF544" s="798">
        <f t="shared" si="540"/>
        <v>1</v>
      </c>
      <c r="BG544" s="798">
        <f t="shared" si="540"/>
        <v>1</v>
      </c>
      <c r="BH544" s="798">
        <f t="shared" si="540"/>
        <v>1</v>
      </c>
      <c r="BI544" s="798">
        <f t="shared" si="540"/>
        <v>1</v>
      </c>
      <c r="BJ544" s="798">
        <f t="shared" si="540"/>
        <v>1</v>
      </c>
      <c r="BK544" s="798">
        <f t="shared" si="540"/>
        <v>1</v>
      </c>
      <c r="BL544" s="765"/>
      <c r="BM544" s="817"/>
      <c r="BN544" s="817"/>
    </row>
    <row r="545" hidden="1">
      <c r="A545" s="765"/>
      <c r="B545" s="765"/>
      <c r="C545" s="765"/>
      <c r="D545" s="765"/>
      <c r="E545" s="765"/>
      <c r="F545" s="765"/>
      <c r="G545" s="765"/>
      <c r="H545" s="765"/>
      <c r="I545" s="765">
        <f t="shared" si="17"/>
        <v>534</v>
      </c>
      <c r="J545" s="763">
        <f t="shared" si="5"/>
        <v>5.72217E+15</v>
      </c>
      <c r="K545" s="796">
        <f t="shared" si="7"/>
        <v>0.50079</v>
      </c>
      <c r="L545" s="796">
        <v>5.0E-4</v>
      </c>
      <c r="M545" s="763">
        <v>6.52471235975625E15</v>
      </c>
      <c r="N545" s="797">
        <f t="shared" si="8"/>
        <v>0</v>
      </c>
      <c r="O545" s="798">
        <f t="shared" ref="O545:BK545" si="541">FLOOR(MIN((((N("value of ELS upgrade")+N$8*($K545-$K544))*(N("Check checkbox")+(IF($G$6=TRUE,$G$7,$G$8))/$G$8))/(N("ROI of ELS and multiply by 2 if ELS is 1:1")+IF($G$12 = True, 2, 1) * $J545))/((N("difference in ELS+ and the cost of it")+(($K544*O$8)-($K544*N$8)) / O$7)),(N("MIN lets it return 0 or 1 after floored")+1)),1)</f>
        <v>0</v>
      </c>
      <c r="P545" s="798">
        <f t="shared" si="541"/>
        <v>0</v>
      </c>
      <c r="Q545" s="798">
        <f t="shared" si="541"/>
        <v>0</v>
      </c>
      <c r="R545" s="798">
        <f t="shared" si="541"/>
        <v>0</v>
      </c>
      <c r="S545" s="798">
        <f t="shared" si="541"/>
        <v>0</v>
      </c>
      <c r="T545" s="798">
        <f t="shared" si="541"/>
        <v>0</v>
      </c>
      <c r="U545" s="798">
        <f t="shared" si="541"/>
        <v>0</v>
      </c>
      <c r="V545" s="798">
        <f t="shared" si="541"/>
        <v>0</v>
      </c>
      <c r="W545" s="798">
        <f t="shared" si="541"/>
        <v>0</v>
      </c>
      <c r="X545" s="798">
        <f t="shared" si="541"/>
        <v>0</v>
      </c>
      <c r="Y545" s="798">
        <f t="shared" si="541"/>
        <v>0</v>
      </c>
      <c r="Z545" s="798">
        <f t="shared" si="541"/>
        <v>0</v>
      </c>
      <c r="AA545" s="798">
        <f t="shared" si="541"/>
        <v>0</v>
      </c>
      <c r="AB545" s="798">
        <f t="shared" si="541"/>
        <v>0</v>
      </c>
      <c r="AC545" s="798">
        <f t="shared" si="541"/>
        <v>0</v>
      </c>
      <c r="AD545" s="798">
        <f t="shared" si="541"/>
        <v>0</v>
      </c>
      <c r="AE545" s="798">
        <f t="shared" si="541"/>
        <v>0</v>
      </c>
      <c r="AF545" s="798">
        <f t="shared" si="541"/>
        <v>0</v>
      </c>
      <c r="AG545" s="798">
        <f t="shared" si="541"/>
        <v>0</v>
      </c>
      <c r="AH545" s="798">
        <f t="shared" si="541"/>
        <v>0</v>
      </c>
      <c r="AI545" s="798">
        <f t="shared" si="541"/>
        <v>0</v>
      </c>
      <c r="AJ545" s="798">
        <f t="shared" si="541"/>
        <v>0</v>
      </c>
      <c r="AK545" s="798">
        <f t="shared" si="541"/>
        <v>0</v>
      </c>
      <c r="AL545" s="798">
        <f t="shared" si="541"/>
        <v>0</v>
      </c>
      <c r="AM545" s="798">
        <f t="shared" si="541"/>
        <v>0</v>
      </c>
      <c r="AN545" s="798">
        <f t="shared" si="541"/>
        <v>0</v>
      </c>
      <c r="AO545" s="798">
        <f t="shared" si="541"/>
        <v>0</v>
      </c>
      <c r="AP545" s="798">
        <f t="shared" si="541"/>
        <v>0</v>
      </c>
      <c r="AQ545" s="798">
        <f t="shared" si="541"/>
        <v>0</v>
      </c>
      <c r="AR545" s="798">
        <f t="shared" si="541"/>
        <v>1</v>
      </c>
      <c r="AS545" s="798">
        <f t="shared" si="541"/>
        <v>1</v>
      </c>
      <c r="AT545" s="798">
        <f t="shared" si="541"/>
        <v>1</v>
      </c>
      <c r="AU545" s="798">
        <f t="shared" si="541"/>
        <v>1</v>
      </c>
      <c r="AV545" s="798">
        <f t="shared" si="541"/>
        <v>1</v>
      </c>
      <c r="AW545" s="798">
        <f t="shared" si="541"/>
        <v>1</v>
      </c>
      <c r="AX545" s="798">
        <f t="shared" si="541"/>
        <v>1</v>
      </c>
      <c r="AY545" s="798">
        <f t="shared" si="541"/>
        <v>1</v>
      </c>
      <c r="AZ545" s="798">
        <f t="shared" si="541"/>
        <v>1</v>
      </c>
      <c r="BA545" s="798">
        <f t="shared" si="541"/>
        <v>1</v>
      </c>
      <c r="BB545" s="798">
        <f t="shared" si="541"/>
        <v>1</v>
      </c>
      <c r="BC545" s="798">
        <f t="shared" si="541"/>
        <v>1</v>
      </c>
      <c r="BD545" s="798">
        <f t="shared" si="541"/>
        <v>1</v>
      </c>
      <c r="BE545" s="798">
        <f t="shared" si="541"/>
        <v>1</v>
      </c>
      <c r="BF545" s="798">
        <f t="shared" si="541"/>
        <v>1</v>
      </c>
      <c r="BG545" s="798">
        <f t="shared" si="541"/>
        <v>1</v>
      </c>
      <c r="BH545" s="798">
        <f t="shared" si="541"/>
        <v>1</v>
      </c>
      <c r="BI545" s="798">
        <f t="shared" si="541"/>
        <v>1</v>
      </c>
      <c r="BJ545" s="798">
        <f t="shared" si="541"/>
        <v>1</v>
      </c>
      <c r="BK545" s="798">
        <f t="shared" si="541"/>
        <v>1</v>
      </c>
      <c r="BL545" s="765"/>
      <c r="BM545" s="817"/>
      <c r="BN545" s="817"/>
    </row>
    <row r="546" hidden="1">
      <c r="A546" s="765"/>
      <c r="B546" s="765"/>
      <c r="C546" s="765"/>
      <c r="D546" s="765"/>
      <c r="E546" s="765"/>
      <c r="F546" s="765"/>
      <c r="G546" s="765"/>
      <c r="H546" s="765"/>
      <c r="I546" s="765">
        <f t="shared" si="17"/>
        <v>535</v>
      </c>
      <c r="J546" s="763">
        <f t="shared" si="5"/>
        <v>5.74235E+15</v>
      </c>
      <c r="K546" s="796">
        <f t="shared" si="7"/>
        <v>0.50129</v>
      </c>
      <c r="L546" s="796">
        <v>5.0E-4</v>
      </c>
      <c r="M546" s="763">
        <v>6.54771503230031E15</v>
      </c>
      <c r="N546" s="797">
        <f t="shared" si="8"/>
        <v>0</v>
      </c>
      <c r="O546" s="798">
        <f t="shared" ref="O546:BK546" si="542">FLOOR(MIN((((N("value of ELS upgrade")+N$8*($K546-$K545))*(N("Check checkbox")+(IF($G$6=TRUE,$G$7,$G$8))/$G$8))/(N("ROI of ELS and multiply by 2 if ELS is 1:1")+IF($G$12 = True, 2, 1) * $J546))/((N("difference in ELS+ and the cost of it")+(($K545*O$8)-($K545*N$8)) / O$7)),(N("MIN lets it return 0 or 1 after floored")+1)),1)</f>
        <v>0</v>
      </c>
      <c r="P546" s="798">
        <f t="shared" si="542"/>
        <v>0</v>
      </c>
      <c r="Q546" s="798">
        <f t="shared" si="542"/>
        <v>0</v>
      </c>
      <c r="R546" s="798">
        <f t="shared" si="542"/>
        <v>0</v>
      </c>
      <c r="S546" s="798">
        <f t="shared" si="542"/>
        <v>0</v>
      </c>
      <c r="T546" s="798">
        <f t="shared" si="542"/>
        <v>0</v>
      </c>
      <c r="U546" s="798">
        <f t="shared" si="542"/>
        <v>0</v>
      </c>
      <c r="V546" s="798">
        <f t="shared" si="542"/>
        <v>0</v>
      </c>
      <c r="W546" s="798">
        <f t="shared" si="542"/>
        <v>0</v>
      </c>
      <c r="X546" s="798">
        <f t="shared" si="542"/>
        <v>0</v>
      </c>
      <c r="Y546" s="798">
        <f t="shared" si="542"/>
        <v>0</v>
      </c>
      <c r="Z546" s="798">
        <f t="shared" si="542"/>
        <v>0</v>
      </c>
      <c r="AA546" s="798">
        <f t="shared" si="542"/>
        <v>0</v>
      </c>
      <c r="AB546" s="798">
        <f t="shared" si="542"/>
        <v>0</v>
      </c>
      <c r="AC546" s="798">
        <f t="shared" si="542"/>
        <v>0</v>
      </c>
      <c r="AD546" s="798">
        <f t="shared" si="542"/>
        <v>0</v>
      </c>
      <c r="AE546" s="798">
        <f t="shared" si="542"/>
        <v>0</v>
      </c>
      <c r="AF546" s="798">
        <f t="shared" si="542"/>
        <v>0</v>
      </c>
      <c r="AG546" s="798">
        <f t="shared" si="542"/>
        <v>0</v>
      </c>
      <c r="AH546" s="798">
        <f t="shared" si="542"/>
        <v>0</v>
      </c>
      <c r="AI546" s="798">
        <f t="shared" si="542"/>
        <v>0</v>
      </c>
      <c r="AJ546" s="798">
        <f t="shared" si="542"/>
        <v>0</v>
      </c>
      <c r="AK546" s="798">
        <f t="shared" si="542"/>
        <v>0</v>
      </c>
      <c r="AL546" s="798">
        <f t="shared" si="542"/>
        <v>0</v>
      </c>
      <c r="AM546" s="798">
        <f t="shared" si="542"/>
        <v>0</v>
      </c>
      <c r="AN546" s="798">
        <f t="shared" si="542"/>
        <v>0</v>
      </c>
      <c r="AO546" s="798">
        <f t="shared" si="542"/>
        <v>0</v>
      </c>
      <c r="AP546" s="798">
        <f t="shared" si="542"/>
        <v>0</v>
      </c>
      <c r="AQ546" s="798">
        <f t="shared" si="542"/>
        <v>0</v>
      </c>
      <c r="AR546" s="798">
        <f t="shared" si="542"/>
        <v>1</v>
      </c>
      <c r="AS546" s="798">
        <f t="shared" si="542"/>
        <v>1</v>
      </c>
      <c r="AT546" s="798">
        <f t="shared" si="542"/>
        <v>1</v>
      </c>
      <c r="AU546" s="798">
        <f t="shared" si="542"/>
        <v>1</v>
      </c>
      <c r="AV546" s="798">
        <f t="shared" si="542"/>
        <v>1</v>
      </c>
      <c r="AW546" s="798">
        <f t="shared" si="542"/>
        <v>1</v>
      </c>
      <c r="AX546" s="798">
        <f t="shared" si="542"/>
        <v>1</v>
      </c>
      <c r="AY546" s="798">
        <f t="shared" si="542"/>
        <v>1</v>
      </c>
      <c r="AZ546" s="798">
        <f t="shared" si="542"/>
        <v>1</v>
      </c>
      <c r="BA546" s="798">
        <f t="shared" si="542"/>
        <v>1</v>
      </c>
      <c r="BB546" s="798">
        <f t="shared" si="542"/>
        <v>1</v>
      </c>
      <c r="BC546" s="798">
        <f t="shared" si="542"/>
        <v>1</v>
      </c>
      <c r="BD546" s="798">
        <f t="shared" si="542"/>
        <v>1</v>
      </c>
      <c r="BE546" s="798">
        <f t="shared" si="542"/>
        <v>1</v>
      </c>
      <c r="BF546" s="798">
        <f t="shared" si="542"/>
        <v>1</v>
      </c>
      <c r="BG546" s="798">
        <f t="shared" si="542"/>
        <v>1</v>
      </c>
      <c r="BH546" s="798">
        <f t="shared" si="542"/>
        <v>1</v>
      </c>
      <c r="BI546" s="798">
        <f t="shared" si="542"/>
        <v>1</v>
      </c>
      <c r="BJ546" s="798">
        <f t="shared" si="542"/>
        <v>1</v>
      </c>
      <c r="BK546" s="798">
        <f t="shared" si="542"/>
        <v>1</v>
      </c>
      <c r="BL546" s="765"/>
      <c r="BM546" s="817"/>
      <c r="BN546" s="817"/>
    </row>
    <row r="547" hidden="1">
      <c r="A547" s="765"/>
      <c r="B547" s="765"/>
      <c r="C547" s="765"/>
      <c r="D547" s="765"/>
      <c r="E547" s="765"/>
      <c r="F547" s="765"/>
      <c r="G547" s="765"/>
      <c r="H547" s="765"/>
      <c r="I547" s="765">
        <f t="shared" si="17"/>
        <v>536</v>
      </c>
      <c r="J547" s="763">
        <f t="shared" si="5"/>
        <v>5.76258E+15</v>
      </c>
      <c r="K547" s="796">
        <f t="shared" si="7"/>
        <v>0.50179</v>
      </c>
      <c r="L547" s="796">
        <v>5.0E-4</v>
      </c>
      <c r="M547" s="763">
        <v>6.57078694843055E15</v>
      </c>
      <c r="N547" s="797">
        <f t="shared" si="8"/>
        <v>0</v>
      </c>
      <c r="O547" s="798">
        <f t="shared" ref="O547:BK547" si="543">FLOOR(MIN((((N("value of ELS upgrade")+N$8*($K547-$K546))*(N("Check checkbox")+(IF($G$6=TRUE,$G$7,$G$8))/$G$8))/(N("ROI of ELS and multiply by 2 if ELS is 1:1")+IF($G$12 = True, 2, 1) * $J547))/((N("difference in ELS+ and the cost of it")+(($K546*O$8)-($K546*N$8)) / O$7)),(N("MIN lets it return 0 or 1 after floored")+1)),1)</f>
        <v>0</v>
      </c>
      <c r="P547" s="798">
        <f t="shared" si="543"/>
        <v>0</v>
      </c>
      <c r="Q547" s="798">
        <f t="shared" si="543"/>
        <v>0</v>
      </c>
      <c r="R547" s="798">
        <f t="shared" si="543"/>
        <v>0</v>
      </c>
      <c r="S547" s="798">
        <f t="shared" si="543"/>
        <v>0</v>
      </c>
      <c r="T547" s="798">
        <f t="shared" si="543"/>
        <v>0</v>
      </c>
      <c r="U547" s="798">
        <f t="shared" si="543"/>
        <v>0</v>
      </c>
      <c r="V547" s="798">
        <f t="shared" si="543"/>
        <v>0</v>
      </c>
      <c r="W547" s="798">
        <f t="shared" si="543"/>
        <v>0</v>
      </c>
      <c r="X547" s="798">
        <f t="shared" si="543"/>
        <v>0</v>
      </c>
      <c r="Y547" s="798">
        <f t="shared" si="543"/>
        <v>0</v>
      </c>
      <c r="Z547" s="798">
        <f t="shared" si="543"/>
        <v>0</v>
      </c>
      <c r="AA547" s="798">
        <f t="shared" si="543"/>
        <v>0</v>
      </c>
      <c r="AB547" s="798">
        <f t="shared" si="543"/>
        <v>0</v>
      </c>
      <c r="AC547" s="798">
        <f t="shared" si="543"/>
        <v>0</v>
      </c>
      <c r="AD547" s="798">
        <f t="shared" si="543"/>
        <v>0</v>
      </c>
      <c r="AE547" s="798">
        <f t="shared" si="543"/>
        <v>0</v>
      </c>
      <c r="AF547" s="798">
        <f t="shared" si="543"/>
        <v>0</v>
      </c>
      <c r="AG547" s="798">
        <f t="shared" si="543"/>
        <v>0</v>
      </c>
      <c r="AH547" s="798">
        <f t="shared" si="543"/>
        <v>0</v>
      </c>
      <c r="AI547" s="798">
        <f t="shared" si="543"/>
        <v>0</v>
      </c>
      <c r="AJ547" s="798">
        <f t="shared" si="543"/>
        <v>0</v>
      </c>
      <c r="AK547" s="798">
        <f t="shared" si="543"/>
        <v>0</v>
      </c>
      <c r="AL547" s="798">
        <f t="shared" si="543"/>
        <v>0</v>
      </c>
      <c r="AM547" s="798">
        <f t="shared" si="543"/>
        <v>0</v>
      </c>
      <c r="AN547" s="798">
        <f t="shared" si="543"/>
        <v>0</v>
      </c>
      <c r="AO547" s="798">
        <f t="shared" si="543"/>
        <v>0</v>
      </c>
      <c r="AP547" s="798">
        <f t="shared" si="543"/>
        <v>0</v>
      </c>
      <c r="AQ547" s="798">
        <f t="shared" si="543"/>
        <v>0</v>
      </c>
      <c r="AR547" s="798">
        <f t="shared" si="543"/>
        <v>1</v>
      </c>
      <c r="AS547" s="798">
        <f t="shared" si="543"/>
        <v>1</v>
      </c>
      <c r="AT547" s="798">
        <f t="shared" si="543"/>
        <v>1</v>
      </c>
      <c r="AU547" s="798">
        <f t="shared" si="543"/>
        <v>1</v>
      </c>
      <c r="AV547" s="798">
        <f t="shared" si="543"/>
        <v>1</v>
      </c>
      <c r="AW547" s="798">
        <f t="shared" si="543"/>
        <v>1</v>
      </c>
      <c r="AX547" s="798">
        <f t="shared" si="543"/>
        <v>1</v>
      </c>
      <c r="AY547" s="798">
        <f t="shared" si="543"/>
        <v>1</v>
      </c>
      <c r="AZ547" s="798">
        <f t="shared" si="543"/>
        <v>1</v>
      </c>
      <c r="BA547" s="798">
        <f t="shared" si="543"/>
        <v>1</v>
      </c>
      <c r="BB547" s="798">
        <f t="shared" si="543"/>
        <v>1</v>
      </c>
      <c r="BC547" s="798">
        <f t="shared" si="543"/>
        <v>1</v>
      </c>
      <c r="BD547" s="798">
        <f t="shared" si="543"/>
        <v>1</v>
      </c>
      <c r="BE547" s="798">
        <f t="shared" si="543"/>
        <v>1</v>
      </c>
      <c r="BF547" s="798">
        <f t="shared" si="543"/>
        <v>1</v>
      </c>
      <c r="BG547" s="798">
        <f t="shared" si="543"/>
        <v>1</v>
      </c>
      <c r="BH547" s="798">
        <f t="shared" si="543"/>
        <v>1</v>
      </c>
      <c r="BI547" s="798">
        <f t="shared" si="543"/>
        <v>1</v>
      </c>
      <c r="BJ547" s="798">
        <f t="shared" si="543"/>
        <v>1</v>
      </c>
      <c r="BK547" s="798">
        <f t="shared" si="543"/>
        <v>1</v>
      </c>
      <c r="BL547" s="765"/>
      <c r="BM547" s="817"/>
      <c r="BN547" s="817"/>
    </row>
    <row r="548" hidden="1">
      <c r="A548" s="765"/>
      <c r="B548" s="765"/>
      <c r="C548" s="765"/>
      <c r="D548" s="765"/>
      <c r="E548" s="765"/>
      <c r="F548" s="765"/>
      <c r="G548" s="765"/>
      <c r="H548" s="765"/>
      <c r="I548" s="765">
        <f t="shared" si="17"/>
        <v>537</v>
      </c>
      <c r="J548" s="763">
        <f t="shared" si="5"/>
        <v>5.78288E+15</v>
      </c>
      <c r="K548" s="796">
        <f t="shared" si="7"/>
        <v>0.50229</v>
      </c>
      <c r="L548" s="796">
        <v>5.0E-4</v>
      </c>
      <c r="M548" s="763">
        <v>6.59392834207801E15</v>
      </c>
      <c r="N548" s="797">
        <f t="shared" si="8"/>
        <v>0</v>
      </c>
      <c r="O548" s="798">
        <f t="shared" ref="O548:BK548" si="544">FLOOR(MIN((((N("value of ELS upgrade")+N$8*($K548-$K547))*(N("Check checkbox")+(IF($G$6=TRUE,$G$7,$G$8))/$G$8))/(N("ROI of ELS and multiply by 2 if ELS is 1:1")+IF($G$12 = True, 2, 1) * $J548))/((N("difference in ELS+ and the cost of it")+(($K547*O$8)-($K547*N$8)) / O$7)),(N("MIN lets it return 0 or 1 after floored")+1)),1)</f>
        <v>0</v>
      </c>
      <c r="P548" s="798">
        <f t="shared" si="544"/>
        <v>0</v>
      </c>
      <c r="Q548" s="798">
        <f t="shared" si="544"/>
        <v>0</v>
      </c>
      <c r="R548" s="798">
        <f t="shared" si="544"/>
        <v>0</v>
      </c>
      <c r="S548" s="798">
        <f t="shared" si="544"/>
        <v>0</v>
      </c>
      <c r="T548" s="798">
        <f t="shared" si="544"/>
        <v>0</v>
      </c>
      <c r="U548" s="798">
        <f t="shared" si="544"/>
        <v>0</v>
      </c>
      <c r="V548" s="798">
        <f t="shared" si="544"/>
        <v>0</v>
      </c>
      <c r="W548" s="798">
        <f t="shared" si="544"/>
        <v>0</v>
      </c>
      <c r="X548" s="798">
        <f t="shared" si="544"/>
        <v>0</v>
      </c>
      <c r="Y548" s="798">
        <f t="shared" si="544"/>
        <v>0</v>
      </c>
      <c r="Z548" s="798">
        <f t="shared" si="544"/>
        <v>0</v>
      </c>
      <c r="AA548" s="798">
        <f t="shared" si="544"/>
        <v>0</v>
      </c>
      <c r="AB548" s="798">
        <f t="shared" si="544"/>
        <v>0</v>
      </c>
      <c r="AC548" s="798">
        <f t="shared" si="544"/>
        <v>0</v>
      </c>
      <c r="AD548" s="798">
        <f t="shared" si="544"/>
        <v>0</v>
      </c>
      <c r="AE548" s="798">
        <f t="shared" si="544"/>
        <v>0</v>
      </c>
      <c r="AF548" s="798">
        <f t="shared" si="544"/>
        <v>0</v>
      </c>
      <c r="AG548" s="798">
        <f t="shared" si="544"/>
        <v>0</v>
      </c>
      <c r="AH548" s="798">
        <f t="shared" si="544"/>
        <v>0</v>
      </c>
      <c r="AI548" s="798">
        <f t="shared" si="544"/>
        <v>0</v>
      </c>
      <c r="AJ548" s="798">
        <f t="shared" si="544"/>
        <v>0</v>
      </c>
      <c r="AK548" s="798">
        <f t="shared" si="544"/>
        <v>0</v>
      </c>
      <c r="AL548" s="798">
        <f t="shared" si="544"/>
        <v>0</v>
      </c>
      <c r="AM548" s="798">
        <f t="shared" si="544"/>
        <v>0</v>
      </c>
      <c r="AN548" s="798">
        <f t="shared" si="544"/>
        <v>0</v>
      </c>
      <c r="AO548" s="798">
        <f t="shared" si="544"/>
        <v>0</v>
      </c>
      <c r="AP548" s="798">
        <f t="shared" si="544"/>
        <v>0</v>
      </c>
      <c r="AQ548" s="798">
        <f t="shared" si="544"/>
        <v>0</v>
      </c>
      <c r="AR548" s="798">
        <f t="shared" si="544"/>
        <v>1</v>
      </c>
      <c r="AS548" s="798">
        <f t="shared" si="544"/>
        <v>1</v>
      </c>
      <c r="AT548" s="798">
        <f t="shared" si="544"/>
        <v>1</v>
      </c>
      <c r="AU548" s="798">
        <f t="shared" si="544"/>
        <v>1</v>
      </c>
      <c r="AV548" s="798">
        <f t="shared" si="544"/>
        <v>1</v>
      </c>
      <c r="AW548" s="798">
        <f t="shared" si="544"/>
        <v>1</v>
      </c>
      <c r="AX548" s="798">
        <f t="shared" si="544"/>
        <v>1</v>
      </c>
      <c r="AY548" s="798">
        <f t="shared" si="544"/>
        <v>1</v>
      </c>
      <c r="AZ548" s="798">
        <f t="shared" si="544"/>
        <v>1</v>
      </c>
      <c r="BA548" s="798">
        <f t="shared" si="544"/>
        <v>1</v>
      </c>
      <c r="BB548" s="798">
        <f t="shared" si="544"/>
        <v>1</v>
      </c>
      <c r="BC548" s="798">
        <f t="shared" si="544"/>
        <v>1</v>
      </c>
      <c r="BD548" s="798">
        <f t="shared" si="544"/>
        <v>1</v>
      </c>
      <c r="BE548" s="798">
        <f t="shared" si="544"/>
        <v>1</v>
      </c>
      <c r="BF548" s="798">
        <f t="shared" si="544"/>
        <v>1</v>
      </c>
      <c r="BG548" s="798">
        <f t="shared" si="544"/>
        <v>1</v>
      </c>
      <c r="BH548" s="798">
        <f t="shared" si="544"/>
        <v>1</v>
      </c>
      <c r="BI548" s="798">
        <f t="shared" si="544"/>
        <v>1</v>
      </c>
      <c r="BJ548" s="798">
        <f t="shared" si="544"/>
        <v>1</v>
      </c>
      <c r="BK548" s="798">
        <f t="shared" si="544"/>
        <v>1</v>
      </c>
      <c r="BL548" s="765"/>
      <c r="BM548" s="817"/>
      <c r="BN548" s="817"/>
    </row>
    <row r="549" hidden="1">
      <c r="A549" s="765"/>
      <c r="B549" s="765"/>
      <c r="C549" s="765"/>
      <c r="D549" s="765"/>
      <c r="E549" s="765"/>
      <c r="F549" s="765"/>
      <c r="G549" s="765"/>
      <c r="H549" s="765"/>
      <c r="I549" s="765">
        <f t="shared" si="17"/>
        <v>538</v>
      </c>
      <c r="J549" s="763">
        <f t="shared" si="5"/>
        <v>5.80323E+15</v>
      </c>
      <c r="K549" s="796">
        <f t="shared" si="7"/>
        <v>0.50279</v>
      </c>
      <c r="L549" s="796">
        <v>5.0E-4</v>
      </c>
      <c r="M549" s="763">
        <v>6.61713921324269E15</v>
      </c>
      <c r="N549" s="797">
        <f t="shared" si="8"/>
        <v>0</v>
      </c>
      <c r="O549" s="798">
        <f t="shared" ref="O549:BK549" si="545">FLOOR(MIN((((N("value of ELS upgrade")+N$8*($K549-$K548))*(N("Check checkbox")+(IF($G$6=TRUE,$G$7,$G$8))/$G$8))/(N("ROI of ELS and multiply by 2 if ELS is 1:1")+IF($G$12 = True, 2, 1) * $J549))/((N("difference in ELS+ and the cost of it")+(($K548*O$8)-($K548*N$8)) / O$7)),(N("MIN lets it return 0 or 1 after floored")+1)),1)</f>
        <v>0</v>
      </c>
      <c r="P549" s="798">
        <f t="shared" si="545"/>
        <v>0</v>
      </c>
      <c r="Q549" s="798">
        <f t="shared" si="545"/>
        <v>0</v>
      </c>
      <c r="R549" s="798">
        <f t="shared" si="545"/>
        <v>0</v>
      </c>
      <c r="S549" s="798">
        <f t="shared" si="545"/>
        <v>0</v>
      </c>
      <c r="T549" s="798">
        <f t="shared" si="545"/>
        <v>0</v>
      </c>
      <c r="U549" s="798">
        <f t="shared" si="545"/>
        <v>0</v>
      </c>
      <c r="V549" s="798">
        <f t="shared" si="545"/>
        <v>0</v>
      </c>
      <c r="W549" s="798">
        <f t="shared" si="545"/>
        <v>0</v>
      </c>
      <c r="X549" s="798">
        <f t="shared" si="545"/>
        <v>0</v>
      </c>
      <c r="Y549" s="798">
        <f t="shared" si="545"/>
        <v>0</v>
      </c>
      <c r="Z549" s="798">
        <f t="shared" si="545"/>
        <v>0</v>
      </c>
      <c r="AA549" s="798">
        <f t="shared" si="545"/>
        <v>0</v>
      </c>
      <c r="AB549" s="798">
        <f t="shared" si="545"/>
        <v>0</v>
      </c>
      <c r="AC549" s="798">
        <f t="shared" si="545"/>
        <v>0</v>
      </c>
      <c r="AD549" s="798">
        <f t="shared" si="545"/>
        <v>0</v>
      </c>
      <c r="AE549" s="798">
        <f t="shared" si="545"/>
        <v>0</v>
      </c>
      <c r="AF549" s="798">
        <f t="shared" si="545"/>
        <v>0</v>
      </c>
      <c r="AG549" s="798">
        <f t="shared" si="545"/>
        <v>0</v>
      </c>
      <c r="AH549" s="798">
        <f t="shared" si="545"/>
        <v>0</v>
      </c>
      <c r="AI549" s="798">
        <f t="shared" si="545"/>
        <v>0</v>
      </c>
      <c r="AJ549" s="798">
        <f t="shared" si="545"/>
        <v>0</v>
      </c>
      <c r="AK549" s="798">
        <f t="shared" si="545"/>
        <v>0</v>
      </c>
      <c r="AL549" s="798">
        <f t="shared" si="545"/>
        <v>0</v>
      </c>
      <c r="AM549" s="798">
        <f t="shared" si="545"/>
        <v>0</v>
      </c>
      <c r="AN549" s="798">
        <f t="shared" si="545"/>
        <v>0</v>
      </c>
      <c r="AO549" s="798">
        <f t="shared" si="545"/>
        <v>0</v>
      </c>
      <c r="AP549" s="798">
        <f t="shared" si="545"/>
        <v>0</v>
      </c>
      <c r="AQ549" s="798">
        <f t="shared" si="545"/>
        <v>0</v>
      </c>
      <c r="AR549" s="798">
        <f t="shared" si="545"/>
        <v>1</v>
      </c>
      <c r="AS549" s="798">
        <f t="shared" si="545"/>
        <v>1</v>
      </c>
      <c r="AT549" s="798">
        <f t="shared" si="545"/>
        <v>1</v>
      </c>
      <c r="AU549" s="798">
        <f t="shared" si="545"/>
        <v>1</v>
      </c>
      <c r="AV549" s="798">
        <f t="shared" si="545"/>
        <v>1</v>
      </c>
      <c r="AW549" s="798">
        <f t="shared" si="545"/>
        <v>1</v>
      </c>
      <c r="AX549" s="798">
        <f t="shared" si="545"/>
        <v>1</v>
      </c>
      <c r="AY549" s="798">
        <f t="shared" si="545"/>
        <v>1</v>
      </c>
      <c r="AZ549" s="798">
        <f t="shared" si="545"/>
        <v>1</v>
      </c>
      <c r="BA549" s="798">
        <f t="shared" si="545"/>
        <v>1</v>
      </c>
      <c r="BB549" s="798">
        <f t="shared" si="545"/>
        <v>1</v>
      </c>
      <c r="BC549" s="798">
        <f t="shared" si="545"/>
        <v>1</v>
      </c>
      <c r="BD549" s="798">
        <f t="shared" si="545"/>
        <v>1</v>
      </c>
      <c r="BE549" s="798">
        <f t="shared" si="545"/>
        <v>1</v>
      </c>
      <c r="BF549" s="798">
        <f t="shared" si="545"/>
        <v>1</v>
      </c>
      <c r="BG549" s="798">
        <f t="shared" si="545"/>
        <v>1</v>
      </c>
      <c r="BH549" s="798">
        <f t="shared" si="545"/>
        <v>1</v>
      </c>
      <c r="BI549" s="798">
        <f t="shared" si="545"/>
        <v>1</v>
      </c>
      <c r="BJ549" s="798">
        <f t="shared" si="545"/>
        <v>1</v>
      </c>
      <c r="BK549" s="798">
        <f t="shared" si="545"/>
        <v>1</v>
      </c>
      <c r="BL549" s="765"/>
      <c r="BM549" s="817"/>
      <c r="BN549" s="817"/>
    </row>
    <row r="550" hidden="1">
      <c r="A550" s="765"/>
      <c r="B550" s="765"/>
      <c r="C550" s="765"/>
      <c r="D550" s="765"/>
      <c r="E550" s="765"/>
      <c r="F550" s="765"/>
      <c r="G550" s="765"/>
      <c r="H550" s="765"/>
      <c r="I550" s="765">
        <f t="shared" si="17"/>
        <v>539</v>
      </c>
      <c r="J550" s="763">
        <f t="shared" si="5"/>
        <v>5.82365E+15</v>
      </c>
      <c r="K550" s="796">
        <f t="shared" si="7"/>
        <v>0.50329</v>
      </c>
      <c r="L550" s="796">
        <v>5.0E-4</v>
      </c>
      <c r="M550" s="763">
        <v>6.64041979585562E15</v>
      </c>
      <c r="N550" s="797">
        <f t="shared" si="8"/>
        <v>0</v>
      </c>
      <c r="O550" s="798">
        <f t="shared" ref="O550:BK550" si="546">FLOOR(MIN((((N("value of ELS upgrade")+N$8*($K550-$K549))*(N("Check checkbox")+(IF($G$6=TRUE,$G$7,$G$8))/$G$8))/(N("ROI of ELS and multiply by 2 if ELS is 1:1")+IF($G$12 = True, 2, 1) * $J550))/((N("difference in ELS+ and the cost of it")+(($K549*O$8)-($K549*N$8)) / O$7)),(N("MIN lets it return 0 or 1 after floored")+1)),1)</f>
        <v>0</v>
      </c>
      <c r="P550" s="798">
        <f t="shared" si="546"/>
        <v>0</v>
      </c>
      <c r="Q550" s="798">
        <f t="shared" si="546"/>
        <v>0</v>
      </c>
      <c r="R550" s="798">
        <f t="shared" si="546"/>
        <v>0</v>
      </c>
      <c r="S550" s="798">
        <f t="shared" si="546"/>
        <v>0</v>
      </c>
      <c r="T550" s="798">
        <f t="shared" si="546"/>
        <v>0</v>
      </c>
      <c r="U550" s="798">
        <f t="shared" si="546"/>
        <v>0</v>
      </c>
      <c r="V550" s="798">
        <f t="shared" si="546"/>
        <v>0</v>
      </c>
      <c r="W550" s="798">
        <f t="shared" si="546"/>
        <v>0</v>
      </c>
      <c r="X550" s="798">
        <f t="shared" si="546"/>
        <v>0</v>
      </c>
      <c r="Y550" s="798">
        <f t="shared" si="546"/>
        <v>0</v>
      </c>
      <c r="Z550" s="798">
        <f t="shared" si="546"/>
        <v>0</v>
      </c>
      <c r="AA550" s="798">
        <f t="shared" si="546"/>
        <v>0</v>
      </c>
      <c r="AB550" s="798">
        <f t="shared" si="546"/>
        <v>0</v>
      </c>
      <c r="AC550" s="798">
        <f t="shared" si="546"/>
        <v>0</v>
      </c>
      <c r="AD550" s="798">
        <f t="shared" si="546"/>
        <v>0</v>
      </c>
      <c r="AE550" s="798">
        <f t="shared" si="546"/>
        <v>0</v>
      </c>
      <c r="AF550" s="798">
        <f t="shared" si="546"/>
        <v>0</v>
      </c>
      <c r="AG550" s="798">
        <f t="shared" si="546"/>
        <v>0</v>
      </c>
      <c r="AH550" s="798">
        <f t="shared" si="546"/>
        <v>0</v>
      </c>
      <c r="AI550" s="798">
        <f t="shared" si="546"/>
        <v>0</v>
      </c>
      <c r="AJ550" s="798">
        <f t="shared" si="546"/>
        <v>0</v>
      </c>
      <c r="AK550" s="798">
        <f t="shared" si="546"/>
        <v>0</v>
      </c>
      <c r="AL550" s="798">
        <f t="shared" si="546"/>
        <v>0</v>
      </c>
      <c r="AM550" s="798">
        <f t="shared" si="546"/>
        <v>0</v>
      </c>
      <c r="AN550" s="798">
        <f t="shared" si="546"/>
        <v>0</v>
      </c>
      <c r="AO550" s="798">
        <f t="shared" si="546"/>
        <v>0</v>
      </c>
      <c r="AP550" s="798">
        <f t="shared" si="546"/>
        <v>0</v>
      </c>
      <c r="AQ550" s="798">
        <f t="shared" si="546"/>
        <v>0</v>
      </c>
      <c r="AR550" s="798">
        <f t="shared" si="546"/>
        <v>1</v>
      </c>
      <c r="AS550" s="798">
        <f t="shared" si="546"/>
        <v>1</v>
      </c>
      <c r="AT550" s="798">
        <f t="shared" si="546"/>
        <v>1</v>
      </c>
      <c r="AU550" s="798">
        <f t="shared" si="546"/>
        <v>1</v>
      </c>
      <c r="AV550" s="798">
        <f t="shared" si="546"/>
        <v>1</v>
      </c>
      <c r="AW550" s="798">
        <f t="shared" si="546"/>
        <v>1</v>
      </c>
      <c r="AX550" s="798">
        <f t="shared" si="546"/>
        <v>1</v>
      </c>
      <c r="AY550" s="798">
        <f t="shared" si="546"/>
        <v>1</v>
      </c>
      <c r="AZ550" s="798">
        <f t="shared" si="546"/>
        <v>1</v>
      </c>
      <c r="BA550" s="798">
        <f t="shared" si="546"/>
        <v>1</v>
      </c>
      <c r="BB550" s="798">
        <f t="shared" si="546"/>
        <v>1</v>
      </c>
      <c r="BC550" s="798">
        <f t="shared" si="546"/>
        <v>1</v>
      </c>
      <c r="BD550" s="798">
        <f t="shared" si="546"/>
        <v>1</v>
      </c>
      <c r="BE550" s="798">
        <f t="shared" si="546"/>
        <v>1</v>
      </c>
      <c r="BF550" s="798">
        <f t="shared" si="546"/>
        <v>1</v>
      </c>
      <c r="BG550" s="798">
        <f t="shared" si="546"/>
        <v>1</v>
      </c>
      <c r="BH550" s="798">
        <f t="shared" si="546"/>
        <v>1</v>
      </c>
      <c r="BI550" s="798">
        <f t="shared" si="546"/>
        <v>1</v>
      </c>
      <c r="BJ550" s="798">
        <f t="shared" si="546"/>
        <v>1</v>
      </c>
      <c r="BK550" s="798">
        <f t="shared" si="546"/>
        <v>1</v>
      </c>
      <c r="BL550" s="765"/>
      <c r="BM550" s="817"/>
      <c r="BN550" s="817"/>
    </row>
    <row r="551" hidden="1">
      <c r="A551" s="765"/>
      <c r="B551" s="765"/>
      <c r="C551" s="765"/>
      <c r="D551" s="765"/>
      <c r="E551" s="765"/>
      <c r="F551" s="765"/>
      <c r="G551" s="765"/>
      <c r="H551" s="765"/>
      <c r="I551" s="765">
        <f t="shared" si="17"/>
        <v>540</v>
      </c>
      <c r="J551" s="763">
        <f t="shared" si="5"/>
        <v>5.84413E+15</v>
      </c>
      <c r="K551" s="796">
        <f t="shared" si="7"/>
        <v>0.50379</v>
      </c>
      <c r="L551" s="796">
        <v>5.0E-4</v>
      </c>
      <c r="M551" s="763">
        <v>6.66377032384783E15</v>
      </c>
      <c r="N551" s="797">
        <f t="shared" si="8"/>
        <v>0</v>
      </c>
      <c r="O551" s="798">
        <f t="shared" ref="O551:BK551" si="547">FLOOR(MIN((((N("value of ELS upgrade")+N$8*($K551-$K550))*(N("Check checkbox")+(IF($G$6=TRUE,$G$7,$G$8))/$G$8))/(N("ROI of ELS and multiply by 2 if ELS is 1:1")+IF($G$12 = True, 2, 1) * $J551))/((N("difference in ELS+ and the cost of it")+(($K550*O$8)-($K550*N$8)) / O$7)),(N("MIN lets it return 0 or 1 after floored")+1)),1)</f>
        <v>0</v>
      </c>
      <c r="P551" s="798">
        <f t="shared" si="547"/>
        <v>0</v>
      </c>
      <c r="Q551" s="798">
        <f t="shared" si="547"/>
        <v>0</v>
      </c>
      <c r="R551" s="798">
        <f t="shared" si="547"/>
        <v>0</v>
      </c>
      <c r="S551" s="798">
        <f t="shared" si="547"/>
        <v>0</v>
      </c>
      <c r="T551" s="798">
        <f t="shared" si="547"/>
        <v>0</v>
      </c>
      <c r="U551" s="798">
        <f t="shared" si="547"/>
        <v>0</v>
      </c>
      <c r="V551" s="798">
        <f t="shared" si="547"/>
        <v>0</v>
      </c>
      <c r="W551" s="798">
        <f t="shared" si="547"/>
        <v>0</v>
      </c>
      <c r="X551" s="798">
        <f t="shared" si="547"/>
        <v>0</v>
      </c>
      <c r="Y551" s="798">
        <f t="shared" si="547"/>
        <v>0</v>
      </c>
      <c r="Z551" s="798">
        <f t="shared" si="547"/>
        <v>0</v>
      </c>
      <c r="AA551" s="798">
        <f t="shared" si="547"/>
        <v>0</v>
      </c>
      <c r="AB551" s="798">
        <f t="shared" si="547"/>
        <v>0</v>
      </c>
      <c r="AC551" s="798">
        <f t="shared" si="547"/>
        <v>0</v>
      </c>
      <c r="AD551" s="798">
        <f t="shared" si="547"/>
        <v>0</v>
      </c>
      <c r="AE551" s="798">
        <f t="shared" si="547"/>
        <v>0</v>
      </c>
      <c r="AF551" s="798">
        <f t="shared" si="547"/>
        <v>0</v>
      </c>
      <c r="AG551" s="798">
        <f t="shared" si="547"/>
        <v>0</v>
      </c>
      <c r="AH551" s="798">
        <f t="shared" si="547"/>
        <v>0</v>
      </c>
      <c r="AI551" s="798">
        <f t="shared" si="547"/>
        <v>0</v>
      </c>
      <c r="AJ551" s="798">
        <f t="shared" si="547"/>
        <v>0</v>
      </c>
      <c r="AK551" s="798">
        <f t="shared" si="547"/>
        <v>0</v>
      </c>
      <c r="AL551" s="798">
        <f t="shared" si="547"/>
        <v>0</v>
      </c>
      <c r="AM551" s="798">
        <f t="shared" si="547"/>
        <v>0</v>
      </c>
      <c r="AN551" s="798">
        <f t="shared" si="547"/>
        <v>0</v>
      </c>
      <c r="AO551" s="798">
        <f t="shared" si="547"/>
        <v>0</v>
      </c>
      <c r="AP551" s="798">
        <f t="shared" si="547"/>
        <v>0</v>
      </c>
      <c r="AQ551" s="798">
        <f t="shared" si="547"/>
        <v>0</v>
      </c>
      <c r="AR551" s="798">
        <f t="shared" si="547"/>
        <v>1</v>
      </c>
      <c r="AS551" s="798">
        <f t="shared" si="547"/>
        <v>1</v>
      </c>
      <c r="AT551" s="798">
        <f t="shared" si="547"/>
        <v>1</v>
      </c>
      <c r="AU551" s="798">
        <f t="shared" si="547"/>
        <v>1</v>
      </c>
      <c r="AV551" s="798">
        <f t="shared" si="547"/>
        <v>1</v>
      </c>
      <c r="AW551" s="798">
        <f t="shared" si="547"/>
        <v>1</v>
      </c>
      <c r="AX551" s="798">
        <f t="shared" si="547"/>
        <v>1</v>
      </c>
      <c r="AY551" s="798">
        <f t="shared" si="547"/>
        <v>1</v>
      </c>
      <c r="AZ551" s="798">
        <f t="shared" si="547"/>
        <v>1</v>
      </c>
      <c r="BA551" s="798">
        <f t="shared" si="547"/>
        <v>1</v>
      </c>
      <c r="BB551" s="798">
        <f t="shared" si="547"/>
        <v>1</v>
      </c>
      <c r="BC551" s="798">
        <f t="shared" si="547"/>
        <v>1</v>
      </c>
      <c r="BD551" s="798">
        <f t="shared" si="547"/>
        <v>1</v>
      </c>
      <c r="BE551" s="798">
        <f t="shared" si="547"/>
        <v>1</v>
      </c>
      <c r="BF551" s="798">
        <f t="shared" si="547"/>
        <v>1</v>
      </c>
      <c r="BG551" s="798">
        <f t="shared" si="547"/>
        <v>1</v>
      </c>
      <c r="BH551" s="798">
        <f t="shared" si="547"/>
        <v>1</v>
      </c>
      <c r="BI551" s="798">
        <f t="shared" si="547"/>
        <v>1</v>
      </c>
      <c r="BJ551" s="798">
        <f t="shared" si="547"/>
        <v>1</v>
      </c>
      <c r="BK551" s="798">
        <f t="shared" si="547"/>
        <v>1</v>
      </c>
      <c r="BL551" s="765"/>
      <c r="BM551" s="817"/>
      <c r="BN551" s="817"/>
    </row>
    <row r="552" hidden="1">
      <c r="A552" s="765"/>
      <c r="B552" s="765"/>
      <c r="C552" s="765"/>
      <c r="D552" s="765"/>
      <c r="E552" s="765"/>
      <c r="F552" s="765"/>
      <c r="G552" s="765"/>
      <c r="H552" s="765"/>
      <c r="I552" s="765">
        <f t="shared" si="17"/>
        <v>541</v>
      </c>
      <c r="J552" s="763">
        <f t="shared" si="5"/>
        <v>5.86467E+15</v>
      </c>
      <c r="K552" s="796">
        <f t="shared" si="7"/>
        <v>0.50429</v>
      </c>
      <c r="L552" s="796">
        <v>5.0E-4</v>
      </c>
      <c r="M552" s="763">
        <v>6.68719079721934E15</v>
      </c>
      <c r="N552" s="797">
        <f t="shared" si="8"/>
        <v>0</v>
      </c>
      <c r="O552" s="798">
        <f t="shared" ref="O552:BK552" si="548">FLOOR(MIN((((N("value of ELS upgrade")+N$8*($K552-$K551))*(N("Check checkbox")+(IF($G$6=TRUE,$G$7,$G$8))/$G$8))/(N("ROI of ELS and multiply by 2 if ELS is 1:1")+IF($G$12 = True, 2, 1) * $J552))/((N("difference in ELS+ and the cost of it")+(($K551*O$8)-($K551*N$8)) / O$7)),(N("MIN lets it return 0 or 1 after floored")+1)),1)</f>
        <v>0</v>
      </c>
      <c r="P552" s="798">
        <f t="shared" si="548"/>
        <v>0</v>
      </c>
      <c r="Q552" s="798">
        <f t="shared" si="548"/>
        <v>0</v>
      </c>
      <c r="R552" s="798">
        <f t="shared" si="548"/>
        <v>0</v>
      </c>
      <c r="S552" s="798">
        <f t="shared" si="548"/>
        <v>0</v>
      </c>
      <c r="T552" s="798">
        <f t="shared" si="548"/>
        <v>0</v>
      </c>
      <c r="U552" s="798">
        <f t="shared" si="548"/>
        <v>0</v>
      </c>
      <c r="V552" s="798">
        <f t="shared" si="548"/>
        <v>0</v>
      </c>
      <c r="W552" s="798">
        <f t="shared" si="548"/>
        <v>0</v>
      </c>
      <c r="X552" s="798">
        <f t="shared" si="548"/>
        <v>0</v>
      </c>
      <c r="Y552" s="798">
        <f t="shared" si="548"/>
        <v>0</v>
      </c>
      <c r="Z552" s="798">
        <f t="shared" si="548"/>
        <v>0</v>
      </c>
      <c r="AA552" s="798">
        <f t="shared" si="548"/>
        <v>0</v>
      </c>
      <c r="AB552" s="798">
        <f t="shared" si="548"/>
        <v>0</v>
      </c>
      <c r="AC552" s="798">
        <f t="shared" si="548"/>
        <v>0</v>
      </c>
      <c r="AD552" s="798">
        <f t="shared" si="548"/>
        <v>0</v>
      </c>
      <c r="AE552" s="798">
        <f t="shared" si="548"/>
        <v>0</v>
      </c>
      <c r="AF552" s="798">
        <f t="shared" si="548"/>
        <v>0</v>
      </c>
      <c r="AG552" s="798">
        <f t="shared" si="548"/>
        <v>0</v>
      </c>
      <c r="AH552" s="798">
        <f t="shared" si="548"/>
        <v>0</v>
      </c>
      <c r="AI552" s="798">
        <f t="shared" si="548"/>
        <v>0</v>
      </c>
      <c r="AJ552" s="798">
        <f t="shared" si="548"/>
        <v>0</v>
      </c>
      <c r="AK552" s="798">
        <f t="shared" si="548"/>
        <v>0</v>
      </c>
      <c r="AL552" s="798">
        <f t="shared" si="548"/>
        <v>0</v>
      </c>
      <c r="AM552" s="798">
        <f t="shared" si="548"/>
        <v>0</v>
      </c>
      <c r="AN552" s="798">
        <f t="shared" si="548"/>
        <v>0</v>
      </c>
      <c r="AO552" s="798">
        <f t="shared" si="548"/>
        <v>0</v>
      </c>
      <c r="AP552" s="798">
        <f t="shared" si="548"/>
        <v>0</v>
      </c>
      <c r="AQ552" s="798">
        <f t="shared" si="548"/>
        <v>0</v>
      </c>
      <c r="AR552" s="798">
        <f t="shared" si="548"/>
        <v>1</v>
      </c>
      <c r="AS552" s="798">
        <f t="shared" si="548"/>
        <v>1</v>
      </c>
      <c r="AT552" s="798">
        <f t="shared" si="548"/>
        <v>1</v>
      </c>
      <c r="AU552" s="798">
        <f t="shared" si="548"/>
        <v>1</v>
      </c>
      <c r="AV552" s="798">
        <f t="shared" si="548"/>
        <v>1</v>
      </c>
      <c r="AW552" s="798">
        <f t="shared" si="548"/>
        <v>1</v>
      </c>
      <c r="AX552" s="798">
        <f t="shared" si="548"/>
        <v>1</v>
      </c>
      <c r="AY552" s="798">
        <f t="shared" si="548"/>
        <v>1</v>
      </c>
      <c r="AZ552" s="798">
        <f t="shared" si="548"/>
        <v>1</v>
      </c>
      <c r="BA552" s="798">
        <f t="shared" si="548"/>
        <v>1</v>
      </c>
      <c r="BB552" s="798">
        <f t="shared" si="548"/>
        <v>1</v>
      </c>
      <c r="BC552" s="798">
        <f t="shared" si="548"/>
        <v>1</v>
      </c>
      <c r="BD552" s="798">
        <f t="shared" si="548"/>
        <v>1</v>
      </c>
      <c r="BE552" s="798">
        <f t="shared" si="548"/>
        <v>1</v>
      </c>
      <c r="BF552" s="798">
        <f t="shared" si="548"/>
        <v>1</v>
      </c>
      <c r="BG552" s="798">
        <f t="shared" si="548"/>
        <v>1</v>
      </c>
      <c r="BH552" s="798">
        <f t="shared" si="548"/>
        <v>1</v>
      </c>
      <c r="BI552" s="798">
        <f t="shared" si="548"/>
        <v>1</v>
      </c>
      <c r="BJ552" s="798">
        <f t="shared" si="548"/>
        <v>1</v>
      </c>
      <c r="BK552" s="798">
        <f t="shared" si="548"/>
        <v>1</v>
      </c>
      <c r="BL552" s="765"/>
      <c r="BM552" s="817"/>
      <c r="BN552" s="817"/>
    </row>
    <row r="553" hidden="1">
      <c r="A553" s="765"/>
      <c r="B553" s="765"/>
      <c r="C553" s="765"/>
      <c r="D553" s="765"/>
      <c r="E553" s="765"/>
      <c r="F553" s="765"/>
      <c r="G553" s="765"/>
      <c r="H553" s="765"/>
      <c r="I553" s="765">
        <f t="shared" si="17"/>
        <v>542</v>
      </c>
      <c r="J553" s="763">
        <f t="shared" si="5"/>
        <v>5.88527E+15</v>
      </c>
      <c r="K553" s="796">
        <f t="shared" si="7"/>
        <v>0.50479</v>
      </c>
      <c r="L553" s="796">
        <v>5.0E-4</v>
      </c>
      <c r="M553" s="763">
        <v>6.7106816838322E15</v>
      </c>
      <c r="N553" s="797">
        <f t="shared" si="8"/>
        <v>0</v>
      </c>
      <c r="O553" s="798">
        <f t="shared" ref="O553:BK553" si="549">FLOOR(MIN((((N("value of ELS upgrade")+N$8*($K553-$K552))*(N("Check checkbox")+(IF($G$6=TRUE,$G$7,$G$8))/$G$8))/(N("ROI of ELS and multiply by 2 if ELS is 1:1")+IF($G$12 = True, 2, 1) * $J553))/((N("difference in ELS+ and the cost of it")+(($K552*O$8)-($K552*N$8)) / O$7)),(N("MIN lets it return 0 or 1 after floored")+1)),1)</f>
        <v>0</v>
      </c>
      <c r="P553" s="798">
        <f t="shared" si="549"/>
        <v>0</v>
      </c>
      <c r="Q553" s="798">
        <f t="shared" si="549"/>
        <v>0</v>
      </c>
      <c r="R553" s="798">
        <f t="shared" si="549"/>
        <v>0</v>
      </c>
      <c r="S553" s="798">
        <f t="shared" si="549"/>
        <v>0</v>
      </c>
      <c r="T553" s="798">
        <f t="shared" si="549"/>
        <v>0</v>
      </c>
      <c r="U553" s="798">
        <f t="shared" si="549"/>
        <v>0</v>
      </c>
      <c r="V553" s="798">
        <f t="shared" si="549"/>
        <v>0</v>
      </c>
      <c r="W553" s="798">
        <f t="shared" si="549"/>
        <v>0</v>
      </c>
      <c r="X553" s="798">
        <f t="shared" si="549"/>
        <v>0</v>
      </c>
      <c r="Y553" s="798">
        <f t="shared" si="549"/>
        <v>0</v>
      </c>
      <c r="Z553" s="798">
        <f t="shared" si="549"/>
        <v>0</v>
      </c>
      <c r="AA553" s="798">
        <f t="shared" si="549"/>
        <v>0</v>
      </c>
      <c r="AB553" s="798">
        <f t="shared" si="549"/>
        <v>0</v>
      </c>
      <c r="AC553" s="798">
        <f t="shared" si="549"/>
        <v>0</v>
      </c>
      <c r="AD553" s="798">
        <f t="shared" si="549"/>
        <v>0</v>
      </c>
      <c r="AE553" s="798">
        <f t="shared" si="549"/>
        <v>0</v>
      </c>
      <c r="AF553" s="798">
        <f t="shared" si="549"/>
        <v>0</v>
      </c>
      <c r="AG553" s="798">
        <f t="shared" si="549"/>
        <v>0</v>
      </c>
      <c r="AH553" s="798">
        <f t="shared" si="549"/>
        <v>0</v>
      </c>
      <c r="AI553" s="798">
        <f t="shared" si="549"/>
        <v>0</v>
      </c>
      <c r="AJ553" s="798">
        <f t="shared" si="549"/>
        <v>0</v>
      </c>
      <c r="AK553" s="798">
        <f t="shared" si="549"/>
        <v>0</v>
      </c>
      <c r="AL553" s="798">
        <f t="shared" si="549"/>
        <v>0</v>
      </c>
      <c r="AM553" s="798">
        <f t="shared" si="549"/>
        <v>0</v>
      </c>
      <c r="AN553" s="798">
        <f t="shared" si="549"/>
        <v>0</v>
      </c>
      <c r="AO553" s="798">
        <f t="shared" si="549"/>
        <v>0</v>
      </c>
      <c r="AP553" s="798">
        <f t="shared" si="549"/>
        <v>0</v>
      </c>
      <c r="AQ553" s="798">
        <f t="shared" si="549"/>
        <v>0</v>
      </c>
      <c r="AR553" s="798">
        <f t="shared" si="549"/>
        <v>1</v>
      </c>
      <c r="AS553" s="798">
        <f t="shared" si="549"/>
        <v>1</v>
      </c>
      <c r="AT553" s="798">
        <f t="shared" si="549"/>
        <v>1</v>
      </c>
      <c r="AU553" s="798">
        <f t="shared" si="549"/>
        <v>1</v>
      </c>
      <c r="AV553" s="798">
        <f t="shared" si="549"/>
        <v>1</v>
      </c>
      <c r="AW553" s="798">
        <f t="shared" si="549"/>
        <v>1</v>
      </c>
      <c r="AX553" s="798">
        <f t="shared" si="549"/>
        <v>1</v>
      </c>
      <c r="AY553" s="798">
        <f t="shared" si="549"/>
        <v>1</v>
      </c>
      <c r="AZ553" s="798">
        <f t="shared" si="549"/>
        <v>1</v>
      </c>
      <c r="BA553" s="798">
        <f t="shared" si="549"/>
        <v>1</v>
      </c>
      <c r="BB553" s="798">
        <f t="shared" si="549"/>
        <v>1</v>
      </c>
      <c r="BC553" s="798">
        <f t="shared" si="549"/>
        <v>1</v>
      </c>
      <c r="BD553" s="798">
        <f t="shared" si="549"/>
        <v>1</v>
      </c>
      <c r="BE553" s="798">
        <f t="shared" si="549"/>
        <v>1</v>
      </c>
      <c r="BF553" s="798">
        <f t="shared" si="549"/>
        <v>1</v>
      </c>
      <c r="BG553" s="798">
        <f t="shared" si="549"/>
        <v>1</v>
      </c>
      <c r="BH553" s="798">
        <f t="shared" si="549"/>
        <v>1</v>
      </c>
      <c r="BI553" s="798">
        <f t="shared" si="549"/>
        <v>1</v>
      </c>
      <c r="BJ553" s="798">
        <f t="shared" si="549"/>
        <v>1</v>
      </c>
      <c r="BK553" s="798">
        <f t="shared" si="549"/>
        <v>1</v>
      </c>
      <c r="BL553" s="765"/>
      <c r="BM553" s="817"/>
      <c r="BN553" s="817"/>
    </row>
    <row r="554" hidden="1">
      <c r="A554" s="765"/>
      <c r="B554" s="765"/>
      <c r="C554" s="765"/>
      <c r="D554" s="765"/>
      <c r="E554" s="765"/>
      <c r="F554" s="765"/>
      <c r="G554" s="765"/>
      <c r="H554" s="765"/>
      <c r="I554" s="765">
        <f t="shared" si="17"/>
        <v>543</v>
      </c>
      <c r="J554" s="763">
        <f t="shared" si="5"/>
        <v>5.90593E+15</v>
      </c>
      <c r="K554" s="796">
        <f t="shared" si="7"/>
        <v>0.50529</v>
      </c>
      <c r="L554" s="796">
        <v>5.0E-4</v>
      </c>
      <c r="M554" s="763">
        <v>6.73424321761745E15</v>
      </c>
      <c r="N554" s="797">
        <f t="shared" si="8"/>
        <v>0</v>
      </c>
      <c r="O554" s="798">
        <f t="shared" ref="O554:BK554" si="550">FLOOR(MIN((((N("value of ELS upgrade")+N$8*($K554-$K553))*(N("Check checkbox")+(IF($G$6=TRUE,$G$7,$G$8))/$G$8))/(N("ROI of ELS and multiply by 2 if ELS is 1:1")+IF($G$12 = True, 2, 1) * $J554))/((N("difference in ELS+ and the cost of it")+(($K553*O$8)-($K553*N$8)) / O$7)),(N("MIN lets it return 0 or 1 after floored")+1)),1)</f>
        <v>0</v>
      </c>
      <c r="P554" s="798">
        <f t="shared" si="550"/>
        <v>0</v>
      </c>
      <c r="Q554" s="798">
        <f t="shared" si="550"/>
        <v>0</v>
      </c>
      <c r="R554" s="798">
        <f t="shared" si="550"/>
        <v>0</v>
      </c>
      <c r="S554" s="798">
        <f t="shared" si="550"/>
        <v>0</v>
      </c>
      <c r="T554" s="798">
        <f t="shared" si="550"/>
        <v>0</v>
      </c>
      <c r="U554" s="798">
        <f t="shared" si="550"/>
        <v>0</v>
      </c>
      <c r="V554" s="798">
        <f t="shared" si="550"/>
        <v>0</v>
      </c>
      <c r="W554" s="798">
        <f t="shared" si="550"/>
        <v>0</v>
      </c>
      <c r="X554" s="798">
        <f t="shared" si="550"/>
        <v>0</v>
      </c>
      <c r="Y554" s="798">
        <f t="shared" si="550"/>
        <v>0</v>
      </c>
      <c r="Z554" s="798">
        <f t="shared" si="550"/>
        <v>0</v>
      </c>
      <c r="AA554" s="798">
        <f t="shared" si="550"/>
        <v>0</v>
      </c>
      <c r="AB554" s="798">
        <f t="shared" si="550"/>
        <v>0</v>
      </c>
      <c r="AC554" s="798">
        <f t="shared" si="550"/>
        <v>0</v>
      </c>
      <c r="AD554" s="798">
        <f t="shared" si="550"/>
        <v>0</v>
      </c>
      <c r="AE554" s="798">
        <f t="shared" si="550"/>
        <v>0</v>
      </c>
      <c r="AF554" s="798">
        <f t="shared" si="550"/>
        <v>0</v>
      </c>
      <c r="AG554" s="798">
        <f t="shared" si="550"/>
        <v>0</v>
      </c>
      <c r="AH554" s="798">
        <f t="shared" si="550"/>
        <v>0</v>
      </c>
      <c r="AI554" s="798">
        <f t="shared" si="550"/>
        <v>0</v>
      </c>
      <c r="AJ554" s="798">
        <f t="shared" si="550"/>
        <v>0</v>
      </c>
      <c r="AK554" s="798">
        <f t="shared" si="550"/>
        <v>0</v>
      </c>
      <c r="AL554" s="798">
        <f t="shared" si="550"/>
        <v>0</v>
      </c>
      <c r="AM554" s="798">
        <f t="shared" si="550"/>
        <v>0</v>
      </c>
      <c r="AN554" s="798">
        <f t="shared" si="550"/>
        <v>0</v>
      </c>
      <c r="AO554" s="798">
        <f t="shared" si="550"/>
        <v>0</v>
      </c>
      <c r="AP554" s="798">
        <f t="shared" si="550"/>
        <v>0</v>
      </c>
      <c r="AQ554" s="798">
        <f t="shared" si="550"/>
        <v>0</v>
      </c>
      <c r="AR554" s="798">
        <f t="shared" si="550"/>
        <v>1</v>
      </c>
      <c r="AS554" s="798">
        <f t="shared" si="550"/>
        <v>1</v>
      </c>
      <c r="AT554" s="798">
        <f t="shared" si="550"/>
        <v>1</v>
      </c>
      <c r="AU554" s="798">
        <f t="shared" si="550"/>
        <v>1</v>
      </c>
      <c r="AV554" s="798">
        <f t="shared" si="550"/>
        <v>1</v>
      </c>
      <c r="AW554" s="798">
        <f t="shared" si="550"/>
        <v>1</v>
      </c>
      <c r="AX554" s="798">
        <f t="shared" si="550"/>
        <v>1</v>
      </c>
      <c r="AY554" s="798">
        <f t="shared" si="550"/>
        <v>1</v>
      </c>
      <c r="AZ554" s="798">
        <f t="shared" si="550"/>
        <v>1</v>
      </c>
      <c r="BA554" s="798">
        <f t="shared" si="550"/>
        <v>1</v>
      </c>
      <c r="BB554" s="798">
        <f t="shared" si="550"/>
        <v>1</v>
      </c>
      <c r="BC554" s="798">
        <f t="shared" si="550"/>
        <v>1</v>
      </c>
      <c r="BD554" s="798">
        <f t="shared" si="550"/>
        <v>1</v>
      </c>
      <c r="BE554" s="798">
        <f t="shared" si="550"/>
        <v>1</v>
      </c>
      <c r="BF554" s="798">
        <f t="shared" si="550"/>
        <v>1</v>
      </c>
      <c r="BG554" s="798">
        <f t="shared" si="550"/>
        <v>1</v>
      </c>
      <c r="BH554" s="798">
        <f t="shared" si="550"/>
        <v>1</v>
      </c>
      <c r="BI554" s="798">
        <f t="shared" si="550"/>
        <v>1</v>
      </c>
      <c r="BJ554" s="798">
        <f t="shared" si="550"/>
        <v>1</v>
      </c>
      <c r="BK554" s="798">
        <f t="shared" si="550"/>
        <v>1</v>
      </c>
      <c r="BL554" s="765"/>
      <c r="BM554" s="817"/>
      <c r="BN554" s="817"/>
    </row>
    <row r="555" hidden="1">
      <c r="A555" s="765"/>
      <c r="B555" s="765"/>
      <c r="C555" s="765"/>
      <c r="D555" s="765"/>
      <c r="E555" s="765"/>
      <c r="F555" s="765"/>
      <c r="G555" s="765"/>
      <c r="H555" s="765"/>
      <c r="I555" s="765">
        <f t="shared" si="17"/>
        <v>544</v>
      </c>
      <c r="J555" s="763">
        <f t="shared" si="5"/>
        <v>5.92666E+15</v>
      </c>
      <c r="K555" s="796">
        <f t="shared" si="7"/>
        <v>0.50579</v>
      </c>
      <c r="L555" s="796">
        <v>5.0E-4</v>
      </c>
      <c r="M555" s="763">
        <v>6.75787493071302E15</v>
      </c>
      <c r="N555" s="797">
        <f t="shared" si="8"/>
        <v>0</v>
      </c>
      <c r="O555" s="798">
        <f t="shared" ref="O555:BK555" si="551">FLOOR(MIN((((N("value of ELS upgrade")+N$8*($K555-$K554))*(N("Check checkbox")+(IF($G$6=TRUE,$G$7,$G$8))/$G$8))/(N("ROI of ELS and multiply by 2 if ELS is 1:1")+IF($G$12 = True, 2, 1) * $J555))/((N("difference in ELS+ and the cost of it")+(($K554*O$8)-($K554*N$8)) / O$7)),(N("MIN lets it return 0 or 1 after floored")+1)),1)</f>
        <v>0</v>
      </c>
      <c r="P555" s="798">
        <f t="shared" si="551"/>
        <v>0</v>
      </c>
      <c r="Q555" s="798">
        <f t="shared" si="551"/>
        <v>0</v>
      </c>
      <c r="R555" s="798">
        <f t="shared" si="551"/>
        <v>0</v>
      </c>
      <c r="S555" s="798">
        <f t="shared" si="551"/>
        <v>0</v>
      </c>
      <c r="T555" s="798">
        <f t="shared" si="551"/>
        <v>0</v>
      </c>
      <c r="U555" s="798">
        <f t="shared" si="551"/>
        <v>0</v>
      </c>
      <c r="V555" s="798">
        <f t="shared" si="551"/>
        <v>0</v>
      </c>
      <c r="W555" s="798">
        <f t="shared" si="551"/>
        <v>0</v>
      </c>
      <c r="X555" s="798">
        <f t="shared" si="551"/>
        <v>0</v>
      </c>
      <c r="Y555" s="798">
        <f t="shared" si="551"/>
        <v>0</v>
      </c>
      <c r="Z555" s="798">
        <f t="shared" si="551"/>
        <v>0</v>
      </c>
      <c r="AA555" s="798">
        <f t="shared" si="551"/>
        <v>0</v>
      </c>
      <c r="AB555" s="798">
        <f t="shared" si="551"/>
        <v>0</v>
      </c>
      <c r="AC555" s="798">
        <f t="shared" si="551"/>
        <v>0</v>
      </c>
      <c r="AD555" s="798">
        <f t="shared" si="551"/>
        <v>0</v>
      </c>
      <c r="AE555" s="798">
        <f t="shared" si="551"/>
        <v>0</v>
      </c>
      <c r="AF555" s="798">
        <f t="shared" si="551"/>
        <v>0</v>
      </c>
      <c r="AG555" s="798">
        <f t="shared" si="551"/>
        <v>0</v>
      </c>
      <c r="AH555" s="798">
        <f t="shared" si="551"/>
        <v>0</v>
      </c>
      <c r="AI555" s="798">
        <f t="shared" si="551"/>
        <v>0</v>
      </c>
      <c r="AJ555" s="798">
        <f t="shared" si="551"/>
        <v>0</v>
      </c>
      <c r="AK555" s="798">
        <f t="shared" si="551"/>
        <v>0</v>
      </c>
      <c r="AL555" s="798">
        <f t="shared" si="551"/>
        <v>0</v>
      </c>
      <c r="AM555" s="798">
        <f t="shared" si="551"/>
        <v>0</v>
      </c>
      <c r="AN555" s="798">
        <f t="shared" si="551"/>
        <v>0</v>
      </c>
      <c r="AO555" s="798">
        <f t="shared" si="551"/>
        <v>0</v>
      </c>
      <c r="AP555" s="798">
        <f t="shared" si="551"/>
        <v>0</v>
      </c>
      <c r="AQ555" s="798">
        <f t="shared" si="551"/>
        <v>0</v>
      </c>
      <c r="AR555" s="798">
        <f t="shared" si="551"/>
        <v>1</v>
      </c>
      <c r="AS555" s="798">
        <f t="shared" si="551"/>
        <v>1</v>
      </c>
      <c r="AT555" s="798">
        <f t="shared" si="551"/>
        <v>1</v>
      </c>
      <c r="AU555" s="798">
        <f t="shared" si="551"/>
        <v>1</v>
      </c>
      <c r="AV555" s="798">
        <f t="shared" si="551"/>
        <v>1</v>
      </c>
      <c r="AW555" s="798">
        <f t="shared" si="551"/>
        <v>1</v>
      </c>
      <c r="AX555" s="798">
        <f t="shared" si="551"/>
        <v>1</v>
      </c>
      <c r="AY555" s="798">
        <f t="shared" si="551"/>
        <v>1</v>
      </c>
      <c r="AZ555" s="798">
        <f t="shared" si="551"/>
        <v>1</v>
      </c>
      <c r="BA555" s="798">
        <f t="shared" si="551"/>
        <v>1</v>
      </c>
      <c r="BB555" s="798">
        <f t="shared" si="551"/>
        <v>1</v>
      </c>
      <c r="BC555" s="798">
        <f t="shared" si="551"/>
        <v>1</v>
      </c>
      <c r="BD555" s="798">
        <f t="shared" si="551"/>
        <v>1</v>
      </c>
      <c r="BE555" s="798">
        <f t="shared" si="551"/>
        <v>1</v>
      </c>
      <c r="BF555" s="798">
        <f t="shared" si="551"/>
        <v>1</v>
      </c>
      <c r="BG555" s="798">
        <f t="shared" si="551"/>
        <v>1</v>
      </c>
      <c r="BH555" s="798">
        <f t="shared" si="551"/>
        <v>1</v>
      </c>
      <c r="BI555" s="798">
        <f t="shared" si="551"/>
        <v>1</v>
      </c>
      <c r="BJ555" s="798">
        <f t="shared" si="551"/>
        <v>1</v>
      </c>
      <c r="BK555" s="798">
        <f t="shared" si="551"/>
        <v>1</v>
      </c>
      <c r="BL555" s="765"/>
      <c r="BM555" s="817"/>
      <c r="BN555" s="817"/>
    </row>
    <row r="556" hidden="1">
      <c r="A556" s="765"/>
      <c r="B556" s="765"/>
      <c r="C556" s="765"/>
      <c r="D556" s="765"/>
      <c r="E556" s="765"/>
      <c r="F556" s="765"/>
      <c r="G556" s="765"/>
      <c r="H556" s="765"/>
      <c r="I556" s="765">
        <f t="shared" si="17"/>
        <v>545</v>
      </c>
      <c r="J556" s="763">
        <f t="shared" si="5"/>
        <v>5.94744E+15</v>
      </c>
      <c r="K556" s="796">
        <f t="shared" si="7"/>
        <v>0.50629</v>
      </c>
      <c r="L556" s="796">
        <v>5.0E-4</v>
      </c>
      <c r="M556" s="763">
        <v>6.78157775884305E15</v>
      </c>
      <c r="N556" s="797">
        <f t="shared" si="8"/>
        <v>0</v>
      </c>
      <c r="O556" s="798">
        <f t="shared" ref="O556:BK556" si="552">FLOOR(MIN((((N("value of ELS upgrade")+N$8*($K556-$K555))*(N("Check checkbox")+(IF($G$6=TRUE,$G$7,$G$8))/$G$8))/(N("ROI of ELS and multiply by 2 if ELS is 1:1")+IF($G$12 = True, 2, 1) * $J556))/((N("difference in ELS+ and the cost of it")+(($K555*O$8)-($K555*N$8)) / O$7)),(N("MIN lets it return 0 or 1 after floored")+1)),1)</f>
        <v>0</v>
      </c>
      <c r="P556" s="798">
        <f t="shared" si="552"/>
        <v>0</v>
      </c>
      <c r="Q556" s="798">
        <f t="shared" si="552"/>
        <v>0</v>
      </c>
      <c r="R556" s="798">
        <f t="shared" si="552"/>
        <v>0</v>
      </c>
      <c r="S556" s="798">
        <f t="shared" si="552"/>
        <v>0</v>
      </c>
      <c r="T556" s="798">
        <f t="shared" si="552"/>
        <v>0</v>
      </c>
      <c r="U556" s="798">
        <f t="shared" si="552"/>
        <v>0</v>
      </c>
      <c r="V556" s="798">
        <f t="shared" si="552"/>
        <v>0</v>
      </c>
      <c r="W556" s="798">
        <f t="shared" si="552"/>
        <v>0</v>
      </c>
      <c r="X556" s="798">
        <f t="shared" si="552"/>
        <v>0</v>
      </c>
      <c r="Y556" s="798">
        <f t="shared" si="552"/>
        <v>0</v>
      </c>
      <c r="Z556" s="798">
        <f t="shared" si="552"/>
        <v>0</v>
      </c>
      <c r="AA556" s="798">
        <f t="shared" si="552"/>
        <v>0</v>
      </c>
      <c r="AB556" s="798">
        <f t="shared" si="552"/>
        <v>0</v>
      </c>
      <c r="AC556" s="798">
        <f t="shared" si="552"/>
        <v>0</v>
      </c>
      <c r="AD556" s="798">
        <f t="shared" si="552"/>
        <v>0</v>
      </c>
      <c r="AE556" s="798">
        <f t="shared" si="552"/>
        <v>0</v>
      </c>
      <c r="AF556" s="798">
        <f t="shared" si="552"/>
        <v>0</v>
      </c>
      <c r="AG556" s="798">
        <f t="shared" si="552"/>
        <v>0</v>
      </c>
      <c r="AH556" s="798">
        <f t="shared" si="552"/>
        <v>0</v>
      </c>
      <c r="AI556" s="798">
        <f t="shared" si="552"/>
        <v>0</v>
      </c>
      <c r="AJ556" s="798">
        <f t="shared" si="552"/>
        <v>0</v>
      </c>
      <c r="AK556" s="798">
        <f t="shared" si="552"/>
        <v>0</v>
      </c>
      <c r="AL556" s="798">
        <f t="shared" si="552"/>
        <v>0</v>
      </c>
      <c r="AM556" s="798">
        <f t="shared" si="552"/>
        <v>0</v>
      </c>
      <c r="AN556" s="798">
        <f t="shared" si="552"/>
        <v>0</v>
      </c>
      <c r="AO556" s="798">
        <f t="shared" si="552"/>
        <v>0</v>
      </c>
      <c r="AP556" s="798">
        <f t="shared" si="552"/>
        <v>0</v>
      </c>
      <c r="AQ556" s="798">
        <f t="shared" si="552"/>
        <v>0</v>
      </c>
      <c r="AR556" s="798">
        <f t="shared" si="552"/>
        <v>1</v>
      </c>
      <c r="AS556" s="798">
        <f t="shared" si="552"/>
        <v>1</v>
      </c>
      <c r="AT556" s="798">
        <f t="shared" si="552"/>
        <v>1</v>
      </c>
      <c r="AU556" s="798">
        <f t="shared" si="552"/>
        <v>1</v>
      </c>
      <c r="AV556" s="798">
        <f t="shared" si="552"/>
        <v>1</v>
      </c>
      <c r="AW556" s="798">
        <f t="shared" si="552"/>
        <v>1</v>
      </c>
      <c r="AX556" s="798">
        <f t="shared" si="552"/>
        <v>1</v>
      </c>
      <c r="AY556" s="798">
        <f t="shared" si="552"/>
        <v>1</v>
      </c>
      <c r="AZ556" s="798">
        <f t="shared" si="552"/>
        <v>1</v>
      </c>
      <c r="BA556" s="798">
        <f t="shared" si="552"/>
        <v>1</v>
      </c>
      <c r="BB556" s="798">
        <f t="shared" si="552"/>
        <v>1</v>
      </c>
      <c r="BC556" s="798">
        <f t="shared" si="552"/>
        <v>1</v>
      </c>
      <c r="BD556" s="798">
        <f t="shared" si="552"/>
        <v>1</v>
      </c>
      <c r="BE556" s="798">
        <f t="shared" si="552"/>
        <v>1</v>
      </c>
      <c r="BF556" s="798">
        <f t="shared" si="552"/>
        <v>1</v>
      </c>
      <c r="BG556" s="798">
        <f t="shared" si="552"/>
        <v>1</v>
      </c>
      <c r="BH556" s="798">
        <f t="shared" si="552"/>
        <v>1</v>
      </c>
      <c r="BI556" s="798">
        <f t="shared" si="552"/>
        <v>1</v>
      </c>
      <c r="BJ556" s="798">
        <f t="shared" si="552"/>
        <v>1</v>
      </c>
      <c r="BK556" s="798">
        <f t="shared" si="552"/>
        <v>1</v>
      </c>
      <c r="BL556" s="765"/>
      <c r="BM556" s="817"/>
      <c r="BN556" s="817"/>
    </row>
    <row r="557" hidden="1">
      <c r="A557" s="765"/>
      <c r="B557" s="765"/>
      <c r="C557" s="765"/>
      <c r="D557" s="765"/>
      <c r="E557" s="765"/>
      <c r="F557" s="765"/>
      <c r="G557" s="765"/>
      <c r="H557" s="765"/>
      <c r="I557" s="765">
        <f t="shared" si="17"/>
        <v>546</v>
      </c>
      <c r="J557" s="763">
        <f t="shared" si="5"/>
        <v>5.96829E+15</v>
      </c>
      <c r="K557" s="796">
        <f t="shared" si="7"/>
        <v>0.50679</v>
      </c>
      <c r="L557" s="796">
        <v>5.0E-4</v>
      </c>
      <c r="M557" s="763">
        <v>6.80535146807651E15</v>
      </c>
      <c r="N557" s="797">
        <f t="shared" si="8"/>
        <v>0</v>
      </c>
      <c r="O557" s="798">
        <f t="shared" ref="O557:BK557" si="553">FLOOR(MIN((((N("value of ELS upgrade")+N$8*($K557-$K556))*(N("Check checkbox")+(IF($G$6=TRUE,$G$7,$G$8))/$G$8))/(N("ROI of ELS and multiply by 2 if ELS is 1:1")+IF($G$12 = True, 2, 1) * $J557))/((N("difference in ELS+ and the cost of it")+(($K556*O$8)-($K556*N$8)) / O$7)),(N("MIN lets it return 0 or 1 after floored")+1)),1)</f>
        <v>0</v>
      </c>
      <c r="P557" s="798">
        <f t="shared" si="553"/>
        <v>0</v>
      </c>
      <c r="Q557" s="798">
        <f t="shared" si="553"/>
        <v>0</v>
      </c>
      <c r="R557" s="798">
        <f t="shared" si="553"/>
        <v>0</v>
      </c>
      <c r="S557" s="798">
        <f t="shared" si="553"/>
        <v>0</v>
      </c>
      <c r="T557" s="798">
        <f t="shared" si="553"/>
        <v>0</v>
      </c>
      <c r="U557" s="798">
        <f t="shared" si="553"/>
        <v>0</v>
      </c>
      <c r="V557" s="798">
        <f t="shared" si="553"/>
        <v>0</v>
      </c>
      <c r="W557" s="798">
        <f t="shared" si="553"/>
        <v>0</v>
      </c>
      <c r="X557" s="798">
        <f t="shared" si="553"/>
        <v>0</v>
      </c>
      <c r="Y557" s="798">
        <f t="shared" si="553"/>
        <v>0</v>
      </c>
      <c r="Z557" s="798">
        <f t="shared" si="553"/>
        <v>0</v>
      </c>
      <c r="AA557" s="798">
        <f t="shared" si="553"/>
        <v>0</v>
      </c>
      <c r="AB557" s="798">
        <f t="shared" si="553"/>
        <v>0</v>
      </c>
      <c r="AC557" s="798">
        <f t="shared" si="553"/>
        <v>0</v>
      </c>
      <c r="AD557" s="798">
        <f t="shared" si="553"/>
        <v>0</v>
      </c>
      <c r="AE557" s="798">
        <f t="shared" si="553"/>
        <v>0</v>
      </c>
      <c r="AF557" s="798">
        <f t="shared" si="553"/>
        <v>0</v>
      </c>
      <c r="AG557" s="798">
        <f t="shared" si="553"/>
        <v>0</v>
      </c>
      <c r="AH557" s="798">
        <f t="shared" si="553"/>
        <v>0</v>
      </c>
      <c r="AI557" s="798">
        <f t="shared" si="553"/>
        <v>0</v>
      </c>
      <c r="AJ557" s="798">
        <f t="shared" si="553"/>
        <v>0</v>
      </c>
      <c r="AK557" s="798">
        <f t="shared" si="553"/>
        <v>0</v>
      </c>
      <c r="AL557" s="798">
        <f t="shared" si="553"/>
        <v>0</v>
      </c>
      <c r="AM557" s="798">
        <f t="shared" si="553"/>
        <v>0</v>
      </c>
      <c r="AN557" s="798">
        <f t="shared" si="553"/>
        <v>0</v>
      </c>
      <c r="AO557" s="798">
        <f t="shared" si="553"/>
        <v>0</v>
      </c>
      <c r="AP557" s="798">
        <f t="shared" si="553"/>
        <v>0</v>
      </c>
      <c r="AQ557" s="798">
        <f t="shared" si="553"/>
        <v>0</v>
      </c>
      <c r="AR557" s="798">
        <f t="shared" si="553"/>
        <v>1</v>
      </c>
      <c r="AS557" s="798">
        <f t="shared" si="553"/>
        <v>1</v>
      </c>
      <c r="AT557" s="798">
        <f t="shared" si="553"/>
        <v>1</v>
      </c>
      <c r="AU557" s="798">
        <f t="shared" si="553"/>
        <v>1</v>
      </c>
      <c r="AV557" s="798">
        <f t="shared" si="553"/>
        <v>1</v>
      </c>
      <c r="AW557" s="798">
        <f t="shared" si="553"/>
        <v>1</v>
      </c>
      <c r="AX557" s="798">
        <f t="shared" si="553"/>
        <v>1</v>
      </c>
      <c r="AY557" s="798">
        <f t="shared" si="553"/>
        <v>1</v>
      </c>
      <c r="AZ557" s="798">
        <f t="shared" si="553"/>
        <v>1</v>
      </c>
      <c r="BA557" s="798">
        <f t="shared" si="553"/>
        <v>1</v>
      </c>
      <c r="BB557" s="798">
        <f t="shared" si="553"/>
        <v>1</v>
      </c>
      <c r="BC557" s="798">
        <f t="shared" si="553"/>
        <v>1</v>
      </c>
      <c r="BD557" s="798">
        <f t="shared" si="553"/>
        <v>1</v>
      </c>
      <c r="BE557" s="798">
        <f t="shared" si="553"/>
        <v>1</v>
      </c>
      <c r="BF557" s="798">
        <f t="shared" si="553"/>
        <v>1</v>
      </c>
      <c r="BG557" s="798">
        <f t="shared" si="553"/>
        <v>1</v>
      </c>
      <c r="BH557" s="798">
        <f t="shared" si="553"/>
        <v>1</v>
      </c>
      <c r="BI557" s="798">
        <f t="shared" si="553"/>
        <v>1</v>
      </c>
      <c r="BJ557" s="798">
        <f t="shared" si="553"/>
        <v>1</v>
      </c>
      <c r="BK557" s="798">
        <f t="shared" si="553"/>
        <v>1</v>
      </c>
      <c r="BL557" s="765"/>
      <c r="BM557" s="817"/>
      <c r="BN557" s="817"/>
    </row>
    <row r="558" hidden="1">
      <c r="A558" s="765"/>
      <c r="B558" s="765"/>
      <c r="C558" s="765"/>
      <c r="D558" s="765"/>
      <c r="E558" s="765"/>
      <c r="F558" s="765"/>
      <c r="G558" s="765"/>
      <c r="H558" s="765"/>
      <c r="I558" s="765">
        <f t="shared" si="17"/>
        <v>547</v>
      </c>
      <c r="J558" s="763">
        <f t="shared" si="5"/>
        <v>5.98921E+15</v>
      </c>
      <c r="K558" s="796">
        <f t="shared" si="7"/>
        <v>0.50729</v>
      </c>
      <c r="L558" s="796">
        <v>5.0E-4</v>
      </c>
      <c r="M558" s="763">
        <v>6.82919629234442E15</v>
      </c>
      <c r="N558" s="797">
        <f t="shared" si="8"/>
        <v>0</v>
      </c>
      <c r="O558" s="798">
        <f t="shared" ref="O558:BK558" si="554">FLOOR(MIN((((N("value of ELS upgrade")+N$8*($K558-$K557))*(N("Check checkbox")+(IF($G$6=TRUE,$G$7,$G$8))/$G$8))/(N("ROI of ELS and multiply by 2 if ELS is 1:1")+IF($G$12 = True, 2, 1) * $J558))/((N("difference in ELS+ and the cost of it")+(($K557*O$8)-($K557*N$8)) / O$7)),(N("MIN lets it return 0 or 1 after floored")+1)),1)</f>
        <v>0</v>
      </c>
      <c r="P558" s="798">
        <f t="shared" si="554"/>
        <v>0</v>
      </c>
      <c r="Q558" s="798">
        <f t="shared" si="554"/>
        <v>0</v>
      </c>
      <c r="R558" s="798">
        <f t="shared" si="554"/>
        <v>0</v>
      </c>
      <c r="S558" s="798">
        <f t="shared" si="554"/>
        <v>0</v>
      </c>
      <c r="T558" s="798">
        <f t="shared" si="554"/>
        <v>0</v>
      </c>
      <c r="U558" s="798">
        <f t="shared" si="554"/>
        <v>0</v>
      </c>
      <c r="V558" s="798">
        <f t="shared" si="554"/>
        <v>0</v>
      </c>
      <c r="W558" s="798">
        <f t="shared" si="554"/>
        <v>0</v>
      </c>
      <c r="X558" s="798">
        <f t="shared" si="554"/>
        <v>0</v>
      </c>
      <c r="Y558" s="798">
        <f t="shared" si="554"/>
        <v>0</v>
      </c>
      <c r="Z558" s="798">
        <f t="shared" si="554"/>
        <v>0</v>
      </c>
      <c r="AA558" s="798">
        <f t="shared" si="554"/>
        <v>0</v>
      </c>
      <c r="AB558" s="798">
        <f t="shared" si="554"/>
        <v>0</v>
      </c>
      <c r="AC558" s="798">
        <f t="shared" si="554"/>
        <v>0</v>
      </c>
      <c r="AD558" s="798">
        <f t="shared" si="554"/>
        <v>0</v>
      </c>
      <c r="AE558" s="798">
        <f t="shared" si="554"/>
        <v>0</v>
      </c>
      <c r="AF558" s="798">
        <f t="shared" si="554"/>
        <v>0</v>
      </c>
      <c r="AG558" s="798">
        <f t="shared" si="554"/>
        <v>0</v>
      </c>
      <c r="AH558" s="798">
        <f t="shared" si="554"/>
        <v>0</v>
      </c>
      <c r="AI558" s="798">
        <f t="shared" si="554"/>
        <v>0</v>
      </c>
      <c r="AJ558" s="798">
        <f t="shared" si="554"/>
        <v>0</v>
      </c>
      <c r="AK558" s="798">
        <f t="shared" si="554"/>
        <v>0</v>
      </c>
      <c r="AL558" s="798">
        <f t="shared" si="554"/>
        <v>0</v>
      </c>
      <c r="AM558" s="798">
        <f t="shared" si="554"/>
        <v>0</v>
      </c>
      <c r="AN558" s="798">
        <f t="shared" si="554"/>
        <v>0</v>
      </c>
      <c r="AO558" s="798">
        <f t="shared" si="554"/>
        <v>0</v>
      </c>
      <c r="AP558" s="798">
        <f t="shared" si="554"/>
        <v>0</v>
      </c>
      <c r="AQ558" s="798">
        <f t="shared" si="554"/>
        <v>0</v>
      </c>
      <c r="AR558" s="798">
        <f t="shared" si="554"/>
        <v>1</v>
      </c>
      <c r="AS558" s="798">
        <f t="shared" si="554"/>
        <v>1</v>
      </c>
      <c r="AT558" s="798">
        <f t="shared" si="554"/>
        <v>1</v>
      </c>
      <c r="AU558" s="798">
        <f t="shared" si="554"/>
        <v>1</v>
      </c>
      <c r="AV558" s="798">
        <f t="shared" si="554"/>
        <v>1</v>
      </c>
      <c r="AW558" s="798">
        <f t="shared" si="554"/>
        <v>1</v>
      </c>
      <c r="AX558" s="798">
        <f t="shared" si="554"/>
        <v>1</v>
      </c>
      <c r="AY558" s="798">
        <f t="shared" si="554"/>
        <v>1</v>
      </c>
      <c r="AZ558" s="798">
        <f t="shared" si="554"/>
        <v>1</v>
      </c>
      <c r="BA558" s="798">
        <f t="shared" si="554"/>
        <v>1</v>
      </c>
      <c r="BB558" s="798">
        <f t="shared" si="554"/>
        <v>1</v>
      </c>
      <c r="BC558" s="798">
        <f t="shared" si="554"/>
        <v>1</v>
      </c>
      <c r="BD558" s="798">
        <f t="shared" si="554"/>
        <v>1</v>
      </c>
      <c r="BE558" s="798">
        <f t="shared" si="554"/>
        <v>1</v>
      </c>
      <c r="BF558" s="798">
        <f t="shared" si="554"/>
        <v>1</v>
      </c>
      <c r="BG558" s="798">
        <f t="shared" si="554"/>
        <v>1</v>
      </c>
      <c r="BH558" s="798">
        <f t="shared" si="554"/>
        <v>1</v>
      </c>
      <c r="BI558" s="798">
        <f t="shared" si="554"/>
        <v>1</v>
      </c>
      <c r="BJ558" s="798">
        <f t="shared" si="554"/>
        <v>1</v>
      </c>
      <c r="BK558" s="798">
        <f t="shared" si="554"/>
        <v>1</v>
      </c>
      <c r="BL558" s="765"/>
      <c r="BM558" s="817"/>
      <c r="BN558" s="817"/>
    </row>
    <row r="559" hidden="1">
      <c r="A559" s="765"/>
      <c r="B559" s="765"/>
      <c r="C559" s="765"/>
      <c r="D559" s="765"/>
      <c r="E559" s="765"/>
      <c r="F559" s="765"/>
      <c r="G559" s="765"/>
      <c r="H559" s="765"/>
      <c r="I559" s="765">
        <f t="shared" si="17"/>
        <v>548</v>
      </c>
      <c r="J559" s="763">
        <f t="shared" si="5"/>
        <v>6.01018E+15</v>
      </c>
      <c r="K559" s="796">
        <f t="shared" si="7"/>
        <v>0.50779</v>
      </c>
      <c r="L559" s="796">
        <v>5.0E-4</v>
      </c>
      <c r="M559" s="763">
        <v>6.85311246557783E15</v>
      </c>
      <c r="N559" s="797">
        <f t="shared" si="8"/>
        <v>0</v>
      </c>
      <c r="O559" s="798">
        <f t="shared" ref="O559:BK559" si="555">FLOOR(MIN((((N("value of ELS upgrade")+N$8*($K559-$K558))*(N("Check checkbox")+(IF($G$6=TRUE,$G$7,$G$8))/$G$8))/(N("ROI of ELS and multiply by 2 if ELS is 1:1")+IF($G$12 = True, 2, 1) * $J559))/((N("difference in ELS+ and the cost of it")+(($K558*O$8)-($K558*N$8)) / O$7)),(N("MIN lets it return 0 or 1 after floored")+1)),1)</f>
        <v>0</v>
      </c>
      <c r="P559" s="798">
        <f t="shared" si="555"/>
        <v>0</v>
      </c>
      <c r="Q559" s="798">
        <f t="shared" si="555"/>
        <v>0</v>
      </c>
      <c r="R559" s="798">
        <f t="shared" si="555"/>
        <v>0</v>
      </c>
      <c r="S559" s="798">
        <f t="shared" si="555"/>
        <v>0</v>
      </c>
      <c r="T559" s="798">
        <f t="shared" si="555"/>
        <v>0</v>
      </c>
      <c r="U559" s="798">
        <f t="shared" si="555"/>
        <v>0</v>
      </c>
      <c r="V559" s="798">
        <f t="shared" si="555"/>
        <v>0</v>
      </c>
      <c r="W559" s="798">
        <f t="shared" si="555"/>
        <v>0</v>
      </c>
      <c r="X559" s="798">
        <f t="shared" si="555"/>
        <v>0</v>
      </c>
      <c r="Y559" s="798">
        <f t="shared" si="555"/>
        <v>0</v>
      </c>
      <c r="Z559" s="798">
        <f t="shared" si="555"/>
        <v>0</v>
      </c>
      <c r="AA559" s="798">
        <f t="shared" si="555"/>
        <v>0</v>
      </c>
      <c r="AB559" s="798">
        <f t="shared" si="555"/>
        <v>0</v>
      </c>
      <c r="AC559" s="798">
        <f t="shared" si="555"/>
        <v>0</v>
      </c>
      <c r="AD559" s="798">
        <f t="shared" si="555"/>
        <v>0</v>
      </c>
      <c r="AE559" s="798">
        <f t="shared" si="555"/>
        <v>0</v>
      </c>
      <c r="AF559" s="798">
        <f t="shared" si="555"/>
        <v>0</v>
      </c>
      <c r="AG559" s="798">
        <f t="shared" si="555"/>
        <v>0</v>
      </c>
      <c r="AH559" s="798">
        <f t="shared" si="555"/>
        <v>0</v>
      </c>
      <c r="AI559" s="798">
        <f t="shared" si="555"/>
        <v>0</v>
      </c>
      <c r="AJ559" s="798">
        <f t="shared" si="555"/>
        <v>0</v>
      </c>
      <c r="AK559" s="798">
        <f t="shared" si="555"/>
        <v>0</v>
      </c>
      <c r="AL559" s="798">
        <f t="shared" si="555"/>
        <v>0</v>
      </c>
      <c r="AM559" s="798">
        <f t="shared" si="555"/>
        <v>0</v>
      </c>
      <c r="AN559" s="798">
        <f t="shared" si="555"/>
        <v>0</v>
      </c>
      <c r="AO559" s="798">
        <f t="shared" si="555"/>
        <v>0</v>
      </c>
      <c r="AP559" s="798">
        <f t="shared" si="555"/>
        <v>0</v>
      </c>
      <c r="AQ559" s="798">
        <f t="shared" si="555"/>
        <v>0</v>
      </c>
      <c r="AR559" s="798">
        <f t="shared" si="555"/>
        <v>1</v>
      </c>
      <c r="AS559" s="798">
        <f t="shared" si="555"/>
        <v>1</v>
      </c>
      <c r="AT559" s="798">
        <f t="shared" si="555"/>
        <v>1</v>
      </c>
      <c r="AU559" s="798">
        <f t="shared" si="555"/>
        <v>1</v>
      </c>
      <c r="AV559" s="798">
        <f t="shared" si="555"/>
        <v>1</v>
      </c>
      <c r="AW559" s="798">
        <f t="shared" si="555"/>
        <v>1</v>
      </c>
      <c r="AX559" s="798">
        <f t="shared" si="555"/>
        <v>1</v>
      </c>
      <c r="AY559" s="798">
        <f t="shared" si="555"/>
        <v>1</v>
      </c>
      <c r="AZ559" s="798">
        <f t="shared" si="555"/>
        <v>1</v>
      </c>
      <c r="BA559" s="798">
        <f t="shared" si="555"/>
        <v>1</v>
      </c>
      <c r="BB559" s="798">
        <f t="shared" si="555"/>
        <v>1</v>
      </c>
      <c r="BC559" s="798">
        <f t="shared" si="555"/>
        <v>1</v>
      </c>
      <c r="BD559" s="798">
        <f t="shared" si="555"/>
        <v>1</v>
      </c>
      <c r="BE559" s="798">
        <f t="shared" si="555"/>
        <v>1</v>
      </c>
      <c r="BF559" s="798">
        <f t="shared" si="555"/>
        <v>1</v>
      </c>
      <c r="BG559" s="798">
        <f t="shared" si="555"/>
        <v>1</v>
      </c>
      <c r="BH559" s="798">
        <f t="shared" si="555"/>
        <v>1</v>
      </c>
      <c r="BI559" s="798">
        <f t="shared" si="555"/>
        <v>1</v>
      </c>
      <c r="BJ559" s="798">
        <f t="shared" si="555"/>
        <v>1</v>
      </c>
      <c r="BK559" s="798">
        <f t="shared" si="555"/>
        <v>1</v>
      </c>
      <c r="BL559" s="765"/>
      <c r="BM559" s="817"/>
      <c r="BN559" s="817"/>
    </row>
    <row r="560" hidden="1">
      <c r="A560" s="765"/>
      <c r="B560" s="765"/>
      <c r="C560" s="765"/>
      <c r="D560" s="765"/>
      <c r="E560" s="765"/>
      <c r="F560" s="765"/>
      <c r="G560" s="765"/>
      <c r="H560" s="765"/>
      <c r="I560" s="765">
        <f t="shared" si="17"/>
        <v>549</v>
      </c>
      <c r="J560" s="763">
        <f t="shared" si="5"/>
        <v>6.03122E+15</v>
      </c>
      <c r="K560" s="796">
        <f t="shared" si="7"/>
        <v>0.50829</v>
      </c>
      <c r="L560" s="796">
        <v>5.0E-4</v>
      </c>
      <c r="M560" s="763">
        <v>6.87709998777673E15</v>
      </c>
      <c r="N560" s="797">
        <f t="shared" si="8"/>
        <v>0</v>
      </c>
      <c r="O560" s="798">
        <f t="shared" ref="O560:BK560" si="556">FLOOR(MIN((((N("value of ELS upgrade")+N$8*($K560-$K559))*(N("Check checkbox")+(IF($G$6=TRUE,$G$7,$G$8))/$G$8))/(N("ROI of ELS and multiply by 2 if ELS is 1:1")+IF($G$12 = True, 2, 1) * $J560))/((N("difference in ELS+ and the cost of it")+(($K559*O$8)-($K559*N$8)) / O$7)),(N("MIN lets it return 0 or 1 after floored")+1)),1)</f>
        <v>0</v>
      </c>
      <c r="P560" s="798">
        <f t="shared" si="556"/>
        <v>0</v>
      </c>
      <c r="Q560" s="798">
        <f t="shared" si="556"/>
        <v>0</v>
      </c>
      <c r="R560" s="798">
        <f t="shared" si="556"/>
        <v>0</v>
      </c>
      <c r="S560" s="798">
        <f t="shared" si="556"/>
        <v>0</v>
      </c>
      <c r="T560" s="798">
        <f t="shared" si="556"/>
        <v>0</v>
      </c>
      <c r="U560" s="798">
        <f t="shared" si="556"/>
        <v>0</v>
      </c>
      <c r="V560" s="798">
        <f t="shared" si="556"/>
        <v>0</v>
      </c>
      <c r="W560" s="798">
        <f t="shared" si="556"/>
        <v>0</v>
      </c>
      <c r="X560" s="798">
        <f t="shared" si="556"/>
        <v>0</v>
      </c>
      <c r="Y560" s="798">
        <f t="shared" si="556"/>
        <v>0</v>
      </c>
      <c r="Z560" s="798">
        <f t="shared" si="556"/>
        <v>0</v>
      </c>
      <c r="AA560" s="798">
        <f t="shared" si="556"/>
        <v>0</v>
      </c>
      <c r="AB560" s="798">
        <f t="shared" si="556"/>
        <v>0</v>
      </c>
      <c r="AC560" s="798">
        <f t="shared" si="556"/>
        <v>0</v>
      </c>
      <c r="AD560" s="798">
        <f t="shared" si="556"/>
        <v>0</v>
      </c>
      <c r="AE560" s="798">
        <f t="shared" si="556"/>
        <v>0</v>
      </c>
      <c r="AF560" s="798">
        <f t="shared" si="556"/>
        <v>0</v>
      </c>
      <c r="AG560" s="798">
        <f t="shared" si="556"/>
        <v>0</v>
      </c>
      <c r="AH560" s="798">
        <f t="shared" si="556"/>
        <v>0</v>
      </c>
      <c r="AI560" s="798">
        <f t="shared" si="556"/>
        <v>0</v>
      </c>
      <c r="AJ560" s="798">
        <f t="shared" si="556"/>
        <v>0</v>
      </c>
      <c r="AK560" s="798">
        <f t="shared" si="556"/>
        <v>0</v>
      </c>
      <c r="AL560" s="798">
        <f t="shared" si="556"/>
        <v>0</v>
      </c>
      <c r="AM560" s="798">
        <f t="shared" si="556"/>
        <v>0</v>
      </c>
      <c r="AN560" s="798">
        <f t="shared" si="556"/>
        <v>0</v>
      </c>
      <c r="AO560" s="798">
        <f t="shared" si="556"/>
        <v>0</v>
      </c>
      <c r="AP560" s="798">
        <f t="shared" si="556"/>
        <v>0</v>
      </c>
      <c r="AQ560" s="798">
        <f t="shared" si="556"/>
        <v>0</v>
      </c>
      <c r="AR560" s="798">
        <f t="shared" si="556"/>
        <v>1</v>
      </c>
      <c r="AS560" s="798">
        <f t="shared" si="556"/>
        <v>1</v>
      </c>
      <c r="AT560" s="798">
        <f t="shared" si="556"/>
        <v>1</v>
      </c>
      <c r="AU560" s="798">
        <f t="shared" si="556"/>
        <v>1</v>
      </c>
      <c r="AV560" s="798">
        <f t="shared" si="556"/>
        <v>1</v>
      </c>
      <c r="AW560" s="798">
        <f t="shared" si="556"/>
        <v>1</v>
      </c>
      <c r="AX560" s="798">
        <f t="shared" si="556"/>
        <v>1</v>
      </c>
      <c r="AY560" s="798">
        <f t="shared" si="556"/>
        <v>1</v>
      </c>
      <c r="AZ560" s="798">
        <f t="shared" si="556"/>
        <v>1</v>
      </c>
      <c r="BA560" s="798">
        <f t="shared" si="556"/>
        <v>1</v>
      </c>
      <c r="BB560" s="798">
        <f t="shared" si="556"/>
        <v>1</v>
      </c>
      <c r="BC560" s="798">
        <f t="shared" si="556"/>
        <v>1</v>
      </c>
      <c r="BD560" s="798">
        <f t="shared" si="556"/>
        <v>1</v>
      </c>
      <c r="BE560" s="798">
        <f t="shared" si="556"/>
        <v>1</v>
      </c>
      <c r="BF560" s="798">
        <f t="shared" si="556"/>
        <v>1</v>
      </c>
      <c r="BG560" s="798">
        <f t="shared" si="556"/>
        <v>1</v>
      </c>
      <c r="BH560" s="798">
        <f t="shared" si="556"/>
        <v>1</v>
      </c>
      <c r="BI560" s="798">
        <f t="shared" si="556"/>
        <v>1</v>
      </c>
      <c r="BJ560" s="798">
        <f t="shared" si="556"/>
        <v>1</v>
      </c>
      <c r="BK560" s="798">
        <f t="shared" si="556"/>
        <v>1</v>
      </c>
      <c r="BL560" s="765"/>
      <c r="BM560" s="817"/>
      <c r="BN560" s="817"/>
    </row>
    <row r="561" hidden="1">
      <c r="A561" s="765"/>
      <c r="B561" s="765"/>
      <c r="C561" s="765"/>
      <c r="D561" s="765"/>
      <c r="E561" s="765"/>
      <c r="F561" s="765"/>
      <c r="G561" s="765"/>
      <c r="H561" s="765"/>
      <c r="I561" s="765">
        <f t="shared" si="17"/>
        <v>550</v>
      </c>
      <c r="J561" s="763">
        <f t="shared" si="5"/>
        <v>6.05232E+15</v>
      </c>
      <c r="K561" s="796">
        <f t="shared" si="7"/>
        <v>0.50879</v>
      </c>
      <c r="L561" s="796">
        <v>5.0E-4</v>
      </c>
      <c r="M561" s="763">
        <v>6.90115932680319E15</v>
      </c>
      <c r="N561" s="797">
        <f t="shared" si="8"/>
        <v>0</v>
      </c>
      <c r="O561" s="798">
        <f t="shared" ref="O561:BK561" si="557">FLOOR(MIN((((N("value of ELS upgrade")+N$8*($K561-$K560))*(N("Check checkbox")+(IF($G$6=TRUE,$G$7,$G$8))/$G$8))/(N("ROI of ELS and multiply by 2 if ELS is 1:1")+IF($G$12 = True, 2, 1) * $J561))/((N("difference in ELS+ and the cost of it")+(($K560*O$8)-($K560*N$8)) / O$7)),(N("MIN lets it return 0 or 1 after floored")+1)),1)</f>
        <v>0</v>
      </c>
      <c r="P561" s="798">
        <f t="shared" si="557"/>
        <v>0</v>
      </c>
      <c r="Q561" s="798">
        <f t="shared" si="557"/>
        <v>0</v>
      </c>
      <c r="R561" s="798">
        <f t="shared" si="557"/>
        <v>0</v>
      </c>
      <c r="S561" s="798">
        <f t="shared" si="557"/>
        <v>0</v>
      </c>
      <c r="T561" s="798">
        <f t="shared" si="557"/>
        <v>0</v>
      </c>
      <c r="U561" s="798">
        <f t="shared" si="557"/>
        <v>0</v>
      </c>
      <c r="V561" s="798">
        <f t="shared" si="557"/>
        <v>0</v>
      </c>
      <c r="W561" s="798">
        <f t="shared" si="557"/>
        <v>0</v>
      </c>
      <c r="X561" s="798">
        <f t="shared" si="557"/>
        <v>0</v>
      </c>
      <c r="Y561" s="798">
        <f t="shared" si="557"/>
        <v>0</v>
      </c>
      <c r="Z561" s="798">
        <f t="shared" si="557"/>
        <v>0</v>
      </c>
      <c r="AA561" s="798">
        <f t="shared" si="557"/>
        <v>0</v>
      </c>
      <c r="AB561" s="798">
        <f t="shared" si="557"/>
        <v>0</v>
      </c>
      <c r="AC561" s="798">
        <f t="shared" si="557"/>
        <v>0</v>
      </c>
      <c r="AD561" s="798">
        <f t="shared" si="557"/>
        <v>0</v>
      </c>
      <c r="AE561" s="798">
        <f t="shared" si="557"/>
        <v>0</v>
      </c>
      <c r="AF561" s="798">
        <f t="shared" si="557"/>
        <v>0</v>
      </c>
      <c r="AG561" s="798">
        <f t="shared" si="557"/>
        <v>0</v>
      </c>
      <c r="AH561" s="798">
        <f t="shared" si="557"/>
        <v>0</v>
      </c>
      <c r="AI561" s="798">
        <f t="shared" si="557"/>
        <v>0</v>
      </c>
      <c r="AJ561" s="798">
        <f t="shared" si="557"/>
        <v>0</v>
      </c>
      <c r="AK561" s="798">
        <f t="shared" si="557"/>
        <v>0</v>
      </c>
      <c r="AL561" s="798">
        <f t="shared" si="557"/>
        <v>0</v>
      </c>
      <c r="AM561" s="798">
        <f t="shared" si="557"/>
        <v>0</v>
      </c>
      <c r="AN561" s="798">
        <f t="shared" si="557"/>
        <v>0</v>
      </c>
      <c r="AO561" s="798">
        <f t="shared" si="557"/>
        <v>0</v>
      </c>
      <c r="AP561" s="798">
        <f t="shared" si="557"/>
        <v>0</v>
      </c>
      <c r="AQ561" s="798">
        <f t="shared" si="557"/>
        <v>0</v>
      </c>
      <c r="AR561" s="798">
        <f t="shared" si="557"/>
        <v>0</v>
      </c>
      <c r="AS561" s="798">
        <f t="shared" si="557"/>
        <v>1</v>
      </c>
      <c r="AT561" s="798">
        <f t="shared" si="557"/>
        <v>1</v>
      </c>
      <c r="AU561" s="798">
        <f t="shared" si="557"/>
        <v>1</v>
      </c>
      <c r="AV561" s="798">
        <f t="shared" si="557"/>
        <v>1</v>
      </c>
      <c r="AW561" s="798">
        <f t="shared" si="557"/>
        <v>1</v>
      </c>
      <c r="AX561" s="798">
        <f t="shared" si="557"/>
        <v>1</v>
      </c>
      <c r="AY561" s="798">
        <f t="shared" si="557"/>
        <v>1</v>
      </c>
      <c r="AZ561" s="798">
        <f t="shared" si="557"/>
        <v>1</v>
      </c>
      <c r="BA561" s="798">
        <f t="shared" si="557"/>
        <v>1</v>
      </c>
      <c r="BB561" s="798">
        <f t="shared" si="557"/>
        <v>1</v>
      </c>
      <c r="BC561" s="798">
        <f t="shared" si="557"/>
        <v>1</v>
      </c>
      <c r="BD561" s="798">
        <f t="shared" si="557"/>
        <v>1</v>
      </c>
      <c r="BE561" s="798">
        <f t="shared" si="557"/>
        <v>1</v>
      </c>
      <c r="BF561" s="798">
        <f t="shared" si="557"/>
        <v>1</v>
      </c>
      <c r="BG561" s="798">
        <f t="shared" si="557"/>
        <v>1</v>
      </c>
      <c r="BH561" s="798">
        <f t="shared" si="557"/>
        <v>1</v>
      </c>
      <c r="BI561" s="798">
        <f t="shared" si="557"/>
        <v>1</v>
      </c>
      <c r="BJ561" s="798">
        <f t="shared" si="557"/>
        <v>1</v>
      </c>
      <c r="BK561" s="798">
        <f t="shared" si="557"/>
        <v>1</v>
      </c>
      <c r="BL561" s="765"/>
      <c r="BM561" s="817"/>
      <c r="BN561" s="817"/>
    </row>
    <row r="562" hidden="1">
      <c r="A562" s="765"/>
      <c r="B562" s="765"/>
      <c r="C562" s="765"/>
      <c r="D562" s="765"/>
      <c r="E562" s="765"/>
      <c r="F562" s="765"/>
      <c r="G562" s="765"/>
      <c r="H562" s="765"/>
      <c r="I562" s="765">
        <f t="shared" si="17"/>
        <v>551</v>
      </c>
      <c r="J562" s="763">
        <f t="shared" si="5"/>
        <v>6.07348E+15</v>
      </c>
      <c r="K562" s="796">
        <f t="shared" si="7"/>
        <v>0.50929</v>
      </c>
      <c r="L562" s="796">
        <v>5.0E-4</v>
      </c>
      <c r="M562" s="763">
        <v>6.92529048265722E15</v>
      </c>
      <c r="N562" s="797">
        <f t="shared" si="8"/>
        <v>0</v>
      </c>
      <c r="O562" s="798">
        <f t="shared" ref="O562:BK562" si="558">FLOOR(MIN((((N("value of ELS upgrade")+N$8*($K562-$K561))*(N("Check checkbox")+(IF($G$6=TRUE,$G$7,$G$8))/$G$8))/(N("ROI of ELS and multiply by 2 if ELS is 1:1")+IF($G$12 = True, 2, 1) * $J562))/((N("difference in ELS+ and the cost of it")+(($K561*O$8)-($K561*N$8)) / O$7)),(N("MIN lets it return 0 or 1 after floored")+1)),1)</f>
        <v>0</v>
      </c>
      <c r="P562" s="798">
        <f t="shared" si="558"/>
        <v>0</v>
      </c>
      <c r="Q562" s="798">
        <f t="shared" si="558"/>
        <v>0</v>
      </c>
      <c r="R562" s="798">
        <f t="shared" si="558"/>
        <v>0</v>
      </c>
      <c r="S562" s="798">
        <f t="shared" si="558"/>
        <v>0</v>
      </c>
      <c r="T562" s="798">
        <f t="shared" si="558"/>
        <v>0</v>
      </c>
      <c r="U562" s="798">
        <f t="shared" si="558"/>
        <v>0</v>
      </c>
      <c r="V562" s="798">
        <f t="shared" si="558"/>
        <v>0</v>
      </c>
      <c r="W562" s="798">
        <f t="shared" si="558"/>
        <v>0</v>
      </c>
      <c r="X562" s="798">
        <f t="shared" si="558"/>
        <v>0</v>
      </c>
      <c r="Y562" s="798">
        <f t="shared" si="558"/>
        <v>0</v>
      </c>
      <c r="Z562" s="798">
        <f t="shared" si="558"/>
        <v>0</v>
      </c>
      <c r="AA562" s="798">
        <f t="shared" si="558"/>
        <v>0</v>
      </c>
      <c r="AB562" s="798">
        <f t="shared" si="558"/>
        <v>0</v>
      </c>
      <c r="AC562" s="798">
        <f t="shared" si="558"/>
        <v>0</v>
      </c>
      <c r="AD562" s="798">
        <f t="shared" si="558"/>
        <v>0</v>
      </c>
      <c r="AE562" s="798">
        <f t="shared" si="558"/>
        <v>0</v>
      </c>
      <c r="AF562" s="798">
        <f t="shared" si="558"/>
        <v>0</v>
      </c>
      <c r="AG562" s="798">
        <f t="shared" si="558"/>
        <v>0</v>
      </c>
      <c r="AH562" s="798">
        <f t="shared" si="558"/>
        <v>0</v>
      </c>
      <c r="AI562" s="798">
        <f t="shared" si="558"/>
        <v>0</v>
      </c>
      <c r="AJ562" s="798">
        <f t="shared" si="558"/>
        <v>0</v>
      </c>
      <c r="AK562" s="798">
        <f t="shared" si="558"/>
        <v>0</v>
      </c>
      <c r="AL562" s="798">
        <f t="shared" si="558"/>
        <v>0</v>
      </c>
      <c r="AM562" s="798">
        <f t="shared" si="558"/>
        <v>0</v>
      </c>
      <c r="AN562" s="798">
        <f t="shared" si="558"/>
        <v>0</v>
      </c>
      <c r="AO562" s="798">
        <f t="shared" si="558"/>
        <v>0</v>
      </c>
      <c r="AP562" s="798">
        <f t="shared" si="558"/>
        <v>0</v>
      </c>
      <c r="AQ562" s="798">
        <f t="shared" si="558"/>
        <v>0</v>
      </c>
      <c r="AR562" s="798">
        <f t="shared" si="558"/>
        <v>0</v>
      </c>
      <c r="AS562" s="798">
        <f t="shared" si="558"/>
        <v>1</v>
      </c>
      <c r="AT562" s="798">
        <f t="shared" si="558"/>
        <v>1</v>
      </c>
      <c r="AU562" s="798">
        <f t="shared" si="558"/>
        <v>1</v>
      </c>
      <c r="AV562" s="798">
        <f t="shared" si="558"/>
        <v>1</v>
      </c>
      <c r="AW562" s="798">
        <f t="shared" si="558"/>
        <v>1</v>
      </c>
      <c r="AX562" s="798">
        <f t="shared" si="558"/>
        <v>1</v>
      </c>
      <c r="AY562" s="798">
        <f t="shared" si="558"/>
        <v>1</v>
      </c>
      <c r="AZ562" s="798">
        <f t="shared" si="558"/>
        <v>1</v>
      </c>
      <c r="BA562" s="798">
        <f t="shared" si="558"/>
        <v>1</v>
      </c>
      <c r="BB562" s="798">
        <f t="shared" si="558"/>
        <v>1</v>
      </c>
      <c r="BC562" s="798">
        <f t="shared" si="558"/>
        <v>1</v>
      </c>
      <c r="BD562" s="798">
        <f t="shared" si="558"/>
        <v>1</v>
      </c>
      <c r="BE562" s="798">
        <f t="shared" si="558"/>
        <v>1</v>
      </c>
      <c r="BF562" s="798">
        <f t="shared" si="558"/>
        <v>1</v>
      </c>
      <c r="BG562" s="798">
        <f t="shared" si="558"/>
        <v>1</v>
      </c>
      <c r="BH562" s="798">
        <f t="shared" si="558"/>
        <v>1</v>
      </c>
      <c r="BI562" s="798">
        <f t="shared" si="558"/>
        <v>1</v>
      </c>
      <c r="BJ562" s="798">
        <f t="shared" si="558"/>
        <v>1</v>
      </c>
      <c r="BK562" s="798">
        <f t="shared" si="558"/>
        <v>1</v>
      </c>
      <c r="BL562" s="765"/>
      <c r="BM562" s="817"/>
      <c r="BN562" s="817"/>
    </row>
    <row r="563" hidden="1">
      <c r="A563" s="765"/>
      <c r="B563" s="765"/>
      <c r="C563" s="765"/>
      <c r="D563" s="765"/>
      <c r="E563" s="765"/>
      <c r="F563" s="765"/>
      <c r="G563" s="765"/>
      <c r="H563" s="765"/>
      <c r="I563" s="765">
        <f t="shared" si="17"/>
        <v>552</v>
      </c>
      <c r="J563" s="763">
        <f t="shared" si="5"/>
        <v>6.09471E+15</v>
      </c>
      <c r="K563" s="796">
        <f t="shared" si="7"/>
        <v>0.50979</v>
      </c>
      <c r="L563" s="796">
        <v>5.0E-4</v>
      </c>
      <c r="M563" s="763">
        <v>6.94949345533881E15</v>
      </c>
      <c r="N563" s="797">
        <f t="shared" si="8"/>
        <v>0</v>
      </c>
      <c r="O563" s="798">
        <f t="shared" ref="O563:BK563" si="559">FLOOR(MIN((((N("value of ELS upgrade")+N$8*($K563-$K562))*(N("Check checkbox")+(IF($G$6=TRUE,$G$7,$G$8))/$G$8))/(N("ROI of ELS and multiply by 2 if ELS is 1:1")+IF($G$12 = True, 2, 1) * $J563))/((N("difference in ELS+ and the cost of it")+(($K562*O$8)-($K562*N$8)) / O$7)),(N("MIN lets it return 0 or 1 after floored")+1)),1)</f>
        <v>0</v>
      </c>
      <c r="P563" s="798">
        <f t="shared" si="559"/>
        <v>0</v>
      </c>
      <c r="Q563" s="798">
        <f t="shared" si="559"/>
        <v>0</v>
      </c>
      <c r="R563" s="798">
        <f t="shared" si="559"/>
        <v>0</v>
      </c>
      <c r="S563" s="798">
        <f t="shared" si="559"/>
        <v>0</v>
      </c>
      <c r="T563" s="798">
        <f t="shared" si="559"/>
        <v>0</v>
      </c>
      <c r="U563" s="798">
        <f t="shared" si="559"/>
        <v>0</v>
      </c>
      <c r="V563" s="798">
        <f t="shared" si="559"/>
        <v>0</v>
      </c>
      <c r="W563" s="798">
        <f t="shared" si="559"/>
        <v>0</v>
      </c>
      <c r="X563" s="798">
        <f t="shared" si="559"/>
        <v>0</v>
      </c>
      <c r="Y563" s="798">
        <f t="shared" si="559"/>
        <v>0</v>
      </c>
      <c r="Z563" s="798">
        <f t="shared" si="559"/>
        <v>0</v>
      </c>
      <c r="AA563" s="798">
        <f t="shared" si="559"/>
        <v>0</v>
      </c>
      <c r="AB563" s="798">
        <f t="shared" si="559"/>
        <v>0</v>
      </c>
      <c r="AC563" s="798">
        <f t="shared" si="559"/>
        <v>0</v>
      </c>
      <c r="AD563" s="798">
        <f t="shared" si="559"/>
        <v>0</v>
      </c>
      <c r="AE563" s="798">
        <f t="shared" si="559"/>
        <v>0</v>
      </c>
      <c r="AF563" s="798">
        <f t="shared" si="559"/>
        <v>0</v>
      </c>
      <c r="AG563" s="798">
        <f t="shared" si="559"/>
        <v>0</v>
      </c>
      <c r="AH563" s="798">
        <f t="shared" si="559"/>
        <v>0</v>
      </c>
      <c r="AI563" s="798">
        <f t="shared" si="559"/>
        <v>0</v>
      </c>
      <c r="AJ563" s="798">
        <f t="shared" si="559"/>
        <v>0</v>
      </c>
      <c r="AK563" s="798">
        <f t="shared" si="559"/>
        <v>0</v>
      </c>
      <c r="AL563" s="798">
        <f t="shared" si="559"/>
        <v>0</v>
      </c>
      <c r="AM563" s="798">
        <f t="shared" si="559"/>
        <v>0</v>
      </c>
      <c r="AN563" s="798">
        <f t="shared" si="559"/>
        <v>0</v>
      </c>
      <c r="AO563" s="798">
        <f t="shared" si="559"/>
        <v>0</v>
      </c>
      <c r="AP563" s="798">
        <f t="shared" si="559"/>
        <v>0</v>
      </c>
      <c r="AQ563" s="798">
        <f t="shared" si="559"/>
        <v>0</v>
      </c>
      <c r="AR563" s="798">
        <f t="shared" si="559"/>
        <v>0</v>
      </c>
      <c r="AS563" s="798">
        <f t="shared" si="559"/>
        <v>1</v>
      </c>
      <c r="AT563" s="798">
        <f t="shared" si="559"/>
        <v>1</v>
      </c>
      <c r="AU563" s="798">
        <f t="shared" si="559"/>
        <v>1</v>
      </c>
      <c r="AV563" s="798">
        <f t="shared" si="559"/>
        <v>1</v>
      </c>
      <c r="AW563" s="798">
        <f t="shared" si="559"/>
        <v>1</v>
      </c>
      <c r="AX563" s="798">
        <f t="shared" si="559"/>
        <v>1</v>
      </c>
      <c r="AY563" s="798">
        <f t="shared" si="559"/>
        <v>1</v>
      </c>
      <c r="AZ563" s="798">
        <f t="shared" si="559"/>
        <v>1</v>
      </c>
      <c r="BA563" s="798">
        <f t="shared" si="559"/>
        <v>1</v>
      </c>
      <c r="BB563" s="798">
        <f t="shared" si="559"/>
        <v>1</v>
      </c>
      <c r="BC563" s="798">
        <f t="shared" si="559"/>
        <v>1</v>
      </c>
      <c r="BD563" s="798">
        <f t="shared" si="559"/>
        <v>1</v>
      </c>
      <c r="BE563" s="798">
        <f t="shared" si="559"/>
        <v>1</v>
      </c>
      <c r="BF563" s="798">
        <f t="shared" si="559"/>
        <v>1</v>
      </c>
      <c r="BG563" s="798">
        <f t="shared" si="559"/>
        <v>1</v>
      </c>
      <c r="BH563" s="798">
        <f t="shared" si="559"/>
        <v>1</v>
      </c>
      <c r="BI563" s="798">
        <f t="shared" si="559"/>
        <v>1</v>
      </c>
      <c r="BJ563" s="798">
        <f t="shared" si="559"/>
        <v>1</v>
      </c>
      <c r="BK563" s="798">
        <f t="shared" si="559"/>
        <v>1</v>
      </c>
      <c r="BL563" s="765"/>
      <c r="BM563" s="817"/>
      <c r="BN563" s="817"/>
    </row>
    <row r="564" hidden="1">
      <c r="A564" s="765"/>
      <c r="B564" s="765"/>
      <c r="C564" s="765"/>
      <c r="D564" s="765"/>
      <c r="E564" s="765"/>
      <c r="F564" s="765"/>
      <c r="G564" s="765"/>
      <c r="H564" s="765"/>
      <c r="I564" s="765">
        <f t="shared" si="17"/>
        <v>553</v>
      </c>
      <c r="J564" s="763">
        <f t="shared" si="5"/>
        <v>6.116E+15</v>
      </c>
      <c r="K564" s="796">
        <f t="shared" si="7"/>
        <v>0.51029</v>
      </c>
      <c r="L564" s="796">
        <v>5.0E-4</v>
      </c>
      <c r="M564" s="763">
        <v>6.97376894664106E15</v>
      </c>
      <c r="N564" s="797">
        <f t="shared" si="8"/>
        <v>0</v>
      </c>
      <c r="O564" s="798">
        <f t="shared" ref="O564:BK564" si="560">FLOOR(MIN((((N("value of ELS upgrade")+N$8*($K564-$K563))*(N("Check checkbox")+(IF($G$6=TRUE,$G$7,$G$8))/$G$8))/(N("ROI of ELS and multiply by 2 if ELS is 1:1")+IF($G$12 = True, 2, 1) * $J564))/((N("difference in ELS+ and the cost of it")+(($K563*O$8)-($K563*N$8)) / O$7)),(N("MIN lets it return 0 or 1 after floored")+1)),1)</f>
        <v>0</v>
      </c>
      <c r="P564" s="798">
        <f t="shared" si="560"/>
        <v>0</v>
      </c>
      <c r="Q564" s="798">
        <f t="shared" si="560"/>
        <v>0</v>
      </c>
      <c r="R564" s="798">
        <f t="shared" si="560"/>
        <v>0</v>
      </c>
      <c r="S564" s="798">
        <f t="shared" si="560"/>
        <v>0</v>
      </c>
      <c r="T564" s="798">
        <f t="shared" si="560"/>
        <v>0</v>
      </c>
      <c r="U564" s="798">
        <f t="shared" si="560"/>
        <v>0</v>
      </c>
      <c r="V564" s="798">
        <f t="shared" si="560"/>
        <v>0</v>
      </c>
      <c r="W564" s="798">
        <f t="shared" si="560"/>
        <v>0</v>
      </c>
      <c r="X564" s="798">
        <f t="shared" si="560"/>
        <v>0</v>
      </c>
      <c r="Y564" s="798">
        <f t="shared" si="560"/>
        <v>0</v>
      </c>
      <c r="Z564" s="798">
        <f t="shared" si="560"/>
        <v>0</v>
      </c>
      <c r="AA564" s="798">
        <f t="shared" si="560"/>
        <v>0</v>
      </c>
      <c r="AB564" s="798">
        <f t="shared" si="560"/>
        <v>0</v>
      </c>
      <c r="AC564" s="798">
        <f t="shared" si="560"/>
        <v>0</v>
      </c>
      <c r="AD564" s="798">
        <f t="shared" si="560"/>
        <v>0</v>
      </c>
      <c r="AE564" s="798">
        <f t="shared" si="560"/>
        <v>0</v>
      </c>
      <c r="AF564" s="798">
        <f t="shared" si="560"/>
        <v>0</v>
      </c>
      <c r="AG564" s="798">
        <f t="shared" si="560"/>
        <v>0</v>
      </c>
      <c r="AH564" s="798">
        <f t="shared" si="560"/>
        <v>0</v>
      </c>
      <c r="AI564" s="798">
        <f t="shared" si="560"/>
        <v>0</v>
      </c>
      <c r="AJ564" s="798">
        <f t="shared" si="560"/>
        <v>0</v>
      </c>
      <c r="AK564" s="798">
        <f t="shared" si="560"/>
        <v>0</v>
      </c>
      <c r="AL564" s="798">
        <f t="shared" si="560"/>
        <v>0</v>
      </c>
      <c r="AM564" s="798">
        <f t="shared" si="560"/>
        <v>0</v>
      </c>
      <c r="AN564" s="798">
        <f t="shared" si="560"/>
        <v>0</v>
      </c>
      <c r="AO564" s="798">
        <f t="shared" si="560"/>
        <v>0</v>
      </c>
      <c r="AP564" s="798">
        <f t="shared" si="560"/>
        <v>0</v>
      </c>
      <c r="AQ564" s="798">
        <f t="shared" si="560"/>
        <v>0</v>
      </c>
      <c r="AR564" s="798">
        <f t="shared" si="560"/>
        <v>0</v>
      </c>
      <c r="AS564" s="798">
        <f t="shared" si="560"/>
        <v>1</v>
      </c>
      <c r="AT564" s="798">
        <f t="shared" si="560"/>
        <v>1</v>
      </c>
      <c r="AU564" s="798">
        <f t="shared" si="560"/>
        <v>1</v>
      </c>
      <c r="AV564" s="798">
        <f t="shared" si="560"/>
        <v>1</v>
      </c>
      <c r="AW564" s="798">
        <f t="shared" si="560"/>
        <v>1</v>
      </c>
      <c r="AX564" s="798">
        <f t="shared" si="560"/>
        <v>1</v>
      </c>
      <c r="AY564" s="798">
        <f t="shared" si="560"/>
        <v>1</v>
      </c>
      <c r="AZ564" s="798">
        <f t="shared" si="560"/>
        <v>1</v>
      </c>
      <c r="BA564" s="798">
        <f t="shared" si="560"/>
        <v>1</v>
      </c>
      <c r="BB564" s="798">
        <f t="shared" si="560"/>
        <v>1</v>
      </c>
      <c r="BC564" s="798">
        <f t="shared" si="560"/>
        <v>1</v>
      </c>
      <c r="BD564" s="798">
        <f t="shared" si="560"/>
        <v>1</v>
      </c>
      <c r="BE564" s="798">
        <f t="shared" si="560"/>
        <v>1</v>
      </c>
      <c r="BF564" s="798">
        <f t="shared" si="560"/>
        <v>1</v>
      </c>
      <c r="BG564" s="798">
        <f t="shared" si="560"/>
        <v>1</v>
      </c>
      <c r="BH564" s="798">
        <f t="shared" si="560"/>
        <v>1</v>
      </c>
      <c r="BI564" s="798">
        <f t="shared" si="560"/>
        <v>1</v>
      </c>
      <c r="BJ564" s="798">
        <f t="shared" si="560"/>
        <v>1</v>
      </c>
      <c r="BK564" s="798">
        <f t="shared" si="560"/>
        <v>1</v>
      </c>
      <c r="BL564" s="765"/>
      <c r="BM564" s="817"/>
      <c r="BN564" s="817"/>
    </row>
    <row r="565" hidden="1">
      <c r="A565" s="765"/>
      <c r="B565" s="765"/>
      <c r="C565" s="765"/>
      <c r="D565" s="765"/>
      <c r="E565" s="765"/>
      <c r="F565" s="765"/>
      <c r="G565" s="765"/>
      <c r="H565" s="765"/>
      <c r="I565" s="765">
        <f t="shared" si="17"/>
        <v>554</v>
      </c>
      <c r="J565" s="763">
        <f t="shared" si="5"/>
        <v>6.13735E+15</v>
      </c>
      <c r="K565" s="796">
        <f t="shared" si="7"/>
        <v>0.51079</v>
      </c>
      <c r="L565" s="796">
        <v>5.0E-4</v>
      </c>
      <c r="M565" s="763">
        <v>6.99811672263294E15</v>
      </c>
      <c r="N565" s="797">
        <f t="shared" si="8"/>
        <v>0</v>
      </c>
      <c r="O565" s="798">
        <f t="shared" ref="O565:BK565" si="561">FLOOR(MIN((((N("value of ELS upgrade")+N$8*($K565-$K564))*(N("Check checkbox")+(IF($G$6=TRUE,$G$7,$G$8))/$G$8))/(N("ROI of ELS and multiply by 2 if ELS is 1:1")+IF($G$12 = True, 2, 1) * $J565))/((N("difference in ELS+ and the cost of it")+(($K564*O$8)-($K564*N$8)) / O$7)),(N("MIN lets it return 0 or 1 after floored")+1)),1)</f>
        <v>0</v>
      </c>
      <c r="P565" s="798">
        <f t="shared" si="561"/>
        <v>0</v>
      </c>
      <c r="Q565" s="798">
        <f t="shared" si="561"/>
        <v>0</v>
      </c>
      <c r="R565" s="798">
        <f t="shared" si="561"/>
        <v>0</v>
      </c>
      <c r="S565" s="798">
        <f t="shared" si="561"/>
        <v>0</v>
      </c>
      <c r="T565" s="798">
        <f t="shared" si="561"/>
        <v>0</v>
      </c>
      <c r="U565" s="798">
        <f t="shared" si="561"/>
        <v>0</v>
      </c>
      <c r="V565" s="798">
        <f t="shared" si="561"/>
        <v>0</v>
      </c>
      <c r="W565" s="798">
        <f t="shared" si="561"/>
        <v>0</v>
      </c>
      <c r="X565" s="798">
        <f t="shared" si="561"/>
        <v>0</v>
      </c>
      <c r="Y565" s="798">
        <f t="shared" si="561"/>
        <v>0</v>
      </c>
      <c r="Z565" s="798">
        <f t="shared" si="561"/>
        <v>0</v>
      </c>
      <c r="AA565" s="798">
        <f t="shared" si="561"/>
        <v>0</v>
      </c>
      <c r="AB565" s="798">
        <f t="shared" si="561"/>
        <v>0</v>
      </c>
      <c r="AC565" s="798">
        <f t="shared" si="561"/>
        <v>0</v>
      </c>
      <c r="AD565" s="798">
        <f t="shared" si="561"/>
        <v>0</v>
      </c>
      <c r="AE565" s="798">
        <f t="shared" si="561"/>
        <v>0</v>
      </c>
      <c r="AF565" s="798">
        <f t="shared" si="561"/>
        <v>0</v>
      </c>
      <c r="AG565" s="798">
        <f t="shared" si="561"/>
        <v>0</v>
      </c>
      <c r="AH565" s="798">
        <f t="shared" si="561"/>
        <v>0</v>
      </c>
      <c r="AI565" s="798">
        <f t="shared" si="561"/>
        <v>0</v>
      </c>
      <c r="AJ565" s="798">
        <f t="shared" si="561"/>
        <v>0</v>
      </c>
      <c r="AK565" s="798">
        <f t="shared" si="561"/>
        <v>0</v>
      </c>
      <c r="AL565" s="798">
        <f t="shared" si="561"/>
        <v>0</v>
      </c>
      <c r="AM565" s="798">
        <f t="shared" si="561"/>
        <v>0</v>
      </c>
      <c r="AN565" s="798">
        <f t="shared" si="561"/>
        <v>0</v>
      </c>
      <c r="AO565" s="798">
        <f t="shared" si="561"/>
        <v>0</v>
      </c>
      <c r="AP565" s="798">
        <f t="shared" si="561"/>
        <v>0</v>
      </c>
      <c r="AQ565" s="798">
        <f t="shared" si="561"/>
        <v>0</v>
      </c>
      <c r="AR565" s="798">
        <f t="shared" si="561"/>
        <v>0</v>
      </c>
      <c r="AS565" s="798">
        <f t="shared" si="561"/>
        <v>1</v>
      </c>
      <c r="AT565" s="798">
        <f t="shared" si="561"/>
        <v>1</v>
      </c>
      <c r="AU565" s="798">
        <f t="shared" si="561"/>
        <v>1</v>
      </c>
      <c r="AV565" s="798">
        <f t="shared" si="561"/>
        <v>1</v>
      </c>
      <c r="AW565" s="798">
        <f t="shared" si="561"/>
        <v>1</v>
      </c>
      <c r="AX565" s="798">
        <f t="shared" si="561"/>
        <v>1</v>
      </c>
      <c r="AY565" s="798">
        <f t="shared" si="561"/>
        <v>1</v>
      </c>
      <c r="AZ565" s="798">
        <f t="shared" si="561"/>
        <v>1</v>
      </c>
      <c r="BA565" s="798">
        <f t="shared" si="561"/>
        <v>1</v>
      </c>
      <c r="BB565" s="798">
        <f t="shared" si="561"/>
        <v>1</v>
      </c>
      <c r="BC565" s="798">
        <f t="shared" si="561"/>
        <v>1</v>
      </c>
      <c r="BD565" s="798">
        <f t="shared" si="561"/>
        <v>1</v>
      </c>
      <c r="BE565" s="798">
        <f t="shared" si="561"/>
        <v>1</v>
      </c>
      <c r="BF565" s="798">
        <f t="shared" si="561"/>
        <v>1</v>
      </c>
      <c r="BG565" s="798">
        <f t="shared" si="561"/>
        <v>1</v>
      </c>
      <c r="BH565" s="798">
        <f t="shared" si="561"/>
        <v>1</v>
      </c>
      <c r="BI565" s="798">
        <f t="shared" si="561"/>
        <v>1</v>
      </c>
      <c r="BJ565" s="798">
        <f t="shared" si="561"/>
        <v>1</v>
      </c>
      <c r="BK565" s="798">
        <f t="shared" si="561"/>
        <v>1</v>
      </c>
      <c r="BL565" s="765"/>
      <c r="BM565" s="817"/>
      <c r="BN565" s="817"/>
    </row>
    <row r="566" hidden="1">
      <c r="A566" s="765"/>
      <c r="B566" s="765"/>
      <c r="C566" s="765"/>
      <c r="D566" s="765"/>
      <c r="E566" s="765"/>
      <c r="F566" s="765"/>
      <c r="G566" s="765"/>
      <c r="H566" s="765"/>
      <c r="I566" s="765">
        <f t="shared" si="17"/>
        <v>555</v>
      </c>
      <c r="J566" s="763">
        <f t="shared" si="5"/>
        <v>6.15876E+15</v>
      </c>
      <c r="K566" s="796">
        <f t="shared" si="7"/>
        <v>0.51129</v>
      </c>
      <c r="L566" s="796">
        <v>5.0E-4</v>
      </c>
      <c r="M566" s="763">
        <v>7.0225370172455E15</v>
      </c>
      <c r="N566" s="797">
        <f t="shared" si="8"/>
        <v>0</v>
      </c>
      <c r="O566" s="798">
        <f t="shared" ref="O566:BK566" si="562">FLOOR(MIN((((N("value of ELS upgrade")+N$8*($K566-$K565))*(N("Check checkbox")+(IF($G$6=TRUE,$G$7,$G$8))/$G$8))/(N("ROI of ELS and multiply by 2 if ELS is 1:1")+IF($G$12 = True, 2, 1) * $J566))/((N("difference in ELS+ and the cost of it")+(($K565*O$8)-($K565*N$8)) / O$7)),(N("MIN lets it return 0 or 1 after floored")+1)),1)</f>
        <v>0</v>
      </c>
      <c r="P566" s="798">
        <f t="shared" si="562"/>
        <v>0</v>
      </c>
      <c r="Q566" s="798">
        <f t="shared" si="562"/>
        <v>0</v>
      </c>
      <c r="R566" s="798">
        <f t="shared" si="562"/>
        <v>0</v>
      </c>
      <c r="S566" s="798">
        <f t="shared" si="562"/>
        <v>0</v>
      </c>
      <c r="T566" s="798">
        <f t="shared" si="562"/>
        <v>0</v>
      </c>
      <c r="U566" s="798">
        <f t="shared" si="562"/>
        <v>0</v>
      </c>
      <c r="V566" s="798">
        <f t="shared" si="562"/>
        <v>0</v>
      </c>
      <c r="W566" s="798">
        <f t="shared" si="562"/>
        <v>0</v>
      </c>
      <c r="X566" s="798">
        <f t="shared" si="562"/>
        <v>0</v>
      </c>
      <c r="Y566" s="798">
        <f t="shared" si="562"/>
        <v>0</v>
      </c>
      <c r="Z566" s="798">
        <f t="shared" si="562"/>
        <v>0</v>
      </c>
      <c r="AA566" s="798">
        <f t="shared" si="562"/>
        <v>0</v>
      </c>
      <c r="AB566" s="798">
        <f t="shared" si="562"/>
        <v>0</v>
      </c>
      <c r="AC566" s="798">
        <f t="shared" si="562"/>
        <v>0</v>
      </c>
      <c r="AD566" s="798">
        <f t="shared" si="562"/>
        <v>0</v>
      </c>
      <c r="AE566" s="798">
        <f t="shared" si="562"/>
        <v>0</v>
      </c>
      <c r="AF566" s="798">
        <f t="shared" si="562"/>
        <v>0</v>
      </c>
      <c r="AG566" s="798">
        <f t="shared" si="562"/>
        <v>0</v>
      </c>
      <c r="AH566" s="798">
        <f t="shared" si="562"/>
        <v>0</v>
      </c>
      <c r="AI566" s="798">
        <f t="shared" si="562"/>
        <v>0</v>
      </c>
      <c r="AJ566" s="798">
        <f t="shared" si="562"/>
        <v>0</v>
      </c>
      <c r="AK566" s="798">
        <f t="shared" si="562"/>
        <v>0</v>
      </c>
      <c r="AL566" s="798">
        <f t="shared" si="562"/>
        <v>0</v>
      </c>
      <c r="AM566" s="798">
        <f t="shared" si="562"/>
        <v>0</v>
      </c>
      <c r="AN566" s="798">
        <f t="shared" si="562"/>
        <v>0</v>
      </c>
      <c r="AO566" s="798">
        <f t="shared" si="562"/>
        <v>0</v>
      </c>
      <c r="AP566" s="798">
        <f t="shared" si="562"/>
        <v>0</v>
      </c>
      <c r="AQ566" s="798">
        <f t="shared" si="562"/>
        <v>0</v>
      </c>
      <c r="AR566" s="798">
        <f t="shared" si="562"/>
        <v>0</v>
      </c>
      <c r="AS566" s="798">
        <f t="shared" si="562"/>
        <v>1</v>
      </c>
      <c r="AT566" s="798">
        <f t="shared" si="562"/>
        <v>1</v>
      </c>
      <c r="AU566" s="798">
        <f t="shared" si="562"/>
        <v>1</v>
      </c>
      <c r="AV566" s="798">
        <f t="shared" si="562"/>
        <v>1</v>
      </c>
      <c r="AW566" s="798">
        <f t="shared" si="562"/>
        <v>1</v>
      </c>
      <c r="AX566" s="798">
        <f t="shared" si="562"/>
        <v>1</v>
      </c>
      <c r="AY566" s="798">
        <f t="shared" si="562"/>
        <v>1</v>
      </c>
      <c r="AZ566" s="798">
        <f t="shared" si="562"/>
        <v>1</v>
      </c>
      <c r="BA566" s="798">
        <f t="shared" si="562"/>
        <v>1</v>
      </c>
      <c r="BB566" s="798">
        <f t="shared" si="562"/>
        <v>1</v>
      </c>
      <c r="BC566" s="798">
        <f t="shared" si="562"/>
        <v>1</v>
      </c>
      <c r="BD566" s="798">
        <f t="shared" si="562"/>
        <v>1</v>
      </c>
      <c r="BE566" s="798">
        <f t="shared" si="562"/>
        <v>1</v>
      </c>
      <c r="BF566" s="798">
        <f t="shared" si="562"/>
        <v>1</v>
      </c>
      <c r="BG566" s="798">
        <f t="shared" si="562"/>
        <v>1</v>
      </c>
      <c r="BH566" s="798">
        <f t="shared" si="562"/>
        <v>1</v>
      </c>
      <c r="BI566" s="798">
        <f t="shared" si="562"/>
        <v>1</v>
      </c>
      <c r="BJ566" s="798">
        <f t="shared" si="562"/>
        <v>1</v>
      </c>
      <c r="BK566" s="798">
        <f t="shared" si="562"/>
        <v>1</v>
      </c>
      <c r="BL566" s="765"/>
      <c r="BM566" s="817"/>
      <c r="BN566" s="817"/>
    </row>
    <row r="567" hidden="1">
      <c r="A567" s="765"/>
      <c r="B567" s="765"/>
      <c r="C567" s="765"/>
      <c r="D567" s="765"/>
      <c r="E567" s="765"/>
      <c r="F567" s="765"/>
      <c r="G567" s="765"/>
      <c r="H567" s="765"/>
      <c r="I567" s="765">
        <f t="shared" si="17"/>
        <v>556</v>
      </c>
      <c r="J567" s="763">
        <f t="shared" si="5"/>
        <v>6.18025E+15</v>
      </c>
      <c r="K567" s="796">
        <f t="shared" si="7"/>
        <v>0.51179</v>
      </c>
      <c r="L567" s="796">
        <v>5.0E-4</v>
      </c>
      <c r="M567" s="763">
        <v>7.04703006440974E15</v>
      </c>
      <c r="N567" s="797">
        <f t="shared" si="8"/>
        <v>0</v>
      </c>
      <c r="O567" s="798">
        <f t="shared" ref="O567:BK567" si="563">FLOOR(MIN((((N("value of ELS upgrade")+N$8*($K567-$K566))*(N("Check checkbox")+(IF($G$6=TRUE,$G$7,$G$8))/$G$8))/(N("ROI of ELS and multiply by 2 if ELS is 1:1")+IF($G$12 = True, 2, 1) * $J567))/((N("difference in ELS+ and the cost of it")+(($K566*O$8)-($K566*N$8)) / O$7)),(N("MIN lets it return 0 or 1 after floored")+1)),1)</f>
        <v>0</v>
      </c>
      <c r="P567" s="798">
        <f t="shared" si="563"/>
        <v>0</v>
      </c>
      <c r="Q567" s="798">
        <f t="shared" si="563"/>
        <v>0</v>
      </c>
      <c r="R567" s="798">
        <f t="shared" si="563"/>
        <v>0</v>
      </c>
      <c r="S567" s="798">
        <f t="shared" si="563"/>
        <v>0</v>
      </c>
      <c r="T567" s="798">
        <f t="shared" si="563"/>
        <v>0</v>
      </c>
      <c r="U567" s="798">
        <f t="shared" si="563"/>
        <v>0</v>
      </c>
      <c r="V567" s="798">
        <f t="shared" si="563"/>
        <v>0</v>
      </c>
      <c r="W567" s="798">
        <f t="shared" si="563"/>
        <v>0</v>
      </c>
      <c r="X567" s="798">
        <f t="shared" si="563"/>
        <v>0</v>
      </c>
      <c r="Y567" s="798">
        <f t="shared" si="563"/>
        <v>0</v>
      </c>
      <c r="Z567" s="798">
        <f t="shared" si="563"/>
        <v>0</v>
      </c>
      <c r="AA567" s="798">
        <f t="shared" si="563"/>
        <v>0</v>
      </c>
      <c r="AB567" s="798">
        <f t="shared" si="563"/>
        <v>0</v>
      </c>
      <c r="AC567" s="798">
        <f t="shared" si="563"/>
        <v>0</v>
      </c>
      <c r="AD567" s="798">
        <f t="shared" si="563"/>
        <v>0</v>
      </c>
      <c r="AE567" s="798">
        <f t="shared" si="563"/>
        <v>0</v>
      </c>
      <c r="AF567" s="798">
        <f t="shared" si="563"/>
        <v>0</v>
      </c>
      <c r="AG567" s="798">
        <f t="shared" si="563"/>
        <v>0</v>
      </c>
      <c r="AH567" s="798">
        <f t="shared" si="563"/>
        <v>0</v>
      </c>
      <c r="AI567" s="798">
        <f t="shared" si="563"/>
        <v>0</v>
      </c>
      <c r="AJ567" s="798">
        <f t="shared" si="563"/>
        <v>0</v>
      </c>
      <c r="AK567" s="798">
        <f t="shared" si="563"/>
        <v>0</v>
      </c>
      <c r="AL567" s="798">
        <f t="shared" si="563"/>
        <v>0</v>
      </c>
      <c r="AM567" s="798">
        <f t="shared" si="563"/>
        <v>0</v>
      </c>
      <c r="AN567" s="798">
        <f t="shared" si="563"/>
        <v>0</v>
      </c>
      <c r="AO567" s="798">
        <f t="shared" si="563"/>
        <v>0</v>
      </c>
      <c r="AP567" s="798">
        <f t="shared" si="563"/>
        <v>0</v>
      </c>
      <c r="AQ567" s="798">
        <f t="shared" si="563"/>
        <v>0</v>
      </c>
      <c r="AR567" s="798">
        <f t="shared" si="563"/>
        <v>0</v>
      </c>
      <c r="AS567" s="798">
        <f t="shared" si="563"/>
        <v>1</v>
      </c>
      <c r="AT567" s="798">
        <f t="shared" si="563"/>
        <v>1</v>
      </c>
      <c r="AU567" s="798">
        <f t="shared" si="563"/>
        <v>1</v>
      </c>
      <c r="AV567" s="798">
        <f t="shared" si="563"/>
        <v>1</v>
      </c>
      <c r="AW567" s="798">
        <f t="shared" si="563"/>
        <v>1</v>
      </c>
      <c r="AX567" s="798">
        <f t="shared" si="563"/>
        <v>1</v>
      </c>
      <c r="AY567" s="798">
        <f t="shared" si="563"/>
        <v>1</v>
      </c>
      <c r="AZ567" s="798">
        <f t="shared" si="563"/>
        <v>1</v>
      </c>
      <c r="BA567" s="798">
        <f t="shared" si="563"/>
        <v>1</v>
      </c>
      <c r="BB567" s="798">
        <f t="shared" si="563"/>
        <v>1</v>
      </c>
      <c r="BC567" s="798">
        <f t="shared" si="563"/>
        <v>1</v>
      </c>
      <c r="BD567" s="798">
        <f t="shared" si="563"/>
        <v>1</v>
      </c>
      <c r="BE567" s="798">
        <f t="shared" si="563"/>
        <v>1</v>
      </c>
      <c r="BF567" s="798">
        <f t="shared" si="563"/>
        <v>1</v>
      </c>
      <c r="BG567" s="798">
        <f t="shared" si="563"/>
        <v>1</v>
      </c>
      <c r="BH567" s="798">
        <f t="shared" si="563"/>
        <v>1</v>
      </c>
      <c r="BI567" s="798">
        <f t="shared" si="563"/>
        <v>1</v>
      </c>
      <c r="BJ567" s="798">
        <f t="shared" si="563"/>
        <v>1</v>
      </c>
      <c r="BK567" s="798">
        <f t="shared" si="563"/>
        <v>1</v>
      </c>
      <c r="BL567" s="765"/>
      <c r="BM567" s="817"/>
      <c r="BN567" s="817"/>
    </row>
    <row r="568" hidden="1">
      <c r="A568" s="765"/>
      <c r="B568" s="765"/>
      <c r="C568" s="765"/>
      <c r="D568" s="765"/>
      <c r="E568" s="765"/>
      <c r="F568" s="765"/>
      <c r="G568" s="765"/>
      <c r="H568" s="765"/>
      <c r="I568" s="765">
        <f t="shared" si="17"/>
        <v>557</v>
      </c>
      <c r="J568" s="763">
        <f t="shared" si="5"/>
        <v>6.20179E+15</v>
      </c>
      <c r="K568" s="796">
        <f t="shared" si="7"/>
        <v>0.51229</v>
      </c>
      <c r="L568" s="796">
        <v>5.0E-4</v>
      </c>
      <c r="M568" s="763">
        <v>7.07159609805673E15</v>
      </c>
      <c r="N568" s="797">
        <f t="shared" si="8"/>
        <v>0</v>
      </c>
      <c r="O568" s="798">
        <f t="shared" ref="O568:BK568" si="564">FLOOR(MIN((((N("value of ELS upgrade")+N$8*($K568-$K567))*(N("Check checkbox")+(IF($G$6=TRUE,$G$7,$G$8))/$G$8))/(N("ROI of ELS and multiply by 2 if ELS is 1:1")+IF($G$12 = True, 2, 1) * $J568))/((N("difference in ELS+ and the cost of it")+(($K567*O$8)-($K567*N$8)) / O$7)),(N("MIN lets it return 0 or 1 after floored")+1)),1)</f>
        <v>0</v>
      </c>
      <c r="P568" s="798">
        <f t="shared" si="564"/>
        <v>0</v>
      </c>
      <c r="Q568" s="798">
        <f t="shared" si="564"/>
        <v>0</v>
      </c>
      <c r="R568" s="798">
        <f t="shared" si="564"/>
        <v>0</v>
      </c>
      <c r="S568" s="798">
        <f t="shared" si="564"/>
        <v>0</v>
      </c>
      <c r="T568" s="798">
        <f t="shared" si="564"/>
        <v>0</v>
      </c>
      <c r="U568" s="798">
        <f t="shared" si="564"/>
        <v>0</v>
      </c>
      <c r="V568" s="798">
        <f t="shared" si="564"/>
        <v>0</v>
      </c>
      <c r="W568" s="798">
        <f t="shared" si="564"/>
        <v>0</v>
      </c>
      <c r="X568" s="798">
        <f t="shared" si="564"/>
        <v>0</v>
      </c>
      <c r="Y568" s="798">
        <f t="shared" si="564"/>
        <v>0</v>
      </c>
      <c r="Z568" s="798">
        <f t="shared" si="564"/>
        <v>0</v>
      </c>
      <c r="AA568" s="798">
        <f t="shared" si="564"/>
        <v>0</v>
      </c>
      <c r="AB568" s="798">
        <f t="shared" si="564"/>
        <v>0</v>
      </c>
      <c r="AC568" s="798">
        <f t="shared" si="564"/>
        <v>0</v>
      </c>
      <c r="AD568" s="798">
        <f t="shared" si="564"/>
        <v>0</v>
      </c>
      <c r="AE568" s="798">
        <f t="shared" si="564"/>
        <v>0</v>
      </c>
      <c r="AF568" s="798">
        <f t="shared" si="564"/>
        <v>0</v>
      </c>
      <c r="AG568" s="798">
        <f t="shared" si="564"/>
        <v>0</v>
      </c>
      <c r="AH568" s="798">
        <f t="shared" si="564"/>
        <v>0</v>
      </c>
      <c r="AI568" s="798">
        <f t="shared" si="564"/>
        <v>0</v>
      </c>
      <c r="AJ568" s="798">
        <f t="shared" si="564"/>
        <v>0</v>
      </c>
      <c r="AK568" s="798">
        <f t="shared" si="564"/>
        <v>0</v>
      </c>
      <c r="AL568" s="798">
        <f t="shared" si="564"/>
        <v>0</v>
      </c>
      <c r="AM568" s="798">
        <f t="shared" si="564"/>
        <v>0</v>
      </c>
      <c r="AN568" s="798">
        <f t="shared" si="564"/>
        <v>0</v>
      </c>
      <c r="AO568" s="798">
        <f t="shared" si="564"/>
        <v>0</v>
      </c>
      <c r="AP568" s="798">
        <f t="shared" si="564"/>
        <v>0</v>
      </c>
      <c r="AQ568" s="798">
        <f t="shared" si="564"/>
        <v>0</v>
      </c>
      <c r="AR568" s="798">
        <f t="shared" si="564"/>
        <v>0</v>
      </c>
      <c r="AS568" s="798">
        <f t="shared" si="564"/>
        <v>1</v>
      </c>
      <c r="AT568" s="798">
        <f t="shared" si="564"/>
        <v>1</v>
      </c>
      <c r="AU568" s="798">
        <f t="shared" si="564"/>
        <v>1</v>
      </c>
      <c r="AV568" s="798">
        <f t="shared" si="564"/>
        <v>1</v>
      </c>
      <c r="AW568" s="798">
        <f t="shared" si="564"/>
        <v>1</v>
      </c>
      <c r="AX568" s="798">
        <f t="shared" si="564"/>
        <v>1</v>
      </c>
      <c r="AY568" s="798">
        <f t="shared" si="564"/>
        <v>1</v>
      </c>
      <c r="AZ568" s="798">
        <f t="shared" si="564"/>
        <v>1</v>
      </c>
      <c r="BA568" s="798">
        <f t="shared" si="564"/>
        <v>1</v>
      </c>
      <c r="BB568" s="798">
        <f t="shared" si="564"/>
        <v>1</v>
      </c>
      <c r="BC568" s="798">
        <f t="shared" si="564"/>
        <v>1</v>
      </c>
      <c r="BD568" s="798">
        <f t="shared" si="564"/>
        <v>1</v>
      </c>
      <c r="BE568" s="798">
        <f t="shared" si="564"/>
        <v>1</v>
      </c>
      <c r="BF568" s="798">
        <f t="shared" si="564"/>
        <v>1</v>
      </c>
      <c r="BG568" s="798">
        <f t="shared" si="564"/>
        <v>1</v>
      </c>
      <c r="BH568" s="798">
        <f t="shared" si="564"/>
        <v>1</v>
      </c>
      <c r="BI568" s="798">
        <f t="shared" si="564"/>
        <v>1</v>
      </c>
      <c r="BJ568" s="798">
        <f t="shared" si="564"/>
        <v>1</v>
      </c>
      <c r="BK568" s="798">
        <f t="shared" si="564"/>
        <v>1</v>
      </c>
      <c r="BL568" s="765"/>
      <c r="BM568" s="817"/>
      <c r="BN568" s="817"/>
    </row>
    <row r="569" hidden="1">
      <c r="A569" s="765"/>
      <c r="B569" s="765"/>
      <c r="C569" s="765"/>
      <c r="D569" s="765"/>
      <c r="E569" s="765"/>
      <c r="F569" s="765"/>
      <c r="G569" s="765"/>
      <c r="H569" s="765"/>
      <c r="I569" s="765">
        <f t="shared" si="17"/>
        <v>558</v>
      </c>
      <c r="J569" s="763">
        <f t="shared" si="5"/>
        <v>6.2234E+15</v>
      </c>
      <c r="K569" s="796">
        <f t="shared" si="7"/>
        <v>0.51279</v>
      </c>
      <c r="L569" s="796">
        <v>5.0E-4</v>
      </c>
      <c r="M569" s="763">
        <v>7.09623511818645E15</v>
      </c>
      <c r="N569" s="797">
        <f t="shared" si="8"/>
        <v>0</v>
      </c>
      <c r="O569" s="798">
        <f t="shared" ref="O569:BK569" si="565">FLOOR(MIN((((N("value of ELS upgrade")+N$8*($K569-$K568))*(N("Check checkbox")+(IF($G$6=TRUE,$G$7,$G$8))/$G$8))/(N("ROI of ELS and multiply by 2 if ELS is 1:1")+IF($G$12 = True, 2, 1) * $J569))/((N("difference in ELS+ and the cost of it")+(($K568*O$8)-($K568*N$8)) / O$7)),(N("MIN lets it return 0 or 1 after floored")+1)),1)</f>
        <v>0</v>
      </c>
      <c r="P569" s="798">
        <f t="shared" si="565"/>
        <v>0</v>
      </c>
      <c r="Q569" s="798">
        <f t="shared" si="565"/>
        <v>0</v>
      </c>
      <c r="R569" s="798">
        <f t="shared" si="565"/>
        <v>0</v>
      </c>
      <c r="S569" s="798">
        <f t="shared" si="565"/>
        <v>0</v>
      </c>
      <c r="T569" s="798">
        <f t="shared" si="565"/>
        <v>0</v>
      </c>
      <c r="U569" s="798">
        <f t="shared" si="565"/>
        <v>0</v>
      </c>
      <c r="V569" s="798">
        <f t="shared" si="565"/>
        <v>0</v>
      </c>
      <c r="W569" s="798">
        <f t="shared" si="565"/>
        <v>0</v>
      </c>
      <c r="X569" s="798">
        <f t="shared" si="565"/>
        <v>0</v>
      </c>
      <c r="Y569" s="798">
        <f t="shared" si="565"/>
        <v>0</v>
      </c>
      <c r="Z569" s="798">
        <f t="shared" si="565"/>
        <v>0</v>
      </c>
      <c r="AA569" s="798">
        <f t="shared" si="565"/>
        <v>0</v>
      </c>
      <c r="AB569" s="798">
        <f t="shared" si="565"/>
        <v>0</v>
      </c>
      <c r="AC569" s="798">
        <f t="shared" si="565"/>
        <v>0</v>
      </c>
      <c r="AD569" s="798">
        <f t="shared" si="565"/>
        <v>0</v>
      </c>
      <c r="AE569" s="798">
        <f t="shared" si="565"/>
        <v>0</v>
      </c>
      <c r="AF569" s="798">
        <f t="shared" si="565"/>
        <v>0</v>
      </c>
      <c r="AG569" s="798">
        <f t="shared" si="565"/>
        <v>0</v>
      </c>
      <c r="AH569" s="798">
        <f t="shared" si="565"/>
        <v>0</v>
      </c>
      <c r="AI569" s="798">
        <f t="shared" si="565"/>
        <v>0</v>
      </c>
      <c r="AJ569" s="798">
        <f t="shared" si="565"/>
        <v>0</v>
      </c>
      <c r="AK569" s="798">
        <f t="shared" si="565"/>
        <v>0</v>
      </c>
      <c r="AL569" s="798">
        <f t="shared" si="565"/>
        <v>0</v>
      </c>
      <c r="AM569" s="798">
        <f t="shared" si="565"/>
        <v>0</v>
      </c>
      <c r="AN569" s="798">
        <f t="shared" si="565"/>
        <v>0</v>
      </c>
      <c r="AO569" s="798">
        <f t="shared" si="565"/>
        <v>0</v>
      </c>
      <c r="AP569" s="798">
        <f t="shared" si="565"/>
        <v>0</v>
      </c>
      <c r="AQ569" s="798">
        <f t="shared" si="565"/>
        <v>0</v>
      </c>
      <c r="AR569" s="798">
        <f t="shared" si="565"/>
        <v>0</v>
      </c>
      <c r="AS569" s="798">
        <f t="shared" si="565"/>
        <v>1</v>
      </c>
      <c r="AT569" s="798">
        <f t="shared" si="565"/>
        <v>1</v>
      </c>
      <c r="AU569" s="798">
        <f t="shared" si="565"/>
        <v>1</v>
      </c>
      <c r="AV569" s="798">
        <f t="shared" si="565"/>
        <v>1</v>
      </c>
      <c r="AW569" s="798">
        <f t="shared" si="565"/>
        <v>1</v>
      </c>
      <c r="AX569" s="798">
        <f t="shared" si="565"/>
        <v>1</v>
      </c>
      <c r="AY569" s="798">
        <f t="shared" si="565"/>
        <v>1</v>
      </c>
      <c r="AZ569" s="798">
        <f t="shared" si="565"/>
        <v>1</v>
      </c>
      <c r="BA569" s="798">
        <f t="shared" si="565"/>
        <v>1</v>
      </c>
      <c r="BB569" s="798">
        <f t="shared" si="565"/>
        <v>1</v>
      </c>
      <c r="BC569" s="798">
        <f t="shared" si="565"/>
        <v>1</v>
      </c>
      <c r="BD569" s="798">
        <f t="shared" si="565"/>
        <v>1</v>
      </c>
      <c r="BE569" s="798">
        <f t="shared" si="565"/>
        <v>1</v>
      </c>
      <c r="BF569" s="798">
        <f t="shared" si="565"/>
        <v>1</v>
      </c>
      <c r="BG569" s="798">
        <f t="shared" si="565"/>
        <v>1</v>
      </c>
      <c r="BH569" s="798">
        <f t="shared" si="565"/>
        <v>1</v>
      </c>
      <c r="BI569" s="798">
        <f t="shared" si="565"/>
        <v>1</v>
      </c>
      <c r="BJ569" s="798">
        <f t="shared" si="565"/>
        <v>1</v>
      </c>
      <c r="BK569" s="798">
        <f t="shared" si="565"/>
        <v>1</v>
      </c>
      <c r="BL569" s="765"/>
      <c r="BM569" s="817"/>
      <c r="BN569" s="817"/>
    </row>
    <row r="570" hidden="1">
      <c r="A570" s="765"/>
      <c r="B570" s="765"/>
      <c r="C570" s="765"/>
      <c r="D570" s="765"/>
      <c r="E570" s="765"/>
      <c r="F570" s="765"/>
      <c r="G570" s="765"/>
      <c r="H570" s="765"/>
      <c r="I570" s="765">
        <f t="shared" si="17"/>
        <v>559</v>
      </c>
      <c r="J570" s="763">
        <f t="shared" si="5"/>
        <v>6.24507E+15</v>
      </c>
      <c r="K570" s="796">
        <f t="shared" si="7"/>
        <v>0.51329</v>
      </c>
      <c r="L570" s="796">
        <v>5.0E-4</v>
      </c>
      <c r="M570" s="763">
        <v>7.12094735872993E15</v>
      </c>
      <c r="N570" s="797">
        <f t="shared" si="8"/>
        <v>0</v>
      </c>
      <c r="O570" s="798">
        <f t="shared" ref="O570:BK570" si="566">FLOOR(MIN((((N("value of ELS upgrade")+N$8*($K570-$K569))*(N("Check checkbox")+(IF($G$6=TRUE,$G$7,$G$8))/$G$8))/(N("ROI of ELS and multiply by 2 if ELS is 1:1")+IF($G$12 = True, 2, 1) * $J570))/((N("difference in ELS+ and the cost of it")+(($K569*O$8)-($K569*N$8)) / O$7)),(N("MIN lets it return 0 or 1 after floored")+1)),1)</f>
        <v>0</v>
      </c>
      <c r="P570" s="798">
        <f t="shared" si="566"/>
        <v>0</v>
      </c>
      <c r="Q570" s="798">
        <f t="shared" si="566"/>
        <v>0</v>
      </c>
      <c r="R570" s="798">
        <f t="shared" si="566"/>
        <v>0</v>
      </c>
      <c r="S570" s="798">
        <f t="shared" si="566"/>
        <v>0</v>
      </c>
      <c r="T570" s="798">
        <f t="shared" si="566"/>
        <v>0</v>
      </c>
      <c r="U570" s="798">
        <f t="shared" si="566"/>
        <v>0</v>
      </c>
      <c r="V570" s="798">
        <f t="shared" si="566"/>
        <v>0</v>
      </c>
      <c r="W570" s="798">
        <f t="shared" si="566"/>
        <v>0</v>
      </c>
      <c r="X570" s="798">
        <f t="shared" si="566"/>
        <v>0</v>
      </c>
      <c r="Y570" s="798">
        <f t="shared" si="566"/>
        <v>0</v>
      </c>
      <c r="Z570" s="798">
        <f t="shared" si="566"/>
        <v>0</v>
      </c>
      <c r="AA570" s="798">
        <f t="shared" si="566"/>
        <v>0</v>
      </c>
      <c r="AB570" s="798">
        <f t="shared" si="566"/>
        <v>0</v>
      </c>
      <c r="AC570" s="798">
        <f t="shared" si="566"/>
        <v>0</v>
      </c>
      <c r="AD570" s="798">
        <f t="shared" si="566"/>
        <v>0</v>
      </c>
      <c r="AE570" s="798">
        <f t="shared" si="566"/>
        <v>0</v>
      </c>
      <c r="AF570" s="798">
        <f t="shared" si="566"/>
        <v>0</v>
      </c>
      <c r="AG570" s="798">
        <f t="shared" si="566"/>
        <v>0</v>
      </c>
      <c r="AH570" s="798">
        <f t="shared" si="566"/>
        <v>0</v>
      </c>
      <c r="AI570" s="798">
        <f t="shared" si="566"/>
        <v>0</v>
      </c>
      <c r="AJ570" s="798">
        <f t="shared" si="566"/>
        <v>0</v>
      </c>
      <c r="AK570" s="798">
        <f t="shared" si="566"/>
        <v>0</v>
      </c>
      <c r="AL570" s="798">
        <f t="shared" si="566"/>
        <v>0</v>
      </c>
      <c r="AM570" s="798">
        <f t="shared" si="566"/>
        <v>0</v>
      </c>
      <c r="AN570" s="798">
        <f t="shared" si="566"/>
        <v>0</v>
      </c>
      <c r="AO570" s="798">
        <f t="shared" si="566"/>
        <v>0</v>
      </c>
      <c r="AP570" s="798">
        <f t="shared" si="566"/>
        <v>0</v>
      </c>
      <c r="AQ570" s="798">
        <f t="shared" si="566"/>
        <v>0</v>
      </c>
      <c r="AR570" s="798">
        <f t="shared" si="566"/>
        <v>0</v>
      </c>
      <c r="AS570" s="798">
        <f t="shared" si="566"/>
        <v>1</v>
      </c>
      <c r="AT570" s="798">
        <f t="shared" si="566"/>
        <v>1</v>
      </c>
      <c r="AU570" s="798">
        <f t="shared" si="566"/>
        <v>1</v>
      </c>
      <c r="AV570" s="798">
        <f t="shared" si="566"/>
        <v>1</v>
      </c>
      <c r="AW570" s="798">
        <f t="shared" si="566"/>
        <v>1</v>
      </c>
      <c r="AX570" s="798">
        <f t="shared" si="566"/>
        <v>1</v>
      </c>
      <c r="AY570" s="798">
        <f t="shared" si="566"/>
        <v>1</v>
      </c>
      <c r="AZ570" s="798">
        <f t="shared" si="566"/>
        <v>1</v>
      </c>
      <c r="BA570" s="798">
        <f t="shared" si="566"/>
        <v>1</v>
      </c>
      <c r="BB570" s="798">
        <f t="shared" si="566"/>
        <v>1</v>
      </c>
      <c r="BC570" s="798">
        <f t="shared" si="566"/>
        <v>1</v>
      </c>
      <c r="BD570" s="798">
        <f t="shared" si="566"/>
        <v>1</v>
      </c>
      <c r="BE570" s="798">
        <f t="shared" si="566"/>
        <v>1</v>
      </c>
      <c r="BF570" s="798">
        <f t="shared" si="566"/>
        <v>1</v>
      </c>
      <c r="BG570" s="798">
        <f t="shared" si="566"/>
        <v>1</v>
      </c>
      <c r="BH570" s="798">
        <f t="shared" si="566"/>
        <v>1</v>
      </c>
      <c r="BI570" s="798">
        <f t="shared" si="566"/>
        <v>1</v>
      </c>
      <c r="BJ570" s="798">
        <f t="shared" si="566"/>
        <v>1</v>
      </c>
      <c r="BK570" s="798">
        <f t="shared" si="566"/>
        <v>1</v>
      </c>
      <c r="BL570" s="765"/>
      <c r="BM570" s="817"/>
      <c r="BN570" s="817"/>
    </row>
    <row r="571" hidden="1">
      <c r="A571" s="765"/>
      <c r="B571" s="765"/>
      <c r="C571" s="765"/>
      <c r="D571" s="765"/>
      <c r="E571" s="765"/>
      <c r="F571" s="765"/>
      <c r="G571" s="765"/>
      <c r="H571" s="765"/>
      <c r="I571" s="765">
        <f t="shared" si="17"/>
        <v>560</v>
      </c>
      <c r="J571" s="763">
        <f t="shared" si="5"/>
        <v>6.26681E+15</v>
      </c>
      <c r="K571" s="796">
        <f t="shared" si="7"/>
        <v>0.51379</v>
      </c>
      <c r="L571" s="796">
        <v>5.0E-4</v>
      </c>
      <c r="M571" s="763">
        <v>7.14573305361822E15</v>
      </c>
      <c r="N571" s="797">
        <f t="shared" si="8"/>
        <v>0</v>
      </c>
      <c r="O571" s="798">
        <f t="shared" ref="O571:BK571" si="567">FLOOR(MIN((((N("value of ELS upgrade")+N$8*($K571-$K570))*(N("Check checkbox")+(IF($G$6=TRUE,$G$7,$G$8))/$G$8))/(N("ROI of ELS and multiply by 2 if ELS is 1:1")+IF($G$12 = True, 2, 1) * $J571))/((N("difference in ELS+ and the cost of it")+(($K570*O$8)-($K570*N$8)) / O$7)),(N("MIN lets it return 0 or 1 after floored")+1)),1)</f>
        <v>0</v>
      </c>
      <c r="P571" s="798">
        <f t="shared" si="567"/>
        <v>0</v>
      </c>
      <c r="Q571" s="798">
        <f t="shared" si="567"/>
        <v>0</v>
      </c>
      <c r="R571" s="798">
        <f t="shared" si="567"/>
        <v>0</v>
      </c>
      <c r="S571" s="798">
        <f t="shared" si="567"/>
        <v>0</v>
      </c>
      <c r="T571" s="798">
        <f t="shared" si="567"/>
        <v>0</v>
      </c>
      <c r="U571" s="798">
        <f t="shared" si="567"/>
        <v>0</v>
      </c>
      <c r="V571" s="798">
        <f t="shared" si="567"/>
        <v>0</v>
      </c>
      <c r="W571" s="798">
        <f t="shared" si="567"/>
        <v>0</v>
      </c>
      <c r="X571" s="798">
        <f t="shared" si="567"/>
        <v>0</v>
      </c>
      <c r="Y571" s="798">
        <f t="shared" si="567"/>
        <v>0</v>
      </c>
      <c r="Z571" s="798">
        <f t="shared" si="567"/>
        <v>0</v>
      </c>
      <c r="AA571" s="798">
        <f t="shared" si="567"/>
        <v>0</v>
      </c>
      <c r="AB571" s="798">
        <f t="shared" si="567"/>
        <v>0</v>
      </c>
      <c r="AC571" s="798">
        <f t="shared" si="567"/>
        <v>0</v>
      </c>
      <c r="AD571" s="798">
        <f t="shared" si="567"/>
        <v>0</v>
      </c>
      <c r="AE571" s="798">
        <f t="shared" si="567"/>
        <v>0</v>
      </c>
      <c r="AF571" s="798">
        <f t="shared" si="567"/>
        <v>0</v>
      </c>
      <c r="AG571" s="798">
        <f t="shared" si="567"/>
        <v>0</v>
      </c>
      <c r="AH571" s="798">
        <f t="shared" si="567"/>
        <v>0</v>
      </c>
      <c r="AI571" s="798">
        <f t="shared" si="567"/>
        <v>0</v>
      </c>
      <c r="AJ571" s="798">
        <f t="shared" si="567"/>
        <v>0</v>
      </c>
      <c r="AK571" s="798">
        <f t="shared" si="567"/>
        <v>0</v>
      </c>
      <c r="AL571" s="798">
        <f t="shared" si="567"/>
        <v>0</v>
      </c>
      <c r="AM571" s="798">
        <f t="shared" si="567"/>
        <v>0</v>
      </c>
      <c r="AN571" s="798">
        <f t="shared" si="567"/>
        <v>0</v>
      </c>
      <c r="AO571" s="798">
        <f t="shared" si="567"/>
        <v>0</v>
      </c>
      <c r="AP571" s="798">
        <f t="shared" si="567"/>
        <v>0</v>
      </c>
      <c r="AQ571" s="798">
        <f t="shared" si="567"/>
        <v>0</v>
      </c>
      <c r="AR571" s="798">
        <f t="shared" si="567"/>
        <v>0</v>
      </c>
      <c r="AS571" s="798">
        <f t="shared" si="567"/>
        <v>1</v>
      </c>
      <c r="AT571" s="798">
        <f t="shared" si="567"/>
        <v>1</v>
      </c>
      <c r="AU571" s="798">
        <f t="shared" si="567"/>
        <v>1</v>
      </c>
      <c r="AV571" s="798">
        <f t="shared" si="567"/>
        <v>1</v>
      </c>
      <c r="AW571" s="798">
        <f t="shared" si="567"/>
        <v>1</v>
      </c>
      <c r="AX571" s="798">
        <f t="shared" si="567"/>
        <v>1</v>
      </c>
      <c r="AY571" s="798">
        <f t="shared" si="567"/>
        <v>1</v>
      </c>
      <c r="AZ571" s="798">
        <f t="shared" si="567"/>
        <v>1</v>
      </c>
      <c r="BA571" s="798">
        <f t="shared" si="567"/>
        <v>1</v>
      </c>
      <c r="BB571" s="798">
        <f t="shared" si="567"/>
        <v>1</v>
      </c>
      <c r="BC571" s="798">
        <f t="shared" si="567"/>
        <v>1</v>
      </c>
      <c r="BD571" s="798">
        <f t="shared" si="567"/>
        <v>1</v>
      </c>
      <c r="BE571" s="798">
        <f t="shared" si="567"/>
        <v>1</v>
      </c>
      <c r="BF571" s="798">
        <f t="shared" si="567"/>
        <v>1</v>
      </c>
      <c r="BG571" s="798">
        <f t="shared" si="567"/>
        <v>1</v>
      </c>
      <c r="BH571" s="798">
        <f t="shared" si="567"/>
        <v>1</v>
      </c>
      <c r="BI571" s="798">
        <f t="shared" si="567"/>
        <v>1</v>
      </c>
      <c r="BJ571" s="798">
        <f t="shared" si="567"/>
        <v>1</v>
      </c>
      <c r="BK571" s="798">
        <f t="shared" si="567"/>
        <v>1</v>
      </c>
      <c r="BL571" s="765"/>
      <c r="BM571" s="817"/>
      <c r="BN571" s="817"/>
    </row>
    <row r="572" hidden="1">
      <c r="A572" s="765"/>
      <c r="B572" s="765"/>
      <c r="C572" s="765"/>
      <c r="D572" s="765"/>
      <c r="E572" s="765"/>
      <c r="F572" s="765"/>
      <c r="G572" s="765"/>
      <c r="H572" s="765"/>
      <c r="I572" s="765">
        <f t="shared" si="17"/>
        <v>561</v>
      </c>
      <c r="J572" s="763">
        <f t="shared" si="5"/>
        <v>2.51544E+16</v>
      </c>
      <c r="K572" s="796">
        <f t="shared" si="7"/>
        <v>0.51429</v>
      </c>
      <c r="L572" s="796">
        <v>5.0E-4</v>
      </c>
      <c r="M572" s="763">
        <v>2.86823697471294E16</v>
      </c>
      <c r="N572" s="797">
        <f t="shared" si="8"/>
        <v>0</v>
      </c>
      <c r="O572" s="798">
        <f t="shared" ref="O572:BK572" si="568">FLOOR(MIN((((N("value of ELS upgrade")+N$8*($K572-$K571))*(N("Check checkbox")+(IF($G$6=TRUE,$G$7,$G$8))/$G$8))/(N("ROI of ELS and multiply by 2 if ELS is 1:1")+IF($G$12 = True, 2, 1) * $J572))/((N("difference in ELS+ and the cost of it")+(($K571*O$8)-($K571*N$8)) / O$7)),(N("MIN lets it return 0 or 1 after floored")+1)),1)</f>
        <v>0</v>
      </c>
      <c r="P572" s="798">
        <f t="shared" si="568"/>
        <v>0</v>
      </c>
      <c r="Q572" s="798">
        <f t="shared" si="568"/>
        <v>0</v>
      </c>
      <c r="R572" s="798">
        <f t="shared" si="568"/>
        <v>0</v>
      </c>
      <c r="S572" s="798">
        <f t="shared" si="568"/>
        <v>0</v>
      </c>
      <c r="T572" s="798">
        <f t="shared" si="568"/>
        <v>0</v>
      </c>
      <c r="U572" s="798">
        <f t="shared" si="568"/>
        <v>0</v>
      </c>
      <c r="V572" s="798">
        <f t="shared" si="568"/>
        <v>0</v>
      </c>
      <c r="W572" s="798">
        <f t="shared" si="568"/>
        <v>0</v>
      </c>
      <c r="X572" s="798">
        <f t="shared" si="568"/>
        <v>0</v>
      </c>
      <c r="Y572" s="798">
        <f t="shared" si="568"/>
        <v>0</v>
      </c>
      <c r="Z572" s="798">
        <f t="shared" si="568"/>
        <v>0</v>
      </c>
      <c r="AA572" s="798">
        <f t="shared" si="568"/>
        <v>0</v>
      </c>
      <c r="AB572" s="798">
        <f t="shared" si="568"/>
        <v>0</v>
      </c>
      <c r="AC572" s="798">
        <f t="shared" si="568"/>
        <v>0</v>
      </c>
      <c r="AD572" s="798">
        <f t="shared" si="568"/>
        <v>0</v>
      </c>
      <c r="AE572" s="798">
        <f t="shared" si="568"/>
        <v>0</v>
      </c>
      <c r="AF572" s="798">
        <f t="shared" si="568"/>
        <v>0</v>
      </c>
      <c r="AG572" s="798">
        <f t="shared" si="568"/>
        <v>0</v>
      </c>
      <c r="AH572" s="798">
        <f t="shared" si="568"/>
        <v>0</v>
      </c>
      <c r="AI572" s="798">
        <f t="shared" si="568"/>
        <v>0</v>
      </c>
      <c r="AJ572" s="798">
        <f t="shared" si="568"/>
        <v>0</v>
      </c>
      <c r="AK572" s="798">
        <f t="shared" si="568"/>
        <v>0</v>
      </c>
      <c r="AL572" s="798">
        <f t="shared" si="568"/>
        <v>0</v>
      </c>
      <c r="AM572" s="798">
        <f t="shared" si="568"/>
        <v>0</v>
      </c>
      <c r="AN572" s="798">
        <f t="shared" si="568"/>
        <v>0</v>
      </c>
      <c r="AO572" s="798">
        <f t="shared" si="568"/>
        <v>0</v>
      </c>
      <c r="AP572" s="798">
        <f t="shared" si="568"/>
        <v>0</v>
      </c>
      <c r="AQ572" s="798">
        <f t="shared" si="568"/>
        <v>0</v>
      </c>
      <c r="AR572" s="798">
        <f t="shared" si="568"/>
        <v>0</v>
      </c>
      <c r="AS572" s="798">
        <f t="shared" si="568"/>
        <v>0</v>
      </c>
      <c r="AT572" s="798">
        <f t="shared" si="568"/>
        <v>0</v>
      </c>
      <c r="AU572" s="798">
        <f t="shared" si="568"/>
        <v>0</v>
      </c>
      <c r="AV572" s="798">
        <f t="shared" si="568"/>
        <v>0</v>
      </c>
      <c r="AW572" s="798">
        <f t="shared" si="568"/>
        <v>1</v>
      </c>
      <c r="AX572" s="798">
        <f t="shared" si="568"/>
        <v>1</v>
      </c>
      <c r="AY572" s="798">
        <f t="shared" si="568"/>
        <v>1</v>
      </c>
      <c r="AZ572" s="798">
        <f t="shared" si="568"/>
        <v>1</v>
      </c>
      <c r="BA572" s="798">
        <f t="shared" si="568"/>
        <v>1</v>
      </c>
      <c r="BB572" s="798">
        <f t="shared" si="568"/>
        <v>1</v>
      </c>
      <c r="BC572" s="798">
        <f t="shared" si="568"/>
        <v>1</v>
      </c>
      <c r="BD572" s="798">
        <f t="shared" si="568"/>
        <v>1</v>
      </c>
      <c r="BE572" s="798">
        <f t="shared" si="568"/>
        <v>1</v>
      </c>
      <c r="BF572" s="798">
        <f t="shared" si="568"/>
        <v>1</v>
      </c>
      <c r="BG572" s="798">
        <f t="shared" si="568"/>
        <v>1</v>
      </c>
      <c r="BH572" s="798">
        <f t="shared" si="568"/>
        <v>1</v>
      </c>
      <c r="BI572" s="798">
        <f t="shared" si="568"/>
        <v>1</v>
      </c>
      <c r="BJ572" s="798">
        <f t="shared" si="568"/>
        <v>1</v>
      </c>
      <c r="BK572" s="798">
        <f t="shared" si="568"/>
        <v>1</v>
      </c>
      <c r="BL572" s="765"/>
      <c r="BM572" s="817"/>
      <c r="BN572" s="817"/>
    </row>
    <row r="573" hidden="1">
      <c r="A573" s="765"/>
      <c r="B573" s="765"/>
      <c r="C573" s="765"/>
      <c r="D573" s="765"/>
      <c r="E573" s="765"/>
      <c r="F573" s="765"/>
      <c r="G573" s="765"/>
      <c r="H573" s="765"/>
      <c r="I573" s="765">
        <f t="shared" si="17"/>
        <v>562</v>
      </c>
      <c r="J573" s="763">
        <f t="shared" si="5"/>
        <v>2.52419E+16</v>
      </c>
      <c r="K573" s="796">
        <f t="shared" si="7"/>
        <v>0.51479</v>
      </c>
      <c r="L573" s="796">
        <v>5.0E-4</v>
      </c>
      <c r="M573" s="763">
        <v>2.87821029686134E16</v>
      </c>
      <c r="N573" s="797">
        <f t="shared" si="8"/>
        <v>0</v>
      </c>
      <c r="O573" s="798">
        <f t="shared" ref="O573:BK573" si="569">FLOOR(MIN((((N("value of ELS upgrade")+N$8*($K573-$K572))*(N("Check checkbox")+(IF($G$6=TRUE,$G$7,$G$8))/$G$8))/(N("ROI of ELS and multiply by 2 if ELS is 1:1")+IF($G$12 = True, 2, 1) * $J573))/((N("difference in ELS+ and the cost of it")+(($K572*O$8)-($K572*N$8)) / O$7)),(N("MIN lets it return 0 or 1 after floored")+1)),1)</f>
        <v>0</v>
      </c>
      <c r="P573" s="798">
        <f t="shared" si="569"/>
        <v>0</v>
      </c>
      <c r="Q573" s="798">
        <f t="shared" si="569"/>
        <v>0</v>
      </c>
      <c r="R573" s="798">
        <f t="shared" si="569"/>
        <v>0</v>
      </c>
      <c r="S573" s="798">
        <f t="shared" si="569"/>
        <v>0</v>
      </c>
      <c r="T573" s="798">
        <f t="shared" si="569"/>
        <v>0</v>
      </c>
      <c r="U573" s="798">
        <f t="shared" si="569"/>
        <v>0</v>
      </c>
      <c r="V573" s="798">
        <f t="shared" si="569"/>
        <v>0</v>
      </c>
      <c r="W573" s="798">
        <f t="shared" si="569"/>
        <v>0</v>
      </c>
      <c r="X573" s="798">
        <f t="shared" si="569"/>
        <v>0</v>
      </c>
      <c r="Y573" s="798">
        <f t="shared" si="569"/>
        <v>0</v>
      </c>
      <c r="Z573" s="798">
        <f t="shared" si="569"/>
        <v>0</v>
      </c>
      <c r="AA573" s="798">
        <f t="shared" si="569"/>
        <v>0</v>
      </c>
      <c r="AB573" s="798">
        <f t="shared" si="569"/>
        <v>0</v>
      </c>
      <c r="AC573" s="798">
        <f t="shared" si="569"/>
        <v>0</v>
      </c>
      <c r="AD573" s="798">
        <f t="shared" si="569"/>
        <v>0</v>
      </c>
      <c r="AE573" s="798">
        <f t="shared" si="569"/>
        <v>0</v>
      </c>
      <c r="AF573" s="798">
        <f t="shared" si="569"/>
        <v>0</v>
      </c>
      <c r="AG573" s="798">
        <f t="shared" si="569"/>
        <v>0</v>
      </c>
      <c r="AH573" s="798">
        <f t="shared" si="569"/>
        <v>0</v>
      </c>
      <c r="AI573" s="798">
        <f t="shared" si="569"/>
        <v>0</v>
      </c>
      <c r="AJ573" s="798">
        <f t="shared" si="569"/>
        <v>0</v>
      </c>
      <c r="AK573" s="798">
        <f t="shared" si="569"/>
        <v>0</v>
      </c>
      <c r="AL573" s="798">
        <f t="shared" si="569"/>
        <v>0</v>
      </c>
      <c r="AM573" s="798">
        <f t="shared" si="569"/>
        <v>0</v>
      </c>
      <c r="AN573" s="798">
        <f t="shared" si="569"/>
        <v>0</v>
      </c>
      <c r="AO573" s="798">
        <f t="shared" si="569"/>
        <v>0</v>
      </c>
      <c r="AP573" s="798">
        <f t="shared" si="569"/>
        <v>0</v>
      </c>
      <c r="AQ573" s="798">
        <f t="shared" si="569"/>
        <v>0</v>
      </c>
      <c r="AR573" s="798">
        <f t="shared" si="569"/>
        <v>0</v>
      </c>
      <c r="AS573" s="798">
        <f t="shared" si="569"/>
        <v>0</v>
      </c>
      <c r="AT573" s="798">
        <f t="shared" si="569"/>
        <v>0</v>
      </c>
      <c r="AU573" s="798">
        <f t="shared" si="569"/>
        <v>0</v>
      </c>
      <c r="AV573" s="798">
        <f t="shared" si="569"/>
        <v>0</v>
      </c>
      <c r="AW573" s="798">
        <f t="shared" si="569"/>
        <v>1</v>
      </c>
      <c r="AX573" s="798">
        <f t="shared" si="569"/>
        <v>1</v>
      </c>
      <c r="AY573" s="798">
        <f t="shared" si="569"/>
        <v>1</v>
      </c>
      <c r="AZ573" s="798">
        <f t="shared" si="569"/>
        <v>1</v>
      </c>
      <c r="BA573" s="798">
        <f t="shared" si="569"/>
        <v>1</v>
      </c>
      <c r="BB573" s="798">
        <f t="shared" si="569"/>
        <v>1</v>
      </c>
      <c r="BC573" s="798">
        <f t="shared" si="569"/>
        <v>1</v>
      </c>
      <c r="BD573" s="798">
        <f t="shared" si="569"/>
        <v>1</v>
      </c>
      <c r="BE573" s="798">
        <f t="shared" si="569"/>
        <v>1</v>
      </c>
      <c r="BF573" s="798">
        <f t="shared" si="569"/>
        <v>1</v>
      </c>
      <c r="BG573" s="798">
        <f t="shared" si="569"/>
        <v>1</v>
      </c>
      <c r="BH573" s="798">
        <f t="shared" si="569"/>
        <v>1</v>
      </c>
      <c r="BI573" s="798">
        <f t="shared" si="569"/>
        <v>1</v>
      </c>
      <c r="BJ573" s="798">
        <f t="shared" si="569"/>
        <v>1</v>
      </c>
      <c r="BK573" s="798">
        <f t="shared" si="569"/>
        <v>1</v>
      </c>
      <c r="BL573" s="765"/>
      <c r="BM573" s="817"/>
      <c r="BN573" s="817"/>
    </row>
    <row r="574" hidden="1">
      <c r="A574" s="765"/>
      <c r="B574" s="765"/>
      <c r="C574" s="765"/>
      <c r="D574" s="765"/>
      <c r="E574" s="765"/>
      <c r="F574" s="765"/>
      <c r="G574" s="765"/>
      <c r="H574" s="765"/>
      <c r="I574" s="765">
        <f t="shared" si="17"/>
        <v>563</v>
      </c>
      <c r="J574" s="763">
        <f t="shared" si="5"/>
        <v>2.53296E+16</v>
      </c>
      <c r="K574" s="796">
        <f t="shared" si="7"/>
        <v>0.51529</v>
      </c>
      <c r="L574" s="796">
        <v>5.0E-4</v>
      </c>
      <c r="M574" s="763">
        <v>2.88821309432008E16</v>
      </c>
      <c r="N574" s="797">
        <f t="shared" si="8"/>
        <v>0</v>
      </c>
      <c r="O574" s="798">
        <f t="shared" ref="O574:BK574" si="570">FLOOR(MIN((((N("value of ELS upgrade")+N$8*($K574-$K573))*(N("Check checkbox")+(IF($G$6=TRUE,$G$7,$G$8))/$G$8))/(N("ROI of ELS and multiply by 2 if ELS is 1:1")+IF($G$12 = True, 2, 1) * $J574))/((N("difference in ELS+ and the cost of it")+(($K573*O$8)-($K573*N$8)) / O$7)),(N("MIN lets it return 0 or 1 after floored")+1)),1)</f>
        <v>0</v>
      </c>
      <c r="P574" s="798">
        <f t="shared" si="570"/>
        <v>0</v>
      </c>
      <c r="Q574" s="798">
        <f t="shared" si="570"/>
        <v>0</v>
      </c>
      <c r="R574" s="798">
        <f t="shared" si="570"/>
        <v>0</v>
      </c>
      <c r="S574" s="798">
        <f t="shared" si="570"/>
        <v>0</v>
      </c>
      <c r="T574" s="798">
        <f t="shared" si="570"/>
        <v>0</v>
      </c>
      <c r="U574" s="798">
        <f t="shared" si="570"/>
        <v>0</v>
      </c>
      <c r="V574" s="798">
        <f t="shared" si="570"/>
        <v>0</v>
      </c>
      <c r="W574" s="798">
        <f t="shared" si="570"/>
        <v>0</v>
      </c>
      <c r="X574" s="798">
        <f t="shared" si="570"/>
        <v>0</v>
      </c>
      <c r="Y574" s="798">
        <f t="shared" si="570"/>
        <v>0</v>
      </c>
      <c r="Z574" s="798">
        <f t="shared" si="570"/>
        <v>0</v>
      </c>
      <c r="AA574" s="798">
        <f t="shared" si="570"/>
        <v>0</v>
      </c>
      <c r="AB574" s="798">
        <f t="shared" si="570"/>
        <v>0</v>
      </c>
      <c r="AC574" s="798">
        <f t="shared" si="570"/>
        <v>0</v>
      </c>
      <c r="AD574" s="798">
        <f t="shared" si="570"/>
        <v>0</v>
      </c>
      <c r="AE574" s="798">
        <f t="shared" si="570"/>
        <v>0</v>
      </c>
      <c r="AF574" s="798">
        <f t="shared" si="570"/>
        <v>0</v>
      </c>
      <c r="AG574" s="798">
        <f t="shared" si="570"/>
        <v>0</v>
      </c>
      <c r="AH574" s="798">
        <f t="shared" si="570"/>
        <v>0</v>
      </c>
      <c r="AI574" s="798">
        <f t="shared" si="570"/>
        <v>0</v>
      </c>
      <c r="AJ574" s="798">
        <f t="shared" si="570"/>
        <v>0</v>
      </c>
      <c r="AK574" s="798">
        <f t="shared" si="570"/>
        <v>0</v>
      </c>
      <c r="AL574" s="798">
        <f t="shared" si="570"/>
        <v>0</v>
      </c>
      <c r="AM574" s="798">
        <f t="shared" si="570"/>
        <v>0</v>
      </c>
      <c r="AN574" s="798">
        <f t="shared" si="570"/>
        <v>0</v>
      </c>
      <c r="AO574" s="798">
        <f t="shared" si="570"/>
        <v>0</v>
      </c>
      <c r="AP574" s="798">
        <f t="shared" si="570"/>
        <v>0</v>
      </c>
      <c r="AQ574" s="798">
        <f t="shared" si="570"/>
        <v>0</v>
      </c>
      <c r="AR574" s="798">
        <f t="shared" si="570"/>
        <v>0</v>
      </c>
      <c r="AS574" s="798">
        <f t="shared" si="570"/>
        <v>0</v>
      </c>
      <c r="AT574" s="798">
        <f t="shared" si="570"/>
        <v>0</v>
      </c>
      <c r="AU574" s="798">
        <f t="shared" si="570"/>
        <v>0</v>
      </c>
      <c r="AV574" s="798">
        <f t="shared" si="570"/>
        <v>0</v>
      </c>
      <c r="AW574" s="798">
        <f t="shared" si="570"/>
        <v>1</v>
      </c>
      <c r="AX574" s="798">
        <f t="shared" si="570"/>
        <v>1</v>
      </c>
      <c r="AY574" s="798">
        <f t="shared" si="570"/>
        <v>1</v>
      </c>
      <c r="AZ574" s="798">
        <f t="shared" si="570"/>
        <v>1</v>
      </c>
      <c r="BA574" s="798">
        <f t="shared" si="570"/>
        <v>1</v>
      </c>
      <c r="BB574" s="798">
        <f t="shared" si="570"/>
        <v>1</v>
      </c>
      <c r="BC574" s="798">
        <f t="shared" si="570"/>
        <v>1</v>
      </c>
      <c r="BD574" s="798">
        <f t="shared" si="570"/>
        <v>1</v>
      </c>
      <c r="BE574" s="798">
        <f t="shared" si="570"/>
        <v>1</v>
      </c>
      <c r="BF574" s="798">
        <f t="shared" si="570"/>
        <v>1</v>
      </c>
      <c r="BG574" s="798">
        <f t="shared" si="570"/>
        <v>1</v>
      </c>
      <c r="BH574" s="798">
        <f t="shared" si="570"/>
        <v>1</v>
      </c>
      <c r="BI574" s="798">
        <f t="shared" si="570"/>
        <v>1</v>
      </c>
      <c r="BJ574" s="798">
        <f t="shared" si="570"/>
        <v>1</v>
      </c>
      <c r="BK574" s="798">
        <f t="shared" si="570"/>
        <v>1</v>
      </c>
      <c r="BL574" s="765"/>
      <c r="BM574" s="817"/>
      <c r="BN574" s="817"/>
    </row>
    <row r="575" hidden="1">
      <c r="A575" s="765"/>
      <c r="B575" s="765"/>
      <c r="C575" s="765"/>
      <c r="D575" s="765"/>
      <c r="E575" s="765"/>
      <c r="F575" s="765"/>
      <c r="G575" s="765"/>
      <c r="H575" s="765"/>
      <c r="I575" s="765">
        <f t="shared" si="17"/>
        <v>564</v>
      </c>
      <c r="J575" s="763">
        <f t="shared" si="5"/>
        <v>2.54176E+16</v>
      </c>
      <c r="K575" s="796">
        <f t="shared" si="7"/>
        <v>0.51579</v>
      </c>
      <c r="L575" s="796">
        <v>5.0E-4</v>
      </c>
      <c r="M575" s="763">
        <v>2.89824564780639E16</v>
      </c>
      <c r="N575" s="797">
        <f t="shared" si="8"/>
        <v>0</v>
      </c>
      <c r="O575" s="798">
        <f t="shared" ref="O575:BK575" si="571">FLOOR(MIN((((N("value of ELS upgrade")+N$8*($K575-$K574))*(N("Check checkbox")+(IF($G$6=TRUE,$G$7,$G$8))/$G$8))/(N("ROI of ELS and multiply by 2 if ELS is 1:1")+IF($G$12 = True, 2, 1) * $J575))/((N("difference in ELS+ and the cost of it")+(($K574*O$8)-($K574*N$8)) / O$7)),(N("MIN lets it return 0 or 1 after floored")+1)),1)</f>
        <v>0</v>
      </c>
      <c r="P575" s="798">
        <f t="shared" si="571"/>
        <v>0</v>
      </c>
      <c r="Q575" s="798">
        <f t="shared" si="571"/>
        <v>0</v>
      </c>
      <c r="R575" s="798">
        <f t="shared" si="571"/>
        <v>0</v>
      </c>
      <c r="S575" s="798">
        <f t="shared" si="571"/>
        <v>0</v>
      </c>
      <c r="T575" s="798">
        <f t="shared" si="571"/>
        <v>0</v>
      </c>
      <c r="U575" s="798">
        <f t="shared" si="571"/>
        <v>0</v>
      </c>
      <c r="V575" s="798">
        <f t="shared" si="571"/>
        <v>0</v>
      </c>
      <c r="W575" s="798">
        <f t="shared" si="571"/>
        <v>0</v>
      </c>
      <c r="X575" s="798">
        <f t="shared" si="571"/>
        <v>0</v>
      </c>
      <c r="Y575" s="798">
        <f t="shared" si="571"/>
        <v>0</v>
      </c>
      <c r="Z575" s="798">
        <f t="shared" si="571"/>
        <v>0</v>
      </c>
      <c r="AA575" s="798">
        <f t="shared" si="571"/>
        <v>0</v>
      </c>
      <c r="AB575" s="798">
        <f t="shared" si="571"/>
        <v>0</v>
      </c>
      <c r="AC575" s="798">
        <f t="shared" si="571"/>
        <v>0</v>
      </c>
      <c r="AD575" s="798">
        <f t="shared" si="571"/>
        <v>0</v>
      </c>
      <c r="AE575" s="798">
        <f t="shared" si="571"/>
        <v>0</v>
      </c>
      <c r="AF575" s="798">
        <f t="shared" si="571"/>
        <v>0</v>
      </c>
      <c r="AG575" s="798">
        <f t="shared" si="571"/>
        <v>0</v>
      </c>
      <c r="AH575" s="798">
        <f t="shared" si="571"/>
        <v>0</v>
      </c>
      <c r="AI575" s="798">
        <f t="shared" si="571"/>
        <v>0</v>
      </c>
      <c r="AJ575" s="798">
        <f t="shared" si="571"/>
        <v>0</v>
      </c>
      <c r="AK575" s="798">
        <f t="shared" si="571"/>
        <v>0</v>
      </c>
      <c r="AL575" s="798">
        <f t="shared" si="571"/>
        <v>0</v>
      </c>
      <c r="AM575" s="798">
        <f t="shared" si="571"/>
        <v>0</v>
      </c>
      <c r="AN575" s="798">
        <f t="shared" si="571"/>
        <v>0</v>
      </c>
      <c r="AO575" s="798">
        <f t="shared" si="571"/>
        <v>0</v>
      </c>
      <c r="AP575" s="798">
        <f t="shared" si="571"/>
        <v>0</v>
      </c>
      <c r="AQ575" s="798">
        <f t="shared" si="571"/>
        <v>0</v>
      </c>
      <c r="AR575" s="798">
        <f t="shared" si="571"/>
        <v>0</v>
      </c>
      <c r="AS575" s="798">
        <f t="shared" si="571"/>
        <v>0</v>
      </c>
      <c r="AT575" s="798">
        <f t="shared" si="571"/>
        <v>0</v>
      </c>
      <c r="AU575" s="798">
        <f t="shared" si="571"/>
        <v>0</v>
      </c>
      <c r="AV575" s="798">
        <f t="shared" si="571"/>
        <v>0</v>
      </c>
      <c r="AW575" s="798">
        <f t="shared" si="571"/>
        <v>1</v>
      </c>
      <c r="AX575" s="798">
        <f t="shared" si="571"/>
        <v>1</v>
      </c>
      <c r="AY575" s="798">
        <f t="shared" si="571"/>
        <v>1</v>
      </c>
      <c r="AZ575" s="798">
        <f t="shared" si="571"/>
        <v>1</v>
      </c>
      <c r="BA575" s="798">
        <f t="shared" si="571"/>
        <v>1</v>
      </c>
      <c r="BB575" s="798">
        <f t="shared" si="571"/>
        <v>1</v>
      </c>
      <c r="BC575" s="798">
        <f t="shared" si="571"/>
        <v>1</v>
      </c>
      <c r="BD575" s="798">
        <f t="shared" si="571"/>
        <v>1</v>
      </c>
      <c r="BE575" s="798">
        <f t="shared" si="571"/>
        <v>1</v>
      </c>
      <c r="BF575" s="798">
        <f t="shared" si="571"/>
        <v>1</v>
      </c>
      <c r="BG575" s="798">
        <f t="shared" si="571"/>
        <v>1</v>
      </c>
      <c r="BH575" s="798">
        <f t="shared" si="571"/>
        <v>1</v>
      </c>
      <c r="BI575" s="798">
        <f t="shared" si="571"/>
        <v>1</v>
      </c>
      <c r="BJ575" s="798">
        <f t="shared" si="571"/>
        <v>1</v>
      </c>
      <c r="BK575" s="798">
        <f t="shared" si="571"/>
        <v>1</v>
      </c>
      <c r="BL575" s="765"/>
      <c r="BM575" s="817"/>
      <c r="BN575" s="817"/>
    </row>
    <row r="576" hidden="1">
      <c r="A576" s="765"/>
      <c r="B576" s="765"/>
      <c r="C576" s="765"/>
      <c r="D576" s="765"/>
      <c r="E576" s="765"/>
      <c r="F576" s="765"/>
      <c r="G576" s="765"/>
      <c r="H576" s="765"/>
      <c r="I576" s="765">
        <f t="shared" si="17"/>
        <v>565</v>
      </c>
      <c r="J576" s="763">
        <f t="shared" si="5"/>
        <v>2.55059E+16</v>
      </c>
      <c r="K576" s="796">
        <f t="shared" si="7"/>
        <v>0.51629</v>
      </c>
      <c r="L576" s="796">
        <v>5.0E-4</v>
      </c>
      <c r="M576" s="763">
        <v>2.90830786374786E16</v>
      </c>
      <c r="N576" s="797">
        <f t="shared" si="8"/>
        <v>0</v>
      </c>
      <c r="O576" s="798">
        <f t="shared" ref="O576:BK576" si="572">FLOOR(MIN((((N("value of ELS upgrade")+N$8*($K576-$K575))*(N("Check checkbox")+(IF($G$6=TRUE,$G$7,$G$8))/$G$8))/(N("ROI of ELS and multiply by 2 if ELS is 1:1")+IF($G$12 = True, 2, 1) * $J576))/((N("difference in ELS+ and the cost of it")+(($K575*O$8)-($K575*N$8)) / O$7)),(N("MIN lets it return 0 or 1 after floored")+1)),1)</f>
        <v>0</v>
      </c>
      <c r="P576" s="798">
        <f t="shared" si="572"/>
        <v>0</v>
      </c>
      <c r="Q576" s="798">
        <f t="shared" si="572"/>
        <v>0</v>
      </c>
      <c r="R576" s="798">
        <f t="shared" si="572"/>
        <v>0</v>
      </c>
      <c r="S576" s="798">
        <f t="shared" si="572"/>
        <v>0</v>
      </c>
      <c r="T576" s="798">
        <f t="shared" si="572"/>
        <v>0</v>
      </c>
      <c r="U576" s="798">
        <f t="shared" si="572"/>
        <v>0</v>
      </c>
      <c r="V576" s="798">
        <f t="shared" si="572"/>
        <v>0</v>
      </c>
      <c r="W576" s="798">
        <f t="shared" si="572"/>
        <v>0</v>
      </c>
      <c r="X576" s="798">
        <f t="shared" si="572"/>
        <v>0</v>
      </c>
      <c r="Y576" s="798">
        <f t="shared" si="572"/>
        <v>0</v>
      </c>
      <c r="Z576" s="798">
        <f t="shared" si="572"/>
        <v>0</v>
      </c>
      <c r="AA576" s="798">
        <f t="shared" si="572"/>
        <v>0</v>
      </c>
      <c r="AB576" s="798">
        <f t="shared" si="572"/>
        <v>0</v>
      </c>
      <c r="AC576" s="798">
        <f t="shared" si="572"/>
        <v>0</v>
      </c>
      <c r="AD576" s="798">
        <f t="shared" si="572"/>
        <v>0</v>
      </c>
      <c r="AE576" s="798">
        <f t="shared" si="572"/>
        <v>0</v>
      </c>
      <c r="AF576" s="798">
        <f t="shared" si="572"/>
        <v>0</v>
      </c>
      <c r="AG576" s="798">
        <f t="shared" si="572"/>
        <v>0</v>
      </c>
      <c r="AH576" s="798">
        <f t="shared" si="572"/>
        <v>0</v>
      </c>
      <c r="AI576" s="798">
        <f t="shared" si="572"/>
        <v>0</v>
      </c>
      <c r="AJ576" s="798">
        <f t="shared" si="572"/>
        <v>0</v>
      </c>
      <c r="AK576" s="798">
        <f t="shared" si="572"/>
        <v>0</v>
      </c>
      <c r="AL576" s="798">
        <f t="shared" si="572"/>
        <v>0</v>
      </c>
      <c r="AM576" s="798">
        <f t="shared" si="572"/>
        <v>0</v>
      </c>
      <c r="AN576" s="798">
        <f t="shared" si="572"/>
        <v>0</v>
      </c>
      <c r="AO576" s="798">
        <f t="shared" si="572"/>
        <v>0</v>
      </c>
      <c r="AP576" s="798">
        <f t="shared" si="572"/>
        <v>0</v>
      </c>
      <c r="AQ576" s="798">
        <f t="shared" si="572"/>
        <v>0</v>
      </c>
      <c r="AR576" s="798">
        <f t="shared" si="572"/>
        <v>0</v>
      </c>
      <c r="AS576" s="798">
        <f t="shared" si="572"/>
        <v>0</v>
      </c>
      <c r="AT576" s="798">
        <f t="shared" si="572"/>
        <v>0</v>
      </c>
      <c r="AU576" s="798">
        <f t="shared" si="572"/>
        <v>0</v>
      </c>
      <c r="AV576" s="798">
        <f t="shared" si="572"/>
        <v>0</v>
      </c>
      <c r="AW576" s="798">
        <f t="shared" si="572"/>
        <v>1</v>
      </c>
      <c r="AX576" s="798">
        <f t="shared" si="572"/>
        <v>1</v>
      </c>
      <c r="AY576" s="798">
        <f t="shared" si="572"/>
        <v>1</v>
      </c>
      <c r="AZ576" s="798">
        <f t="shared" si="572"/>
        <v>1</v>
      </c>
      <c r="BA576" s="798">
        <f t="shared" si="572"/>
        <v>1</v>
      </c>
      <c r="BB576" s="798">
        <f t="shared" si="572"/>
        <v>1</v>
      </c>
      <c r="BC576" s="798">
        <f t="shared" si="572"/>
        <v>1</v>
      </c>
      <c r="BD576" s="798">
        <f t="shared" si="572"/>
        <v>1</v>
      </c>
      <c r="BE576" s="798">
        <f t="shared" si="572"/>
        <v>1</v>
      </c>
      <c r="BF576" s="798">
        <f t="shared" si="572"/>
        <v>1</v>
      </c>
      <c r="BG576" s="798">
        <f t="shared" si="572"/>
        <v>1</v>
      </c>
      <c r="BH576" s="798">
        <f t="shared" si="572"/>
        <v>1</v>
      </c>
      <c r="BI576" s="798">
        <f t="shared" si="572"/>
        <v>1</v>
      </c>
      <c r="BJ576" s="798">
        <f t="shared" si="572"/>
        <v>1</v>
      </c>
      <c r="BK576" s="798">
        <f t="shared" si="572"/>
        <v>1</v>
      </c>
      <c r="BL576" s="765"/>
      <c r="BM576" s="817"/>
      <c r="BN576" s="817"/>
    </row>
    <row r="577" hidden="1">
      <c r="A577" s="765"/>
      <c r="B577" s="765"/>
      <c r="C577" s="765"/>
      <c r="D577" s="765"/>
      <c r="E577" s="765"/>
      <c r="F577" s="765"/>
      <c r="G577" s="765"/>
      <c r="H577" s="765"/>
      <c r="I577" s="765">
        <f t="shared" si="17"/>
        <v>566</v>
      </c>
      <c r="J577" s="763">
        <f t="shared" si="5"/>
        <v>2.55944E+16</v>
      </c>
      <c r="K577" s="796">
        <f t="shared" si="7"/>
        <v>0.51679</v>
      </c>
      <c r="L577" s="796">
        <v>5.0E-4</v>
      </c>
      <c r="M577" s="763">
        <v>2.91839992928932E16</v>
      </c>
      <c r="N577" s="797">
        <f t="shared" si="8"/>
        <v>0</v>
      </c>
      <c r="O577" s="798">
        <f t="shared" ref="O577:BK577" si="573">FLOOR(MIN((((N("value of ELS upgrade")+N$8*($K577-$K576))*(N("Check checkbox")+(IF($G$6=TRUE,$G$7,$G$8))/$G$8))/(N("ROI of ELS and multiply by 2 if ELS is 1:1")+IF($G$12 = True, 2, 1) * $J577))/((N("difference in ELS+ and the cost of it")+(($K576*O$8)-($K576*N$8)) / O$7)),(N("MIN lets it return 0 or 1 after floored")+1)),1)</f>
        <v>0</v>
      </c>
      <c r="P577" s="798">
        <f t="shared" si="573"/>
        <v>0</v>
      </c>
      <c r="Q577" s="798">
        <f t="shared" si="573"/>
        <v>0</v>
      </c>
      <c r="R577" s="798">
        <f t="shared" si="573"/>
        <v>0</v>
      </c>
      <c r="S577" s="798">
        <f t="shared" si="573"/>
        <v>0</v>
      </c>
      <c r="T577" s="798">
        <f t="shared" si="573"/>
        <v>0</v>
      </c>
      <c r="U577" s="798">
        <f t="shared" si="573"/>
        <v>0</v>
      </c>
      <c r="V577" s="798">
        <f t="shared" si="573"/>
        <v>0</v>
      </c>
      <c r="W577" s="798">
        <f t="shared" si="573"/>
        <v>0</v>
      </c>
      <c r="X577" s="798">
        <f t="shared" si="573"/>
        <v>0</v>
      </c>
      <c r="Y577" s="798">
        <f t="shared" si="573"/>
        <v>0</v>
      </c>
      <c r="Z577" s="798">
        <f t="shared" si="573"/>
        <v>0</v>
      </c>
      <c r="AA577" s="798">
        <f t="shared" si="573"/>
        <v>0</v>
      </c>
      <c r="AB577" s="798">
        <f t="shared" si="573"/>
        <v>0</v>
      </c>
      <c r="AC577" s="798">
        <f t="shared" si="573"/>
        <v>0</v>
      </c>
      <c r="AD577" s="798">
        <f t="shared" si="573"/>
        <v>0</v>
      </c>
      <c r="AE577" s="798">
        <f t="shared" si="573"/>
        <v>0</v>
      </c>
      <c r="AF577" s="798">
        <f t="shared" si="573"/>
        <v>0</v>
      </c>
      <c r="AG577" s="798">
        <f t="shared" si="573"/>
        <v>0</v>
      </c>
      <c r="AH577" s="798">
        <f t="shared" si="573"/>
        <v>0</v>
      </c>
      <c r="AI577" s="798">
        <f t="shared" si="573"/>
        <v>0</v>
      </c>
      <c r="AJ577" s="798">
        <f t="shared" si="573"/>
        <v>0</v>
      </c>
      <c r="AK577" s="798">
        <f t="shared" si="573"/>
        <v>0</v>
      </c>
      <c r="AL577" s="798">
        <f t="shared" si="573"/>
        <v>0</v>
      </c>
      <c r="AM577" s="798">
        <f t="shared" si="573"/>
        <v>0</v>
      </c>
      <c r="AN577" s="798">
        <f t="shared" si="573"/>
        <v>0</v>
      </c>
      <c r="AO577" s="798">
        <f t="shared" si="573"/>
        <v>0</v>
      </c>
      <c r="AP577" s="798">
        <f t="shared" si="573"/>
        <v>0</v>
      </c>
      <c r="AQ577" s="798">
        <f t="shared" si="573"/>
        <v>0</v>
      </c>
      <c r="AR577" s="798">
        <f t="shared" si="573"/>
        <v>0</v>
      </c>
      <c r="AS577" s="798">
        <f t="shared" si="573"/>
        <v>0</v>
      </c>
      <c r="AT577" s="798">
        <f t="shared" si="573"/>
        <v>0</v>
      </c>
      <c r="AU577" s="798">
        <f t="shared" si="573"/>
        <v>0</v>
      </c>
      <c r="AV577" s="798">
        <f t="shared" si="573"/>
        <v>0</v>
      </c>
      <c r="AW577" s="798">
        <f t="shared" si="573"/>
        <v>1</v>
      </c>
      <c r="AX577" s="798">
        <f t="shared" si="573"/>
        <v>1</v>
      </c>
      <c r="AY577" s="798">
        <f t="shared" si="573"/>
        <v>1</v>
      </c>
      <c r="AZ577" s="798">
        <f t="shared" si="573"/>
        <v>1</v>
      </c>
      <c r="BA577" s="798">
        <f t="shared" si="573"/>
        <v>1</v>
      </c>
      <c r="BB577" s="798">
        <f t="shared" si="573"/>
        <v>1</v>
      </c>
      <c r="BC577" s="798">
        <f t="shared" si="573"/>
        <v>1</v>
      </c>
      <c r="BD577" s="798">
        <f t="shared" si="573"/>
        <v>1</v>
      </c>
      <c r="BE577" s="798">
        <f t="shared" si="573"/>
        <v>1</v>
      </c>
      <c r="BF577" s="798">
        <f t="shared" si="573"/>
        <v>1</v>
      </c>
      <c r="BG577" s="798">
        <f t="shared" si="573"/>
        <v>1</v>
      </c>
      <c r="BH577" s="798">
        <f t="shared" si="573"/>
        <v>1</v>
      </c>
      <c r="BI577" s="798">
        <f t="shared" si="573"/>
        <v>1</v>
      </c>
      <c r="BJ577" s="798">
        <f t="shared" si="573"/>
        <v>1</v>
      </c>
      <c r="BK577" s="798">
        <f t="shared" si="573"/>
        <v>1</v>
      </c>
      <c r="BL577" s="765"/>
      <c r="BM577" s="817"/>
      <c r="BN577" s="817"/>
    </row>
    <row r="578" hidden="1">
      <c r="A578" s="765"/>
      <c r="B578" s="765"/>
      <c r="C578" s="765"/>
      <c r="D578" s="765"/>
      <c r="E578" s="765"/>
      <c r="F578" s="765"/>
      <c r="G578" s="765"/>
      <c r="H578" s="765"/>
      <c r="I578" s="765">
        <f t="shared" si="17"/>
        <v>567</v>
      </c>
      <c r="J578" s="763">
        <f t="shared" si="5"/>
        <v>2.56831E+16</v>
      </c>
      <c r="K578" s="796">
        <f t="shared" si="7"/>
        <v>0.51729</v>
      </c>
      <c r="L578" s="796">
        <v>5.0E-4</v>
      </c>
      <c r="M578" s="763">
        <v>2.92852184443078E16</v>
      </c>
      <c r="N578" s="797">
        <f t="shared" si="8"/>
        <v>0</v>
      </c>
      <c r="O578" s="798">
        <f t="shared" ref="O578:BK578" si="574">FLOOR(MIN((((N("value of ELS upgrade")+N$8*($K578-$K577))*(N("Check checkbox")+(IF($G$6=TRUE,$G$7,$G$8))/$G$8))/(N("ROI of ELS and multiply by 2 if ELS is 1:1")+IF($G$12 = True, 2, 1) * $J578))/((N("difference in ELS+ and the cost of it")+(($K577*O$8)-($K577*N$8)) / O$7)),(N("MIN lets it return 0 or 1 after floored")+1)),1)</f>
        <v>0</v>
      </c>
      <c r="P578" s="798">
        <f t="shared" si="574"/>
        <v>0</v>
      </c>
      <c r="Q578" s="798">
        <f t="shared" si="574"/>
        <v>0</v>
      </c>
      <c r="R578" s="798">
        <f t="shared" si="574"/>
        <v>0</v>
      </c>
      <c r="S578" s="798">
        <f t="shared" si="574"/>
        <v>0</v>
      </c>
      <c r="T578" s="798">
        <f t="shared" si="574"/>
        <v>0</v>
      </c>
      <c r="U578" s="798">
        <f t="shared" si="574"/>
        <v>0</v>
      </c>
      <c r="V578" s="798">
        <f t="shared" si="574"/>
        <v>0</v>
      </c>
      <c r="W578" s="798">
        <f t="shared" si="574"/>
        <v>0</v>
      </c>
      <c r="X578" s="798">
        <f t="shared" si="574"/>
        <v>0</v>
      </c>
      <c r="Y578" s="798">
        <f t="shared" si="574"/>
        <v>0</v>
      </c>
      <c r="Z578" s="798">
        <f t="shared" si="574"/>
        <v>0</v>
      </c>
      <c r="AA578" s="798">
        <f t="shared" si="574"/>
        <v>0</v>
      </c>
      <c r="AB578" s="798">
        <f t="shared" si="574"/>
        <v>0</v>
      </c>
      <c r="AC578" s="798">
        <f t="shared" si="574"/>
        <v>0</v>
      </c>
      <c r="AD578" s="798">
        <f t="shared" si="574"/>
        <v>0</v>
      </c>
      <c r="AE578" s="798">
        <f t="shared" si="574"/>
        <v>0</v>
      </c>
      <c r="AF578" s="798">
        <f t="shared" si="574"/>
        <v>0</v>
      </c>
      <c r="AG578" s="798">
        <f t="shared" si="574"/>
        <v>0</v>
      </c>
      <c r="AH578" s="798">
        <f t="shared" si="574"/>
        <v>0</v>
      </c>
      <c r="AI578" s="798">
        <f t="shared" si="574"/>
        <v>0</v>
      </c>
      <c r="AJ578" s="798">
        <f t="shared" si="574"/>
        <v>0</v>
      </c>
      <c r="AK578" s="798">
        <f t="shared" si="574"/>
        <v>0</v>
      </c>
      <c r="AL578" s="798">
        <f t="shared" si="574"/>
        <v>0</v>
      </c>
      <c r="AM578" s="798">
        <f t="shared" si="574"/>
        <v>0</v>
      </c>
      <c r="AN578" s="798">
        <f t="shared" si="574"/>
        <v>0</v>
      </c>
      <c r="AO578" s="798">
        <f t="shared" si="574"/>
        <v>0</v>
      </c>
      <c r="AP578" s="798">
        <f t="shared" si="574"/>
        <v>0</v>
      </c>
      <c r="AQ578" s="798">
        <f t="shared" si="574"/>
        <v>0</v>
      </c>
      <c r="AR578" s="798">
        <f t="shared" si="574"/>
        <v>0</v>
      </c>
      <c r="AS578" s="798">
        <f t="shared" si="574"/>
        <v>0</v>
      </c>
      <c r="AT578" s="798">
        <f t="shared" si="574"/>
        <v>0</v>
      </c>
      <c r="AU578" s="798">
        <f t="shared" si="574"/>
        <v>0</v>
      </c>
      <c r="AV578" s="798">
        <f t="shared" si="574"/>
        <v>0</v>
      </c>
      <c r="AW578" s="798">
        <f t="shared" si="574"/>
        <v>1</v>
      </c>
      <c r="AX578" s="798">
        <f t="shared" si="574"/>
        <v>1</v>
      </c>
      <c r="AY578" s="798">
        <f t="shared" si="574"/>
        <v>1</v>
      </c>
      <c r="AZ578" s="798">
        <f t="shared" si="574"/>
        <v>1</v>
      </c>
      <c r="BA578" s="798">
        <f t="shared" si="574"/>
        <v>1</v>
      </c>
      <c r="BB578" s="798">
        <f t="shared" si="574"/>
        <v>1</v>
      </c>
      <c r="BC578" s="798">
        <f t="shared" si="574"/>
        <v>1</v>
      </c>
      <c r="BD578" s="798">
        <f t="shared" si="574"/>
        <v>1</v>
      </c>
      <c r="BE578" s="798">
        <f t="shared" si="574"/>
        <v>1</v>
      </c>
      <c r="BF578" s="798">
        <f t="shared" si="574"/>
        <v>1</v>
      </c>
      <c r="BG578" s="798">
        <f t="shared" si="574"/>
        <v>1</v>
      </c>
      <c r="BH578" s="798">
        <f t="shared" si="574"/>
        <v>1</v>
      </c>
      <c r="BI578" s="798">
        <f t="shared" si="574"/>
        <v>1</v>
      </c>
      <c r="BJ578" s="798">
        <f t="shared" si="574"/>
        <v>1</v>
      </c>
      <c r="BK578" s="798">
        <f t="shared" si="574"/>
        <v>1</v>
      </c>
      <c r="BL578" s="765"/>
      <c r="BM578" s="817"/>
      <c r="BN578" s="817"/>
    </row>
    <row r="579" hidden="1">
      <c r="A579" s="765"/>
      <c r="B579" s="765"/>
      <c r="C579" s="765"/>
      <c r="D579" s="765"/>
      <c r="E579" s="765"/>
      <c r="F579" s="765"/>
      <c r="G579" s="765"/>
      <c r="H579" s="765"/>
      <c r="I579" s="765">
        <f t="shared" si="17"/>
        <v>568</v>
      </c>
      <c r="J579" s="763">
        <f t="shared" si="5"/>
        <v>2.57722E+16</v>
      </c>
      <c r="K579" s="796">
        <f t="shared" si="7"/>
        <v>0.51779</v>
      </c>
      <c r="L579" s="796">
        <v>5.0E-4</v>
      </c>
      <c r="M579" s="763">
        <v>2.93867370274464E16</v>
      </c>
      <c r="N579" s="797">
        <f t="shared" si="8"/>
        <v>0</v>
      </c>
      <c r="O579" s="798">
        <f t="shared" ref="O579:BK579" si="575">FLOOR(MIN((((N("value of ELS upgrade")+N$8*($K579-$K578))*(N("Check checkbox")+(IF($G$6=TRUE,$G$7,$G$8))/$G$8))/(N("ROI of ELS and multiply by 2 if ELS is 1:1")+IF($G$12 = True, 2, 1) * $J579))/((N("difference in ELS+ and the cost of it")+(($K578*O$8)-($K578*N$8)) / O$7)),(N("MIN lets it return 0 or 1 after floored")+1)),1)</f>
        <v>0</v>
      </c>
      <c r="P579" s="798">
        <f t="shared" si="575"/>
        <v>0</v>
      </c>
      <c r="Q579" s="798">
        <f t="shared" si="575"/>
        <v>0</v>
      </c>
      <c r="R579" s="798">
        <f t="shared" si="575"/>
        <v>0</v>
      </c>
      <c r="S579" s="798">
        <f t="shared" si="575"/>
        <v>0</v>
      </c>
      <c r="T579" s="798">
        <f t="shared" si="575"/>
        <v>0</v>
      </c>
      <c r="U579" s="798">
        <f t="shared" si="575"/>
        <v>0</v>
      </c>
      <c r="V579" s="798">
        <f t="shared" si="575"/>
        <v>0</v>
      </c>
      <c r="W579" s="798">
        <f t="shared" si="575"/>
        <v>0</v>
      </c>
      <c r="X579" s="798">
        <f t="shared" si="575"/>
        <v>0</v>
      </c>
      <c r="Y579" s="798">
        <f t="shared" si="575"/>
        <v>0</v>
      </c>
      <c r="Z579" s="798">
        <f t="shared" si="575"/>
        <v>0</v>
      </c>
      <c r="AA579" s="798">
        <f t="shared" si="575"/>
        <v>0</v>
      </c>
      <c r="AB579" s="798">
        <f t="shared" si="575"/>
        <v>0</v>
      </c>
      <c r="AC579" s="798">
        <f t="shared" si="575"/>
        <v>0</v>
      </c>
      <c r="AD579" s="798">
        <f t="shared" si="575"/>
        <v>0</v>
      </c>
      <c r="AE579" s="798">
        <f t="shared" si="575"/>
        <v>0</v>
      </c>
      <c r="AF579" s="798">
        <f t="shared" si="575"/>
        <v>0</v>
      </c>
      <c r="AG579" s="798">
        <f t="shared" si="575"/>
        <v>0</v>
      </c>
      <c r="AH579" s="798">
        <f t="shared" si="575"/>
        <v>0</v>
      </c>
      <c r="AI579" s="798">
        <f t="shared" si="575"/>
        <v>0</v>
      </c>
      <c r="AJ579" s="798">
        <f t="shared" si="575"/>
        <v>0</v>
      </c>
      <c r="AK579" s="798">
        <f t="shared" si="575"/>
        <v>0</v>
      </c>
      <c r="AL579" s="798">
        <f t="shared" si="575"/>
        <v>0</v>
      </c>
      <c r="AM579" s="798">
        <f t="shared" si="575"/>
        <v>0</v>
      </c>
      <c r="AN579" s="798">
        <f t="shared" si="575"/>
        <v>0</v>
      </c>
      <c r="AO579" s="798">
        <f t="shared" si="575"/>
        <v>0</v>
      </c>
      <c r="AP579" s="798">
        <f t="shared" si="575"/>
        <v>0</v>
      </c>
      <c r="AQ579" s="798">
        <f t="shared" si="575"/>
        <v>0</v>
      </c>
      <c r="AR579" s="798">
        <f t="shared" si="575"/>
        <v>0</v>
      </c>
      <c r="AS579" s="798">
        <f t="shared" si="575"/>
        <v>0</v>
      </c>
      <c r="AT579" s="798">
        <f t="shared" si="575"/>
        <v>0</v>
      </c>
      <c r="AU579" s="798">
        <f t="shared" si="575"/>
        <v>0</v>
      </c>
      <c r="AV579" s="798">
        <f t="shared" si="575"/>
        <v>0</v>
      </c>
      <c r="AW579" s="798">
        <f t="shared" si="575"/>
        <v>1</v>
      </c>
      <c r="AX579" s="798">
        <f t="shared" si="575"/>
        <v>1</v>
      </c>
      <c r="AY579" s="798">
        <f t="shared" si="575"/>
        <v>1</v>
      </c>
      <c r="AZ579" s="798">
        <f t="shared" si="575"/>
        <v>1</v>
      </c>
      <c r="BA579" s="798">
        <f t="shared" si="575"/>
        <v>1</v>
      </c>
      <c r="BB579" s="798">
        <f t="shared" si="575"/>
        <v>1</v>
      </c>
      <c r="BC579" s="798">
        <f t="shared" si="575"/>
        <v>1</v>
      </c>
      <c r="BD579" s="798">
        <f t="shared" si="575"/>
        <v>1</v>
      </c>
      <c r="BE579" s="798">
        <f t="shared" si="575"/>
        <v>1</v>
      </c>
      <c r="BF579" s="798">
        <f t="shared" si="575"/>
        <v>1</v>
      </c>
      <c r="BG579" s="798">
        <f t="shared" si="575"/>
        <v>1</v>
      </c>
      <c r="BH579" s="798">
        <f t="shared" si="575"/>
        <v>1</v>
      </c>
      <c r="BI579" s="798">
        <f t="shared" si="575"/>
        <v>1</v>
      </c>
      <c r="BJ579" s="798">
        <f t="shared" si="575"/>
        <v>1</v>
      </c>
      <c r="BK579" s="798">
        <f t="shared" si="575"/>
        <v>1</v>
      </c>
      <c r="BL579" s="765"/>
      <c r="BM579" s="817"/>
      <c r="BN579" s="817"/>
    </row>
    <row r="580" hidden="1">
      <c r="A580" s="765"/>
      <c r="B580" s="765"/>
      <c r="C580" s="765"/>
      <c r="D580" s="765"/>
      <c r="E580" s="765"/>
      <c r="F580" s="765"/>
      <c r="G580" s="765"/>
      <c r="H580" s="765"/>
      <c r="I580" s="765">
        <f t="shared" si="17"/>
        <v>569</v>
      </c>
      <c r="J580" s="763">
        <f t="shared" si="5"/>
        <v>2.58615E+16</v>
      </c>
      <c r="K580" s="796">
        <f t="shared" si="7"/>
        <v>0.51829</v>
      </c>
      <c r="L580" s="796">
        <v>5.0E-4</v>
      </c>
      <c r="M580" s="763">
        <v>2.94885559780331E16</v>
      </c>
      <c r="N580" s="797">
        <f t="shared" si="8"/>
        <v>0</v>
      </c>
      <c r="O580" s="798">
        <f t="shared" ref="O580:BK580" si="576">FLOOR(MIN((((N("value of ELS upgrade")+N$8*($K580-$K579))*(N("Check checkbox")+(IF($G$6=TRUE,$G$7,$G$8))/$G$8))/(N("ROI of ELS and multiply by 2 if ELS is 1:1")+IF($G$12 = True, 2, 1) * $J580))/((N("difference in ELS+ and the cost of it")+(($K579*O$8)-($K579*N$8)) / O$7)),(N("MIN lets it return 0 or 1 after floored")+1)),1)</f>
        <v>0</v>
      </c>
      <c r="P580" s="798">
        <f t="shared" si="576"/>
        <v>0</v>
      </c>
      <c r="Q580" s="798">
        <f t="shared" si="576"/>
        <v>0</v>
      </c>
      <c r="R580" s="798">
        <f t="shared" si="576"/>
        <v>0</v>
      </c>
      <c r="S580" s="798">
        <f t="shared" si="576"/>
        <v>0</v>
      </c>
      <c r="T580" s="798">
        <f t="shared" si="576"/>
        <v>0</v>
      </c>
      <c r="U580" s="798">
        <f t="shared" si="576"/>
        <v>0</v>
      </c>
      <c r="V580" s="798">
        <f t="shared" si="576"/>
        <v>0</v>
      </c>
      <c r="W580" s="798">
        <f t="shared" si="576"/>
        <v>0</v>
      </c>
      <c r="X580" s="798">
        <f t="shared" si="576"/>
        <v>0</v>
      </c>
      <c r="Y580" s="798">
        <f t="shared" si="576"/>
        <v>0</v>
      </c>
      <c r="Z580" s="798">
        <f t="shared" si="576"/>
        <v>0</v>
      </c>
      <c r="AA580" s="798">
        <f t="shared" si="576"/>
        <v>0</v>
      </c>
      <c r="AB580" s="798">
        <f t="shared" si="576"/>
        <v>0</v>
      </c>
      <c r="AC580" s="798">
        <f t="shared" si="576"/>
        <v>0</v>
      </c>
      <c r="AD580" s="798">
        <f t="shared" si="576"/>
        <v>0</v>
      </c>
      <c r="AE580" s="798">
        <f t="shared" si="576"/>
        <v>0</v>
      </c>
      <c r="AF580" s="798">
        <f t="shared" si="576"/>
        <v>0</v>
      </c>
      <c r="AG580" s="798">
        <f t="shared" si="576"/>
        <v>0</v>
      </c>
      <c r="AH580" s="798">
        <f t="shared" si="576"/>
        <v>0</v>
      </c>
      <c r="AI580" s="798">
        <f t="shared" si="576"/>
        <v>0</v>
      </c>
      <c r="AJ580" s="798">
        <f t="shared" si="576"/>
        <v>0</v>
      </c>
      <c r="AK580" s="798">
        <f t="shared" si="576"/>
        <v>0</v>
      </c>
      <c r="AL580" s="798">
        <f t="shared" si="576"/>
        <v>0</v>
      </c>
      <c r="AM580" s="798">
        <f t="shared" si="576"/>
        <v>0</v>
      </c>
      <c r="AN580" s="798">
        <f t="shared" si="576"/>
        <v>0</v>
      </c>
      <c r="AO580" s="798">
        <f t="shared" si="576"/>
        <v>0</v>
      </c>
      <c r="AP580" s="798">
        <f t="shared" si="576"/>
        <v>0</v>
      </c>
      <c r="AQ580" s="798">
        <f t="shared" si="576"/>
        <v>0</v>
      </c>
      <c r="AR580" s="798">
        <f t="shared" si="576"/>
        <v>0</v>
      </c>
      <c r="AS580" s="798">
        <f t="shared" si="576"/>
        <v>0</v>
      </c>
      <c r="AT580" s="798">
        <f t="shared" si="576"/>
        <v>0</v>
      </c>
      <c r="AU580" s="798">
        <f t="shared" si="576"/>
        <v>0</v>
      </c>
      <c r="AV580" s="798">
        <f t="shared" si="576"/>
        <v>0</v>
      </c>
      <c r="AW580" s="798">
        <f t="shared" si="576"/>
        <v>1</v>
      </c>
      <c r="AX580" s="798">
        <f t="shared" si="576"/>
        <v>1</v>
      </c>
      <c r="AY580" s="798">
        <f t="shared" si="576"/>
        <v>1</v>
      </c>
      <c r="AZ580" s="798">
        <f t="shared" si="576"/>
        <v>1</v>
      </c>
      <c r="BA580" s="798">
        <f t="shared" si="576"/>
        <v>1</v>
      </c>
      <c r="BB580" s="798">
        <f t="shared" si="576"/>
        <v>1</v>
      </c>
      <c r="BC580" s="798">
        <f t="shared" si="576"/>
        <v>1</v>
      </c>
      <c r="BD580" s="798">
        <f t="shared" si="576"/>
        <v>1</v>
      </c>
      <c r="BE580" s="798">
        <f t="shared" si="576"/>
        <v>1</v>
      </c>
      <c r="BF580" s="798">
        <f t="shared" si="576"/>
        <v>1</v>
      </c>
      <c r="BG580" s="798">
        <f t="shared" si="576"/>
        <v>1</v>
      </c>
      <c r="BH580" s="798">
        <f t="shared" si="576"/>
        <v>1</v>
      </c>
      <c r="BI580" s="798">
        <f t="shared" si="576"/>
        <v>1</v>
      </c>
      <c r="BJ580" s="798">
        <f t="shared" si="576"/>
        <v>1</v>
      </c>
      <c r="BK580" s="798">
        <f t="shared" si="576"/>
        <v>1</v>
      </c>
      <c r="BL580" s="765"/>
      <c r="BM580" s="817"/>
      <c r="BN580" s="817"/>
    </row>
    <row r="581" hidden="1">
      <c r="A581" s="765"/>
      <c r="B581" s="765"/>
      <c r="C581" s="765"/>
      <c r="D581" s="765"/>
      <c r="E581" s="765"/>
      <c r="F581" s="765"/>
      <c r="G581" s="765"/>
      <c r="H581" s="765"/>
      <c r="I581" s="765">
        <f t="shared" si="17"/>
        <v>570</v>
      </c>
      <c r="J581" s="763">
        <f t="shared" si="5"/>
        <v>2.5951E+16</v>
      </c>
      <c r="K581" s="796">
        <f t="shared" si="7"/>
        <v>0.51879</v>
      </c>
      <c r="L581" s="796">
        <v>5.0E-4</v>
      </c>
      <c r="M581" s="763">
        <v>2.95906762317922E16</v>
      </c>
      <c r="N581" s="797">
        <f t="shared" si="8"/>
        <v>0</v>
      </c>
      <c r="O581" s="798">
        <f t="shared" ref="O581:BK581" si="577">FLOOR(MIN((((N("value of ELS upgrade")+N$8*($K581-$K580))*(N("Check checkbox")+(IF($G$6=TRUE,$G$7,$G$8))/$G$8))/(N("ROI of ELS and multiply by 2 if ELS is 1:1")+IF($G$12 = True, 2, 1) * $J581))/((N("difference in ELS+ and the cost of it")+(($K580*O$8)-($K580*N$8)) / O$7)),(N("MIN lets it return 0 or 1 after floored")+1)),1)</f>
        <v>0</v>
      </c>
      <c r="P581" s="798">
        <f t="shared" si="577"/>
        <v>0</v>
      </c>
      <c r="Q581" s="798">
        <f t="shared" si="577"/>
        <v>0</v>
      </c>
      <c r="R581" s="798">
        <f t="shared" si="577"/>
        <v>0</v>
      </c>
      <c r="S581" s="798">
        <f t="shared" si="577"/>
        <v>0</v>
      </c>
      <c r="T581" s="798">
        <f t="shared" si="577"/>
        <v>0</v>
      </c>
      <c r="U581" s="798">
        <f t="shared" si="577"/>
        <v>0</v>
      </c>
      <c r="V581" s="798">
        <f t="shared" si="577"/>
        <v>0</v>
      </c>
      <c r="W581" s="798">
        <f t="shared" si="577"/>
        <v>0</v>
      </c>
      <c r="X581" s="798">
        <f t="shared" si="577"/>
        <v>0</v>
      </c>
      <c r="Y581" s="798">
        <f t="shared" si="577"/>
        <v>0</v>
      </c>
      <c r="Z581" s="798">
        <f t="shared" si="577"/>
        <v>0</v>
      </c>
      <c r="AA581" s="798">
        <f t="shared" si="577"/>
        <v>0</v>
      </c>
      <c r="AB581" s="798">
        <f t="shared" si="577"/>
        <v>0</v>
      </c>
      <c r="AC581" s="798">
        <f t="shared" si="577"/>
        <v>0</v>
      </c>
      <c r="AD581" s="798">
        <f t="shared" si="577"/>
        <v>0</v>
      </c>
      <c r="AE581" s="798">
        <f t="shared" si="577"/>
        <v>0</v>
      </c>
      <c r="AF581" s="798">
        <f t="shared" si="577"/>
        <v>0</v>
      </c>
      <c r="AG581" s="798">
        <f t="shared" si="577"/>
        <v>0</v>
      </c>
      <c r="AH581" s="798">
        <f t="shared" si="577"/>
        <v>0</v>
      </c>
      <c r="AI581" s="798">
        <f t="shared" si="577"/>
        <v>0</v>
      </c>
      <c r="AJ581" s="798">
        <f t="shared" si="577"/>
        <v>0</v>
      </c>
      <c r="AK581" s="798">
        <f t="shared" si="577"/>
        <v>0</v>
      </c>
      <c r="AL581" s="798">
        <f t="shared" si="577"/>
        <v>0</v>
      </c>
      <c r="AM581" s="798">
        <f t="shared" si="577"/>
        <v>0</v>
      </c>
      <c r="AN581" s="798">
        <f t="shared" si="577"/>
        <v>0</v>
      </c>
      <c r="AO581" s="798">
        <f t="shared" si="577"/>
        <v>0</v>
      </c>
      <c r="AP581" s="798">
        <f t="shared" si="577"/>
        <v>0</v>
      </c>
      <c r="AQ581" s="798">
        <f t="shared" si="577"/>
        <v>0</v>
      </c>
      <c r="AR581" s="798">
        <f t="shared" si="577"/>
        <v>0</v>
      </c>
      <c r="AS581" s="798">
        <f t="shared" si="577"/>
        <v>0</v>
      </c>
      <c r="AT581" s="798">
        <f t="shared" si="577"/>
        <v>0</v>
      </c>
      <c r="AU581" s="798">
        <f t="shared" si="577"/>
        <v>0</v>
      </c>
      <c r="AV581" s="798">
        <f t="shared" si="577"/>
        <v>0</v>
      </c>
      <c r="AW581" s="798">
        <f t="shared" si="577"/>
        <v>1</v>
      </c>
      <c r="AX581" s="798">
        <f t="shared" si="577"/>
        <v>1</v>
      </c>
      <c r="AY581" s="798">
        <f t="shared" si="577"/>
        <v>1</v>
      </c>
      <c r="AZ581" s="798">
        <f t="shared" si="577"/>
        <v>1</v>
      </c>
      <c r="BA581" s="798">
        <f t="shared" si="577"/>
        <v>1</v>
      </c>
      <c r="BB581" s="798">
        <f t="shared" si="577"/>
        <v>1</v>
      </c>
      <c r="BC581" s="798">
        <f t="shared" si="577"/>
        <v>1</v>
      </c>
      <c r="BD581" s="798">
        <f t="shared" si="577"/>
        <v>1</v>
      </c>
      <c r="BE581" s="798">
        <f t="shared" si="577"/>
        <v>1</v>
      </c>
      <c r="BF581" s="798">
        <f t="shared" si="577"/>
        <v>1</v>
      </c>
      <c r="BG581" s="798">
        <f t="shared" si="577"/>
        <v>1</v>
      </c>
      <c r="BH581" s="798">
        <f t="shared" si="577"/>
        <v>1</v>
      </c>
      <c r="BI581" s="798">
        <f t="shared" si="577"/>
        <v>1</v>
      </c>
      <c r="BJ581" s="798">
        <f t="shared" si="577"/>
        <v>1</v>
      </c>
      <c r="BK581" s="798">
        <f t="shared" si="577"/>
        <v>1</v>
      </c>
      <c r="BL581" s="765"/>
      <c r="BM581" s="817"/>
      <c r="BN581" s="817"/>
    </row>
    <row r="582" hidden="1">
      <c r="A582" s="765"/>
      <c r="B582" s="765"/>
      <c r="C582" s="765"/>
      <c r="D582" s="765"/>
      <c r="E582" s="765"/>
      <c r="F582" s="765"/>
      <c r="G582" s="765"/>
      <c r="H582" s="765"/>
      <c r="I582" s="765">
        <f t="shared" si="17"/>
        <v>571</v>
      </c>
      <c r="J582" s="763">
        <f t="shared" si="5"/>
        <v>2.60408E+16</v>
      </c>
      <c r="K582" s="796">
        <f t="shared" si="7"/>
        <v>0.51929</v>
      </c>
      <c r="L582" s="796">
        <v>5.0E-4</v>
      </c>
      <c r="M582" s="763">
        <v>2.96930977887236E16</v>
      </c>
      <c r="N582" s="797">
        <f t="shared" si="8"/>
        <v>0</v>
      </c>
      <c r="O582" s="798">
        <f t="shared" ref="O582:BK582" si="578">FLOOR(MIN((((N("value of ELS upgrade")+N$8*($K582-$K581))*(N("Check checkbox")+(IF($G$6=TRUE,$G$7,$G$8))/$G$8))/(N("ROI of ELS and multiply by 2 if ELS is 1:1")+IF($G$12 = True, 2, 1) * $J582))/((N("difference in ELS+ and the cost of it")+(($K581*O$8)-($K581*N$8)) / O$7)),(N("MIN lets it return 0 or 1 after floored")+1)),1)</f>
        <v>0</v>
      </c>
      <c r="P582" s="798">
        <f t="shared" si="578"/>
        <v>0</v>
      </c>
      <c r="Q582" s="798">
        <f t="shared" si="578"/>
        <v>0</v>
      </c>
      <c r="R582" s="798">
        <f t="shared" si="578"/>
        <v>0</v>
      </c>
      <c r="S582" s="798">
        <f t="shared" si="578"/>
        <v>0</v>
      </c>
      <c r="T582" s="798">
        <f t="shared" si="578"/>
        <v>0</v>
      </c>
      <c r="U582" s="798">
        <f t="shared" si="578"/>
        <v>0</v>
      </c>
      <c r="V582" s="798">
        <f t="shared" si="578"/>
        <v>0</v>
      </c>
      <c r="W582" s="798">
        <f t="shared" si="578"/>
        <v>0</v>
      </c>
      <c r="X582" s="798">
        <f t="shared" si="578"/>
        <v>0</v>
      </c>
      <c r="Y582" s="798">
        <f t="shared" si="578"/>
        <v>0</v>
      </c>
      <c r="Z582" s="798">
        <f t="shared" si="578"/>
        <v>0</v>
      </c>
      <c r="AA582" s="798">
        <f t="shared" si="578"/>
        <v>0</v>
      </c>
      <c r="AB582" s="798">
        <f t="shared" si="578"/>
        <v>0</v>
      </c>
      <c r="AC582" s="798">
        <f t="shared" si="578"/>
        <v>0</v>
      </c>
      <c r="AD582" s="798">
        <f t="shared" si="578"/>
        <v>0</v>
      </c>
      <c r="AE582" s="798">
        <f t="shared" si="578"/>
        <v>0</v>
      </c>
      <c r="AF582" s="798">
        <f t="shared" si="578"/>
        <v>0</v>
      </c>
      <c r="AG582" s="798">
        <f t="shared" si="578"/>
        <v>0</v>
      </c>
      <c r="AH582" s="798">
        <f t="shared" si="578"/>
        <v>0</v>
      </c>
      <c r="AI582" s="798">
        <f t="shared" si="578"/>
        <v>0</v>
      </c>
      <c r="AJ582" s="798">
        <f t="shared" si="578"/>
        <v>0</v>
      </c>
      <c r="AK582" s="798">
        <f t="shared" si="578"/>
        <v>0</v>
      </c>
      <c r="AL582" s="798">
        <f t="shared" si="578"/>
        <v>0</v>
      </c>
      <c r="AM582" s="798">
        <f t="shared" si="578"/>
        <v>0</v>
      </c>
      <c r="AN582" s="798">
        <f t="shared" si="578"/>
        <v>0</v>
      </c>
      <c r="AO582" s="798">
        <f t="shared" si="578"/>
        <v>0</v>
      </c>
      <c r="AP582" s="798">
        <f t="shared" si="578"/>
        <v>0</v>
      </c>
      <c r="AQ582" s="798">
        <f t="shared" si="578"/>
        <v>0</v>
      </c>
      <c r="AR582" s="798">
        <f t="shared" si="578"/>
        <v>0</v>
      </c>
      <c r="AS582" s="798">
        <f t="shared" si="578"/>
        <v>0</v>
      </c>
      <c r="AT582" s="798">
        <f t="shared" si="578"/>
        <v>0</v>
      </c>
      <c r="AU582" s="798">
        <f t="shared" si="578"/>
        <v>0</v>
      </c>
      <c r="AV582" s="798">
        <f t="shared" si="578"/>
        <v>0</v>
      </c>
      <c r="AW582" s="798">
        <f t="shared" si="578"/>
        <v>1</v>
      </c>
      <c r="AX582" s="798">
        <f t="shared" si="578"/>
        <v>1</v>
      </c>
      <c r="AY582" s="798">
        <f t="shared" si="578"/>
        <v>1</v>
      </c>
      <c r="AZ582" s="798">
        <f t="shared" si="578"/>
        <v>1</v>
      </c>
      <c r="BA582" s="798">
        <f t="shared" si="578"/>
        <v>1</v>
      </c>
      <c r="BB582" s="798">
        <f t="shared" si="578"/>
        <v>1</v>
      </c>
      <c r="BC582" s="798">
        <f t="shared" si="578"/>
        <v>1</v>
      </c>
      <c r="BD582" s="798">
        <f t="shared" si="578"/>
        <v>1</v>
      </c>
      <c r="BE582" s="798">
        <f t="shared" si="578"/>
        <v>1</v>
      </c>
      <c r="BF582" s="798">
        <f t="shared" si="578"/>
        <v>1</v>
      </c>
      <c r="BG582" s="798">
        <f t="shared" si="578"/>
        <v>1</v>
      </c>
      <c r="BH582" s="798">
        <f t="shared" si="578"/>
        <v>1</v>
      </c>
      <c r="BI582" s="798">
        <f t="shared" si="578"/>
        <v>1</v>
      </c>
      <c r="BJ582" s="798">
        <f t="shared" si="578"/>
        <v>1</v>
      </c>
      <c r="BK582" s="798">
        <f t="shared" si="578"/>
        <v>1</v>
      </c>
      <c r="BL582" s="765"/>
      <c r="BM582" s="817"/>
      <c r="BN582" s="817"/>
    </row>
    <row r="583" hidden="1">
      <c r="A583" s="765"/>
      <c r="B583" s="765"/>
      <c r="C583" s="765"/>
      <c r="D583" s="765"/>
      <c r="E583" s="765"/>
      <c r="F583" s="765"/>
      <c r="G583" s="765"/>
      <c r="H583" s="765"/>
      <c r="I583" s="765">
        <f t="shared" si="17"/>
        <v>572</v>
      </c>
      <c r="J583" s="763">
        <f t="shared" si="5"/>
        <v>2.61309E+16</v>
      </c>
      <c r="K583" s="796">
        <f t="shared" si="7"/>
        <v>0.51979</v>
      </c>
      <c r="L583" s="796">
        <v>5.0E-4</v>
      </c>
      <c r="M583" s="763">
        <v>2.97958215845514E16</v>
      </c>
      <c r="N583" s="797">
        <f t="shared" si="8"/>
        <v>0</v>
      </c>
      <c r="O583" s="798">
        <f t="shared" ref="O583:BK583" si="579">FLOOR(MIN((((N("value of ELS upgrade")+N$8*($K583-$K582))*(N("Check checkbox")+(IF($G$6=TRUE,$G$7,$G$8))/$G$8))/(N("ROI of ELS and multiply by 2 if ELS is 1:1")+IF($G$12 = True, 2, 1) * $J583))/((N("difference in ELS+ and the cost of it")+(($K582*O$8)-($K582*N$8)) / O$7)),(N("MIN lets it return 0 or 1 after floored")+1)),1)</f>
        <v>0</v>
      </c>
      <c r="P583" s="798">
        <f t="shared" si="579"/>
        <v>0</v>
      </c>
      <c r="Q583" s="798">
        <f t="shared" si="579"/>
        <v>0</v>
      </c>
      <c r="R583" s="798">
        <f t="shared" si="579"/>
        <v>0</v>
      </c>
      <c r="S583" s="798">
        <f t="shared" si="579"/>
        <v>0</v>
      </c>
      <c r="T583" s="798">
        <f t="shared" si="579"/>
        <v>0</v>
      </c>
      <c r="U583" s="798">
        <f t="shared" si="579"/>
        <v>0</v>
      </c>
      <c r="V583" s="798">
        <f t="shared" si="579"/>
        <v>0</v>
      </c>
      <c r="W583" s="798">
        <f t="shared" si="579"/>
        <v>0</v>
      </c>
      <c r="X583" s="798">
        <f t="shared" si="579"/>
        <v>0</v>
      </c>
      <c r="Y583" s="798">
        <f t="shared" si="579"/>
        <v>0</v>
      </c>
      <c r="Z583" s="798">
        <f t="shared" si="579"/>
        <v>0</v>
      </c>
      <c r="AA583" s="798">
        <f t="shared" si="579"/>
        <v>0</v>
      </c>
      <c r="AB583" s="798">
        <f t="shared" si="579"/>
        <v>0</v>
      </c>
      <c r="AC583" s="798">
        <f t="shared" si="579"/>
        <v>0</v>
      </c>
      <c r="AD583" s="798">
        <f t="shared" si="579"/>
        <v>0</v>
      </c>
      <c r="AE583" s="798">
        <f t="shared" si="579"/>
        <v>0</v>
      </c>
      <c r="AF583" s="798">
        <f t="shared" si="579"/>
        <v>0</v>
      </c>
      <c r="AG583" s="798">
        <f t="shared" si="579"/>
        <v>0</v>
      </c>
      <c r="AH583" s="798">
        <f t="shared" si="579"/>
        <v>0</v>
      </c>
      <c r="AI583" s="798">
        <f t="shared" si="579"/>
        <v>0</v>
      </c>
      <c r="AJ583" s="798">
        <f t="shared" si="579"/>
        <v>0</v>
      </c>
      <c r="AK583" s="798">
        <f t="shared" si="579"/>
        <v>0</v>
      </c>
      <c r="AL583" s="798">
        <f t="shared" si="579"/>
        <v>0</v>
      </c>
      <c r="AM583" s="798">
        <f t="shared" si="579"/>
        <v>0</v>
      </c>
      <c r="AN583" s="798">
        <f t="shared" si="579"/>
        <v>0</v>
      </c>
      <c r="AO583" s="798">
        <f t="shared" si="579"/>
        <v>0</v>
      </c>
      <c r="AP583" s="798">
        <f t="shared" si="579"/>
        <v>0</v>
      </c>
      <c r="AQ583" s="798">
        <f t="shared" si="579"/>
        <v>0</v>
      </c>
      <c r="AR583" s="798">
        <f t="shared" si="579"/>
        <v>0</v>
      </c>
      <c r="AS583" s="798">
        <f t="shared" si="579"/>
        <v>0</v>
      </c>
      <c r="AT583" s="798">
        <f t="shared" si="579"/>
        <v>0</v>
      </c>
      <c r="AU583" s="798">
        <f t="shared" si="579"/>
        <v>0</v>
      </c>
      <c r="AV583" s="798">
        <f t="shared" si="579"/>
        <v>0</v>
      </c>
      <c r="AW583" s="798">
        <f t="shared" si="579"/>
        <v>1</v>
      </c>
      <c r="AX583" s="798">
        <f t="shared" si="579"/>
        <v>1</v>
      </c>
      <c r="AY583" s="798">
        <f t="shared" si="579"/>
        <v>1</v>
      </c>
      <c r="AZ583" s="798">
        <f t="shared" si="579"/>
        <v>1</v>
      </c>
      <c r="BA583" s="798">
        <f t="shared" si="579"/>
        <v>1</v>
      </c>
      <c r="BB583" s="798">
        <f t="shared" si="579"/>
        <v>1</v>
      </c>
      <c r="BC583" s="798">
        <f t="shared" si="579"/>
        <v>1</v>
      </c>
      <c r="BD583" s="798">
        <f t="shared" si="579"/>
        <v>1</v>
      </c>
      <c r="BE583" s="798">
        <f t="shared" si="579"/>
        <v>1</v>
      </c>
      <c r="BF583" s="798">
        <f t="shared" si="579"/>
        <v>1</v>
      </c>
      <c r="BG583" s="798">
        <f t="shared" si="579"/>
        <v>1</v>
      </c>
      <c r="BH583" s="798">
        <f t="shared" si="579"/>
        <v>1</v>
      </c>
      <c r="BI583" s="798">
        <f t="shared" si="579"/>
        <v>1</v>
      </c>
      <c r="BJ583" s="798">
        <f t="shared" si="579"/>
        <v>1</v>
      </c>
      <c r="BK583" s="798">
        <f t="shared" si="579"/>
        <v>1</v>
      </c>
      <c r="BL583" s="765"/>
      <c r="BM583" s="817"/>
      <c r="BN583" s="817"/>
    </row>
    <row r="584" hidden="1">
      <c r="A584" s="765"/>
      <c r="B584" s="765"/>
      <c r="C584" s="765"/>
      <c r="D584" s="765"/>
      <c r="E584" s="765"/>
      <c r="F584" s="765"/>
      <c r="G584" s="765"/>
      <c r="H584" s="765"/>
      <c r="I584" s="765">
        <f t="shared" si="17"/>
        <v>573</v>
      </c>
      <c r="J584" s="763">
        <f t="shared" si="5"/>
        <v>2.62213E+16</v>
      </c>
      <c r="K584" s="796">
        <f t="shared" si="7"/>
        <v>0.52029</v>
      </c>
      <c r="L584" s="796">
        <v>5.0E-4</v>
      </c>
      <c r="M584" s="763">
        <v>2.98988485549998E16</v>
      </c>
      <c r="N584" s="797">
        <f t="shared" si="8"/>
        <v>0</v>
      </c>
      <c r="O584" s="798">
        <f t="shared" ref="O584:BK584" si="580">FLOOR(MIN((((N("value of ELS upgrade")+N$8*($K584-$K583))*(N("Check checkbox")+(IF($G$6=TRUE,$G$7,$G$8))/$G$8))/(N("ROI of ELS and multiply by 2 if ELS is 1:1")+IF($G$12 = True, 2, 1) * $J584))/((N("difference in ELS+ and the cost of it")+(($K583*O$8)-($K583*N$8)) / O$7)),(N("MIN lets it return 0 or 1 after floored")+1)),1)</f>
        <v>0</v>
      </c>
      <c r="P584" s="798">
        <f t="shared" si="580"/>
        <v>0</v>
      </c>
      <c r="Q584" s="798">
        <f t="shared" si="580"/>
        <v>0</v>
      </c>
      <c r="R584" s="798">
        <f t="shared" si="580"/>
        <v>0</v>
      </c>
      <c r="S584" s="798">
        <f t="shared" si="580"/>
        <v>0</v>
      </c>
      <c r="T584" s="798">
        <f t="shared" si="580"/>
        <v>0</v>
      </c>
      <c r="U584" s="798">
        <f t="shared" si="580"/>
        <v>0</v>
      </c>
      <c r="V584" s="798">
        <f t="shared" si="580"/>
        <v>0</v>
      </c>
      <c r="W584" s="798">
        <f t="shared" si="580"/>
        <v>0</v>
      </c>
      <c r="X584" s="798">
        <f t="shared" si="580"/>
        <v>0</v>
      </c>
      <c r="Y584" s="798">
        <f t="shared" si="580"/>
        <v>0</v>
      </c>
      <c r="Z584" s="798">
        <f t="shared" si="580"/>
        <v>0</v>
      </c>
      <c r="AA584" s="798">
        <f t="shared" si="580"/>
        <v>0</v>
      </c>
      <c r="AB584" s="798">
        <f t="shared" si="580"/>
        <v>0</v>
      </c>
      <c r="AC584" s="798">
        <f t="shared" si="580"/>
        <v>0</v>
      </c>
      <c r="AD584" s="798">
        <f t="shared" si="580"/>
        <v>0</v>
      </c>
      <c r="AE584" s="798">
        <f t="shared" si="580"/>
        <v>0</v>
      </c>
      <c r="AF584" s="798">
        <f t="shared" si="580"/>
        <v>0</v>
      </c>
      <c r="AG584" s="798">
        <f t="shared" si="580"/>
        <v>0</v>
      </c>
      <c r="AH584" s="798">
        <f t="shared" si="580"/>
        <v>0</v>
      </c>
      <c r="AI584" s="798">
        <f t="shared" si="580"/>
        <v>0</v>
      </c>
      <c r="AJ584" s="798">
        <f t="shared" si="580"/>
        <v>0</v>
      </c>
      <c r="AK584" s="798">
        <f t="shared" si="580"/>
        <v>0</v>
      </c>
      <c r="AL584" s="798">
        <f t="shared" si="580"/>
        <v>0</v>
      </c>
      <c r="AM584" s="798">
        <f t="shared" si="580"/>
        <v>0</v>
      </c>
      <c r="AN584" s="798">
        <f t="shared" si="580"/>
        <v>0</v>
      </c>
      <c r="AO584" s="798">
        <f t="shared" si="580"/>
        <v>0</v>
      </c>
      <c r="AP584" s="798">
        <f t="shared" si="580"/>
        <v>0</v>
      </c>
      <c r="AQ584" s="798">
        <f t="shared" si="580"/>
        <v>0</v>
      </c>
      <c r="AR584" s="798">
        <f t="shared" si="580"/>
        <v>0</v>
      </c>
      <c r="AS584" s="798">
        <f t="shared" si="580"/>
        <v>0</v>
      </c>
      <c r="AT584" s="798">
        <f t="shared" si="580"/>
        <v>0</v>
      </c>
      <c r="AU584" s="798">
        <f t="shared" si="580"/>
        <v>0</v>
      </c>
      <c r="AV584" s="798">
        <f t="shared" si="580"/>
        <v>0</v>
      </c>
      <c r="AW584" s="798">
        <f t="shared" si="580"/>
        <v>1</v>
      </c>
      <c r="AX584" s="798">
        <f t="shared" si="580"/>
        <v>1</v>
      </c>
      <c r="AY584" s="798">
        <f t="shared" si="580"/>
        <v>1</v>
      </c>
      <c r="AZ584" s="798">
        <f t="shared" si="580"/>
        <v>1</v>
      </c>
      <c r="BA584" s="798">
        <f t="shared" si="580"/>
        <v>1</v>
      </c>
      <c r="BB584" s="798">
        <f t="shared" si="580"/>
        <v>1</v>
      </c>
      <c r="BC584" s="798">
        <f t="shared" si="580"/>
        <v>1</v>
      </c>
      <c r="BD584" s="798">
        <f t="shared" si="580"/>
        <v>1</v>
      </c>
      <c r="BE584" s="798">
        <f t="shared" si="580"/>
        <v>1</v>
      </c>
      <c r="BF584" s="798">
        <f t="shared" si="580"/>
        <v>1</v>
      </c>
      <c r="BG584" s="798">
        <f t="shared" si="580"/>
        <v>1</v>
      </c>
      <c r="BH584" s="798">
        <f t="shared" si="580"/>
        <v>1</v>
      </c>
      <c r="BI584" s="798">
        <f t="shared" si="580"/>
        <v>1</v>
      </c>
      <c r="BJ584" s="798">
        <f t="shared" si="580"/>
        <v>1</v>
      </c>
      <c r="BK584" s="798">
        <f t="shared" si="580"/>
        <v>1</v>
      </c>
      <c r="BL584" s="765"/>
      <c r="BM584" s="817"/>
      <c r="BN584" s="817"/>
    </row>
    <row r="585" hidden="1">
      <c r="A585" s="765"/>
      <c r="B585" s="765"/>
      <c r="C585" s="765"/>
      <c r="D585" s="765"/>
      <c r="E585" s="765"/>
      <c r="F585" s="765"/>
      <c r="G585" s="765"/>
      <c r="H585" s="765"/>
      <c r="I585" s="765">
        <f t="shared" si="17"/>
        <v>574</v>
      </c>
      <c r="J585" s="763">
        <f t="shared" si="5"/>
        <v>2.63119E+16</v>
      </c>
      <c r="K585" s="796">
        <f t="shared" si="7"/>
        <v>0.52079</v>
      </c>
      <c r="L585" s="796">
        <v>5.0E-4</v>
      </c>
      <c r="M585" s="763">
        <v>3.00021787000688E16</v>
      </c>
      <c r="N585" s="797">
        <f t="shared" si="8"/>
        <v>0</v>
      </c>
      <c r="O585" s="798">
        <f t="shared" ref="O585:BK585" si="581">FLOOR(MIN((((N("value of ELS upgrade")+N$8*($K585-$K584))*(N("Check checkbox")+(IF($G$6=TRUE,$G$7,$G$8))/$G$8))/(N("ROI of ELS and multiply by 2 if ELS is 1:1")+IF($G$12 = True, 2, 1) * $J585))/((N("difference in ELS+ and the cost of it")+(($K584*O$8)-($K584*N$8)) / O$7)),(N("MIN lets it return 0 or 1 after floored")+1)),1)</f>
        <v>0</v>
      </c>
      <c r="P585" s="798">
        <f t="shared" si="581"/>
        <v>0</v>
      </c>
      <c r="Q585" s="798">
        <f t="shared" si="581"/>
        <v>0</v>
      </c>
      <c r="R585" s="798">
        <f t="shared" si="581"/>
        <v>0</v>
      </c>
      <c r="S585" s="798">
        <f t="shared" si="581"/>
        <v>0</v>
      </c>
      <c r="T585" s="798">
        <f t="shared" si="581"/>
        <v>0</v>
      </c>
      <c r="U585" s="798">
        <f t="shared" si="581"/>
        <v>0</v>
      </c>
      <c r="V585" s="798">
        <f t="shared" si="581"/>
        <v>0</v>
      </c>
      <c r="W585" s="798">
        <f t="shared" si="581"/>
        <v>0</v>
      </c>
      <c r="X585" s="798">
        <f t="shared" si="581"/>
        <v>0</v>
      </c>
      <c r="Y585" s="798">
        <f t="shared" si="581"/>
        <v>0</v>
      </c>
      <c r="Z585" s="798">
        <f t="shared" si="581"/>
        <v>0</v>
      </c>
      <c r="AA585" s="798">
        <f t="shared" si="581"/>
        <v>0</v>
      </c>
      <c r="AB585" s="798">
        <f t="shared" si="581"/>
        <v>0</v>
      </c>
      <c r="AC585" s="798">
        <f t="shared" si="581"/>
        <v>0</v>
      </c>
      <c r="AD585" s="798">
        <f t="shared" si="581"/>
        <v>0</v>
      </c>
      <c r="AE585" s="798">
        <f t="shared" si="581"/>
        <v>0</v>
      </c>
      <c r="AF585" s="798">
        <f t="shared" si="581"/>
        <v>0</v>
      </c>
      <c r="AG585" s="798">
        <f t="shared" si="581"/>
        <v>0</v>
      </c>
      <c r="AH585" s="798">
        <f t="shared" si="581"/>
        <v>0</v>
      </c>
      <c r="AI585" s="798">
        <f t="shared" si="581"/>
        <v>0</v>
      </c>
      <c r="AJ585" s="798">
        <f t="shared" si="581"/>
        <v>0</v>
      </c>
      <c r="AK585" s="798">
        <f t="shared" si="581"/>
        <v>0</v>
      </c>
      <c r="AL585" s="798">
        <f t="shared" si="581"/>
        <v>0</v>
      </c>
      <c r="AM585" s="798">
        <f t="shared" si="581"/>
        <v>0</v>
      </c>
      <c r="AN585" s="798">
        <f t="shared" si="581"/>
        <v>0</v>
      </c>
      <c r="AO585" s="798">
        <f t="shared" si="581"/>
        <v>0</v>
      </c>
      <c r="AP585" s="798">
        <f t="shared" si="581"/>
        <v>0</v>
      </c>
      <c r="AQ585" s="798">
        <f t="shared" si="581"/>
        <v>0</v>
      </c>
      <c r="AR585" s="798">
        <f t="shared" si="581"/>
        <v>0</v>
      </c>
      <c r="AS585" s="798">
        <f t="shared" si="581"/>
        <v>0</v>
      </c>
      <c r="AT585" s="798">
        <f t="shared" si="581"/>
        <v>0</v>
      </c>
      <c r="AU585" s="798">
        <f t="shared" si="581"/>
        <v>0</v>
      </c>
      <c r="AV585" s="798">
        <f t="shared" si="581"/>
        <v>0</v>
      </c>
      <c r="AW585" s="798">
        <f t="shared" si="581"/>
        <v>1</v>
      </c>
      <c r="AX585" s="798">
        <f t="shared" si="581"/>
        <v>1</v>
      </c>
      <c r="AY585" s="798">
        <f t="shared" si="581"/>
        <v>1</v>
      </c>
      <c r="AZ585" s="798">
        <f t="shared" si="581"/>
        <v>1</v>
      </c>
      <c r="BA585" s="798">
        <f t="shared" si="581"/>
        <v>1</v>
      </c>
      <c r="BB585" s="798">
        <f t="shared" si="581"/>
        <v>1</v>
      </c>
      <c r="BC585" s="798">
        <f t="shared" si="581"/>
        <v>1</v>
      </c>
      <c r="BD585" s="798">
        <f t="shared" si="581"/>
        <v>1</v>
      </c>
      <c r="BE585" s="798">
        <f t="shared" si="581"/>
        <v>1</v>
      </c>
      <c r="BF585" s="798">
        <f t="shared" si="581"/>
        <v>1</v>
      </c>
      <c r="BG585" s="798">
        <f t="shared" si="581"/>
        <v>1</v>
      </c>
      <c r="BH585" s="798">
        <f t="shared" si="581"/>
        <v>1</v>
      </c>
      <c r="BI585" s="798">
        <f t="shared" si="581"/>
        <v>1</v>
      </c>
      <c r="BJ585" s="798">
        <f t="shared" si="581"/>
        <v>1</v>
      </c>
      <c r="BK585" s="798">
        <f t="shared" si="581"/>
        <v>1</v>
      </c>
      <c r="BL585" s="765"/>
      <c r="BM585" s="817"/>
      <c r="BN585" s="817"/>
    </row>
    <row r="586" hidden="1">
      <c r="A586" s="765"/>
      <c r="B586" s="765"/>
      <c r="C586" s="765"/>
      <c r="D586" s="765"/>
      <c r="E586" s="765"/>
      <c r="F586" s="765"/>
      <c r="G586" s="765"/>
      <c r="H586" s="765"/>
      <c r="I586" s="765">
        <f t="shared" si="17"/>
        <v>575</v>
      </c>
      <c r="J586" s="763">
        <f t="shared" si="5"/>
        <v>2.64028E+16</v>
      </c>
      <c r="K586" s="796">
        <f t="shared" si="7"/>
        <v>0.52129</v>
      </c>
      <c r="L586" s="796">
        <v>5.0E-4</v>
      </c>
      <c r="M586" s="763">
        <v>3.01058138912067E16</v>
      </c>
      <c r="N586" s="797">
        <f t="shared" si="8"/>
        <v>0</v>
      </c>
      <c r="O586" s="798">
        <f t="shared" ref="O586:BK586" si="582">FLOOR(MIN((((N("value of ELS upgrade")+N$8*($K586-$K585))*(N("Check checkbox")+(IF($G$6=TRUE,$G$7,$G$8))/$G$8))/(N("ROI of ELS and multiply by 2 if ELS is 1:1")+IF($G$12 = True, 2, 1) * $J586))/((N("difference in ELS+ and the cost of it")+(($K585*O$8)-($K585*N$8)) / O$7)),(N("MIN lets it return 0 or 1 after floored")+1)),1)</f>
        <v>0</v>
      </c>
      <c r="P586" s="798">
        <f t="shared" si="582"/>
        <v>0</v>
      </c>
      <c r="Q586" s="798">
        <f t="shared" si="582"/>
        <v>0</v>
      </c>
      <c r="R586" s="798">
        <f t="shared" si="582"/>
        <v>0</v>
      </c>
      <c r="S586" s="798">
        <f t="shared" si="582"/>
        <v>0</v>
      </c>
      <c r="T586" s="798">
        <f t="shared" si="582"/>
        <v>0</v>
      </c>
      <c r="U586" s="798">
        <f t="shared" si="582"/>
        <v>0</v>
      </c>
      <c r="V586" s="798">
        <f t="shared" si="582"/>
        <v>0</v>
      </c>
      <c r="W586" s="798">
        <f t="shared" si="582"/>
        <v>0</v>
      </c>
      <c r="X586" s="798">
        <f t="shared" si="582"/>
        <v>0</v>
      </c>
      <c r="Y586" s="798">
        <f t="shared" si="582"/>
        <v>0</v>
      </c>
      <c r="Z586" s="798">
        <f t="shared" si="582"/>
        <v>0</v>
      </c>
      <c r="AA586" s="798">
        <f t="shared" si="582"/>
        <v>0</v>
      </c>
      <c r="AB586" s="798">
        <f t="shared" si="582"/>
        <v>0</v>
      </c>
      <c r="AC586" s="798">
        <f t="shared" si="582"/>
        <v>0</v>
      </c>
      <c r="AD586" s="798">
        <f t="shared" si="582"/>
        <v>0</v>
      </c>
      <c r="AE586" s="798">
        <f t="shared" si="582"/>
        <v>0</v>
      </c>
      <c r="AF586" s="798">
        <f t="shared" si="582"/>
        <v>0</v>
      </c>
      <c r="AG586" s="798">
        <f t="shared" si="582"/>
        <v>0</v>
      </c>
      <c r="AH586" s="798">
        <f t="shared" si="582"/>
        <v>0</v>
      </c>
      <c r="AI586" s="798">
        <f t="shared" si="582"/>
        <v>0</v>
      </c>
      <c r="AJ586" s="798">
        <f t="shared" si="582"/>
        <v>0</v>
      </c>
      <c r="AK586" s="798">
        <f t="shared" si="582"/>
        <v>0</v>
      </c>
      <c r="AL586" s="798">
        <f t="shared" si="582"/>
        <v>0</v>
      </c>
      <c r="AM586" s="798">
        <f t="shared" si="582"/>
        <v>0</v>
      </c>
      <c r="AN586" s="798">
        <f t="shared" si="582"/>
        <v>0</v>
      </c>
      <c r="AO586" s="798">
        <f t="shared" si="582"/>
        <v>0</v>
      </c>
      <c r="AP586" s="798">
        <f t="shared" si="582"/>
        <v>0</v>
      </c>
      <c r="AQ586" s="798">
        <f t="shared" si="582"/>
        <v>0</v>
      </c>
      <c r="AR586" s="798">
        <f t="shared" si="582"/>
        <v>0</v>
      </c>
      <c r="AS586" s="798">
        <f t="shared" si="582"/>
        <v>0</v>
      </c>
      <c r="AT586" s="798">
        <f t="shared" si="582"/>
        <v>0</v>
      </c>
      <c r="AU586" s="798">
        <f t="shared" si="582"/>
        <v>0</v>
      </c>
      <c r="AV586" s="798">
        <f t="shared" si="582"/>
        <v>0</v>
      </c>
      <c r="AW586" s="798">
        <f t="shared" si="582"/>
        <v>1</v>
      </c>
      <c r="AX586" s="798">
        <f t="shared" si="582"/>
        <v>1</v>
      </c>
      <c r="AY586" s="798">
        <f t="shared" si="582"/>
        <v>1</v>
      </c>
      <c r="AZ586" s="798">
        <f t="shared" si="582"/>
        <v>1</v>
      </c>
      <c r="BA586" s="798">
        <f t="shared" si="582"/>
        <v>1</v>
      </c>
      <c r="BB586" s="798">
        <f t="shared" si="582"/>
        <v>1</v>
      </c>
      <c r="BC586" s="798">
        <f t="shared" si="582"/>
        <v>1</v>
      </c>
      <c r="BD586" s="798">
        <f t="shared" si="582"/>
        <v>1</v>
      </c>
      <c r="BE586" s="798">
        <f t="shared" si="582"/>
        <v>1</v>
      </c>
      <c r="BF586" s="798">
        <f t="shared" si="582"/>
        <v>1</v>
      </c>
      <c r="BG586" s="798">
        <f t="shared" si="582"/>
        <v>1</v>
      </c>
      <c r="BH586" s="798">
        <f t="shared" si="582"/>
        <v>1</v>
      </c>
      <c r="BI586" s="798">
        <f t="shared" si="582"/>
        <v>1</v>
      </c>
      <c r="BJ586" s="798">
        <f t="shared" si="582"/>
        <v>1</v>
      </c>
      <c r="BK586" s="798">
        <f t="shared" si="582"/>
        <v>1</v>
      </c>
      <c r="BL586" s="765"/>
      <c r="BM586" s="817"/>
      <c r="BN586" s="817"/>
    </row>
    <row r="587" hidden="1">
      <c r="A587" s="765"/>
      <c r="B587" s="765"/>
      <c r="C587" s="765"/>
      <c r="D587" s="765"/>
      <c r="E587" s="765"/>
      <c r="F587" s="765"/>
      <c r="G587" s="765"/>
      <c r="H587" s="765"/>
      <c r="I587" s="765">
        <f t="shared" si="17"/>
        <v>576</v>
      </c>
      <c r="J587" s="763">
        <f t="shared" si="5"/>
        <v>2.6494E+16</v>
      </c>
      <c r="K587" s="796">
        <f t="shared" si="7"/>
        <v>0.52179</v>
      </c>
      <c r="L587" s="796">
        <v>5.0E-4</v>
      </c>
      <c r="M587" s="763">
        <v>3.02097541284134E16</v>
      </c>
      <c r="N587" s="797">
        <f t="shared" si="8"/>
        <v>0</v>
      </c>
      <c r="O587" s="798">
        <f t="shared" ref="O587:BK587" si="583">FLOOR(MIN((((N("value of ELS upgrade")+N$8*($K587-$K586))*(N("Check checkbox")+(IF($G$6=TRUE,$G$7,$G$8))/$G$8))/(N("ROI of ELS and multiply by 2 if ELS is 1:1")+IF($G$12 = True, 2, 1) * $J587))/((N("difference in ELS+ and the cost of it")+(($K586*O$8)-($K586*N$8)) / O$7)),(N("MIN lets it return 0 or 1 after floored")+1)),1)</f>
        <v>0</v>
      </c>
      <c r="P587" s="798">
        <f t="shared" si="583"/>
        <v>0</v>
      </c>
      <c r="Q587" s="798">
        <f t="shared" si="583"/>
        <v>0</v>
      </c>
      <c r="R587" s="798">
        <f t="shared" si="583"/>
        <v>0</v>
      </c>
      <c r="S587" s="798">
        <f t="shared" si="583"/>
        <v>0</v>
      </c>
      <c r="T587" s="798">
        <f t="shared" si="583"/>
        <v>0</v>
      </c>
      <c r="U587" s="798">
        <f t="shared" si="583"/>
        <v>0</v>
      </c>
      <c r="V587" s="798">
        <f t="shared" si="583"/>
        <v>0</v>
      </c>
      <c r="W587" s="798">
        <f t="shared" si="583"/>
        <v>0</v>
      </c>
      <c r="X587" s="798">
        <f t="shared" si="583"/>
        <v>0</v>
      </c>
      <c r="Y587" s="798">
        <f t="shared" si="583"/>
        <v>0</v>
      </c>
      <c r="Z587" s="798">
        <f t="shared" si="583"/>
        <v>0</v>
      </c>
      <c r="AA587" s="798">
        <f t="shared" si="583"/>
        <v>0</v>
      </c>
      <c r="AB587" s="798">
        <f t="shared" si="583"/>
        <v>0</v>
      </c>
      <c r="AC587" s="798">
        <f t="shared" si="583"/>
        <v>0</v>
      </c>
      <c r="AD587" s="798">
        <f t="shared" si="583"/>
        <v>0</v>
      </c>
      <c r="AE587" s="798">
        <f t="shared" si="583"/>
        <v>0</v>
      </c>
      <c r="AF587" s="798">
        <f t="shared" si="583"/>
        <v>0</v>
      </c>
      <c r="AG587" s="798">
        <f t="shared" si="583"/>
        <v>0</v>
      </c>
      <c r="AH587" s="798">
        <f t="shared" si="583"/>
        <v>0</v>
      </c>
      <c r="AI587" s="798">
        <f t="shared" si="583"/>
        <v>0</v>
      </c>
      <c r="AJ587" s="798">
        <f t="shared" si="583"/>
        <v>0</v>
      </c>
      <c r="AK587" s="798">
        <f t="shared" si="583"/>
        <v>0</v>
      </c>
      <c r="AL587" s="798">
        <f t="shared" si="583"/>
        <v>0</v>
      </c>
      <c r="AM587" s="798">
        <f t="shared" si="583"/>
        <v>0</v>
      </c>
      <c r="AN587" s="798">
        <f t="shared" si="583"/>
        <v>0</v>
      </c>
      <c r="AO587" s="798">
        <f t="shared" si="583"/>
        <v>0</v>
      </c>
      <c r="AP587" s="798">
        <f t="shared" si="583"/>
        <v>0</v>
      </c>
      <c r="AQ587" s="798">
        <f t="shared" si="583"/>
        <v>0</v>
      </c>
      <c r="AR587" s="798">
        <f t="shared" si="583"/>
        <v>0</v>
      </c>
      <c r="AS587" s="798">
        <f t="shared" si="583"/>
        <v>0</v>
      </c>
      <c r="AT587" s="798">
        <f t="shared" si="583"/>
        <v>0</v>
      </c>
      <c r="AU587" s="798">
        <f t="shared" si="583"/>
        <v>0</v>
      </c>
      <c r="AV587" s="798">
        <f t="shared" si="583"/>
        <v>0</v>
      </c>
      <c r="AW587" s="798">
        <f t="shared" si="583"/>
        <v>1</v>
      </c>
      <c r="AX587" s="798">
        <f t="shared" si="583"/>
        <v>1</v>
      </c>
      <c r="AY587" s="798">
        <f t="shared" si="583"/>
        <v>1</v>
      </c>
      <c r="AZ587" s="798">
        <f t="shared" si="583"/>
        <v>1</v>
      </c>
      <c r="BA587" s="798">
        <f t="shared" si="583"/>
        <v>1</v>
      </c>
      <c r="BB587" s="798">
        <f t="shared" si="583"/>
        <v>1</v>
      </c>
      <c r="BC587" s="798">
        <f t="shared" si="583"/>
        <v>1</v>
      </c>
      <c r="BD587" s="798">
        <f t="shared" si="583"/>
        <v>1</v>
      </c>
      <c r="BE587" s="798">
        <f t="shared" si="583"/>
        <v>1</v>
      </c>
      <c r="BF587" s="798">
        <f t="shared" si="583"/>
        <v>1</v>
      </c>
      <c r="BG587" s="798">
        <f t="shared" si="583"/>
        <v>1</v>
      </c>
      <c r="BH587" s="798">
        <f t="shared" si="583"/>
        <v>1</v>
      </c>
      <c r="BI587" s="798">
        <f t="shared" si="583"/>
        <v>1</v>
      </c>
      <c r="BJ587" s="798">
        <f t="shared" si="583"/>
        <v>1</v>
      </c>
      <c r="BK587" s="798">
        <f t="shared" si="583"/>
        <v>1</v>
      </c>
      <c r="BL587" s="765"/>
      <c r="BM587" s="817"/>
      <c r="BN587" s="817"/>
    </row>
    <row r="588" hidden="1">
      <c r="A588" s="765"/>
      <c r="B588" s="765"/>
      <c r="C588" s="765"/>
      <c r="D588" s="765"/>
      <c r="E588" s="765"/>
      <c r="F588" s="765"/>
      <c r="G588" s="765"/>
      <c r="H588" s="765"/>
      <c r="I588" s="765">
        <f t="shared" si="17"/>
        <v>577</v>
      </c>
      <c r="J588" s="763">
        <f t="shared" si="5"/>
        <v>2.65854E+16</v>
      </c>
      <c r="K588" s="796">
        <f t="shared" si="7"/>
        <v>0.52229</v>
      </c>
      <c r="L588" s="796">
        <v>5.0E-4</v>
      </c>
      <c r="M588" s="763">
        <v>3.03140003474131E16</v>
      </c>
      <c r="N588" s="797">
        <f t="shared" si="8"/>
        <v>0</v>
      </c>
      <c r="O588" s="798">
        <f t="shared" ref="O588:BK588" si="584">FLOOR(MIN((((N("value of ELS upgrade")+N$8*($K588-$K587))*(N("Check checkbox")+(IF($G$6=TRUE,$G$7,$G$8))/$G$8))/(N("ROI of ELS and multiply by 2 if ELS is 1:1")+IF($G$12 = True, 2, 1) * $J588))/((N("difference in ELS+ and the cost of it")+(($K587*O$8)-($K587*N$8)) / O$7)),(N("MIN lets it return 0 or 1 after floored")+1)),1)</f>
        <v>0</v>
      </c>
      <c r="P588" s="798">
        <f t="shared" si="584"/>
        <v>0</v>
      </c>
      <c r="Q588" s="798">
        <f t="shared" si="584"/>
        <v>0</v>
      </c>
      <c r="R588" s="798">
        <f t="shared" si="584"/>
        <v>0</v>
      </c>
      <c r="S588" s="798">
        <f t="shared" si="584"/>
        <v>0</v>
      </c>
      <c r="T588" s="798">
        <f t="shared" si="584"/>
        <v>0</v>
      </c>
      <c r="U588" s="798">
        <f t="shared" si="584"/>
        <v>0</v>
      </c>
      <c r="V588" s="798">
        <f t="shared" si="584"/>
        <v>0</v>
      </c>
      <c r="W588" s="798">
        <f t="shared" si="584"/>
        <v>0</v>
      </c>
      <c r="X588" s="798">
        <f t="shared" si="584"/>
        <v>0</v>
      </c>
      <c r="Y588" s="798">
        <f t="shared" si="584"/>
        <v>0</v>
      </c>
      <c r="Z588" s="798">
        <f t="shared" si="584"/>
        <v>0</v>
      </c>
      <c r="AA588" s="798">
        <f t="shared" si="584"/>
        <v>0</v>
      </c>
      <c r="AB588" s="798">
        <f t="shared" si="584"/>
        <v>0</v>
      </c>
      <c r="AC588" s="798">
        <f t="shared" si="584"/>
        <v>0</v>
      </c>
      <c r="AD588" s="798">
        <f t="shared" si="584"/>
        <v>0</v>
      </c>
      <c r="AE588" s="798">
        <f t="shared" si="584"/>
        <v>0</v>
      </c>
      <c r="AF588" s="798">
        <f t="shared" si="584"/>
        <v>0</v>
      </c>
      <c r="AG588" s="798">
        <f t="shared" si="584"/>
        <v>0</v>
      </c>
      <c r="AH588" s="798">
        <f t="shared" si="584"/>
        <v>0</v>
      </c>
      <c r="AI588" s="798">
        <f t="shared" si="584"/>
        <v>0</v>
      </c>
      <c r="AJ588" s="798">
        <f t="shared" si="584"/>
        <v>0</v>
      </c>
      <c r="AK588" s="798">
        <f t="shared" si="584"/>
        <v>0</v>
      </c>
      <c r="AL588" s="798">
        <f t="shared" si="584"/>
        <v>0</v>
      </c>
      <c r="AM588" s="798">
        <f t="shared" si="584"/>
        <v>0</v>
      </c>
      <c r="AN588" s="798">
        <f t="shared" si="584"/>
        <v>0</v>
      </c>
      <c r="AO588" s="798">
        <f t="shared" si="584"/>
        <v>0</v>
      </c>
      <c r="AP588" s="798">
        <f t="shared" si="584"/>
        <v>0</v>
      </c>
      <c r="AQ588" s="798">
        <f t="shared" si="584"/>
        <v>0</v>
      </c>
      <c r="AR588" s="798">
        <f t="shared" si="584"/>
        <v>0</v>
      </c>
      <c r="AS588" s="798">
        <f t="shared" si="584"/>
        <v>0</v>
      </c>
      <c r="AT588" s="798">
        <f t="shared" si="584"/>
        <v>0</v>
      </c>
      <c r="AU588" s="798">
        <f t="shared" si="584"/>
        <v>0</v>
      </c>
      <c r="AV588" s="798">
        <f t="shared" si="584"/>
        <v>0</v>
      </c>
      <c r="AW588" s="798">
        <f t="shared" si="584"/>
        <v>1</v>
      </c>
      <c r="AX588" s="798">
        <f t="shared" si="584"/>
        <v>1</v>
      </c>
      <c r="AY588" s="798">
        <f t="shared" si="584"/>
        <v>1</v>
      </c>
      <c r="AZ588" s="798">
        <f t="shared" si="584"/>
        <v>1</v>
      </c>
      <c r="BA588" s="798">
        <f t="shared" si="584"/>
        <v>1</v>
      </c>
      <c r="BB588" s="798">
        <f t="shared" si="584"/>
        <v>1</v>
      </c>
      <c r="BC588" s="798">
        <f t="shared" si="584"/>
        <v>1</v>
      </c>
      <c r="BD588" s="798">
        <f t="shared" si="584"/>
        <v>1</v>
      </c>
      <c r="BE588" s="798">
        <f t="shared" si="584"/>
        <v>1</v>
      </c>
      <c r="BF588" s="798">
        <f t="shared" si="584"/>
        <v>1</v>
      </c>
      <c r="BG588" s="798">
        <f t="shared" si="584"/>
        <v>1</v>
      </c>
      <c r="BH588" s="798">
        <f t="shared" si="584"/>
        <v>1</v>
      </c>
      <c r="BI588" s="798">
        <f t="shared" si="584"/>
        <v>1</v>
      </c>
      <c r="BJ588" s="798">
        <f t="shared" si="584"/>
        <v>1</v>
      </c>
      <c r="BK588" s="798">
        <f t="shared" si="584"/>
        <v>1</v>
      </c>
      <c r="BL588" s="765"/>
      <c r="BM588" s="817"/>
      <c r="BN588" s="817"/>
    </row>
    <row r="589" hidden="1">
      <c r="A589" s="765"/>
      <c r="B589" s="765"/>
      <c r="C589" s="765"/>
      <c r="D589" s="765"/>
      <c r="E589" s="765"/>
      <c r="F589" s="765"/>
      <c r="G589" s="765"/>
      <c r="H589" s="765"/>
      <c r="I589" s="765">
        <f t="shared" si="17"/>
        <v>578</v>
      </c>
      <c r="J589" s="763">
        <f t="shared" si="5"/>
        <v>2.66771E+16</v>
      </c>
      <c r="K589" s="796">
        <f t="shared" si="7"/>
        <v>0.52279</v>
      </c>
      <c r="L589" s="796">
        <v>5.0E-4</v>
      </c>
      <c r="M589" s="763">
        <v>3.041855348393E16</v>
      </c>
      <c r="N589" s="797">
        <f t="shared" si="8"/>
        <v>0</v>
      </c>
      <c r="O589" s="798">
        <f t="shared" ref="O589:BK589" si="585">FLOOR(MIN((((N("value of ELS upgrade")+N$8*($K589-$K588))*(N("Check checkbox")+(IF($G$6=TRUE,$G$7,$G$8))/$G$8))/(N("ROI of ELS and multiply by 2 if ELS is 1:1")+IF($G$12 = True, 2, 1) * $J589))/((N("difference in ELS+ and the cost of it")+(($K588*O$8)-($K588*N$8)) / O$7)),(N("MIN lets it return 0 or 1 after floored")+1)),1)</f>
        <v>0</v>
      </c>
      <c r="P589" s="798">
        <f t="shared" si="585"/>
        <v>0</v>
      </c>
      <c r="Q589" s="798">
        <f t="shared" si="585"/>
        <v>0</v>
      </c>
      <c r="R589" s="798">
        <f t="shared" si="585"/>
        <v>0</v>
      </c>
      <c r="S589" s="798">
        <f t="shared" si="585"/>
        <v>0</v>
      </c>
      <c r="T589" s="798">
        <f t="shared" si="585"/>
        <v>0</v>
      </c>
      <c r="U589" s="798">
        <f t="shared" si="585"/>
        <v>0</v>
      </c>
      <c r="V589" s="798">
        <f t="shared" si="585"/>
        <v>0</v>
      </c>
      <c r="W589" s="798">
        <f t="shared" si="585"/>
        <v>0</v>
      </c>
      <c r="X589" s="798">
        <f t="shared" si="585"/>
        <v>0</v>
      </c>
      <c r="Y589" s="798">
        <f t="shared" si="585"/>
        <v>0</v>
      </c>
      <c r="Z589" s="798">
        <f t="shared" si="585"/>
        <v>0</v>
      </c>
      <c r="AA589" s="798">
        <f t="shared" si="585"/>
        <v>0</v>
      </c>
      <c r="AB589" s="798">
        <f t="shared" si="585"/>
        <v>0</v>
      </c>
      <c r="AC589" s="798">
        <f t="shared" si="585"/>
        <v>0</v>
      </c>
      <c r="AD589" s="798">
        <f t="shared" si="585"/>
        <v>0</v>
      </c>
      <c r="AE589" s="798">
        <f t="shared" si="585"/>
        <v>0</v>
      </c>
      <c r="AF589" s="798">
        <f t="shared" si="585"/>
        <v>0</v>
      </c>
      <c r="AG589" s="798">
        <f t="shared" si="585"/>
        <v>0</v>
      </c>
      <c r="AH589" s="798">
        <f t="shared" si="585"/>
        <v>0</v>
      </c>
      <c r="AI589" s="798">
        <f t="shared" si="585"/>
        <v>0</v>
      </c>
      <c r="AJ589" s="798">
        <f t="shared" si="585"/>
        <v>0</v>
      </c>
      <c r="AK589" s="798">
        <f t="shared" si="585"/>
        <v>0</v>
      </c>
      <c r="AL589" s="798">
        <f t="shared" si="585"/>
        <v>0</v>
      </c>
      <c r="AM589" s="798">
        <f t="shared" si="585"/>
        <v>0</v>
      </c>
      <c r="AN589" s="798">
        <f t="shared" si="585"/>
        <v>0</v>
      </c>
      <c r="AO589" s="798">
        <f t="shared" si="585"/>
        <v>0</v>
      </c>
      <c r="AP589" s="798">
        <f t="shared" si="585"/>
        <v>0</v>
      </c>
      <c r="AQ589" s="798">
        <f t="shared" si="585"/>
        <v>0</v>
      </c>
      <c r="AR589" s="798">
        <f t="shared" si="585"/>
        <v>0</v>
      </c>
      <c r="AS589" s="798">
        <f t="shared" si="585"/>
        <v>0</v>
      </c>
      <c r="AT589" s="798">
        <f t="shared" si="585"/>
        <v>0</v>
      </c>
      <c r="AU589" s="798">
        <f t="shared" si="585"/>
        <v>0</v>
      </c>
      <c r="AV589" s="798">
        <f t="shared" si="585"/>
        <v>0</v>
      </c>
      <c r="AW589" s="798">
        <f t="shared" si="585"/>
        <v>1</v>
      </c>
      <c r="AX589" s="798">
        <f t="shared" si="585"/>
        <v>1</v>
      </c>
      <c r="AY589" s="798">
        <f t="shared" si="585"/>
        <v>1</v>
      </c>
      <c r="AZ589" s="798">
        <f t="shared" si="585"/>
        <v>1</v>
      </c>
      <c r="BA589" s="798">
        <f t="shared" si="585"/>
        <v>1</v>
      </c>
      <c r="BB589" s="798">
        <f t="shared" si="585"/>
        <v>1</v>
      </c>
      <c r="BC589" s="798">
        <f t="shared" si="585"/>
        <v>1</v>
      </c>
      <c r="BD589" s="798">
        <f t="shared" si="585"/>
        <v>1</v>
      </c>
      <c r="BE589" s="798">
        <f t="shared" si="585"/>
        <v>1</v>
      </c>
      <c r="BF589" s="798">
        <f t="shared" si="585"/>
        <v>1</v>
      </c>
      <c r="BG589" s="798">
        <f t="shared" si="585"/>
        <v>1</v>
      </c>
      <c r="BH589" s="798">
        <f t="shared" si="585"/>
        <v>1</v>
      </c>
      <c r="BI589" s="798">
        <f t="shared" si="585"/>
        <v>1</v>
      </c>
      <c r="BJ589" s="798">
        <f t="shared" si="585"/>
        <v>1</v>
      </c>
      <c r="BK589" s="798">
        <f t="shared" si="585"/>
        <v>1</v>
      </c>
      <c r="BL589" s="765"/>
      <c r="BM589" s="817"/>
      <c r="BN589" s="817"/>
    </row>
    <row r="590" hidden="1">
      <c r="A590" s="765"/>
      <c r="B590" s="765"/>
      <c r="C590" s="765"/>
      <c r="D590" s="765"/>
      <c r="E590" s="765"/>
      <c r="F590" s="765"/>
      <c r="G590" s="765"/>
      <c r="H590" s="765"/>
      <c r="I590" s="765">
        <f t="shared" si="17"/>
        <v>579</v>
      </c>
      <c r="J590" s="763">
        <f t="shared" si="5"/>
        <v>2.6769E+16</v>
      </c>
      <c r="K590" s="796">
        <f t="shared" si="7"/>
        <v>0.52329</v>
      </c>
      <c r="L590" s="796">
        <v>5.0E-4</v>
      </c>
      <c r="M590" s="763">
        <v>3.05234126022399E16</v>
      </c>
      <c r="N590" s="797">
        <f t="shared" si="8"/>
        <v>0</v>
      </c>
      <c r="O590" s="798">
        <f t="shared" ref="O590:BK590" si="586">FLOOR(MIN((((N("value of ELS upgrade")+N$8*($K590-$K589))*(N("Check checkbox")+(IF($G$6=TRUE,$G$7,$G$8))/$G$8))/(N("ROI of ELS and multiply by 2 if ELS is 1:1")+IF($G$12 = True, 2, 1) * $J590))/((N("difference in ELS+ and the cost of it")+(($K589*O$8)-($K589*N$8)) / O$7)),(N("MIN lets it return 0 or 1 after floored")+1)),1)</f>
        <v>0</v>
      </c>
      <c r="P590" s="798">
        <f t="shared" si="586"/>
        <v>0</v>
      </c>
      <c r="Q590" s="798">
        <f t="shared" si="586"/>
        <v>0</v>
      </c>
      <c r="R590" s="798">
        <f t="shared" si="586"/>
        <v>0</v>
      </c>
      <c r="S590" s="798">
        <f t="shared" si="586"/>
        <v>0</v>
      </c>
      <c r="T590" s="798">
        <f t="shared" si="586"/>
        <v>0</v>
      </c>
      <c r="U590" s="798">
        <f t="shared" si="586"/>
        <v>0</v>
      </c>
      <c r="V590" s="798">
        <f t="shared" si="586"/>
        <v>0</v>
      </c>
      <c r="W590" s="798">
        <f t="shared" si="586"/>
        <v>0</v>
      </c>
      <c r="X590" s="798">
        <f t="shared" si="586"/>
        <v>0</v>
      </c>
      <c r="Y590" s="798">
        <f t="shared" si="586"/>
        <v>0</v>
      </c>
      <c r="Z590" s="798">
        <f t="shared" si="586"/>
        <v>0</v>
      </c>
      <c r="AA590" s="798">
        <f t="shared" si="586"/>
        <v>0</v>
      </c>
      <c r="AB590" s="798">
        <f t="shared" si="586"/>
        <v>0</v>
      </c>
      <c r="AC590" s="798">
        <f t="shared" si="586"/>
        <v>0</v>
      </c>
      <c r="AD590" s="798">
        <f t="shared" si="586"/>
        <v>0</v>
      </c>
      <c r="AE590" s="798">
        <f t="shared" si="586"/>
        <v>0</v>
      </c>
      <c r="AF590" s="798">
        <f t="shared" si="586"/>
        <v>0</v>
      </c>
      <c r="AG590" s="798">
        <f t="shared" si="586"/>
        <v>0</v>
      </c>
      <c r="AH590" s="798">
        <f t="shared" si="586"/>
        <v>0</v>
      </c>
      <c r="AI590" s="798">
        <f t="shared" si="586"/>
        <v>0</v>
      </c>
      <c r="AJ590" s="798">
        <f t="shared" si="586"/>
        <v>0</v>
      </c>
      <c r="AK590" s="798">
        <f t="shared" si="586"/>
        <v>0</v>
      </c>
      <c r="AL590" s="798">
        <f t="shared" si="586"/>
        <v>0</v>
      </c>
      <c r="AM590" s="798">
        <f t="shared" si="586"/>
        <v>0</v>
      </c>
      <c r="AN590" s="798">
        <f t="shared" si="586"/>
        <v>0</v>
      </c>
      <c r="AO590" s="798">
        <f t="shared" si="586"/>
        <v>0</v>
      </c>
      <c r="AP590" s="798">
        <f t="shared" si="586"/>
        <v>0</v>
      </c>
      <c r="AQ590" s="798">
        <f t="shared" si="586"/>
        <v>0</v>
      </c>
      <c r="AR590" s="798">
        <f t="shared" si="586"/>
        <v>0</v>
      </c>
      <c r="AS590" s="798">
        <f t="shared" si="586"/>
        <v>0</v>
      </c>
      <c r="AT590" s="798">
        <f t="shared" si="586"/>
        <v>0</v>
      </c>
      <c r="AU590" s="798">
        <f t="shared" si="586"/>
        <v>0</v>
      </c>
      <c r="AV590" s="798">
        <f t="shared" si="586"/>
        <v>0</v>
      </c>
      <c r="AW590" s="798">
        <f t="shared" si="586"/>
        <v>1</v>
      </c>
      <c r="AX590" s="798">
        <f t="shared" si="586"/>
        <v>1</v>
      </c>
      <c r="AY590" s="798">
        <f t="shared" si="586"/>
        <v>1</v>
      </c>
      <c r="AZ590" s="798">
        <f t="shared" si="586"/>
        <v>1</v>
      </c>
      <c r="BA590" s="798">
        <f t="shared" si="586"/>
        <v>1</v>
      </c>
      <c r="BB590" s="798">
        <f t="shared" si="586"/>
        <v>1</v>
      </c>
      <c r="BC590" s="798">
        <f t="shared" si="586"/>
        <v>1</v>
      </c>
      <c r="BD590" s="798">
        <f t="shared" si="586"/>
        <v>1</v>
      </c>
      <c r="BE590" s="798">
        <f t="shared" si="586"/>
        <v>1</v>
      </c>
      <c r="BF590" s="798">
        <f t="shared" si="586"/>
        <v>1</v>
      </c>
      <c r="BG590" s="798">
        <f t="shared" si="586"/>
        <v>1</v>
      </c>
      <c r="BH590" s="798">
        <f t="shared" si="586"/>
        <v>1</v>
      </c>
      <c r="BI590" s="798">
        <f t="shared" si="586"/>
        <v>1</v>
      </c>
      <c r="BJ590" s="798">
        <f t="shared" si="586"/>
        <v>1</v>
      </c>
      <c r="BK590" s="798">
        <f t="shared" si="586"/>
        <v>1</v>
      </c>
      <c r="BL590" s="765"/>
      <c r="BM590" s="817"/>
      <c r="BN590" s="817"/>
    </row>
    <row r="591" hidden="1">
      <c r="A591" s="765"/>
      <c r="B591" s="765"/>
      <c r="C591" s="765"/>
      <c r="D591" s="765"/>
      <c r="E591" s="765"/>
      <c r="F591" s="765"/>
      <c r="G591" s="765"/>
      <c r="H591" s="765"/>
      <c r="I591" s="765">
        <f t="shared" si="17"/>
        <v>580</v>
      </c>
      <c r="J591" s="763">
        <f t="shared" si="5"/>
        <v>2.68613E+16</v>
      </c>
      <c r="K591" s="796">
        <f t="shared" si="7"/>
        <v>0.52379</v>
      </c>
      <c r="L591" s="796">
        <v>5.0E-4</v>
      </c>
      <c r="M591" s="763">
        <v>3.06285814452393E16</v>
      </c>
      <c r="N591" s="797">
        <f t="shared" si="8"/>
        <v>0</v>
      </c>
      <c r="O591" s="798">
        <f t="shared" ref="O591:BK591" si="587">FLOOR(MIN((((N("value of ELS upgrade")+N$8*($K591-$K590))*(N("Check checkbox")+(IF($G$6=TRUE,$G$7,$G$8))/$G$8))/(N("ROI of ELS and multiply by 2 if ELS is 1:1")+IF($G$12 = True, 2, 1) * $J591))/((N("difference in ELS+ and the cost of it")+(($K590*O$8)-($K590*N$8)) / O$7)),(N("MIN lets it return 0 or 1 after floored")+1)),1)</f>
        <v>0</v>
      </c>
      <c r="P591" s="798">
        <f t="shared" si="587"/>
        <v>0</v>
      </c>
      <c r="Q591" s="798">
        <f t="shared" si="587"/>
        <v>0</v>
      </c>
      <c r="R591" s="798">
        <f t="shared" si="587"/>
        <v>0</v>
      </c>
      <c r="S591" s="798">
        <f t="shared" si="587"/>
        <v>0</v>
      </c>
      <c r="T591" s="798">
        <f t="shared" si="587"/>
        <v>0</v>
      </c>
      <c r="U591" s="798">
        <f t="shared" si="587"/>
        <v>0</v>
      </c>
      <c r="V591" s="798">
        <f t="shared" si="587"/>
        <v>0</v>
      </c>
      <c r="W591" s="798">
        <f t="shared" si="587"/>
        <v>0</v>
      </c>
      <c r="X591" s="798">
        <f t="shared" si="587"/>
        <v>0</v>
      </c>
      <c r="Y591" s="798">
        <f t="shared" si="587"/>
        <v>0</v>
      </c>
      <c r="Z591" s="798">
        <f t="shared" si="587"/>
        <v>0</v>
      </c>
      <c r="AA591" s="798">
        <f t="shared" si="587"/>
        <v>0</v>
      </c>
      <c r="AB591" s="798">
        <f t="shared" si="587"/>
        <v>0</v>
      </c>
      <c r="AC591" s="798">
        <f t="shared" si="587"/>
        <v>0</v>
      </c>
      <c r="AD591" s="798">
        <f t="shared" si="587"/>
        <v>0</v>
      </c>
      <c r="AE591" s="798">
        <f t="shared" si="587"/>
        <v>0</v>
      </c>
      <c r="AF591" s="798">
        <f t="shared" si="587"/>
        <v>0</v>
      </c>
      <c r="AG591" s="798">
        <f t="shared" si="587"/>
        <v>0</v>
      </c>
      <c r="AH591" s="798">
        <f t="shared" si="587"/>
        <v>0</v>
      </c>
      <c r="AI591" s="798">
        <f t="shared" si="587"/>
        <v>0</v>
      </c>
      <c r="AJ591" s="798">
        <f t="shared" si="587"/>
        <v>0</v>
      </c>
      <c r="AK591" s="798">
        <f t="shared" si="587"/>
        <v>0</v>
      </c>
      <c r="AL591" s="798">
        <f t="shared" si="587"/>
        <v>0</v>
      </c>
      <c r="AM591" s="798">
        <f t="shared" si="587"/>
        <v>0</v>
      </c>
      <c r="AN591" s="798">
        <f t="shared" si="587"/>
        <v>0</v>
      </c>
      <c r="AO591" s="798">
        <f t="shared" si="587"/>
        <v>0</v>
      </c>
      <c r="AP591" s="798">
        <f t="shared" si="587"/>
        <v>0</v>
      </c>
      <c r="AQ591" s="798">
        <f t="shared" si="587"/>
        <v>0</v>
      </c>
      <c r="AR591" s="798">
        <f t="shared" si="587"/>
        <v>0</v>
      </c>
      <c r="AS591" s="798">
        <f t="shared" si="587"/>
        <v>0</v>
      </c>
      <c r="AT591" s="798">
        <f t="shared" si="587"/>
        <v>0</v>
      </c>
      <c r="AU591" s="798">
        <f t="shared" si="587"/>
        <v>0</v>
      </c>
      <c r="AV591" s="798">
        <f t="shared" si="587"/>
        <v>0</v>
      </c>
      <c r="AW591" s="798">
        <f t="shared" si="587"/>
        <v>1</v>
      </c>
      <c r="AX591" s="798">
        <f t="shared" si="587"/>
        <v>1</v>
      </c>
      <c r="AY591" s="798">
        <f t="shared" si="587"/>
        <v>1</v>
      </c>
      <c r="AZ591" s="798">
        <f t="shared" si="587"/>
        <v>1</v>
      </c>
      <c r="BA591" s="798">
        <f t="shared" si="587"/>
        <v>1</v>
      </c>
      <c r="BB591" s="798">
        <f t="shared" si="587"/>
        <v>1</v>
      </c>
      <c r="BC591" s="798">
        <f t="shared" si="587"/>
        <v>1</v>
      </c>
      <c r="BD591" s="798">
        <f t="shared" si="587"/>
        <v>1</v>
      </c>
      <c r="BE591" s="798">
        <f t="shared" si="587"/>
        <v>1</v>
      </c>
      <c r="BF591" s="798">
        <f t="shared" si="587"/>
        <v>1</v>
      </c>
      <c r="BG591" s="798">
        <f t="shared" si="587"/>
        <v>1</v>
      </c>
      <c r="BH591" s="798">
        <f t="shared" si="587"/>
        <v>1</v>
      </c>
      <c r="BI591" s="798">
        <f t="shared" si="587"/>
        <v>1</v>
      </c>
      <c r="BJ591" s="798">
        <f t="shared" si="587"/>
        <v>1</v>
      </c>
      <c r="BK591" s="798">
        <f t="shared" si="587"/>
        <v>1</v>
      </c>
      <c r="BL591" s="765"/>
      <c r="BM591" s="817"/>
      <c r="BN591" s="817"/>
    </row>
    <row r="592" hidden="1">
      <c r="A592" s="765"/>
      <c r="B592" s="765"/>
      <c r="C592" s="765"/>
      <c r="D592" s="765"/>
      <c r="E592" s="765"/>
      <c r="F592" s="765"/>
      <c r="G592" s="765"/>
      <c r="H592" s="765"/>
      <c r="I592" s="765">
        <f t="shared" si="17"/>
        <v>581</v>
      </c>
      <c r="J592" s="763">
        <f t="shared" si="5"/>
        <v>2.69538E+16</v>
      </c>
      <c r="K592" s="796">
        <f t="shared" si="7"/>
        <v>0.52429</v>
      </c>
      <c r="L592" s="796">
        <v>5.0E-4</v>
      </c>
      <c r="M592" s="763">
        <v>3.073405814148E16</v>
      </c>
      <c r="N592" s="797">
        <f t="shared" si="8"/>
        <v>0</v>
      </c>
      <c r="O592" s="798">
        <f t="shared" ref="O592:BK592" si="588">FLOOR(MIN((((N("value of ELS upgrade")+N$8*($K592-$K591))*(N("Check checkbox")+(IF($G$6=TRUE,$G$7,$G$8))/$G$8))/(N("ROI of ELS and multiply by 2 if ELS is 1:1")+IF($G$12 = True, 2, 1) * $J592))/((N("difference in ELS+ and the cost of it")+(($K591*O$8)-($K591*N$8)) / O$7)),(N("MIN lets it return 0 or 1 after floored")+1)),1)</f>
        <v>0</v>
      </c>
      <c r="P592" s="798">
        <f t="shared" si="588"/>
        <v>0</v>
      </c>
      <c r="Q592" s="798">
        <f t="shared" si="588"/>
        <v>0</v>
      </c>
      <c r="R592" s="798">
        <f t="shared" si="588"/>
        <v>0</v>
      </c>
      <c r="S592" s="798">
        <f t="shared" si="588"/>
        <v>0</v>
      </c>
      <c r="T592" s="798">
        <f t="shared" si="588"/>
        <v>0</v>
      </c>
      <c r="U592" s="798">
        <f t="shared" si="588"/>
        <v>0</v>
      </c>
      <c r="V592" s="798">
        <f t="shared" si="588"/>
        <v>0</v>
      </c>
      <c r="W592" s="798">
        <f t="shared" si="588"/>
        <v>0</v>
      </c>
      <c r="X592" s="798">
        <f t="shared" si="588"/>
        <v>0</v>
      </c>
      <c r="Y592" s="798">
        <f t="shared" si="588"/>
        <v>0</v>
      </c>
      <c r="Z592" s="798">
        <f t="shared" si="588"/>
        <v>0</v>
      </c>
      <c r="AA592" s="798">
        <f t="shared" si="588"/>
        <v>0</v>
      </c>
      <c r="AB592" s="798">
        <f t="shared" si="588"/>
        <v>0</v>
      </c>
      <c r="AC592" s="798">
        <f t="shared" si="588"/>
        <v>0</v>
      </c>
      <c r="AD592" s="798">
        <f t="shared" si="588"/>
        <v>0</v>
      </c>
      <c r="AE592" s="798">
        <f t="shared" si="588"/>
        <v>0</v>
      </c>
      <c r="AF592" s="798">
        <f t="shared" si="588"/>
        <v>0</v>
      </c>
      <c r="AG592" s="798">
        <f t="shared" si="588"/>
        <v>0</v>
      </c>
      <c r="AH592" s="798">
        <f t="shared" si="588"/>
        <v>0</v>
      </c>
      <c r="AI592" s="798">
        <f t="shared" si="588"/>
        <v>0</v>
      </c>
      <c r="AJ592" s="798">
        <f t="shared" si="588"/>
        <v>0</v>
      </c>
      <c r="AK592" s="798">
        <f t="shared" si="588"/>
        <v>0</v>
      </c>
      <c r="AL592" s="798">
        <f t="shared" si="588"/>
        <v>0</v>
      </c>
      <c r="AM592" s="798">
        <f t="shared" si="588"/>
        <v>0</v>
      </c>
      <c r="AN592" s="798">
        <f t="shared" si="588"/>
        <v>0</v>
      </c>
      <c r="AO592" s="798">
        <f t="shared" si="588"/>
        <v>0</v>
      </c>
      <c r="AP592" s="798">
        <f t="shared" si="588"/>
        <v>0</v>
      </c>
      <c r="AQ592" s="798">
        <f t="shared" si="588"/>
        <v>0</v>
      </c>
      <c r="AR592" s="798">
        <f t="shared" si="588"/>
        <v>0</v>
      </c>
      <c r="AS592" s="798">
        <f t="shared" si="588"/>
        <v>0</v>
      </c>
      <c r="AT592" s="798">
        <f t="shared" si="588"/>
        <v>0</v>
      </c>
      <c r="AU592" s="798">
        <f t="shared" si="588"/>
        <v>0</v>
      </c>
      <c r="AV592" s="798">
        <f t="shared" si="588"/>
        <v>0</v>
      </c>
      <c r="AW592" s="798">
        <f t="shared" si="588"/>
        <v>1</v>
      </c>
      <c r="AX592" s="798">
        <f t="shared" si="588"/>
        <v>1</v>
      </c>
      <c r="AY592" s="798">
        <f t="shared" si="588"/>
        <v>1</v>
      </c>
      <c r="AZ592" s="798">
        <f t="shared" si="588"/>
        <v>1</v>
      </c>
      <c r="BA592" s="798">
        <f t="shared" si="588"/>
        <v>1</v>
      </c>
      <c r="BB592" s="798">
        <f t="shared" si="588"/>
        <v>1</v>
      </c>
      <c r="BC592" s="798">
        <f t="shared" si="588"/>
        <v>1</v>
      </c>
      <c r="BD592" s="798">
        <f t="shared" si="588"/>
        <v>1</v>
      </c>
      <c r="BE592" s="798">
        <f t="shared" si="588"/>
        <v>1</v>
      </c>
      <c r="BF592" s="798">
        <f t="shared" si="588"/>
        <v>1</v>
      </c>
      <c r="BG592" s="798">
        <f t="shared" si="588"/>
        <v>1</v>
      </c>
      <c r="BH592" s="798">
        <f t="shared" si="588"/>
        <v>1</v>
      </c>
      <c r="BI592" s="798">
        <f t="shared" si="588"/>
        <v>1</v>
      </c>
      <c r="BJ592" s="798">
        <f t="shared" si="588"/>
        <v>1</v>
      </c>
      <c r="BK592" s="798">
        <f t="shared" si="588"/>
        <v>1</v>
      </c>
      <c r="BL592" s="765"/>
      <c r="BM592" s="817"/>
      <c r="BN592" s="817"/>
    </row>
    <row r="593" hidden="1">
      <c r="A593" s="765"/>
      <c r="B593" s="765"/>
      <c r="C593" s="765"/>
      <c r="D593" s="765"/>
      <c r="E593" s="765"/>
      <c r="F593" s="765"/>
      <c r="G593" s="765"/>
      <c r="H593" s="765"/>
      <c r="I593" s="765">
        <f t="shared" si="17"/>
        <v>582</v>
      </c>
      <c r="J593" s="763">
        <f t="shared" si="5"/>
        <v>2.70465E+16</v>
      </c>
      <c r="K593" s="796">
        <f t="shared" si="7"/>
        <v>0.52479</v>
      </c>
      <c r="L593" s="796">
        <v>5.0E-4</v>
      </c>
      <c r="M593" s="763">
        <v>3.08398445624103E16</v>
      </c>
      <c r="N593" s="797">
        <f t="shared" si="8"/>
        <v>0</v>
      </c>
      <c r="O593" s="798">
        <f t="shared" ref="O593:BK593" si="589">FLOOR(MIN((((N("value of ELS upgrade")+N$8*($K593-$K592))*(N("Check checkbox")+(IF($G$6=TRUE,$G$7,$G$8))/$G$8))/(N("ROI of ELS and multiply by 2 if ELS is 1:1")+IF($G$12 = True, 2, 1) * $J593))/((N("difference in ELS+ and the cost of it")+(($K592*O$8)-($K592*N$8)) / O$7)),(N("MIN lets it return 0 or 1 after floored")+1)),1)</f>
        <v>0</v>
      </c>
      <c r="P593" s="798">
        <f t="shared" si="589"/>
        <v>0</v>
      </c>
      <c r="Q593" s="798">
        <f t="shared" si="589"/>
        <v>0</v>
      </c>
      <c r="R593" s="798">
        <f t="shared" si="589"/>
        <v>0</v>
      </c>
      <c r="S593" s="798">
        <f t="shared" si="589"/>
        <v>0</v>
      </c>
      <c r="T593" s="798">
        <f t="shared" si="589"/>
        <v>0</v>
      </c>
      <c r="U593" s="798">
        <f t="shared" si="589"/>
        <v>0</v>
      </c>
      <c r="V593" s="798">
        <f t="shared" si="589"/>
        <v>0</v>
      </c>
      <c r="W593" s="798">
        <f t="shared" si="589"/>
        <v>0</v>
      </c>
      <c r="X593" s="798">
        <f t="shared" si="589"/>
        <v>0</v>
      </c>
      <c r="Y593" s="798">
        <f t="shared" si="589"/>
        <v>0</v>
      </c>
      <c r="Z593" s="798">
        <f t="shared" si="589"/>
        <v>0</v>
      </c>
      <c r="AA593" s="798">
        <f t="shared" si="589"/>
        <v>0</v>
      </c>
      <c r="AB593" s="798">
        <f t="shared" si="589"/>
        <v>0</v>
      </c>
      <c r="AC593" s="798">
        <f t="shared" si="589"/>
        <v>0</v>
      </c>
      <c r="AD593" s="798">
        <f t="shared" si="589"/>
        <v>0</v>
      </c>
      <c r="AE593" s="798">
        <f t="shared" si="589"/>
        <v>0</v>
      </c>
      <c r="AF593" s="798">
        <f t="shared" si="589"/>
        <v>0</v>
      </c>
      <c r="AG593" s="798">
        <f t="shared" si="589"/>
        <v>0</v>
      </c>
      <c r="AH593" s="798">
        <f t="shared" si="589"/>
        <v>0</v>
      </c>
      <c r="AI593" s="798">
        <f t="shared" si="589"/>
        <v>0</v>
      </c>
      <c r="AJ593" s="798">
        <f t="shared" si="589"/>
        <v>0</v>
      </c>
      <c r="AK593" s="798">
        <f t="shared" si="589"/>
        <v>0</v>
      </c>
      <c r="AL593" s="798">
        <f t="shared" si="589"/>
        <v>0</v>
      </c>
      <c r="AM593" s="798">
        <f t="shared" si="589"/>
        <v>0</v>
      </c>
      <c r="AN593" s="798">
        <f t="shared" si="589"/>
        <v>0</v>
      </c>
      <c r="AO593" s="798">
        <f t="shared" si="589"/>
        <v>0</v>
      </c>
      <c r="AP593" s="798">
        <f t="shared" si="589"/>
        <v>0</v>
      </c>
      <c r="AQ593" s="798">
        <f t="shared" si="589"/>
        <v>0</v>
      </c>
      <c r="AR593" s="798">
        <f t="shared" si="589"/>
        <v>0</v>
      </c>
      <c r="AS593" s="798">
        <f t="shared" si="589"/>
        <v>0</v>
      </c>
      <c r="AT593" s="798">
        <f t="shared" si="589"/>
        <v>0</v>
      </c>
      <c r="AU593" s="798">
        <f t="shared" si="589"/>
        <v>0</v>
      </c>
      <c r="AV593" s="798">
        <f t="shared" si="589"/>
        <v>0</v>
      </c>
      <c r="AW593" s="798">
        <f t="shared" si="589"/>
        <v>1</v>
      </c>
      <c r="AX593" s="798">
        <f t="shared" si="589"/>
        <v>1</v>
      </c>
      <c r="AY593" s="798">
        <f t="shared" si="589"/>
        <v>1</v>
      </c>
      <c r="AZ593" s="798">
        <f t="shared" si="589"/>
        <v>1</v>
      </c>
      <c r="BA593" s="798">
        <f t="shared" si="589"/>
        <v>1</v>
      </c>
      <c r="BB593" s="798">
        <f t="shared" si="589"/>
        <v>1</v>
      </c>
      <c r="BC593" s="798">
        <f t="shared" si="589"/>
        <v>1</v>
      </c>
      <c r="BD593" s="798">
        <f t="shared" si="589"/>
        <v>1</v>
      </c>
      <c r="BE593" s="798">
        <f t="shared" si="589"/>
        <v>1</v>
      </c>
      <c r="BF593" s="798">
        <f t="shared" si="589"/>
        <v>1</v>
      </c>
      <c r="BG593" s="798">
        <f t="shared" si="589"/>
        <v>1</v>
      </c>
      <c r="BH593" s="798">
        <f t="shared" si="589"/>
        <v>1</v>
      </c>
      <c r="BI593" s="798">
        <f t="shared" si="589"/>
        <v>1</v>
      </c>
      <c r="BJ593" s="798">
        <f t="shared" si="589"/>
        <v>1</v>
      </c>
      <c r="BK593" s="798">
        <f t="shared" si="589"/>
        <v>1</v>
      </c>
      <c r="BL593" s="765"/>
      <c r="BM593" s="817"/>
      <c r="BN593" s="817"/>
    </row>
    <row r="594" hidden="1">
      <c r="A594" s="765"/>
      <c r="B594" s="765"/>
      <c r="C594" s="765"/>
      <c r="D594" s="765"/>
      <c r="E594" s="765"/>
      <c r="F594" s="765"/>
      <c r="G594" s="765"/>
      <c r="H594" s="765"/>
      <c r="I594" s="765">
        <f t="shared" si="17"/>
        <v>583</v>
      </c>
      <c r="J594" s="763">
        <f t="shared" si="5"/>
        <v>2.71396E+16</v>
      </c>
      <c r="K594" s="796">
        <f t="shared" si="7"/>
        <v>0.52529</v>
      </c>
      <c r="L594" s="796">
        <v>5.0E-4</v>
      </c>
      <c r="M594" s="763">
        <v>3.09459416437542E16</v>
      </c>
      <c r="N594" s="797">
        <f t="shared" si="8"/>
        <v>0</v>
      </c>
      <c r="O594" s="798">
        <f t="shared" ref="O594:BK594" si="590">FLOOR(MIN((((N("value of ELS upgrade")+N$8*($K594-$K593))*(N("Check checkbox")+(IF($G$6=TRUE,$G$7,$G$8))/$G$8))/(N("ROI of ELS and multiply by 2 if ELS is 1:1")+IF($G$12 = True, 2, 1) * $J594))/((N("difference in ELS+ and the cost of it")+(($K593*O$8)-($K593*N$8)) / O$7)),(N("MIN lets it return 0 or 1 after floored")+1)),1)</f>
        <v>0</v>
      </c>
      <c r="P594" s="798">
        <f t="shared" si="590"/>
        <v>0</v>
      </c>
      <c r="Q594" s="798">
        <f t="shared" si="590"/>
        <v>0</v>
      </c>
      <c r="R594" s="798">
        <f t="shared" si="590"/>
        <v>0</v>
      </c>
      <c r="S594" s="798">
        <f t="shared" si="590"/>
        <v>0</v>
      </c>
      <c r="T594" s="798">
        <f t="shared" si="590"/>
        <v>0</v>
      </c>
      <c r="U594" s="798">
        <f t="shared" si="590"/>
        <v>0</v>
      </c>
      <c r="V594" s="798">
        <f t="shared" si="590"/>
        <v>0</v>
      </c>
      <c r="W594" s="798">
        <f t="shared" si="590"/>
        <v>0</v>
      </c>
      <c r="X594" s="798">
        <f t="shared" si="590"/>
        <v>0</v>
      </c>
      <c r="Y594" s="798">
        <f t="shared" si="590"/>
        <v>0</v>
      </c>
      <c r="Z594" s="798">
        <f t="shared" si="590"/>
        <v>0</v>
      </c>
      <c r="AA594" s="798">
        <f t="shared" si="590"/>
        <v>0</v>
      </c>
      <c r="AB594" s="798">
        <f t="shared" si="590"/>
        <v>0</v>
      </c>
      <c r="AC594" s="798">
        <f t="shared" si="590"/>
        <v>0</v>
      </c>
      <c r="AD594" s="798">
        <f t="shared" si="590"/>
        <v>0</v>
      </c>
      <c r="AE594" s="798">
        <f t="shared" si="590"/>
        <v>0</v>
      </c>
      <c r="AF594" s="798">
        <f t="shared" si="590"/>
        <v>0</v>
      </c>
      <c r="AG594" s="798">
        <f t="shared" si="590"/>
        <v>0</v>
      </c>
      <c r="AH594" s="798">
        <f t="shared" si="590"/>
        <v>0</v>
      </c>
      <c r="AI594" s="798">
        <f t="shared" si="590"/>
        <v>0</v>
      </c>
      <c r="AJ594" s="798">
        <f t="shared" si="590"/>
        <v>0</v>
      </c>
      <c r="AK594" s="798">
        <f t="shared" si="590"/>
        <v>0</v>
      </c>
      <c r="AL594" s="798">
        <f t="shared" si="590"/>
        <v>0</v>
      </c>
      <c r="AM594" s="798">
        <f t="shared" si="590"/>
        <v>0</v>
      </c>
      <c r="AN594" s="798">
        <f t="shared" si="590"/>
        <v>0</v>
      </c>
      <c r="AO594" s="798">
        <f t="shared" si="590"/>
        <v>0</v>
      </c>
      <c r="AP594" s="798">
        <f t="shared" si="590"/>
        <v>0</v>
      </c>
      <c r="AQ594" s="798">
        <f t="shared" si="590"/>
        <v>0</v>
      </c>
      <c r="AR594" s="798">
        <f t="shared" si="590"/>
        <v>0</v>
      </c>
      <c r="AS594" s="798">
        <f t="shared" si="590"/>
        <v>0</v>
      </c>
      <c r="AT594" s="798">
        <f t="shared" si="590"/>
        <v>0</v>
      </c>
      <c r="AU594" s="798">
        <f t="shared" si="590"/>
        <v>0</v>
      </c>
      <c r="AV594" s="798">
        <f t="shared" si="590"/>
        <v>0</v>
      </c>
      <c r="AW594" s="798">
        <f t="shared" si="590"/>
        <v>1</v>
      </c>
      <c r="AX594" s="798">
        <f t="shared" si="590"/>
        <v>1</v>
      </c>
      <c r="AY594" s="798">
        <f t="shared" si="590"/>
        <v>1</v>
      </c>
      <c r="AZ594" s="798">
        <f t="shared" si="590"/>
        <v>1</v>
      </c>
      <c r="BA594" s="798">
        <f t="shared" si="590"/>
        <v>1</v>
      </c>
      <c r="BB594" s="798">
        <f t="shared" si="590"/>
        <v>1</v>
      </c>
      <c r="BC594" s="798">
        <f t="shared" si="590"/>
        <v>1</v>
      </c>
      <c r="BD594" s="798">
        <f t="shared" si="590"/>
        <v>1</v>
      </c>
      <c r="BE594" s="798">
        <f t="shared" si="590"/>
        <v>1</v>
      </c>
      <c r="BF594" s="798">
        <f t="shared" si="590"/>
        <v>1</v>
      </c>
      <c r="BG594" s="798">
        <f t="shared" si="590"/>
        <v>1</v>
      </c>
      <c r="BH594" s="798">
        <f t="shared" si="590"/>
        <v>1</v>
      </c>
      <c r="BI594" s="798">
        <f t="shared" si="590"/>
        <v>1</v>
      </c>
      <c r="BJ594" s="798">
        <f t="shared" si="590"/>
        <v>1</v>
      </c>
      <c r="BK594" s="798">
        <f t="shared" si="590"/>
        <v>1</v>
      </c>
      <c r="BL594" s="765"/>
      <c r="BM594" s="817"/>
      <c r="BN594" s="817"/>
    </row>
    <row r="595" hidden="1">
      <c r="A595" s="765"/>
      <c r="B595" s="765"/>
      <c r="C595" s="765"/>
      <c r="D595" s="765"/>
      <c r="E595" s="765"/>
      <c r="F595" s="765"/>
      <c r="G595" s="765"/>
      <c r="H595" s="765"/>
      <c r="I595" s="765">
        <f t="shared" si="17"/>
        <v>584</v>
      </c>
      <c r="J595" s="763">
        <f t="shared" si="5"/>
        <v>2.72329E+16</v>
      </c>
      <c r="K595" s="796">
        <f t="shared" si="7"/>
        <v>0.52579</v>
      </c>
      <c r="L595" s="796">
        <v>5.0E-4</v>
      </c>
      <c r="M595" s="763">
        <v>3.10523493855119E16</v>
      </c>
      <c r="N595" s="797">
        <f t="shared" si="8"/>
        <v>0</v>
      </c>
      <c r="O595" s="798">
        <f t="shared" ref="O595:BK595" si="591">FLOOR(MIN((((N("value of ELS upgrade")+N$8*($K595-$K594))*(N("Check checkbox")+(IF($G$6=TRUE,$G$7,$G$8))/$G$8))/(N("ROI of ELS and multiply by 2 if ELS is 1:1")+IF($G$12 = True, 2, 1) * $J595))/((N("difference in ELS+ and the cost of it")+(($K594*O$8)-($K594*N$8)) / O$7)),(N("MIN lets it return 0 or 1 after floored")+1)),1)</f>
        <v>0</v>
      </c>
      <c r="P595" s="798">
        <f t="shared" si="591"/>
        <v>0</v>
      </c>
      <c r="Q595" s="798">
        <f t="shared" si="591"/>
        <v>0</v>
      </c>
      <c r="R595" s="798">
        <f t="shared" si="591"/>
        <v>0</v>
      </c>
      <c r="S595" s="798">
        <f t="shared" si="591"/>
        <v>0</v>
      </c>
      <c r="T595" s="798">
        <f t="shared" si="591"/>
        <v>0</v>
      </c>
      <c r="U595" s="798">
        <f t="shared" si="591"/>
        <v>0</v>
      </c>
      <c r="V595" s="798">
        <f t="shared" si="591"/>
        <v>0</v>
      </c>
      <c r="W595" s="798">
        <f t="shared" si="591"/>
        <v>0</v>
      </c>
      <c r="X595" s="798">
        <f t="shared" si="591"/>
        <v>0</v>
      </c>
      <c r="Y595" s="798">
        <f t="shared" si="591"/>
        <v>0</v>
      </c>
      <c r="Z595" s="798">
        <f t="shared" si="591"/>
        <v>0</v>
      </c>
      <c r="AA595" s="798">
        <f t="shared" si="591"/>
        <v>0</v>
      </c>
      <c r="AB595" s="798">
        <f t="shared" si="591"/>
        <v>0</v>
      </c>
      <c r="AC595" s="798">
        <f t="shared" si="591"/>
        <v>0</v>
      </c>
      <c r="AD595" s="798">
        <f t="shared" si="591"/>
        <v>0</v>
      </c>
      <c r="AE595" s="798">
        <f t="shared" si="591"/>
        <v>0</v>
      </c>
      <c r="AF595" s="798">
        <f t="shared" si="591"/>
        <v>0</v>
      </c>
      <c r="AG595" s="798">
        <f t="shared" si="591"/>
        <v>0</v>
      </c>
      <c r="AH595" s="798">
        <f t="shared" si="591"/>
        <v>0</v>
      </c>
      <c r="AI595" s="798">
        <f t="shared" si="591"/>
        <v>0</v>
      </c>
      <c r="AJ595" s="798">
        <f t="shared" si="591"/>
        <v>0</v>
      </c>
      <c r="AK595" s="798">
        <f t="shared" si="591"/>
        <v>0</v>
      </c>
      <c r="AL595" s="798">
        <f t="shared" si="591"/>
        <v>0</v>
      </c>
      <c r="AM595" s="798">
        <f t="shared" si="591"/>
        <v>0</v>
      </c>
      <c r="AN595" s="798">
        <f t="shared" si="591"/>
        <v>0</v>
      </c>
      <c r="AO595" s="798">
        <f t="shared" si="591"/>
        <v>0</v>
      </c>
      <c r="AP595" s="798">
        <f t="shared" si="591"/>
        <v>0</v>
      </c>
      <c r="AQ595" s="798">
        <f t="shared" si="591"/>
        <v>0</v>
      </c>
      <c r="AR595" s="798">
        <f t="shared" si="591"/>
        <v>0</v>
      </c>
      <c r="AS595" s="798">
        <f t="shared" si="591"/>
        <v>0</v>
      </c>
      <c r="AT595" s="798">
        <f t="shared" si="591"/>
        <v>0</v>
      </c>
      <c r="AU595" s="798">
        <f t="shared" si="591"/>
        <v>0</v>
      </c>
      <c r="AV595" s="798">
        <f t="shared" si="591"/>
        <v>0</v>
      </c>
      <c r="AW595" s="798">
        <f t="shared" si="591"/>
        <v>1</v>
      </c>
      <c r="AX595" s="798">
        <f t="shared" si="591"/>
        <v>1</v>
      </c>
      <c r="AY595" s="798">
        <f t="shared" si="591"/>
        <v>1</v>
      </c>
      <c r="AZ595" s="798">
        <f t="shared" si="591"/>
        <v>1</v>
      </c>
      <c r="BA595" s="798">
        <f t="shared" si="591"/>
        <v>1</v>
      </c>
      <c r="BB595" s="798">
        <f t="shared" si="591"/>
        <v>1</v>
      </c>
      <c r="BC595" s="798">
        <f t="shared" si="591"/>
        <v>1</v>
      </c>
      <c r="BD595" s="798">
        <f t="shared" si="591"/>
        <v>1</v>
      </c>
      <c r="BE595" s="798">
        <f t="shared" si="591"/>
        <v>1</v>
      </c>
      <c r="BF595" s="798">
        <f t="shared" si="591"/>
        <v>1</v>
      </c>
      <c r="BG595" s="798">
        <f t="shared" si="591"/>
        <v>1</v>
      </c>
      <c r="BH595" s="798">
        <f t="shared" si="591"/>
        <v>1</v>
      </c>
      <c r="BI595" s="798">
        <f t="shared" si="591"/>
        <v>1</v>
      </c>
      <c r="BJ595" s="798">
        <f t="shared" si="591"/>
        <v>1</v>
      </c>
      <c r="BK595" s="798">
        <f t="shared" si="591"/>
        <v>1</v>
      </c>
      <c r="BL595" s="765"/>
      <c r="BM595" s="817"/>
      <c r="BN595" s="817"/>
    </row>
    <row r="596" hidden="1">
      <c r="A596" s="765"/>
      <c r="B596" s="765"/>
      <c r="C596" s="765"/>
      <c r="D596" s="765"/>
      <c r="E596" s="765"/>
      <c r="F596" s="765"/>
      <c r="G596" s="765"/>
      <c r="H596" s="765"/>
      <c r="I596" s="765">
        <f t="shared" si="17"/>
        <v>585</v>
      </c>
      <c r="J596" s="763">
        <f t="shared" si="5"/>
        <v>2.73265E+16</v>
      </c>
      <c r="K596" s="796">
        <f t="shared" si="7"/>
        <v>0.52629</v>
      </c>
      <c r="L596" s="796">
        <v>5.0E-4</v>
      </c>
      <c r="M596" s="763">
        <v>3.11590687234073E16</v>
      </c>
      <c r="N596" s="797">
        <f t="shared" si="8"/>
        <v>0</v>
      </c>
      <c r="O596" s="798">
        <f t="shared" ref="O596:BK596" si="592">FLOOR(MIN((((N("value of ELS upgrade")+N$8*($K596-$K595))*(N("Check checkbox")+(IF($G$6=TRUE,$G$7,$G$8))/$G$8))/(N("ROI of ELS and multiply by 2 if ELS is 1:1")+IF($G$12 = True, 2, 1) * $J596))/((N("difference in ELS+ and the cost of it")+(($K595*O$8)-($K595*N$8)) / O$7)),(N("MIN lets it return 0 or 1 after floored")+1)),1)</f>
        <v>0</v>
      </c>
      <c r="P596" s="798">
        <f t="shared" si="592"/>
        <v>0</v>
      </c>
      <c r="Q596" s="798">
        <f t="shared" si="592"/>
        <v>0</v>
      </c>
      <c r="R596" s="798">
        <f t="shared" si="592"/>
        <v>0</v>
      </c>
      <c r="S596" s="798">
        <f t="shared" si="592"/>
        <v>0</v>
      </c>
      <c r="T596" s="798">
        <f t="shared" si="592"/>
        <v>0</v>
      </c>
      <c r="U596" s="798">
        <f t="shared" si="592"/>
        <v>0</v>
      </c>
      <c r="V596" s="798">
        <f t="shared" si="592"/>
        <v>0</v>
      </c>
      <c r="W596" s="798">
        <f t="shared" si="592"/>
        <v>0</v>
      </c>
      <c r="X596" s="798">
        <f t="shared" si="592"/>
        <v>0</v>
      </c>
      <c r="Y596" s="798">
        <f t="shared" si="592"/>
        <v>0</v>
      </c>
      <c r="Z596" s="798">
        <f t="shared" si="592"/>
        <v>0</v>
      </c>
      <c r="AA596" s="798">
        <f t="shared" si="592"/>
        <v>0</v>
      </c>
      <c r="AB596" s="798">
        <f t="shared" si="592"/>
        <v>0</v>
      </c>
      <c r="AC596" s="798">
        <f t="shared" si="592"/>
        <v>0</v>
      </c>
      <c r="AD596" s="798">
        <f t="shared" si="592"/>
        <v>0</v>
      </c>
      <c r="AE596" s="798">
        <f t="shared" si="592"/>
        <v>0</v>
      </c>
      <c r="AF596" s="798">
        <f t="shared" si="592"/>
        <v>0</v>
      </c>
      <c r="AG596" s="798">
        <f t="shared" si="592"/>
        <v>0</v>
      </c>
      <c r="AH596" s="798">
        <f t="shared" si="592"/>
        <v>0</v>
      </c>
      <c r="AI596" s="798">
        <f t="shared" si="592"/>
        <v>0</v>
      </c>
      <c r="AJ596" s="798">
        <f t="shared" si="592"/>
        <v>0</v>
      </c>
      <c r="AK596" s="798">
        <f t="shared" si="592"/>
        <v>0</v>
      </c>
      <c r="AL596" s="798">
        <f t="shared" si="592"/>
        <v>0</v>
      </c>
      <c r="AM596" s="798">
        <f t="shared" si="592"/>
        <v>0</v>
      </c>
      <c r="AN596" s="798">
        <f t="shared" si="592"/>
        <v>0</v>
      </c>
      <c r="AO596" s="798">
        <f t="shared" si="592"/>
        <v>0</v>
      </c>
      <c r="AP596" s="798">
        <f t="shared" si="592"/>
        <v>0</v>
      </c>
      <c r="AQ596" s="798">
        <f t="shared" si="592"/>
        <v>0</v>
      </c>
      <c r="AR596" s="798">
        <f t="shared" si="592"/>
        <v>0</v>
      </c>
      <c r="AS596" s="798">
        <f t="shared" si="592"/>
        <v>0</v>
      </c>
      <c r="AT596" s="798">
        <f t="shared" si="592"/>
        <v>0</v>
      </c>
      <c r="AU596" s="798">
        <f t="shared" si="592"/>
        <v>0</v>
      </c>
      <c r="AV596" s="798">
        <f t="shared" si="592"/>
        <v>0</v>
      </c>
      <c r="AW596" s="798">
        <f t="shared" si="592"/>
        <v>1</v>
      </c>
      <c r="AX596" s="798">
        <f t="shared" si="592"/>
        <v>1</v>
      </c>
      <c r="AY596" s="798">
        <f t="shared" si="592"/>
        <v>1</v>
      </c>
      <c r="AZ596" s="798">
        <f t="shared" si="592"/>
        <v>1</v>
      </c>
      <c r="BA596" s="798">
        <f t="shared" si="592"/>
        <v>1</v>
      </c>
      <c r="BB596" s="798">
        <f t="shared" si="592"/>
        <v>1</v>
      </c>
      <c r="BC596" s="798">
        <f t="shared" si="592"/>
        <v>1</v>
      </c>
      <c r="BD596" s="798">
        <f t="shared" si="592"/>
        <v>1</v>
      </c>
      <c r="BE596" s="798">
        <f t="shared" si="592"/>
        <v>1</v>
      </c>
      <c r="BF596" s="798">
        <f t="shared" si="592"/>
        <v>1</v>
      </c>
      <c r="BG596" s="798">
        <f t="shared" si="592"/>
        <v>1</v>
      </c>
      <c r="BH596" s="798">
        <f t="shared" si="592"/>
        <v>1</v>
      </c>
      <c r="BI596" s="798">
        <f t="shared" si="592"/>
        <v>1</v>
      </c>
      <c r="BJ596" s="798">
        <f t="shared" si="592"/>
        <v>1</v>
      </c>
      <c r="BK596" s="798">
        <f t="shared" si="592"/>
        <v>1</v>
      </c>
      <c r="BL596" s="765"/>
      <c r="BM596" s="817"/>
      <c r="BN596" s="817"/>
    </row>
    <row r="597" hidden="1">
      <c r="A597" s="765"/>
      <c r="B597" s="765"/>
      <c r="C597" s="765"/>
      <c r="D597" s="765"/>
      <c r="E597" s="765"/>
      <c r="F597" s="765"/>
      <c r="G597" s="765"/>
      <c r="H597" s="765"/>
      <c r="I597" s="765">
        <f t="shared" si="17"/>
        <v>586</v>
      </c>
      <c r="J597" s="763">
        <f t="shared" si="5"/>
        <v>2.74204E+16</v>
      </c>
      <c r="K597" s="796">
        <f t="shared" si="7"/>
        <v>0.52679</v>
      </c>
      <c r="L597" s="796">
        <v>5.0E-4</v>
      </c>
      <c r="M597" s="763">
        <v>3.12661005931648E16</v>
      </c>
      <c r="N597" s="797">
        <f t="shared" si="8"/>
        <v>0</v>
      </c>
      <c r="O597" s="798">
        <f t="shared" ref="O597:BK597" si="593">FLOOR(MIN((((N("value of ELS upgrade")+N$8*($K597-$K596))*(N("Check checkbox")+(IF($G$6=TRUE,$G$7,$G$8))/$G$8))/(N("ROI of ELS and multiply by 2 if ELS is 1:1")+IF($G$12 = True, 2, 1) * $J597))/((N("difference in ELS+ and the cost of it")+(($K596*O$8)-($K596*N$8)) / O$7)),(N("MIN lets it return 0 or 1 after floored")+1)),1)</f>
        <v>0</v>
      </c>
      <c r="P597" s="798">
        <f t="shared" si="593"/>
        <v>0</v>
      </c>
      <c r="Q597" s="798">
        <f t="shared" si="593"/>
        <v>0</v>
      </c>
      <c r="R597" s="798">
        <f t="shared" si="593"/>
        <v>0</v>
      </c>
      <c r="S597" s="798">
        <f t="shared" si="593"/>
        <v>0</v>
      </c>
      <c r="T597" s="798">
        <f t="shared" si="593"/>
        <v>0</v>
      </c>
      <c r="U597" s="798">
        <f t="shared" si="593"/>
        <v>0</v>
      </c>
      <c r="V597" s="798">
        <f t="shared" si="593"/>
        <v>0</v>
      </c>
      <c r="W597" s="798">
        <f t="shared" si="593"/>
        <v>0</v>
      </c>
      <c r="X597" s="798">
        <f t="shared" si="593"/>
        <v>0</v>
      </c>
      <c r="Y597" s="798">
        <f t="shared" si="593"/>
        <v>0</v>
      </c>
      <c r="Z597" s="798">
        <f t="shared" si="593"/>
        <v>0</v>
      </c>
      <c r="AA597" s="798">
        <f t="shared" si="593"/>
        <v>0</v>
      </c>
      <c r="AB597" s="798">
        <f t="shared" si="593"/>
        <v>0</v>
      </c>
      <c r="AC597" s="798">
        <f t="shared" si="593"/>
        <v>0</v>
      </c>
      <c r="AD597" s="798">
        <f t="shared" si="593"/>
        <v>0</v>
      </c>
      <c r="AE597" s="798">
        <f t="shared" si="593"/>
        <v>0</v>
      </c>
      <c r="AF597" s="798">
        <f t="shared" si="593"/>
        <v>0</v>
      </c>
      <c r="AG597" s="798">
        <f t="shared" si="593"/>
        <v>0</v>
      </c>
      <c r="AH597" s="798">
        <f t="shared" si="593"/>
        <v>0</v>
      </c>
      <c r="AI597" s="798">
        <f t="shared" si="593"/>
        <v>0</v>
      </c>
      <c r="AJ597" s="798">
        <f t="shared" si="593"/>
        <v>0</v>
      </c>
      <c r="AK597" s="798">
        <f t="shared" si="593"/>
        <v>0</v>
      </c>
      <c r="AL597" s="798">
        <f t="shared" si="593"/>
        <v>0</v>
      </c>
      <c r="AM597" s="798">
        <f t="shared" si="593"/>
        <v>0</v>
      </c>
      <c r="AN597" s="798">
        <f t="shared" si="593"/>
        <v>0</v>
      </c>
      <c r="AO597" s="798">
        <f t="shared" si="593"/>
        <v>0</v>
      </c>
      <c r="AP597" s="798">
        <f t="shared" si="593"/>
        <v>0</v>
      </c>
      <c r="AQ597" s="798">
        <f t="shared" si="593"/>
        <v>0</v>
      </c>
      <c r="AR597" s="798">
        <f t="shared" si="593"/>
        <v>0</v>
      </c>
      <c r="AS597" s="798">
        <f t="shared" si="593"/>
        <v>0</v>
      </c>
      <c r="AT597" s="798">
        <f t="shared" si="593"/>
        <v>0</v>
      </c>
      <c r="AU597" s="798">
        <f t="shared" si="593"/>
        <v>0</v>
      </c>
      <c r="AV597" s="798">
        <f t="shared" si="593"/>
        <v>0</v>
      </c>
      <c r="AW597" s="798">
        <f t="shared" si="593"/>
        <v>1</v>
      </c>
      <c r="AX597" s="798">
        <f t="shared" si="593"/>
        <v>1</v>
      </c>
      <c r="AY597" s="798">
        <f t="shared" si="593"/>
        <v>1</v>
      </c>
      <c r="AZ597" s="798">
        <f t="shared" si="593"/>
        <v>1</v>
      </c>
      <c r="BA597" s="798">
        <f t="shared" si="593"/>
        <v>1</v>
      </c>
      <c r="BB597" s="798">
        <f t="shared" si="593"/>
        <v>1</v>
      </c>
      <c r="BC597" s="798">
        <f t="shared" si="593"/>
        <v>1</v>
      </c>
      <c r="BD597" s="798">
        <f t="shared" si="593"/>
        <v>1</v>
      </c>
      <c r="BE597" s="798">
        <f t="shared" si="593"/>
        <v>1</v>
      </c>
      <c r="BF597" s="798">
        <f t="shared" si="593"/>
        <v>1</v>
      </c>
      <c r="BG597" s="798">
        <f t="shared" si="593"/>
        <v>1</v>
      </c>
      <c r="BH597" s="798">
        <f t="shared" si="593"/>
        <v>1</v>
      </c>
      <c r="BI597" s="798">
        <f t="shared" si="593"/>
        <v>1</v>
      </c>
      <c r="BJ597" s="798">
        <f t="shared" si="593"/>
        <v>1</v>
      </c>
      <c r="BK597" s="798">
        <f t="shared" si="593"/>
        <v>1</v>
      </c>
      <c r="BL597" s="765"/>
      <c r="BM597" s="817"/>
      <c r="BN597" s="817"/>
    </row>
    <row r="598" hidden="1">
      <c r="A598" s="765"/>
      <c r="B598" s="765"/>
      <c r="C598" s="765"/>
      <c r="D598" s="765"/>
      <c r="E598" s="765"/>
      <c r="F598" s="765"/>
      <c r="G598" s="765"/>
      <c r="H598" s="765"/>
      <c r="I598" s="765">
        <f t="shared" si="17"/>
        <v>587</v>
      </c>
      <c r="J598" s="763">
        <f t="shared" si="5"/>
        <v>2.75145E+16</v>
      </c>
      <c r="K598" s="796">
        <f t="shared" si="7"/>
        <v>0.52729</v>
      </c>
      <c r="L598" s="796">
        <v>5.0E-4</v>
      </c>
      <c r="M598" s="763">
        <v>3.13734459305083E16</v>
      </c>
      <c r="N598" s="797">
        <f t="shared" si="8"/>
        <v>0</v>
      </c>
      <c r="O598" s="798">
        <f t="shared" ref="O598:BK598" si="594">FLOOR(MIN((((N("value of ELS upgrade")+N$8*($K598-$K597))*(N("Check checkbox")+(IF($G$6=TRUE,$G$7,$G$8))/$G$8))/(N("ROI of ELS and multiply by 2 if ELS is 1:1")+IF($G$12 = True, 2, 1) * $J598))/((N("difference in ELS+ and the cost of it")+(($K597*O$8)-($K597*N$8)) / O$7)),(N("MIN lets it return 0 or 1 after floored")+1)),1)</f>
        <v>0</v>
      </c>
      <c r="P598" s="798">
        <f t="shared" si="594"/>
        <v>0</v>
      </c>
      <c r="Q598" s="798">
        <f t="shared" si="594"/>
        <v>0</v>
      </c>
      <c r="R598" s="798">
        <f t="shared" si="594"/>
        <v>0</v>
      </c>
      <c r="S598" s="798">
        <f t="shared" si="594"/>
        <v>0</v>
      </c>
      <c r="T598" s="798">
        <f t="shared" si="594"/>
        <v>0</v>
      </c>
      <c r="U598" s="798">
        <f t="shared" si="594"/>
        <v>0</v>
      </c>
      <c r="V598" s="798">
        <f t="shared" si="594"/>
        <v>0</v>
      </c>
      <c r="W598" s="798">
        <f t="shared" si="594"/>
        <v>0</v>
      </c>
      <c r="X598" s="798">
        <f t="shared" si="594"/>
        <v>0</v>
      </c>
      <c r="Y598" s="798">
        <f t="shared" si="594"/>
        <v>0</v>
      </c>
      <c r="Z598" s="798">
        <f t="shared" si="594"/>
        <v>0</v>
      </c>
      <c r="AA598" s="798">
        <f t="shared" si="594"/>
        <v>0</v>
      </c>
      <c r="AB598" s="798">
        <f t="shared" si="594"/>
        <v>0</v>
      </c>
      <c r="AC598" s="798">
        <f t="shared" si="594"/>
        <v>0</v>
      </c>
      <c r="AD598" s="798">
        <f t="shared" si="594"/>
        <v>0</v>
      </c>
      <c r="AE598" s="798">
        <f t="shared" si="594"/>
        <v>0</v>
      </c>
      <c r="AF598" s="798">
        <f t="shared" si="594"/>
        <v>0</v>
      </c>
      <c r="AG598" s="798">
        <f t="shared" si="594"/>
        <v>0</v>
      </c>
      <c r="AH598" s="798">
        <f t="shared" si="594"/>
        <v>0</v>
      </c>
      <c r="AI598" s="798">
        <f t="shared" si="594"/>
        <v>0</v>
      </c>
      <c r="AJ598" s="798">
        <f t="shared" si="594"/>
        <v>0</v>
      </c>
      <c r="AK598" s="798">
        <f t="shared" si="594"/>
        <v>0</v>
      </c>
      <c r="AL598" s="798">
        <f t="shared" si="594"/>
        <v>0</v>
      </c>
      <c r="AM598" s="798">
        <f t="shared" si="594"/>
        <v>0</v>
      </c>
      <c r="AN598" s="798">
        <f t="shared" si="594"/>
        <v>0</v>
      </c>
      <c r="AO598" s="798">
        <f t="shared" si="594"/>
        <v>0</v>
      </c>
      <c r="AP598" s="798">
        <f t="shared" si="594"/>
        <v>0</v>
      </c>
      <c r="AQ598" s="798">
        <f t="shared" si="594"/>
        <v>0</v>
      </c>
      <c r="AR598" s="798">
        <f t="shared" si="594"/>
        <v>0</v>
      </c>
      <c r="AS598" s="798">
        <f t="shared" si="594"/>
        <v>0</v>
      </c>
      <c r="AT598" s="798">
        <f t="shared" si="594"/>
        <v>0</v>
      </c>
      <c r="AU598" s="798">
        <f t="shared" si="594"/>
        <v>0</v>
      </c>
      <c r="AV598" s="798">
        <f t="shared" si="594"/>
        <v>0</v>
      </c>
      <c r="AW598" s="798">
        <f t="shared" si="594"/>
        <v>1</v>
      </c>
      <c r="AX598" s="798">
        <f t="shared" si="594"/>
        <v>1</v>
      </c>
      <c r="AY598" s="798">
        <f t="shared" si="594"/>
        <v>1</v>
      </c>
      <c r="AZ598" s="798">
        <f t="shared" si="594"/>
        <v>1</v>
      </c>
      <c r="BA598" s="798">
        <f t="shared" si="594"/>
        <v>1</v>
      </c>
      <c r="BB598" s="798">
        <f t="shared" si="594"/>
        <v>1</v>
      </c>
      <c r="BC598" s="798">
        <f t="shared" si="594"/>
        <v>1</v>
      </c>
      <c r="BD598" s="798">
        <f t="shared" si="594"/>
        <v>1</v>
      </c>
      <c r="BE598" s="798">
        <f t="shared" si="594"/>
        <v>1</v>
      </c>
      <c r="BF598" s="798">
        <f t="shared" si="594"/>
        <v>1</v>
      </c>
      <c r="BG598" s="798">
        <f t="shared" si="594"/>
        <v>1</v>
      </c>
      <c r="BH598" s="798">
        <f t="shared" si="594"/>
        <v>1</v>
      </c>
      <c r="BI598" s="798">
        <f t="shared" si="594"/>
        <v>1</v>
      </c>
      <c r="BJ598" s="798">
        <f t="shared" si="594"/>
        <v>1</v>
      </c>
      <c r="BK598" s="798">
        <f t="shared" si="594"/>
        <v>1</v>
      </c>
      <c r="BL598" s="765"/>
      <c r="BM598" s="817"/>
      <c r="BN598" s="817"/>
    </row>
    <row r="599" hidden="1">
      <c r="A599" s="765"/>
      <c r="B599" s="765"/>
      <c r="C599" s="765"/>
      <c r="D599" s="765"/>
      <c r="E599" s="765"/>
      <c r="F599" s="765"/>
      <c r="G599" s="765"/>
      <c r="H599" s="765"/>
      <c r="I599" s="765">
        <f t="shared" si="17"/>
        <v>588</v>
      </c>
      <c r="J599" s="763">
        <f t="shared" si="5"/>
        <v>2.76089E+16</v>
      </c>
      <c r="K599" s="796">
        <f t="shared" si="7"/>
        <v>0.52779</v>
      </c>
      <c r="L599" s="796">
        <v>5.0E-4</v>
      </c>
      <c r="M599" s="763">
        <v>3.14811047354379E16</v>
      </c>
      <c r="N599" s="797">
        <f t="shared" si="8"/>
        <v>0</v>
      </c>
      <c r="O599" s="798">
        <f t="shared" ref="O599:BK599" si="595">FLOOR(MIN((((N("value of ELS upgrade")+N$8*($K599-$K598))*(N("Check checkbox")+(IF($G$6=TRUE,$G$7,$G$8))/$G$8))/(N("ROI of ELS and multiply by 2 if ELS is 1:1")+IF($G$12 = True, 2, 1) * $J599))/((N("difference in ELS+ and the cost of it")+(($K598*O$8)-($K598*N$8)) / O$7)),(N("MIN lets it return 0 or 1 after floored")+1)),1)</f>
        <v>0</v>
      </c>
      <c r="P599" s="798">
        <f t="shared" si="595"/>
        <v>0</v>
      </c>
      <c r="Q599" s="798">
        <f t="shared" si="595"/>
        <v>0</v>
      </c>
      <c r="R599" s="798">
        <f t="shared" si="595"/>
        <v>0</v>
      </c>
      <c r="S599" s="798">
        <f t="shared" si="595"/>
        <v>0</v>
      </c>
      <c r="T599" s="798">
        <f t="shared" si="595"/>
        <v>0</v>
      </c>
      <c r="U599" s="798">
        <f t="shared" si="595"/>
        <v>0</v>
      </c>
      <c r="V599" s="798">
        <f t="shared" si="595"/>
        <v>0</v>
      </c>
      <c r="W599" s="798">
        <f t="shared" si="595"/>
        <v>0</v>
      </c>
      <c r="X599" s="798">
        <f t="shared" si="595"/>
        <v>0</v>
      </c>
      <c r="Y599" s="798">
        <f t="shared" si="595"/>
        <v>0</v>
      </c>
      <c r="Z599" s="798">
        <f t="shared" si="595"/>
        <v>0</v>
      </c>
      <c r="AA599" s="798">
        <f t="shared" si="595"/>
        <v>0</v>
      </c>
      <c r="AB599" s="798">
        <f t="shared" si="595"/>
        <v>0</v>
      </c>
      <c r="AC599" s="798">
        <f t="shared" si="595"/>
        <v>0</v>
      </c>
      <c r="AD599" s="798">
        <f t="shared" si="595"/>
        <v>0</v>
      </c>
      <c r="AE599" s="798">
        <f t="shared" si="595"/>
        <v>0</v>
      </c>
      <c r="AF599" s="798">
        <f t="shared" si="595"/>
        <v>0</v>
      </c>
      <c r="AG599" s="798">
        <f t="shared" si="595"/>
        <v>0</v>
      </c>
      <c r="AH599" s="798">
        <f t="shared" si="595"/>
        <v>0</v>
      </c>
      <c r="AI599" s="798">
        <f t="shared" si="595"/>
        <v>0</v>
      </c>
      <c r="AJ599" s="798">
        <f t="shared" si="595"/>
        <v>0</v>
      </c>
      <c r="AK599" s="798">
        <f t="shared" si="595"/>
        <v>0</v>
      </c>
      <c r="AL599" s="798">
        <f t="shared" si="595"/>
        <v>0</v>
      </c>
      <c r="AM599" s="798">
        <f t="shared" si="595"/>
        <v>0</v>
      </c>
      <c r="AN599" s="798">
        <f t="shared" si="595"/>
        <v>0</v>
      </c>
      <c r="AO599" s="798">
        <f t="shared" si="595"/>
        <v>0</v>
      </c>
      <c r="AP599" s="798">
        <f t="shared" si="595"/>
        <v>0</v>
      </c>
      <c r="AQ599" s="798">
        <f t="shared" si="595"/>
        <v>0</v>
      </c>
      <c r="AR599" s="798">
        <f t="shared" si="595"/>
        <v>0</v>
      </c>
      <c r="AS599" s="798">
        <f t="shared" si="595"/>
        <v>0</v>
      </c>
      <c r="AT599" s="798">
        <f t="shared" si="595"/>
        <v>0</v>
      </c>
      <c r="AU599" s="798">
        <f t="shared" si="595"/>
        <v>0</v>
      </c>
      <c r="AV599" s="798">
        <f t="shared" si="595"/>
        <v>0</v>
      </c>
      <c r="AW599" s="798">
        <f t="shared" si="595"/>
        <v>1</v>
      </c>
      <c r="AX599" s="798">
        <f t="shared" si="595"/>
        <v>1</v>
      </c>
      <c r="AY599" s="798">
        <f t="shared" si="595"/>
        <v>1</v>
      </c>
      <c r="AZ599" s="798">
        <f t="shared" si="595"/>
        <v>1</v>
      </c>
      <c r="BA599" s="798">
        <f t="shared" si="595"/>
        <v>1</v>
      </c>
      <c r="BB599" s="798">
        <f t="shared" si="595"/>
        <v>1</v>
      </c>
      <c r="BC599" s="798">
        <f t="shared" si="595"/>
        <v>1</v>
      </c>
      <c r="BD599" s="798">
        <f t="shared" si="595"/>
        <v>1</v>
      </c>
      <c r="BE599" s="798">
        <f t="shared" si="595"/>
        <v>1</v>
      </c>
      <c r="BF599" s="798">
        <f t="shared" si="595"/>
        <v>1</v>
      </c>
      <c r="BG599" s="798">
        <f t="shared" si="595"/>
        <v>1</v>
      </c>
      <c r="BH599" s="798">
        <f t="shared" si="595"/>
        <v>1</v>
      </c>
      <c r="BI599" s="798">
        <f t="shared" si="595"/>
        <v>1</v>
      </c>
      <c r="BJ599" s="798">
        <f t="shared" si="595"/>
        <v>1</v>
      </c>
      <c r="BK599" s="798">
        <f t="shared" si="595"/>
        <v>1</v>
      </c>
      <c r="BL599" s="765"/>
      <c r="BM599" s="817"/>
      <c r="BN599" s="817"/>
    </row>
    <row r="600" hidden="1">
      <c r="A600" s="765"/>
      <c r="B600" s="765"/>
      <c r="C600" s="765"/>
      <c r="D600" s="765"/>
      <c r="E600" s="765"/>
      <c r="F600" s="765"/>
      <c r="G600" s="765"/>
      <c r="H600" s="765"/>
      <c r="I600" s="765">
        <f t="shared" si="17"/>
        <v>589</v>
      </c>
      <c r="J600" s="763">
        <f t="shared" si="5"/>
        <v>2.77036E+16</v>
      </c>
      <c r="K600" s="796">
        <f t="shared" si="7"/>
        <v>0.52829</v>
      </c>
      <c r="L600" s="796">
        <v>5.0E-4</v>
      </c>
      <c r="M600" s="763">
        <v>3.15890779436778E16</v>
      </c>
      <c r="N600" s="797">
        <f t="shared" si="8"/>
        <v>0</v>
      </c>
      <c r="O600" s="798">
        <f t="shared" ref="O600:BK600" si="596">FLOOR(MIN((((N("value of ELS upgrade")+N$8*($K600-$K599))*(N("Check checkbox")+(IF($G$6=TRUE,$G$7,$G$8))/$G$8))/(N("ROI of ELS and multiply by 2 if ELS is 1:1")+IF($G$12 = True, 2, 1) * $J600))/((N("difference in ELS+ and the cost of it")+(($K599*O$8)-($K599*N$8)) / O$7)),(N("MIN lets it return 0 or 1 after floored")+1)),1)</f>
        <v>0</v>
      </c>
      <c r="P600" s="798">
        <f t="shared" si="596"/>
        <v>0</v>
      </c>
      <c r="Q600" s="798">
        <f t="shared" si="596"/>
        <v>0</v>
      </c>
      <c r="R600" s="798">
        <f t="shared" si="596"/>
        <v>0</v>
      </c>
      <c r="S600" s="798">
        <f t="shared" si="596"/>
        <v>0</v>
      </c>
      <c r="T600" s="798">
        <f t="shared" si="596"/>
        <v>0</v>
      </c>
      <c r="U600" s="798">
        <f t="shared" si="596"/>
        <v>0</v>
      </c>
      <c r="V600" s="798">
        <f t="shared" si="596"/>
        <v>0</v>
      </c>
      <c r="W600" s="798">
        <f t="shared" si="596"/>
        <v>0</v>
      </c>
      <c r="X600" s="798">
        <f t="shared" si="596"/>
        <v>0</v>
      </c>
      <c r="Y600" s="798">
        <f t="shared" si="596"/>
        <v>0</v>
      </c>
      <c r="Z600" s="798">
        <f t="shared" si="596"/>
        <v>0</v>
      </c>
      <c r="AA600" s="798">
        <f t="shared" si="596"/>
        <v>0</v>
      </c>
      <c r="AB600" s="798">
        <f t="shared" si="596"/>
        <v>0</v>
      </c>
      <c r="AC600" s="798">
        <f t="shared" si="596"/>
        <v>0</v>
      </c>
      <c r="AD600" s="798">
        <f t="shared" si="596"/>
        <v>0</v>
      </c>
      <c r="AE600" s="798">
        <f t="shared" si="596"/>
        <v>0</v>
      </c>
      <c r="AF600" s="798">
        <f t="shared" si="596"/>
        <v>0</v>
      </c>
      <c r="AG600" s="798">
        <f t="shared" si="596"/>
        <v>0</v>
      </c>
      <c r="AH600" s="798">
        <f t="shared" si="596"/>
        <v>0</v>
      </c>
      <c r="AI600" s="798">
        <f t="shared" si="596"/>
        <v>0</v>
      </c>
      <c r="AJ600" s="798">
        <f t="shared" si="596"/>
        <v>0</v>
      </c>
      <c r="AK600" s="798">
        <f t="shared" si="596"/>
        <v>0</v>
      </c>
      <c r="AL600" s="798">
        <f t="shared" si="596"/>
        <v>0</v>
      </c>
      <c r="AM600" s="798">
        <f t="shared" si="596"/>
        <v>0</v>
      </c>
      <c r="AN600" s="798">
        <f t="shared" si="596"/>
        <v>0</v>
      </c>
      <c r="AO600" s="798">
        <f t="shared" si="596"/>
        <v>0</v>
      </c>
      <c r="AP600" s="798">
        <f t="shared" si="596"/>
        <v>0</v>
      </c>
      <c r="AQ600" s="798">
        <f t="shared" si="596"/>
        <v>0</v>
      </c>
      <c r="AR600" s="798">
        <f t="shared" si="596"/>
        <v>0</v>
      </c>
      <c r="AS600" s="798">
        <f t="shared" si="596"/>
        <v>0</v>
      </c>
      <c r="AT600" s="798">
        <f t="shared" si="596"/>
        <v>0</v>
      </c>
      <c r="AU600" s="798">
        <f t="shared" si="596"/>
        <v>0</v>
      </c>
      <c r="AV600" s="798">
        <f t="shared" si="596"/>
        <v>0</v>
      </c>
      <c r="AW600" s="798">
        <f t="shared" si="596"/>
        <v>1</v>
      </c>
      <c r="AX600" s="798">
        <f t="shared" si="596"/>
        <v>1</v>
      </c>
      <c r="AY600" s="798">
        <f t="shared" si="596"/>
        <v>1</v>
      </c>
      <c r="AZ600" s="798">
        <f t="shared" si="596"/>
        <v>1</v>
      </c>
      <c r="BA600" s="798">
        <f t="shared" si="596"/>
        <v>1</v>
      </c>
      <c r="BB600" s="798">
        <f t="shared" si="596"/>
        <v>1</v>
      </c>
      <c r="BC600" s="798">
        <f t="shared" si="596"/>
        <v>1</v>
      </c>
      <c r="BD600" s="798">
        <f t="shared" si="596"/>
        <v>1</v>
      </c>
      <c r="BE600" s="798">
        <f t="shared" si="596"/>
        <v>1</v>
      </c>
      <c r="BF600" s="798">
        <f t="shared" si="596"/>
        <v>1</v>
      </c>
      <c r="BG600" s="798">
        <f t="shared" si="596"/>
        <v>1</v>
      </c>
      <c r="BH600" s="798">
        <f t="shared" si="596"/>
        <v>1</v>
      </c>
      <c r="BI600" s="798">
        <f t="shared" si="596"/>
        <v>1</v>
      </c>
      <c r="BJ600" s="798">
        <f t="shared" si="596"/>
        <v>1</v>
      </c>
      <c r="BK600" s="798">
        <f t="shared" si="596"/>
        <v>1</v>
      </c>
      <c r="BL600" s="765"/>
      <c r="BM600" s="817"/>
      <c r="BN600" s="817"/>
    </row>
    <row r="601" hidden="1">
      <c r="A601" s="765"/>
      <c r="B601" s="765"/>
      <c r="C601" s="765"/>
      <c r="D601" s="765"/>
      <c r="E601" s="765"/>
      <c r="F601" s="765"/>
      <c r="G601" s="765"/>
      <c r="H601" s="765"/>
      <c r="I601" s="765">
        <f t="shared" si="17"/>
        <v>590</v>
      </c>
      <c r="J601" s="763">
        <f t="shared" si="5"/>
        <v>2.77986E+16</v>
      </c>
      <c r="K601" s="796">
        <f t="shared" si="7"/>
        <v>0.52879</v>
      </c>
      <c r="L601" s="796">
        <v>5.0E-4</v>
      </c>
      <c r="M601" s="763">
        <v>3.16973664909521E16</v>
      </c>
      <c r="N601" s="797">
        <f t="shared" si="8"/>
        <v>0</v>
      </c>
      <c r="O601" s="798">
        <f t="shared" ref="O601:BK601" si="597">FLOOR(MIN((((N("value of ELS upgrade")+N$8*($K601-$K600))*(N("Check checkbox")+(IF($G$6=TRUE,$G$7,$G$8))/$G$8))/(N("ROI of ELS and multiply by 2 if ELS is 1:1")+IF($G$12 = True, 2, 1) * $J601))/((N("difference in ELS+ and the cost of it")+(($K600*O$8)-($K600*N$8)) / O$7)),(N("MIN lets it return 0 or 1 after floored")+1)),1)</f>
        <v>0</v>
      </c>
      <c r="P601" s="798">
        <f t="shared" si="597"/>
        <v>0</v>
      </c>
      <c r="Q601" s="798">
        <f t="shared" si="597"/>
        <v>0</v>
      </c>
      <c r="R601" s="798">
        <f t="shared" si="597"/>
        <v>0</v>
      </c>
      <c r="S601" s="798">
        <f t="shared" si="597"/>
        <v>0</v>
      </c>
      <c r="T601" s="798">
        <f t="shared" si="597"/>
        <v>0</v>
      </c>
      <c r="U601" s="798">
        <f t="shared" si="597"/>
        <v>0</v>
      </c>
      <c r="V601" s="798">
        <f t="shared" si="597"/>
        <v>0</v>
      </c>
      <c r="W601" s="798">
        <f t="shared" si="597"/>
        <v>0</v>
      </c>
      <c r="X601" s="798">
        <f t="shared" si="597"/>
        <v>0</v>
      </c>
      <c r="Y601" s="798">
        <f t="shared" si="597"/>
        <v>0</v>
      </c>
      <c r="Z601" s="798">
        <f t="shared" si="597"/>
        <v>0</v>
      </c>
      <c r="AA601" s="798">
        <f t="shared" si="597"/>
        <v>0</v>
      </c>
      <c r="AB601" s="798">
        <f t="shared" si="597"/>
        <v>0</v>
      </c>
      <c r="AC601" s="798">
        <f t="shared" si="597"/>
        <v>0</v>
      </c>
      <c r="AD601" s="798">
        <f t="shared" si="597"/>
        <v>0</v>
      </c>
      <c r="AE601" s="798">
        <f t="shared" si="597"/>
        <v>0</v>
      </c>
      <c r="AF601" s="798">
        <f t="shared" si="597"/>
        <v>0</v>
      </c>
      <c r="AG601" s="798">
        <f t="shared" si="597"/>
        <v>0</v>
      </c>
      <c r="AH601" s="798">
        <f t="shared" si="597"/>
        <v>0</v>
      </c>
      <c r="AI601" s="798">
        <f t="shared" si="597"/>
        <v>0</v>
      </c>
      <c r="AJ601" s="798">
        <f t="shared" si="597"/>
        <v>0</v>
      </c>
      <c r="AK601" s="798">
        <f t="shared" si="597"/>
        <v>0</v>
      </c>
      <c r="AL601" s="798">
        <f t="shared" si="597"/>
        <v>0</v>
      </c>
      <c r="AM601" s="798">
        <f t="shared" si="597"/>
        <v>0</v>
      </c>
      <c r="AN601" s="798">
        <f t="shared" si="597"/>
        <v>0</v>
      </c>
      <c r="AO601" s="798">
        <f t="shared" si="597"/>
        <v>0</v>
      </c>
      <c r="AP601" s="798">
        <f t="shared" si="597"/>
        <v>0</v>
      </c>
      <c r="AQ601" s="798">
        <f t="shared" si="597"/>
        <v>0</v>
      </c>
      <c r="AR601" s="798">
        <f t="shared" si="597"/>
        <v>0</v>
      </c>
      <c r="AS601" s="798">
        <f t="shared" si="597"/>
        <v>0</v>
      </c>
      <c r="AT601" s="798">
        <f t="shared" si="597"/>
        <v>0</v>
      </c>
      <c r="AU601" s="798">
        <f t="shared" si="597"/>
        <v>0</v>
      </c>
      <c r="AV601" s="798">
        <f t="shared" si="597"/>
        <v>0</v>
      </c>
      <c r="AW601" s="798">
        <f t="shared" si="597"/>
        <v>1</v>
      </c>
      <c r="AX601" s="798">
        <f t="shared" si="597"/>
        <v>1</v>
      </c>
      <c r="AY601" s="798">
        <f t="shared" si="597"/>
        <v>1</v>
      </c>
      <c r="AZ601" s="798">
        <f t="shared" si="597"/>
        <v>1</v>
      </c>
      <c r="BA601" s="798">
        <f t="shared" si="597"/>
        <v>1</v>
      </c>
      <c r="BB601" s="798">
        <f t="shared" si="597"/>
        <v>1</v>
      </c>
      <c r="BC601" s="798">
        <f t="shared" si="597"/>
        <v>1</v>
      </c>
      <c r="BD601" s="798">
        <f t="shared" si="597"/>
        <v>1</v>
      </c>
      <c r="BE601" s="798">
        <f t="shared" si="597"/>
        <v>1</v>
      </c>
      <c r="BF601" s="798">
        <f t="shared" si="597"/>
        <v>1</v>
      </c>
      <c r="BG601" s="798">
        <f t="shared" si="597"/>
        <v>1</v>
      </c>
      <c r="BH601" s="798">
        <f t="shared" si="597"/>
        <v>1</v>
      </c>
      <c r="BI601" s="798">
        <f t="shared" si="597"/>
        <v>1</v>
      </c>
      <c r="BJ601" s="798">
        <f t="shared" si="597"/>
        <v>1</v>
      </c>
      <c r="BK601" s="798">
        <f t="shared" si="597"/>
        <v>1</v>
      </c>
      <c r="BL601" s="765"/>
      <c r="BM601" s="817"/>
      <c r="BN601" s="817"/>
    </row>
    <row r="602" hidden="1">
      <c r="A602" s="765"/>
      <c r="B602" s="765"/>
      <c r="C602" s="765"/>
      <c r="D602" s="765"/>
      <c r="E602" s="765"/>
      <c r="F602" s="765"/>
      <c r="G602" s="765"/>
      <c r="H602" s="765"/>
      <c r="I602" s="765">
        <f t="shared" si="17"/>
        <v>591</v>
      </c>
      <c r="J602" s="763">
        <f t="shared" si="5"/>
        <v>2.78938E+16</v>
      </c>
      <c r="K602" s="796">
        <f t="shared" si="7"/>
        <v>0.52929</v>
      </c>
      <c r="L602" s="796">
        <v>5.0E-4</v>
      </c>
      <c r="M602" s="763">
        <v>3.18059713129848E16</v>
      </c>
      <c r="N602" s="797">
        <f t="shared" si="8"/>
        <v>0</v>
      </c>
      <c r="O602" s="798">
        <f t="shared" ref="O602:BK602" si="598">FLOOR(MIN((((N("value of ELS upgrade")+N$8*($K602-$K601))*(N("Check checkbox")+(IF($G$6=TRUE,$G$7,$G$8))/$G$8))/(N("ROI of ELS and multiply by 2 if ELS is 1:1")+IF($G$12 = True, 2, 1) * $J602))/((N("difference in ELS+ and the cost of it")+(($K601*O$8)-($K601*N$8)) / O$7)),(N("MIN lets it return 0 or 1 after floored")+1)),1)</f>
        <v>0</v>
      </c>
      <c r="P602" s="798">
        <f t="shared" si="598"/>
        <v>0</v>
      </c>
      <c r="Q602" s="798">
        <f t="shared" si="598"/>
        <v>0</v>
      </c>
      <c r="R602" s="798">
        <f t="shared" si="598"/>
        <v>0</v>
      </c>
      <c r="S602" s="798">
        <f t="shared" si="598"/>
        <v>0</v>
      </c>
      <c r="T602" s="798">
        <f t="shared" si="598"/>
        <v>0</v>
      </c>
      <c r="U602" s="798">
        <f t="shared" si="598"/>
        <v>0</v>
      </c>
      <c r="V602" s="798">
        <f t="shared" si="598"/>
        <v>0</v>
      </c>
      <c r="W602" s="798">
        <f t="shared" si="598"/>
        <v>0</v>
      </c>
      <c r="X602" s="798">
        <f t="shared" si="598"/>
        <v>0</v>
      </c>
      <c r="Y602" s="798">
        <f t="shared" si="598"/>
        <v>0</v>
      </c>
      <c r="Z602" s="798">
        <f t="shared" si="598"/>
        <v>0</v>
      </c>
      <c r="AA602" s="798">
        <f t="shared" si="598"/>
        <v>0</v>
      </c>
      <c r="AB602" s="798">
        <f t="shared" si="598"/>
        <v>0</v>
      </c>
      <c r="AC602" s="798">
        <f t="shared" si="598"/>
        <v>0</v>
      </c>
      <c r="AD602" s="798">
        <f t="shared" si="598"/>
        <v>0</v>
      </c>
      <c r="AE602" s="798">
        <f t="shared" si="598"/>
        <v>0</v>
      </c>
      <c r="AF602" s="798">
        <f t="shared" si="598"/>
        <v>0</v>
      </c>
      <c r="AG602" s="798">
        <f t="shared" si="598"/>
        <v>0</v>
      </c>
      <c r="AH602" s="798">
        <f t="shared" si="598"/>
        <v>0</v>
      </c>
      <c r="AI602" s="798">
        <f t="shared" si="598"/>
        <v>0</v>
      </c>
      <c r="AJ602" s="798">
        <f t="shared" si="598"/>
        <v>0</v>
      </c>
      <c r="AK602" s="798">
        <f t="shared" si="598"/>
        <v>0</v>
      </c>
      <c r="AL602" s="798">
        <f t="shared" si="598"/>
        <v>0</v>
      </c>
      <c r="AM602" s="798">
        <f t="shared" si="598"/>
        <v>0</v>
      </c>
      <c r="AN602" s="798">
        <f t="shared" si="598"/>
        <v>0</v>
      </c>
      <c r="AO602" s="798">
        <f t="shared" si="598"/>
        <v>0</v>
      </c>
      <c r="AP602" s="798">
        <f t="shared" si="598"/>
        <v>0</v>
      </c>
      <c r="AQ602" s="798">
        <f t="shared" si="598"/>
        <v>0</v>
      </c>
      <c r="AR602" s="798">
        <f t="shared" si="598"/>
        <v>0</v>
      </c>
      <c r="AS602" s="798">
        <f t="shared" si="598"/>
        <v>0</v>
      </c>
      <c r="AT602" s="798">
        <f t="shared" si="598"/>
        <v>0</v>
      </c>
      <c r="AU602" s="798">
        <f t="shared" si="598"/>
        <v>0</v>
      </c>
      <c r="AV602" s="798">
        <f t="shared" si="598"/>
        <v>0</v>
      </c>
      <c r="AW602" s="798">
        <f t="shared" si="598"/>
        <v>1</v>
      </c>
      <c r="AX602" s="798">
        <f t="shared" si="598"/>
        <v>1</v>
      </c>
      <c r="AY602" s="798">
        <f t="shared" si="598"/>
        <v>1</v>
      </c>
      <c r="AZ602" s="798">
        <f t="shared" si="598"/>
        <v>1</v>
      </c>
      <c r="BA602" s="798">
        <f t="shared" si="598"/>
        <v>1</v>
      </c>
      <c r="BB602" s="798">
        <f t="shared" si="598"/>
        <v>1</v>
      </c>
      <c r="BC602" s="798">
        <f t="shared" si="598"/>
        <v>1</v>
      </c>
      <c r="BD602" s="798">
        <f t="shared" si="598"/>
        <v>1</v>
      </c>
      <c r="BE602" s="798">
        <f t="shared" si="598"/>
        <v>1</v>
      </c>
      <c r="BF602" s="798">
        <f t="shared" si="598"/>
        <v>1</v>
      </c>
      <c r="BG602" s="798">
        <f t="shared" si="598"/>
        <v>1</v>
      </c>
      <c r="BH602" s="798">
        <f t="shared" si="598"/>
        <v>1</v>
      </c>
      <c r="BI602" s="798">
        <f t="shared" si="598"/>
        <v>1</v>
      </c>
      <c r="BJ602" s="798">
        <f t="shared" si="598"/>
        <v>1</v>
      </c>
      <c r="BK602" s="798">
        <f t="shared" si="598"/>
        <v>1</v>
      </c>
      <c r="BL602" s="765"/>
      <c r="BM602" s="817"/>
      <c r="BN602" s="817"/>
    </row>
    <row r="603" hidden="1">
      <c r="A603" s="765"/>
      <c r="B603" s="765"/>
      <c r="C603" s="765"/>
      <c r="D603" s="765"/>
      <c r="E603" s="765"/>
      <c r="F603" s="765"/>
      <c r="G603" s="765"/>
      <c r="H603" s="765"/>
      <c r="I603" s="765">
        <f t="shared" si="17"/>
        <v>592</v>
      </c>
      <c r="J603" s="763">
        <f t="shared" si="5"/>
        <v>2.79894E+16</v>
      </c>
      <c r="K603" s="796">
        <f t="shared" si="7"/>
        <v>0.52979</v>
      </c>
      <c r="L603" s="796">
        <v>5.0E-4</v>
      </c>
      <c r="M603" s="763">
        <v>3.19148924097761E16</v>
      </c>
      <c r="N603" s="797">
        <f t="shared" si="8"/>
        <v>0</v>
      </c>
      <c r="O603" s="798">
        <f t="shared" ref="O603:BK603" si="599">FLOOR(MIN((((N("value of ELS upgrade")+N$8*($K603-$K602))*(N("Check checkbox")+(IF($G$6=TRUE,$G$7,$G$8))/$G$8))/(N("ROI of ELS and multiply by 2 if ELS is 1:1")+IF($G$12 = True, 2, 1) * $J603))/((N("difference in ELS+ and the cost of it")+(($K602*O$8)-($K602*N$8)) / O$7)),(N("MIN lets it return 0 or 1 after floored")+1)),1)</f>
        <v>0</v>
      </c>
      <c r="P603" s="798">
        <f t="shared" si="599"/>
        <v>0</v>
      </c>
      <c r="Q603" s="798">
        <f t="shared" si="599"/>
        <v>0</v>
      </c>
      <c r="R603" s="798">
        <f t="shared" si="599"/>
        <v>0</v>
      </c>
      <c r="S603" s="798">
        <f t="shared" si="599"/>
        <v>0</v>
      </c>
      <c r="T603" s="798">
        <f t="shared" si="599"/>
        <v>0</v>
      </c>
      <c r="U603" s="798">
        <f t="shared" si="599"/>
        <v>0</v>
      </c>
      <c r="V603" s="798">
        <f t="shared" si="599"/>
        <v>0</v>
      </c>
      <c r="W603" s="798">
        <f t="shared" si="599"/>
        <v>0</v>
      </c>
      <c r="X603" s="798">
        <f t="shared" si="599"/>
        <v>0</v>
      </c>
      <c r="Y603" s="798">
        <f t="shared" si="599"/>
        <v>0</v>
      </c>
      <c r="Z603" s="798">
        <f t="shared" si="599"/>
        <v>0</v>
      </c>
      <c r="AA603" s="798">
        <f t="shared" si="599"/>
        <v>0</v>
      </c>
      <c r="AB603" s="798">
        <f t="shared" si="599"/>
        <v>0</v>
      </c>
      <c r="AC603" s="798">
        <f t="shared" si="599"/>
        <v>0</v>
      </c>
      <c r="AD603" s="798">
        <f t="shared" si="599"/>
        <v>0</v>
      </c>
      <c r="AE603" s="798">
        <f t="shared" si="599"/>
        <v>0</v>
      </c>
      <c r="AF603" s="798">
        <f t="shared" si="599"/>
        <v>0</v>
      </c>
      <c r="AG603" s="798">
        <f t="shared" si="599"/>
        <v>0</v>
      </c>
      <c r="AH603" s="798">
        <f t="shared" si="599"/>
        <v>0</v>
      </c>
      <c r="AI603" s="798">
        <f t="shared" si="599"/>
        <v>0</v>
      </c>
      <c r="AJ603" s="798">
        <f t="shared" si="599"/>
        <v>0</v>
      </c>
      <c r="AK603" s="798">
        <f t="shared" si="599"/>
        <v>0</v>
      </c>
      <c r="AL603" s="798">
        <f t="shared" si="599"/>
        <v>0</v>
      </c>
      <c r="AM603" s="798">
        <f t="shared" si="599"/>
        <v>0</v>
      </c>
      <c r="AN603" s="798">
        <f t="shared" si="599"/>
        <v>0</v>
      </c>
      <c r="AO603" s="798">
        <f t="shared" si="599"/>
        <v>0</v>
      </c>
      <c r="AP603" s="798">
        <f t="shared" si="599"/>
        <v>0</v>
      </c>
      <c r="AQ603" s="798">
        <f t="shared" si="599"/>
        <v>0</v>
      </c>
      <c r="AR603" s="798">
        <f t="shared" si="599"/>
        <v>0</v>
      </c>
      <c r="AS603" s="798">
        <f t="shared" si="599"/>
        <v>0</v>
      </c>
      <c r="AT603" s="798">
        <f t="shared" si="599"/>
        <v>0</v>
      </c>
      <c r="AU603" s="798">
        <f t="shared" si="599"/>
        <v>0</v>
      </c>
      <c r="AV603" s="798">
        <f t="shared" si="599"/>
        <v>0</v>
      </c>
      <c r="AW603" s="798">
        <f t="shared" si="599"/>
        <v>1</v>
      </c>
      <c r="AX603" s="798">
        <f t="shared" si="599"/>
        <v>1</v>
      </c>
      <c r="AY603" s="798">
        <f t="shared" si="599"/>
        <v>1</v>
      </c>
      <c r="AZ603" s="798">
        <f t="shared" si="599"/>
        <v>1</v>
      </c>
      <c r="BA603" s="798">
        <f t="shared" si="599"/>
        <v>1</v>
      </c>
      <c r="BB603" s="798">
        <f t="shared" si="599"/>
        <v>1</v>
      </c>
      <c r="BC603" s="798">
        <f t="shared" si="599"/>
        <v>1</v>
      </c>
      <c r="BD603" s="798">
        <f t="shared" si="599"/>
        <v>1</v>
      </c>
      <c r="BE603" s="798">
        <f t="shared" si="599"/>
        <v>1</v>
      </c>
      <c r="BF603" s="798">
        <f t="shared" si="599"/>
        <v>1</v>
      </c>
      <c r="BG603" s="798">
        <f t="shared" si="599"/>
        <v>1</v>
      </c>
      <c r="BH603" s="798">
        <f t="shared" si="599"/>
        <v>1</v>
      </c>
      <c r="BI603" s="798">
        <f t="shared" si="599"/>
        <v>1</v>
      </c>
      <c r="BJ603" s="798">
        <f t="shared" si="599"/>
        <v>1</v>
      </c>
      <c r="BK603" s="798">
        <f t="shared" si="599"/>
        <v>1</v>
      </c>
      <c r="BL603" s="765"/>
      <c r="BM603" s="817"/>
      <c r="BN603" s="817"/>
    </row>
    <row r="604" hidden="1">
      <c r="A604" s="765"/>
      <c r="B604" s="765"/>
      <c r="C604" s="765"/>
      <c r="D604" s="765"/>
      <c r="E604" s="765"/>
      <c r="F604" s="765"/>
      <c r="G604" s="765"/>
      <c r="H604" s="765"/>
      <c r="I604" s="765">
        <f t="shared" si="17"/>
        <v>593</v>
      </c>
      <c r="J604" s="763">
        <f t="shared" si="5"/>
        <v>2.80852E+16</v>
      </c>
      <c r="K604" s="796">
        <f t="shared" si="7"/>
        <v>0.53029</v>
      </c>
      <c r="L604" s="796">
        <v>5.0E-4</v>
      </c>
      <c r="M604" s="763">
        <v>3.202413071705E16</v>
      </c>
      <c r="N604" s="797">
        <f t="shared" si="8"/>
        <v>0</v>
      </c>
      <c r="O604" s="798">
        <f t="shared" ref="O604:BK604" si="600">FLOOR(MIN((((N("value of ELS upgrade")+N$8*($K604-$K603))*(N("Check checkbox")+(IF($G$6=TRUE,$G$7,$G$8))/$G$8))/(N("ROI of ELS and multiply by 2 if ELS is 1:1")+IF($G$12 = True, 2, 1) * $J604))/((N("difference in ELS+ and the cost of it")+(($K603*O$8)-($K603*N$8)) / O$7)),(N("MIN lets it return 0 or 1 after floored")+1)),1)</f>
        <v>0</v>
      </c>
      <c r="P604" s="798">
        <f t="shared" si="600"/>
        <v>0</v>
      </c>
      <c r="Q604" s="798">
        <f t="shared" si="600"/>
        <v>0</v>
      </c>
      <c r="R604" s="798">
        <f t="shared" si="600"/>
        <v>0</v>
      </c>
      <c r="S604" s="798">
        <f t="shared" si="600"/>
        <v>0</v>
      </c>
      <c r="T604" s="798">
        <f t="shared" si="600"/>
        <v>0</v>
      </c>
      <c r="U604" s="798">
        <f t="shared" si="600"/>
        <v>0</v>
      </c>
      <c r="V604" s="798">
        <f t="shared" si="600"/>
        <v>0</v>
      </c>
      <c r="W604" s="798">
        <f t="shared" si="600"/>
        <v>0</v>
      </c>
      <c r="X604" s="798">
        <f t="shared" si="600"/>
        <v>0</v>
      </c>
      <c r="Y604" s="798">
        <f t="shared" si="600"/>
        <v>0</v>
      </c>
      <c r="Z604" s="798">
        <f t="shared" si="600"/>
        <v>0</v>
      </c>
      <c r="AA604" s="798">
        <f t="shared" si="600"/>
        <v>0</v>
      </c>
      <c r="AB604" s="798">
        <f t="shared" si="600"/>
        <v>0</v>
      </c>
      <c r="AC604" s="798">
        <f t="shared" si="600"/>
        <v>0</v>
      </c>
      <c r="AD604" s="798">
        <f t="shared" si="600"/>
        <v>0</v>
      </c>
      <c r="AE604" s="798">
        <f t="shared" si="600"/>
        <v>0</v>
      </c>
      <c r="AF604" s="798">
        <f t="shared" si="600"/>
        <v>0</v>
      </c>
      <c r="AG604" s="798">
        <f t="shared" si="600"/>
        <v>0</v>
      </c>
      <c r="AH604" s="798">
        <f t="shared" si="600"/>
        <v>0</v>
      </c>
      <c r="AI604" s="798">
        <f t="shared" si="600"/>
        <v>0</v>
      </c>
      <c r="AJ604" s="798">
        <f t="shared" si="600"/>
        <v>0</v>
      </c>
      <c r="AK604" s="798">
        <f t="shared" si="600"/>
        <v>0</v>
      </c>
      <c r="AL604" s="798">
        <f t="shared" si="600"/>
        <v>0</v>
      </c>
      <c r="AM604" s="798">
        <f t="shared" si="600"/>
        <v>0</v>
      </c>
      <c r="AN604" s="798">
        <f t="shared" si="600"/>
        <v>0</v>
      </c>
      <c r="AO604" s="798">
        <f t="shared" si="600"/>
        <v>0</v>
      </c>
      <c r="AP604" s="798">
        <f t="shared" si="600"/>
        <v>0</v>
      </c>
      <c r="AQ604" s="798">
        <f t="shared" si="600"/>
        <v>0</v>
      </c>
      <c r="AR604" s="798">
        <f t="shared" si="600"/>
        <v>0</v>
      </c>
      <c r="AS604" s="798">
        <f t="shared" si="600"/>
        <v>0</v>
      </c>
      <c r="AT604" s="798">
        <f t="shared" si="600"/>
        <v>0</v>
      </c>
      <c r="AU604" s="798">
        <f t="shared" si="600"/>
        <v>0</v>
      </c>
      <c r="AV604" s="798">
        <f t="shared" si="600"/>
        <v>0</v>
      </c>
      <c r="AW604" s="798">
        <f t="shared" si="600"/>
        <v>1</v>
      </c>
      <c r="AX604" s="798">
        <f t="shared" si="600"/>
        <v>1</v>
      </c>
      <c r="AY604" s="798">
        <f t="shared" si="600"/>
        <v>1</v>
      </c>
      <c r="AZ604" s="798">
        <f t="shared" si="600"/>
        <v>1</v>
      </c>
      <c r="BA604" s="798">
        <f t="shared" si="600"/>
        <v>1</v>
      </c>
      <c r="BB604" s="798">
        <f t="shared" si="600"/>
        <v>1</v>
      </c>
      <c r="BC604" s="798">
        <f t="shared" si="600"/>
        <v>1</v>
      </c>
      <c r="BD604" s="798">
        <f t="shared" si="600"/>
        <v>1</v>
      </c>
      <c r="BE604" s="798">
        <f t="shared" si="600"/>
        <v>1</v>
      </c>
      <c r="BF604" s="798">
        <f t="shared" si="600"/>
        <v>1</v>
      </c>
      <c r="BG604" s="798">
        <f t="shared" si="600"/>
        <v>1</v>
      </c>
      <c r="BH604" s="798">
        <f t="shared" si="600"/>
        <v>1</v>
      </c>
      <c r="BI604" s="798">
        <f t="shared" si="600"/>
        <v>1</v>
      </c>
      <c r="BJ604" s="798">
        <f t="shared" si="600"/>
        <v>1</v>
      </c>
      <c r="BK604" s="798">
        <f t="shared" si="600"/>
        <v>1</v>
      </c>
      <c r="BL604" s="765"/>
      <c r="BM604" s="817"/>
      <c r="BN604" s="817"/>
    </row>
    <row r="605" hidden="1">
      <c r="A605" s="765"/>
      <c r="B605" s="765"/>
      <c r="C605" s="765"/>
      <c r="D605" s="765"/>
      <c r="E605" s="765"/>
      <c r="F605" s="765"/>
      <c r="G605" s="765"/>
      <c r="H605" s="765"/>
      <c r="I605" s="765">
        <f t="shared" si="17"/>
        <v>594</v>
      </c>
      <c r="J605" s="763">
        <f t="shared" si="5"/>
        <v>2.81812E+16</v>
      </c>
      <c r="K605" s="796">
        <f t="shared" si="7"/>
        <v>0.53079</v>
      </c>
      <c r="L605" s="796">
        <v>5.0E-4</v>
      </c>
      <c r="M605" s="763">
        <v>3.21336881062549E16</v>
      </c>
      <c r="N605" s="797">
        <f t="shared" si="8"/>
        <v>0</v>
      </c>
      <c r="O605" s="798">
        <f t="shared" ref="O605:BK605" si="601">FLOOR(MIN((((N("value of ELS upgrade")+N$8*($K605-$K604))*(N("Check checkbox")+(IF($G$6=TRUE,$G$7,$G$8))/$G$8))/(N("ROI of ELS and multiply by 2 if ELS is 1:1")+IF($G$12 = True, 2, 1) * $J605))/((N("difference in ELS+ and the cost of it")+(($K604*O$8)-($K604*N$8)) / O$7)),(N("MIN lets it return 0 or 1 after floored")+1)),1)</f>
        <v>0</v>
      </c>
      <c r="P605" s="798">
        <f t="shared" si="601"/>
        <v>0</v>
      </c>
      <c r="Q605" s="798">
        <f t="shared" si="601"/>
        <v>0</v>
      </c>
      <c r="R605" s="798">
        <f t="shared" si="601"/>
        <v>0</v>
      </c>
      <c r="S605" s="798">
        <f t="shared" si="601"/>
        <v>0</v>
      </c>
      <c r="T605" s="798">
        <f t="shared" si="601"/>
        <v>0</v>
      </c>
      <c r="U605" s="798">
        <f t="shared" si="601"/>
        <v>0</v>
      </c>
      <c r="V605" s="798">
        <f t="shared" si="601"/>
        <v>0</v>
      </c>
      <c r="W605" s="798">
        <f t="shared" si="601"/>
        <v>0</v>
      </c>
      <c r="X605" s="798">
        <f t="shared" si="601"/>
        <v>0</v>
      </c>
      <c r="Y605" s="798">
        <f t="shared" si="601"/>
        <v>0</v>
      </c>
      <c r="Z605" s="798">
        <f t="shared" si="601"/>
        <v>0</v>
      </c>
      <c r="AA605" s="798">
        <f t="shared" si="601"/>
        <v>0</v>
      </c>
      <c r="AB605" s="798">
        <f t="shared" si="601"/>
        <v>0</v>
      </c>
      <c r="AC605" s="798">
        <f t="shared" si="601"/>
        <v>0</v>
      </c>
      <c r="AD605" s="798">
        <f t="shared" si="601"/>
        <v>0</v>
      </c>
      <c r="AE605" s="798">
        <f t="shared" si="601"/>
        <v>0</v>
      </c>
      <c r="AF605" s="798">
        <f t="shared" si="601"/>
        <v>0</v>
      </c>
      <c r="AG605" s="798">
        <f t="shared" si="601"/>
        <v>0</v>
      </c>
      <c r="AH605" s="798">
        <f t="shared" si="601"/>
        <v>0</v>
      </c>
      <c r="AI605" s="798">
        <f t="shared" si="601"/>
        <v>0</v>
      </c>
      <c r="AJ605" s="798">
        <f t="shared" si="601"/>
        <v>0</v>
      </c>
      <c r="AK605" s="798">
        <f t="shared" si="601"/>
        <v>0</v>
      </c>
      <c r="AL605" s="798">
        <f t="shared" si="601"/>
        <v>0</v>
      </c>
      <c r="AM605" s="798">
        <f t="shared" si="601"/>
        <v>0</v>
      </c>
      <c r="AN605" s="798">
        <f t="shared" si="601"/>
        <v>0</v>
      </c>
      <c r="AO605" s="798">
        <f t="shared" si="601"/>
        <v>0</v>
      </c>
      <c r="AP605" s="798">
        <f t="shared" si="601"/>
        <v>0</v>
      </c>
      <c r="AQ605" s="798">
        <f t="shared" si="601"/>
        <v>0</v>
      </c>
      <c r="AR605" s="798">
        <f t="shared" si="601"/>
        <v>0</v>
      </c>
      <c r="AS605" s="798">
        <f t="shared" si="601"/>
        <v>0</v>
      </c>
      <c r="AT605" s="798">
        <f t="shared" si="601"/>
        <v>0</v>
      </c>
      <c r="AU605" s="798">
        <f t="shared" si="601"/>
        <v>0</v>
      </c>
      <c r="AV605" s="798">
        <f t="shared" si="601"/>
        <v>0</v>
      </c>
      <c r="AW605" s="798">
        <f t="shared" si="601"/>
        <v>1</v>
      </c>
      <c r="AX605" s="798">
        <f t="shared" si="601"/>
        <v>1</v>
      </c>
      <c r="AY605" s="798">
        <f t="shared" si="601"/>
        <v>1</v>
      </c>
      <c r="AZ605" s="798">
        <f t="shared" si="601"/>
        <v>1</v>
      </c>
      <c r="BA605" s="798">
        <f t="shared" si="601"/>
        <v>1</v>
      </c>
      <c r="BB605" s="798">
        <f t="shared" si="601"/>
        <v>1</v>
      </c>
      <c r="BC605" s="798">
        <f t="shared" si="601"/>
        <v>1</v>
      </c>
      <c r="BD605" s="798">
        <f t="shared" si="601"/>
        <v>1</v>
      </c>
      <c r="BE605" s="798">
        <f t="shared" si="601"/>
        <v>1</v>
      </c>
      <c r="BF605" s="798">
        <f t="shared" si="601"/>
        <v>1</v>
      </c>
      <c r="BG605" s="798">
        <f t="shared" si="601"/>
        <v>1</v>
      </c>
      <c r="BH605" s="798">
        <f t="shared" si="601"/>
        <v>1</v>
      </c>
      <c r="BI605" s="798">
        <f t="shared" si="601"/>
        <v>1</v>
      </c>
      <c r="BJ605" s="798">
        <f t="shared" si="601"/>
        <v>1</v>
      </c>
      <c r="BK605" s="798">
        <f t="shared" si="601"/>
        <v>1</v>
      </c>
      <c r="BL605" s="765"/>
      <c r="BM605" s="817"/>
      <c r="BN605" s="817"/>
    </row>
    <row r="606" hidden="1">
      <c r="A606" s="765"/>
      <c r="B606" s="765"/>
      <c r="C606" s="765"/>
      <c r="D606" s="765"/>
      <c r="E606" s="765"/>
      <c r="F606" s="765"/>
      <c r="G606" s="765"/>
      <c r="H606" s="765"/>
      <c r="I606" s="765">
        <f t="shared" si="17"/>
        <v>595</v>
      </c>
      <c r="J606" s="763">
        <f t="shared" si="5"/>
        <v>2.82776E+16</v>
      </c>
      <c r="K606" s="796">
        <f t="shared" si="7"/>
        <v>0.53129</v>
      </c>
      <c r="L606" s="796">
        <v>5.0E-4</v>
      </c>
      <c r="M606" s="763">
        <v>3.22435645773907E16</v>
      </c>
      <c r="N606" s="797">
        <f t="shared" si="8"/>
        <v>0</v>
      </c>
      <c r="O606" s="798">
        <f t="shared" ref="O606:BK606" si="602">FLOOR(MIN((((N("value of ELS upgrade")+N$8*($K606-$K605))*(N("Check checkbox")+(IF($G$6=TRUE,$G$7,$G$8))/$G$8))/(N("ROI of ELS and multiply by 2 if ELS is 1:1")+IF($G$12 = True, 2, 1) * $J606))/((N("difference in ELS+ and the cost of it")+(($K605*O$8)-($K605*N$8)) / O$7)),(N("MIN lets it return 0 or 1 after floored")+1)),1)</f>
        <v>0</v>
      </c>
      <c r="P606" s="798">
        <f t="shared" si="602"/>
        <v>0</v>
      </c>
      <c r="Q606" s="798">
        <f t="shared" si="602"/>
        <v>0</v>
      </c>
      <c r="R606" s="798">
        <f t="shared" si="602"/>
        <v>0</v>
      </c>
      <c r="S606" s="798">
        <f t="shared" si="602"/>
        <v>0</v>
      </c>
      <c r="T606" s="798">
        <f t="shared" si="602"/>
        <v>0</v>
      </c>
      <c r="U606" s="798">
        <f t="shared" si="602"/>
        <v>0</v>
      </c>
      <c r="V606" s="798">
        <f t="shared" si="602"/>
        <v>0</v>
      </c>
      <c r="W606" s="798">
        <f t="shared" si="602"/>
        <v>0</v>
      </c>
      <c r="X606" s="798">
        <f t="shared" si="602"/>
        <v>0</v>
      </c>
      <c r="Y606" s="798">
        <f t="shared" si="602"/>
        <v>0</v>
      </c>
      <c r="Z606" s="798">
        <f t="shared" si="602"/>
        <v>0</v>
      </c>
      <c r="AA606" s="798">
        <f t="shared" si="602"/>
        <v>0</v>
      </c>
      <c r="AB606" s="798">
        <f t="shared" si="602"/>
        <v>0</v>
      </c>
      <c r="AC606" s="798">
        <f t="shared" si="602"/>
        <v>0</v>
      </c>
      <c r="AD606" s="798">
        <f t="shared" si="602"/>
        <v>0</v>
      </c>
      <c r="AE606" s="798">
        <f t="shared" si="602"/>
        <v>0</v>
      </c>
      <c r="AF606" s="798">
        <f t="shared" si="602"/>
        <v>0</v>
      </c>
      <c r="AG606" s="798">
        <f t="shared" si="602"/>
        <v>0</v>
      </c>
      <c r="AH606" s="798">
        <f t="shared" si="602"/>
        <v>0</v>
      </c>
      <c r="AI606" s="798">
        <f t="shared" si="602"/>
        <v>0</v>
      </c>
      <c r="AJ606" s="798">
        <f t="shared" si="602"/>
        <v>0</v>
      </c>
      <c r="AK606" s="798">
        <f t="shared" si="602"/>
        <v>0</v>
      </c>
      <c r="AL606" s="798">
        <f t="shared" si="602"/>
        <v>0</v>
      </c>
      <c r="AM606" s="798">
        <f t="shared" si="602"/>
        <v>0</v>
      </c>
      <c r="AN606" s="798">
        <f t="shared" si="602"/>
        <v>0</v>
      </c>
      <c r="AO606" s="798">
        <f t="shared" si="602"/>
        <v>0</v>
      </c>
      <c r="AP606" s="798">
        <f t="shared" si="602"/>
        <v>0</v>
      </c>
      <c r="AQ606" s="798">
        <f t="shared" si="602"/>
        <v>0</v>
      </c>
      <c r="AR606" s="798">
        <f t="shared" si="602"/>
        <v>0</v>
      </c>
      <c r="AS606" s="798">
        <f t="shared" si="602"/>
        <v>0</v>
      </c>
      <c r="AT606" s="798">
        <f t="shared" si="602"/>
        <v>0</v>
      </c>
      <c r="AU606" s="798">
        <f t="shared" si="602"/>
        <v>0</v>
      </c>
      <c r="AV606" s="798">
        <f t="shared" si="602"/>
        <v>0</v>
      </c>
      <c r="AW606" s="798">
        <f t="shared" si="602"/>
        <v>1</v>
      </c>
      <c r="AX606" s="798">
        <f t="shared" si="602"/>
        <v>1</v>
      </c>
      <c r="AY606" s="798">
        <f t="shared" si="602"/>
        <v>1</v>
      </c>
      <c r="AZ606" s="798">
        <f t="shared" si="602"/>
        <v>1</v>
      </c>
      <c r="BA606" s="798">
        <f t="shared" si="602"/>
        <v>1</v>
      </c>
      <c r="BB606" s="798">
        <f t="shared" si="602"/>
        <v>1</v>
      </c>
      <c r="BC606" s="798">
        <f t="shared" si="602"/>
        <v>1</v>
      </c>
      <c r="BD606" s="798">
        <f t="shared" si="602"/>
        <v>1</v>
      </c>
      <c r="BE606" s="798">
        <f t="shared" si="602"/>
        <v>1</v>
      </c>
      <c r="BF606" s="798">
        <f t="shared" si="602"/>
        <v>1</v>
      </c>
      <c r="BG606" s="798">
        <f t="shared" si="602"/>
        <v>1</v>
      </c>
      <c r="BH606" s="798">
        <f t="shared" si="602"/>
        <v>1</v>
      </c>
      <c r="BI606" s="798">
        <f t="shared" si="602"/>
        <v>1</v>
      </c>
      <c r="BJ606" s="798">
        <f t="shared" si="602"/>
        <v>1</v>
      </c>
      <c r="BK606" s="798">
        <f t="shared" si="602"/>
        <v>1</v>
      </c>
      <c r="BL606" s="765"/>
      <c r="BM606" s="817"/>
      <c r="BN606" s="817"/>
    </row>
    <row r="607" hidden="1">
      <c r="A607" s="765"/>
      <c r="B607" s="765"/>
      <c r="C607" s="765"/>
      <c r="D607" s="765"/>
      <c r="E607" s="765"/>
      <c r="F607" s="765"/>
      <c r="G607" s="765"/>
      <c r="H607" s="765"/>
      <c r="I607" s="765">
        <f t="shared" si="17"/>
        <v>596</v>
      </c>
      <c r="J607" s="763">
        <f t="shared" si="5"/>
        <v>2.83742E+16</v>
      </c>
      <c r="K607" s="796">
        <f t="shared" si="7"/>
        <v>0.53179</v>
      </c>
      <c r="L607" s="796">
        <v>5.0E-4</v>
      </c>
      <c r="M607" s="763">
        <v>3.23537601304574E16</v>
      </c>
      <c r="N607" s="797">
        <f t="shared" si="8"/>
        <v>0</v>
      </c>
      <c r="O607" s="798">
        <f t="shared" ref="O607:BK607" si="603">FLOOR(MIN((((N("value of ELS upgrade")+N$8*($K607-$K606))*(N("Check checkbox")+(IF($G$6=TRUE,$G$7,$G$8))/$G$8))/(N("ROI of ELS and multiply by 2 if ELS is 1:1")+IF($G$12 = True, 2, 1) * $J607))/((N("difference in ELS+ and the cost of it")+(($K606*O$8)-($K606*N$8)) / O$7)),(N("MIN lets it return 0 or 1 after floored")+1)),1)</f>
        <v>0</v>
      </c>
      <c r="P607" s="798">
        <f t="shared" si="603"/>
        <v>0</v>
      </c>
      <c r="Q607" s="798">
        <f t="shared" si="603"/>
        <v>0</v>
      </c>
      <c r="R607" s="798">
        <f t="shared" si="603"/>
        <v>0</v>
      </c>
      <c r="S607" s="798">
        <f t="shared" si="603"/>
        <v>0</v>
      </c>
      <c r="T607" s="798">
        <f t="shared" si="603"/>
        <v>0</v>
      </c>
      <c r="U607" s="798">
        <f t="shared" si="603"/>
        <v>0</v>
      </c>
      <c r="V607" s="798">
        <f t="shared" si="603"/>
        <v>0</v>
      </c>
      <c r="W607" s="798">
        <f t="shared" si="603"/>
        <v>0</v>
      </c>
      <c r="X607" s="798">
        <f t="shared" si="603"/>
        <v>0</v>
      </c>
      <c r="Y607" s="798">
        <f t="shared" si="603"/>
        <v>0</v>
      </c>
      <c r="Z607" s="798">
        <f t="shared" si="603"/>
        <v>0</v>
      </c>
      <c r="AA607" s="798">
        <f t="shared" si="603"/>
        <v>0</v>
      </c>
      <c r="AB607" s="798">
        <f t="shared" si="603"/>
        <v>0</v>
      </c>
      <c r="AC607" s="798">
        <f t="shared" si="603"/>
        <v>0</v>
      </c>
      <c r="AD607" s="798">
        <f t="shared" si="603"/>
        <v>0</v>
      </c>
      <c r="AE607" s="798">
        <f t="shared" si="603"/>
        <v>0</v>
      </c>
      <c r="AF607" s="798">
        <f t="shared" si="603"/>
        <v>0</v>
      </c>
      <c r="AG607" s="798">
        <f t="shared" si="603"/>
        <v>0</v>
      </c>
      <c r="AH607" s="798">
        <f t="shared" si="603"/>
        <v>0</v>
      </c>
      <c r="AI607" s="798">
        <f t="shared" si="603"/>
        <v>0</v>
      </c>
      <c r="AJ607" s="798">
        <f t="shared" si="603"/>
        <v>0</v>
      </c>
      <c r="AK607" s="798">
        <f t="shared" si="603"/>
        <v>0</v>
      </c>
      <c r="AL607" s="798">
        <f t="shared" si="603"/>
        <v>0</v>
      </c>
      <c r="AM607" s="798">
        <f t="shared" si="603"/>
        <v>0</v>
      </c>
      <c r="AN607" s="798">
        <f t="shared" si="603"/>
        <v>0</v>
      </c>
      <c r="AO607" s="798">
        <f t="shared" si="603"/>
        <v>0</v>
      </c>
      <c r="AP607" s="798">
        <f t="shared" si="603"/>
        <v>0</v>
      </c>
      <c r="AQ607" s="798">
        <f t="shared" si="603"/>
        <v>0</v>
      </c>
      <c r="AR607" s="798">
        <f t="shared" si="603"/>
        <v>0</v>
      </c>
      <c r="AS607" s="798">
        <f t="shared" si="603"/>
        <v>0</v>
      </c>
      <c r="AT607" s="798">
        <f t="shared" si="603"/>
        <v>0</v>
      </c>
      <c r="AU607" s="798">
        <f t="shared" si="603"/>
        <v>0</v>
      </c>
      <c r="AV607" s="798">
        <f t="shared" si="603"/>
        <v>0</v>
      </c>
      <c r="AW607" s="798">
        <f t="shared" si="603"/>
        <v>1</v>
      </c>
      <c r="AX607" s="798">
        <f t="shared" si="603"/>
        <v>1</v>
      </c>
      <c r="AY607" s="798">
        <f t="shared" si="603"/>
        <v>1</v>
      </c>
      <c r="AZ607" s="798">
        <f t="shared" si="603"/>
        <v>1</v>
      </c>
      <c r="BA607" s="798">
        <f t="shared" si="603"/>
        <v>1</v>
      </c>
      <c r="BB607" s="798">
        <f t="shared" si="603"/>
        <v>1</v>
      </c>
      <c r="BC607" s="798">
        <f t="shared" si="603"/>
        <v>1</v>
      </c>
      <c r="BD607" s="798">
        <f t="shared" si="603"/>
        <v>1</v>
      </c>
      <c r="BE607" s="798">
        <f t="shared" si="603"/>
        <v>1</v>
      </c>
      <c r="BF607" s="798">
        <f t="shared" si="603"/>
        <v>1</v>
      </c>
      <c r="BG607" s="798">
        <f t="shared" si="603"/>
        <v>1</v>
      </c>
      <c r="BH607" s="798">
        <f t="shared" si="603"/>
        <v>1</v>
      </c>
      <c r="BI607" s="798">
        <f t="shared" si="603"/>
        <v>1</v>
      </c>
      <c r="BJ607" s="798">
        <f t="shared" si="603"/>
        <v>1</v>
      </c>
      <c r="BK607" s="798">
        <f t="shared" si="603"/>
        <v>1</v>
      </c>
      <c r="BL607" s="765"/>
      <c r="BM607" s="817"/>
      <c r="BN607" s="817"/>
    </row>
    <row r="608" hidden="1">
      <c r="A608" s="765"/>
      <c r="B608" s="765"/>
      <c r="C608" s="765"/>
      <c r="D608" s="765"/>
      <c r="E608" s="765"/>
      <c r="F608" s="765"/>
      <c r="G608" s="765"/>
      <c r="H608" s="765"/>
      <c r="I608" s="765">
        <f t="shared" si="17"/>
        <v>597</v>
      </c>
      <c r="J608" s="763">
        <f t="shared" si="5"/>
        <v>2.84712E+16</v>
      </c>
      <c r="K608" s="796">
        <f t="shared" si="7"/>
        <v>0.53229</v>
      </c>
      <c r="L608" s="796">
        <v>5.0E-4</v>
      </c>
      <c r="M608" s="763">
        <v>3.24642757011792E16</v>
      </c>
      <c r="N608" s="797">
        <f t="shared" si="8"/>
        <v>0</v>
      </c>
      <c r="O608" s="798">
        <f t="shared" ref="O608:BK608" si="604">FLOOR(MIN((((N("value of ELS upgrade")+N$8*($K608-$K607))*(N("Check checkbox")+(IF($G$6=TRUE,$G$7,$G$8))/$G$8))/(N("ROI of ELS and multiply by 2 if ELS is 1:1")+IF($G$12 = True, 2, 1) * $J608))/((N("difference in ELS+ and the cost of it")+(($K607*O$8)-($K607*N$8)) / O$7)),(N("MIN lets it return 0 or 1 after floored")+1)),1)</f>
        <v>0</v>
      </c>
      <c r="P608" s="798">
        <f t="shared" si="604"/>
        <v>0</v>
      </c>
      <c r="Q608" s="798">
        <f t="shared" si="604"/>
        <v>0</v>
      </c>
      <c r="R608" s="798">
        <f t="shared" si="604"/>
        <v>0</v>
      </c>
      <c r="S608" s="798">
        <f t="shared" si="604"/>
        <v>0</v>
      </c>
      <c r="T608" s="798">
        <f t="shared" si="604"/>
        <v>0</v>
      </c>
      <c r="U608" s="798">
        <f t="shared" si="604"/>
        <v>0</v>
      </c>
      <c r="V608" s="798">
        <f t="shared" si="604"/>
        <v>0</v>
      </c>
      <c r="W608" s="798">
        <f t="shared" si="604"/>
        <v>0</v>
      </c>
      <c r="X608" s="798">
        <f t="shared" si="604"/>
        <v>0</v>
      </c>
      <c r="Y608" s="798">
        <f t="shared" si="604"/>
        <v>0</v>
      </c>
      <c r="Z608" s="798">
        <f t="shared" si="604"/>
        <v>0</v>
      </c>
      <c r="AA608" s="798">
        <f t="shared" si="604"/>
        <v>0</v>
      </c>
      <c r="AB608" s="798">
        <f t="shared" si="604"/>
        <v>0</v>
      </c>
      <c r="AC608" s="798">
        <f t="shared" si="604"/>
        <v>0</v>
      </c>
      <c r="AD608" s="798">
        <f t="shared" si="604"/>
        <v>0</v>
      </c>
      <c r="AE608" s="798">
        <f t="shared" si="604"/>
        <v>0</v>
      </c>
      <c r="AF608" s="798">
        <f t="shared" si="604"/>
        <v>0</v>
      </c>
      <c r="AG608" s="798">
        <f t="shared" si="604"/>
        <v>0</v>
      </c>
      <c r="AH608" s="798">
        <f t="shared" si="604"/>
        <v>0</v>
      </c>
      <c r="AI608" s="798">
        <f t="shared" si="604"/>
        <v>0</v>
      </c>
      <c r="AJ608" s="798">
        <f t="shared" si="604"/>
        <v>0</v>
      </c>
      <c r="AK608" s="798">
        <f t="shared" si="604"/>
        <v>0</v>
      </c>
      <c r="AL608" s="798">
        <f t="shared" si="604"/>
        <v>0</v>
      </c>
      <c r="AM608" s="798">
        <f t="shared" si="604"/>
        <v>0</v>
      </c>
      <c r="AN608" s="798">
        <f t="shared" si="604"/>
        <v>0</v>
      </c>
      <c r="AO608" s="798">
        <f t="shared" si="604"/>
        <v>0</v>
      </c>
      <c r="AP608" s="798">
        <f t="shared" si="604"/>
        <v>0</v>
      </c>
      <c r="AQ608" s="798">
        <f t="shared" si="604"/>
        <v>0</v>
      </c>
      <c r="AR608" s="798">
        <f t="shared" si="604"/>
        <v>0</v>
      </c>
      <c r="AS608" s="798">
        <f t="shared" si="604"/>
        <v>0</v>
      </c>
      <c r="AT608" s="798">
        <f t="shared" si="604"/>
        <v>0</v>
      </c>
      <c r="AU608" s="798">
        <f t="shared" si="604"/>
        <v>0</v>
      </c>
      <c r="AV608" s="798">
        <f t="shared" si="604"/>
        <v>0</v>
      </c>
      <c r="AW608" s="798">
        <f t="shared" si="604"/>
        <v>1</v>
      </c>
      <c r="AX608" s="798">
        <f t="shared" si="604"/>
        <v>1</v>
      </c>
      <c r="AY608" s="798">
        <f t="shared" si="604"/>
        <v>1</v>
      </c>
      <c r="AZ608" s="798">
        <f t="shared" si="604"/>
        <v>1</v>
      </c>
      <c r="BA608" s="798">
        <f t="shared" si="604"/>
        <v>1</v>
      </c>
      <c r="BB608" s="798">
        <f t="shared" si="604"/>
        <v>1</v>
      </c>
      <c r="BC608" s="798">
        <f t="shared" si="604"/>
        <v>1</v>
      </c>
      <c r="BD608" s="798">
        <f t="shared" si="604"/>
        <v>1</v>
      </c>
      <c r="BE608" s="798">
        <f t="shared" si="604"/>
        <v>1</v>
      </c>
      <c r="BF608" s="798">
        <f t="shared" si="604"/>
        <v>1</v>
      </c>
      <c r="BG608" s="798">
        <f t="shared" si="604"/>
        <v>1</v>
      </c>
      <c r="BH608" s="798">
        <f t="shared" si="604"/>
        <v>1</v>
      </c>
      <c r="BI608" s="798">
        <f t="shared" si="604"/>
        <v>1</v>
      </c>
      <c r="BJ608" s="798">
        <f t="shared" si="604"/>
        <v>1</v>
      </c>
      <c r="BK608" s="798">
        <f t="shared" si="604"/>
        <v>1</v>
      </c>
      <c r="BL608" s="765"/>
      <c r="BM608" s="817"/>
      <c r="BN608" s="817"/>
    </row>
    <row r="609" hidden="1">
      <c r="A609" s="765"/>
      <c r="B609" s="765"/>
      <c r="C609" s="765"/>
      <c r="D609" s="765"/>
      <c r="E609" s="765"/>
      <c r="F609" s="765"/>
      <c r="G609" s="765"/>
      <c r="H609" s="765"/>
      <c r="I609" s="765">
        <f t="shared" si="17"/>
        <v>598</v>
      </c>
      <c r="J609" s="763">
        <f t="shared" si="5"/>
        <v>2.85684E+16</v>
      </c>
      <c r="K609" s="796">
        <f t="shared" si="7"/>
        <v>0.53279</v>
      </c>
      <c r="L609" s="796">
        <v>5.0E-4</v>
      </c>
      <c r="M609" s="763">
        <v>3.25751131610043E16</v>
      </c>
      <c r="N609" s="797">
        <f t="shared" si="8"/>
        <v>0</v>
      </c>
      <c r="O609" s="798">
        <f t="shared" ref="O609:BK609" si="605">FLOOR(MIN((((N("value of ELS upgrade")+N$8*($K609-$K608))*(N("Check checkbox")+(IF($G$6=TRUE,$G$7,$G$8))/$G$8))/(N("ROI of ELS and multiply by 2 if ELS is 1:1")+IF($G$12 = True, 2, 1) * $J609))/((N("difference in ELS+ and the cost of it")+(($K608*O$8)-($K608*N$8)) / O$7)),(N("MIN lets it return 0 or 1 after floored")+1)),1)</f>
        <v>0</v>
      </c>
      <c r="P609" s="798">
        <f t="shared" si="605"/>
        <v>0</v>
      </c>
      <c r="Q609" s="798">
        <f t="shared" si="605"/>
        <v>0</v>
      </c>
      <c r="R609" s="798">
        <f t="shared" si="605"/>
        <v>0</v>
      </c>
      <c r="S609" s="798">
        <f t="shared" si="605"/>
        <v>0</v>
      </c>
      <c r="T609" s="798">
        <f t="shared" si="605"/>
        <v>0</v>
      </c>
      <c r="U609" s="798">
        <f t="shared" si="605"/>
        <v>0</v>
      </c>
      <c r="V609" s="798">
        <f t="shared" si="605"/>
        <v>0</v>
      </c>
      <c r="W609" s="798">
        <f t="shared" si="605"/>
        <v>0</v>
      </c>
      <c r="X609" s="798">
        <f t="shared" si="605"/>
        <v>0</v>
      </c>
      <c r="Y609" s="798">
        <f t="shared" si="605"/>
        <v>0</v>
      </c>
      <c r="Z609" s="798">
        <f t="shared" si="605"/>
        <v>0</v>
      </c>
      <c r="AA609" s="798">
        <f t="shared" si="605"/>
        <v>0</v>
      </c>
      <c r="AB609" s="798">
        <f t="shared" si="605"/>
        <v>0</v>
      </c>
      <c r="AC609" s="798">
        <f t="shared" si="605"/>
        <v>0</v>
      </c>
      <c r="AD609" s="798">
        <f t="shared" si="605"/>
        <v>0</v>
      </c>
      <c r="AE609" s="798">
        <f t="shared" si="605"/>
        <v>0</v>
      </c>
      <c r="AF609" s="798">
        <f t="shared" si="605"/>
        <v>0</v>
      </c>
      <c r="AG609" s="798">
        <f t="shared" si="605"/>
        <v>0</v>
      </c>
      <c r="AH609" s="798">
        <f t="shared" si="605"/>
        <v>0</v>
      </c>
      <c r="AI609" s="798">
        <f t="shared" si="605"/>
        <v>0</v>
      </c>
      <c r="AJ609" s="798">
        <f t="shared" si="605"/>
        <v>0</v>
      </c>
      <c r="AK609" s="798">
        <f t="shared" si="605"/>
        <v>0</v>
      </c>
      <c r="AL609" s="798">
        <f t="shared" si="605"/>
        <v>0</v>
      </c>
      <c r="AM609" s="798">
        <f t="shared" si="605"/>
        <v>0</v>
      </c>
      <c r="AN609" s="798">
        <f t="shared" si="605"/>
        <v>0</v>
      </c>
      <c r="AO609" s="798">
        <f t="shared" si="605"/>
        <v>0</v>
      </c>
      <c r="AP609" s="798">
        <f t="shared" si="605"/>
        <v>0</v>
      </c>
      <c r="AQ609" s="798">
        <f t="shared" si="605"/>
        <v>0</v>
      </c>
      <c r="AR609" s="798">
        <f t="shared" si="605"/>
        <v>0</v>
      </c>
      <c r="AS609" s="798">
        <f t="shared" si="605"/>
        <v>0</v>
      </c>
      <c r="AT609" s="798">
        <f t="shared" si="605"/>
        <v>0</v>
      </c>
      <c r="AU609" s="798">
        <f t="shared" si="605"/>
        <v>0</v>
      </c>
      <c r="AV609" s="798">
        <f t="shared" si="605"/>
        <v>0</v>
      </c>
      <c r="AW609" s="798">
        <f t="shared" si="605"/>
        <v>1</v>
      </c>
      <c r="AX609" s="798">
        <f t="shared" si="605"/>
        <v>1</v>
      </c>
      <c r="AY609" s="798">
        <f t="shared" si="605"/>
        <v>1</v>
      </c>
      <c r="AZ609" s="798">
        <f t="shared" si="605"/>
        <v>1</v>
      </c>
      <c r="BA609" s="798">
        <f t="shared" si="605"/>
        <v>1</v>
      </c>
      <c r="BB609" s="798">
        <f t="shared" si="605"/>
        <v>1</v>
      </c>
      <c r="BC609" s="798">
        <f t="shared" si="605"/>
        <v>1</v>
      </c>
      <c r="BD609" s="798">
        <f t="shared" si="605"/>
        <v>1</v>
      </c>
      <c r="BE609" s="798">
        <f t="shared" si="605"/>
        <v>1</v>
      </c>
      <c r="BF609" s="798">
        <f t="shared" si="605"/>
        <v>1</v>
      </c>
      <c r="BG609" s="798">
        <f t="shared" si="605"/>
        <v>1</v>
      </c>
      <c r="BH609" s="798">
        <f t="shared" si="605"/>
        <v>1</v>
      </c>
      <c r="BI609" s="798">
        <f t="shared" si="605"/>
        <v>1</v>
      </c>
      <c r="BJ609" s="798">
        <f t="shared" si="605"/>
        <v>1</v>
      </c>
      <c r="BK609" s="798">
        <f t="shared" si="605"/>
        <v>1</v>
      </c>
      <c r="BL609" s="765"/>
      <c r="BM609" s="817"/>
      <c r="BN609" s="817"/>
    </row>
    <row r="610" hidden="1">
      <c r="A610" s="765"/>
      <c r="B610" s="765"/>
      <c r="C610" s="765"/>
      <c r="D610" s="765"/>
      <c r="E610" s="765"/>
      <c r="F610" s="765"/>
      <c r="G610" s="765"/>
      <c r="H610" s="765"/>
      <c r="I610" s="765">
        <f t="shared" si="17"/>
        <v>599</v>
      </c>
      <c r="J610" s="763">
        <f t="shared" si="5"/>
        <v>2.86659E+16</v>
      </c>
      <c r="K610" s="796">
        <f t="shared" si="7"/>
        <v>0.53329</v>
      </c>
      <c r="L610" s="796">
        <v>5.0E-4</v>
      </c>
      <c r="M610" s="763">
        <v>3.26862715742086E16</v>
      </c>
      <c r="N610" s="797">
        <f t="shared" si="8"/>
        <v>0</v>
      </c>
      <c r="O610" s="798">
        <f t="shared" ref="O610:BK610" si="606">FLOOR(MIN((((N("value of ELS upgrade")+N$8*($K610-$K609))*(N("Check checkbox")+(IF($G$6=TRUE,$G$7,$G$8))/$G$8))/(N("ROI of ELS and multiply by 2 if ELS is 1:1")+IF($G$12 = True, 2, 1) * $J610))/((N("difference in ELS+ and the cost of it")+(($K609*O$8)-($K609*N$8)) / O$7)),(N("MIN lets it return 0 or 1 after floored")+1)),1)</f>
        <v>0</v>
      </c>
      <c r="P610" s="798">
        <f t="shared" si="606"/>
        <v>0</v>
      </c>
      <c r="Q610" s="798">
        <f t="shared" si="606"/>
        <v>0</v>
      </c>
      <c r="R610" s="798">
        <f t="shared" si="606"/>
        <v>0</v>
      </c>
      <c r="S610" s="798">
        <f t="shared" si="606"/>
        <v>0</v>
      </c>
      <c r="T610" s="798">
        <f t="shared" si="606"/>
        <v>0</v>
      </c>
      <c r="U610" s="798">
        <f t="shared" si="606"/>
        <v>0</v>
      </c>
      <c r="V610" s="798">
        <f t="shared" si="606"/>
        <v>0</v>
      </c>
      <c r="W610" s="798">
        <f t="shared" si="606"/>
        <v>0</v>
      </c>
      <c r="X610" s="798">
        <f t="shared" si="606"/>
        <v>0</v>
      </c>
      <c r="Y610" s="798">
        <f t="shared" si="606"/>
        <v>0</v>
      </c>
      <c r="Z610" s="798">
        <f t="shared" si="606"/>
        <v>0</v>
      </c>
      <c r="AA610" s="798">
        <f t="shared" si="606"/>
        <v>0</v>
      </c>
      <c r="AB610" s="798">
        <f t="shared" si="606"/>
        <v>0</v>
      </c>
      <c r="AC610" s="798">
        <f t="shared" si="606"/>
        <v>0</v>
      </c>
      <c r="AD610" s="798">
        <f t="shared" si="606"/>
        <v>0</v>
      </c>
      <c r="AE610" s="798">
        <f t="shared" si="606"/>
        <v>0</v>
      </c>
      <c r="AF610" s="798">
        <f t="shared" si="606"/>
        <v>0</v>
      </c>
      <c r="AG610" s="798">
        <f t="shared" si="606"/>
        <v>0</v>
      </c>
      <c r="AH610" s="798">
        <f t="shared" si="606"/>
        <v>0</v>
      </c>
      <c r="AI610" s="798">
        <f t="shared" si="606"/>
        <v>0</v>
      </c>
      <c r="AJ610" s="798">
        <f t="shared" si="606"/>
        <v>0</v>
      </c>
      <c r="AK610" s="798">
        <f t="shared" si="606"/>
        <v>0</v>
      </c>
      <c r="AL610" s="798">
        <f t="shared" si="606"/>
        <v>0</v>
      </c>
      <c r="AM610" s="798">
        <f t="shared" si="606"/>
        <v>0</v>
      </c>
      <c r="AN610" s="798">
        <f t="shared" si="606"/>
        <v>0</v>
      </c>
      <c r="AO610" s="798">
        <f t="shared" si="606"/>
        <v>0</v>
      </c>
      <c r="AP610" s="798">
        <f t="shared" si="606"/>
        <v>0</v>
      </c>
      <c r="AQ610" s="798">
        <f t="shared" si="606"/>
        <v>0</v>
      </c>
      <c r="AR610" s="798">
        <f t="shared" si="606"/>
        <v>0</v>
      </c>
      <c r="AS610" s="798">
        <f t="shared" si="606"/>
        <v>0</v>
      </c>
      <c r="AT610" s="798">
        <f t="shared" si="606"/>
        <v>0</v>
      </c>
      <c r="AU610" s="798">
        <f t="shared" si="606"/>
        <v>0</v>
      </c>
      <c r="AV610" s="798">
        <f t="shared" si="606"/>
        <v>0</v>
      </c>
      <c r="AW610" s="798">
        <f t="shared" si="606"/>
        <v>1</v>
      </c>
      <c r="AX610" s="798">
        <f t="shared" si="606"/>
        <v>1</v>
      </c>
      <c r="AY610" s="798">
        <f t="shared" si="606"/>
        <v>1</v>
      </c>
      <c r="AZ610" s="798">
        <f t="shared" si="606"/>
        <v>1</v>
      </c>
      <c r="BA610" s="798">
        <f t="shared" si="606"/>
        <v>1</v>
      </c>
      <c r="BB610" s="798">
        <f t="shared" si="606"/>
        <v>1</v>
      </c>
      <c r="BC610" s="798">
        <f t="shared" si="606"/>
        <v>1</v>
      </c>
      <c r="BD610" s="798">
        <f t="shared" si="606"/>
        <v>1</v>
      </c>
      <c r="BE610" s="798">
        <f t="shared" si="606"/>
        <v>1</v>
      </c>
      <c r="BF610" s="798">
        <f t="shared" si="606"/>
        <v>1</v>
      </c>
      <c r="BG610" s="798">
        <f t="shared" si="606"/>
        <v>1</v>
      </c>
      <c r="BH610" s="798">
        <f t="shared" si="606"/>
        <v>1</v>
      </c>
      <c r="BI610" s="798">
        <f t="shared" si="606"/>
        <v>1</v>
      </c>
      <c r="BJ610" s="798">
        <f t="shared" si="606"/>
        <v>1</v>
      </c>
      <c r="BK610" s="798">
        <f t="shared" si="606"/>
        <v>1</v>
      </c>
      <c r="BL610" s="765"/>
      <c r="BM610" s="817"/>
      <c r="BN610" s="817"/>
    </row>
    <row r="611" hidden="1">
      <c r="A611" s="765"/>
      <c r="B611" s="765"/>
      <c r="C611" s="765"/>
      <c r="D611" s="765"/>
      <c r="E611" s="765"/>
      <c r="F611" s="765"/>
      <c r="G611" s="765"/>
      <c r="H611" s="765"/>
      <c r="I611" s="765">
        <f t="shared" si="17"/>
        <v>600</v>
      </c>
      <c r="J611" s="763">
        <f t="shared" si="5"/>
        <v>2.87636E+16</v>
      </c>
      <c r="K611" s="796">
        <f t="shared" si="7"/>
        <v>0.53379</v>
      </c>
      <c r="L611" s="796">
        <v>5.0E-4</v>
      </c>
      <c r="M611" s="763">
        <v>3.27977528122404E16</v>
      </c>
      <c r="N611" s="797">
        <f t="shared" si="8"/>
        <v>0</v>
      </c>
      <c r="O611" s="798">
        <f t="shared" ref="O611:BK611" si="607">FLOOR(MIN((((N("value of ELS upgrade")+N$8*($K611-$K610))*(N("Check checkbox")+(IF($G$6=TRUE,$G$7,$G$8))/$G$8))/(N("ROI of ELS and multiply by 2 if ELS is 1:1")+IF($G$12 = True, 2, 1) * $J611))/((N("difference in ELS+ and the cost of it")+(($K610*O$8)-($K610*N$8)) / O$7)),(N("MIN lets it return 0 or 1 after floored")+1)),1)</f>
        <v>0</v>
      </c>
      <c r="P611" s="798">
        <f t="shared" si="607"/>
        <v>0</v>
      </c>
      <c r="Q611" s="798">
        <f t="shared" si="607"/>
        <v>0</v>
      </c>
      <c r="R611" s="798">
        <f t="shared" si="607"/>
        <v>0</v>
      </c>
      <c r="S611" s="798">
        <f t="shared" si="607"/>
        <v>0</v>
      </c>
      <c r="T611" s="798">
        <f t="shared" si="607"/>
        <v>0</v>
      </c>
      <c r="U611" s="798">
        <f t="shared" si="607"/>
        <v>0</v>
      </c>
      <c r="V611" s="798">
        <f t="shared" si="607"/>
        <v>0</v>
      </c>
      <c r="W611" s="798">
        <f t="shared" si="607"/>
        <v>0</v>
      </c>
      <c r="X611" s="798">
        <f t="shared" si="607"/>
        <v>0</v>
      </c>
      <c r="Y611" s="798">
        <f t="shared" si="607"/>
        <v>0</v>
      </c>
      <c r="Z611" s="798">
        <f t="shared" si="607"/>
        <v>0</v>
      </c>
      <c r="AA611" s="798">
        <f t="shared" si="607"/>
        <v>0</v>
      </c>
      <c r="AB611" s="798">
        <f t="shared" si="607"/>
        <v>0</v>
      </c>
      <c r="AC611" s="798">
        <f t="shared" si="607"/>
        <v>0</v>
      </c>
      <c r="AD611" s="798">
        <f t="shared" si="607"/>
        <v>0</v>
      </c>
      <c r="AE611" s="798">
        <f t="shared" si="607"/>
        <v>0</v>
      </c>
      <c r="AF611" s="798">
        <f t="shared" si="607"/>
        <v>0</v>
      </c>
      <c r="AG611" s="798">
        <f t="shared" si="607"/>
        <v>0</v>
      </c>
      <c r="AH611" s="798">
        <f t="shared" si="607"/>
        <v>0</v>
      </c>
      <c r="AI611" s="798">
        <f t="shared" si="607"/>
        <v>0</v>
      </c>
      <c r="AJ611" s="798">
        <f t="shared" si="607"/>
        <v>0</v>
      </c>
      <c r="AK611" s="798">
        <f t="shared" si="607"/>
        <v>0</v>
      </c>
      <c r="AL611" s="798">
        <f t="shared" si="607"/>
        <v>0</v>
      </c>
      <c r="AM611" s="798">
        <f t="shared" si="607"/>
        <v>0</v>
      </c>
      <c r="AN611" s="798">
        <f t="shared" si="607"/>
        <v>0</v>
      </c>
      <c r="AO611" s="798">
        <f t="shared" si="607"/>
        <v>0</v>
      </c>
      <c r="AP611" s="798">
        <f t="shared" si="607"/>
        <v>0</v>
      </c>
      <c r="AQ611" s="798">
        <f t="shared" si="607"/>
        <v>0</v>
      </c>
      <c r="AR611" s="798">
        <f t="shared" si="607"/>
        <v>0</v>
      </c>
      <c r="AS611" s="798">
        <f t="shared" si="607"/>
        <v>0</v>
      </c>
      <c r="AT611" s="798">
        <f t="shared" si="607"/>
        <v>0</v>
      </c>
      <c r="AU611" s="798">
        <f t="shared" si="607"/>
        <v>0</v>
      </c>
      <c r="AV611" s="798">
        <f t="shared" si="607"/>
        <v>0</v>
      </c>
      <c r="AW611" s="798">
        <f t="shared" si="607"/>
        <v>1</v>
      </c>
      <c r="AX611" s="798">
        <f t="shared" si="607"/>
        <v>1</v>
      </c>
      <c r="AY611" s="798">
        <f t="shared" si="607"/>
        <v>1</v>
      </c>
      <c r="AZ611" s="798">
        <f t="shared" si="607"/>
        <v>1</v>
      </c>
      <c r="BA611" s="798">
        <f t="shared" si="607"/>
        <v>1</v>
      </c>
      <c r="BB611" s="798">
        <f t="shared" si="607"/>
        <v>1</v>
      </c>
      <c r="BC611" s="798">
        <f t="shared" si="607"/>
        <v>1</v>
      </c>
      <c r="BD611" s="798">
        <f t="shared" si="607"/>
        <v>1</v>
      </c>
      <c r="BE611" s="798">
        <f t="shared" si="607"/>
        <v>1</v>
      </c>
      <c r="BF611" s="798">
        <f t="shared" si="607"/>
        <v>1</v>
      </c>
      <c r="BG611" s="798">
        <f t="shared" si="607"/>
        <v>1</v>
      </c>
      <c r="BH611" s="798">
        <f t="shared" si="607"/>
        <v>1</v>
      </c>
      <c r="BI611" s="798">
        <f t="shared" si="607"/>
        <v>1</v>
      </c>
      <c r="BJ611" s="798">
        <f t="shared" si="607"/>
        <v>1</v>
      </c>
      <c r="BK611" s="798">
        <f t="shared" si="607"/>
        <v>1</v>
      </c>
      <c r="BL611" s="765"/>
      <c r="BM611" s="817"/>
      <c r="BN611" s="817"/>
    </row>
    <row r="612" hidden="1">
      <c r="A612" s="765"/>
      <c r="B612" s="765"/>
      <c r="C612" s="765"/>
      <c r="D612" s="765"/>
      <c r="E612" s="765"/>
      <c r="F612" s="765"/>
      <c r="G612" s="765"/>
      <c r="H612" s="765"/>
      <c r="I612" s="765">
        <f t="shared" si="17"/>
        <v>601</v>
      </c>
      <c r="J612" s="763">
        <f t="shared" si="5"/>
        <v>1.15447E+17</v>
      </c>
      <c r="K612" s="796">
        <f t="shared" si="7"/>
        <v>0.53429</v>
      </c>
      <c r="L612" s="796">
        <v>5.0E-4</v>
      </c>
      <c r="M612" s="763">
        <v>1.31638231243296E17</v>
      </c>
      <c r="N612" s="797">
        <f t="shared" si="8"/>
        <v>0</v>
      </c>
      <c r="O612" s="798">
        <f t="shared" ref="O612:BK612" si="608">FLOOR(MIN((((N("value of ELS upgrade")+N$8*($K612-$K611))*(N("Check checkbox")+(IF($G$6=TRUE,$G$7,$G$8))/$G$8))/(N("ROI of ELS and multiply by 2 if ELS is 1:1")+IF($G$12 = True, 2, 1) * $J612))/((N("difference in ELS+ and the cost of it")+(($K611*O$8)-($K611*N$8)) / O$7)),(N("MIN lets it return 0 or 1 after floored")+1)),1)</f>
        <v>0</v>
      </c>
      <c r="P612" s="798">
        <f t="shared" si="608"/>
        <v>0</v>
      </c>
      <c r="Q612" s="798">
        <f t="shared" si="608"/>
        <v>0</v>
      </c>
      <c r="R612" s="798">
        <f t="shared" si="608"/>
        <v>0</v>
      </c>
      <c r="S612" s="798">
        <f t="shared" si="608"/>
        <v>0</v>
      </c>
      <c r="T612" s="798">
        <f t="shared" si="608"/>
        <v>0</v>
      </c>
      <c r="U612" s="798">
        <f t="shared" si="608"/>
        <v>0</v>
      </c>
      <c r="V612" s="798">
        <f t="shared" si="608"/>
        <v>0</v>
      </c>
      <c r="W612" s="798">
        <f t="shared" si="608"/>
        <v>0</v>
      </c>
      <c r="X612" s="798">
        <f t="shared" si="608"/>
        <v>0</v>
      </c>
      <c r="Y612" s="798">
        <f t="shared" si="608"/>
        <v>0</v>
      </c>
      <c r="Z612" s="798">
        <f t="shared" si="608"/>
        <v>0</v>
      </c>
      <c r="AA612" s="798">
        <f t="shared" si="608"/>
        <v>0</v>
      </c>
      <c r="AB612" s="798">
        <f t="shared" si="608"/>
        <v>0</v>
      </c>
      <c r="AC612" s="798">
        <f t="shared" si="608"/>
        <v>0</v>
      </c>
      <c r="AD612" s="798">
        <f t="shared" si="608"/>
        <v>0</v>
      </c>
      <c r="AE612" s="798">
        <f t="shared" si="608"/>
        <v>0</v>
      </c>
      <c r="AF612" s="798">
        <f t="shared" si="608"/>
        <v>0</v>
      </c>
      <c r="AG612" s="798">
        <f t="shared" si="608"/>
        <v>0</v>
      </c>
      <c r="AH612" s="798">
        <f t="shared" si="608"/>
        <v>0</v>
      </c>
      <c r="AI612" s="798">
        <f t="shared" si="608"/>
        <v>0</v>
      </c>
      <c r="AJ612" s="798">
        <f t="shared" si="608"/>
        <v>0</v>
      </c>
      <c r="AK612" s="798">
        <f t="shared" si="608"/>
        <v>0</v>
      </c>
      <c r="AL612" s="798">
        <f t="shared" si="608"/>
        <v>0</v>
      </c>
      <c r="AM612" s="798">
        <f t="shared" si="608"/>
        <v>0</v>
      </c>
      <c r="AN612" s="798">
        <f t="shared" si="608"/>
        <v>0</v>
      </c>
      <c r="AO612" s="798">
        <f t="shared" si="608"/>
        <v>0</v>
      </c>
      <c r="AP612" s="798">
        <f t="shared" si="608"/>
        <v>0</v>
      </c>
      <c r="AQ612" s="798">
        <f t="shared" si="608"/>
        <v>0</v>
      </c>
      <c r="AR612" s="798">
        <f t="shared" si="608"/>
        <v>0</v>
      </c>
      <c r="AS612" s="798">
        <f t="shared" si="608"/>
        <v>0</v>
      </c>
      <c r="AT612" s="798">
        <f t="shared" si="608"/>
        <v>0</v>
      </c>
      <c r="AU612" s="798">
        <f t="shared" si="608"/>
        <v>0</v>
      </c>
      <c r="AV612" s="798">
        <f t="shared" si="608"/>
        <v>0</v>
      </c>
      <c r="AW612" s="798">
        <f t="shared" si="608"/>
        <v>0</v>
      </c>
      <c r="AX612" s="798">
        <f t="shared" si="608"/>
        <v>0</v>
      </c>
      <c r="AY612" s="798">
        <f t="shared" si="608"/>
        <v>0</v>
      </c>
      <c r="AZ612" s="798">
        <f t="shared" si="608"/>
        <v>0</v>
      </c>
      <c r="BA612" s="798">
        <f t="shared" si="608"/>
        <v>0</v>
      </c>
      <c r="BB612" s="798">
        <f t="shared" si="608"/>
        <v>0</v>
      </c>
      <c r="BC612" s="798">
        <f t="shared" si="608"/>
        <v>1</v>
      </c>
      <c r="BD612" s="798">
        <f t="shared" si="608"/>
        <v>1</v>
      </c>
      <c r="BE612" s="798">
        <f t="shared" si="608"/>
        <v>1</v>
      </c>
      <c r="BF612" s="798">
        <f t="shared" si="608"/>
        <v>1</v>
      </c>
      <c r="BG612" s="798">
        <f t="shared" si="608"/>
        <v>1</v>
      </c>
      <c r="BH612" s="798">
        <f t="shared" si="608"/>
        <v>1</v>
      </c>
      <c r="BI612" s="798">
        <f t="shared" si="608"/>
        <v>1</v>
      </c>
      <c r="BJ612" s="798">
        <f t="shared" si="608"/>
        <v>1</v>
      </c>
      <c r="BK612" s="798">
        <f t="shared" si="608"/>
        <v>1</v>
      </c>
      <c r="BL612" s="765"/>
      <c r="BM612" s="817"/>
      <c r="BN612" s="817"/>
    </row>
    <row r="613" hidden="1">
      <c r="A613" s="765"/>
      <c r="B613" s="765"/>
      <c r="C613" s="765"/>
      <c r="D613" s="765"/>
      <c r="E613" s="765"/>
      <c r="F613" s="765"/>
      <c r="G613" s="765"/>
      <c r="H613" s="765"/>
      <c r="I613" s="765">
        <f t="shared" si="17"/>
        <v>602</v>
      </c>
      <c r="J613" s="763">
        <f t="shared" si="5"/>
        <v>1.1584E+17</v>
      </c>
      <c r="K613" s="796">
        <f t="shared" si="7"/>
        <v>0.53479</v>
      </c>
      <c r="L613" s="796">
        <v>5.0E-4</v>
      </c>
      <c r="M613" s="763">
        <v>1.32086746279836E17</v>
      </c>
      <c r="N613" s="797">
        <f t="shared" si="8"/>
        <v>0</v>
      </c>
      <c r="O613" s="798">
        <f t="shared" ref="O613:BK613" si="609">FLOOR(MIN((((N("value of ELS upgrade")+N$8*($K613-$K612))*(N("Check checkbox")+(IF($G$6=TRUE,$G$7,$G$8))/$G$8))/(N("ROI of ELS and multiply by 2 if ELS is 1:1")+IF($G$12 = True, 2, 1) * $J613))/((N("difference in ELS+ and the cost of it")+(($K612*O$8)-($K612*N$8)) / O$7)),(N("MIN lets it return 0 or 1 after floored")+1)),1)</f>
        <v>0</v>
      </c>
      <c r="P613" s="798">
        <f t="shared" si="609"/>
        <v>0</v>
      </c>
      <c r="Q613" s="798">
        <f t="shared" si="609"/>
        <v>0</v>
      </c>
      <c r="R613" s="798">
        <f t="shared" si="609"/>
        <v>0</v>
      </c>
      <c r="S613" s="798">
        <f t="shared" si="609"/>
        <v>0</v>
      </c>
      <c r="T613" s="798">
        <f t="shared" si="609"/>
        <v>0</v>
      </c>
      <c r="U613" s="798">
        <f t="shared" si="609"/>
        <v>0</v>
      </c>
      <c r="V613" s="798">
        <f t="shared" si="609"/>
        <v>0</v>
      </c>
      <c r="W613" s="798">
        <f t="shared" si="609"/>
        <v>0</v>
      </c>
      <c r="X613" s="798">
        <f t="shared" si="609"/>
        <v>0</v>
      </c>
      <c r="Y613" s="798">
        <f t="shared" si="609"/>
        <v>0</v>
      </c>
      <c r="Z613" s="798">
        <f t="shared" si="609"/>
        <v>0</v>
      </c>
      <c r="AA613" s="798">
        <f t="shared" si="609"/>
        <v>0</v>
      </c>
      <c r="AB613" s="798">
        <f t="shared" si="609"/>
        <v>0</v>
      </c>
      <c r="AC613" s="798">
        <f t="shared" si="609"/>
        <v>0</v>
      </c>
      <c r="AD613" s="798">
        <f t="shared" si="609"/>
        <v>0</v>
      </c>
      <c r="AE613" s="798">
        <f t="shared" si="609"/>
        <v>0</v>
      </c>
      <c r="AF613" s="798">
        <f t="shared" si="609"/>
        <v>0</v>
      </c>
      <c r="AG613" s="798">
        <f t="shared" si="609"/>
        <v>0</v>
      </c>
      <c r="AH613" s="798">
        <f t="shared" si="609"/>
        <v>0</v>
      </c>
      <c r="AI613" s="798">
        <f t="shared" si="609"/>
        <v>0</v>
      </c>
      <c r="AJ613" s="798">
        <f t="shared" si="609"/>
        <v>0</v>
      </c>
      <c r="AK613" s="798">
        <f t="shared" si="609"/>
        <v>0</v>
      </c>
      <c r="AL613" s="798">
        <f t="shared" si="609"/>
        <v>0</v>
      </c>
      <c r="AM613" s="798">
        <f t="shared" si="609"/>
        <v>0</v>
      </c>
      <c r="AN613" s="798">
        <f t="shared" si="609"/>
        <v>0</v>
      </c>
      <c r="AO613" s="798">
        <f t="shared" si="609"/>
        <v>0</v>
      </c>
      <c r="AP613" s="798">
        <f t="shared" si="609"/>
        <v>0</v>
      </c>
      <c r="AQ613" s="798">
        <f t="shared" si="609"/>
        <v>0</v>
      </c>
      <c r="AR613" s="798">
        <f t="shared" si="609"/>
        <v>0</v>
      </c>
      <c r="AS613" s="798">
        <f t="shared" si="609"/>
        <v>0</v>
      </c>
      <c r="AT613" s="798">
        <f t="shared" si="609"/>
        <v>0</v>
      </c>
      <c r="AU613" s="798">
        <f t="shared" si="609"/>
        <v>0</v>
      </c>
      <c r="AV613" s="798">
        <f t="shared" si="609"/>
        <v>0</v>
      </c>
      <c r="AW613" s="798">
        <f t="shared" si="609"/>
        <v>0</v>
      </c>
      <c r="AX613" s="798">
        <f t="shared" si="609"/>
        <v>0</v>
      </c>
      <c r="AY613" s="798">
        <f t="shared" si="609"/>
        <v>0</v>
      </c>
      <c r="AZ613" s="798">
        <f t="shared" si="609"/>
        <v>0</v>
      </c>
      <c r="BA613" s="798">
        <f t="shared" si="609"/>
        <v>0</v>
      </c>
      <c r="BB613" s="798">
        <f t="shared" si="609"/>
        <v>0</v>
      </c>
      <c r="BC613" s="798">
        <f t="shared" si="609"/>
        <v>1</v>
      </c>
      <c r="BD613" s="798">
        <f t="shared" si="609"/>
        <v>1</v>
      </c>
      <c r="BE613" s="798">
        <f t="shared" si="609"/>
        <v>1</v>
      </c>
      <c r="BF613" s="798">
        <f t="shared" si="609"/>
        <v>1</v>
      </c>
      <c r="BG613" s="798">
        <f t="shared" si="609"/>
        <v>1</v>
      </c>
      <c r="BH613" s="798">
        <f t="shared" si="609"/>
        <v>1</v>
      </c>
      <c r="BI613" s="798">
        <f t="shared" si="609"/>
        <v>1</v>
      </c>
      <c r="BJ613" s="798">
        <f t="shared" si="609"/>
        <v>1</v>
      </c>
      <c r="BK613" s="798">
        <f t="shared" si="609"/>
        <v>1</v>
      </c>
      <c r="BL613" s="765"/>
      <c r="BM613" s="817"/>
      <c r="BN613" s="817"/>
    </row>
    <row r="614" hidden="1">
      <c r="A614" s="765"/>
      <c r="B614" s="765"/>
      <c r="C614" s="765"/>
      <c r="D614" s="765"/>
      <c r="E614" s="765"/>
      <c r="F614" s="765"/>
      <c r="G614" s="765"/>
      <c r="H614" s="765"/>
      <c r="I614" s="765">
        <f t="shared" si="17"/>
        <v>603</v>
      </c>
      <c r="J614" s="763">
        <f t="shared" si="5"/>
        <v>1.16235E+17</v>
      </c>
      <c r="K614" s="796">
        <f t="shared" si="7"/>
        <v>0.53529</v>
      </c>
      <c r="L614" s="796">
        <v>5.0E-4</v>
      </c>
      <c r="M614" s="763">
        <v>1.32536560101479E17</v>
      </c>
      <c r="N614" s="797">
        <f t="shared" si="8"/>
        <v>0</v>
      </c>
      <c r="O614" s="798">
        <f t="shared" ref="O614:BK614" si="610">FLOOR(MIN((((N("value of ELS upgrade")+N$8*($K614-$K613))*(N("Check checkbox")+(IF($G$6=TRUE,$G$7,$G$8))/$G$8))/(N("ROI of ELS and multiply by 2 if ELS is 1:1")+IF($G$12 = True, 2, 1) * $J614))/((N("difference in ELS+ and the cost of it")+(($K613*O$8)-($K613*N$8)) / O$7)),(N("MIN lets it return 0 or 1 after floored")+1)),1)</f>
        <v>0</v>
      </c>
      <c r="P614" s="798">
        <f t="shared" si="610"/>
        <v>0</v>
      </c>
      <c r="Q614" s="798">
        <f t="shared" si="610"/>
        <v>0</v>
      </c>
      <c r="R614" s="798">
        <f t="shared" si="610"/>
        <v>0</v>
      </c>
      <c r="S614" s="798">
        <f t="shared" si="610"/>
        <v>0</v>
      </c>
      <c r="T614" s="798">
        <f t="shared" si="610"/>
        <v>0</v>
      </c>
      <c r="U614" s="798">
        <f t="shared" si="610"/>
        <v>0</v>
      </c>
      <c r="V614" s="798">
        <f t="shared" si="610"/>
        <v>0</v>
      </c>
      <c r="W614" s="798">
        <f t="shared" si="610"/>
        <v>0</v>
      </c>
      <c r="X614" s="798">
        <f t="shared" si="610"/>
        <v>0</v>
      </c>
      <c r="Y614" s="798">
        <f t="shared" si="610"/>
        <v>0</v>
      </c>
      <c r="Z614" s="798">
        <f t="shared" si="610"/>
        <v>0</v>
      </c>
      <c r="AA614" s="798">
        <f t="shared" si="610"/>
        <v>0</v>
      </c>
      <c r="AB614" s="798">
        <f t="shared" si="610"/>
        <v>0</v>
      </c>
      <c r="AC614" s="798">
        <f t="shared" si="610"/>
        <v>0</v>
      </c>
      <c r="AD614" s="798">
        <f t="shared" si="610"/>
        <v>0</v>
      </c>
      <c r="AE614" s="798">
        <f t="shared" si="610"/>
        <v>0</v>
      </c>
      <c r="AF614" s="798">
        <f t="shared" si="610"/>
        <v>0</v>
      </c>
      <c r="AG614" s="798">
        <f t="shared" si="610"/>
        <v>0</v>
      </c>
      <c r="AH614" s="798">
        <f t="shared" si="610"/>
        <v>0</v>
      </c>
      <c r="AI614" s="798">
        <f t="shared" si="610"/>
        <v>0</v>
      </c>
      <c r="AJ614" s="798">
        <f t="shared" si="610"/>
        <v>0</v>
      </c>
      <c r="AK614" s="798">
        <f t="shared" si="610"/>
        <v>0</v>
      </c>
      <c r="AL614" s="798">
        <f t="shared" si="610"/>
        <v>0</v>
      </c>
      <c r="AM614" s="798">
        <f t="shared" si="610"/>
        <v>0</v>
      </c>
      <c r="AN614" s="798">
        <f t="shared" si="610"/>
        <v>0</v>
      </c>
      <c r="AO614" s="798">
        <f t="shared" si="610"/>
        <v>0</v>
      </c>
      <c r="AP614" s="798">
        <f t="shared" si="610"/>
        <v>0</v>
      </c>
      <c r="AQ614" s="798">
        <f t="shared" si="610"/>
        <v>0</v>
      </c>
      <c r="AR614" s="798">
        <f t="shared" si="610"/>
        <v>0</v>
      </c>
      <c r="AS614" s="798">
        <f t="shared" si="610"/>
        <v>0</v>
      </c>
      <c r="AT614" s="798">
        <f t="shared" si="610"/>
        <v>0</v>
      </c>
      <c r="AU614" s="798">
        <f t="shared" si="610"/>
        <v>0</v>
      </c>
      <c r="AV614" s="798">
        <f t="shared" si="610"/>
        <v>0</v>
      </c>
      <c r="AW614" s="798">
        <f t="shared" si="610"/>
        <v>0</v>
      </c>
      <c r="AX614" s="798">
        <f t="shared" si="610"/>
        <v>0</v>
      </c>
      <c r="AY614" s="798">
        <f t="shared" si="610"/>
        <v>0</v>
      </c>
      <c r="AZ614" s="798">
        <f t="shared" si="610"/>
        <v>0</v>
      </c>
      <c r="BA614" s="798">
        <f t="shared" si="610"/>
        <v>0</v>
      </c>
      <c r="BB614" s="798">
        <f t="shared" si="610"/>
        <v>0</v>
      </c>
      <c r="BC614" s="798">
        <f t="shared" si="610"/>
        <v>1</v>
      </c>
      <c r="BD614" s="798">
        <f t="shared" si="610"/>
        <v>1</v>
      </c>
      <c r="BE614" s="798">
        <f t="shared" si="610"/>
        <v>1</v>
      </c>
      <c r="BF614" s="798">
        <f t="shared" si="610"/>
        <v>1</v>
      </c>
      <c r="BG614" s="798">
        <f t="shared" si="610"/>
        <v>1</v>
      </c>
      <c r="BH614" s="798">
        <f t="shared" si="610"/>
        <v>1</v>
      </c>
      <c r="BI614" s="798">
        <f t="shared" si="610"/>
        <v>1</v>
      </c>
      <c r="BJ614" s="798">
        <f t="shared" si="610"/>
        <v>1</v>
      </c>
      <c r="BK614" s="798">
        <f t="shared" si="610"/>
        <v>1</v>
      </c>
      <c r="BL614" s="765"/>
      <c r="BM614" s="817"/>
      <c r="BN614" s="817"/>
    </row>
    <row r="615" hidden="1">
      <c r="A615" s="765"/>
      <c r="B615" s="765"/>
      <c r="C615" s="765"/>
      <c r="D615" s="765"/>
      <c r="E615" s="765"/>
      <c r="F615" s="765"/>
      <c r="G615" s="765"/>
      <c r="H615" s="765"/>
      <c r="I615" s="765">
        <f t="shared" si="17"/>
        <v>604</v>
      </c>
      <c r="J615" s="763">
        <f t="shared" si="5"/>
        <v>1.1663E+17</v>
      </c>
      <c r="K615" s="796">
        <f t="shared" si="7"/>
        <v>0.53579</v>
      </c>
      <c r="L615" s="796">
        <v>5.0E-4</v>
      </c>
      <c r="M615" s="763">
        <v>1.32987676451122E17</v>
      </c>
      <c r="N615" s="797">
        <f t="shared" si="8"/>
        <v>0</v>
      </c>
      <c r="O615" s="798">
        <f t="shared" ref="O615:BK615" si="611">FLOOR(MIN((((N("value of ELS upgrade")+N$8*($K615-$K614))*(N("Check checkbox")+(IF($G$6=TRUE,$G$7,$G$8))/$G$8))/(N("ROI of ELS and multiply by 2 if ELS is 1:1")+IF($G$12 = True, 2, 1) * $J615))/((N("difference in ELS+ and the cost of it")+(($K614*O$8)-($K614*N$8)) / O$7)),(N("MIN lets it return 0 or 1 after floored")+1)),1)</f>
        <v>0</v>
      </c>
      <c r="P615" s="798">
        <f t="shared" si="611"/>
        <v>0</v>
      </c>
      <c r="Q615" s="798">
        <f t="shared" si="611"/>
        <v>0</v>
      </c>
      <c r="R615" s="798">
        <f t="shared" si="611"/>
        <v>0</v>
      </c>
      <c r="S615" s="798">
        <f t="shared" si="611"/>
        <v>0</v>
      </c>
      <c r="T615" s="798">
        <f t="shared" si="611"/>
        <v>0</v>
      </c>
      <c r="U615" s="798">
        <f t="shared" si="611"/>
        <v>0</v>
      </c>
      <c r="V615" s="798">
        <f t="shared" si="611"/>
        <v>0</v>
      </c>
      <c r="W615" s="798">
        <f t="shared" si="611"/>
        <v>0</v>
      </c>
      <c r="X615" s="798">
        <f t="shared" si="611"/>
        <v>0</v>
      </c>
      <c r="Y615" s="798">
        <f t="shared" si="611"/>
        <v>0</v>
      </c>
      <c r="Z615" s="798">
        <f t="shared" si="611"/>
        <v>0</v>
      </c>
      <c r="AA615" s="798">
        <f t="shared" si="611"/>
        <v>0</v>
      </c>
      <c r="AB615" s="798">
        <f t="shared" si="611"/>
        <v>0</v>
      </c>
      <c r="AC615" s="798">
        <f t="shared" si="611"/>
        <v>0</v>
      </c>
      <c r="AD615" s="798">
        <f t="shared" si="611"/>
        <v>0</v>
      </c>
      <c r="AE615" s="798">
        <f t="shared" si="611"/>
        <v>0</v>
      </c>
      <c r="AF615" s="798">
        <f t="shared" si="611"/>
        <v>0</v>
      </c>
      <c r="AG615" s="798">
        <f t="shared" si="611"/>
        <v>0</v>
      </c>
      <c r="AH615" s="798">
        <f t="shared" si="611"/>
        <v>0</v>
      </c>
      <c r="AI615" s="798">
        <f t="shared" si="611"/>
        <v>0</v>
      </c>
      <c r="AJ615" s="798">
        <f t="shared" si="611"/>
        <v>0</v>
      </c>
      <c r="AK615" s="798">
        <f t="shared" si="611"/>
        <v>0</v>
      </c>
      <c r="AL615" s="798">
        <f t="shared" si="611"/>
        <v>0</v>
      </c>
      <c r="AM615" s="798">
        <f t="shared" si="611"/>
        <v>0</v>
      </c>
      <c r="AN615" s="798">
        <f t="shared" si="611"/>
        <v>0</v>
      </c>
      <c r="AO615" s="798">
        <f t="shared" si="611"/>
        <v>0</v>
      </c>
      <c r="AP615" s="798">
        <f t="shared" si="611"/>
        <v>0</v>
      </c>
      <c r="AQ615" s="798">
        <f t="shared" si="611"/>
        <v>0</v>
      </c>
      <c r="AR615" s="798">
        <f t="shared" si="611"/>
        <v>0</v>
      </c>
      <c r="AS615" s="798">
        <f t="shared" si="611"/>
        <v>0</v>
      </c>
      <c r="AT615" s="798">
        <f t="shared" si="611"/>
        <v>0</v>
      </c>
      <c r="AU615" s="798">
        <f t="shared" si="611"/>
        <v>0</v>
      </c>
      <c r="AV615" s="798">
        <f t="shared" si="611"/>
        <v>0</v>
      </c>
      <c r="AW615" s="798">
        <f t="shared" si="611"/>
        <v>0</v>
      </c>
      <c r="AX615" s="798">
        <f t="shared" si="611"/>
        <v>0</v>
      </c>
      <c r="AY615" s="798">
        <f t="shared" si="611"/>
        <v>0</v>
      </c>
      <c r="AZ615" s="798">
        <f t="shared" si="611"/>
        <v>0</v>
      </c>
      <c r="BA615" s="798">
        <f t="shared" si="611"/>
        <v>0</v>
      </c>
      <c r="BB615" s="798">
        <f t="shared" si="611"/>
        <v>0</v>
      </c>
      <c r="BC615" s="798">
        <f t="shared" si="611"/>
        <v>1</v>
      </c>
      <c r="BD615" s="798">
        <f t="shared" si="611"/>
        <v>1</v>
      </c>
      <c r="BE615" s="798">
        <f t="shared" si="611"/>
        <v>1</v>
      </c>
      <c r="BF615" s="798">
        <f t="shared" si="611"/>
        <v>1</v>
      </c>
      <c r="BG615" s="798">
        <f t="shared" si="611"/>
        <v>1</v>
      </c>
      <c r="BH615" s="798">
        <f t="shared" si="611"/>
        <v>1</v>
      </c>
      <c r="BI615" s="798">
        <f t="shared" si="611"/>
        <v>1</v>
      </c>
      <c r="BJ615" s="798">
        <f t="shared" si="611"/>
        <v>1</v>
      </c>
      <c r="BK615" s="798">
        <f t="shared" si="611"/>
        <v>1</v>
      </c>
      <c r="BL615" s="765"/>
      <c r="BM615" s="817"/>
      <c r="BN615" s="817"/>
    </row>
    <row r="616" hidden="1">
      <c r="A616" s="765"/>
      <c r="B616" s="765"/>
      <c r="C616" s="765"/>
      <c r="D616" s="765"/>
      <c r="E616" s="765"/>
      <c r="F616" s="765"/>
      <c r="G616" s="765"/>
      <c r="H616" s="765"/>
      <c r="I616" s="765">
        <f t="shared" si="17"/>
        <v>605</v>
      </c>
      <c r="J616" s="763">
        <f t="shared" si="5"/>
        <v>1.17027E+17</v>
      </c>
      <c r="K616" s="796">
        <f t="shared" si="7"/>
        <v>0.53629</v>
      </c>
      <c r="L616" s="796">
        <v>5.0E-4</v>
      </c>
      <c r="M616" s="763">
        <v>1.33440095328764E17</v>
      </c>
      <c r="N616" s="797">
        <f t="shared" si="8"/>
        <v>0</v>
      </c>
      <c r="O616" s="798">
        <f t="shared" ref="O616:BK616" si="612">FLOOR(MIN((((N("value of ELS upgrade")+N$8*($K616-$K615))*(N("Check checkbox")+(IF($G$6=TRUE,$G$7,$G$8))/$G$8))/(N("ROI of ELS and multiply by 2 if ELS is 1:1")+IF($G$12 = True, 2, 1) * $J616))/((N("difference in ELS+ and the cost of it")+(($K615*O$8)-($K615*N$8)) / O$7)),(N("MIN lets it return 0 or 1 after floored")+1)),1)</f>
        <v>0</v>
      </c>
      <c r="P616" s="798">
        <f t="shared" si="612"/>
        <v>0</v>
      </c>
      <c r="Q616" s="798">
        <f t="shared" si="612"/>
        <v>0</v>
      </c>
      <c r="R616" s="798">
        <f t="shared" si="612"/>
        <v>0</v>
      </c>
      <c r="S616" s="798">
        <f t="shared" si="612"/>
        <v>0</v>
      </c>
      <c r="T616" s="798">
        <f t="shared" si="612"/>
        <v>0</v>
      </c>
      <c r="U616" s="798">
        <f t="shared" si="612"/>
        <v>0</v>
      </c>
      <c r="V616" s="798">
        <f t="shared" si="612"/>
        <v>0</v>
      </c>
      <c r="W616" s="798">
        <f t="shared" si="612"/>
        <v>0</v>
      </c>
      <c r="X616" s="798">
        <f t="shared" si="612"/>
        <v>0</v>
      </c>
      <c r="Y616" s="798">
        <f t="shared" si="612"/>
        <v>0</v>
      </c>
      <c r="Z616" s="798">
        <f t="shared" si="612"/>
        <v>0</v>
      </c>
      <c r="AA616" s="798">
        <f t="shared" si="612"/>
        <v>0</v>
      </c>
      <c r="AB616" s="798">
        <f t="shared" si="612"/>
        <v>0</v>
      </c>
      <c r="AC616" s="798">
        <f t="shared" si="612"/>
        <v>0</v>
      </c>
      <c r="AD616" s="798">
        <f t="shared" si="612"/>
        <v>0</v>
      </c>
      <c r="AE616" s="798">
        <f t="shared" si="612"/>
        <v>0</v>
      </c>
      <c r="AF616" s="798">
        <f t="shared" si="612"/>
        <v>0</v>
      </c>
      <c r="AG616" s="798">
        <f t="shared" si="612"/>
        <v>0</v>
      </c>
      <c r="AH616" s="798">
        <f t="shared" si="612"/>
        <v>0</v>
      </c>
      <c r="AI616" s="798">
        <f t="shared" si="612"/>
        <v>0</v>
      </c>
      <c r="AJ616" s="798">
        <f t="shared" si="612"/>
        <v>0</v>
      </c>
      <c r="AK616" s="798">
        <f t="shared" si="612"/>
        <v>0</v>
      </c>
      <c r="AL616" s="798">
        <f t="shared" si="612"/>
        <v>0</v>
      </c>
      <c r="AM616" s="798">
        <f t="shared" si="612"/>
        <v>0</v>
      </c>
      <c r="AN616" s="798">
        <f t="shared" si="612"/>
        <v>0</v>
      </c>
      <c r="AO616" s="798">
        <f t="shared" si="612"/>
        <v>0</v>
      </c>
      <c r="AP616" s="798">
        <f t="shared" si="612"/>
        <v>0</v>
      </c>
      <c r="AQ616" s="798">
        <f t="shared" si="612"/>
        <v>0</v>
      </c>
      <c r="AR616" s="798">
        <f t="shared" si="612"/>
        <v>0</v>
      </c>
      <c r="AS616" s="798">
        <f t="shared" si="612"/>
        <v>0</v>
      </c>
      <c r="AT616" s="798">
        <f t="shared" si="612"/>
        <v>0</v>
      </c>
      <c r="AU616" s="798">
        <f t="shared" si="612"/>
        <v>0</v>
      </c>
      <c r="AV616" s="798">
        <f t="shared" si="612"/>
        <v>0</v>
      </c>
      <c r="AW616" s="798">
        <f t="shared" si="612"/>
        <v>0</v>
      </c>
      <c r="AX616" s="798">
        <f t="shared" si="612"/>
        <v>0</v>
      </c>
      <c r="AY616" s="798">
        <f t="shared" si="612"/>
        <v>0</v>
      </c>
      <c r="AZ616" s="798">
        <f t="shared" si="612"/>
        <v>0</v>
      </c>
      <c r="BA616" s="798">
        <f t="shared" si="612"/>
        <v>0</v>
      </c>
      <c r="BB616" s="798">
        <f t="shared" si="612"/>
        <v>0</v>
      </c>
      <c r="BC616" s="798">
        <f t="shared" si="612"/>
        <v>1</v>
      </c>
      <c r="BD616" s="798">
        <f t="shared" si="612"/>
        <v>1</v>
      </c>
      <c r="BE616" s="798">
        <f t="shared" si="612"/>
        <v>1</v>
      </c>
      <c r="BF616" s="798">
        <f t="shared" si="612"/>
        <v>1</v>
      </c>
      <c r="BG616" s="798">
        <f t="shared" si="612"/>
        <v>1</v>
      </c>
      <c r="BH616" s="798">
        <f t="shared" si="612"/>
        <v>1</v>
      </c>
      <c r="BI616" s="798">
        <f t="shared" si="612"/>
        <v>1</v>
      </c>
      <c r="BJ616" s="798">
        <f t="shared" si="612"/>
        <v>1</v>
      </c>
      <c r="BK616" s="798">
        <f t="shared" si="612"/>
        <v>1</v>
      </c>
      <c r="BL616" s="765"/>
      <c r="BM616" s="817"/>
      <c r="BN616" s="817"/>
    </row>
    <row r="617" hidden="1">
      <c r="A617" s="765"/>
      <c r="B617" s="765"/>
      <c r="C617" s="765"/>
      <c r="D617" s="765"/>
      <c r="E617" s="765"/>
      <c r="F617" s="765"/>
      <c r="G617" s="765"/>
      <c r="H617" s="765"/>
      <c r="I617" s="765">
        <f t="shared" si="17"/>
        <v>606</v>
      </c>
      <c r="J617" s="763">
        <f t="shared" si="5"/>
        <v>1.17425E+17</v>
      </c>
      <c r="K617" s="796">
        <f t="shared" si="7"/>
        <v>0.53679</v>
      </c>
      <c r="L617" s="796">
        <v>5.0E-4</v>
      </c>
      <c r="M617" s="763">
        <v>1.33893824220199E17</v>
      </c>
      <c r="N617" s="797">
        <f t="shared" si="8"/>
        <v>0</v>
      </c>
      <c r="O617" s="798">
        <f t="shared" ref="O617:BK617" si="613">FLOOR(MIN((((N("value of ELS upgrade")+N$8*($K617-$K616))*(N("Check checkbox")+(IF($G$6=TRUE,$G$7,$G$8))/$G$8))/(N("ROI of ELS and multiply by 2 if ELS is 1:1")+IF($G$12 = True, 2, 1) * $J617))/((N("difference in ELS+ and the cost of it")+(($K616*O$8)-($K616*N$8)) / O$7)),(N("MIN lets it return 0 or 1 after floored")+1)),1)</f>
        <v>0</v>
      </c>
      <c r="P617" s="798">
        <f t="shared" si="613"/>
        <v>0</v>
      </c>
      <c r="Q617" s="798">
        <f t="shared" si="613"/>
        <v>0</v>
      </c>
      <c r="R617" s="798">
        <f t="shared" si="613"/>
        <v>0</v>
      </c>
      <c r="S617" s="798">
        <f t="shared" si="613"/>
        <v>0</v>
      </c>
      <c r="T617" s="798">
        <f t="shared" si="613"/>
        <v>0</v>
      </c>
      <c r="U617" s="798">
        <f t="shared" si="613"/>
        <v>0</v>
      </c>
      <c r="V617" s="798">
        <f t="shared" si="613"/>
        <v>0</v>
      </c>
      <c r="W617" s="798">
        <f t="shared" si="613"/>
        <v>0</v>
      </c>
      <c r="X617" s="798">
        <f t="shared" si="613"/>
        <v>0</v>
      </c>
      <c r="Y617" s="798">
        <f t="shared" si="613"/>
        <v>0</v>
      </c>
      <c r="Z617" s="798">
        <f t="shared" si="613"/>
        <v>0</v>
      </c>
      <c r="AA617" s="798">
        <f t="shared" si="613"/>
        <v>0</v>
      </c>
      <c r="AB617" s="798">
        <f t="shared" si="613"/>
        <v>0</v>
      </c>
      <c r="AC617" s="798">
        <f t="shared" si="613"/>
        <v>0</v>
      </c>
      <c r="AD617" s="798">
        <f t="shared" si="613"/>
        <v>0</v>
      </c>
      <c r="AE617" s="798">
        <f t="shared" si="613"/>
        <v>0</v>
      </c>
      <c r="AF617" s="798">
        <f t="shared" si="613"/>
        <v>0</v>
      </c>
      <c r="AG617" s="798">
        <f t="shared" si="613"/>
        <v>0</v>
      </c>
      <c r="AH617" s="798">
        <f t="shared" si="613"/>
        <v>0</v>
      </c>
      <c r="AI617" s="798">
        <f t="shared" si="613"/>
        <v>0</v>
      </c>
      <c r="AJ617" s="798">
        <f t="shared" si="613"/>
        <v>0</v>
      </c>
      <c r="AK617" s="798">
        <f t="shared" si="613"/>
        <v>0</v>
      </c>
      <c r="AL617" s="798">
        <f t="shared" si="613"/>
        <v>0</v>
      </c>
      <c r="AM617" s="798">
        <f t="shared" si="613"/>
        <v>0</v>
      </c>
      <c r="AN617" s="798">
        <f t="shared" si="613"/>
        <v>0</v>
      </c>
      <c r="AO617" s="798">
        <f t="shared" si="613"/>
        <v>0</v>
      </c>
      <c r="AP617" s="798">
        <f t="shared" si="613"/>
        <v>0</v>
      </c>
      <c r="AQ617" s="798">
        <f t="shared" si="613"/>
        <v>0</v>
      </c>
      <c r="AR617" s="798">
        <f t="shared" si="613"/>
        <v>0</v>
      </c>
      <c r="AS617" s="798">
        <f t="shared" si="613"/>
        <v>0</v>
      </c>
      <c r="AT617" s="798">
        <f t="shared" si="613"/>
        <v>0</v>
      </c>
      <c r="AU617" s="798">
        <f t="shared" si="613"/>
        <v>0</v>
      </c>
      <c r="AV617" s="798">
        <f t="shared" si="613"/>
        <v>0</v>
      </c>
      <c r="AW617" s="798">
        <f t="shared" si="613"/>
        <v>0</v>
      </c>
      <c r="AX617" s="798">
        <f t="shared" si="613"/>
        <v>0</v>
      </c>
      <c r="AY617" s="798">
        <f t="shared" si="613"/>
        <v>0</v>
      </c>
      <c r="AZ617" s="798">
        <f t="shared" si="613"/>
        <v>0</v>
      </c>
      <c r="BA617" s="798">
        <f t="shared" si="613"/>
        <v>0</v>
      </c>
      <c r="BB617" s="798">
        <f t="shared" si="613"/>
        <v>0</v>
      </c>
      <c r="BC617" s="798">
        <f t="shared" si="613"/>
        <v>1</v>
      </c>
      <c r="BD617" s="798">
        <f t="shared" si="613"/>
        <v>1</v>
      </c>
      <c r="BE617" s="798">
        <f t="shared" si="613"/>
        <v>1</v>
      </c>
      <c r="BF617" s="798">
        <f t="shared" si="613"/>
        <v>1</v>
      </c>
      <c r="BG617" s="798">
        <f t="shared" si="613"/>
        <v>1</v>
      </c>
      <c r="BH617" s="798">
        <f t="shared" si="613"/>
        <v>1</v>
      </c>
      <c r="BI617" s="798">
        <f t="shared" si="613"/>
        <v>1</v>
      </c>
      <c r="BJ617" s="798">
        <f t="shared" si="613"/>
        <v>1</v>
      </c>
      <c r="BK617" s="798">
        <f t="shared" si="613"/>
        <v>1</v>
      </c>
      <c r="BL617" s="765"/>
      <c r="BM617" s="817"/>
      <c r="BN617" s="817"/>
    </row>
    <row r="618" hidden="1">
      <c r="A618" s="765"/>
      <c r="B618" s="765"/>
      <c r="C618" s="765"/>
      <c r="D618" s="765"/>
      <c r="E618" s="765"/>
      <c r="F618" s="765"/>
      <c r="G618" s="765"/>
      <c r="H618" s="765"/>
      <c r="I618" s="765">
        <f t="shared" si="17"/>
        <v>607</v>
      </c>
      <c r="J618" s="763">
        <f t="shared" si="5"/>
        <v>1.17824E+17</v>
      </c>
      <c r="K618" s="796">
        <f t="shared" si="7"/>
        <v>0.53729</v>
      </c>
      <c r="L618" s="796">
        <v>5.0E-4</v>
      </c>
      <c r="M618" s="763">
        <v>1.34348863125426E17</v>
      </c>
      <c r="N618" s="797">
        <f t="shared" si="8"/>
        <v>0</v>
      </c>
      <c r="O618" s="798">
        <f t="shared" ref="O618:BK618" si="614">FLOOR(MIN((((N("value of ELS upgrade")+N$8*($K618-$K617))*(N("Check checkbox")+(IF($G$6=TRUE,$G$7,$G$8))/$G$8))/(N("ROI of ELS and multiply by 2 if ELS is 1:1")+IF($G$12 = True, 2, 1) * $J618))/((N("difference in ELS+ and the cost of it")+(($K617*O$8)-($K617*N$8)) / O$7)),(N("MIN lets it return 0 or 1 after floored")+1)),1)</f>
        <v>0</v>
      </c>
      <c r="P618" s="798">
        <f t="shared" si="614"/>
        <v>0</v>
      </c>
      <c r="Q618" s="798">
        <f t="shared" si="614"/>
        <v>0</v>
      </c>
      <c r="R618" s="798">
        <f t="shared" si="614"/>
        <v>0</v>
      </c>
      <c r="S618" s="798">
        <f t="shared" si="614"/>
        <v>0</v>
      </c>
      <c r="T618" s="798">
        <f t="shared" si="614"/>
        <v>0</v>
      </c>
      <c r="U618" s="798">
        <f t="shared" si="614"/>
        <v>0</v>
      </c>
      <c r="V618" s="798">
        <f t="shared" si="614"/>
        <v>0</v>
      </c>
      <c r="W618" s="798">
        <f t="shared" si="614"/>
        <v>0</v>
      </c>
      <c r="X618" s="798">
        <f t="shared" si="614"/>
        <v>0</v>
      </c>
      <c r="Y618" s="798">
        <f t="shared" si="614"/>
        <v>0</v>
      </c>
      <c r="Z618" s="798">
        <f t="shared" si="614"/>
        <v>0</v>
      </c>
      <c r="AA618" s="798">
        <f t="shared" si="614"/>
        <v>0</v>
      </c>
      <c r="AB618" s="798">
        <f t="shared" si="614"/>
        <v>0</v>
      </c>
      <c r="AC618" s="798">
        <f t="shared" si="614"/>
        <v>0</v>
      </c>
      <c r="AD618" s="798">
        <f t="shared" si="614"/>
        <v>0</v>
      </c>
      <c r="AE618" s="798">
        <f t="shared" si="614"/>
        <v>0</v>
      </c>
      <c r="AF618" s="798">
        <f t="shared" si="614"/>
        <v>0</v>
      </c>
      <c r="AG618" s="798">
        <f t="shared" si="614"/>
        <v>0</v>
      </c>
      <c r="AH618" s="798">
        <f t="shared" si="614"/>
        <v>0</v>
      </c>
      <c r="AI618" s="798">
        <f t="shared" si="614"/>
        <v>0</v>
      </c>
      <c r="AJ618" s="798">
        <f t="shared" si="614"/>
        <v>0</v>
      </c>
      <c r="AK618" s="798">
        <f t="shared" si="614"/>
        <v>0</v>
      </c>
      <c r="AL618" s="798">
        <f t="shared" si="614"/>
        <v>0</v>
      </c>
      <c r="AM618" s="798">
        <f t="shared" si="614"/>
        <v>0</v>
      </c>
      <c r="AN618" s="798">
        <f t="shared" si="614"/>
        <v>0</v>
      </c>
      <c r="AO618" s="798">
        <f t="shared" si="614"/>
        <v>0</v>
      </c>
      <c r="AP618" s="798">
        <f t="shared" si="614"/>
        <v>0</v>
      </c>
      <c r="AQ618" s="798">
        <f t="shared" si="614"/>
        <v>0</v>
      </c>
      <c r="AR618" s="798">
        <f t="shared" si="614"/>
        <v>0</v>
      </c>
      <c r="AS618" s="798">
        <f t="shared" si="614"/>
        <v>0</v>
      </c>
      <c r="AT618" s="798">
        <f t="shared" si="614"/>
        <v>0</v>
      </c>
      <c r="AU618" s="798">
        <f t="shared" si="614"/>
        <v>0</v>
      </c>
      <c r="AV618" s="798">
        <f t="shared" si="614"/>
        <v>0</v>
      </c>
      <c r="AW618" s="798">
        <f t="shared" si="614"/>
        <v>0</v>
      </c>
      <c r="AX618" s="798">
        <f t="shared" si="614"/>
        <v>0</v>
      </c>
      <c r="AY618" s="798">
        <f t="shared" si="614"/>
        <v>0</v>
      </c>
      <c r="AZ618" s="798">
        <f t="shared" si="614"/>
        <v>0</v>
      </c>
      <c r="BA618" s="798">
        <f t="shared" si="614"/>
        <v>0</v>
      </c>
      <c r="BB618" s="798">
        <f t="shared" si="614"/>
        <v>0</v>
      </c>
      <c r="BC618" s="798">
        <f t="shared" si="614"/>
        <v>1</v>
      </c>
      <c r="BD618" s="798">
        <f t="shared" si="614"/>
        <v>1</v>
      </c>
      <c r="BE618" s="798">
        <f t="shared" si="614"/>
        <v>1</v>
      </c>
      <c r="BF618" s="798">
        <f t="shared" si="614"/>
        <v>1</v>
      </c>
      <c r="BG618" s="798">
        <f t="shared" si="614"/>
        <v>1</v>
      </c>
      <c r="BH618" s="798">
        <f t="shared" si="614"/>
        <v>1</v>
      </c>
      <c r="BI618" s="798">
        <f t="shared" si="614"/>
        <v>1</v>
      </c>
      <c r="BJ618" s="798">
        <f t="shared" si="614"/>
        <v>1</v>
      </c>
      <c r="BK618" s="798">
        <f t="shared" si="614"/>
        <v>1</v>
      </c>
      <c r="BL618" s="765"/>
      <c r="BM618" s="817"/>
      <c r="BN618" s="817"/>
    </row>
    <row r="619" hidden="1">
      <c r="A619" s="765"/>
      <c r="B619" s="765"/>
      <c r="C619" s="765"/>
      <c r="D619" s="765"/>
      <c r="E619" s="765"/>
      <c r="F619" s="765"/>
      <c r="G619" s="765"/>
      <c r="H619" s="765"/>
      <c r="I619" s="765">
        <f t="shared" si="17"/>
        <v>608</v>
      </c>
      <c r="J619" s="763">
        <f t="shared" si="5"/>
        <v>1.18224E+17</v>
      </c>
      <c r="K619" s="796">
        <f t="shared" si="7"/>
        <v>0.53779</v>
      </c>
      <c r="L619" s="796">
        <v>5.0E-4</v>
      </c>
      <c r="M619" s="763">
        <v>1.34805215787343E17</v>
      </c>
      <c r="N619" s="797">
        <f t="shared" si="8"/>
        <v>0</v>
      </c>
      <c r="O619" s="798">
        <f t="shared" ref="O619:BK619" si="615">FLOOR(MIN((((N("value of ELS upgrade")+N$8*($K619-$K618))*(N("Check checkbox")+(IF($G$6=TRUE,$G$7,$G$8))/$G$8))/(N("ROI of ELS and multiply by 2 if ELS is 1:1")+IF($G$12 = True, 2, 1) * $J619))/((N("difference in ELS+ and the cost of it")+(($K618*O$8)-($K618*N$8)) / O$7)),(N("MIN lets it return 0 or 1 after floored")+1)),1)</f>
        <v>0</v>
      </c>
      <c r="P619" s="798">
        <f t="shared" si="615"/>
        <v>0</v>
      </c>
      <c r="Q619" s="798">
        <f t="shared" si="615"/>
        <v>0</v>
      </c>
      <c r="R619" s="798">
        <f t="shared" si="615"/>
        <v>0</v>
      </c>
      <c r="S619" s="798">
        <f t="shared" si="615"/>
        <v>0</v>
      </c>
      <c r="T619" s="798">
        <f t="shared" si="615"/>
        <v>0</v>
      </c>
      <c r="U619" s="798">
        <f t="shared" si="615"/>
        <v>0</v>
      </c>
      <c r="V619" s="798">
        <f t="shared" si="615"/>
        <v>0</v>
      </c>
      <c r="W619" s="798">
        <f t="shared" si="615"/>
        <v>0</v>
      </c>
      <c r="X619" s="798">
        <f t="shared" si="615"/>
        <v>0</v>
      </c>
      <c r="Y619" s="798">
        <f t="shared" si="615"/>
        <v>0</v>
      </c>
      <c r="Z619" s="798">
        <f t="shared" si="615"/>
        <v>0</v>
      </c>
      <c r="AA619" s="798">
        <f t="shared" si="615"/>
        <v>0</v>
      </c>
      <c r="AB619" s="798">
        <f t="shared" si="615"/>
        <v>0</v>
      </c>
      <c r="AC619" s="798">
        <f t="shared" si="615"/>
        <v>0</v>
      </c>
      <c r="AD619" s="798">
        <f t="shared" si="615"/>
        <v>0</v>
      </c>
      <c r="AE619" s="798">
        <f t="shared" si="615"/>
        <v>0</v>
      </c>
      <c r="AF619" s="798">
        <f t="shared" si="615"/>
        <v>0</v>
      </c>
      <c r="AG619" s="798">
        <f t="shared" si="615"/>
        <v>0</v>
      </c>
      <c r="AH619" s="798">
        <f t="shared" si="615"/>
        <v>0</v>
      </c>
      <c r="AI619" s="798">
        <f t="shared" si="615"/>
        <v>0</v>
      </c>
      <c r="AJ619" s="798">
        <f t="shared" si="615"/>
        <v>0</v>
      </c>
      <c r="AK619" s="798">
        <f t="shared" si="615"/>
        <v>0</v>
      </c>
      <c r="AL619" s="798">
        <f t="shared" si="615"/>
        <v>0</v>
      </c>
      <c r="AM619" s="798">
        <f t="shared" si="615"/>
        <v>0</v>
      </c>
      <c r="AN619" s="798">
        <f t="shared" si="615"/>
        <v>0</v>
      </c>
      <c r="AO619" s="798">
        <f t="shared" si="615"/>
        <v>0</v>
      </c>
      <c r="AP619" s="798">
        <f t="shared" si="615"/>
        <v>0</v>
      </c>
      <c r="AQ619" s="798">
        <f t="shared" si="615"/>
        <v>0</v>
      </c>
      <c r="AR619" s="798">
        <f t="shared" si="615"/>
        <v>0</v>
      </c>
      <c r="AS619" s="798">
        <f t="shared" si="615"/>
        <v>0</v>
      </c>
      <c r="AT619" s="798">
        <f t="shared" si="615"/>
        <v>0</v>
      </c>
      <c r="AU619" s="798">
        <f t="shared" si="615"/>
        <v>0</v>
      </c>
      <c r="AV619" s="798">
        <f t="shared" si="615"/>
        <v>0</v>
      </c>
      <c r="AW619" s="798">
        <f t="shared" si="615"/>
        <v>0</v>
      </c>
      <c r="AX619" s="798">
        <f t="shared" si="615"/>
        <v>0</v>
      </c>
      <c r="AY619" s="798">
        <f t="shared" si="615"/>
        <v>0</v>
      </c>
      <c r="AZ619" s="798">
        <f t="shared" si="615"/>
        <v>0</v>
      </c>
      <c r="BA619" s="798">
        <f t="shared" si="615"/>
        <v>0</v>
      </c>
      <c r="BB619" s="798">
        <f t="shared" si="615"/>
        <v>0</v>
      </c>
      <c r="BC619" s="798">
        <f t="shared" si="615"/>
        <v>1</v>
      </c>
      <c r="BD619" s="798">
        <f t="shared" si="615"/>
        <v>1</v>
      </c>
      <c r="BE619" s="798">
        <f t="shared" si="615"/>
        <v>1</v>
      </c>
      <c r="BF619" s="798">
        <f t="shared" si="615"/>
        <v>1</v>
      </c>
      <c r="BG619" s="798">
        <f t="shared" si="615"/>
        <v>1</v>
      </c>
      <c r="BH619" s="798">
        <f t="shared" si="615"/>
        <v>1</v>
      </c>
      <c r="BI619" s="798">
        <f t="shared" si="615"/>
        <v>1</v>
      </c>
      <c r="BJ619" s="798">
        <f t="shared" si="615"/>
        <v>1</v>
      </c>
      <c r="BK619" s="798">
        <f t="shared" si="615"/>
        <v>1</v>
      </c>
      <c r="BL619" s="765"/>
      <c r="BM619" s="817"/>
      <c r="BN619" s="817"/>
    </row>
    <row r="620" hidden="1">
      <c r="A620" s="765"/>
      <c r="B620" s="765"/>
      <c r="C620" s="765"/>
      <c r="D620" s="765"/>
      <c r="E620" s="765"/>
      <c r="F620" s="765"/>
      <c r="G620" s="765"/>
      <c r="H620" s="765"/>
      <c r="I620" s="765">
        <f t="shared" si="17"/>
        <v>609</v>
      </c>
      <c r="J620" s="763">
        <f t="shared" si="5"/>
        <v>1.18626E+17</v>
      </c>
      <c r="K620" s="796">
        <f t="shared" si="7"/>
        <v>0.53829</v>
      </c>
      <c r="L620" s="796">
        <v>5.0E-4</v>
      </c>
      <c r="M620" s="763">
        <v>1.35262882205949E17</v>
      </c>
      <c r="N620" s="797">
        <f t="shared" si="8"/>
        <v>0</v>
      </c>
      <c r="O620" s="798">
        <f t="shared" ref="O620:BK620" si="616">FLOOR(MIN((((N("value of ELS upgrade")+N$8*($K620-$K619))*(N("Check checkbox")+(IF($G$6=TRUE,$G$7,$G$8))/$G$8))/(N("ROI of ELS and multiply by 2 if ELS is 1:1")+IF($G$12 = True, 2, 1) * $J620))/((N("difference in ELS+ and the cost of it")+(($K619*O$8)-($K619*N$8)) / O$7)),(N("MIN lets it return 0 or 1 after floored")+1)),1)</f>
        <v>0</v>
      </c>
      <c r="P620" s="798">
        <f t="shared" si="616"/>
        <v>0</v>
      </c>
      <c r="Q620" s="798">
        <f t="shared" si="616"/>
        <v>0</v>
      </c>
      <c r="R620" s="798">
        <f t="shared" si="616"/>
        <v>0</v>
      </c>
      <c r="S620" s="798">
        <f t="shared" si="616"/>
        <v>0</v>
      </c>
      <c r="T620" s="798">
        <f t="shared" si="616"/>
        <v>0</v>
      </c>
      <c r="U620" s="798">
        <f t="shared" si="616"/>
        <v>0</v>
      </c>
      <c r="V620" s="798">
        <f t="shared" si="616"/>
        <v>0</v>
      </c>
      <c r="W620" s="798">
        <f t="shared" si="616"/>
        <v>0</v>
      </c>
      <c r="X620" s="798">
        <f t="shared" si="616"/>
        <v>0</v>
      </c>
      <c r="Y620" s="798">
        <f t="shared" si="616"/>
        <v>0</v>
      </c>
      <c r="Z620" s="798">
        <f t="shared" si="616"/>
        <v>0</v>
      </c>
      <c r="AA620" s="798">
        <f t="shared" si="616"/>
        <v>0</v>
      </c>
      <c r="AB620" s="798">
        <f t="shared" si="616"/>
        <v>0</v>
      </c>
      <c r="AC620" s="798">
        <f t="shared" si="616"/>
        <v>0</v>
      </c>
      <c r="AD620" s="798">
        <f t="shared" si="616"/>
        <v>0</v>
      </c>
      <c r="AE620" s="798">
        <f t="shared" si="616"/>
        <v>0</v>
      </c>
      <c r="AF620" s="798">
        <f t="shared" si="616"/>
        <v>0</v>
      </c>
      <c r="AG620" s="798">
        <f t="shared" si="616"/>
        <v>0</v>
      </c>
      <c r="AH620" s="798">
        <f t="shared" si="616"/>
        <v>0</v>
      </c>
      <c r="AI620" s="798">
        <f t="shared" si="616"/>
        <v>0</v>
      </c>
      <c r="AJ620" s="798">
        <f t="shared" si="616"/>
        <v>0</v>
      </c>
      <c r="AK620" s="798">
        <f t="shared" si="616"/>
        <v>0</v>
      </c>
      <c r="AL620" s="798">
        <f t="shared" si="616"/>
        <v>0</v>
      </c>
      <c r="AM620" s="798">
        <f t="shared" si="616"/>
        <v>0</v>
      </c>
      <c r="AN620" s="798">
        <f t="shared" si="616"/>
        <v>0</v>
      </c>
      <c r="AO620" s="798">
        <f t="shared" si="616"/>
        <v>0</v>
      </c>
      <c r="AP620" s="798">
        <f t="shared" si="616"/>
        <v>0</v>
      </c>
      <c r="AQ620" s="798">
        <f t="shared" si="616"/>
        <v>0</v>
      </c>
      <c r="AR620" s="798">
        <f t="shared" si="616"/>
        <v>0</v>
      </c>
      <c r="AS620" s="798">
        <f t="shared" si="616"/>
        <v>0</v>
      </c>
      <c r="AT620" s="798">
        <f t="shared" si="616"/>
        <v>0</v>
      </c>
      <c r="AU620" s="798">
        <f t="shared" si="616"/>
        <v>0</v>
      </c>
      <c r="AV620" s="798">
        <f t="shared" si="616"/>
        <v>0</v>
      </c>
      <c r="AW620" s="798">
        <f t="shared" si="616"/>
        <v>0</v>
      </c>
      <c r="AX620" s="798">
        <f t="shared" si="616"/>
        <v>0</v>
      </c>
      <c r="AY620" s="798">
        <f t="shared" si="616"/>
        <v>0</v>
      </c>
      <c r="AZ620" s="798">
        <f t="shared" si="616"/>
        <v>0</v>
      </c>
      <c r="BA620" s="798">
        <f t="shared" si="616"/>
        <v>0</v>
      </c>
      <c r="BB620" s="798">
        <f t="shared" si="616"/>
        <v>0</v>
      </c>
      <c r="BC620" s="798">
        <f t="shared" si="616"/>
        <v>1</v>
      </c>
      <c r="BD620" s="798">
        <f t="shared" si="616"/>
        <v>1</v>
      </c>
      <c r="BE620" s="798">
        <f t="shared" si="616"/>
        <v>1</v>
      </c>
      <c r="BF620" s="798">
        <f t="shared" si="616"/>
        <v>1</v>
      </c>
      <c r="BG620" s="798">
        <f t="shared" si="616"/>
        <v>1</v>
      </c>
      <c r="BH620" s="798">
        <f t="shared" si="616"/>
        <v>1</v>
      </c>
      <c r="BI620" s="798">
        <f t="shared" si="616"/>
        <v>1</v>
      </c>
      <c r="BJ620" s="798">
        <f t="shared" si="616"/>
        <v>1</v>
      </c>
      <c r="BK620" s="798">
        <f t="shared" si="616"/>
        <v>1</v>
      </c>
      <c r="BL620" s="765"/>
      <c r="BM620" s="817"/>
      <c r="BN620" s="817"/>
    </row>
    <row r="621" hidden="1">
      <c r="A621" s="765"/>
      <c r="B621" s="765"/>
      <c r="C621" s="765"/>
      <c r="D621" s="765"/>
      <c r="E621" s="765"/>
      <c r="F621" s="765"/>
      <c r="G621" s="765"/>
      <c r="H621" s="765"/>
      <c r="I621" s="765">
        <f t="shared" si="17"/>
        <v>610</v>
      </c>
      <c r="J621" s="763">
        <f t="shared" si="5"/>
        <v>1.19028E+17</v>
      </c>
      <c r="K621" s="796">
        <f t="shared" si="7"/>
        <v>0.53879</v>
      </c>
      <c r="L621" s="796">
        <v>5.0E-4</v>
      </c>
      <c r="M621" s="763">
        <v>1.35721873609934E17</v>
      </c>
      <c r="N621" s="797">
        <f t="shared" si="8"/>
        <v>0</v>
      </c>
      <c r="O621" s="798">
        <f t="shared" ref="O621:BK621" si="617">FLOOR(MIN((((N("value of ELS upgrade")+N$8*($K621-$K620))*(N("Check checkbox")+(IF($G$6=TRUE,$G$7,$G$8))/$G$8))/(N("ROI of ELS and multiply by 2 if ELS is 1:1")+IF($G$12 = True, 2, 1) * $J621))/((N("difference in ELS+ and the cost of it")+(($K620*O$8)-($K620*N$8)) / O$7)),(N("MIN lets it return 0 or 1 after floored")+1)),1)</f>
        <v>0</v>
      </c>
      <c r="P621" s="798">
        <f t="shared" si="617"/>
        <v>0</v>
      </c>
      <c r="Q621" s="798">
        <f t="shared" si="617"/>
        <v>0</v>
      </c>
      <c r="R621" s="798">
        <f t="shared" si="617"/>
        <v>0</v>
      </c>
      <c r="S621" s="798">
        <f t="shared" si="617"/>
        <v>0</v>
      </c>
      <c r="T621" s="798">
        <f t="shared" si="617"/>
        <v>0</v>
      </c>
      <c r="U621" s="798">
        <f t="shared" si="617"/>
        <v>0</v>
      </c>
      <c r="V621" s="798">
        <f t="shared" si="617"/>
        <v>0</v>
      </c>
      <c r="W621" s="798">
        <f t="shared" si="617"/>
        <v>0</v>
      </c>
      <c r="X621" s="798">
        <f t="shared" si="617"/>
        <v>0</v>
      </c>
      <c r="Y621" s="798">
        <f t="shared" si="617"/>
        <v>0</v>
      </c>
      <c r="Z621" s="798">
        <f t="shared" si="617"/>
        <v>0</v>
      </c>
      <c r="AA621" s="798">
        <f t="shared" si="617"/>
        <v>0</v>
      </c>
      <c r="AB621" s="798">
        <f t="shared" si="617"/>
        <v>0</v>
      </c>
      <c r="AC621" s="798">
        <f t="shared" si="617"/>
        <v>0</v>
      </c>
      <c r="AD621" s="798">
        <f t="shared" si="617"/>
        <v>0</v>
      </c>
      <c r="AE621" s="798">
        <f t="shared" si="617"/>
        <v>0</v>
      </c>
      <c r="AF621" s="798">
        <f t="shared" si="617"/>
        <v>0</v>
      </c>
      <c r="AG621" s="798">
        <f t="shared" si="617"/>
        <v>0</v>
      </c>
      <c r="AH621" s="798">
        <f t="shared" si="617"/>
        <v>0</v>
      </c>
      <c r="AI621" s="798">
        <f t="shared" si="617"/>
        <v>0</v>
      </c>
      <c r="AJ621" s="798">
        <f t="shared" si="617"/>
        <v>0</v>
      </c>
      <c r="AK621" s="798">
        <f t="shared" si="617"/>
        <v>0</v>
      </c>
      <c r="AL621" s="798">
        <f t="shared" si="617"/>
        <v>0</v>
      </c>
      <c r="AM621" s="798">
        <f t="shared" si="617"/>
        <v>0</v>
      </c>
      <c r="AN621" s="798">
        <f t="shared" si="617"/>
        <v>0</v>
      </c>
      <c r="AO621" s="798">
        <f t="shared" si="617"/>
        <v>0</v>
      </c>
      <c r="AP621" s="798">
        <f t="shared" si="617"/>
        <v>0</v>
      </c>
      <c r="AQ621" s="798">
        <f t="shared" si="617"/>
        <v>0</v>
      </c>
      <c r="AR621" s="798">
        <f t="shared" si="617"/>
        <v>0</v>
      </c>
      <c r="AS621" s="798">
        <f t="shared" si="617"/>
        <v>0</v>
      </c>
      <c r="AT621" s="798">
        <f t="shared" si="617"/>
        <v>0</v>
      </c>
      <c r="AU621" s="798">
        <f t="shared" si="617"/>
        <v>0</v>
      </c>
      <c r="AV621" s="798">
        <f t="shared" si="617"/>
        <v>0</v>
      </c>
      <c r="AW621" s="798">
        <f t="shared" si="617"/>
        <v>0</v>
      </c>
      <c r="AX621" s="798">
        <f t="shared" si="617"/>
        <v>0</v>
      </c>
      <c r="AY621" s="798">
        <f t="shared" si="617"/>
        <v>0</v>
      </c>
      <c r="AZ621" s="798">
        <f t="shared" si="617"/>
        <v>0</v>
      </c>
      <c r="BA621" s="798">
        <f t="shared" si="617"/>
        <v>0</v>
      </c>
      <c r="BB621" s="798">
        <f t="shared" si="617"/>
        <v>0</v>
      </c>
      <c r="BC621" s="798">
        <f t="shared" si="617"/>
        <v>1</v>
      </c>
      <c r="BD621" s="798">
        <f t="shared" si="617"/>
        <v>1</v>
      </c>
      <c r="BE621" s="798">
        <f t="shared" si="617"/>
        <v>1</v>
      </c>
      <c r="BF621" s="798">
        <f t="shared" si="617"/>
        <v>1</v>
      </c>
      <c r="BG621" s="798">
        <f t="shared" si="617"/>
        <v>1</v>
      </c>
      <c r="BH621" s="798">
        <f t="shared" si="617"/>
        <v>1</v>
      </c>
      <c r="BI621" s="798">
        <f t="shared" si="617"/>
        <v>1</v>
      </c>
      <c r="BJ621" s="798">
        <f t="shared" si="617"/>
        <v>1</v>
      </c>
      <c r="BK621" s="798">
        <f t="shared" si="617"/>
        <v>1</v>
      </c>
      <c r="BL621" s="765"/>
      <c r="BM621" s="817"/>
      <c r="BN621" s="817"/>
    </row>
    <row r="622" hidden="1">
      <c r="A622" s="765"/>
      <c r="B622" s="765"/>
      <c r="C622" s="765"/>
      <c r="D622" s="765"/>
      <c r="E622" s="765"/>
      <c r="F622" s="765"/>
      <c r="G622" s="765"/>
      <c r="H622" s="765"/>
      <c r="I622" s="765">
        <f t="shared" si="17"/>
        <v>611</v>
      </c>
      <c r="J622" s="763">
        <f t="shared" si="5"/>
        <v>1.19432E+17</v>
      </c>
      <c r="K622" s="796">
        <f t="shared" si="7"/>
        <v>0.53929</v>
      </c>
      <c r="L622" s="796">
        <v>5.0E-4</v>
      </c>
      <c r="M622" s="763">
        <v>1.36182182513505E17</v>
      </c>
      <c r="N622" s="797">
        <f t="shared" si="8"/>
        <v>0</v>
      </c>
      <c r="O622" s="798">
        <f t="shared" ref="O622:BK622" si="618">FLOOR(MIN((((N("value of ELS upgrade")+N$8*($K622-$K621))*(N("Check checkbox")+(IF($G$6=TRUE,$G$7,$G$8))/$G$8))/(N("ROI of ELS and multiply by 2 if ELS is 1:1")+IF($G$12 = True, 2, 1) * $J622))/((N("difference in ELS+ and the cost of it")+(($K621*O$8)-($K621*N$8)) / O$7)),(N("MIN lets it return 0 or 1 after floored")+1)),1)</f>
        <v>0</v>
      </c>
      <c r="P622" s="798">
        <f t="shared" si="618"/>
        <v>0</v>
      </c>
      <c r="Q622" s="798">
        <f t="shared" si="618"/>
        <v>0</v>
      </c>
      <c r="R622" s="798">
        <f t="shared" si="618"/>
        <v>0</v>
      </c>
      <c r="S622" s="798">
        <f t="shared" si="618"/>
        <v>0</v>
      </c>
      <c r="T622" s="798">
        <f t="shared" si="618"/>
        <v>0</v>
      </c>
      <c r="U622" s="798">
        <f t="shared" si="618"/>
        <v>0</v>
      </c>
      <c r="V622" s="798">
        <f t="shared" si="618"/>
        <v>0</v>
      </c>
      <c r="W622" s="798">
        <f t="shared" si="618"/>
        <v>0</v>
      </c>
      <c r="X622" s="798">
        <f t="shared" si="618"/>
        <v>0</v>
      </c>
      <c r="Y622" s="798">
        <f t="shared" si="618"/>
        <v>0</v>
      </c>
      <c r="Z622" s="798">
        <f t="shared" si="618"/>
        <v>0</v>
      </c>
      <c r="AA622" s="798">
        <f t="shared" si="618"/>
        <v>0</v>
      </c>
      <c r="AB622" s="798">
        <f t="shared" si="618"/>
        <v>0</v>
      </c>
      <c r="AC622" s="798">
        <f t="shared" si="618"/>
        <v>0</v>
      </c>
      <c r="AD622" s="798">
        <f t="shared" si="618"/>
        <v>0</v>
      </c>
      <c r="AE622" s="798">
        <f t="shared" si="618"/>
        <v>0</v>
      </c>
      <c r="AF622" s="798">
        <f t="shared" si="618"/>
        <v>0</v>
      </c>
      <c r="AG622" s="798">
        <f t="shared" si="618"/>
        <v>0</v>
      </c>
      <c r="AH622" s="798">
        <f t="shared" si="618"/>
        <v>0</v>
      </c>
      <c r="AI622" s="798">
        <f t="shared" si="618"/>
        <v>0</v>
      </c>
      <c r="AJ622" s="798">
        <f t="shared" si="618"/>
        <v>0</v>
      </c>
      <c r="AK622" s="798">
        <f t="shared" si="618"/>
        <v>0</v>
      </c>
      <c r="AL622" s="798">
        <f t="shared" si="618"/>
        <v>0</v>
      </c>
      <c r="AM622" s="798">
        <f t="shared" si="618"/>
        <v>0</v>
      </c>
      <c r="AN622" s="798">
        <f t="shared" si="618"/>
        <v>0</v>
      </c>
      <c r="AO622" s="798">
        <f t="shared" si="618"/>
        <v>0</v>
      </c>
      <c r="AP622" s="798">
        <f t="shared" si="618"/>
        <v>0</v>
      </c>
      <c r="AQ622" s="798">
        <f t="shared" si="618"/>
        <v>0</v>
      </c>
      <c r="AR622" s="798">
        <f t="shared" si="618"/>
        <v>0</v>
      </c>
      <c r="AS622" s="798">
        <f t="shared" si="618"/>
        <v>0</v>
      </c>
      <c r="AT622" s="798">
        <f t="shared" si="618"/>
        <v>0</v>
      </c>
      <c r="AU622" s="798">
        <f t="shared" si="618"/>
        <v>0</v>
      </c>
      <c r="AV622" s="798">
        <f t="shared" si="618"/>
        <v>0</v>
      </c>
      <c r="AW622" s="798">
        <f t="shared" si="618"/>
        <v>0</v>
      </c>
      <c r="AX622" s="798">
        <f t="shared" si="618"/>
        <v>0</v>
      </c>
      <c r="AY622" s="798">
        <f t="shared" si="618"/>
        <v>0</v>
      </c>
      <c r="AZ622" s="798">
        <f t="shared" si="618"/>
        <v>0</v>
      </c>
      <c r="BA622" s="798">
        <f t="shared" si="618"/>
        <v>0</v>
      </c>
      <c r="BB622" s="798">
        <f t="shared" si="618"/>
        <v>0</v>
      </c>
      <c r="BC622" s="798">
        <f t="shared" si="618"/>
        <v>1</v>
      </c>
      <c r="BD622" s="798">
        <f t="shared" si="618"/>
        <v>1</v>
      </c>
      <c r="BE622" s="798">
        <f t="shared" si="618"/>
        <v>1</v>
      </c>
      <c r="BF622" s="798">
        <f t="shared" si="618"/>
        <v>1</v>
      </c>
      <c r="BG622" s="798">
        <f t="shared" si="618"/>
        <v>1</v>
      </c>
      <c r="BH622" s="798">
        <f t="shared" si="618"/>
        <v>1</v>
      </c>
      <c r="BI622" s="798">
        <f t="shared" si="618"/>
        <v>1</v>
      </c>
      <c r="BJ622" s="798">
        <f t="shared" si="618"/>
        <v>1</v>
      </c>
      <c r="BK622" s="798">
        <f t="shared" si="618"/>
        <v>1</v>
      </c>
      <c r="BL622" s="765"/>
      <c r="BM622" s="817"/>
      <c r="BN622" s="817"/>
    </row>
    <row r="623" hidden="1">
      <c r="A623" s="765"/>
      <c r="B623" s="765"/>
      <c r="C623" s="765"/>
      <c r="D623" s="765"/>
      <c r="E623" s="765"/>
      <c r="F623" s="765"/>
      <c r="G623" s="765"/>
      <c r="H623" s="765"/>
      <c r="I623" s="765">
        <f t="shared" si="17"/>
        <v>612</v>
      </c>
      <c r="J623" s="763">
        <f t="shared" si="5"/>
        <v>1.19837E+17</v>
      </c>
      <c r="K623" s="796">
        <f t="shared" si="7"/>
        <v>0.53979</v>
      </c>
      <c r="L623" s="796">
        <v>5.0E-4</v>
      </c>
      <c r="M623" s="763">
        <v>1.36643816402455E17</v>
      </c>
      <c r="N623" s="797">
        <f t="shared" si="8"/>
        <v>0</v>
      </c>
      <c r="O623" s="798">
        <f t="shared" ref="O623:BK623" si="619">FLOOR(MIN((((N("value of ELS upgrade")+N$8*($K623-$K622))*(N("Check checkbox")+(IF($G$6=TRUE,$G$7,$G$8))/$G$8))/(N("ROI of ELS and multiply by 2 if ELS is 1:1")+IF($G$12 = True, 2, 1) * $J623))/((N("difference in ELS+ and the cost of it")+(($K622*O$8)-($K622*N$8)) / O$7)),(N("MIN lets it return 0 or 1 after floored")+1)),1)</f>
        <v>0</v>
      </c>
      <c r="P623" s="798">
        <f t="shared" si="619"/>
        <v>0</v>
      </c>
      <c r="Q623" s="798">
        <f t="shared" si="619"/>
        <v>0</v>
      </c>
      <c r="R623" s="798">
        <f t="shared" si="619"/>
        <v>0</v>
      </c>
      <c r="S623" s="798">
        <f t="shared" si="619"/>
        <v>0</v>
      </c>
      <c r="T623" s="798">
        <f t="shared" si="619"/>
        <v>0</v>
      </c>
      <c r="U623" s="798">
        <f t="shared" si="619"/>
        <v>0</v>
      </c>
      <c r="V623" s="798">
        <f t="shared" si="619"/>
        <v>0</v>
      </c>
      <c r="W623" s="798">
        <f t="shared" si="619"/>
        <v>0</v>
      </c>
      <c r="X623" s="798">
        <f t="shared" si="619"/>
        <v>0</v>
      </c>
      <c r="Y623" s="798">
        <f t="shared" si="619"/>
        <v>0</v>
      </c>
      <c r="Z623" s="798">
        <f t="shared" si="619"/>
        <v>0</v>
      </c>
      <c r="AA623" s="798">
        <f t="shared" si="619"/>
        <v>0</v>
      </c>
      <c r="AB623" s="798">
        <f t="shared" si="619"/>
        <v>0</v>
      </c>
      <c r="AC623" s="798">
        <f t="shared" si="619"/>
        <v>0</v>
      </c>
      <c r="AD623" s="798">
        <f t="shared" si="619"/>
        <v>0</v>
      </c>
      <c r="AE623" s="798">
        <f t="shared" si="619"/>
        <v>0</v>
      </c>
      <c r="AF623" s="798">
        <f t="shared" si="619"/>
        <v>0</v>
      </c>
      <c r="AG623" s="798">
        <f t="shared" si="619"/>
        <v>0</v>
      </c>
      <c r="AH623" s="798">
        <f t="shared" si="619"/>
        <v>0</v>
      </c>
      <c r="AI623" s="798">
        <f t="shared" si="619"/>
        <v>0</v>
      </c>
      <c r="AJ623" s="798">
        <f t="shared" si="619"/>
        <v>0</v>
      </c>
      <c r="AK623" s="798">
        <f t="shared" si="619"/>
        <v>0</v>
      </c>
      <c r="AL623" s="798">
        <f t="shared" si="619"/>
        <v>0</v>
      </c>
      <c r="AM623" s="798">
        <f t="shared" si="619"/>
        <v>0</v>
      </c>
      <c r="AN623" s="798">
        <f t="shared" si="619"/>
        <v>0</v>
      </c>
      <c r="AO623" s="798">
        <f t="shared" si="619"/>
        <v>0</v>
      </c>
      <c r="AP623" s="798">
        <f t="shared" si="619"/>
        <v>0</v>
      </c>
      <c r="AQ623" s="798">
        <f t="shared" si="619"/>
        <v>0</v>
      </c>
      <c r="AR623" s="798">
        <f t="shared" si="619"/>
        <v>0</v>
      </c>
      <c r="AS623" s="798">
        <f t="shared" si="619"/>
        <v>0</v>
      </c>
      <c r="AT623" s="798">
        <f t="shared" si="619"/>
        <v>0</v>
      </c>
      <c r="AU623" s="798">
        <f t="shared" si="619"/>
        <v>0</v>
      </c>
      <c r="AV623" s="798">
        <f t="shared" si="619"/>
        <v>0</v>
      </c>
      <c r="AW623" s="798">
        <f t="shared" si="619"/>
        <v>0</v>
      </c>
      <c r="AX623" s="798">
        <f t="shared" si="619"/>
        <v>0</v>
      </c>
      <c r="AY623" s="798">
        <f t="shared" si="619"/>
        <v>0</v>
      </c>
      <c r="AZ623" s="798">
        <f t="shared" si="619"/>
        <v>0</v>
      </c>
      <c r="BA623" s="798">
        <f t="shared" si="619"/>
        <v>0</v>
      </c>
      <c r="BB623" s="798">
        <f t="shared" si="619"/>
        <v>0</v>
      </c>
      <c r="BC623" s="798">
        <f t="shared" si="619"/>
        <v>1</v>
      </c>
      <c r="BD623" s="798">
        <f t="shared" si="619"/>
        <v>1</v>
      </c>
      <c r="BE623" s="798">
        <f t="shared" si="619"/>
        <v>1</v>
      </c>
      <c r="BF623" s="798">
        <f t="shared" si="619"/>
        <v>1</v>
      </c>
      <c r="BG623" s="798">
        <f t="shared" si="619"/>
        <v>1</v>
      </c>
      <c r="BH623" s="798">
        <f t="shared" si="619"/>
        <v>1</v>
      </c>
      <c r="BI623" s="798">
        <f t="shared" si="619"/>
        <v>1</v>
      </c>
      <c r="BJ623" s="798">
        <f t="shared" si="619"/>
        <v>1</v>
      </c>
      <c r="BK623" s="798">
        <f t="shared" si="619"/>
        <v>1</v>
      </c>
      <c r="BL623" s="765"/>
      <c r="BM623" s="817"/>
      <c r="BN623" s="817"/>
    </row>
    <row r="624" hidden="1">
      <c r="A624" s="765"/>
      <c r="B624" s="765"/>
      <c r="C624" s="765"/>
      <c r="D624" s="765"/>
      <c r="E624" s="765"/>
      <c r="F624" s="765"/>
      <c r="G624" s="765"/>
      <c r="H624" s="765"/>
      <c r="I624" s="765">
        <f t="shared" si="17"/>
        <v>613</v>
      </c>
      <c r="J624" s="763">
        <f t="shared" si="5"/>
        <v>1.20243E+17</v>
      </c>
      <c r="K624" s="796">
        <f t="shared" si="7"/>
        <v>0.54029</v>
      </c>
      <c r="L624" s="796">
        <v>5.0E-4</v>
      </c>
      <c r="M624" s="763">
        <v>1.37106782762576E17</v>
      </c>
      <c r="N624" s="797">
        <f t="shared" si="8"/>
        <v>0</v>
      </c>
      <c r="O624" s="798">
        <f t="shared" ref="O624:BK624" si="620">FLOOR(MIN((((N("value of ELS upgrade")+N$8*($K624-$K623))*(N("Check checkbox")+(IF($G$6=TRUE,$G$7,$G$8))/$G$8))/(N("ROI of ELS and multiply by 2 if ELS is 1:1")+IF($G$12 = True, 2, 1) * $J624))/((N("difference in ELS+ and the cost of it")+(($K623*O$8)-($K623*N$8)) / O$7)),(N("MIN lets it return 0 or 1 after floored")+1)),1)</f>
        <v>0</v>
      </c>
      <c r="P624" s="798">
        <f t="shared" si="620"/>
        <v>0</v>
      </c>
      <c r="Q624" s="798">
        <f t="shared" si="620"/>
        <v>0</v>
      </c>
      <c r="R624" s="798">
        <f t="shared" si="620"/>
        <v>0</v>
      </c>
      <c r="S624" s="798">
        <f t="shared" si="620"/>
        <v>0</v>
      </c>
      <c r="T624" s="798">
        <f t="shared" si="620"/>
        <v>0</v>
      </c>
      <c r="U624" s="798">
        <f t="shared" si="620"/>
        <v>0</v>
      </c>
      <c r="V624" s="798">
        <f t="shared" si="620"/>
        <v>0</v>
      </c>
      <c r="W624" s="798">
        <f t="shared" si="620"/>
        <v>0</v>
      </c>
      <c r="X624" s="798">
        <f t="shared" si="620"/>
        <v>0</v>
      </c>
      <c r="Y624" s="798">
        <f t="shared" si="620"/>
        <v>0</v>
      </c>
      <c r="Z624" s="798">
        <f t="shared" si="620"/>
        <v>0</v>
      </c>
      <c r="AA624" s="798">
        <f t="shared" si="620"/>
        <v>0</v>
      </c>
      <c r="AB624" s="798">
        <f t="shared" si="620"/>
        <v>0</v>
      </c>
      <c r="AC624" s="798">
        <f t="shared" si="620"/>
        <v>0</v>
      </c>
      <c r="AD624" s="798">
        <f t="shared" si="620"/>
        <v>0</v>
      </c>
      <c r="AE624" s="798">
        <f t="shared" si="620"/>
        <v>0</v>
      </c>
      <c r="AF624" s="798">
        <f t="shared" si="620"/>
        <v>0</v>
      </c>
      <c r="AG624" s="798">
        <f t="shared" si="620"/>
        <v>0</v>
      </c>
      <c r="AH624" s="798">
        <f t="shared" si="620"/>
        <v>0</v>
      </c>
      <c r="AI624" s="798">
        <f t="shared" si="620"/>
        <v>0</v>
      </c>
      <c r="AJ624" s="798">
        <f t="shared" si="620"/>
        <v>0</v>
      </c>
      <c r="AK624" s="798">
        <f t="shared" si="620"/>
        <v>0</v>
      </c>
      <c r="AL624" s="798">
        <f t="shared" si="620"/>
        <v>0</v>
      </c>
      <c r="AM624" s="798">
        <f t="shared" si="620"/>
        <v>0</v>
      </c>
      <c r="AN624" s="798">
        <f t="shared" si="620"/>
        <v>0</v>
      </c>
      <c r="AO624" s="798">
        <f t="shared" si="620"/>
        <v>0</v>
      </c>
      <c r="AP624" s="798">
        <f t="shared" si="620"/>
        <v>0</v>
      </c>
      <c r="AQ624" s="798">
        <f t="shared" si="620"/>
        <v>0</v>
      </c>
      <c r="AR624" s="798">
        <f t="shared" si="620"/>
        <v>0</v>
      </c>
      <c r="AS624" s="798">
        <f t="shared" si="620"/>
        <v>0</v>
      </c>
      <c r="AT624" s="798">
        <f t="shared" si="620"/>
        <v>0</v>
      </c>
      <c r="AU624" s="798">
        <f t="shared" si="620"/>
        <v>0</v>
      </c>
      <c r="AV624" s="798">
        <f t="shared" si="620"/>
        <v>0</v>
      </c>
      <c r="AW624" s="798">
        <f t="shared" si="620"/>
        <v>0</v>
      </c>
      <c r="AX624" s="798">
        <f t="shared" si="620"/>
        <v>0</v>
      </c>
      <c r="AY624" s="798">
        <f t="shared" si="620"/>
        <v>0</v>
      </c>
      <c r="AZ624" s="798">
        <f t="shared" si="620"/>
        <v>0</v>
      </c>
      <c r="BA624" s="798">
        <f t="shared" si="620"/>
        <v>0</v>
      </c>
      <c r="BB624" s="798">
        <f t="shared" si="620"/>
        <v>0</v>
      </c>
      <c r="BC624" s="798">
        <f t="shared" si="620"/>
        <v>1</v>
      </c>
      <c r="BD624" s="798">
        <f t="shared" si="620"/>
        <v>1</v>
      </c>
      <c r="BE624" s="798">
        <f t="shared" si="620"/>
        <v>1</v>
      </c>
      <c r="BF624" s="798">
        <f t="shared" si="620"/>
        <v>1</v>
      </c>
      <c r="BG624" s="798">
        <f t="shared" si="620"/>
        <v>1</v>
      </c>
      <c r="BH624" s="798">
        <f t="shared" si="620"/>
        <v>1</v>
      </c>
      <c r="BI624" s="798">
        <f t="shared" si="620"/>
        <v>1</v>
      </c>
      <c r="BJ624" s="798">
        <f t="shared" si="620"/>
        <v>1</v>
      </c>
      <c r="BK624" s="798">
        <f t="shared" si="620"/>
        <v>1</v>
      </c>
      <c r="BL624" s="765"/>
      <c r="BM624" s="817"/>
      <c r="BN624" s="817"/>
    </row>
    <row r="625" hidden="1">
      <c r="A625" s="765"/>
      <c r="B625" s="765"/>
      <c r="C625" s="765"/>
      <c r="D625" s="765"/>
      <c r="E625" s="765"/>
      <c r="F625" s="765"/>
      <c r="G625" s="765"/>
      <c r="H625" s="765"/>
      <c r="I625" s="765">
        <f t="shared" si="17"/>
        <v>614</v>
      </c>
      <c r="J625" s="763">
        <f t="shared" si="5"/>
        <v>1.2065E+17</v>
      </c>
      <c r="K625" s="796">
        <f t="shared" si="7"/>
        <v>0.54079</v>
      </c>
      <c r="L625" s="796">
        <v>5.0E-4</v>
      </c>
      <c r="M625" s="763">
        <v>1.37571074108077E17</v>
      </c>
      <c r="N625" s="797">
        <f t="shared" si="8"/>
        <v>0</v>
      </c>
      <c r="O625" s="798">
        <f t="shared" ref="O625:BK625" si="621">FLOOR(MIN((((N("value of ELS upgrade")+N$8*($K625-$K624))*(N("Check checkbox")+(IF($G$6=TRUE,$G$7,$G$8))/$G$8))/(N("ROI of ELS and multiply by 2 if ELS is 1:1")+IF($G$12 = True, 2, 1) * $J625))/((N("difference in ELS+ and the cost of it")+(($K624*O$8)-($K624*N$8)) / O$7)),(N("MIN lets it return 0 or 1 after floored")+1)),1)</f>
        <v>0</v>
      </c>
      <c r="P625" s="798">
        <f t="shared" si="621"/>
        <v>0</v>
      </c>
      <c r="Q625" s="798">
        <f t="shared" si="621"/>
        <v>0</v>
      </c>
      <c r="R625" s="798">
        <f t="shared" si="621"/>
        <v>0</v>
      </c>
      <c r="S625" s="798">
        <f t="shared" si="621"/>
        <v>0</v>
      </c>
      <c r="T625" s="798">
        <f t="shared" si="621"/>
        <v>0</v>
      </c>
      <c r="U625" s="798">
        <f t="shared" si="621"/>
        <v>0</v>
      </c>
      <c r="V625" s="798">
        <f t="shared" si="621"/>
        <v>0</v>
      </c>
      <c r="W625" s="798">
        <f t="shared" si="621"/>
        <v>0</v>
      </c>
      <c r="X625" s="798">
        <f t="shared" si="621"/>
        <v>0</v>
      </c>
      <c r="Y625" s="798">
        <f t="shared" si="621"/>
        <v>0</v>
      </c>
      <c r="Z625" s="798">
        <f t="shared" si="621"/>
        <v>0</v>
      </c>
      <c r="AA625" s="798">
        <f t="shared" si="621"/>
        <v>0</v>
      </c>
      <c r="AB625" s="798">
        <f t="shared" si="621"/>
        <v>0</v>
      </c>
      <c r="AC625" s="798">
        <f t="shared" si="621"/>
        <v>0</v>
      </c>
      <c r="AD625" s="798">
        <f t="shared" si="621"/>
        <v>0</v>
      </c>
      <c r="AE625" s="798">
        <f t="shared" si="621"/>
        <v>0</v>
      </c>
      <c r="AF625" s="798">
        <f t="shared" si="621"/>
        <v>0</v>
      </c>
      <c r="AG625" s="798">
        <f t="shared" si="621"/>
        <v>0</v>
      </c>
      <c r="AH625" s="798">
        <f t="shared" si="621"/>
        <v>0</v>
      </c>
      <c r="AI625" s="798">
        <f t="shared" si="621"/>
        <v>0</v>
      </c>
      <c r="AJ625" s="798">
        <f t="shared" si="621"/>
        <v>0</v>
      </c>
      <c r="AK625" s="798">
        <f t="shared" si="621"/>
        <v>0</v>
      </c>
      <c r="AL625" s="798">
        <f t="shared" si="621"/>
        <v>0</v>
      </c>
      <c r="AM625" s="798">
        <f t="shared" si="621"/>
        <v>0</v>
      </c>
      <c r="AN625" s="798">
        <f t="shared" si="621"/>
        <v>0</v>
      </c>
      <c r="AO625" s="798">
        <f t="shared" si="621"/>
        <v>0</v>
      </c>
      <c r="AP625" s="798">
        <f t="shared" si="621"/>
        <v>0</v>
      </c>
      <c r="AQ625" s="798">
        <f t="shared" si="621"/>
        <v>0</v>
      </c>
      <c r="AR625" s="798">
        <f t="shared" si="621"/>
        <v>0</v>
      </c>
      <c r="AS625" s="798">
        <f t="shared" si="621"/>
        <v>0</v>
      </c>
      <c r="AT625" s="798">
        <f t="shared" si="621"/>
        <v>0</v>
      </c>
      <c r="AU625" s="798">
        <f t="shared" si="621"/>
        <v>0</v>
      </c>
      <c r="AV625" s="798">
        <f t="shared" si="621"/>
        <v>0</v>
      </c>
      <c r="AW625" s="798">
        <f t="shared" si="621"/>
        <v>0</v>
      </c>
      <c r="AX625" s="798">
        <f t="shared" si="621"/>
        <v>0</v>
      </c>
      <c r="AY625" s="798">
        <f t="shared" si="621"/>
        <v>0</v>
      </c>
      <c r="AZ625" s="798">
        <f t="shared" si="621"/>
        <v>0</v>
      </c>
      <c r="BA625" s="798">
        <f t="shared" si="621"/>
        <v>0</v>
      </c>
      <c r="BB625" s="798">
        <f t="shared" si="621"/>
        <v>0</v>
      </c>
      <c r="BC625" s="798">
        <f t="shared" si="621"/>
        <v>1</v>
      </c>
      <c r="BD625" s="798">
        <f t="shared" si="621"/>
        <v>1</v>
      </c>
      <c r="BE625" s="798">
        <f t="shared" si="621"/>
        <v>1</v>
      </c>
      <c r="BF625" s="798">
        <f t="shared" si="621"/>
        <v>1</v>
      </c>
      <c r="BG625" s="798">
        <f t="shared" si="621"/>
        <v>1</v>
      </c>
      <c r="BH625" s="798">
        <f t="shared" si="621"/>
        <v>1</v>
      </c>
      <c r="BI625" s="798">
        <f t="shared" si="621"/>
        <v>1</v>
      </c>
      <c r="BJ625" s="798">
        <f t="shared" si="621"/>
        <v>1</v>
      </c>
      <c r="BK625" s="798">
        <f t="shared" si="621"/>
        <v>1</v>
      </c>
      <c r="BL625" s="765"/>
      <c r="BM625" s="817"/>
      <c r="BN625" s="817"/>
    </row>
    <row r="626" hidden="1">
      <c r="A626" s="765"/>
      <c r="B626" s="765"/>
      <c r="C626" s="765"/>
      <c r="D626" s="765"/>
      <c r="E626" s="765"/>
      <c r="F626" s="765"/>
      <c r="G626" s="765"/>
      <c r="H626" s="765"/>
      <c r="I626" s="765">
        <f t="shared" si="17"/>
        <v>615</v>
      </c>
      <c r="J626" s="763">
        <f t="shared" si="5"/>
        <v>1.21058E+17</v>
      </c>
      <c r="K626" s="796">
        <f t="shared" si="7"/>
        <v>0.54129</v>
      </c>
      <c r="L626" s="796">
        <v>5.0E-4</v>
      </c>
      <c r="M626" s="763">
        <v>1.38036705410542E17</v>
      </c>
      <c r="N626" s="797">
        <f t="shared" si="8"/>
        <v>0</v>
      </c>
      <c r="O626" s="798">
        <f t="shared" ref="O626:BK626" si="622">FLOOR(MIN((((N("value of ELS upgrade")+N$8*($K626-$K625))*(N("Check checkbox")+(IF($G$6=TRUE,$G$7,$G$8))/$G$8))/(N("ROI of ELS and multiply by 2 if ELS is 1:1")+IF($G$12 = True, 2, 1) * $J626))/((N("difference in ELS+ and the cost of it")+(($K625*O$8)-($K625*N$8)) / O$7)),(N("MIN lets it return 0 or 1 after floored")+1)),1)</f>
        <v>0</v>
      </c>
      <c r="P626" s="798">
        <f t="shared" si="622"/>
        <v>0</v>
      </c>
      <c r="Q626" s="798">
        <f t="shared" si="622"/>
        <v>0</v>
      </c>
      <c r="R626" s="798">
        <f t="shared" si="622"/>
        <v>0</v>
      </c>
      <c r="S626" s="798">
        <f t="shared" si="622"/>
        <v>0</v>
      </c>
      <c r="T626" s="798">
        <f t="shared" si="622"/>
        <v>0</v>
      </c>
      <c r="U626" s="798">
        <f t="shared" si="622"/>
        <v>0</v>
      </c>
      <c r="V626" s="798">
        <f t="shared" si="622"/>
        <v>0</v>
      </c>
      <c r="W626" s="798">
        <f t="shared" si="622"/>
        <v>0</v>
      </c>
      <c r="X626" s="798">
        <f t="shared" si="622"/>
        <v>0</v>
      </c>
      <c r="Y626" s="798">
        <f t="shared" si="622"/>
        <v>0</v>
      </c>
      <c r="Z626" s="798">
        <f t="shared" si="622"/>
        <v>0</v>
      </c>
      <c r="AA626" s="798">
        <f t="shared" si="622"/>
        <v>0</v>
      </c>
      <c r="AB626" s="798">
        <f t="shared" si="622"/>
        <v>0</v>
      </c>
      <c r="AC626" s="798">
        <f t="shared" si="622"/>
        <v>0</v>
      </c>
      <c r="AD626" s="798">
        <f t="shared" si="622"/>
        <v>0</v>
      </c>
      <c r="AE626" s="798">
        <f t="shared" si="622"/>
        <v>0</v>
      </c>
      <c r="AF626" s="798">
        <f t="shared" si="622"/>
        <v>0</v>
      </c>
      <c r="AG626" s="798">
        <f t="shared" si="622"/>
        <v>0</v>
      </c>
      <c r="AH626" s="798">
        <f t="shared" si="622"/>
        <v>0</v>
      </c>
      <c r="AI626" s="798">
        <f t="shared" si="622"/>
        <v>0</v>
      </c>
      <c r="AJ626" s="798">
        <f t="shared" si="622"/>
        <v>0</v>
      </c>
      <c r="AK626" s="798">
        <f t="shared" si="622"/>
        <v>0</v>
      </c>
      <c r="AL626" s="798">
        <f t="shared" si="622"/>
        <v>0</v>
      </c>
      <c r="AM626" s="798">
        <f t="shared" si="622"/>
        <v>0</v>
      </c>
      <c r="AN626" s="798">
        <f t="shared" si="622"/>
        <v>0</v>
      </c>
      <c r="AO626" s="798">
        <f t="shared" si="622"/>
        <v>0</v>
      </c>
      <c r="AP626" s="798">
        <f t="shared" si="622"/>
        <v>0</v>
      </c>
      <c r="AQ626" s="798">
        <f t="shared" si="622"/>
        <v>0</v>
      </c>
      <c r="AR626" s="798">
        <f t="shared" si="622"/>
        <v>0</v>
      </c>
      <c r="AS626" s="798">
        <f t="shared" si="622"/>
        <v>0</v>
      </c>
      <c r="AT626" s="798">
        <f t="shared" si="622"/>
        <v>0</v>
      </c>
      <c r="AU626" s="798">
        <f t="shared" si="622"/>
        <v>0</v>
      </c>
      <c r="AV626" s="798">
        <f t="shared" si="622"/>
        <v>0</v>
      </c>
      <c r="AW626" s="798">
        <f t="shared" si="622"/>
        <v>0</v>
      </c>
      <c r="AX626" s="798">
        <f t="shared" si="622"/>
        <v>0</v>
      </c>
      <c r="AY626" s="798">
        <f t="shared" si="622"/>
        <v>0</v>
      </c>
      <c r="AZ626" s="798">
        <f t="shared" si="622"/>
        <v>0</v>
      </c>
      <c r="BA626" s="798">
        <f t="shared" si="622"/>
        <v>0</v>
      </c>
      <c r="BB626" s="798">
        <f t="shared" si="622"/>
        <v>0</v>
      </c>
      <c r="BC626" s="798">
        <f t="shared" si="622"/>
        <v>1</v>
      </c>
      <c r="BD626" s="798">
        <f t="shared" si="622"/>
        <v>1</v>
      </c>
      <c r="BE626" s="798">
        <f t="shared" si="622"/>
        <v>1</v>
      </c>
      <c r="BF626" s="798">
        <f t="shared" si="622"/>
        <v>1</v>
      </c>
      <c r="BG626" s="798">
        <f t="shared" si="622"/>
        <v>1</v>
      </c>
      <c r="BH626" s="798">
        <f t="shared" si="622"/>
        <v>1</v>
      </c>
      <c r="BI626" s="798">
        <f t="shared" si="622"/>
        <v>1</v>
      </c>
      <c r="BJ626" s="798">
        <f t="shared" si="622"/>
        <v>1</v>
      </c>
      <c r="BK626" s="798">
        <f t="shared" si="622"/>
        <v>1</v>
      </c>
      <c r="BL626" s="765"/>
      <c r="BM626" s="817"/>
      <c r="BN626" s="817"/>
    </row>
    <row r="627" hidden="1">
      <c r="A627" s="765"/>
      <c r="B627" s="765"/>
      <c r="C627" s="765"/>
      <c r="D627" s="765"/>
      <c r="E627" s="765"/>
      <c r="F627" s="765"/>
      <c r="G627" s="765"/>
      <c r="H627" s="765"/>
      <c r="I627" s="765">
        <f t="shared" si="17"/>
        <v>616</v>
      </c>
      <c r="J627" s="763">
        <f t="shared" si="5"/>
        <v>1.21468E+17</v>
      </c>
      <c r="K627" s="796">
        <f t="shared" si="7"/>
        <v>0.54179</v>
      </c>
      <c r="L627" s="796">
        <v>5.0E-4</v>
      </c>
      <c r="M627" s="763">
        <v>1.3850366918418E17</v>
      </c>
      <c r="N627" s="797">
        <f t="shared" si="8"/>
        <v>0</v>
      </c>
      <c r="O627" s="798">
        <f t="shared" ref="O627:BK627" si="623">FLOOR(MIN((((N("value of ELS upgrade")+N$8*($K627-$K626))*(N("Check checkbox")+(IF($G$6=TRUE,$G$7,$G$8))/$G$8))/(N("ROI of ELS and multiply by 2 if ELS is 1:1")+IF($G$12 = True, 2, 1) * $J627))/((N("difference in ELS+ and the cost of it")+(($K626*O$8)-($K626*N$8)) / O$7)),(N("MIN lets it return 0 or 1 after floored")+1)),1)</f>
        <v>0</v>
      </c>
      <c r="P627" s="798">
        <f t="shared" si="623"/>
        <v>0</v>
      </c>
      <c r="Q627" s="798">
        <f t="shared" si="623"/>
        <v>0</v>
      </c>
      <c r="R627" s="798">
        <f t="shared" si="623"/>
        <v>0</v>
      </c>
      <c r="S627" s="798">
        <f t="shared" si="623"/>
        <v>0</v>
      </c>
      <c r="T627" s="798">
        <f t="shared" si="623"/>
        <v>0</v>
      </c>
      <c r="U627" s="798">
        <f t="shared" si="623"/>
        <v>0</v>
      </c>
      <c r="V627" s="798">
        <f t="shared" si="623"/>
        <v>0</v>
      </c>
      <c r="W627" s="798">
        <f t="shared" si="623"/>
        <v>0</v>
      </c>
      <c r="X627" s="798">
        <f t="shared" si="623"/>
        <v>0</v>
      </c>
      <c r="Y627" s="798">
        <f t="shared" si="623"/>
        <v>0</v>
      </c>
      <c r="Z627" s="798">
        <f t="shared" si="623"/>
        <v>0</v>
      </c>
      <c r="AA627" s="798">
        <f t="shared" si="623"/>
        <v>0</v>
      </c>
      <c r="AB627" s="798">
        <f t="shared" si="623"/>
        <v>0</v>
      </c>
      <c r="AC627" s="798">
        <f t="shared" si="623"/>
        <v>0</v>
      </c>
      <c r="AD627" s="798">
        <f t="shared" si="623"/>
        <v>0</v>
      </c>
      <c r="AE627" s="798">
        <f t="shared" si="623"/>
        <v>0</v>
      </c>
      <c r="AF627" s="798">
        <f t="shared" si="623"/>
        <v>0</v>
      </c>
      <c r="AG627" s="798">
        <f t="shared" si="623"/>
        <v>0</v>
      </c>
      <c r="AH627" s="798">
        <f t="shared" si="623"/>
        <v>0</v>
      </c>
      <c r="AI627" s="798">
        <f t="shared" si="623"/>
        <v>0</v>
      </c>
      <c r="AJ627" s="798">
        <f t="shared" si="623"/>
        <v>0</v>
      </c>
      <c r="AK627" s="798">
        <f t="shared" si="623"/>
        <v>0</v>
      </c>
      <c r="AL627" s="798">
        <f t="shared" si="623"/>
        <v>0</v>
      </c>
      <c r="AM627" s="798">
        <f t="shared" si="623"/>
        <v>0</v>
      </c>
      <c r="AN627" s="798">
        <f t="shared" si="623"/>
        <v>0</v>
      </c>
      <c r="AO627" s="798">
        <f t="shared" si="623"/>
        <v>0</v>
      </c>
      <c r="AP627" s="798">
        <f t="shared" si="623"/>
        <v>0</v>
      </c>
      <c r="AQ627" s="798">
        <f t="shared" si="623"/>
        <v>0</v>
      </c>
      <c r="AR627" s="798">
        <f t="shared" si="623"/>
        <v>0</v>
      </c>
      <c r="AS627" s="798">
        <f t="shared" si="623"/>
        <v>0</v>
      </c>
      <c r="AT627" s="798">
        <f t="shared" si="623"/>
        <v>0</v>
      </c>
      <c r="AU627" s="798">
        <f t="shared" si="623"/>
        <v>0</v>
      </c>
      <c r="AV627" s="798">
        <f t="shared" si="623"/>
        <v>0</v>
      </c>
      <c r="AW627" s="798">
        <f t="shared" si="623"/>
        <v>0</v>
      </c>
      <c r="AX627" s="798">
        <f t="shared" si="623"/>
        <v>0</v>
      </c>
      <c r="AY627" s="798">
        <f t="shared" si="623"/>
        <v>0</v>
      </c>
      <c r="AZ627" s="798">
        <f t="shared" si="623"/>
        <v>0</v>
      </c>
      <c r="BA627" s="798">
        <f t="shared" si="623"/>
        <v>0</v>
      </c>
      <c r="BB627" s="798">
        <f t="shared" si="623"/>
        <v>0</v>
      </c>
      <c r="BC627" s="798">
        <f t="shared" si="623"/>
        <v>1</v>
      </c>
      <c r="BD627" s="798">
        <f t="shared" si="623"/>
        <v>1</v>
      </c>
      <c r="BE627" s="798">
        <f t="shared" si="623"/>
        <v>1</v>
      </c>
      <c r="BF627" s="798">
        <f t="shared" si="623"/>
        <v>1</v>
      </c>
      <c r="BG627" s="798">
        <f t="shared" si="623"/>
        <v>1</v>
      </c>
      <c r="BH627" s="798">
        <f t="shared" si="623"/>
        <v>1</v>
      </c>
      <c r="BI627" s="798">
        <f t="shared" si="623"/>
        <v>1</v>
      </c>
      <c r="BJ627" s="798">
        <f t="shared" si="623"/>
        <v>1</v>
      </c>
      <c r="BK627" s="798">
        <f t="shared" si="623"/>
        <v>1</v>
      </c>
      <c r="BL627" s="765"/>
      <c r="BM627" s="817"/>
      <c r="BN627" s="817"/>
    </row>
    <row r="628" hidden="1">
      <c r="A628" s="765"/>
      <c r="B628" s="765"/>
      <c r="C628" s="765"/>
      <c r="D628" s="765"/>
      <c r="E628" s="765"/>
      <c r="F628" s="765"/>
      <c r="G628" s="765"/>
      <c r="H628" s="765"/>
      <c r="I628" s="765">
        <f t="shared" si="17"/>
        <v>617</v>
      </c>
      <c r="J628" s="763">
        <f t="shared" si="5"/>
        <v>1.21878E+17</v>
      </c>
      <c r="K628" s="796">
        <f t="shared" si="7"/>
        <v>0.54229</v>
      </c>
      <c r="L628" s="796">
        <v>5.0E-4</v>
      </c>
      <c r="M628" s="763">
        <v>1.38971980400575E17</v>
      </c>
      <c r="N628" s="797">
        <f t="shared" si="8"/>
        <v>0</v>
      </c>
      <c r="O628" s="798">
        <f t="shared" ref="O628:BK628" si="624">FLOOR(MIN((((N("value of ELS upgrade")+N$8*($K628-$K627))*(N("Check checkbox")+(IF($G$6=TRUE,$G$7,$G$8))/$G$8))/(N("ROI of ELS and multiply by 2 if ELS is 1:1")+IF($G$12 = True, 2, 1) * $J628))/((N("difference in ELS+ and the cost of it")+(($K627*O$8)-($K627*N$8)) / O$7)),(N("MIN lets it return 0 or 1 after floored")+1)),1)</f>
        <v>0</v>
      </c>
      <c r="P628" s="798">
        <f t="shared" si="624"/>
        <v>0</v>
      </c>
      <c r="Q628" s="798">
        <f t="shared" si="624"/>
        <v>0</v>
      </c>
      <c r="R628" s="798">
        <f t="shared" si="624"/>
        <v>0</v>
      </c>
      <c r="S628" s="798">
        <f t="shared" si="624"/>
        <v>0</v>
      </c>
      <c r="T628" s="798">
        <f t="shared" si="624"/>
        <v>0</v>
      </c>
      <c r="U628" s="798">
        <f t="shared" si="624"/>
        <v>0</v>
      </c>
      <c r="V628" s="798">
        <f t="shared" si="624"/>
        <v>0</v>
      </c>
      <c r="W628" s="798">
        <f t="shared" si="624"/>
        <v>0</v>
      </c>
      <c r="X628" s="798">
        <f t="shared" si="624"/>
        <v>0</v>
      </c>
      <c r="Y628" s="798">
        <f t="shared" si="624"/>
        <v>0</v>
      </c>
      <c r="Z628" s="798">
        <f t="shared" si="624"/>
        <v>0</v>
      </c>
      <c r="AA628" s="798">
        <f t="shared" si="624"/>
        <v>0</v>
      </c>
      <c r="AB628" s="798">
        <f t="shared" si="624"/>
        <v>0</v>
      </c>
      <c r="AC628" s="798">
        <f t="shared" si="624"/>
        <v>0</v>
      </c>
      <c r="AD628" s="798">
        <f t="shared" si="624"/>
        <v>0</v>
      </c>
      <c r="AE628" s="798">
        <f t="shared" si="624"/>
        <v>0</v>
      </c>
      <c r="AF628" s="798">
        <f t="shared" si="624"/>
        <v>0</v>
      </c>
      <c r="AG628" s="798">
        <f t="shared" si="624"/>
        <v>0</v>
      </c>
      <c r="AH628" s="798">
        <f t="shared" si="624"/>
        <v>0</v>
      </c>
      <c r="AI628" s="798">
        <f t="shared" si="624"/>
        <v>0</v>
      </c>
      <c r="AJ628" s="798">
        <f t="shared" si="624"/>
        <v>0</v>
      </c>
      <c r="AK628" s="798">
        <f t="shared" si="624"/>
        <v>0</v>
      </c>
      <c r="AL628" s="798">
        <f t="shared" si="624"/>
        <v>0</v>
      </c>
      <c r="AM628" s="798">
        <f t="shared" si="624"/>
        <v>0</v>
      </c>
      <c r="AN628" s="798">
        <f t="shared" si="624"/>
        <v>0</v>
      </c>
      <c r="AO628" s="798">
        <f t="shared" si="624"/>
        <v>0</v>
      </c>
      <c r="AP628" s="798">
        <f t="shared" si="624"/>
        <v>0</v>
      </c>
      <c r="AQ628" s="798">
        <f t="shared" si="624"/>
        <v>0</v>
      </c>
      <c r="AR628" s="798">
        <f t="shared" si="624"/>
        <v>0</v>
      </c>
      <c r="AS628" s="798">
        <f t="shared" si="624"/>
        <v>0</v>
      </c>
      <c r="AT628" s="798">
        <f t="shared" si="624"/>
        <v>0</v>
      </c>
      <c r="AU628" s="798">
        <f t="shared" si="624"/>
        <v>0</v>
      </c>
      <c r="AV628" s="798">
        <f t="shared" si="624"/>
        <v>0</v>
      </c>
      <c r="AW628" s="798">
        <f t="shared" si="624"/>
        <v>0</v>
      </c>
      <c r="AX628" s="798">
        <f t="shared" si="624"/>
        <v>0</v>
      </c>
      <c r="AY628" s="798">
        <f t="shared" si="624"/>
        <v>0</v>
      </c>
      <c r="AZ628" s="798">
        <f t="shared" si="624"/>
        <v>0</v>
      </c>
      <c r="BA628" s="798">
        <f t="shared" si="624"/>
        <v>0</v>
      </c>
      <c r="BB628" s="798">
        <f t="shared" si="624"/>
        <v>0</v>
      </c>
      <c r="BC628" s="798">
        <f t="shared" si="624"/>
        <v>1</v>
      </c>
      <c r="BD628" s="798">
        <f t="shared" si="624"/>
        <v>1</v>
      </c>
      <c r="BE628" s="798">
        <f t="shared" si="624"/>
        <v>1</v>
      </c>
      <c r="BF628" s="798">
        <f t="shared" si="624"/>
        <v>1</v>
      </c>
      <c r="BG628" s="798">
        <f t="shared" si="624"/>
        <v>1</v>
      </c>
      <c r="BH628" s="798">
        <f t="shared" si="624"/>
        <v>1</v>
      </c>
      <c r="BI628" s="798">
        <f t="shared" si="624"/>
        <v>1</v>
      </c>
      <c r="BJ628" s="798">
        <f t="shared" si="624"/>
        <v>1</v>
      </c>
      <c r="BK628" s="798">
        <f t="shared" si="624"/>
        <v>1</v>
      </c>
      <c r="BL628" s="765"/>
      <c r="BM628" s="817"/>
      <c r="BN628" s="817"/>
    </row>
    <row r="629" hidden="1">
      <c r="A629" s="765"/>
      <c r="B629" s="765"/>
      <c r="C629" s="765"/>
      <c r="D629" s="765"/>
      <c r="E629" s="765"/>
      <c r="F629" s="765"/>
      <c r="G629" s="765"/>
      <c r="H629" s="765"/>
      <c r="I629" s="765">
        <f t="shared" si="17"/>
        <v>618</v>
      </c>
      <c r="J629" s="763">
        <f t="shared" si="5"/>
        <v>1.2229E+17</v>
      </c>
      <c r="K629" s="796">
        <f t="shared" si="7"/>
        <v>0.54279</v>
      </c>
      <c r="L629" s="796">
        <v>5.0E-4</v>
      </c>
      <c r="M629" s="763">
        <v>1.39441631573936E17</v>
      </c>
      <c r="N629" s="797">
        <f t="shared" si="8"/>
        <v>0</v>
      </c>
      <c r="O629" s="798">
        <f t="shared" ref="O629:BK629" si="625">FLOOR(MIN((((N("value of ELS upgrade")+N$8*($K629-$K628))*(N("Check checkbox")+(IF($G$6=TRUE,$G$7,$G$8))/$G$8))/(N("ROI of ELS and multiply by 2 if ELS is 1:1")+IF($G$12 = True, 2, 1) * $J629))/((N("difference in ELS+ and the cost of it")+(($K628*O$8)-($K628*N$8)) / O$7)),(N("MIN lets it return 0 or 1 after floored")+1)),1)</f>
        <v>0</v>
      </c>
      <c r="P629" s="798">
        <f t="shared" si="625"/>
        <v>0</v>
      </c>
      <c r="Q629" s="798">
        <f t="shared" si="625"/>
        <v>0</v>
      </c>
      <c r="R629" s="798">
        <f t="shared" si="625"/>
        <v>0</v>
      </c>
      <c r="S629" s="798">
        <f t="shared" si="625"/>
        <v>0</v>
      </c>
      <c r="T629" s="798">
        <f t="shared" si="625"/>
        <v>0</v>
      </c>
      <c r="U629" s="798">
        <f t="shared" si="625"/>
        <v>0</v>
      </c>
      <c r="V629" s="798">
        <f t="shared" si="625"/>
        <v>0</v>
      </c>
      <c r="W629" s="798">
        <f t="shared" si="625"/>
        <v>0</v>
      </c>
      <c r="X629" s="798">
        <f t="shared" si="625"/>
        <v>0</v>
      </c>
      <c r="Y629" s="798">
        <f t="shared" si="625"/>
        <v>0</v>
      </c>
      <c r="Z629" s="798">
        <f t="shared" si="625"/>
        <v>0</v>
      </c>
      <c r="AA629" s="798">
        <f t="shared" si="625"/>
        <v>0</v>
      </c>
      <c r="AB629" s="798">
        <f t="shared" si="625"/>
        <v>0</v>
      </c>
      <c r="AC629" s="798">
        <f t="shared" si="625"/>
        <v>0</v>
      </c>
      <c r="AD629" s="798">
        <f t="shared" si="625"/>
        <v>0</v>
      </c>
      <c r="AE629" s="798">
        <f t="shared" si="625"/>
        <v>0</v>
      </c>
      <c r="AF629" s="798">
        <f t="shared" si="625"/>
        <v>0</v>
      </c>
      <c r="AG629" s="798">
        <f t="shared" si="625"/>
        <v>0</v>
      </c>
      <c r="AH629" s="798">
        <f t="shared" si="625"/>
        <v>0</v>
      </c>
      <c r="AI629" s="798">
        <f t="shared" si="625"/>
        <v>0</v>
      </c>
      <c r="AJ629" s="798">
        <f t="shared" si="625"/>
        <v>0</v>
      </c>
      <c r="AK629" s="798">
        <f t="shared" si="625"/>
        <v>0</v>
      </c>
      <c r="AL629" s="798">
        <f t="shared" si="625"/>
        <v>0</v>
      </c>
      <c r="AM629" s="798">
        <f t="shared" si="625"/>
        <v>0</v>
      </c>
      <c r="AN629" s="798">
        <f t="shared" si="625"/>
        <v>0</v>
      </c>
      <c r="AO629" s="798">
        <f t="shared" si="625"/>
        <v>0</v>
      </c>
      <c r="AP629" s="798">
        <f t="shared" si="625"/>
        <v>0</v>
      </c>
      <c r="AQ629" s="798">
        <f t="shared" si="625"/>
        <v>0</v>
      </c>
      <c r="AR629" s="798">
        <f t="shared" si="625"/>
        <v>0</v>
      </c>
      <c r="AS629" s="798">
        <f t="shared" si="625"/>
        <v>0</v>
      </c>
      <c r="AT629" s="798">
        <f t="shared" si="625"/>
        <v>0</v>
      </c>
      <c r="AU629" s="798">
        <f t="shared" si="625"/>
        <v>0</v>
      </c>
      <c r="AV629" s="798">
        <f t="shared" si="625"/>
        <v>0</v>
      </c>
      <c r="AW629" s="798">
        <f t="shared" si="625"/>
        <v>0</v>
      </c>
      <c r="AX629" s="798">
        <f t="shared" si="625"/>
        <v>0</v>
      </c>
      <c r="AY629" s="798">
        <f t="shared" si="625"/>
        <v>0</v>
      </c>
      <c r="AZ629" s="798">
        <f t="shared" si="625"/>
        <v>0</v>
      </c>
      <c r="BA629" s="798">
        <f t="shared" si="625"/>
        <v>0</v>
      </c>
      <c r="BB629" s="798">
        <f t="shared" si="625"/>
        <v>0</v>
      </c>
      <c r="BC629" s="798">
        <f t="shared" si="625"/>
        <v>1</v>
      </c>
      <c r="BD629" s="798">
        <f t="shared" si="625"/>
        <v>1</v>
      </c>
      <c r="BE629" s="798">
        <f t="shared" si="625"/>
        <v>1</v>
      </c>
      <c r="BF629" s="798">
        <f t="shared" si="625"/>
        <v>1</v>
      </c>
      <c r="BG629" s="798">
        <f t="shared" si="625"/>
        <v>1</v>
      </c>
      <c r="BH629" s="798">
        <f t="shared" si="625"/>
        <v>1</v>
      </c>
      <c r="BI629" s="798">
        <f t="shared" si="625"/>
        <v>1</v>
      </c>
      <c r="BJ629" s="798">
        <f t="shared" si="625"/>
        <v>1</v>
      </c>
      <c r="BK629" s="798">
        <f t="shared" si="625"/>
        <v>1</v>
      </c>
      <c r="BL629" s="765"/>
      <c r="BM629" s="817"/>
      <c r="BN629" s="817"/>
    </row>
    <row r="630" hidden="1">
      <c r="A630" s="765"/>
      <c r="B630" s="765"/>
      <c r="C630" s="765"/>
      <c r="D630" s="765"/>
      <c r="E630" s="765"/>
      <c r="F630" s="765"/>
      <c r="G630" s="765"/>
      <c r="H630" s="765"/>
      <c r="I630" s="765">
        <f t="shared" si="17"/>
        <v>619</v>
      </c>
      <c r="J630" s="763">
        <f t="shared" si="5"/>
        <v>1.22703E+17</v>
      </c>
      <c r="K630" s="796">
        <f t="shared" si="7"/>
        <v>0.54329</v>
      </c>
      <c r="L630" s="796">
        <v>5.0E-4</v>
      </c>
      <c r="M630" s="763">
        <v>1.39912622704262E17</v>
      </c>
      <c r="N630" s="797">
        <f t="shared" si="8"/>
        <v>0</v>
      </c>
      <c r="O630" s="798">
        <f t="shared" ref="O630:BK630" si="626">FLOOR(MIN((((N("value of ELS upgrade")+N$8*($K630-$K629))*(N("Check checkbox")+(IF($G$6=TRUE,$G$7,$G$8))/$G$8))/(N("ROI of ELS and multiply by 2 if ELS is 1:1")+IF($G$12 = True, 2, 1) * $J630))/((N("difference in ELS+ and the cost of it")+(($K629*O$8)-($K629*N$8)) / O$7)),(N("MIN lets it return 0 or 1 after floored")+1)),1)</f>
        <v>0</v>
      </c>
      <c r="P630" s="798">
        <f t="shared" si="626"/>
        <v>0</v>
      </c>
      <c r="Q630" s="798">
        <f t="shared" si="626"/>
        <v>0</v>
      </c>
      <c r="R630" s="798">
        <f t="shared" si="626"/>
        <v>0</v>
      </c>
      <c r="S630" s="798">
        <f t="shared" si="626"/>
        <v>0</v>
      </c>
      <c r="T630" s="798">
        <f t="shared" si="626"/>
        <v>0</v>
      </c>
      <c r="U630" s="798">
        <f t="shared" si="626"/>
        <v>0</v>
      </c>
      <c r="V630" s="798">
        <f t="shared" si="626"/>
        <v>0</v>
      </c>
      <c r="W630" s="798">
        <f t="shared" si="626"/>
        <v>0</v>
      </c>
      <c r="X630" s="798">
        <f t="shared" si="626"/>
        <v>0</v>
      </c>
      <c r="Y630" s="798">
        <f t="shared" si="626"/>
        <v>0</v>
      </c>
      <c r="Z630" s="798">
        <f t="shared" si="626"/>
        <v>0</v>
      </c>
      <c r="AA630" s="798">
        <f t="shared" si="626"/>
        <v>0</v>
      </c>
      <c r="AB630" s="798">
        <f t="shared" si="626"/>
        <v>0</v>
      </c>
      <c r="AC630" s="798">
        <f t="shared" si="626"/>
        <v>0</v>
      </c>
      <c r="AD630" s="798">
        <f t="shared" si="626"/>
        <v>0</v>
      </c>
      <c r="AE630" s="798">
        <f t="shared" si="626"/>
        <v>0</v>
      </c>
      <c r="AF630" s="798">
        <f t="shared" si="626"/>
        <v>0</v>
      </c>
      <c r="AG630" s="798">
        <f t="shared" si="626"/>
        <v>0</v>
      </c>
      <c r="AH630" s="798">
        <f t="shared" si="626"/>
        <v>0</v>
      </c>
      <c r="AI630" s="798">
        <f t="shared" si="626"/>
        <v>0</v>
      </c>
      <c r="AJ630" s="798">
        <f t="shared" si="626"/>
        <v>0</v>
      </c>
      <c r="AK630" s="798">
        <f t="shared" si="626"/>
        <v>0</v>
      </c>
      <c r="AL630" s="798">
        <f t="shared" si="626"/>
        <v>0</v>
      </c>
      <c r="AM630" s="798">
        <f t="shared" si="626"/>
        <v>0</v>
      </c>
      <c r="AN630" s="798">
        <f t="shared" si="626"/>
        <v>0</v>
      </c>
      <c r="AO630" s="798">
        <f t="shared" si="626"/>
        <v>0</v>
      </c>
      <c r="AP630" s="798">
        <f t="shared" si="626"/>
        <v>0</v>
      </c>
      <c r="AQ630" s="798">
        <f t="shared" si="626"/>
        <v>0</v>
      </c>
      <c r="AR630" s="798">
        <f t="shared" si="626"/>
        <v>0</v>
      </c>
      <c r="AS630" s="798">
        <f t="shared" si="626"/>
        <v>0</v>
      </c>
      <c r="AT630" s="798">
        <f t="shared" si="626"/>
        <v>0</v>
      </c>
      <c r="AU630" s="798">
        <f t="shared" si="626"/>
        <v>0</v>
      </c>
      <c r="AV630" s="798">
        <f t="shared" si="626"/>
        <v>0</v>
      </c>
      <c r="AW630" s="798">
        <f t="shared" si="626"/>
        <v>0</v>
      </c>
      <c r="AX630" s="798">
        <f t="shared" si="626"/>
        <v>0</v>
      </c>
      <c r="AY630" s="798">
        <f t="shared" si="626"/>
        <v>0</v>
      </c>
      <c r="AZ630" s="798">
        <f t="shared" si="626"/>
        <v>0</v>
      </c>
      <c r="BA630" s="798">
        <f t="shared" si="626"/>
        <v>0</v>
      </c>
      <c r="BB630" s="798">
        <f t="shared" si="626"/>
        <v>0</v>
      </c>
      <c r="BC630" s="798">
        <f t="shared" si="626"/>
        <v>1</v>
      </c>
      <c r="BD630" s="798">
        <f t="shared" si="626"/>
        <v>1</v>
      </c>
      <c r="BE630" s="798">
        <f t="shared" si="626"/>
        <v>1</v>
      </c>
      <c r="BF630" s="798">
        <f t="shared" si="626"/>
        <v>1</v>
      </c>
      <c r="BG630" s="798">
        <f t="shared" si="626"/>
        <v>1</v>
      </c>
      <c r="BH630" s="798">
        <f t="shared" si="626"/>
        <v>1</v>
      </c>
      <c r="BI630" s="798">
        <f t="shared" si="626"/>
        <v>1</v>
      </c>
      <c r="BJ630" s="798">
        <f t="shared" si="626"/>
        <v>1</v>
      </c>
      <c r="BK630" s="798">
        <f t="shared" si="626"/>
        <v>1</v>
      </c>
      <c r="BL630" s="765"/>
      <c r="BM630" s="817"/>
      <c r="BN630" s="817"/>
    </row>
    <row r="631" hidden="1">
      <c r="A631" s="765"/>
      <c r="B631" s="765"/>
      <c r="C631" s="765"/>
      <c r="D631" s="765"/>
      <c r="E631" s="765"/>
      <c r="F631" s="765"/>
      <c r="G631" s="765"/>
      <c r="H631" s="765"/>
      <c r="I631" s="765">
        <f t="shared" si="17"/>
        <v>620</v>
      </c>
      <c r="J631" s="763">
        <f t="shared" si="5"/>
        <v>1.23118E+17</v>
      </c>
      <c r="K631" s="796">
        <f t="shared" si="7"/>
        <v>0.54379</v>
      </c>
      <c r="L631" s="796">
        <v>5.0E-4</v>
      </c>
      <c r="M631" s="763">
        <v>1.40384968763139E17</v>
      </c>
      <c r="N631" s="797">
        <f t="shared" si="8"/>
        <v>0</v>
      </c>
      <c r="O631" s="798">
        <f t="shared" ref="O631:BK631" si="627">FLOOR(MIN((((N("value of ELS upgrade")+N$8*($K631-$K630))*(N("Check checkbox")+(IF($G$6=TRUE,$G$7,$G$8))/$G$8))/(N("ROI of ELS and multiply by 2 if ELS is 1:1")+IF($G$12 = True, 2, 1) * $J631))/((N("difference in ELS+ and the cost of it")+(($K630*O$8)-($K630*N$8)) / O$7)),(N("MIN lets it return 0 or 1 after floored")+1)),1)</f>
        <v>0</v>
      </c>
      <c r="P631" s="798">
        <f t="shared" si="627"/>
        <v>0</v>
      </c>
      <c r="Q631" s="798">
        <f t="shared" si="627"/>
        <v>0</v>
      </c>
      <c r="R631" s="798">
        <f t="shared" si="627"/>
        <v>0</v>
      </c>
      <c r="S631" s="798">
        <f t="shared" si="627"/>
        <v>0</v>
      </c>
      <c r="T631" s="798">
        <f t="shared" si="627"/>
        <v>0</v>
      </c>
      <c r="U631" s="798">
        <f t="shared" si="627"/>
        <v>0</v>
      </c>
      <c r="V631" s="798">
        <f t="shared" si="627"/>
        <v>0</v>
      </c>
      <c r="W631" s="798">
        <f t="shared" si="627"/>
        <v>0</v>
      </c>
      <c r="X631" s="798">
        <f t="shared" si="627"/>
        <v>0</v>
      </c>
      <c r="Y631" s="798">
        <f t="shared" si="627"/>
        <v>0</v>
      </c>
      <c r="Z631" s="798">
        <f t="shared" si="627"/>
        <v>0</v>
      </c>
      <c r="AA631" s="798">
        <f t="shared" si="627"/>
        <v>0</v>
      </c>
      <c r="AB631" s="798">
        <f t="shared" si="627"/>
        <v>0</v>
      </c>
      <c r="AC631" s="798">
        <f t="shared" si="627"/>
        <v>0</v>
      </c>
      <c r="AD631" s="798">
        <f t="shared" si="627"/>
        <v>0</v>
      </c>
      <c r="AE631" s="798">
        <f t="shared" si="627"/>
        <v>0</v>
      </c>
      <c r="AF631" s="798">
        <f t="shared" si="627"/>
        <v>0</v>
      </c>
      <c r="AG631" s="798">
        <f t="shared" si="627"/>
        <v>0</v>
      </c>
      <c r="AH631" s="798">
        <f t="shared" si="627"/>
        <v>0</v>
      </c>
      <c r="AI631" s="798">
        <f t="shared" si="627"/>
        <v>0</v>
      </c>
      <c r="AJ631" s="798">
        <f t="shared" si="627"/>
        <v>0</v>
      </c>
      <c r="AK631" s="798">
        <f t="shared" si="627"/>
        <v>0</v>
      </c>
      <c r="AL631" s="798">
        <f t="shared" si="627"/>
        <v>0</v>
      </c>
      <c r="AM631" s="798">
        <f t="shared" si="627"/>
        <v>0</v>
      </c>
      <c r="AN631" s="798">
        <f t="shared" si="627"/>
        <v>0</v>
      </c>
      <c r="AO631" s="798">
        <f t="shared" si="627"/>
        <v>0</v>
      </c>
      <c r="AP631" s="798">
        <f t="shared" si="627"/>
        <v>0</v>
      </c>
      <c r="AQ631" s="798">
        <f t="shared" si="627"/>
        <v>0</v>
      </c>
      <c r="AR631" s="798">
        <f t="shared" si="627"/>
        <v>0</v>
      </c>
      <c r="AS631" s="798">
        <f t="shared" si="627"/>
        <v>0</v>
      </c>
      <c r="AT631" s="798">
        <f t="shared" si="627"/>
        <v>0</v>
      </c>
      <c r="AU631" s="798">
        <f t="shared" si="627"/>
        <v>0</v>
      </c>
      <c r="AV631" s="798">
        <f t="shared" si="627"/>
        <v>0</v>
      </c>
      <c r="AW631" s="798">
        <f t="shared" si="627"/>
        <v>0</v>
      </c>
      <c r="AX631" s="798">
        <f t="shared" si="627"/>
        <v>0</v>
      </c>
      <c r="AY631" s="798">
        <f t="shared" si="627"/>
        <v>0</v>
      </c>
      <c r="AZ631" s="798">
        <f t="shared" si="627"/>
        <v>0</v>
      </c>
      <c r="BA631" s="798">
        <f t="shared" si="627"/>
        <v>0</v>
      </c>
      <c r="BB631" s="798">
        <f t="shared" si="627"/>
        <v>0</v>
      </c>
      <c r="BC631" s="798">
        <f t="shared" si="627"/>
        <v>1</v>
      </c>
      <c r="BD631" s="798">
        <f t="shared" si="627"/>
        <v>1</v>
      </c>
      <c r="BE631" s="798">
        <f t="shared" si="627"/>
        <v>1</v>
      </c>
      <c r="BF631" s="798">
        <f t="shared" si="627"/>
        <v>1</v>
      </c>
      <c r="BG631" s="798">
        <f t="shared" si="627"/>
        <v>1</v>
      </c>
      <c r="BH631" s="798">
        <f t="shared" si="627"/>
        <v>1</v>
      </c>
      <c r="BI631" s="798">
        <f t="shared" si="627"/>
        <v>1</v>
      </c>
      <c r="BJ631" s="798">
        <f t="shared" si="627"/>
        <v>1</v>
      </c>
      <c r="BK631" s="798">
        <f t="shared" si="627"/>
        <v>1</v>
      </c>
      <c r="BL631" s="765"/>
      <c r="BM631" s="817"/>
      <c r="BN631" s="817"/>
    </row>
    <row r="632" hidden="1">
      <c r="A632" s="765"/>
      <c r="B632" s="765"/>
      <c r="C632" s="765"/>
      <c r="D632" s="765"/>
      <c r="E632" s="765"/>
      <c r="F632" s="765"/>
      <c r="G632" s="765"/>
      <c r="H632" s="765"/>
      <c r="I632" s="765">
        <f t="shared" si="17"/>
        <v>621</v>
      </c>
      <c r="J632" s="763">
        <f t="shared" si="5"/>
        <v>1.23533E+17</v>
      </c>
      <c r="K632" s="796">
        <f t="shared" si="7"/>
        <v>0.54429</v>
      </c>
      <c r="L632" s="796">
        <v>5.0E-4</v>
      </c>
      <c r="M632" s="763">
        <v>1.40858662264774E17</v>
      </c>
      <c r="N632" s="797">
        <f t="shared" si="8"/>
        <v>0</v>
      </c>
      <c r="O632" s="798">
        <f t="shared" ref="O632:BK632" si="628">FLOOR(MIN((((N("value of ELS upgrade")+N$8*($K632-$K631))*(N("Check checkbox")+(IF($G$6=TRUE,$G$7,$G$8))/$G$8))/(N("ROI of ELS and multiply by 2 if ELS is 1:1")+IF($G$12 = True, 2, 1) * $J632))/((N("difference in ELS+ and the cost of it")+(($K631*O$8)-($K631*N$8)) / O$7)),(N("MIN lets it return 0 or 1 after floored")+1)),1)</f>
        <v>0</v>
      </c>
      <c r="P632" s="798">
        <f t="shared" si="628"/>
        <v>0</v>
      </c>
      <c r="Q632" s="798">
        <f t="shared" si="628"/>
        <v>0</v>
      </c>
      <c r="R632" s="798">
        <f t="shared" si="628"/>
        <v>0</v>
      </c>
      <c r="S632" s="798">
        <f t="shared" si="628"/>
        <v>0</v>
      </c>
      <c r="T632" s="798">
        <f t="shared" si="628"/>
        <v>0</v>
      </c>
      <c r="U632" s="798">
        <f t="shared" si="628"/>
        <v>0</v>
      </c>
      <c r="V632" s="798">
        <f t="shared" si="628"/>
        <v>0</v>
      </c>
      <c r="W632" s="798">
        <f t="shared" si="628"/>
        <v>0</v>
      </c>
      <c r="X632" s="798">
        <f t="shared" si="628"/>
        <v>0</v>
      </c>
      <c r="Y632" s="798">
        <f t="shared" si="628"/>
        <v>0</v>
      </c>
      <c r="Z632" s="798">
        <f t="shared" si="628"/>
        <v>0</v>
      </c>
      <c r="AA632" s="798">
        <f t="shared" si="628"/>
        <v>0</v>
      </c>
      <c r="AB632" s="798">
        <f t="shared" si="628"/>
        <v>0</v>
      </c>
      <c r="AC632" s="798">
        <f t="shared" si="628"/>
        <v>0</v>
      </c>
      <c r="AD632" s="798">
        <f t="shared" si="628"/>
        <v>0</v>
      </c>
      <c r="AE632" s="798">
        <f t="shared" si="628"/>
        <v>0</v>
      </c>
      <c r="AF632" s="798">
        <f t="shared" si="628"/>
        <v>0</v>
      </c>
      <c r="AG632" s="798">
        <f t="shared" si="628"/>
        <v>0</v>
      </c>
      <c r="AH632" s="798">
        <f t="shared" si="628"/>
        <v>0</v>
      </c>
      <c r="AI632" s="798">
        <f t="shared" si="628"/>
        <v>0</v>
      </c>
      <c r="AJ632" s="798">
        <f t="shared" si="628"/>
        <v>0</v>
      </c>
      <c r="AK632" s="798">
        <f t="shared" si="628"/>
        <v>0</v>
      </c>
      <c r="AL632" s="798">
        <f t="shared" si="628"/>
        <v>0</v>
      </c>
      <c r="AM632" s="798">
        <f t="shared" si="628"/>
        <v>0</v>
      </c>
      <c r="AN632" s="798">
        <f t="shared" si="628"/>
        <v>0</v>
      </c>
      <c r="AO632" s="798">
        <f t="shared" si="628"/>
        <v>0</v>
      </c>
      <c r="AP632" s="798">
        <f t="shared" si="628"/>
        <v>0</v>
      </c>
      <c r="AQ632" s="798">
        <f t="shared" si="628"/>
        <v>0</v>
      </c>
      <c r="AR632" s="798">
        <f t="shared" si="628"/>
        <v>0</v>
      </c>
      <c r="AS632" s="798">
        <f t="shared" si="628"/>
        <v>0</v>
      </c>
      <c r="AT632" s="798">
        <f t="shared" si="628"/>
        <v>0</v>
      </c>
      <c r="AU632" s="798">
        <f t="shared" si="628"/>
        <v>0</v>
      </c>
      <c r="AV632" s="798">
        <f t="shared" si="628"/>
        <v>0</v>
      </c>
      <c r="AW632" s="798">
        <f t="shared" si="628"/>
        <v>0</v>
      </c>
      <c r="AX632" s="798">
        <f t="shared" si="628"/>
        <v>0</v>
      </c>
      <c r="AY632" s="798">
        <f t="shared" si="628"/>
        <v>0</v>
      </c>
      <c r="AZ632" s="798">
        <f t="shared" si="628"/>
        <v>0</v>
      </c>
      <c r="BA632" s="798">
        <f t="shared" si="628"/>
        <v>0</v>
      </c>
      <c r="BB632" s="798">
        <f t="shared" si="628"/>
        <v>0</v>
      </c>
      <c r="BC632" s="798">
        <f t="shared" si="628"/>
        <v>1</v>
      </c>
      <c r="BD632" s="798">
        <f t="shared" si="628"/>
        <v>1</v>
      </c>
      <c r="BE632" s="798">
        <f t="shared" si="628"/>
        <v>1</v>
      </c>
      <c r="BF632" s="798">
        <f t="shared" si="628"/>
        <v>1</v>
      </c>
      <c r="BG632" s="798">
        <f t="shared" si="628"/>
        <v>1</v>
      </c>
      <c r="BH632" s="798">
        <f t="shared" si="628"/>
        <v>1</v>
      </c>
      <c r="BI632" s="798">
        <f t="shared" si="628"/>
        <v>1</v>
      </c>
      <c r="BJ632" s="798">
        <f t="shared" si="628"/>
        <v>1</v>
      </c>
      <c r="BK632" s="798">
        <f t="shared" si="628"/>
        <v>1</v>
      </c>
      <c r="BL632" s="765"/>
      <c r="BM632" s="817"/>
      <c r="BN632" s="817"/>
    </row>
    <row r="633" hidden="1">
      <c r="A633" s="765"/>
      <c r="B633" s="765"/>
      <c r="C633" s="765"/>
      <c r="D633" s="765"/>
      <c r="E633" s="765"/>
      <c r="F633" s="765"/>
      <c r="G633" s="765"/>
      <c r="H633" s="765"/>
      <c r="I633" s="765">
        <f t="shared" si="17"/>
        <v>622</v>
      </c>
      <c r="J633" s="763">
        <f t="shared" si="5"/>
        <v>1.2395E+17</v>
      </c>
      <c r="K633" s="796">
        <f t="shared" si="7"/>
        <v>0.54479</v>
      </c>
      <c r="L633" s="796">
        <v>5.0E-4</v>
      </c>
      <c r="M633" s="763">
        <v>1.4133371069496E17</v>
      </c>
      <c r="N633" s="797">
        <f t="shared" si="8"/>
        <v>0</v>
      </c>
      <c r="O633" s="798">
        <f t="shared" ref="O633:BK633" si="629">FLOOR(MIN((((N("value of ELS upgrade")+N$8*($K633-$K632))*(N("Check checkbox")+(IF($G$6=TRUE,$G$7,$G$8))/$G$8))/(N("ROI of ELS and multiply by 2 if ELS is 1:1")+IF($G$12 = True, 2, 1) * $J633))/((N("difference in ELS+ and the cost of it")+(($K632*O$8)-($K632*N$8)) / O$7)),(N("MIN lets it return 0 or 1 after floored")+1)),1)</f>
        <v>0</v>
      </c>
      <c r="P633" s="798">
        <f t="shared" si="629"/>
        <v>0</v>
      </c>
      <c r="Q633" s="798">
        <f t="shared" si="629"/>
        <v>0</v>
      </c>
      <c r="R633" s="798">
        <f t="shared" si="629"/>
        <v>0</v>
      </c>
      <c r="S633" s="798">
        <f t="shared" si="629"/>
        <v>0</v>
      </c>
      <c r="T633" s="798">
        <f t="shared" si="629"/>
        <v>0</v>
      </c>
      <c r="U633" s="798">
        <f t="shared" si="629"/>
        <v>0</v>
      </c>
      <c r="V633" s="798">
        <f t="shared" si="629"/>
        <v>0</v>
      </c>
      <c r="W633" s="798">
        <f t="shared" si="629"/>
        <v>0</v>
      </c>
      <c r="X633" s="798">
        <f t="shared" si="629"/>
        <v>0</v>
      </c>
      <c r="Y633" s="798">
        <f t="shared" si="629"/>
        <v>0</v>
      </c>
      <c r="Z633" s="798">
        <f t="shared" si="629"/>
        <v>0</v>
      </c>
      <c r="AA633" s="798">
        <f t="shared" si="629"/>
        <v>0</v>
      </c>
      <c r="AB633" s="798">
        <f t="shared" si="629"/>
        <v>0</v>
      </c>
      <c r="AC633" s="798">
        <f t="shared" si="629"/>
        <v>0</v>
      </c>
      <c r="AD633" s="798">
        <f t="shared" si="629"/>
        <v>0</v>
      </c>
      <c r="AE633" s="798">
        <f t="shared" si="629"/>
        <v>0</v>
      </c>
      <c r="AF633" s="798">
        <f t="shared" si="629"/>
        <v>0</v>
      </c>
      <c r="AG633" s="798">
        <f t="shared" si="629"/>
        <v>0</v>
      </c>
      <c r="AH633" s="798">
        <f t="shared" si="629"/>
        <v>0</v>
      </c>
      <c r="AI633" s="798">
        <f t="shared" si="629"/>
        <v>0</v>
      </c>
      <c r="AJ633" s="798">
        <f t="shared" si="629"/>
        <v>0</v>
      </c>
      <c r="AK633" s="798">
        <f t="shared" si="629"/>
        <v>0</v>
      </c>
      <c r="AL633" s="798">
        <f t="shared" si="629"/>
        <v>0</v>
      </c>
      <c r="AM633" s="798">
        <f t="shared" si="629"/>
        <v>0</v>
      </c>
      <c r="AN633" s="798">
        <f t="shared" si="629"/>
        <v>0</v>
      </c>
      <c r="AO633" s="798">
        <f t="shared" si="629"/>
        <v>0</v>
      </c>
      <c r="AP633" s="798">
        <f t="shared" si="629"/>
        <v>0</v>
      </c>
      <c r="AQ633" s="798">
        <f t="shared" si="629"/>
        <v>0</v>
      </c>
      <c r="AR633" s="798">
        <f t="shared" si="629"/>
        <v>0</v>
      </c>
      <c r="AS633" s="798">
        <f t="shared" si="629"/>
        <v>0</v>
      </c>
      <c r="AT633" s="798">
        <f t="shared" si="629"/>
        <v>0</v>
      </c>
      <c r="AU633" s="798">
        <f t="shared" si="629"/>
        <v>0</v>
      </c>
      <c r="AV633" s="798">
        <f t="shared" si="629"/>
        <v>0</v>
      </c>
      <c r="AW633" s="798">
        <f t="shared" si="629"/>
        <v>0</v>
      </c>
      <c r="AX633" s="798">
        <f t="shared" si="629"/>
        <v>0</v>
      </c>
      <c r="AY633" s="798">
        <f t="shared" si="629"/>
        <v>0</v>
      </c>
      <c r="AZ633" s="798">
        <f t="shared" si="629"/>
        <v>0</v>
      </c>
      <c r="BA633" s="798">
        <f t="shared" si="629"/>
        <v>0</v>
      </c>
      <c r="BB633" s="798">
        <f t="shared" si="629"/>
        <v>0</v>
      </c>
      <c r="BC633" s="798">
        <f t="shared" si="629"/>
        <v>1</v>
      </c>
      <c r="BD633" s="798">
        <f t="shared" si="629"/>
        <v>1</v>
      </c>
      <c r="BE633" s="798">
        <f t="shared" si="629"/>
        <v>1</v>
      </c>
      <c r="BF633" s="798">
        <f t="shared" si="629"/>
        <v>1</v>
      </c>
      <c r="BG633" s="798">
        <f t="shared" si="629"/>
        <v>1</v>
      </c>
      <c r="BH633" s="798">
        <f t="shared" si="629"/>
        <v>1</v>
      </c>
      <c r="BI633" s="798">
        <f t="shared" si="629"/>
        <v>1</v>
      </c>
      <c r="BJ633" s="798">
        <f t="shared" si="629"/>
        <v>1</v>
      </c>
      <c r="BK633" s="798">
        <f t="shared" si="629"/>
        <v>1</v>
      </c>
      <c r="BL633" s="765"/>
      <c r="BM633" s="817"/>
      <c r="BN633" s="817"/>
    </row>
    <row r="634" hidden="1">
      <c r="A634" s="765"/>
      <c r="B634" s="765"/>
      <c r="C634" s="765"/>
      <c r="D634" s="765"/>
      <c r="E634" s="765"/>
      <c r="F634" s="765"/>
      <c r="G634" s="765"/>
      <c r="H634" s="765"/>
      <c r="I634" s="765">
        <f t="shared" si="17"/>
        <v>623</v>
      </c>
      <c r="J634" s="763">
        <f t="shared" si="5"/>
        <v>1.24367E+17</v>
      </c>
      <c r="K634" s="796">
        <f t="shared" si="7"/>
        <v>0.54529</v>
      </c>
      <c r="L634" s="796">
        <v>5.0E-4</v>
      </c>
      <c r="M634" s="763">
        <v>1.41810121539491E17</v>
      </c>
      <c r="N634" s="797">
        <f t="shared" si="8"/>
        <v>0</v>
      </c>
      <c r="O634" s="798">
        <f t="shared" ref="O634:BK634" si="630">FLOOR(MIN((((N("value of ELS upgrade")+N$8*($K634-$K633))*(N("Check checkbox")+(IF($G$6=TRUE,$G$7,$G$8))/$G$8))/(N("ROI of ELS and multiply by 2 if ELS is 1:1")+IF($G$12 = True, 2, 1) * $J634))/((N("difference in ELS+ and the cost of it")+(($K633*O$8)-($K633*N$8)) / O$7)),(N("MIN lets it return 0 or 1 after floored")+1)),1)</f>
        <v>0</v>
      </c>
      <c r="P634" s="798">
        <f t="shared" si="630"/>
        <v>0</v>
      </c>
      <c r="Q634" s="798">
        <f t="shared" si="630"/>
        <v>0</v>
      </c>
      <c r="R634" s="798">
        <f t="shared" si="630"/>
        <v>0</v>
      </c>
      <c r="S634" s="798">
        <f t="shared" si="630"/>
        <v>0</v>
      </c>
      <c r="T634" s="798">
        <f t="shared" si="630"/>
        <v>0</v>
      </c>
      <c r="U634" s="798">
        <f t="shared" si="630"/>
        <v>0</v>
      </c>
      <c r="V634" s="798">
        <f t="shared" si="630"/>
        <v>0</v>
      </c>
      <c r="W634" s="798">
        <f t="shared" si="630"/>
        <v>0</v>
      </c>
      <c r="X634" s="798">
        <f t="shared" si="630"/>
        <v>0</v>
      </c>
      <c r="Y634" s="798">
        <f t="shared" si="630"/>
        <v>0</v>
      </c>
      <c r="Z634" s="798">
        <f t="shared" si="630"/>
        <v>0</v>
      </c>
      <c r="AA634" s="798">
        <f t="shared" si="630"/>
        <v>0</v>
      </c>
      <c r="AB634" s="798">
        <f t="shared" si="630"/>
        <v>0</v>
      </c>
      <c r="AC634" s="798">
        <f t="shared" si="630"/>
        <v>0</v>
      </c>
      <c r="AD634" s="798">
        <f t="shared" si="630"/>
        <v>0</v>
      </c>
      <c r="AE634" s="798">
        <f t="shared" si="630"/>
        <v>0</v>
      </c>
      <c r="AF634" s="798">
        <f t="shared" si="630"/>
        <v>0</v>
      </c>
      <c r="AG634" s="798">
        <f t="shared" si="630"/>
        <v>0</v>
      </c>
      <c r="AH634" s="798">
        <f t="shared" si="630"/>
        <v>0</v>
      </c>
      <c r="AI634" s="798">
        <f t="shared" si="630"/>
        <v>0</v>
      </c>
      <c r="AJ634" s="798">
        <f t="shared" si="630"/>
        <v>0</v>
      </c>
      <c r="AK634" s="798">
        <f t="shared" si="630"/>
        <v>0</v>
      </c>
      <c r="AL634" s="798">
        <f t="shared" si="630"/>
        <v>0</v>
      </c>
      <c r="AM634" s="798">
        <f t="shared" si="630"/>
        <v>0</v>
      </c>
      <c r="AN634" s="798">
        <f t="shared" si="630"/>
        <v>0</v>
      </c>
      <c r="AO634" s="798">
        <f t="shared" si="630"/>
        <v>0</v>
      </c>
      <c r="AP634" s="798">
        <f t="shared" si="630"/>
        <v>0</v>
      </c>
      <c r="AQ634" s="798">
        <f t="shared" si="630"/>
        <v>0</v>
      </c>
      <c r="AR634" s="798">
        <f t="shared" si="630"/>
        <v>0</v>
      </c>
      <c r="AS634" s="798">
        <f t="shared" si="630"/>
        <v>0</v>
      </c>
      <c r="AT634" s="798">
        <f t="shared" si="630"/>
        <v>0</v>
      </c>
      <c r="AU634" s="798">
        <f t="shared" si="630"/>
        <v>0</v>
      </c>
      <c r="AV634" s="798">
        <f t="shared" si="630"/>
        <v>0</v>
      </c>
      <c r="AW634" s="798">
        <f t="shared" si="630"/>
        <v>0</v>
      </c>
      <c r="AX634" s="798">
        <f t="shared" si="630"/>
        <v>0</v>
      </c>
      <c r="AY634" s="798">
        <f t="shared" si="630"/>
        <v>0</v>
      </c>
      <c r="AZ634" s="798">
        <f t="shared" si="630"/>
        <v>0</v>
      </c>
      <c r="BA634" s="798">
        <f t="shared" si="630"/>
        <v>0</v>
      </c>
      <c r="BB634" s="798">
        <f t="shared" si="630"/>
        <v>0</v>
      </c>
      <c r="BC634" s="798">
        <f t="shared" si="630"/>
        <v>1</v>
      </c>
      <c r="BD634" s="798">
        <f t="shared" si="630"/>
        <v>1</v>
      </c>
      <c r="BE634" s="798">
        <f t="shared" si="630"/>
        <v>1</v>
      </c>
      <c r="BF634" s="798">
        <f t="shared" si="630"/>
        <v>1</v>
      </c>
      <c r="BG634" s="798">
        <f t="shared" si="630"/>
        <v>1</v>
      </c>
      <c r="BH634" s="798">
        <f t="shared" si="630"/>
        <v>1</v>
      </c>
      <c r="BI634" s="798">
        <f t="shared" si="630"/>
        <v>1</v>
      </c>
      <c r="BJ634" s="798">
        <f t="shared" si="630"/>
        <v>1</v>
      </c>
      <c r="BK634" s="798">
        <f t="shared" si="630"/>
        <v>1</v>
      </c>
      <c r="BL634" s="765"/>
      <c r="BM634" s="817"/>
      <c r="BN634" s="817"/>
    </row>
    <row r="635" hidden="1">
      <c r="A635" s="765"/>
      <c r="B635" s="765"/>
      <c r="C635" s="765"/>
      <c r="D635" s="765"/>
      <c r="E635" s="765"/>
      <c r="F635" s="765"/>
      <c r="G635" s="765"/>
      <c r="H635" s="765"/>
      <c r="I635" s="765">
        <f t="shared" si="17"/>
        <v>624</v>
      </c>
      <c r="J635" s="763">
        <f t="shared" si="5"/>
        <v>1.24786E+17</v>
      </c>
      <c r="K635" s="796">
        <f t="shared" si="7"/>
        <v>0.54579</v>
      </c>
      <c r="L635" s="796">
        <v>5.0E-4</v>
      </c>
      <c r="M635" s="763">
        <v>1.42287887312573E17</v>
      </c>
      <c r="N635" s="797">
        <f t="shared" si="8"/>
        <v>0</v>
      </c>
      <c r="O635" s="798">
        <f t="shared" ref="O635:BK635" si="631">FLOOR(MIN((((N("value of ELS upgrade")+N$8*($K635-$K634))*(N("Check checkbox")+(IF($G$6=TRUE,$G$7,$G$8))/$G$8))/(N("ROI of ELS and multiply by 2 if ELS is 1:1")+IF($G$12 = True, 2, 1) * $J635))/((N("difference in ELS+ and the cost of it")+(($K634*O$8)-($K634*N$8)) / O$7)),(N("MIN lets it return 0 or 1 after floored")+1)),1)</f>
        <v>0</v>
      </c>
      <c r="P635" s="798">
        <f t="shared" si="631"/>
        <v>0</v>
      </c>
      <c r="Q635" s="798">
        <f t="shared" si="631"/>
        <v>0</v>
      </c>
      <c r="R635" s="798">
        <f t="shared" si="631"/>
        <v>0</v>
      </c>
      <c r="S635" s="798">
        <f t="shared" si="631"/>
        <v>0</v>
      </c>
      <c r="T635" s="798">
        <f t="shared" si="631"/>
        <v>0</v>
      </c>
      <c r="U635" s="798">
        <f t="shared" si="631"/>
        <v>0</v>
      </c>
      <c r="V635" s="798">
        <f t="shared" si="631"/>
        <v>0</v>
      </c>
      <c r="W635" s="798">
        <f t="shared" si="631"/>
        <v>0</v>
      </c>
      <c r="X635" s="798">
        <f t="shared" si="631"/>
        <v>0</v>
      </c>
      <c r="Y635" s="798">
        <f t="shared" si="631"/>
        <v>0</v>
      </c>
      <c r="Z635" s="798">
        <f t="shared" si="631"/>
        <v>0</v>
      </c>
      <c r="AA635" s="798">
        <f t="shared" si="631"/>
        <v>0</v>
      </c>
      <c r="AB635" s="798">
        <f t="shared" si="631"/>
        <v>0</v>
      </c>
      <c r="AC635" s="798">
        <f t="shared" si="631"/>
        <v>0</v>
      </c>
      <c r="AD635" s="798">
        <f t="shared" si="631"/>
        <v>0</v>
      </c>
      <c r="AE635" s="798">
        <f t="shared" si="631"/>
        <v>0</v>
      </c>
      <c r="AF635" s="798">
        <f t="shared" si="631"/>
        <v>0</v>
      </c>
      <c r="AG635" s="798">
        <f t="shared" si="631"/>
        <v>0</v>
      </c>
      <c r="AH635" s="798">
        <f t="shared" si="631"/>
        <v>0</v>
      </c>
      <c r="AI635" s="798">
        <f t="shared" si="631"/>
        <v>0</v>
      </c>
      <c r="AJ635" s="798">
        <f t="shared" si="631"/>
        <v>0</v>
      </c>
      <c r="AK635" s="798">
        <f t="shared" si="631"/>
        <v>0</v>
      </c>
      <c r="AL635" s="798">
        <f t="shared" si="631"/>
        <v>0</v>
      </c>
      <c r="AM635" s="798">
        <f t="shared" si="631"/>
        <v>0</v>
      </c>
      <c r="AN635" s="798">
        <f t="shared" si="631"/>
        <v>0</v>
      </c>
      <c r="AO635" s="798">
        <f t="shared" si="631"/>
        <v>0</v>
      </c>
      <c r="AP635" s="798">
        <f t="shared" si="631"/>
        <v>0</v>
      </c>
      <c r="AQ635" s="798">
        <f t="shared" si="631"/>
        <v>0</v>
      </c>
      <c r="AR635" s="798">
        <f t="shared" si="631"/>
        <v>0</v>
      </c>
      <c r="AS635" s="798">
        <f t="shared" si="631"/>
        <v>0</v>
      </c>
      <c r="AT635" s="798">
        <f t="shared" si="631"/>
        <v>0</v>
      </c>
      <c r="AU635" s="798">
        <f t="shared" si="631"/>
        <v>0</v>
      </c>
      <c r="AV635" s="798">
        <f t="shared" si="631"/>
        <v>0</v>
      </c>
      <c r="AW635" s="798">
        <f t="shared" si="631"/>
        <v>0</v>
      </c>
      <c r="AX635" s="798">
        <f t="shared" si="631"/>
        <v>0</v>
      </c>
      <c r="AY635" s="798">
        <f t="shared" si="631"/>
        <v>0</v>
      </c>
      <c r="AZ635" s="798">
        <f t="shared" si="631"/>
        <v>0</v>
      </c>
      <c r="BA635" s="798">
        <f t="shared" si="631"/>
        <v>0</v>
      </c>
      <c r="BB635" s="798">
        <f t="shared" si="631"/>
        <v>0</v>
      </c>
      <c r="BC635" s="798">
        <f t="shared" si="631"/>
        <v>1</v>
      </c>
      <c r="BD635" s="798">
        <f t="shared" si="631"/>
        <v>1</v>
      </c>
      <c r="BE635" s="798">
        <f t="shared" si="631"/>
        <v>1</v>
      </c>
      <c r="BF635" s="798">
        <f t="shared" si="631"/>
        <v>1</v>
      </c>
      <c r="BG635" s="798">
        <f t="shared" si="631"/>
        <v>1</v>
      </c>
      <c r="BH635" s="798">
        <f t="shared" si="631"/>
        <v>1</v>
      </c>
      <c r="BI635" s="798">
        <f t="shared" si="631"/>
        <v>1</v>
      </c>
      <c r="BJ635" s="798">
        <f t="shared" si="631"/>
        <v>1</v>
      </c>
      <c r="BK635" s="798">
        <f t="shared" si="631"/>
        <v>1</v>
      </c>
      <c r="BL635" s="765"/>
      <c r="BM635" s="817"/>
      <c r="BN635" s="817"/>
    </row>
    <row r="636" hidden="1">
      <c r="A636" s="765"/>
      <c r="B636" s="765"/>
      <c r="C636" s="765"/>
      <c r="D636" s="765"/>
      <c r="E636" s="765"/>
      <c r="F636" s="765"/>
      <c r="G636" s="765"/>
      <c r="H636" s="765"/>
      <c r="I636" s="765">
        <f t="shared" si="17"/>
        <v>625</v>
      </c>
      <c r="J636" s="763">
        <f t="shared" si="5"/>
        <v>1.25207E+17</v>
      </c>
      <c r="K636" s="796">
        <f t="shared" si="7"/>
        <v>0.54629</v>
      </c>
      <c r="L636" s="796">
        <v>5.0E-4</v>
      </c>
      <c r="M636" s="763">
        <v>1.42767022985793E17</v>
      </c>
      <c r="N636" s="797">
        <f t="shared" si="8"/>
        <v>0</v>
      </c>
      <c r="O636" s="798">
        <f t="shared" ref="O636:BK636" si="632">FLOOR(MIN((((N("value of ELS upgrade")+N$8*($K636-$K635))*(N("Check checkbox")+(IF($G$6=TRUE,$G$7,$G$8))/$G$8))/(N("ROI of ELS and multiply by 2 if ELS is 1:1")+IF($G$12 = True, 2, 1) * $J636))/((N("difference in ELS+ and the cost of it")+(($K635*O$8)-($K635*N$8)) / O$7)),(N("MIN lets it return 0 or 1 after floored")+1)),1)</f>
        <v>0</v>
      </c>
      <c r="P636" s="798">
        <f t="shared" si="632"/>
        <v>0</v>
      </c>
      <c r="Q636" s="798">
        <f t="shared" si="632"/>
        <v>0</v>
      </c>
      <c r="R636" s="798">
        <f t="shared" si="632"/>
        <v>0</v>
      </c>
      <c r="S636" s="798">
        <f t="shared" si="632"/>
        <v>0</v>
      </c>
      <c r="T636" s="798">
        <f t="shared" si="632"/>
        <v>0</v>
      </c>
      <c r="U636" s="798">
        <f t="shared" si="632"/>
        <v>0</v>
      </c>
      <c r="V636" s="798">
        <f t="shared" si="632"/>
        <v>0</v>
      </c>
      <c r="W636" s="798">
        <f t="shared" si="632"/>
        <v>0</v>
      </c>
      <c r="X636" s="798">
        <f t="shared" si="632"/>
        <v>0</v>
      </c>
      <c r="Y636" s="798">
        <f t="shared" si="632"/>
        <v>0</v>
      </c>
      <c r="Z636" s="798">
        <f t="shared" si="632"/>
        <v>0</v>
      </c>
      <c r="AA636" s="798">
        <f t="shared" si="632"/>
        <v>0</v>
      </c>
      <c r="AB636" s="798">
        <f t="shared" si="632"/>
        <v>0</v>
      </c>
      <c r="AC636" s="798">
        <f t="shared" si="632"/>
        <v>0</v>
      </c>
      <c r="AD636" s="798">
        <f t="shared" si="632"/>
        <v>0</v>
      </c>
      <c r="AE636" s="798">
        <f t="shared" si="632"/>
        <v>0</v>
      </c>
      <c r="AF636" s="798">
        <f t="shared" si="632"/>
        <v>0</v>
      </c>
      <c r="AG636" s="798">
        <f t="shared" si="632"/>
        <v>0</v>
      </c>
      <c r="AH636" s="798">
        <f t="shared" si="632"/>
        <v>0</v>
      </c>
      <c r="AI636" s="798">
        <f t="shared" si="632"/>
        <v>0</v>
      </c>
      <c r="AJ636" s="798">
        <f t="shared" si="632"/>
        <v>0</v>
      </c>
      <c r="AK636" s="798">
        <f t="shared" si="632"/>
        <v>0</v>
      </c>
      <c r="AL636" s="798">
        <f t="shared" si="632"/>
        <v>0</v>
      </c>
      <c r="AM636" s="798">
        <f t="shared" si="632"/>
        <v>0</v>
      </c>
      <c r="AN636" s="798">
        <f t="shared" si="632"/>
        <v>0</v>
      </c>
      <c r="AO636" s="798">
        <f t="shared" si="632"/>
        <v>0</v>
      </c>
      <c r="AP636" s="798">
        <f t="shared" si="632"/>
        <v>0</v>
      </c>
      <c r="AQ636" s="798">
        <f t="shared" si="632"/>
        <v>0</v>
      </c>
      <c r="AR636" s="798">
        <f t="shared" si="632"/>
        <v>0</v>
      </c>
      <c r="AS636" s="798">
        <f t="shared" si="632"/>
        <v>0</v>
      </c>
      <c r="AT636" s="798">
        <f t="shared" si="632"/>
        <v>0</v>
      </c>
      <c r="AU636" s="798">
        <f t="shared" si="632"/>
        <v>0</v>
      </c>
      <c r="AV636" s="798">
        <f t="shared" si="632"/>
        <v>0</v>
      </c>
      <c r="AW636" s="798">
        <f t="shared" si="632"/>
        <v>0</v>
      </c>
      <c r="AX636" s="798">
        <f t="shared" si="632"/>
        <v>0</v>
      </c>
      <c r="AY636" s="798">
        <f t="shared" si="632"/>
        <v>0</v>
      </c>
      <c r="AZ636" s="798">
        <f t="shared" si="632"/>
        <v>0</v>
      </c>
      <c r="BA636" s="798">
        <f t="shared" si="632"/>
        <v>0</v>
      </c>
      <c r="BB636" s="798">
        <f t="shared" si="632"/>
        <v>0</v>
      </c>
      <c r="BC636" s="798">
        <f t="shared" si="632"/>
        <v>1</v>
      </c>
      <c r="BD636" s="798">
        <f t="shared" si="632"/>
        <v>1</v>
      </c>
      <c r="BE636" s="798">
        <f t="shared" si="632"/>
        <v>1</v>
      </c>
      <c r="BF636" s="798">
        <f t="shared" si="632"/>
        <v>1</v>
      </c>
      <c r="BG636" s="798">
        <f t="shared" si="632"/>
        <v>1</v>
      </c>
      <c r="BH636" s="798">
        <f t="shared" si="632"/>
        <v>1</v>
      </c>
      <c r="BI636" s="798">
        <f t="shared" si="632"/>
        <v>1</v>
      </c>
      <c r="BJ636" s="798">
        <f t="shared" si="632"/>
        <v>1</v>
      </c>
      <c r="BK636" s="798">
        <f t="shared" si="632"/>
        <v>1</v>
      </c>
      <c r="BL636" s="765"/>
      <c r="BM636" s="817"/>
      <c r="BN636" s="817"/>
    </row>
    <row r="637" hidden="1">
      <c r="A637" s="765"/>
      <c r="B637" s="765"/>
      <c r="C637" s="765"/>
      <c r="D637" s="765"/>
      <c r="E637" s="765"/>
      <c r="F637" s="765"/>
      <c r="G637" s="765"/>
      <c r="H637" s="765"/>
      <c r="I637" s="765">
        <f t="shared" si="17"/>
        <v>626</v>
      </c>
      <c r="J637" s="763">
        <f t="shared" si="5"/>
        <v>1.25628E+17</v>
      </c>
      <c r="K637" s="796">
        <f t="shared" si="7"/>
        <v>0.54679</v>
      </c>
      <c r="L637" s="796">
        <v>5.0E-4</v>
      </c>
      <c r="M637" s="763">
        <v>1.43247521073357E17</v>
      </c>
      <c r="N637" s="797">
        <f t="shared" si="8"/>
        <v>0</v>
      </c>
      <c r="O637" s="798">
        <f t="shared" ref="O637:BK637" si="633">FLOOR(MIN((((N("value of ELS upgrade")+N$8*($K637-$K636))*(N("Check checkbox")+(IF($G$6=TRUE,$G$7,$G$8))/$G$8))/(N("ROI of ELS and multiply by 2 if ELS is 1:1")+IF($G$12 = True, 2, 1) * $J637))/((N("difference in ELS+ and the cost of it")+(($K636*O$8)-($K636*N$8)) / O$7)),(N("MIN lets it return 0 or 1 after floored")+1)),1)</f>
        <v>0</v>
      </c>
      <c r="P637" s="798">
        <f t="shared" si="633"/>
        <v>0</v>
      </c>
      <c r="Q637" s="798">
        <f t="shared" si="633"/>
        <v>0</v>
      </c>
      <c r="R637" s="798">
        <f t="shared" si="633"/>
        <v>0</v>
      </c>
      <c r="S637" s="798">
        <f t="shared" si="633"/>
        <v>0</v>
      </c>
      <c r="T637" s="798">
        <f t="shared" si="633"/>
        <v>0</v>
      </c>
      <c r="U637" s="798">
        <f t="shared" si="633"/>
        <v>0</v>
      </c>
      <c r="V637" s="798">
        <f t="shared" si="633"/>
        <v>0</v>
      </c>
      <c r="W637" s="798">
        <f t="shared" si="633"/>
        <v>0</v>
      </c>
      <c r="X637" s="798">
        <f t="shared" si="633"/>
        <v>0</v>
      </c>
      <c r="Y637" s="798">
        <f t="shared" si="633"/>
        <v>0</v>
      </c>
      <c r="Z637" s="798">
        <f t="shared" si="633"/>
        <v>0</v>
      </c>
      <c r="AA637" s="798">
        <f t="shared" si="633"/>
        <v>0</v>
      </c>
      <c r="AB637" s="798">
        <f t="shared" si="633"/>
        <v>0</v>
      </c>
      <c r="AC637" s="798">
        <f t="shared" si="633"/>
        <v>0</v>
      </c>
      <c r="AD637" s="798">
        <f t="shared" si="633"/>
        <v>0</v>
      </c>
      <c r="AE637" s="798">
        <f t="shared" si="633"/>
        <v>0</v>
      </c>
      <c r="AF637" s="798">
        <f t="shared" si="633"/>
        <v>0</v>
      </c>
      <c r="AG637" s="798">
        <f t="shared" si="633"/>
        <v>0</v>
      </c>
      <c r="AH637" s="798">
        <f t="shared" si="633"/>
        <v>0</v>
      </c>
      <c r="AI637" s="798">
        <f t="shared" si="633"/>
        <v>0</v>
      </c>
      <c r="AJ637" s="798">
        <f t="shared" si="633"/>
        <v>0</v>
      </c>
      <c r="AK637" s="798">
        <f t="shared" si="633"/>
        <v>0</v>
      </c>
      <c r="AL637" s="798">
        <f t="shared" si="633"/>
        <v>0</v>
      </c>
      <c r="AM637" s="798">
        <f t="shared" si="633"/>
        <v>0</v>
      </c>
      <c r="AN637" s="798">
        <f t="shared" si="633"/>
        <v>0</v>
      </c>
      <c r="AO637" s="798">
        <f t="shared" si="633"/>
        <v>0</v>
      </c>
      <c r="AP637" s="798">
        <f t="shared" si="633"/>
        <v>0</v>
      </c>
      <c r="AQ637" s="798">
        <f t="shared" si="633"/>
        <v>0</v>
      </c>
      <c r="AR637" s="798">
        <f t="shared" si="633"/>
        <v>0</v>
      </c>
      <c r="AS637" s="798">
        <f t="shared" si="633"/>
        <v>0</v>
      </c>
      <c r="AT637" s="798">
        <f t="shared" si="633"/>
        <v>0</v>
      </c>
      <c r="AU637" s="798">
        <f t="shared" si="633"/>
        <v>0</v>
      </c>
      <c r="AV637" s="798">
        <f t="shared" si="633"/>
        <v>0</v>
      </c>
      <c r="AW637" s="798">
        <f t="shared" si="633"/>
        <v>0</v>
      </c>
      <c r="AX637" s="798">
        <f t="shared" si="633"/>
        <v>0</v>
      </c>
      <c r="AY637" s="798">
        <f t="shared" si="633"/>
        <v>0</v>
      </c>
      <c r="AZ637" s="798">
        <f t="shared" si="633"/>
        <v>0</v>
      </c>
      <c r="BA637" s="798">
        <f t="shared" si="633"/>
        <v>0</v>
      </c>
      <c r="BB637" s="798">
        <f t="shared" si="633"/>
        <v>0</v>
      </c>
      <c r="BC637" s="798">
        <f t="shared" si="633"/>
        <v>1</v>
      </c>
      <c r="BD637" s="798">
        <f t="shared" si="633"/>
        <v>1</v>
      </c>
      <c r="BE637" s="798">
        <f t="shared" si="633"/>
        <v>1</v>
      </c>
      <c r="BF637" s="798">
        <f t="shared" si="633"/>
        <v>1</v>
      </c>
      <c r="BG637" s="798">
        <f t="shared" si="633"/>
        <v>1</v>
      </c>
      <c r="BH637" s="798">
        <f t="shared" si="633"/>
        <v>1</v>
      </c>
      <c r="BI637" s="798">
        <f t="shared" si="633"/>
        <v>1</v>
      </c>
      <c r="BJ637" s="798">
        <f t="shared" si="633"/>
        <v>1</v>
      </c>
      <c r="BK637" s="798">
        <f t="shared" si="633"/>
        <v>1</v>
      </c>
      <c r="BL637" s="765"/>
      <c r="BM637" s="817"/>
      <c r="BN637" s="817"/>
    </row>
    <row r="638" hidden="1">
      <c r="A638" s="765"/>
      <c r="B638" s="765"/>
      <c r="C638" s="765"/>
      <c r="D638" s="765"/>
      <c r="E638" s="765"/>
      <c r="F638" s="765"/>
      <c r="G638" s="765"/>
      <c r="H638" s="765"/>
      <c r="I638" s="765">
        <f t="shared" si="17"/>
        <v>627</v>
      </c>
      <c r="J638" s="763">
        <f t="shared" si="5"/>
        <v>1.26051E+17</v>
      </c>
      <c r="K638" s="796">
        <f t="shared" si="7"/>
        <v>0.54729</v>
      </c>
      <c r="L638" s="796">
        <v>5.0E-4</v>
      </c>
      <c r="M638" s="763">
        <v>1.43729389061058E17</v>
      </c>
      <c r="N638" s="797">
        <f t="shared" si="8"/>
        <v>0</v>
      </c>
      <c r="O638" s="798">
        <f t="shared" ref="O638:BK638" si="634">FLOOR(MIN((((N("value of ELS upgrade")+N$8*($K638-$K637))*(N("Check checkbox")+(IF($G$6=TRUE,$G$7,$G$8))/$G$8))/(N("ROI of ELS and multiply by 2 if ELS is 1:1")+IF($G$12 = True, 2, 1) * $J638))/((N("difference in ELS+ and the cost of it")+(($K637*O$8)-($K637*N$8)) / O$7)),(N("MIN lets it return 0 or 1 after floored")+1)),1)</f>
        <v>0</v>
      </c>
      <c r="P638" s="798">
        <f t="shared" si="634"/>
        <v>0</v>
      </c>
      <c r="Q638" s="798">
        <f t="shared" si="634"/>
        <v>0</v>
      </c>
      <c r="R638" s="798">
        <f t="shared" si="634"/>
        <v>0</v>
      </c>
      <c r="S638" s="798">
        <f t="shared" si="634"/>
        <v>0</v>
      </c>
      <c r="T638" s="798">
        <f t="shared" si="634"/>
        <v>0</v>
      </c>
      <c r="U638" s="798">
        <f t="shared" si="634"/>
        <v>0</v>
      </c>
      <c r="V638" s="798">
        <f t="shared" si="634"/>
        <v>0</v>
      </c>
      <c r="W638" s="798">
        <f t="shared" si="634"/>
        <v>0</v>
      </c>
      <c r="X638" s="798">
        <f t="shared" si="634"/>
        <v>0</v>
      </c>
      <c r="Y638" s="798">
        <f t="shared" si="634"/>
        <v>0</v>
      </c>
      <c r="Z638" s="798">
        <f t="shared" si="634"/>
        <v>0</v>
      </c>
      <c r="AA638" s="798">
        <f t="shared" si="634"/>
        <v>0</v>
      </c>
      <c r="AB638" s="798">
        <f t="shared" si="634"/>
        <v>0</v>
      </c>
      <c r="AC638" s="798">
        <f t="shared" si="634"/>
        <v>0</v>
      </c>
      <c r="AD638" s="798">
        <f t="shared" si="634"/>
        <v>0</v>
      </c>
      <c r="AE638" s="798">
        <f t="shared" si="634"/>
        <v>0</v>
      </c>
      <c r="AF638" s="798">
        <f t="shared" si="634"/>
        <v>0</v>
      </c>
      <c r="AG638" s="798">
        <f t="shared" si="634"/>
        <v>0</v>
      </c>
      <c r="AH638" s="798">
        <f t="shared" si="634"/>
        <v>0</v>
      </c>
      <c r="AI638" s="798">
        <f t="shared" si="634"/>
        <v>0</v>
      </c>
      <c r="AJ638" s="798">
        <f t="shared" si="634"/>
        <v>0</v>
      </c>
      <c r="AK638" s="798">
        <f t="shared" si="634"/>
        <v>0</v>
      </c>
      <c r="AL638" s="798">
        <f t="shared" si="634"/>
        <v>0</v>
      </c>
      <c r="AM638" s="798">
        <f t="shared" si="634"/>
        <v>0</v>
      </c>
      <c r="AN638" s="798">
        <f t="shared" si="634"/>
        <v>0</v>
      </c>
      <c r="AO638" s="798">
        <f t="shared" si="634"/>
        <v>0</v>
      </c>
      <c r="AP638" s="798">
        <f t="shared" si="634"/>
        <v>0</v>
      </c>
      <c r="AQ638" s="798">
        <f t="shared" si="634"/>
        <v>0</v>
      </c>
      <c r="AR638" s="798">
        <f t="shared" si="634"/>
        <v>0</v>
      </c>
      <c r="AS638" s="798">
        <f t="shared" si="634"/>
        <v>0</v>
      </c>
      <c r="AT638" s="798">
        <f t="shared" si="634"/>
        <v>0</v>
      </c>
      <c r="AU638" s="798">
        <f t="shared" si="634"/>
        <v>0</v>
      </c>
      <c r="AV638" s="798">
        <f t="shared" si="634"/>
        <v>0</v>
      </c>
      <c r="AW638" s="798">
        <f t="shared" si="634"/>
        <v>0</v>
      </c>
      <c r="AX638" s="798">
        <f t="shared" si="634"/>
        <v>0</v>
      </c>
      <c r="AY638" s="798">
        <f t="shared" si="634"/>
        <v>0</v>
      </c>
      <c r="AZ638" s="798">
        <f t="shared" si="634"/>
        <v>0</v>
      </c>
      <c r="BA638" s="798">
        <f t="shared" si="634"/>
        <v>0</v>
      </c>
      <c r="BB638" s="798">
        <f t="shared" si="634"/>
        <v>0</v>
      </c>
      <c r="BC638" s="798">
        <f t="shared" si="634"/>
        <v>1</v>
      </c>
      <c r="BD638" s="798">
        <f t="shared" si="634"/>
        <v>1</v>
      </c>
      <c r="BE638" s="798">
        <f t="shared" si="634"/>
        <v>1</v>
      </c>
      <c r="BF638" s="798">
        <f t="shared" si="634"/>
        <v>1</v>
      </c>
      <c r="BG638" s="798">
        <f t="shared" si="634"/>
        <v>1</v>
      </c>
      <c r="BH638" s="798">
        <f t="shared" si="634"/>
        <v>1</v>
      </c>
      <c r="BI638" s="798">
        <f t="shared" si="634"/>
        <v>1</v>
      </c>
      <c r="BJ638" s="798">
        <f t="shared" si="634"/>
        <v>1</v>
      </c>
      <c r="BK638" s="798">
        <f t="shared" si="634"/>
        <v>1</v>
      </c>
      <c r="BL638" s="765"/>
      <c r="BM638" s="817"/>
      <c r="BN638" s="817"/>
    </row>
    <row r="639" hidden="1">
      <c r="A639" s="765"/>
      <c r="B639" s="765"/>
      <c r="C639" s="765"/>
      <c r="D639" s="765"/>
      <c r="E639" s="765"/>
      <c r="F639" s="765"/>
      <c r="G639" s="765"/>
      <c r="H639" s="765"/>
      <c r="I639" s="765">
        <f t="shared" si="17"/>
        <v>628</v>
      </c>
      <c r="J639" s="763">
        <f t="shared" si="5"/>
        <v>1.26474E+17</v>
      </c>
      <c r="K639" s="796">
        <f t="shared" si="7"/>
        <v>0.54779</v>
      </c>
      <c r="L639" s="796">
        <v>5.0E-4</v>
      </c>
      <c r="M639" s="763">
        <v>1.44212626948897E17</v>
      </c>
      <c r="N639" s="797">
        <f t="shared" si="8"/>
        <v>0</v>
      </c>
      <c r="O639" s="798">
        <f t="shared" ref="O639:BK639" si="635">FLOOR(MIN((((N("value of ELS upgrade")+N$8*($K639-$K638))*(N("Check checkbox")+(IF($G$6=TRUE,$G$7,$G$8))/$G$8))/(N("ROI of ELS and multiply by 2 if ELS is 1:1")+IF($G$12 = True, 2, 1) * $J639))/((N("difference in ELS+ and the cost of it")+(($K638*O$8)-($K638*N$8)) / O$7)),(N("MIN lets it return 0 or 1 after floored")+1)),1)</f>
        <v>0</v>
      </c>
      <c r="P639" s="798">
        <f t="shared" si="635"/>
        <v>0</v>
      </c>
      <c r="Q639" s="798">
        <f t="shared" si="635"/>
        <v>0</v>
      </c>
      <c r="R639" s="798">
        <f t="shared" si="635"/>
        <v>0</v>
      </c>
      <c r="S639" s="798">
        <f t="shared" si="635"/>
        <v>0</v>
      </c>
      <c r="T639" s="798">
        <f t="shared" si="635"/>
        <v>0</v>
      </c>
      <c r="U639" s="798">
        <f t="shared" si="635"/>
        <v>0</v>
      </c>
      <c r="V639" s="798">
        <f t="shared" si="635"/>
        <v>0</v>
      </c>
      <c r="W639" s="798">
        <f t="shared" si="635"/>
        <v>0</v>
      </c>
      <c r="X639" s="798">
        <f t="shared" si="635"/>
        <v>0</v>
      </c>
      <c r="Y639" s="798">
        <f t="shared" si="635"/>
        <v>0</v>
      </c>
      <c r="Z639" s="798">
        <f t="shared" si="635"/>
        <v>0</v>
      </c>
      <c r="AA639" s="798">
        <f t="shared" si="635"/>
        <v>0</v>
      </c>
      <c r="AB639" s="798">
        <f t="shared" si="635"/>
        <v>0</v>
      </c>
      <c r="AC639" s="798">
        <f t="shared" si="635"/>
        <v>0</v>
      </c>
      <c r="AD639" s="798">
        <f t="shared" si="635"/>
        <v>0</v>
      </c>
      <c r="AE639" s="798">
        <f t="shared" si="635"/>
        <v>0</v>
      </c>
      <c r="AF639" s="798">
        <f t="shared" si="635"/>
        <v>0</v>
      </c>
      <c r="AG639" s="798">
        <f t="shared" si="635"/>
        <v>0</v>
      </c>
      <c r="AH639" s="798">
        <f t="shared" si="635"/>
        <v>0</v>
      </c>
      <c r="AI639" s="798">
        <f t="shared" si="635"/>
        <v>0</v>
      </c>
      <c r="AJ639" s="798">
        <f t="shared" si="635"/>
        <v>0</v>
      </c>
      <c r="AK639" s="798">
        <f t="shared" si="635"/>
        <v>0</v>
      </c>
      <c r="AL639" s="798">
        <f t="shared" si="635"/>
        <v>0</v>
      </c>
      <c r="AM639" s="798">
        <f t="shared" si="635"/>
        <v>0</v>
      </c>
      <c r="AN639" s="798">
        <f t="shared" si="635"/>
        <v>0</v>
      </c>
      <c r="AO639" s="798">
        <f t="shared" si="635"/>
        <v>0</v>
      </c>
      <c r="AP639" s="798">
        <f t="shared" si="635"/>
        <v>0</v>
      </c>
      <c r="AQ639" s="798">
        <f t="shared" si="635"/>
        <v>0</v>
      </c>
      <c r="AR639" s="798">
        <f t="shared" si="635"/>
        <v>0</v>
      </c>
      <c r="AS639" s="798">
        <f t="shared" si="635"/>
        <v>0</v>
      </c>
      <c r="AT639" s="798">
        <f t="shared" si="635"/>
        <v>0</v>
      </c>
      <c r="AU639" s="798">
        <f t="shared" si="635"/>
        <v>0</v>
      </c>
      <c r="AV639" s="798">
        <f t="shared" si="635"/>
        <v>0</v>
      </c>
      <c r="AW639" s="798">
        <f t="shared" si="635"/>
        <v>0</v>
      </c>
      <c r="AX639" s="798">
        <f t="shared" si="635"/>
        <v>0</v>
      </c>
      <c r="AY639" s="798">
        <f t="shared" si="635"/>
        <v>0</v>
      </c>
      <c r="AZ639" s="798">
        <f t="shared" si="635"/>
        <v>0</v>
      </c>
      <c r="BA639" s="798">
        <f t="shared" si="635"/>
        <v>0</v>
      </c>
      <c r="BB639" s="798">
        <f t="shared" si="635"/>
        <v>0</v>
      </c>
      <c r="BC639" s="798">
        <f t="shared" si="635"/>
        <v>1</v>
      </c>
      <c r="BD639" s="798">
        <f t="shared" si="635"/>
        <v>1</v>
      </c>
      <c r="BE639" s="798">
        <f t="shared" si="635"/>
        <v>1</v>
      </c>
      <c r="BF639" s="798">
        <f t="shared" si="635"/>
        <v>1</v>
      </c>
      <c r="BG639" s="798">
        <f t="shared" si="635"/>
        <v>1</v>
      </c>
      <c r="BH639" s="798">
        <f t="shared" si="635"/>
        <v>1</v>
      </c>
      <c r="BI639" s="798">
        <f t="shared" si="635"/>
        <v>1</v>
      </c>
      <c r="BJ639" s="798">
        <f t="shared" si="635"/>
        <v>1</v>
      </c>
      <c r="BK639" s="798">
        <f t="shared" si="635"/>
        <v>1</v>
      </c>
      <c r="BL639" s="765"/>
      <c r="BM639" s="817"/>
      <c r="BN639" s="817"/>
    </row>
    <row r="640" hidden="1">
      <c r="A640" s="765"/>
      <c r="B640" s="765"/>
      <c r="C640" s="765"/>
      <c r="D640" s="765"/>
      <c r="E640" s="765"/>
      <c r="F640" s="765"/>
      <c r="G640" s="765"/>
      <c r="H640" s="765"/>
      <c r="I640" s="765">
        <f t="shared" si="17"/>
        <v>629</v>
      </c>
      <c r="J640" s="763">
        <f t="shared" si="5"/>
        <v>1.26899E+17</v>
      </c>
      <c r="K640" s="796">
        <f t="shared" si="7"/>
        <v>0.54829</v>
      </c>
      <c r="L640" s="796">
        <v>5.0E-4</v>
      </c>
      <c r="M640" s="763">
        <v>1.44697242222667E17</v>
      </c>
      <c r="N640" s="797">
        <f t="shared" si="8"/>
        <v>0</v>
      </c>
      <c r="O640" s="798">
        <f t="shared" ref="O640:BK640" si="636">FLOOR(MIN((((N("value of ELS upgrade")+N$8*($K640-$K639))*(N("Check checkbox")+(IF($G$6=TRUE,$G$7,$G$8))/$G$8))/(N("ROI of ELS and multiply by 2 if ELS is 1:1")+IF($G$12 = True, 2, 1) * $J640))/((N("difference in ELS+ and the cost of it")+(($K639*O$8)-($K639*N$8)) / O$7)),(N("MIN lets it return 0 or 1 after floored")+1)),1)</f>
        <v>0</v>
      </c>
      <c r="P640" s="798">
        <f t="shared" si="636"/>
        <v>0</v>
      </c>
      <c r="Q640" s="798">
        <f t="shared" si="636"/>
        <v>0</v>
      </c>
      <c r="R640" s="798">
        <f t="shared" si="636"/>
        <v>0</v>
      </c>
      <c r="S640" s="798">
        <f t="shared" si="636"/>
        <v>0</v>
      </c>
      <c r="T640" s="798">
        <f t="shared" si="636"/>
        <v>0</v>
      </c>
      <c r="U640" s="798">
        <f t="shared" si="636"/>
        <v>0</v>
      </c>
      <c r="V640" s="798">
        <f t="shared" si="636"/>
        <v>0</v>
      </c>
      <c r="W640" s="798">
        <f t="shared" si="636"/>
        <v>0</v>
      </c>
      <c r="X640" s="798">
        <f t="shared" si="636"/>
        <v>0</v>
      </c>
      <c r="Y640" s="798">
        <f t="shared" si="636"/>
        <v>0</v>
      </c>
      <c r="Z640" s="798">
        <f t="shared" si="636"/>
        <v>0</v>
      </c>
      <c r="AA640" s="798">
        <f t="shared" si="636"/>
        <v>0</v>
      </c>
      <c r="AB640" s="798">
        <f t="shared" si="636"/>
        <v>0</v>
      </c>
      <c r="AC640" s="798">
        <f t="shared" si="636"/>
        <v>0</v>
      </c>
      <c r="AD640" s="798">
        <f t="shared" si="636"/>
        <v>0</v>
      </c>
      <c r="AE640" s="798">
        <f t="shared" si="636"/>
        <v>0</v>
      </c>
      <c r="AF640" s="798">
        <f t="shared" si="636"/>
        <v>0</v>
      </c>
      <c r="AG640" s="798">
        <f t="shared" si="636"/>
        <v>0</v>
      </c>
      <c r="AH640" s="798">
        <f t="shared" si="636"/>
        <v>0</v>
      </c>
      <c r="AI640" s="798">
        <f t="shared" si="636"/>
        <v>0</v>
      </c>
      <c r="AJ640" s="798">
        <f t="shared" si="636"/>
        <v>0</v>
      </c>
      <c r="AK640" s="798">
        <f t="shared" si="636"/>
        <v>0</v>
      </c>
      <c r="AL640" s="798">
        <f t="shared" si="636"/>
        <v>0</v>
      </c>
      <c r="AM640" s="798">
        <f t="shared" si="636"/>
        <v>0</v>
      </c>
      <c r="AN640" s="798">
        <f t="shared" si="636"/>
        <v>0</v>
      </c>
      <c r="AO640" s="798">
        <f t="shared" si="636"/>
        <v>0</v>
      </c>
      <c r="AP640" s="798">
        <f t="shared" si="636"/>
        <v>0</v>
      </c>
      <c r="AQ640" s="798">
        <f t="shared" si="636"/>
        <v>0</v>
      </c>
      <c r="AR640" s="798">
        <f t="shared" si="636"/>
        <v>0</v>
      </c>
      <c r="AS640" s="798">
        <f t="shared" si="636"/>
        <v>0</v>
      </c>
      <c r="AT640" s="798">
        <f t="shared" si="636"/>
        <v>0</v>
      </c>
      <c r="AU640" s="798">
        <f t="shared" si="636"/>
        <v>0</v>
      </c>
      <c r="AV640" s="798">
        <f t="shared" si="636"/>
        <v>0</v>
      </c>
      <c r="AW640" s="798">
        <f t="shared" si="636"/>
        <v>0</v>
      </c>
      <c r="AX640" s="798">
        <f t="shared" si="636"/>
        <v>0</v>
      </c>
      <c r="AY640" s="798">
        <f t="shared" si="636"/>
        <v>0</v>
      </c>
      <c r="AZ640" s="798">
        <f t="shared" si="636"/>
        <v>0</v>
      </c>
      <c r="BA640" s="798">
        <f t="shared" si="636"/>
        <v>0</v>
      </c>
      <c r="BB640" s="798">
        <f t="shared" si="636"/>
        <v>0</v>
      </c>
      <c r="BC640" s="798">
        <f t="shared" si="636"/>
        <v>1</v>
      </c>
      <c r="BD640" s="798">
        <f t="shared" si="636"/>
        <v>1</v>
      </c>
      <c r="BE640" s="798">
        <f t="shared" si="636"/>
        <v>1</v>
      </c>
      <c r="BF640" s="798">
        <f t="shared" si="636"/>
        <v>1</v>
      </c>
      <c r="BG640" s="798">
        <f t="shared" si="636"/>
        <v>1</v>
      </c>
      <c r="BH640" s="798">
        <f t="shared" si="636"/>
        <v>1</v>
      </c>
      <c r="BI640" s="798">
        <f t="shared" si="636"/>
        <v>1</v>
      </c>
      <c r="BJ640" s="798">
        <f t="shared" si="636"/>
        <v>1</v>
      </c>
      <c r="BK640" s="798">
        <f t="shared" si="636"/>
        <v>1</v>
      </c>
      <c r="BL640" s="765"/>
      <c r="BM640" s="817"/>
      <c r="BN640" s="817"/>
    </row>
    <row r="641" hidden="1">
      <c r="A641" s="765"/>
      <c r="B641" s="765"/>
      <c r="C641" s="765"/>
      <c r="D641" s="765"/>
      <c r="E641" s="765"/>
      <c r="F641" s="765"/>
      <c r="G641" s="765"/>
      <c r="H641" s="765"/>
      <c r="I641" s="765">
        <f t="shared" si="17"/>
        <v>630</v>
      </c>
      <c r="J641" s="763">
        <f t="shared" si="5"/>
        <v>1.27326E+17</v>
      </c>
      <c r="K641" s="796">
        <f t="shared" si="7"/>
        <v>0.54879</v>
      </c>
      <c r="L641" s="796">
        <v>5.0E-4</v>
      </c>
      <c r="M641" s="763">
        <v>1.45183234882367E17</v>
      </c>
      <c r="N641" s="797">
        <f t="shared" si="8"/>
        <v>0</v>
      </c>
      <c r="O641" s="798">
        <f t="shared" ref="O641:BK641" si="637">FLOOR(MIN((((N("value of ELS upgrade")+N$8*($K641-$K640))*(N("Check checkbox")+(IF($G$6=TRUE,$G$7,$G$8))/$G$8))/(N("ROI of ELS and multiply by 2 if ELS is 1:1")+IF($G$12 = True, 2, 1) * $J641))/((N("difference in ELS+ and the cost of it")+(($K640*O$8)-($K640*N$8)) / O$7)),(N("MIN lets it return 0 or 1 after floored")+1)),1)</f>
        <v>0</v>
      </c>
      <c r="P641" s="798">
        <f t="shared" si="637"/>
        <v>0</v>
      </c>
      <c r="Q641" s="798">
        <f t="shared" si="637"/>
        <v>0</v>
      </c>
      <c r="R641" s="798">
        <f t="shared" si="637"/>
        <v>0</v>
      </c>
      <c r="S641" s="798">
        <f t="shared" si="637"/>
        <v>0</v>
      </c>
      <c r="T641" s="798">
        <f t="shared" si="637"/>
        <v>0</v>
      </c>
      <c r="U641" s="798">
        <f t="shared" si="637"/>
        <v>0</v>
      </c>
      <c r="V641" s="798">
        <f t="shared" si="637"/>
        <v>0</v>
      </c>
      <c r="W641" s="798">
        <f t="shared" si="637"/>
        <v>0</v>
      </c>
      <c r="X641" s="798">
        <f t="shared" si="637"/>
        <v>0</v>
      </c>
      <c r="Y641" s="798">
        <f t="shared" si="637"/>
        <v>0</v>
      </c>
      <c r="Z641" s="798">
        <f t="shared" si="637"/>
        <v>0</v>
      </c>
      <c r="AA641" s="798">
        <f t="shared" si="637"/>
        <v>0</v>
      </c>
      <c r="AB641" s="798">
        <f t="shared" si="637"/>
        <v>0</v>
      </c>
      <c r="AC641" s="798">
        <f t="shared" si="637"/>
        <v>0</v>
      </c>
      <c r="AD641" s="798">
        <f t="shared" si="637"/>
        <v>0</v>
      </c>
      <c r="AE641" s="798">
        <f t="shared" si="637"/>
        <v>0</v>
      </c>
      <c r="AF641" s="798">
        <f t="shared" si="637"/>
        <v>0</v>
      </c>
      <c r="AG641" s="798">
        <f t="shared" si="637"/>
        <v>0</v>
      </c>
      <c r="AH641" s="798">
        <f t="shared" si="637"/>
        <v>0</v>
      </c>
      <c r="AI641" s="798">
        <f t="shared" si="637"/>
        <v>0</v>
      </c>
      <c r="AJ641" s="798">
        <f t="shared" si="637"/>
        <v>0</v>
      </c>
      <c r="AK641" s="798">
        <f t="shared" si="637"/>
        <v>0</v>
      </c>
      <c r="AL641" s="798">
        <f t="shared" si="637"/>
        <v>0</v>
      </c>
      <c r="AM641" s="798">
        <f t="shared" si="637"/>
        <v>0</v>
      </c>
      <c r="AN641" s="798">
        <f t="shared" si="637"/>
        <v>0</v>
      </c>
      <c r="AO641" s="798">
        <f t="shared" si="637"/>
        <v>0</v>
      </c>
      <c r="AP641" s="798">
        <f t="shared" si="637"/>
        <v>0</v>
      </c>
      <c r="AQ641" s="798">
        <f t="shared" si="637"/>
        <v>0</v>
      </c>
      <c r="AR641" s="798">
        <f t="shared" si="637"/>
        <v>0</v>
      </c>
      <c r="AS641" s="798">
        <f t="shared" si="637"/>
        <v>0</v>
      </c>
      <c r="AT641" s="798">
        <f t="shared" si="637"/>
        <v>0</v>
      </c>
      <c r="AU641" s="798">
        <f t="shared" si="637"/>
        <v>0</v>
      </c>
      <c r="AV641" s="798">
        <f t="shared" si="637"/>
        <v>0</v>
      </c>
      <c r="AW641" s="798">
        <f t="shared" si="637"/>
        <v>0</v>
      </c>
      <c r="AX641" s="798">
        <f t="shared" si="637"/>
        <v>0</v>
      </c>
      <c r="AY641" s="798">
        <f t="shared" si="637"/>
        <v>0</v>
      </c>
      <c r="AZ641" s="798">
        <f t="shared" si="637"/>
        <v>0</v>
      </c>
      <c r="BA641" s="798">
        <f t="shared" si="637"/>
        <v>0</v>
      </c>
      <c r="BB641" s="798">
        <f t="shared" si="637"/>
        <v>0</v>
      </c>
      <c r="BC641" s="798">
        <f t="shared" si="637"/>
        <v>1</v>
      </c>
      <c r="BD641" s="798">
        <f t="shared" si="637"/>
        <v>1</v>
      </c>
      <c r="BE641" s="798">
        <f t="shared" si="637"/>
        <v>1</v>
      </c>
      <c r="BF641" s="798">
        <f t="shared" si="637"/>
        <v>1</v>
      </c>
      <c r="BG641" s="798">
        <f t="shared" si="637"/>
        <v>1</v>
      </c>
      <c r="BH641" s="798">
        <f t="shared" si="637"/>
        <v>1</v>
      </c>
      <c r="BI641" s="798">
        <f t="shared" si="637"/>
        <v>1</v>
      </c>
      <c r="BJ641" s="798">
        <f t="shared" si="637"/>
        <v>1</v>
      </c>
      <c r="BK641" s="798">
        <f t="shared" si="637"/>
        <v>1</v>
      </c>
      <c r="BL641" s="765"/>
      <c r="BM641" s="817"/>
      <c r="BN641" s="817"/>
    </row>
    <row r="642" hidden="1">
      <c r="A642" s="765"/>
      <c r="B642" s="765"/>
      <c r="C642" s="765"/>
      <c r="D642" s="765"/>
      <c r="E642" s="765"/>
      <c r="F642" s="765"/>
      <c r="G642" s="765"/>
      <c r="H642" s="765"/>
      <c r="I642" s="765">
        <f t="shared" si="17"/>
        <v>631</v>
      </c>
      <c r="J642" s="763">
        <f t="shared" si="5"/>
        <v>1.27753E+17</v>
      </c>
      <c r="K642" s="796">
        <f t="shared" si="7"/>
        <v>0.54929</v>
      </c>
      <c r="L642" s="796">
        <v>5.0E-4</v>
      </c>
      <c r="M642" s="763">
        <v>1.45670612413791E17</v>
      </c>
      <c r="N642" s="797">
        <f t="shared" si="8"/>
        <v>0</v>
      </c>
      <c r="O642" s="798">
        <f t="shared" ref="O642:BK642" si="638">FLOOR(MIN((((N("value of ELS upgrade")+N$8*($K642-$K641))*(N("Check checkbox")+(IF($G$6=TRUE,$G$7,$G$8))/$G$8))/(N("ROI of ELS and multiply by 2 if ELS is 1:1")+IF($G$12 = True, 2, 1) * $J642))/((N("difference in ELS+ and the cost of it")+(($K641*O$8)-($K641*N$8)) / O$7)),(N("MIN lets it return 0 or 1 after floored")+1)),1)</f>
        <v>0</v>
      </c>
      <c r="P642" s="798">
        <f t="shared" si="638"/>
        <v>0</v>
      </c>
      <c r="Q642" s="798">
        <f t="shared" si="638"/>
        <v>0</v>
      </c>
      <c r="R642" s="798">
        <f t="shared" si="638"/>
        <v>0</v>
      </c>
      <c r="S642" s="798">
        <f t="shared" si="638"/>
        <v>0</v>
      </c>
      <c r="T642" s="798">
        <f t="shared" si="638"/>
        <v>0</v>
      </c>
      <c r="U642" s="798">
        <f t="shared" si="638"/>
        <v>0</v>
      </c>
      <c r="V642" s="798">
        <f t="shared" si="638"/>
        <v>0</v>
      </c>
      <c r="W642" s="798">
        <f t="shared" si="638"/>
        <v>0</v>
      </c>
      <c r="X642" s="798">
        <f t="shared" si="638"/>
        <v>0</v>
      </c>
      <c r="Y642" s="798">
        <f t="shared" si="638"/>
        <v>0</v>
      </c>
      <c r="Z642" s="798">
        <f t="shared" si="638"/>
        <v>0</v>
      </c>
      <c r="AA642" s="798">
        <f t="shared" si="638"/>
        <v>0</v>
      </c>
      <c r="AB642" s="798">
        <f t="shared" si="638"/>
        <v>0</v>
      </c>
      <c r="AC642" s="798">
        <f t="shared" si="638"/>
        <v>0</v>
      </c>
      <c r="AD642" s="798">
        <f t="shared" si="638"/>
        <v>0</v>
      </c>
      <c r="AE642" s="798">
        <f t="shared" si="638"/>
        <v>0</v>
      </c>
      <c r="AF642" s="798">
        <f t="shared" si="638"/>
        <v>0</v>
      </c>
      <c r="AG642" s="798">
        <f t="shared" si="638"/>
        <v>0</v>
      </c>
      <c r="AH642" s="798">
        <f t="shared" si="638"/>
        <v>0</v>
      </c>
      <c r="AI642" s="798">
        <f t="shared" si="638"/>
        <v>0</v>
      </c>
      <c r="AJ642" s="798">
        <f t="shared" si="638"/>
        <v>0</v>
      </c>
      <c r="AK642" s="798">
        <f t="shared" si="638"/>
        <v>0</v>
      </c>
      <c r="AL642" s="798">
        <f t="shared" si="638"/>
        <v>0</v>
      </c>
      <c r="AM642" s="798">
        <f t="shared" si="638"/>
        <v>0</v>
      </c>
      <c r="AN642" s="798">
        <f t="shared" si="638"/>
        <v>0</v>
      </c>
      <c r="AO642" s="798">
        <f t="shared" si="638"/>
        <v>0</v>
      </c>
      <c r="AP642" s="798">
        <f t="shared" si="638"/>
        <v>0</v>
      </c>
      <c r="AQ642" s="798">
        <f t="shared" si="638"/>
        <v>0</v>
      </c>
      <c r="AR642" s="798">
        <f t="shared" si="638"/>
        <v>0</v>
      </c>
      <c r="AS642" s="798">
        <f t="shared" si="638"/>
        <v>0</v>
      </c>
      <c r="AT642" s="798">
        <f t="shared" si="638"/>
        <v>0</v>
      </c>
      <c r="AU642" s="798">
        <f t="shared" si="638"/>
        <v>0</v>
      </c>
      <c r="AV642" s="798">
        <f t="shared" si="638"/>
        <v>0</v>
      </c>
      <c r="AW642" s="798">
        <f t="shared" si="638"/>
        <v>0</v>
      </c>
      <c r="AX642" s="798">
        <f t="shared" si="638"/>
        <v>0</v>
      </c>
      <c r="AY642" s="798">
        <f t="shared" si="638"/>
        <v>0</v>
      </c>
      <c r="AZ642" s="798">
        <f t="shared" si="638"/>
        <v>0</v>
      </c>
      <c r="BA642" s="798">
        <f t="shared" si="638"/>
        <v>0</v>
      </c>
      <c r="BB642" s="798">
        <f t="shared" si="638"/>
        <v>0</v>
      </c>
      <c r="BC642" s="798">
        <f t="shared" si="638"/>
        <v>1</v>
      </c>
      <c r="BD642" s="798">
        <f t="shared" si="638"/>
        <v>1</v>
      </c>
      <c r="BE642" s="798">
        <f t="shared" si="638"/>
        <v>1</v>
      </c>
      <c r="BF642" s="798">
        <f t="shared" si="638"/>
        <v>1</v>
      </c>
      <c r="BG642" s="798">
        <f t="shared" si="638"/>
        <v>1</v>
      </c>
      <c r="BH642" s="798">
        <f t="shared" si="638"/>
        <v>1</v>
      </c>
      <c r="BI642" s="798">
        <f t="shared" si="638"/>
        <v>1</v>
      </c>
      <c r="BJ642" s="798">
        <f t="shared" si="638"/>
        <v>1</v>
      </c>
      <c r="BK642" s="798">
        <f t="shared" si="638"/>
        <v>1</v>
      </c>
      <c r="BL642" s="765"/>
      <c r="BM642" s="817"/>
      <c r="BN642" s="817"/>
    </row>
    <row r="643" hidden="1">
      <c r="A643" s="765"/>
      <c r="B643" s="765"/>
      <c r="C643" s="765"/>
      <c r="D643" s="765"/>
      <c r="E643" s="765"/>
      <c r="F643" s="765"/>
      <c r="G643" s="765"/>
      <c r="H643" s="765"/>
      <c r="I643" s="765">
        <f t="shared" si="17"/>
        <v>632</v>
      </c>
      <c r="J643" s="763">
        <f t="shared" si="5"/>
        <v>1.28182E+17</v>
      </c>
      <c r="K643" s="796">
        <f t="shared" si="7"/>
        <v>0.54979</v>
      </c>
      <c r="L643" s="796">
        <v>5.0E-4</v>
      </c>
      <c r="M643" s="763">
        <v>1.46159374816938E17</v>
      </c>
      <c r="N643" s="797">
        <f t="shared" si="8"/>
        <v>0</v>
      </c>
      <c r="O643" s="798">
        <f t="shared" ref="O643:BK643" si="639">FLOOR(MIN((((N("value of ELS upgrade")+N$8*($K643-$K642))*(N("Check checkbox")+(IF($G$6=TRUE,$G$7,$G$8))/$G$8))/(N("ROI of ELS and multiply by 2 if ELS is 1:1")+IF($G$12 = True, 2, 1) * $J643))/((N("difference in ELS+ and the cost of it")+(($K642*O$8)-($K642*N$8)) / O$7)),(N("MIN lets it return 0 or 1 after floored")+1)),1)</f>
        <v>0</v>
      </c>
      <c r="P643" s="798">
        <f t="shared" si="639"/>
        <v>0</v>
      </c>
      <c r="Q643" s="798">
        <f t="shared" si="639"/>
        <v>0</v>
      </c>
      <c r="R643" s="798">
        <f t="shared" si="639"/>
        <v>0</v>
      </c>
      <c r="S643" s="798">
        <f t="shared" si="639"/>
        <v>0</v>
      </c>
      <c r="T643" s="798">
        <f t="shared" si="639"/>
        <v>0</v>
      </c>
      <c r="U643" s="798">
        <f t="shared" si="639"/>
        <v>0</v>
      </c>
      <c r="V643" s="798">
        <f t="shared" si="639"/>
        <v>0</v>
      </c>
      <c r="W643" s="798">
        <f t="shared" si="639"/>
        <v>0</v>
      </c>
      <c r="X643" s="798">
        <f t="shared" si="639"/>
        <v>0</v>
      </c>
      <c r="Y643" s="798">
        <f t="shared" si="639"/>
        <v>0</v>
      </c>
      <c r="Z643" s="798">
        <f t="shared" si="639"/>
        <v>0</v>
      </c>
      <c r="AA643" s="798">
        <f t="shared" si="639"/>
        <v>0</v>
      </c>
      <c r="AB643" s="798">
        <f t="shared" si="639"/>
        <v>0</v>
      </c>
      <c r="AC643" s="798">
        <f t="shared" si="639"/>
        <v>0</v>
      </c>
      <c r="AD643" s="798">
        <f t="shared" si="639"/>
        <v>0</v>
      </c>
      <c r="AE643" s="798">
        <f t="shared" si="639"/>
        <v>0</v>
      </c>
      <c r="AF643" s="798">
        <f t="shared" si="639"/>
        <v>0</v>
      </c>
      <c r="AG643" s="798">
        <f t="shared" si="639"/>
        <v>0</v>
      </c>
      <c r="AH643" s="798">
        <f t="shared" si="639"/>
        <v>0</v>
      </c>
      <c r="AI643" s="798">
        <f t="shared" si="639"/>
        <v>0</v>
      </c>
      <c r="AJ643" s="798">
        <f t="shared" si="639"/>
        <v>0</v>
      </c>
      <c r="AK643" s="798">
        <f t="shared" si="639"/>
        <v>0</v>
      </c>
      <c r="AL643" s="798">
        <f t="shared" si="639"/>
        <v>0</v>
      </c>
      <c r="AM643" s="798">
        <f t="shared" si="639"/>
        <v>0</v>
      </c>
      <c r="AN643" s="798">
        <f t="shared" si="639"/>
        <v>0</v>
      </c>
      <c r="AO643" s="798">
        <f t="shared" si="639"/>
        <v>0</v>
      </c>
      <c r="AP643" s="798">
        <f t="shared" si="639"/>
        <v>0</v>
      </c>
      <c r="AQ643" s="798">
        <f t="shared" si="639"/>
        <v>0</v>
      </c>
      <c r="AR643" s="798">
        <f t="shared" si="639"/>
        <v>0</v>
      </c>
      <c r="AS643" s="798">
        <f t="shared" si="639"/>
        <v>0</v>
      </c>
      <c r="AT643" s="798">
        <f t="shared" si="639"/>
        <v>0</v>
      </c>
      <c r="AU643" s="798">
        <f t="shared" si="639"/>
        <v>0</v>
      </c>
      <c r="AV643" s="798">
        <f t="shared" si="639"/>
        <v>0</v>
      </c>
      <c r="AW643" s="798">
        <f t="shared" si="639"/>
        <v>0</v>
      </c>
      <c r="AX643" s="798">
        <f t="shared" si="639"/>
        <v>0</v>
      </c>
      <c r="AY643" s="798">
        <f t="shared" si="639"/>
        <v>0</v>
      </c>
      <c r="AZ643" s="798">
        <f t="shared" si="639"/>
        <v>0</v>
      </c>
      <c r="BA643" s="798">
        <f t="shared" si="639"/>
        <v>0</v>
      </c>
      <c r="BB643" s="798">
        <f t="shared" si="639"/>
        <v>0</v>
      </c>
      <c r="BC643" s="798">
        <f t="shared" si="639"/>
        <v>1</v>
      </c>
      <c r="BD643" s="798">
        <f t="shared" si="639"/>
        <v>1</v>
      </c>
      <c r="BE643" s="798">
        <f t="shared" si="639"/>
        <v>1</v>
      </c>
      <c r="BF643" s="798">
        <f t="shared" si="639"/>
        <v>1</v>
      </c>
      <c r="BG643" s="798">
        <f t="shared" si="639"/>
        <v>1</v>
      </c>
      <c r="BH643" s="798">
        <f t="shared" si="639"/>
        <v>1</v>
      </c>
      <c r="BI643" s="798">
        <f t="shared" si="639"/>
        <v>1</v>
      </c>
      <c r="BJ643" s="798">
        <f t="shared" si="639"/>
        <v>1</v>
      </c>
      <c r="BK643" s="798">
        <f t="shared" si="639"/>
        <v>1</v>
      </c>
      <c r="BL643" s="765"/>
      <c r="BM643" s="817"/>
      <c r="BN643" s="817"/>
    </row>
    <row r="644" hidden="1">
      <c r="A644" s="765"/>
      <c r="B644" s="765"/>
      <c r="C644" s="765"/>
      <c r="D644" s="765"/>
      <c r="E644" s="765"/>
      <c r="F644" s="765"/>
      <c r="G644" s="765"/>
      <c r="H644" s="765"/>
      <c r="I644" s="765">
        <f t="shared" si="17"/>
        <v>633</v>
      </c>
      <c r="J644" s="763">
        <f t="shared" si="5"/>
        <v>1.28612E+17</v>
      </c>
      <c r="K644" s="796">
        <f t="shared" si="7"/>
        <v>0.55029</v>
      </c>
      <c r="L644" s="796">
        <v>5.0E-4</v>
      </c>
      <c r="M644" s="763">
        <v>1.46649522091809E17</v>
      </c>
      <c r="N644" s="797">
        <f t="shared" si="8"/>
        <v>0</v>
      </c>
      <c r="O644" s="798">
        <f t="shared" ref="O644:BK644" si="640">FLOOR(MIN((((N("value of ELS upgrade")+N$8*($K644-$K643))*(N("Check checkbox")+(IF($G$6=TRUE,$G$7,$G$8))/$G$8))/(N("ROI of ELS and multiply by 2 if ELS is 1:1")+IF($G$12 = True, 2, 1) * $J644))/((N("difference in ELS+ and the cost of it")+(($K643*O$8)-($K643*N$8)) / O$7)),(N("MIN lets it return 0 or 1 after floored")+1)),1)</f>
        <v>0</v>
      </c>
      <c r="P644" s="798">
        <f t="shared" si="640"/>
        <v>0</v>
      </c>
      <c r="Q644" s="798">
        <f t="shared" si="640"/>
        <v>0</v>
      </c>
      <c r="R644" s="798">
        <f t="shared" si="640"/>
        <v>0</v>
      </c>
      <c r="S644" s="798">
        <f t="shared" si="640"/>
        <v>0</v>
      </c>
      <c r="T644" s="798">
        <f t="shared" si="640"/>
        <v>0</v>
      </c>
      <c r="U644" s="798">
        <f t="shared" si="640"/>
        <v>0</v>
      </c>
      <c r="V644" s="798">
        <f t="shared" si="640"/>
        <v>0</v>
      </c>
      <c r="W644" s="798">
        <f t="shared" si="640"/>
        <v>0</v>
      </c>
      <c r="X644" s="798">
        <f t="shared" si="640"/>
        <v>0</v>
      </c>
      <c r="Y644" s="798">
        <f t="shared" si="640"/>
        <v>0</v>
      </c>
      <c r="Z644" s="798">
        <f t="shared" si="640"/>
        <v>0</v>
      </c>
      <c r="AA644" s="798">
        <f t="shared" si="640"/>
        <v>0</v>
      </c>
      <c r="AB644" s="798">
        <f t="shared" si="640"/>
        <v>0</v>
      </c>
      <c r="AC644" s="798">
        <f t="shared" si="640"/>
        <v>0</v>
      </c>
      <c r="AD644" s="798">
        <f t="shared" si="640"/>
        <v>0</v>
      </c>
      <c r="AE644" s="798">
        <f t="shared" si="640"/>
        <v>0</v>
      </c>
      <c r="AF644" s="798">
        <f t="shared" si="640"/>
        <v>0</v>
      </c>
      <c r="AG644" s="798">
        <f t="shared" si="640"/>
        <v>0</v>
      </c>
      <c r="AH644" s="798">
        <f t="shared" si="640"/>
        <v>0</v>
      </c>
      <c r="AI644" s="798">
        <f t="shared" si="640"/>
        <v>0</v>
      </c>
      <c r="AJ644" s="798">
        <f t="shared" si="640"/>
        <v>0</v>
      </c>
      <c r="AK644" s="798">
        <f t="shared" si="640"/>
        <v>0</v>
      </c>
      <c r="AL644" s="798">
        <f t="shared" si="640"/>
        <v>0</v>
      </c>
      <c r="AM644" s="798">
        <f t="shared" si="640"/>
        <v>0</v>
      </c>
      <c r="AN644" s="798">
        <f t="shared" si="640"/>
        <v>0</v>
      </c>
      <c r="AO644" s="798">
        <f t="shared" si="640"/>
        <v>0</v>
      </c>
      <c r="AP644" s="798">
        <f t="shared" si="640"/>
        <v>0</v>
      </c>
      <c r="AQ644" s="798">
        <f t="shared" si="640"/>
        <v>0</v>
      </c>
      <c r="AR644" s="798">
        <f t="shared" si="640"/>
        <v>0</v>
      </c>
      <c r="AS644" s="798">
        <f t="shared" si="640"/>
        <v>0</v>
      </c>
      <c r="AT644" s="798">
        <f t="shared" si="640"/>
        <v>0</v>
      </c>
      <c r="AU644" s="798">
        <f t="shared" si="640"/>
        <v>0</v>
      </c>
      <c r="AV644" s="798">
        <f t="shared" si="640"/>
        <v>0</v>
      </c>
      <c r="AW644" s="798">
        <f t="shared" si="640"/>
        <v>0</v>
      </c>
      <c r="AX644" s="798">
        <f t="shared" si="640"/>
        <v>0</v>
      </c>
      <c r="AY644" s="798">
        <f t="shared" si="640"/>
        <v>0</v>
      </c>
      <c r="AZ644" s="798">
        <f t="shared" si="640"/>
        <v>0</v>
      </c>
      <c r="BA644" s="798">
        <f t="shared" si="640"/>
        <v>0</v>
      </c>
      <c r="BB644" s="798">
        <f t="shared" si="640"/>
        <v>0</v>
      </c>
      <c r="BC644" s="798">
        <f t="shared" si="640"/>
        <v>0</v>
      </c>
      <c r="BD644" s="798">
        <f t="shared" si="640"/>
        <v>1</v>
      </c>
      <c r="BE644" s="798">
        <f t="shared" si="640"/>
        <v>1</v>
      </c>
      <c r="BF644" s="798">
        <f t="shared" si="640"/>
        <v>1</v>
      </c>
      <c r="BG644" s="798">
        <f t="shared" si="640"/>
        <v>1</v>
      </c>
      <c r="BH644" s="798">
        <f t="shared" si="640"/>
        <v>1</v>
      </c>
      <c r="BI644" s="798">
        <f t="shared" si="640"/>
        <v>1</v>
      </c>
      <c r="BJ644" s="798">
        <f t="shared" si="640"/>
        <v>1</v>
      </c>
      <c r="BK644" s="798">
        <f t="shared" si="640"/>
        <v>1</v>
      </c>
      <c r="BL644" s="765"/>
      <c r="BM644" s="817"/>
      <c r="BN644" s="817"/>
    </row>
    <row r="645" hidden="1">
      <c r="A645" s="765"/>
      <c r="B645" s="765"/>
      <c r="C645" s="765"/>
      <c r="D645" s="765"/>
      <c r="E645" s="765"/>
      <c r="F645" s="765"/>
      <c r="G645" s="765"/>
      <c r="H645" s="765"/>
      <c r="I645" s="765">
        <f t="shared" si="17"/>
        <v>634</v>
      </c>
      <c r="J645" s="763">
        <f t="shared" si="5"/>
        <v>1.29043E+17</v>
      </c>
      <c r="K645" s="796">
        <f t="shared" si="7"/>
        <v>0.55079</v>
      </c>
      <c r="L645" s="796">
        <v>5.0E-4</v>
      </c>
      <c r="M645" s="763">
        <v>1.47141054238404E17</v>
      </c>
      <c r="N645" s="797">
        <f t="shared" si="8"/>
        <v>0</v>
      </c>
      <c r="O645" s="798">
        <f t="shared" ref="O645:BK645" si="641">FLOOR(MIN((((N("value of ELS upgrade")+N$8*($K645-$K644))*(N("Check checkbox")+(IF($G$6=TRUE,$G$7,$G$8))/$G$8))/(N("ROI of ELS and multiply by 2 if ELS is 1:1")+IF($G$12 = True, 2, 1) * $J645))/((N("difference in ELS+ and the cost of it")+(($K644*O$8)-($K644*N$8)) / O$7)),(N("MIN lets it return 0 or 1 after floored")+1)),1)</f>
        <v>0</v>
      </c>
      <c r="P645" s="798">
        <f t="shared" si="641"/>
        <v>0</v>
      </c>
      <c r="Q645" s="798">
        <f t="shared" si="641"/>
        <v>0</v>
      </c>
      <c r="R645" s="798">
        <f t="shared" si="641"/>
        <v>0</v>
      </c>
      <c r="S645" s="798">
        <f t="shared" si="641"/>
        <v>0</v>
      </c>
      <c r="T645" s="798">
        <f t="shared" si="641"/>
        <v>0</v>
      </c>
      <c r="U645" s="798">
        <f t="shared" si="641"/>
        <v>0</v>
      </c>
      <c r="V645" s="798">
        <f t="shared" si="641"/>
        <v>0</v>
      </c>
      <c r="W645" s="798">
        <f t="shared" si="641"/>
        <v>0</v>
      </c>
      <c r="X645" s="798">
        <f t="shared" si="641"/>
        <v>0</v>
      </c>
      <c r="Y645" s="798">
        <f t="shared" si="641"/>
        <v>0</v>
      </c>
      <c r="Z645" s="798">
        <f t="shared" si="641"/>
        <v>0</v>
      </c>
      <c r="AA645" s="798">
        <f t="shared" si="641"/>
        <v>0</v>
      </c>
      <c r="AB645" s="798">
        <f t="shared" si="641"/>
        <v>0</v>
      </c>
      <c r="AC645" s="798">
        <f t="shared" si="641"/>
        <v>0</v>
      </c>
      <c r="AD645" s="798">
        <f t="shared" si="641"/>
        <v>0</v>
      </c>
      <c r="AE645" s="798">
        <f t="shared" si="641"/>
        <v>0</v>
      </c>
      <c r="AF645" s="798">
        <f t="shared" si="641"/>
        <v>0</v>
      </c>
      <c r="AG645" s="798">
        <f t="shared" si="641"/>
        <v>0</v>
      </c>
      <c r="AH645" s="798">
        <f t="shared" si="641"/>
        <v>0</v>
      </c>
      <c r="AI645" s="798">
        <f t="shared" si="641"/>
        <v>0</v>
      </c>
      <c r="AJ645" s="798">
        <f t="shared" si="641"/>
        <v>0</v>
      </c>
      <c r="AK645" s="798">
        <f t="shared" si="641"/>
        <v>0</v>
      </c>
      <c r="AL645" s="798">
        <f t="shared" si="641"/>
        <v>0</v>
      </c>
      <c r="AM645" s="798">
        <f t="shared" si="641"/>
        <v>0</v>
      </c>
      <c r="AN645" s="798">
        <f t="shared" si="641"/>
        <v>0</v>
      </c>
      <c r="AO645" s="798">
        <f t="shared" si="641"/>
        <v>0</v>
      </c>
      <c r="AP645" s="798">
        <f t="shared" si="641"/>
        <v>0</v>
      </c>
      <c r="AQ645" s="798">
        <f t="shared" si="641"/>
        <v>0</v>
      </c>
      <c r="AR645" s="798">
        <f t="shared" si="641"/>
        <v>0</v>
      </c>
      <c r="AS645" s="798">
        <f t="shared" si="641"/>
        <v>0</v>
      </c>
      <c r="AT645" s="798">
        <f t="shared" si="641"/>
        <v>0</v>
      </c>
      <c r="AU645" s="798">
        <f t="shared" si="641"/>
        <v>0</v>
      </c>
      <c r="AV645" s="798">
        <f t="shared" si="641"/>
        <v>0</v>
      </c>
      <c r="AW645" s="798">
        <f t="shared" si="641"/>
        <v>0</v>
      </c>
      <c r="AX645" s="798">
        <f t="shared" si="641"/>
        <v>0</v>
      </c>
      <c r="AY645" s="798">
        <f t="shared" si="641"/>
        <v>0</v>
      </c>
      <c r="AZ645" s="798">
        <f t="shared" si="641"/>
        <v>0</v>
      </c>
      <c r="BA645" s="798">
        <f t="shared" si="641"/>
        <v>0</v>
      </c>
      <c r="BB645" s="798">
        <f t="shared" si="641"/>
        <v>0</v>
      </c>
      <c r="BC645" s="798">
        <f t="shared" si="641"/>
        <v>0</v>
      </c>
      <c r="BD645" s="798">
        <f t="shared" si="641"/>
        <v>1</v>
      </c>
      <c r="BE645" s="798">
        <f t="shared" si="641"/>
        <v>1</v>
      </c>
      <c r="BF645" s="798">
        <f t="shared" si="641"/>
        <v>1</v>
      </c>
      <c r="BG645" s="798">
        <f t="shared" si="641"/>
        <v>1</v>
      </c>
      <c r="BH645" s="798">
        <f t="shared" si="641"/>
        <v>1</v>
      </c>
      <c r="BI645" s="798">
        <f t="shared" si="641"/>
        <v>1</v>
      </c>
      <c r="BJ645" s="798">
        <f t="shared" si="641"/>
        <v>1</v>
      </c>
      <c r="BK645" s="798">
        <f t="shared" si="641"/>
        <v>1</v>
      </c>
      <c r="BL645" s="765"/>
      <c r="BM645" s="817"/>
      <c r="BN645" s="817"/>
    </row>
    <row r="646" hidden="1">
      <c r="A646" s="765"/>
      <c r="B646" s="765"/>
      <c r="C646" s="765"/>
      <c r="D646" s="765"/>
      <c r="E646" s="765"/>
      <c r="F646" s="765"/>
      <c r="G646" s="765"/>
      <c r="H646" s="765"/>
      <c r="I646" s="765">
        <f t="shared" si="17"/>
        <v>635</v>
      </c>
      <c r="J646" s="763">
        <f t="shared" si="5"/>
        <v>1.29475E+17</v>
      </c>
      <c r="K646" s="796">
        <f t="shared" si="7"/>
        <v>0.55129</v>
      </c>
      <c r="L646" s="796">
        <v>5.0E-4</v>
      </c>
      <c r="M646" s="763">
        <v>1.47633986228309E17</v>
      </c>
      <c r="N646" s="797">
        <f t="shared" si="8"/>
        <v>0</v>
      </c>
      <c r="O646" s="798">
        <f t="shared" ref="O646:BK646" si="642">FLOOR(MIN((((N("value of ELS upgrade")+N$8*($K646-$K645))*(N("Check checkbox")+(IF($G$6=TRUE,$G$7,$G$8))/$G$8))/(N("ROI of ELS and multiply by 2 if ELS is 1:1")+IF($G$12 = True, 2, 1) * $J646))/((N("difference in ELS+ and the cost of it")+(($K645*O$8)-($K645*N$8)) / O$7)),(N("MIN lets it return 0 or 1 after floored")+1)),1)</f>
        <v>0</v>
      </c>
      <c r="P646" s="798">
        <f t="shared" si="642"/>
        <v>0</v>
      </c>
      <c r="Q646" s="798">
        <f t="shared" si="642"/>
        <v>0</v>
      </c>
      <c r="R646" s="798">
        <f t="shared" si="642"/>
        <v>0</v>
      </c>
      <c r="S646" s="798">
        <f t="shared" si="642"/>
        <v>0</v>
      </c>
      <c r="T646" s="798">
        <f t="shared" si="642"/>
        <v>0</v>
      </c>
      <c r="U646" s="798">
        <f t="shared" si="642"/>
        <v>0</v>
      </c>
      <c r="V646" s="798">
        <f t="shared" si="642"/>
        <v>0</v>
      </c>
      <c r="W646" s="798">
        <f t="shared" si="642"/>
        <v>0</v>
      </c>
      <c r="X646" s="798">
        <f t="shared" si="642"/>
        <v>0</v>
      </c>
      <c r="Y646" s="798">
        <f t="shared" si="642"/>
        <v>0</v>
      </c>
      <c r="Z646" s="798">
        <f t="shared" si="642"/>
        <v>0</v>
      </c>
      <c r="AA646" s="798">
        <f t="shared" si="642"/>
        <v>0</v>
      </c>
      <c r="AB646" s="798">
        <f t="shared" si="642"/>
        <v>0</v>
      </c>
      <c r="AC646" s="798">
        <f t="shared" si="642"/>
        <v>0</v>
      </c>
      <c r="AD646" s="798">
        <f t="shared" si="642"/>
        <v>0</v>
      </c>
      <c r="AE646" s="798">
        <f t="shared" si="642"/>
        <v>0</v>
      </c>
      <c r="AF646" s="798">
        <f t="shared" si="642"/>
        <v>0</v>
      </c>
      <c r="AG646" s="798">
        <f t="shared" si="642"/>
        <v>0</v>
      </c>
      <c r="AH646" s="798">
        <f t="shared" si="642"/>
        <v>0</v>
      </c>
      <c r="AI646" s="798">
        <f t="shared" si="642"/>
        <v>0</v>
      </c>
      <c r="AJ646" s="798">
        <f t="shared" si="642"/>
        <v>0</v>
      </c>
      <c r="AK646" s="798">
        <f t="shared" si="642"/>
        <v>0</v>
      </c>
      <c r="AL646" s="798">
        <f t="shared" si="642"/>
        <v>0</v>
      </c>
      <c r="AM646" s="798">
        <f t="shared" si="642"/>
        <v>0</v>
      </c>
      <c r="AN646" s="798">
        <f t="shared" si="642"/>
        <v>0</v>
      </c>
      <c r="AO646" s="798">
        <f t="shared" si="642"/>
        <v>0</v>
      </c>
      <c r="AP646" s="798">
        <f t="shared" si="642"/>
        <v>0</v>
      </c>
      <c r="AQ646" s="798">
        <f t="shared" si="642"/>
        <v>0</v>
      </c>
      <c r="AR646" s="798">
        <f t="shared" si="642"/>
        <v>0</v>
      </c>
      <c r="AS646" s="798">
        <f t="shared" si="642"/>
        <v>0</v>
      </c>
      <c r="AT646" s="798">
        <f t="shared" si="642"/>
        <v>0</v>
      </c>
      <c r="AU646" s="798">
        <f t="shared" si="642"/>
        <v>0</v>
      </c>
      <c r="AV646" s="798">
        <f t="shared" si="642"/>
        <v>0</v>
      </c>
      <c r="AW646" s="798">
        <f t="shared" si="642"/>
        <v>0</v>
      </c>
      <c r="AX646" s="798">
        <f t="shared" si="642"/>
        <v>0</v>
      </c>
      <c r="AY646" s="798">
        <f t="shared" si="642"/>
        <v>0</v>
      </c>
      <c r="AZ646" s="798">
        <f t="shared" si="642"/>
        <v>0</v>
      </c>
      <c r="BA646" s="798">
        <f t="shared" si="642"/>
        <v>0</v>
      </c>
      <c r="BB646" s="798">
        <f t="shared" si="642"/>
        <v>0</v>
      </c>
      <c r="BC646" s="798">
        <f t="shared" si="642"/>
        <v>0</v>
      </c>
      <c r="BD646" s="798">
        <f t="shared" si="642"/>
        <v>1</v>
      </c>
      <c r="BE646" s="798">
        <f t="shared" si="642"/>
        <v>1</v>
      </c>
      <c r="BF646" s="798">
        <f t="shared" si="642"/>
        <v>1</v>
      </c>
      <c r="BG646" s="798">
        <f t="shared" si="642"/>
        <v>1</v>
      </c>
      <c r="BH646" s="798">
        <f t="shared" si="642"/>
        <v>1</v>
      </c>
      <c r="BI646" s="798">
        <f t="shared" si="642"/>
        <v>1</v>
      </c>
      <c r="BJ646" s="798">
        <f t="shared" si="642"/>
        <v>1</v>
      </c>
      <c r="BK646" s="798">
        <f t="shared" si="642"/>
        <v>1</v>
      </c>
      <c r="BL646" s="765"/>
      <c r="BM646" s="817"/>
      <c r="BN646" s="817"/>
    </row>
    <row r="647" hidden="1">
      <c r="A647" s="765"/>
      <c r="B647" s="765"/>
      <c r="C647" s="765"/>
      <c r="D647" s="765"/>
      <c r="E647" s="765"/>
      <c r="F647" s="765"/>
      <c r="G647" s="765"/>
      <c r="H647" s="765"/>
      <c r="I647" s="765">
        <f t="shared" si="17"/>
        <v>636</v>
      </c>
      <c r="J647" s="763">
        <f t="shared" si="5"/>
        <v>1.29909E+17</v>
      </c>
      <c r="K647" s="796">
        <f t="shared" si="7"/>
        <v>0.55179</v>
      </c>
      <c r="L647" s="796">
        <v>5.0E-4</v>
      </c>
      <c r="M647" s="763">
        <v>1.4812831057573E17</v>
      </c>
      <c r="N647" s="797">
        <f t="shared" si="8"/>
        <v>0</v>
      </c>
      <c r="O647" s="798">
        <f t="shared" ref="O647:BK647" si="643">FLOOR(MIN((((N("value of ELS upgrade")+N$8*($K647-$K646))*(N("Check checkbox")+(IF($G$6=TRUE,$G$7,$G$8))/$G$8))/(N("ROI of ELS and multiply by 2 if ELS is 1:1")+IF($G$12 = True, 2, 1) * $J647))/((N("difference in ELS+ and the cost of it")+(($K646*O$8)-($K646*N$8)) / O$7)),(N("MIN lets it return 0 or 1 after floored")+1)),1)</f>
        <v>0</v>
      </c>
      <c r="P647" s="798">
        <f t="shared" si="643"/>
        <v>0</v>
      </c>
      <c r="Q647" s="798">
        <f t="shared" si="643"/>
        <v>0</v>
      </c>
      <c r="R647" s="798">
        <f t="shared" si="643"/>
        <v>0</v>
      </c>
      <c r="S647" s="798">
        <f t="shared" si="643"/>
        <v>0</v>
      </c>
      <c r="T647" s="798">
        <f t="shared" si="643"/>
        <v>0</v>
      </c>
      <c r="U647" s="798">
        <f t="shared" si="643"/>
        <v>0</v>
      </c>
      <c r="V647" s="798">
        <f t="shared" si="643"/>
        <v>0</v>
      </c>
      <c r="W647" s="798">
        <f t="shared" si="643"/>
        <v>0</v>
      </c>
      <c r="X647" s="798">
        <f t="shared" si="643"/>
        <v>0</v>
      </c>
      <c r="Y647" s="798">
        <f t="shared" si="643"/>
        <v>0</v>
      </c>
      <c r="Z647" s="798">
        <f t="shared" si="643"/>
        <v>0</v>
      </c>
      <c r="AA647" s="798">
        <f t="shared" si="643"/>
        <v>0</v>
      </c>
      <c r="AB647" s="798">
        <f t="shared" si="643"/>
        <v>0</v>
      </c>
      <c r="AC647" s="798">
        <f t="shared" si="643"/>
        <v>0</v>
      </c>
      <c r="AD647" s="798">
        <f t="shared" si="643"/>
        <v>0</v>
      </c>
      <c r="AE647" s="798">
        <f t="shared" si="643"/>
        <v>0</v>
      </c>
      <c r="AF647" s="798">
        <f t="shared" si="643"/>
        <v>0</v>
      </c>
      <c r="AG647" s="798">
        <f t="shared" si="643"/>
        <v>0</v>
      </c>
      <c r="AH647" s="798">
        <f t="shared" si="643"/>
        <v>0</v>
      </c>
      <c r="AI647" s="798">
        <f t="shared" si="643"/>
        <v>0</v>
      </c>
      <c r="AJ647" s="798">
        <f t="shared" si="643"/>
        <v>0</v>
      </c>
      <c r="AK647" s="798">
        <f t="shared" si="643"/>
        <v>0</v>
      </c>
      <c r="AL647" s="798">
        <f t="shared" si="643"/>
        <v>0</v>
      </c>
      <c r="AM647" s="798">
        <f t="shared" si="643"/>
        <v>0</v>
      </c>
      <c r="AN647" s="798">
        <f t="shared" si="643"/>
        <v>0</v>
      </c>
      <c r="AO647" s="798">
        <f t="shared" si="643"/>
        <v>0</v>
      </c>
      <c r="AP647" s="798">
        <f t="shared" si="643"/>
        <v>0</v>
      </c>
      <c r="AQ647" s="798">
        <f t="shared" si="643"/>
        <v>0</v>
      </c>
      <c r="AR647" s="798">
        <f t="shared" si="643"/>
        <v>0</v>
      </c>
      <c r="AS647" s="798">
        <f t="shared" si="643"/>
        <v>0</v>
      </c>
      <c r="AT647" s="798">
        <f t="shared" si="643"/>
        <v>0</v>
      </c>
      <c r="AU647" s="798">
        <f t="shared" si="643"/>
        <v>0</v>
      </c>
      <c r="AV647" s="798">
        <f t="shared" si="643"/>
        <v>0</v>
      </c>
      <c r="AW647" s="798">
        <f t="shared" si="643"/>
        <v>0</v>
      </c>
      <c r="AX647" s="798">
        <f t="shared" si="643"/>
        <v>0</v>
      </c>
      <c r="AY647" s="798">
        <f t="shared" si="643"/>
        <v>0</v>
      </c>
      <c r="AZ647" s="798">
        <f t="shared" si="643"/>
        <v>0</v>
      </c>
      <c r="BA647" s="798">
        <f t="shared" si="643"/>
        <v>0</v>
      </c>
      <c r="BB647" s="798">
        <f t="shared" si="643"/>
        <v>0</v>
      </c>
      <c r="BC647" s="798">
        <f t="shared" si="643"/>
        <v>0</v>
      </c>
      <c r="BD647" s="798">
        <f t="shared" si="643"/>
        <v>1</v>
      </c>
      <c r="BE647" s="798">
        <f t="shared" si="643"/>
        <v>1</v>
      </c>
      <c r="BF647" s="798">
        <f t="shared" si="643"/>
        <v>1</v>
      </c>
      <c r="BG647" s="798">
        <f t="shared" si="643"/>
        <v>1</v>
      </c>
      <c r="BH647" s="798">
        <f t="shared" si="643"/>
        <v>1</v>
      </c>
      <c r="BI647" s="798">
        <f t="shared" si="643"/>
        <v>1</v>
      </c>
      <c r="BJ647" s="798">
        <f t="shared" si="643"/>
        <v>1</v>
      </c>
      <c r="BK647" s="798">
        <f t="shared" si="643"/>
        <v>1</v>
      </c>
      <c r="BL647" s="765"/>
      <c r="BM647" s="817"/>
      <c r="BN647" s="817"/>
    </row>
    <row r="648" hidden="1">
      <c r="A648" s="765"/>
      <c r="B648" s="765"/>
      <c r="C648" s="765"/>
      <c r="D648" s="765"/>
      <c r="E648" s="765"/>
      <c r="F648" s="765"/>
      <c r="G648" s="765"/>
      <c r="H648" s="765"/>
      <c r="I648" s="765">
        <f t="shared" si="17"/>
        <v>637</v>
      </c>
      <c r="J648" s="763">
        <f t="shared" si="5"/>
        <v>1.30343E+17</v>
      </c>
      <c r="K648" s="796">
        <f t="shared" si="7"/>
        <v>0.55229</v>
      </c>
      <c r="L648" s="796">
        <v>5.0E-4</v>
      </c>
      <c r="M648" s="763">
        <v>1.48624034766461E17</v>
      </c>
      <c r="N648" s="797">
        <f t="shared" si="8"/>
        <v>0</v>
      </c>
      <c r="O648" s="798">
        <f t="shared" ref="O648:BK648" si="644">FLOOR(MIN((((N("value of ELS upgrade")+N$8*($K648-$K647))*(N("Check checkbox")+(IF($G$6=TRUE,$G$7,$G$8))/$G$8))/(N("ROI of ELS and multiply by 2 if ELS is 1:1")+IF($G$12 = True, 2, 1) * $J648))/((N("difference in ELS+ and the cost of it")+(($K647*O$8)-($K647*N$8)) / O$7)),(N("MIN lets it return 0 or 1 after floored")+1)),1)</f>
        <v>0</v>
      </c>
      <c r="P648" s="798">
        <f t="shared" si="644"/>
        <v>0</v>
      </c>
      <c r="Q648" s="798">
        <f t="shared" si="644"/>
        <v>0</v>
      </c>
      <c r="R648" s="798">
        <f t="shared" si="644"/>
        <v>0</v>
      </c>
      <c r="S648" s="798">
        <f t="shared" si="644"/>
        <v>0</v>
      </c>
      <c r="T648" s="798">
        <f t="shared" si="644"/>
        <v>0</v>
      </c>
      <c r="U648" s="798">
        <f t="shared" si="644"/>
        <v>0</v>
      </c>
      <c r="V648" s="798">
        <f t="shared" si="644"/>
        <v>0</v>
      </c>
      <c r="W648" s="798">
        <f t="shared" si="644"/>
        <v>0</v>
      </c>
      <c r="X648" s="798">
        <f t="shared" si="644"/>
        <v>0</v>
      </c>
      <c r="Y648" s="798">
        <f t="shared" si="644"/>
        <v>0</v>
      </c>
      <c r="Z648" s="798">
        <f t="shared" si="644"/>
        <v>0</v>
      </c>
      <c r="AA648" s="798">
        <f t="shared" si="644"/>
        <v>0</v>
      </c>
      <c r="AB648" s="798">
        <f t="shared" si="644"/>
        <v>0</v>
      </c>
      <c r="AC648" s="798">
        <f t="shared" si="644"/>
        <v>0</v>
      </c>
      <c r="AD648" s="798">
        <f t="shared" si="644"/>
        <v>0</v>
      </c>
      <c r="AE648" s="798">
        <f t="shared" si="644"/>
        <v>0</v>
      </c>
      <c r="AF648" s="798">
        <f t="shared" si="644"/>
        <v>0</v>
      </c>
      <c r="AG648" s="798">
        <f t="shared" si="644"/>
        <v>0</v>
      </c>
      <c r="AH648" s="798">
        <f t="shared" si="644"/>
        <v>0</v>
      </c>
      <c r="AI648" s="798">
        <f t="shared" si="644"/>
        <v>0</v>
      </c>
      <c r="AJ648" s="798">
        <f t="shared" si="644"/>
        <v>0</v>
      </c>
      <c r="AK648" s="798">
        <f t="shared" si="644"/>
        <v>0</v>
      </c>
      <c r="AL648" s="798">
        <f t="shared" si="644"/>
        <v>0</v>
      </c>
      <c r="AM648" s="798">
        <f t="shared" si="644"/>
        <v>0</v>
      </c>
      <c r="AN648" s="798">
        <f t="shared" si="644"/>
        <v>0</v>
      </c>
      <c r="AO648" s="798">
        <f t="shared" si="644"/>
        <v>0</v>
      </c>
      <c r="AP648" s="798">
        <f t="shared" si="644"/>
        <v>0</v>
      </c>
      <c r="AQ648" s="798">
        <f t="shared" si="644"/>
        <v>0</v>
      </c>
      <c r="AR648" s="798">
        <f t="shared" si="644"/>
        <v>0</v>
      </c>
      <c r="AS648" s="798">
        <f t="shared" si="644"/>
        <v>0</v>
      </c>
      <c r="AT648" s="798">
        <f t="shared" si="644"/>
        <v>0</v>
      </c>
      <c r="AU648" s="798">
        <f t="shared" si="644"/>
        <v>0</v>
      </c>
      <c r="AV648" s="798">
        <f t="shared" si="644"/>
        <v>0</v>
      </c>
      <c r="AW648" s="798">
        <f t="shared" si="644"/>
        <v>0</v>
      </c>
      <c r="AX648" s="798">
        <f t="shared" si="644"/>
        <v>0</v>
      </c>
      <c r="AY648" s="798">
        <f t="shared" si="644"/>
        <v>0</v>
      </c>
      <c r="AZ648" s="798">
        <f t="shared" si="644"/>
        <v>0</v>
      </c>
      <c r="BA648" s="798">
        <f t="shared" si="644"/>
        <v>0</v>
      </c>
      <c r="BB648" s="798">
        <f t="shared" si="644"/>
        <v>0</v>
      </c>
      <c r="BC648" s="798">
        <f t="shared" si="644"/>
        <v>0</v>
      </c>
      <c r="BD648" s="798">
        <f t="shared" si="644"/>
        <v>1</v>
      </c>
      <c r="BE648" s="798">
        <f t="shared" si="644"/>
        <v>1</v>
      </c>
      <c r="BF648" s="798">
        <f t="shared" si="644"/>
        <v>1</v>
      </c>
      <c r="BG648" s="798">
        <f t="shared" si="644"/>
        <v>1</v>
      </c>
      <c r="BH648" s="798">
        <f t="shared" si="644"/>
        <v>1</v>
      </c>
      <c r="BI648" s="798">
        <f t="shared" si="644"/>
        <v>1</v>
      </c>
      <c r="BJ648" s="798">
        <f t="shared" si="644"/>
        <v>1</v>
      </c>
      <c r="BK648" s="798">
        <f t="shared" si="644"/>
        <v>1</v>
      </c>
      <c r="BL648" s="765"/>
      <c r="BM648" s="817"/>
      <c r="BN648" s="817"/>
    </row>
    <row r="649" hidden="1">
      <c r="A649" s="765"/>
      <c r="B649" s="765"/>
      <c r="C649" s="765"/>
      <c r="D649" s="765"/>
      <c r="E649" s="765"/>
      <c r="F649" s="765"/>
      <c r="G649" s="765"/>
      <c r="H649" s="765"/>
      <c r="I649" s="765">
        <f t="shared" si="17"/>
        <v>638</v>
      </c>
      <c r="J649" s="763">
        <f t="shared" si="5"/>
        <v>1.30779E+17</v>
      </c>
      <c r="K649" s="796">
        <f t="shared" si="7"/>
        <v>0.55279</v>
      </c>
      <c r="L649" s="796">
        <v>5.0E-4</v>
      </c>
      <c r="M649" s="763">
        <v>1.49121166286296E17</v>
      </c>
      <c r="N649" s="797">
        <f t="shared" si="8"/>
        <v>0</v>
      </c>
      <c r="O649" s="798">
        <f t="shared" ref="O649:BK649" si="645">FLOOR(MIN((((N("value of ELS upgrade")+N$8*($K649-$K648))*(N("Check checkbox")+(IF($G$6=TRUE,$G$7,$G$8))/$G$8))/(N("ROI of ELS and multiply by 2 if ELS is 1:1")+IF($G$12 = True, 2, 1) * $J649))/((N("difference in ELS+ and the cost of it")+(($K648*O$8)-($K648*N$8)) / O$7)),(N("MIN lets it return 0 or 1 after floored")+1)),1)</f>
        <v>0</v>
      </c>
      <c r="P649" s="798">
        <f t="shared" si="645"/>
        <v>0</v>
      </c>
      <c r="Q649" s="798">
        <f t="shared" si="645"/>
        <v>0</v>
      </c>
      <c r="R649" s="798">
        <f t="shared" si="645"/>
        <v>0</v>
      </c>
      <c r="S649" s="798">
        <f t="shared" si="645"/>
        <v>0</v>
      </c>
      <c r="T649" s="798">
        <f t="shared" si="645"/>
        <v>0</v>
      </c>
      <c r="U649" s="798">
        <f t="shared" si="645"/>
        <v>0</v>
      </c>
      <c r="V649" s="798">
        <f t="shared" si="645"/>
        <v>0</v>
      </c>
      <c r="W649" s="798">
        <f t="shared" si="645"/>
        <v>0</v>
      </c>
      <c r="X649" s="798">
        <f t="shared" si="645"/>
        <v>0</v>
      </c>
      <c r="Y649" s="798">
        <f t="shared" si="645"/>
        <v>0</v>
      </c>
      <c r="Z649" s="798">
        <f t="shared" si="645"/>
        <v>0</v>
      </c>
      <c r="AA649" s="798">
        <f t="shared" si="645"/>
        <v>0</v>
      </c>
      <c r="AB649" s="798">
        <f t="shared" si="645"/>
        <v>0</v>
      </c>
      <c r="AC649" s="798">
        <f t="shared" si="645"/>
        <v>0</v>
      </c>
      <c r="AD649" s="798">
        <f t="shared" si="645"/>
        <v>0</v>
      </c>
      <c r="AE649" s="798">
        <f t="shared" si="645"/>
        <v>0</v>
      </c>
      <c r="AF649" s="798">
        <f t="shared" si="645"/>
        <v>0</v>
      </c>
      <c r="AG649" s="798">
        <f t="shared" si="645"/>
        <v>0</v>
      </c>
      <c r="AH649" s="798">
        <f t="shared" si="645"/>
        <v>0</v>
      </c>
      <c r="AI649" s="798">
        <f t="shared" si="645"/>
        <v>0</v>
      </c>
      <c r="AJ649" s="798">
        <f t="shared" si="645"/>
        <v>0</v>
      </c>
      <c r="AK649" s="798">
        <f t="shared" si="645"/>
        <v>0</v>
      </c>
      <c r="AL649" s="798">
        <f t="shared" si="645"/>
        <v>0</v>
      </c>
      <c r="AM649" s="798">
        <f t="shared" si="645"/>
        <v>0</v>
      </c>
      <c r="AN649" s="798">
        <f t="shared" si="645"/>
        <v>0</v>
      </c>
      <c r="AO649" s="798">
        <f t="shared" si="645"/>
        <v>0</v>
      </c>
      <c r="AP649" s="798">
        <f t="shared" si="645"/>
        <v>0</v>
      </c>
      <c r="AQ649" s="798">
        <f t="shared" si="645"/>
        <v>0</v>
      </c>
      <c r="AR649" s="798">
        <f t="shared" si="645"/>
        <v>0</v>
      </c>
      <c r="AS649" s="798">
        <f t="shared" si="645"/>
        <v>0</v>
      </c>
      <c r="AT649" s="798">
        <f t="shared" si="645"/>
        <v>0</v>
      </c>
      <c r="AU649" s="798">
        <f t="shared" si="645"/>
        <v>0</v>
      </c>
      <c r="AV649" s="798">
        <f t="shared" si="645"/>
        <v>0</v>
      </c>
      <c r="AW649" s="798">
        <f t="shared" si="645"/>
        <v>0</v>
      </c>
      <c r="AX649" s="798">
        <f t="shared" si="645"/>
        <v>0</v>
      </c>
      <c r="AY649" s="798">
        <f t="shared" si="645"/>
        <v>0</v>
      </c>
      <c r="AZ649" s="798">
        <f t="shared" si="645"/>
        <v>0</v>
      </c>
      <c r="BA649" s="798">
        <f t="shared" si="645"/>
        <v>0</v>
      </c>
      <c r="BB649" s="798">
        <f t="shared" si="645"/>
        <v>0</v>
      </c>
      <c r="BC649" s="798">
        <f t="shared" si="645"/>
        <v>0</v>
      </c>
      <c r="BD649" s="798">
        <f t="shared" si="645"/>
        <v>1</v>
      </c>
      <c r="BE649" s="798">
        <f t="shared" si="645"/>
        <v>1</v>
      </c>
      <c r="BF649" s="798">
        <f t="shared" si="645"/>
        <v>1</v>
      </c>
      <c r="BG649" s="798">
        <f t="shared" si="645"/>
        <v>1</v>
      </c>
      <c r="BH649" s="798">
        <f t="shared" si="645"/>
        <v>1</v>
      </c>
      <c r="BI649" s="798">
        <f t="shared" si="645"/>
        <v>1</v>
      </c>
      <c r="BJ649" s="798">
        <f t="shared" si="645"/>
        <v>1</v>
      </c>
      <c r="BK649" s="798">
        <f t="shared" si="645"/>
        <v>1</v>
      </c>
      <c r="BL649" s="765"/>
      <c r="BM649" s="817"/>
      <c r="BN649" s="817"/>
    </row>
    <row r="650" hidden="1">
      <c r="A650" s="765"/>
      <c r="B650" s="765"/>
      <c r="C650" s="765"/>
      <c r="D650" s="765"/>
      <c r="E650" s="765"/>
      <c r="F650" s="765"/>
      <c r="G650" s="765"/>
      <c r="H650" s="765"/>
      <c r="I650" s="765">
        <f t="shared" si="17"/>
        <v>639</v>
      </c>
      <c r="J650" s="763">
        <f t="shared" si="5"/>
        <v>1.31216E+17</v>
      </c>
      <c r="K650" s="796">
        <f t="shared" si="7"/>
        <v>0.55329</v>
      </c>
      <c r="L650" s="796">
        <v>5.0E-4</v>
      </c>
      <c r="M650" s="763">
        <v>1.4961969764944E17</v>
      </c>
      <c r="N650" s="797">
        <f t="shared" si="8"/>
        <v>0</v>
      </c>
      <c r="O650" s="798">
        <f t="shared" ref="O650:BK650" si="646">FLOOR(MIN((((N("value of ELS upgrade")+N$8*($K650-$K649))*(N("Check checkbox")+(IF($G$6=TRUE,$G$7,$G$8))/$G$8))/(N("ROI of ELS and multiply by 2 if ELS is 1:1")+IF($G$12 = True, 2, 1) * $J650))/((N("difference in ELS+ and the cost of it")+(($K649*O$8)-($K649*N$8)) / O$7)),(N("MIN lets it return 0 or 1 after floored")+1)),1)</f>
        <v>0</v>
      </c>
      <c r="P650" s="798">
        <f t="shared" si="646"/>
        <v>0</v>
      </c>
      <c r="Q650" s="798">
        <f t="shared" si="646"/>
        <v>0</v>
      </c>
      <c r="R650" s="798">
        <f t="shared" si="646"/>
        <v>0</v>
      </c>
      <c r="S650" s="798">
        <f t="shared" si="646"/>
        <v>0</v>
      </c>
      <c r="T650" s="798">
        <f t="shared" si="646"/>
        <v>0</v>
      </c>
      <c r="U650" s="798">
        <f t="shared" si="646"/>
        <v>0</v>
      </c>
      <c r="V650" s="798">
        <f t="shared" si="646"/>
        <v>0</v>
      </c>
      <c r="W650" s="798">
        <f t="shared" si="646"/>
        <v>0</v>
      </c>
      <c r="X650" s="798">
        <f t="shared" si="646"/>
        <v>0</v>
      </c>
      <c r="Y650" s="798">
        <f t="shared" si="646"/>
        <v>0</v>
      </c>
      <c r="Z650" s="798">
        <f t="shared" si="646"/>
        <v>0</v>
      </c>
      <c r="AA650" s="798">
        <f t="shared" si="646"/>
        <v>0</v>
      </c>
      <c r="AB650" s="798">
        <f t="shared" si="646"/>
        <v>0</v>
      </c>
      <c r="AC650" s="798">
        <f t="shared" si="646"/>
        <v>0</v>
      </c>
      <c r="AD650" s="798">
        <f t="shared" si="646"/>
        <v>0</v>
      </c>
      <c r="AE650" s="798">
        <f t="shared" si="646"/>
        <v>0</v>
      </c>
      <c r="AF650" s="798">
        <f t="shared" si="646"/>
        <v>0</v>
      </c>
      <c r="AG650" s="798">
        <f t="shared" si="646"/>
        <v>0</v>
      </c>
      <c r="AH650" s="798">
        <f t="shared" si="646"/>
        <v>0</v>
      </c>
      <c r="AI650" s="798">
        <f t="shared" si="646"/>
        <v>0</v>
      </c>
      <c r="AJ650" s="798">
        <f t="shared" si="646"/>
        <v>0</v>
      </c>
      <c r="AK650" s="798">
        <f t="shared" si="646"/>
        <v>0</v>
      </c>
      <c r="AL650" s="798">
        <f t="shared" si="646"/>
        <v>0</v>
      </c>
      <c r="AM650" s="798">
        <f t="shared" si="646"/>
        <v>0</v>
      </c>
      <c r="AN650" s="798">
        <f t="shared" si="646"/>
        <v>0</v>
      </c>
      <c r="AO650" s="798">
        <f t="shared" si="646"/>
        <v>0</v>
      </c>
      <c r="AP650" s="798">
        <f t="shared" si="646"/>
        <v>0</v>
      </c>
      <c r="AQ650" s="798">
        <f t="shared" si="646"/>
        <v>0</v>
      </c>
      <c r="AR650" s="798">
        <f t="shared" si="646"/>
        <v>0</v>
      </c>
      <c r="AS650" s="798">
        <f t="shared" si="646"/>
        <v>0</v>
      </c>
      <c r="AT650" s="798">
        <f t="shared" si="646"/>
        <v>0</v>
      </c>
      <c r="AU650" s="798">
        <f t="shared" si="646"/>
        <v>0</v>
      </c>
      <c r="AV650" s="798">
        <f t="shared" si="646"/>
        <v>0</v>
      </c>
      <c r="AW650" s="798">
        <f t="shared" si="646"/>
        <v>0</v>
      </c>
      <c r="AX650" s="798">
        <f t="shared" si="646"/>
        <v>0</v>
      </c>
      <c r="AY650" s="798">
        <f t="shared" si="646"/>
        <v>0</v>
      </c>
      <c r="AZ650" s="798">
        <f t="shared" si="646"/>
        <v>0</v>
      </c>
      <c r="BA650" s="798">
        <f t="shared" si="646"/>
        <v>0</v>
      </c>
      <c r="BB650" s="798">
        <f t="shared" si="646"/>
        <v>0</v>
      </c>
      <c r="BC650" s="798">
        <f t="shared" si="646"/>
        <v>0</v>
      </c>
      <c r="BD650" s="798">
        <f t="shared" si="646"/>
        <v>1</v>
      </c>
      <c r="BE650" s="798">
        <f t="shared" si="646"/>
        <v>1</v>
      </c>
      <c r="BF650" s="798">
        <f t="shared" si="646"/>
        <v>1</v>
      </c>
      <c r="BG650" s="798">
        <f t="shared" si="646"/>
        <v>1</v>
      </c>
      <c r="BH650" s="798">
        <f t="shared" si="646"/>
        <v>1</v>
      </c>
      <c r="BI650" s="798">
        <f t="shared" si="646"/>
        <v>1</v>
      </c>
      <c r="BJ650" s="798">
        <f t="shared" si="646"/>
        <v>1</v>
      </c>
      <c r="BK650" s="798">
        <f t="shared" si="646"/>
        <v>1</v>
      </c>
      <c r="BL650" s="765"/>
      <c r="BM650" s="817"/>
      <c r="BN650" s="817"/>
    </row>
    <row r="651" hidden="1">
      <c r="A651" s="765"/>
      <c r="B651" s="765"/>
      <c r="C651" s="765"/>
      <c r="D651" s="765"/>
      <c r="E651" s="765"/>
      <c r="F651" s="765"/>
      <c r="G651" s="765"/>
      <c r="H651" s="765"/>
      <c r="I651" s="765">
        <f t="shared" si="17"/>
        <v>640</v>
      </c>
      <c r="J651" s="763">
        <f t="shared" si="5"/>
        <v>1.31655E+17</v>
      </c>
      <c r="K651" s="796">
        <f t="shared" si="7"/>
        <v>0.55379</v>
      </c>
      <c r="L651" s="796">
        <v>5.0E-4</v>
      </c>
      <c r="M651" s="763">
        <v>1.50119636341687E17</v>
      </c>
      <c r="N651" s="797">
        <f t="shared" si="8"/>
        <v>0</v>
      </c>
      <c r="O651" s="798">
        <f t="shared" ref="O651:BK651" si="647">FLOOR(MIN((((N("value of ELS upgrade")+N$8*($K651-$K650))*(N("Check checkbox")+(IF($G$6=TRUE,$G$7,$G$8))/$G$8))/(N("ROI of ELS and multiply by 2 if ELS is 1:1")+IF($G$12 = True, 2, 1) * $J651))/((N("difference in ELS+ and the cost of it")+(($K650*O$8)-($K650*N$8)) / O$7)),(N("MIN lets it return 0 or 1 after floored")+1)),1)</f>
        <v>0</v>
      </c>
      <c r="P651" s="798">
        <f t="shared" si="647"/>
        <v>0</v>
      </c>
      <c r="Q651" s="798">
        <f t="shared" si="647"/>
        <v>0</v>
      </c>
      <c r="R651" s="798">
        <f t="shared" si="647"/>
        <v>0</v>
      </c>
      <c r="S651" s="798">
        <f t="shared" si="647"/>
        <v>0</v>
      </c>
      <c r="T651" s="798">
        <f t="shared" si="647"/>
        <v>0</v>
      </c>
      <c r="U651" s="798">
        <f t="shared" si="647"/>
        <v>0</v>
      </c>
      <c r="V651" s="798">
        <f t="shared" si="647"/>
        <v>0</v>
      </c>
      <c r="W651" s="798">
        <f t="shared" si="647"/>
        <v>0</v>
      </c>
      <c r="X651" s="798">
        <f t="shared" si="647"/>
        <v>0</v>
      </c>
      <c r="Y651" s="798">
        <f t="shared" si="647"/>
        <v>0</v>
      </c>
      <c r="Z651" s="798">
        <f t="shared" si="647"/>
        <v>0</v>
      </c>
      <c r="AA651" s="798">
        <f t="shared" si="647"/>
        <v>0</v>
      </c>
      <c r="AB651" s="798">
        <f t="shared" si="647"/>
        <v>0</v>
      </c>
      <c r="AC651" s="798">
        <f t="shared" si="647"/>
        <v>0</v>
      </c>
      <c r="AD651" s="798">
        <f t="shared" si="647"/>
        <v>0</v>
      </c>
      <c r="AE651" s="798">
        <f t="shared" si="647"/>
        <v>0</v>
      </c>
      <c r="AF651" s="798">
        <f t="shared" si="647"/>
        <v>0</v>
      </c>
      <c r="AG651" s="798">
        <f t="shared" si="647"/>
        <v>0</v>
      </c>
      <c r="AH651" s="798">
        <f t="shared" si="647"/>
        <v>0</v>
      </c>
      <c r="AI651" s="798">
        <f t="shared" si="647"/>
        <v>0</v>
      </c>
      <c r="AJ651" s="798">
        <f t="shared" si="647"/>
        <v>0</v>
      </c>
      <c r="AK651" s="798">
        <f t="shared" si="647"/>
        <v>0</v>
      </c>
      <c r="AL651" s="798">
        <f t="shared" si="647"/>
        <v>0</v>
      </c>
      <c r="AM651" s="798">
        <f t="shared" si="647"/>
        <v>0</v>
      </c>
      <c r="AN651" s="798">
        <f t="shared" si="647"/>
        <v>0</v>
      </c>
      <c r="AO651" s="798">
        <f t="shared" si="647"/>
        <v>0</v>
      </c>
      <c r="AP651" s="798">
        <f t="shared" si="647"/>
        <v>0</v>
      </c>
      <c r="AQ651" s="798">
        <f t="shared" si="647"/>
        <v>0</v>
      </c>
      <c r="AR651" s="798">
        <f t="shared" si="647"/>
        <v>0</v>
      </c>
      <c r="AS651" s="798">
        <f t="shared" si="647"/>
        <v>0</v>
      </c>
      <c r="AT651" s="798">
        <f t="shared" si="647"/>
        <v>0</v>
      </c>
      <c r="AU651" s="798">
        <f t="shared" si="647"/>
        <v>0</v>
      </c>
      <c r="AV651" s="798">
        <f t="shared" si="647"/>
        <v>0</v>
      </c>
      <c r="AW651" s="798">
        <f t="shared" si="647"/>
        <v>0</v>
      </c>
      <c r="AX651" s="798">
        <f t="shared" si="647"/>
        <v>0</v>
      </c>
      <c r="AY651" s="798">
        <f t="shared" si="647"/>
        <v>0</v>
      </c>
      <c r="AZ651" s="798">
        <f t="shared" si="647"/>
        <v>0</v>
      </c>
      <c r="BA651" s="798">
        <f t="shared" si="647"/>
        <v>0</v>
      </c>
      <c r="BB651" s="798">
        <f t="shared" si="647"/>
        <v>0</v>
      </c>
      <c r="BC651" s="798">
        <f t="shared" si="647"/>
        <v>0</v>
      </c>
      <c r="BD651" s="798">
        <f t="shared" si="647"/>
        <v>1</v>
      </c>
      <c r="BE651" s="798">
        <f t="shared" si="647"/>
        <v>1</v>
      </c>
      <c r="BF651" s="798">
        <f t="shared" si="647"/>
        <v>1</v>
      </c>
      <c r="BG651" s="798">
        <f t="shared" si="647"/>
        <v>1</v>
      </c>
      <c r="BH651" s="798">
        <f t="shared" si="647"/>
        <v>1</v>
      </c>
      <c r="BI651" s="798">
        <f t="shared" si="647"/>
        <v>1</v>
      </c>
      <c r="BJ651" s="798">
        <f t="shared" si="647"/>
        <v>1</v>
      </c>
      <c r="BK651" s="798">
        <f t="shared" si="647"/>
        <v>1</v>
      </c>
      <c r="BL651" s="765"/>
      <c r="BM651" s="817"/>
      <c r="BN651" s="817"/>
    </row>
    <row r="652" hidden="1">
      <c r="A652" s="765"/>
      <c r="B652" s="765"/>
      <c r="C652" s="765"/>
      <c r="D652" s="765"/>
      <c r="E652" s="765"/>
      <c r="F652" s="765"/>
      <c r="G652" s="765"/>
      <c r="H652" s="765"/>
      <c r="I652" s="765">
        <f t="shared" si="17"/>
        <v>641</v>
      </c>
      <c r="J652" s="763">
        <f t="shared" si="5"/>
        <v>6.60473E+17</v>
      </c>
      <c r="K652" s="796">
        <f t="shared" si="7"/>
        <v>0.55429</v>
      </c>
      <c r="L652" s="796">
        <v>5.0E-4</v>
      </c>
      <c r="M652" s="763">
        <v>7.53104949244152E17</v>
      </c>
      <c r="N652" s="797">
        <f t="shared" si="8"/>
        <v>0</v>
      </c>
      <c r="O652" s="798">
        <f t="shared" ref="O652:BK652" si="648">FLOOR(MIN((((N("value of ELS upgrade")+N$8*($K652-$K651))*(N("Check checkbox")+(IF($G$6=TRUE,$G$7,$G$8))/$G$8))/(N("ROI of ELS and multiply by 2 if ELS is 1:1")+IF($G$12 = True, 2, 1) * $J652))/((N("difference in ELS+ and the cost of it")+(($K651*O$8)-($K651*N$8)) / O$7)),(N("MIN lets it return 0 or 1 after floored")+1)),1)</f>
        <v>0</v>
      </c>
      <c r="P652" s="798">
        <f t="shared" si="648"/>
        <v>0</v>
      </c>
      <c r="Q652" s="798">
        <f t="shared" si="648"/>
        <v>0</v>
      </c>
      <c r="R652" s="798">
        <f t="shared" si="648"/>
        <v>0</v>
      </c>
      <c r="S652" s="798">
        <f t="shared" si="648"/>
        <v>0</v>
      </c>
      <c r="T652" s="798">
        <f t="shared" si="648"/>
        <v>0</v>
      </c>
      <c r="U652" s="798">
        <f t="shared" si="648"/>
        <v>0</v>
      </c>
      <c r="V652" s="798">
        <f t="shared" si="648"/>
        <v>0</v>
      </c>
      <c r="W652" s="798">
        <f t="shared" si="648"/>
        <v>0</v>
      </c>
      <c r="X652" s="798">
        <f t="shared" si="648"/>
        <v>0</v>
      </c>
      <c r="Y652" s="798">
        <f t="shared" si="648"/>
        <v>0</v>
      </c>
      <c r="Z652" s="798">
        <f t="shared" si="648"/>
        <v>0</v>
      </c>
      <c r="AA652" s="798">
        <f t="shared" si="648"/>
        <v>0</v>
      </c>
      <c r="AB652" s="798">
        <f t="shared" si="648"/>
        <v>0</v>
      </c>
      <c r="AC652" s="798">
        <f t="shared" si="648"/>
        <v>0</v>
      </c>
      <c r="AD652" s="798">
        <f t="shared" si="648"/>
        <v>0</v>
      </c>
      <c r="AE652" s="798">
        <f t="shared" si="648"/>
        <v>0</v>
      </c>
      <c r="AF652" s="798">
        <f t="shared" si="648"/>
        <v>0</v>
      </c>
      <c r="AG652" s="798">
        <f t="shared" si="648"/>
        <v>0</v>
      </c>
      <c r="AH652" s="798">
        <f t="shared" si="648"/>
        <v>0</v>
      </c>
      <c r="AI652" s="798">
        <f t="shared" si="648"/>
        <v>0</v>
      </c>
      <c r="AJ652" s="798">
        <f t="shared" si="648"/>
        <v>0</v>
      </c>
      <c r="AK652" s="798">
        <f t="shared" si="648"/>
        <v>0</v>
      </c>
      <c r="AL652" s="798">
        <f t="shared" si="648"/>
        <v>0</v>
      </c>
      <c r="AM652" s="798">
        <f t="shared" si="648"/>
        <v>0</v>
      </c>
      <c r="AN652" s="798">
        <f t="shared" si="648"/>
        <v>0</v>
      </c>
      <c r="AO652" s="798">
        <f t="shared" si="648"/>
        <v>0</v>
      </c>
      <c r="AP652" s="798">
        <f t="shared" si="648"/>
        <v>0</v>
      </c>
      <c r="AQ652" s="798">
        <f t="shared" si="648"/>
        <v>0</v>
      </c>
      <c r="AR652" s="798">
        <f t="shared" si="648"/>
        <v>0</v>
      </c>
      <c r="AS652" s="798">
        <f t="shared" si="648"/>
        <v>0</v>
      </c>
      <c r="AT652" s="798">
        <f t="shared" si="648"/>
        <v>0</v>
      </c>
      <c r="AU652" s="798">
        <f t="shared" si="648"/>
        <v>0</v>
      </c>
      <c r="AV652" s="798">
        <f t="shared" si="648"/>
        <v>0</v>
      </c>
      <c r="AW652" s="798">
        <f t="shared" si="648"/>
        <v>0</v>
      </c>
      <c r="AX652" s="798">
        <f t="shared" si="648"/>
        <v>0</v>
      </c>
      <c r="AY652" s="798">
        <f t="shared" si="648"/>
        <v>0</v>
      </c>
      <c r="AZ652" s="798">
        <f t="shared" si="648"/>
        <v>0</v>
      </c>
      <c r="BA652" s="798">
        <f t="shared" si="648"/>
        <v>0</v>
      </c>
      <c r="BB652" s="798">
        <f t="shared" si="648"/>
        <v>0</v>
      </c>
      <c r="BC652" s="798">
        <f t="shared" si="648"/>
        <v>0</v>
      </c>
      <c r="BD652" s="798">
        <f t="shared" si="648"/>
        <v>0</v>
      </c>
      <c r="BE652" s="798">
        <f t="shared" si="648"/>
        <v>0</v>
      </c>
      <c r="BF652" s="798">
        <f t="shared" si="648"/>
        <v>0</v>
      </c>
      <c r="BG652" s="798">
        <f t="shared" si="648"/>
        <v>0</v>
      </c>
      <c r="BH652" s="798">
        <f t="shared" si="648"/>
        <v>0</v>
      </c>
      <c r="BI652" s="798">
        <f t="shared" si="648"/>
        <v>0</v>
      </c>
      <c r="BJ652" s="798">
        <f t="shared" si="648"/>
        <v>0</v>
      </c>
      <c r="BK652" s="798">
        <f t="shared" si="648"/>
        <v>1</v>
      </c>
      <c r="BL652" s="765"/>
      <c r="BM652" s="817"/>
      <c r="BN652" s="817"/>
    </row>
    <row r="653" hidden="1">
      <c r="A653" s="765"/>
      <c r="B653" s="765"/>
      <c r="C653" s="765"/>
      <c r="D653" s="765"/>
      <c r="E653" s="765"/>
      <c r="F653" s="765"/>
      <c r="G653" s="765"/>
      <c r="H653" s="765"/>
      <c r="I653" s="765">
        <f t="shared" si="17"/>
        <v>642</v>
      </c>
      <c r="J653" s="763">
        <f t="shared" si="5"/>
        <v>6.62678E+17</v>
      </c>
      <c r="K653" s="796">
        <f t="shared" si="7"/>
        <v>0.55479</v>
      </c>
      <c r="L653" s="796">
        <v>5.0E-4</v>
      </c>
      <c r="M653" s="763">
        <v>7.55618790854348E17</v>
      </c>
      <c r="N653" s="797">
        <f t="shared" si="8"/>
        <v>0</v>
      </c>
      <c r="O653" s="798">
        <f t="shared" ref="O653:BK653" si="649">FLOOR(MIN((((N("value of ELS upgrade")+N$8*($K653-$K652))*(N("Check checkbox")+(IF($G$6=TRUE,$G$7,$G$8))/$G$8))/(N("ROI of ELS and multiply by 2 if ELS is 1:1")+IF($G$12 = True, 2, 1) * $J653))/((N("difference in ELS+ and the cost of it")+(($K652*O$8)-($K652*N$8)) / O$7)),(N("MIN lets it return 0 or 1 after floored")+1)),1)</f>
        <v>0</v>
      </c>
      <c r="P653" s="798">
        <f t="shared" si="649"/>
        <v>0</v>
      </c>
      <c r="Q653" s="798">
        <f t="shared" si="649"/>
        <v>0</v>
      </c>
      <c r="R653" s="798">
        <f t="shared" si="649"/>
        <v>0</v>
      </c>
      <c r="S653" s="798">
        <f t="shared" si="649"/>
        <v>0</v>
      </c>
      <c r="T653" s="798">
        <f t="shared" si="649"/>
        <v>0</v>
      </c>
      <c r="U653" s="798">
        <f t="shared" si="649"/>
        <v>0</v>
      </c>
      <c r="V653" s="798">
        <f t="shared" si="649"/>
        <v>0</v>
      </c>
      <c r="W653" s="798">
        <f t="shared" si="649"/>
        <v>0</v>
      </c>
      <c r="X653" s="798">
        <f t="shared" si="649"/>
        <v>0</v>
      </c>
      <c r="Y653" s="798">
        <f t="shared" si="649"/>
        <v>0</v>
      </c>
      <c r="Z653" s="798">
        <f t="shared" si="649"/>
        <v>0</v>
      </c>
      <c r="AA653" s="798">
        <f t="shared" si="649"/>
        <v>0</v>
      </c>
      <c r="AB653" s="798">
        <f t="shared" si="649"/>
        <v>0</v>
      </c>
      <c r="AC653" s="798">
        <f t="shared" si="649"/>
        <v>0</v>
      </c>
      <c r="AD653" s="798">
        <f t="shared" si="649"/>
        <v>0</v>
      </c>
      <c r="AE653" s="798">
        <f t="shared" si="649"/>
        <v>0</v>
      </c>
      <c r="AF653" s="798">
        <f t="shared" si="649"/>
        <v>0</v>
      </c>
      <c r="AG653" s="798">
        <f t="shared" si="649"/>
        <v>0</v>
      </c>
      <c r="AH653" s="798">
        <f t="shared" si="649"/>
        <v>0</v>
      </c>
      <c r="AI653" s="798">
        <f t="shared" si="649"/>
        <v>0</v>
      </c>
      <c r="AJ653" s="798">
        <f t="shared" si="649"/>
        <v>0</v>
      </c>
      <c r="AK653" s="798">
        <f t="shared" si="649"/>
        <v>0</v>
      </c>
      <c r="AL653" s="798">
        <f t="shared" si="649"/>
        <v>0</v>
      </c>
      <c r="AM653" s="798">
        <f t="shared" si="649"/>
        <v>0</v>
      </c>
      <c r="AN653" s="798">
        <f t="shared" si="649"/>
        <v>0</v>
      </c>
      <c r="AO653" s="798">
        <f t="shared" si="649"/>
        <v>0</v>
      </c>
      <c r="AP653" s="798">
        <f t="shared" si="649"/>
        <v>0</v>
      </c>
      <c r="AQ653" s="798">
        <f t="shared" si="649"/>
        <v>0</v>
      </c>
      <c r="AR653" s="798">
        <f t="shared" si="649"/>
        <v>0</v>
      </c>
      <c r="AS653" s="798">
        <f t="shared" si="649"/>
        <v>0</v>
      </c>
      <c r="AT653" s="798">
        <f t="shared" si="649"/>
        <v>0</v>
      </c>
      <c r="AU653" s="798">
        <f t="shared" si="649"/>
        <v>0</v>
      </c>
      <c r="AV653" s="798">
        <f t="shared" si="649"/>
        <v>0</v>
      </c>
      <c r="AW653" s="798">
        <f t="shared" si="649"/>
        <v>0</v>
      </c>
      <c r="AX653" s="798">
        <f t="shared" si="649"/>
        <v>0</v>
      </c>
      <c r="AY653" s="798">
        <f t="shared" si="649"/>
        <v>0</v>
      </c>
      <c r="AZ653" s="798">
        <f t="shared" si="649"/>
        <v>0</v>
      </c>
      <c r="BA653" s="798">
        <f t="shared" si="649"/>
        <v>0</v>
      </c>
      <c r="BB653" s="798">
        <f t="shared" si="649"/>
        <v>0</v>
      </c>
      <c r="BC653" s="798">
        <f t="shared" si="649"/>
        <v>0</v>
      </c>
      <c r="BD653" s="798">
        <f t="shared" si="649"/>
        <v>0</v>
      </c>
      <c r="BE653" s="798">
        <f t="shared" si="649"/>
        <v>0</v>
      </c>
      <c r="BF653" s="798">
        <f t="shared" si="649"/>
        <v>0</v>
      </c>
      <c r="BG653" s="798">
        <f t="shared" si="649"/>
        <v>0</v>
      </c>
      <c r="BH653" s="798">
        <f t="shared" si="649"/>
        <v>0</v>
      </c>
      <c r="BI653" s="798">
        <f t="shared" si="649"/>
        <v>0</v>
      </c>
      <c r="BJ653" s="798">
        <f t="shared" si="649"/>
        <v>0</v>
      </c>
      <c r="BK653" s="798">
        <f t="shared" si="649"/>
        <v>1</v>
      </c>
      <c r="BL653" s="765"/>
      <c r="BM653" s="817"/>
      <c r="BN653" s="817"/>
    </row>
    <row r="654" hidden="1">
      <c r="A654" s="765"/>
      <c r="B654" s="765"/>
      <c r="C654" s="765"/>
      <c r="D654" s="765"/>
      <c r="E654" s="765"/>
      <c r="F654" s="765"/>
      <c r="G654" s="765"/>
      <c r="H654" s="765"/>
      <c r="I654" s="765">
        <f t="shared" si="17"/>
        <v>643</v>
      </c>
      <c r="J654" s="763">
        <f t="shared" si="5"/>
        <v>6.64889E+17</v>
      </c>
      <c r="K654" s="796">
        <f t="shared" si="7"/>
        <v>0.55529</v>
      </c>
      <c r="L654" s="796">
        <v>5.0E-4</v>
      </c>
      <c r="M654" s="763">
        <v>7.58139706539025E17</v>
      </c>
      <c r="N654" s="797">
        <f t="shared" si="8"/>
        <v>0</v>
      </c>
      <c r="O654" s="798">
        <f t="shared" ref="O654:BK654" si="650">FLOOR(MIN((((N("value of ELS upgrade")+N$8*($K654-$K653))*(N("Check checkbox")+(IF($G$6=TRUE,$G$7,$G$8))/$G$8))/(N("ROI of ELS and multiply by 2 if ELS is 1:1")+IF($G$12 = True, 2, 1) * $J654))/((N("difference in ELS+ and the cost of it")+(($K653*O$8)-($K653*N$8)) / O$7)),(N("MIN lets it return 0 or 1 after floored")+1)),1)</f>
        <v>0</v>
      </c>
      <c r="P654" s="798">
        <f t="shared" si="650"/>
        <v>0</v>
      </c>
      <c r="Q654" s="798">
        <f t="shared" si="650"/>
        <v>0</v>
      </c>
      <c r="R654" s="798">
        <f t="shared" si="650"/>
        <v>0</v>
      </c>
      <c r="S654" s="798">
        <f t="shared" si="650"/>
        <v>0</v>
      </c>
      <c r="T654" s="798">
        <f t="shared" si="650"/>
        <v>0</v>
      </c>
      <c r="U654" s="798">
        <f t="shared" si="650"/>
        <v>0</v>
      </c>
      <c r="V654" s="798">
        <f t="shared" si="650"/>
        <v>0</v>
      </c>
      <c r="W654" s="798">
        <f t="shared" si="650"/>
        <v>0</v>
      </c>
      <c r="X654" s="798">
        <f t="shared" si="650"/>
        <v>0</v>
      </c>
      <c r="Y654" s="798">
        <f t="shared" si="650"/>
        <v>0</v>
      </c>
      <c r="Z654" s="798">
        <f t="shared" si="650"/>
        <v>0</v>
      </c>
      <c r="AA654" s="798">
        <f t="shared" si="650"/>
        <v>0</v>
      </c>
      <c r="AB654" s="798">
        <f t="shared" si="650"/>
        <v>0</v>
      </c>
      <c r="AC654" s="798">
        <f t="shared" si="650"/>
        <v>0</v>
      </c>
      <c r="AD654" s="798">
        <f t="shared" si="650"/>
        <v>0</v>
      </c>
      <c r="AE654" s="798">
        <f t="shared" si="650"/>
        <v>0</v>
      </c>
      <c r="AF654" s="798">
        <f t="shared" si="650"/>
        <v>0</v>
      </c>
      <c r="AG654" s="798">
        <f t="shared" si="650"/>
        <v>0</v>
      </c>
      <c r="AH654" s="798">
        <f t="shared" si="650"/>
        <v>0</v>
      </c>
      <c r="AI654" s="798">
        <f t="shared" si="650"/>
        <v>0</v>
      </c>
      <c r="AJ654" s="798">
        <f t="shared" si="650"/>
        <v>0</v>
      </c>
      <c r="AK654" s="798">
        <f t="shared" si="650"/>
        <v>0</v>
      </c>
      <c r="AL654" s="798">
        <f t="shared" si="650"/>
        <v>0</v>
      </c>
      <c r="AM654" s="798">
        <f t="shared" si="650"/>
        <v>0</v>
      </c>
      <c r="AN654" s="798">
        <f t="shared" si="650"/>
        <v>0</v>
      </c>
      <c r="AO654" s="798">
        <f t="shared" si="650"/>
        <v>0</v>
      </c>
      <c r="AP654" s="798">
        <f t="shared" si="650"/>
        <v>0</v>
      </c>
      <c r="AQ654" s="798">
        <f t="shared" si="650"/>
        <v>0</v>
      </c>
      <c r="AR654" s="798">
        <f t="shared" si="650"/>
        <v>0</v>
      </c>
      <c r="AS654" s="798">
        <f t="shared" si="650"/>
        <v>0</v>
      </c>
      <c r="AT654" s="798">
        <f t="shared" si="650"/>
        <v>0</v>
      </c>
      <c r="AU654" s="798">
        <f t="shared" si="650"/>
        <v>0</v>
      </c>
      <c r="AV654" s="798">
        <f t="shared" si="650"/>
        <v>0</v>
      </c>
      <c r="AW654" s="798">
        <f t="shared" si="650"/>
        <v>0</v>
      </c>
      <c r="AX654" s="798">
        <f t="shared" si="650"/>
        <v>0</v>
      </c>
      <c r="AY654" s="798">
        <f t="shared" si="650"/>
        <v>0</v>
      </c>
      <c r="AZ654" s="798">
        <f t="shared" si="650"/>
        <v>0</v>
      </c>
      <c r="BA654" s="798">
        <f t="shared" si="650"/>
        <v>0</v>
      </c>
      <c r="BB654" s="798">
        <f t="shared" si="650"/>
        <v>0</v>
      </c>
      <c r="BC654" s="798">
        <f t="shared" si="650"/>
        <v>0</v>
      </c>
      <c r="BD654" s="798">
        <f t="shared" si="650"/>
        <v>0</v>
      </c>
      <c r="BE654" s="798">
        <f t="shared" si="650"/>
        <v>0</v>
      </c>
      <c r="BF654" s="798">
        <f t="shared" si="650"/>
        <v>0</v>
      </c>
      <c r="BG654" s="798">
        <f t="shared" si="650"/>
        <v>0</v>
      </c>
      <c r="BH654" s="798">
        <f t="shared" si="650"/>
        <v>0</v>
      </c>
      <c r="BI654" s="798">
        <f t="shared" si="650"/>
        <v>0</v>
      </c>
      <c r="BJ654" s="798">
        <f t="shared" si="650"/>
        <v>0</v>
      </c>
      <c r="BK654" s="798">
        <f t="shared" si="650"/>
        <v>1</v>
      </c>
      <c r="BL654" s="765"/>
      <c r="BM654" s="817"/>
      <c r="BN654" s="817"/>
    </row>
    <row r="655" hidden="1">
      <c r="A655" s="765"/>
      <c r="B655" s="765"/>
      <c r="C655" s="765"/>
      <c r="D655" s="765"/>
      <c r="E655" s="765"/>
      <c r="F655" s="765"/>
      <c r="G655" s="765"/>
      <c r="H655" s="765"/>
      <c r="I655" s="765">
        <f t="shared" si="17"/>
        <v>644</v>
      </c>
      <c r="J655" s="763">
        <f t="shared" si="5"/>
        <v>6.67106E+17</v>
      </c>
      <c r="K655" s="796">
        <f t="shared" si="7"/>
        <v>0.55579</v>
      </c>
      <c r="L655" s="796">
        <v>5.0E-4</v>
      </c>
      <c r="M655" s="763">
        <v>7.60667696298183E17</v>
      </c>
      <c r="N655" s="797">
        <f t="shared" si="8"/>
        <v>0</v>
      </c>
      <c r="O655" s="798">
        <f t="shared" ref="O655:BK655" si="651">FLOOR(MIN((((N("value of ELS upgrade")+N$8*($K655-$K654))*(N("Check checkbox")+(IF($G$6=TRUE,$G$7,$G$8))/$G$8))/(N("ROI of ELS and multiply by 2 if ELS is 1:1")+IF($G$12 = True, 2, 1) * $J655))/((N("difference in ELS+ and the cost of it")+(($K654*O$8)-($K654*N$8)) / O$7)),(N("MIN lets it return 0 or 1 after floored")+1)),1)</f>
        <v>0</v>
      </c>
      <c r="P655" s="798">
        <f t="shared" si="651"/>
        <v>0</v>
      </c>
      <c r="Q655" s="798">
        <f t="shared" si="651"/>
        <v>0</v>
      </c>
      <c r="R655" s="798">
        <f t="shared" si="651"/>
        <v>0</v>
      </c>
      <c r="S655" s="798">
        <f t="shared" si="651"/>
        <v>0</v>
      </c>
      <c r="T655" s="798">
        <f t="shared" si="651"/>
        <v>0</v>
      </c>
      <c r="U655" s="798">
        <f t="shared" si="651"/>
        <v>0</v>
      </c>
      <c r="V655" s="798">
        <f t="shared" si="651"/>
        <v>0</v>
      </c>
      <c r="W655" s="798">
        <f t="shared" si="651"/>
        <v>0</v>
      </c>
      <c r="X655" s="798">
        <f t="shared" si="651"/>
        <v>0</v>
      </c>
      <c r="Y655" s="798">
        <f t="shared" si="651"/>
        <v>0</v>
      </c>
      <c r="Z655" s="798">
        <f t="shared" si="651"/>
        <v>0</v>
      </c>
      <c r="AA655" s="798">
        <f t="shared" si="651"/>
        <v>0</v>
      </c>
      <c r="AB655" s="798">
        <f t="shared" si="651"/>
        <v>0</v>
      </c>
      <c r="AC655" s="798">
        <f t="shared" si="651"/>
        <v>0</v>
      </c>
      <c r="AD655" s="798">
        <f t="shared" si="651"/>
        <v>0</v>
      </c>
      <c r="AE655" s="798">
        <f t="shared" si="651"/>
        <v>0</v>
      </c>
      <c r="AF655" s="798">
        <f t="shared" si="651"/>
        <v>0</v>
      </c>
      <c r="AG655" s="798">
        <f t="shared" si="651"/>
        <v>0</v>
      </c>
      <c r="AH655" s="798">
        <f t="shared" si="651"/>
        <v>0</v>
      </c>
      <c r="AI655" s="798">
        <f t="shared" si="651"/>
        <v>0</v>
      </c>
      <c r="AJ655" s="798">
        <f t="shared" si="651"/>
        <v>0</v>
      </c>
      <c r="AK655" s="798">
        <f t="shared" si="651"/>
        <v>0</v>
      </c>
      <c r="AL655" s="798">
        <f t="shared" si="651"/>
        <v>0</v>
      </c>
      <c r="AM655" s="798">
        <f t="shared" si="651"/>
        <v>0</v>
      </c>
      <c r="AN655" s="798">
        <f t="shared" si="651"/>
        <v>0</v>
      </c>
      <c r="AO655" s="798">
        <f t="shared" si="651"/>
        <v>0</v>
      </c>
      <c r="AP655" s="798">
        <f t="shared" si="651"/>
        <v>0</v>
      </c>
      <c r="AQ655" s="798">
        <f t="shared" si="651"/>
        <v>0</v>
      </c>
      <c r="AR655" s="798">
        <f t="shared" si="651"/>
        <v>0</v>
      </c>
      <c r="AS655" s="798">
        <f t="shared" si="651"/>
        <v>0</v>
      </c>
      <c r="AT655" s="798">
        <f t="shared" si="651"/>
        <v>0</v>
      </c>
      <c r="AU655" s="798">
        <f t="shared" si="651"/>
        <v>0</v>
      </c>
      <c r="AV655" s="798">
        <f t="shared" si="651"/>
        <v>0</v>
      </c>
      <c r="AW655" s="798">
        <f t="shared" si="651"/>
        <v>0</v>
      </c>
      <c r="AX655" s="798">
        <f t="shared" si="651"/>
        <v>0</v>
      </c>
      <c r="AY655" s="798">
        <f t="shared" si="651"/>
        <v>0</v>
      </c>
      <c r="AZ655" s="798">
        <f t="shared" si="651"/>
        <v>0</v>
      </c>
      <c r="BA655" s="798">
        <f t="shared" si="651"/>
        <v>0</v>
      </c>
      <c r="BB655" s="798">
        <f t="shared" si="651"/>
        <v>0</v>
      </c>
      <c r="BC655" s="798">
        <f t="shared" si="651"/>
        <v>0</v>
      </c>
      <c r="BD655" s="798">
        <f t="shared" si="651"/>
        <v>0</v>
      </c>
      <c r="BE655" s="798">
        <f t="shared" si="651"/>
        <v>0</v>
      </c>
      <c r="BF655" s="798">
        <f t="shared" si="651"/>
        <v>0</v>
      </c>
      <c r="BG655" s="798">
        <f t="shared" si="651"/>
        <v>0</v>
      </c>
      <c r="BH655" s="798">
        <f t="shared" si="651"/>
        <v>0</v>
      </c>
      <c r="BI655" s="798">
        <f t="shared" si="651"/>
        <v>0</v>
      </c>
      <c r="BJ655" s="798">
        <f t="shared" si="651"/>
        <v>0</v>
      </c>
      <c r="BK655" s="798">
        <f t="shared" si="651"/>
        <v>1</v>
      </c>
      <c r="BL655" s="765"/>
      <c r="BM655" s="817"/>
      <c r="BN655" s="817"/>
    </row>
    <row r="656" hidden="1">
      <c r="A656" s="765"/>
      <c r="B656" s="765"/>
      <c r="C656" s="765"/>
      <c r="D656" s="765"/>
      <c r="E656" s="765"/>
      <c r="F656" s="765"/>
      <c r="G656" s="765"/>
      <c r="H656" s="765"/>
      <c r="I656" s="765">
        <f t="shared" si="17"/>
        <v>645</v>
      </c>
      <c r="J656" s="763">
        <f t="shared" si="5"/>
        <v>6.69329E+17</v>
      </c>
      <c r="K656" s="796">
        <f t="shared" si="7"/>
        <v>0.55629</v>
      </c>
      <c r="L656" s="796">
        <v>5.0E-4</v>
      </c>
      <c r="M656" s="763">
        <v>7.63202834989751E17</v>
      </c>
      <c r="N656" s="797">
        <f t="shared" si="8"/>
        <v>0</v>
      </c>
      <c r="O656" s="798">
        <f t="shared" ref="O656:BK656" si="652">FLOOR(MIN((((N("value of ELS upgrade")+N$8*($K656-$K655))*(N("Check checkbox")+(IF($G$6=TRUE,$G$7,$G$8))/$G$8))/(N("ROI of ELS and multiply by 2 if ELS is 1:1")+IF($G$12 = True, 2, 1) * $J656))/((N("difference in ELS+ and the cost of it")+(($K655*O$8)-($K655*N$8)) / O$7)),(N("MIN lets it return 0 or 1 after floored")+1)),1)</f>
        <v>0</v>
      </c>
      <c r="P656" s="798">
        <f t="shared" si="652"/>
        <v>0</v>
      </c>
      <c r="Q656" s="798">
        <f t="shared" si="652"/>
        <v>0</v>
      </c>
      <c r="R656" s="798">
        <f t="shared" si="652"/>
        <v>0</v>
      </c>
      <c r="S656" s="798">
        <f t="shared" si="652"/>
        <v>0</v>
      </c>
      <c r="T656" s="798">
        <f t="shared" si="652"/>
        <v>0</v>
      </c>
      <c r="U656" s="798">
        <f t="shared" si="652"/>
        <v>0</v>
      </c>
      <c r="V656" s="798">
        <f t="shared" si="652"/>
        <v>0</v>
      </c>
      <c r="W656" s="798">
        <f t="shared" si="652"/>
        <v>0</v>
      </c>
      <c r="X656" s="798">
        <f t="shared" si="652"/>
        <v>0</v>
      </c>
      <c r="Y656" s="798">
        <f t="shared" si="652"/>
        <v>0</v>
      </c>
      <c r="Z656" s="798">
        <f t="shared" si="652"/>
        <v>0</v>
      </c>
      <c r="AA656" s="798">
        <f t="shared" si="652"/>
        <v>0</v>
      </c>
      <c r="AB656" s="798">
        <f t="shared" si="652"/>
        <v>0</v>
      </c>
      <c r="AC656" s="798">
        <f t="shared" si="652"/>
        <v>0</v>
      </c>
      <c r="AD656" s="798">
        <f t="shared" si="652"/>
        <v>0</v>
      </c>
      <c r="AE656" s="798">
        <f t="shared" si="652"/>
        <v>0</v>
      </c>
      <c r="AF656" s="798">
        <f t="shared" si="652"/>
        <v>0</v>
      </c>
      <c r="AG656" s="798">
        <f t="shared" si="652"/>
        <v>0</v>
      </c>
      <c r="AH656" s="798">
        <f t="shared" si="652"/>
        <v>0</v>
      </c>
      <c r="AI656" s="798">
        <f t="shared" si="652"/>
        <v>0</v>
      </c>
      <c r="AJ656" s="798">
        <f t="shared" si="652"/>
        <v>0</v>
      </c>
      <c r="AK656" s="798">
        <f t="shared" si="652"/>
        <v>0</v>
      </c>
      <c r="AL656" s="798">
        <f t="shared" si="652"/>
        <v>0</v>
      </c>
      <c r="AM656" s="798">
        <f t="shared" si="652"/>
        <v>0</v>
      </c>
      <c r="AN656" s="798">
        <f t="shared" si="652"/>
        <v>0</v>
      </c>
      <c r="AO656" s="798">
        <f t="shared" si="652"/>
        <v>0</v>
      </c>
      <c r="AP656" s="798">
        <f t="shared" si="652"/>
        <v>0</v>
      </c>
      <c r="AQ656" s="798">
        <f t="shared" si="652"/>
        <v>0</v>
      </c>
      <c r="AR656" s="798">
        <f t="shared" si="652"/>
        <v>0</v>
      </c>
      <c r="AS656" s="798">
        <f t="shared" si="652"/>
        <v>0</v>
      </c>
      <c r="AT656" s="798">
        <f t="shared" si="652"/>
        <v>0</v>
      </c>
      <c r="AU656" s="798">
        <f t="shared" si="652"/>
        <v>0</v>
      </c>
      <c r="AV656" s="798">
        <f t="shared" si="652"/>
        <v>0</v>
      </c>
      <c r="AW656" s="798">
        <f t="shared" si="652"/>
        <v>0</v>
      </c>
      <c r="AX656" s="798">
        <f t="shared" si="652"/>
        <v>0</v>
      </c>
      <c r="AY656" s="798">
        <f t="shared" si="652"/>
        <v>0</v>
      </c>
      <c r="AZ656" s="798">
        <f t="shared" si="652"/>
        <v>0</v>
      </c>
      <c r="BA656" s="798">
        <f t="shared" si="652"/>
        <v>0</v>
      </c>
      <c r="BB656" s="798">
        <f t="shared" si="652"/>
        <v>0</v>
      </c>
      <c r="BC656" s="798">
        <f t="shared" si="652"/>
        <v>0</v>
      </c>
      <c r="BD656" s="798">
        <f t="shared" si="652"/>
        <v>0</v>
      </c>
      <c r="BE656" s="798">
        <f t="shared" si="652"/>
        <v>0</v>
      </c>
      <c r="BF656" s="798">
        <f t="shared" si="652"/>
        <v>0</v>
      </c>
      <c r="BG656" s="798">
        <f t="shared" si="652"/>
        <v>0</v>
      </c>
      <c r="BH656" s="798">
        <f t="shared" si="652"/>
        <v>0</v>
      </c>
      <c r="BI656" s="798">
        <f t="shared" si="652"/>
        <v>0</v>
      </c>
      <c r="BJ656" s="798">
        <f t="shared" si="652"/>
        <v>0</v>
      </c>
      <c r="BK656" s="798">
        <f t="shared" si="652"/>
        <v>1</v>
      </c>
      <c r="BL656" s="765"/>
      <c r="BM656" s="817"/>
      <c r="BN656" s="817"/>
    </row>
    <row r="657" hidden="1">
      <c r="A657" s="765"/>
      <c r="B657" s="765"/>
      <c r="C657" s="765"/>
      <c r="D657" s="765"/>
      <c r="E657" s="765"/>
      <c r="F657" s="765"/>
      <c r="G657" s="765"/>
      <c r="H657" s="765"/>
      <c r="I657" s="765">
        <f t="shared" si="17"/>
        <v>646</v>
      </c>
      <c r="J657" s="763">
        <f t="shared" si="5"/>
        <v>6.71558E+17</v>
      </c>
      <c r="K657" s="796">
        <f t="shared" si="7"/>
        <v>0.55679</v>
      </c>
      <c r="L657" s="796">
        <v>5.0E-4</v>
      </c>
      <c r="M657" s="763">
        <v>7.65745085184766E17</v>
      </c>
      <c r="N657" s="797">
        <f t="shared" si="8"/>
        <v>0</v>
      </c>
      <c r="O657" s="798">
        <f t="shared" ref="O657:BK657" si="653">FLOOR(MIN((((N("value of ELS upgrade")+N$8*($K657-$K656))*(N("Check checkbox")+(IF($G$6=TRUE,$G$7,$G$8))/$G$8))/(N("ROI of ELS and multiply by 2 if ELS is 1:1")+IF($G$12 = True, 2, 1) * $J657))/((N("difference in ELS+ and the cost of it")+(($K656*O$8)-($K656*N$8)) / O$7)),(N("MIN lets it return 0 or 1 after floored")+1)),1)</f>
        <v>0</v>
      </c>
      <c r="P657" s="798">
        <f t="shared" si="653"/>
        <v>0</v>
      </c>
      <c r="Q657" s="798">
        <f t="shared" si="653"/>
        <v>0</v>
      </c>
      <c r="R657" s="798">
        <f t="shared" si="653"/>
        <v>0</v>
      </c>
      <c r="S657" s="798">
        <f t="shared" si="653"/>
        <v>0</v>
      </c>
      <c r="T657" s="798">
        <f t="shared" si="653"/>
        <v>0</v>
      </c>
      <c r="U657" s="798">
        <f t="shared" si="653"/>
        <v>0</v>
      </c>
      <c r="V657" s="798">
        <f t="shared" si="653"/>
        <v>0</v>
      </c>
      <c r="W657" s="798">
        <f t="shared" si="653"/>
        <v>0</v>
      </c>
      <c r="X657" s="798">
        <f t="shared" si="653"/>
        <v>0</v>
      </c>
      <c r="Y657" s="798">
        <f t="shared" si="653"/>
        <v>0</v>
      </c>
      <c r="Z657" s="798">
        <f t="shared" si="653"/>
        <v>0</v>
      </c>
      <c r="AA657" s="798">
        <f t="shared" si="653"/>
        <v>0</v>
      </c>
      <c r="AB657" s="798">
        <f t="shared" si="653"/>
        <v>0</v>
      </c>
      <c r="AC657" s="798">
        <f t="shared" si="653"/>
        <v>0</v>
      </c>
      <c r="AD657" s="798">
        <f t="shared" si="653"/>
        <v>0</v>
      </c>
      <c r="AE657" s="798">
        <f t="shared" si="653"/>
        <v>0</v>
      </c>
      <c r="AF657" s="798">
        <f t="shared" si="653"/>
        <v>0</v>
      </c>
      <c r="AG657" s="798">
        <f t="shared" si="653"/>
        <v>0</v>
      </c>
      <c r="AH657" s="798">
        <f t="shared" si="653"/>
        <v>0</v>
      </c>
      <c r="AI657" s="798">
        <f t="shared" si="653"/>
        <v>0</v>
      </c>
      <c r="AJ657" s="798">
        <f t="shared" si="653"/>
        <v>0</v>
      </c>
      <c r="AK657" s="798">
        <f t="shared" si="653"/>
        <v>0</v>
      </c>
      <c r="AL657" s="798">
        <f t="shared" si="653"/>
        <v>0</v>
      </c>
      <c r="AM657" s="798">
        <f t="shared" si="653"/>
        <v>0</v>
      </c>
      <c r="AN657" s="798">
        <f t="shared" si="653"/>
        <v>0</v>
      </c>
      <c r="AO657" s="798">
        <f t="shared" si="653"/>
        <v>0</v>
      </c>
      <c r="AP657" s="798">
        <f t="shared" si="653"/>
        <v>0</v>
      </c>
      <c r="AQ657" s="798">
        <f t="shared" si="653"/>
        <v>0</v>
      </c>
      <c r="AR657" s="798">
        <f t="shared" si="653"/>
        <v>0</v>
      </c>
      <c r="AS657" s="798">
        <f t="shared" si="653"/>
        <v>0</v>
      </c>
      <c r="AT657" s="798">
        <f t="shared" si="653"/>
        <v>0</v>
      </c>
      <c r="AU657" s="798">
        <f t="shared" si="653"/>
        <v>0</v>
      </c>
      <c r="AV657" s="798">
        <f t="shared" si="653"/>
        <v>0</v>
      </c>
      <c r="AW657" s="798">
        <f t="shared" si="653"/>
        <v>0</v>
      </c>
      <c r="AX657" s="798">
        <f t="shared" si="653"/>
        <v>0</v>
      </c>
      <c r="AY657" s="798">
        <f t="shared" si="653"/>
        <v>0</v>
      </c>
      <c r="AZ657" s="798">
        <f t="shared" si="653"/>
        <v>0</v>
      </c>
      <c r="BA657" s="798">
        <f t="shared" si="653"/>
        <v>0</v>
      </c>
      <c r="BB657" s="798">
        <f t="shared" si="653"/>
        <v>0</v>
      </c>
      <c r="BC657" s="798">
        <f t="shared" si="653"/>
        <v>0</v>
      </c>
      <c r="BD657" s="798">
        <f t="shared" si="653"/>
        <v>0</v>
      </c>
      <c r="BE657" s="798">
        <f t="shared" si="653"/>
        <v>0</v>
      </c>
      <c r="BF657" s="798">
        <f t="shared" si="653"/>
        <v>0</v>
      </c>
      <c r="BG657" s="798">
        <f t="shared" si="653"/>
        <v>0</v>
      </c>
      <c r="BH657" s="798">
        <f t="shared" si="653"/>
        <v>0</v>
      </c>
      <c r="BI657" s="798">
        <f t="shared" si="653"/>
        <v>0</v>
      </c>
      <c r="BJ657" s="798">
        <f t="shared" si="653"/>
        <v>0</v>
      </c>
      <c r="BK657" s="798">
        <f t="shared" si="653"/>
        <v>1</v>
      </c>
      <c r="BL657" s="765"/>
      <c r="BM657" s="817"/>
      <c r="BN657" s="817"/>
    </row>
    <row r="658" hidden="1">
      <c r="A658" s="765"/>
      <c r="B658" s="765"/>
      <c r="C658" s="765"/>
      <c r="D658" s="765"/>
      <c r="E658" s="765"/>
      <c r="F658" s="765"/>
      <c r="G658" s="765"/>
      <c r="H658" s="765"/>
      <c r="I658" s="765">
        <f t="shared" si="17"/>
        <v>647</v>
      </c>
      <c r="J658" s="763">
        <f t="shared" si="5"/>
        <v>6.73794E+17</v>
      </c>
      <c r="K658" s="796">
        <f t="shared" si="7"/>
        <v>0.55729</v>
      </c>
      <c r="L658" s="796">
        <v>5.0E-4</v>
      </c>
      <c r="M658" s="763">
        <v>7.68294521741158E17</v>
      </c>
      <c r="N658" s="797">
        <f t="shared" si="8"/>
        <v>0</v>
      </c>
      <c r="O658" s="798">
        <f t="shared" ref="O658:BK658" si="654">FLOOR(MIN((((N("value of ELS upgrade")+N$8*($K658-$K657))*(N("Check checkbox")+(IF($G$6=TRUE,$G$7,$G$8))/$G$8))/(N("ROI of ELS and multiply by 2 if ELS is 1:1")+IF($G$12 = True, 2, 1) * $J658))/((N("difference in ELS+ and the cost of it")+(($K657*O$8)-($K657*N$8)) / O$7)),(N("MIN lets it return 0 or 1 after floored")+1)),1)</f>
        <v>0</v>
      </c>
      <c r="P658" s="798">
        <f t="shared" si="654"/>
        <v>0</v>
      </c>
      <c r="Q658" s="798">
        <f t="shared" si="654"/>
        <v>0</v>
      </c>
      <c r="R658" s="798">
        <f t="shared" si="654"/>
        <v>0</v>
      </c>
      <c r="S658" s="798">
        <f t="shared" si="654"/>
        <v>0</v>
      </c>
      <c r="T658" s="798">
        <f t="shared" si="654"/>
        <v>0</v>
      </c>
      <c r="U658" s="798">
        <f t="shared" si="654"/>
        <v>0</v>
      </c>
      <c r="V658" s="798">
        <f t="shared" si="654"/>
        <v>0</v>
      </c>
      <c r="W658" s="798">
        <f t="shared" si="654"/>
        <v>0</v>
      </c>
      <c r="X658" s="798">
        <f t="shared" si="654"/>
        <v>0</v>
      </c>
      <c r="Y658" s="798">
        <f t="shared" si="654"/>
        <v>0</v>
      </c>
      <c r="Z658" s="798">
        <f t="shared" si="654"/>
        <v>0</v>
      </c>
      <c r="AA658" s="798">
        <f t="shared" si="654"/>
        <v>0</v>
      </c>
      <c r="AB658" s="798">
        <f t="shared" si="654"/>
        <v>0</v>
      </c>
      <c r="AC658" s="798">
        <f t="shared" si="654"/>
        <v>0</v>
      </c>
      <c r="AD658" s="798">
        <f t="shared" si="654"/>
        <v>0</v>
      </c>
      <c r="AE658" s="798">
        <f t="shared" si="654"/>
        <v>0</v>
      </c>
      <c r="AF658" s="798">
        <f t="shared" si="654"/>
        <v>0</v>
      </c>
      <c r="AG658" s="798">
        <f t="shared" si="654"/>
        <v>0</v>
      </c>
      <c r="AH658" s="798">
        <f t="shared" si="654"/>
        <v>0</v>
      </c>
      <c r="AI658" s="798">
        <f t="shared" si="654"/>
        <v>0</v>
      </c>
      <c r="AJ658" s="798">
        <f t="shared" si="654"/>
        <v>0</v>
      </c>
      <c r="AK658" s="798">
        <f t="shared" si="654"/>
        <v>0</v>
      </c>
      <c r="AL658" s="798">
        <f t="shared" si="654"/>
        <v>0</v>
      </c>
      <c r="AM658" s="798">
        <f t="shared" si="654"/>
        <v>0</v>
      </c>
      <c r="AN658" s="798">
        <f t="shared" si="654"/>
        <v>0</v>
      </c>
      <c r="AO658" s="798">
        <f t="shared" si="654"/>
        <v>0</v>
      </c>
      <c r="AP658" s="798">
        <f t="shared" si="654"/>
        <v>0</v>
      </c>
      <c r="AQ658" s="798">
        <f t="shared" si="654"/>
        <v>0</v>
      </c>
      <c r="AR658" s="798">
        <f t="shared" si="654"/>
        <v>0</v>
      </c>
      <c r="AS658" s="798">
        <f t="shared" si="654"/>
        <v>0</v>
      </c>
      <c r="AT658" s="798">
        <f t="shared" si="654"/>
        <v>0</v>
      </c>
      <c r="AU658" s="798">
        <f t="shared" si="654"/>
        <v>0</v>
      </c>
      <c r="AV658" s="798">
        <f t="shared" si="654"/>
        <v>0</v>
      </c>
      <c r="AW658" s="798">
        <f t="shared" si="654"/>
        <v>0</v>
      </c>
      <c r="AX658" s="798">
        <f t="shared" si="654"/>
        <v>0</v>
      </c>
      <c r="AY658" s="798">
        <f t="shared" si="654"/>
        <v>0</v>
      </c>
      <c r="AZ658" s="798">
        <f t="shared" si="654"/>
        <v>0</v>
      </c>
      <c r="BA658" s="798">
        <f t="shared" si="654"/>
        <v>0</v>
      </c>
      <c r="BB658" s="798">
        <f t="shared" si="654"/>
        <v>0</v>
      </c>
      <c r="BC658" s="798">
        <f t="shared" si="654"/>
        <v>0</v>
      </c>
      <c r="BD658" s="798">
        <f t="shared" si="654"/>
        <v>0</v>
      </c>
      <c r="BE658" s="798">
        <f t="shared" si="654"/>
        <v>0</v>
      </c>
      <c r="BF658" s="798">
        <f t="shared" si="654"/>
        <v>0</v>
      </c>
      <c r="BG658" s="798">
        <f t="shared" si="654"/>
        <v>0</v>
      </c>
      <c r="BH658" s="798">
        <f t="shared" si="654"/>
        <v>0</v>
      </c>
      <c r="BI658" s="798">
        <f t="shared" si="654"/>
        <v>0</v>
      </c>
      <c r="BJ658" s="798">
        <f t="shared" si="654"/>
        <v>0</v>
      </c>
      <c r="BK658" s="798">
        <f t="shared" si="654"/>
        <v>1</v>
      </c>
      <c r="BL658" s="765"/>
      <c r="BM658" s="817"/>
      <c r="BN658" s="817"/>
    </row>
    <row r="659" hidden="1">
      <c r="A659" s="765"/>
      <c r="B659" s="765"/>
      <c r="C659" s="765"/>
      <c r="D659" s="765"/>
      <c r="E659" s="765"/>
      <c r="F659" s="765"/>
      <c r="G659" s="765"/>
      <c r="H659" s="765"/>
      <c r="I659" s="765">
        <f t="shared" si="17"/>
        <v>648</v>
      </c>
      <c r="J659" s="763">
        <f t="shared" si="5"/>
        <v>6.76036E+17</v>
      </c>
      <c r="K659" s="796">
        <f t="shared" si="7"/>
        <v>0.55779</v>
      </c>
      <c r="L659" s="796">
        <v>5.0E-4</v>
      </c>
      <c r="M659" s="763">
        <v>7.70851069800995E17</v>
      </c>
      <c r="N659" s="797">
        <f t="shared" si="8"/>
        <v>0</v>
      </c>
      <c r="O659" s="798">
        <f t="shared" ref="O659:BK659" si="655">FLOOR(MIN((((N("value of ELS upgrade")+N$8*($K659-$K658))*(N("Check checkbox")+(IF($G$6=TRUE,$G$7,$G$8))/$G$8))/(N("ROI of ELS and multiply by 2 if ELS is 1:1")+IF($G$12 = True, 2, 1) * $J659))/((N("difference in ELS+ and the cost of it")+(($K658*O$8)-($K658*N$8)) / O$7)),(N("MIN lets it return 0 or 1 after floored")+1)),1)</f>
        <v>0</v>
      </c>
      <c r="P659" s="798">
        <f t="shared" si="655"/>
        <v>0</v>
      </c>
      <c r="Q659" s="798">
        <f t="shared" si="655"/>
        <v>0</v>
      </c>
      <c r="R659" s="798">
        <f t="shared" si="655"/>
        <v>0</v>
      </c>
      <c r="S659" s="798">
        <f t="shared" si="655"/>
        <v>0</v>
      </c>
      <c r="T659" s="798">
        <f t="shared" si="655"/>
        <v>0</v>
      </c>
      <c r="U659" s="798">
        <f t="shared" si="655"/>
        <v>0</v>
      </c>
      <c r="V659" s="798">
        <f t="shared" si="655"/>
        <v>0</v>
      </c>
      <c r="W659" s="798">
        <f t="shared" si="655"/>
        <v>0</v>
      </c>
      <c r="X659" s="798">
        <f t="shared" si="655"/>
        <v>0</v>
      </c>
      <c r="Y659" s="798">
        <f t="shared" si="655"/>
        <v>0</v>
      </c>
      <c r="Z659" s="798">
        <f t="shared" si="655"/>
        <v>0</v>
      </c>
      <c r="AA659" s="798">
        <f t="shared" si="655"/>
        <v>0</v>
      </c>
      <c r="AB659" s="798">
        <f t="shared" si="655"/>
        <v>0</v>
      </c>
      <c r="AC659" s="798">
        <f t="shared" si="655"/>
        <v>0</v>
      </c>
      <c r="AD659" s="798">
        <f t="shared" si="655"/>
        <v>0</v>
      </c>
      <c r="AE659" s="798">
        <f t="shared" si="655"/>
        <v>0</v>
      </c>
      <c r="AF659" s="798">
        <f t="shared" si="655"/>
        <v>0</v>
      </c>
      <c r="AG659" s="798">
        <f t="shared" si="655"/>
        <v>0</v>
      </c>
      <c r="AH659" s="798">
        <f t="shared" si="655"/>
        <v>0</v>
      </c>
      <c r="AI659" s="798">
        <f t="shared" si="655"/>
        <v>0</v>
      </c>
      <c r="AJ659" s="798">
        <f t="shared" si="655"/>
        <v>0</v>
      </c>
      <c r="AK659" s="798">
        <f t="shared" si="655"/>
        <v>0</v>
      </c>
      <c r="AL659" s="798">
        <f t="shared" si="655"/>
        <v>0</v>
      </c>
      <c r="AM659" s="798">
        <f t="shared" si="655"/>
        <v>0</v>
      </c>
      <c r="AN659" s="798">
        <f t="shared" si="655"/>
        <v>0</v>
      </c>
      <c r="AO659" s="798">
        <f t="shared" si="655"/>
        <v>0</v>
      </c>
      <c r="AP659" s="798">
        <f t="shared" si="655"/>
        <v>0</v>
      </c>
      <c r="AQ659" s="798">
        <f t="shared" si="655"/>
        <v>0</v>
      </c>
      <c r="AR659" s="798">
        <f t="shared" si="655"/>
        <v>0</v>
      </c>
      <c r="AS659" s="798">
        <f t="shared" si="655"/>
        <v>0</v>
      </c>
      <c r="AT659" s="798">
        <f t="shared" si="655"/>
        <v>0</v>
      </c>
      <c r="AU659" s="798">
        <f t="shared" si="655"/>
        <v>0</v>
      </c>
      <c r="AV659" s="798">
        <f t="shared" si="655"/>
        <v>0</v>
      </c>
      <c r="AW659" s="798">
        <f t="shared" si="655"/>
        <v>0</v>
      </c>
      <c r="AX659" s="798">
        <f t="shared" si="655"/>
        <v>0</v>
      </c>
      <c r="AY659" s="798">
        <f t="shared" si="655"/>
        <v>0</v>
      </c>
      <c r="AZ659" s="798">
        <f t="shared" si="655"/>
        <v>0</v>
      </c>
      <c r="BA659" s="798">
        <f t="shared" si="655"/>
        <v>0</v>
      </c>
      <c r="BB659" s="798">
        <f t="shared" si="655"/>
        <v>0</v>
      </c>
      <c r="BC659" s="798">
        <f t="shared" si="655"/>
        <v>0</v>
      </c>
      <c r="BD659" s="798">
        <f t="shared" si="655"/>
        <v>0</v>
      </c>
      <c r="BE659" s="798">
        <f t="shared" si="655"/>
        <v>0</v>
      </c>
      <c r="BF659" s="798">
        <f t="shared" si="655"/>
        <v>0</v>
      </c>
      <c r="BG659" s="798">
        <f t="shared" si="655"/>
        <v>0</v>
      </c>
      <c r="BH659" s="798">
        <f t="shared" si="655"/>
        <v>0</v>
      </c>
      <c r="BI659" s="798">
        <f t="shared" si="655"/>
        <v>0</v>
      </c>
      <c r="BJ659" s="798">
        <f t="shared" si="655"/>
        <v>0</v>
      </c>
      <c r="BK659" s="798">
        <f t="shared" si="655"/>
        <v>1</v>
      </c>
      <c r="BL659" s="765"/>
      <c r="BM659" s="817"/>
      <c r="BN659" s="817"/>
    </row>
    <row r="660" hidden="1">
      <c r="A660" s="765"/>
      <c r="B660" s="765"/>
      <c r="C660" s="765"/>
      <c r="D660" s="765"/>
      <c r="E660" s="765"/>
      <c r="F660" s="765"/>
      <c r="G660" s="765"/>
      <c r="H660" s="765"/>
      <c r="I660" s="765">
        <f t="shared" si="17"/>
        <v>649</v>
      </c>
      <c r="J660" s="763">
        <f t="shared" si="5"/>
        <v>6.78285E+17</v>
      </c>
      <c r="K660" s="796">
        <f t="shared" si="7"/>
        <v>0.55829</v>
      </c>
      <c r="L660" s="796">
        <v>5.0E-4</v>
      </c>
      <c r="M660" s="763">
        <v>7.7341480422221E17</v>
      </c>
      <c r="N660" s="797">
        <f t="shared" si="8"/>
        <v>0</v>
      </c>
      <c r="O660" s="798">
        <f t="shared" ref="O660:BK660" si="656">FLOOR(MIN((((N("value of ELS upgrade")+N$8*($K660-$K659))*(N("Check checkbox")+(IF($G$6=TRUE,$G$7,$G$8))/$G$8))/(N("ROI of ELS and multiply by 2 if ELS is 1:1")+IF($G$12 = True, 2, 1) * $J660))/((N("difference in ELS+ and the cost of it")+(($K659*O$8)-($K659*N$8)) / O$7)),(N("MIN lets it return 0 or 1 after floored")+1)),1)</f>
        <v>0</v>
      </c>
      <c r="P660" s="798">
        <f t="shared" si="656"/>
        <v>0</v>
      </c>
      <c r="Q660" s="798">
        <f t="shared" si="656"/>
        <v>0</v>
      </c>
      <c r="R660" s="798">
        <f t="shared" si="656"/>
        <v>0</v>
      </c>
      <c r="S660" s="798">
        <f t="shared" si="656"/>
        <v>0</v>
      </c>
      <c r="T660" s="798">
        <f t="shared" si="656"/>
        <v>0</v>
      </c>
      <c r="U660" s="798">
        <f t="shared" si="656"/>
        <v>0</v>
      </c>
      <c r="V660" s="798">
        <f t="shared" si="656"/>
        <v>0</v>
      </c>
      <c r="W660" s="798">
        <f t="shared" si="656"/>
        <v>0</v>
      </c>
      <c r="X660" s="798">
        <f t="shared" si="656"/>
        <v>0</v>
      </c>
      <c r="Y660" s="798">
        <f t="shared" si="656"/>
        <v>0</v>
      </c>
      <c r="Z660" s="798">
        <f t="shared" si="656"/>
        <v>0</v>
      </c>
      <c r="AA660" s="798">
        <f t="shared" si="656"/>
        <v>0</v>
      </c>
      <c r="AB660" s="798">
        <f t="shared" si="656"/>
        <v>0</v>
      </c>
      <c r="AC660" s="798">
        <f t="shared" si="656"/>
        <v>0</v>
      </c>
      <c r="AD660" s="798">
        <f t="shared" si="656"/>
        <v>0</v>
      </c>
      <c r="AE660" s="798">
        <f t="shared" si="656"/>
        <v>0</v>
      </c>
      <c r="AF660" s="798">
        <f t="shared" si="656"/>
        <v>0</v>
      </c>
      <c r="AG660" s="798">
        <f t="shared" si="656"/>
        <v>0</v>
      </c>
      <c r="AH660" s="798">
        <f t="shared" si="656"/>
        <v>0</v>
      </c>
      <c r="AI660" s="798">
        <f t="shared" si="656"/>
        <v>0</v>
      </c>
      <c r="AJ660" s="798">
        <f t="shared" si="656"/>
        <v>0</v>
      </c>
      <c r="AK660" s="798">
        <f t="shared" si="656"/>
        <v>0</v>
      </c>
      <c r="AL660" s="798">
        <f t="shared" si="656"/>
        <v>0</v>
      </c>
      <c r="AM660" s="798">
        <f t="shared" si="656"/>
        <v>0</v>
      </c>
      <c r="AN660" s="798">
        <f t="shared" si="656"/>
        <v>0</v>
      </c>
      <c r="AO660" s="798">
        <f t="shared" si="656"/>
        <v>0</v>
      </c>
      <c r="AP660" s="798">
        <f t="shared" si="656"/>
        <v>0</v>
      </c>
      <c r="AQ660" s="798">
        <f t="shared" si="656"/>
        <v>0</v>
      </c>
      <c r="AR660" s="798">
        <f t="shared" si="656"/>
        <v>0</v>
      </c>
      <c r="AS660" s="798">
        <f t="shared" si="656"/>
        <v>0</v>
      </c>
      <c r="AT660" s="798">
        <f t="shared" si="656"/>
        <v>0</v>
      </c>
      <c r="AU660" s="798">
        <f t="shared" si="656"/>
        <v>0</v>
      </c>
      <c r="AV660" s="798">
        <f t="shared" si="656"/>
        <v>0</v>
      </c>
      <c r="AW660" s="798">
        <f t="shared" si="656"/>
        <v>0</v>
      </c>
      <c r="AX660" s="798">
        <f t="shared" si="656"/>
        <v>0</v>
      </c>
      <c r="AY660" s="798">
        <f t="shared" si="656"/>
        <v>0</v>
      </c>
      <c r="AZ660" s="798">
        <f t="shared" si="656"/>
        <v>0</v>
      </c>
      <c r="BA660" s="798">
        <f t="shared" si="656"/>
        <v>0</v>
      </c>
      <c r="BB660" s="798">
        <f t="shared" si="656"/>
        <v>0</v>
      </c>
      <c r="BC660" s="798">
        <f t="shared" si="656"/>
        <v>0</v>
      </c>
      <c r="BD660" s="798">
        <f t="shared" si="656"/>
        <v>0</v>
      </c>
      <c r="BE660" s="798">
        <f t="shared" si="656"/>
        <v>0</v>
      </c>
      <c r="BF660" s="798">
        <f t="shared" si="656"/>
        <v>0</v>
      </c>
      <c r="BG660" s="798">
        <f t="shared" si="656"/>
        <v>0</v>
      </c>
      <c r="BH660" s="798">
        <f t="shared" si="656"/>
        <v>0</v>
      </c>
      <c r="BI660" s="798">
        <f t="shared" si="656"/>
        <v>0</v>
      </c>
      <c r="BJ660" s="798">
        <f t="shared" si="656"/>
        <v>0</v>
      </c>
      <c r="BK660" s="798">
        <f t="shared" si="656"/>
        <v>1</v>
      </c>
      <c r="BL660" s="765"/>
      <c r="BM660" s="817"/>
      <c r="BN660" s="817"/>
    </row>
    <row r="661" hidden="1">
      <c r="A661" s="765"/>
      <c r="B661" s="765"/>
      <c r="C661" s="765"/>
      <c r="D661" s="765"/>
      <c r="E661" s="765"/>
      <c r="F661" s="765"/>
      <c r="G661" s="765"/>
      <c r="H661" s="765"/>
      <c r="I661" s="765">
        <f t="shared" si="17"/>
        <v>650</v>
      </c>
      <c r="J661" s="763">
        <f t="shared" si="5"/>
        <v>6.80539E+17</v>
      </c>
      <c r="K661" s="796">
        <f t="shared" si="7"/>
        <v>0.55879</v>
      </c>
      <c r="L661" s="796">
        <v>5.0E-4</v>
      </c>
      <c r="M661" s="763">
        <v>7.75985725004801E17</v>
      </c>
      <c r="N661" s="797">
        <f t="shared" si="8"/>
        <v>0</v>
      </c>
      <c r="O661" s="798">
        <f t="shared" ref="O661:BK661" si="657">FLOOR(MIN((((N("value of ELS upgrade")+N$8*($K661-$K660))*(N("Check checkbox")+(IF($G$6=TRUE,$G$7,$G$8))/$G$8))/(N("ROI of ELS and multiply by 2 if ELS is 1:1")+IF($G$12 = True, 2, 1) * $J661))/((N("difference in ELS+ and the cost of it")+(($K660*O$8)-($K660*N$8)) / O$7)),(N("MIN lets it return 0 or 1 after floored")+1)),1)</f>
        <v>0</v>
      </c>
      <c r="P661" s="798">
        <f t="shared" si="657"/>
        <v>0</v>
      </c>
      <c r="Q661" s="798">
        <f t="shared" si="657"/>
        <v>0</v>
      </c>
      <c r="R661" s="798">
        <f t="shared" si="657"/>
        <v>0</v>
      </c>
      <c r="S661" s="798">
        <f t="shared" si="657"/>
        <v>0</v>
      </c>
      <c r="T661" s="798">
        <f t="shared" si="657"/>
        <v>0</v>
      </c>
      <c r="U661" s="798">
        <f t="shared" si="657"/>
        <v>0</v>
      </c>
      <c r="V661" s="798">
        <f t="shared" si="657"/>
        <v>0</v>
      </c>
      <c r="W661" s="798">
        <f t="shared" si="657"/>
        <v>0</v>
      </c>
      <c r="X661" s="798">
        <f t="shared" si="657"/>
        <v>0</v>
      </c>
      <c r="Y661" s="798">
        <f t="shared" si="657"/>
        <v>0</v>
      </c>
      <c r="Z661" s="798">
        <f t="shared" si="657"/>
        <v>0</v>
      </c>
      <c r="AA661" s="798">
        <f t="shared" si="657"/>
        <v>0</v>
      </c>
      <c r="AB661" s="798">
        <f t="shared" si="657"/>
        <v>0</v>
      </c>
      <c r="AC661" s="798">
        <f t="shared" si="657"/>
        <v>0</v>
      </c>
      <c r="AD661" s="798">
        <f t="shared" si="657"/>
        <v>0</v>
      </c>
      <c r="AE661" s="798">
        <f t="shared" si="657"/>
        <v>0</v>
      </c>
      <c r="AF661" s="798">
        <f t="shared" si="657"/>
        <v>0</v>
      </c>
      <c r="AG661" s="798">
        <f t="shared" si="657"/>
        <v>0</v>
      </c>
      <c r="AH661" s="798">
        <f t="shared" si="657"/>
        <v>0</v>
      </c>
      <c r="AI661" s="798">
        <f t="shared" si="657"/>
        <v>0</v>
      </c>
      <c r="AJ661" s="798">
        <f t="shared" si="657"/>
        <v>0</v>
      </c>
      <c r="AK661" s="798">
        <f t="shared" si="657"/>
        <v>0</v>
      </c>
      <c r="AL661" s="798">
        <f t="shared" si="657"/>
        <v>0</v>
      </c>
      <c r="AM661" s="798">
        <f t="shared" si="657"/>
        <v>0</v>
      </c>
      <c r="AN661" s="798">
        <f t="shared" si="657"/>
        <v>0</v>
      </c>
      <c r="AO661" s="798">
        <f t="shared" si="657"/>
        <v>0</v>
      </c>
      <c r="AP661" s="798">
        <f t="shared" si="657"/>
        <v>0</v>
      </c>
      <c r="AQ661" s="798">
        <f t="shared" si="657"/>
        <v>0</v>
      </c>
      <c r="AR661" s="798">
        <f t="shared" si="657"/>
        <v>0</v>
      </c>
      <c r="AS661" s="798">
        <f t="shared" si="657"/>
        <v>0</v>
      </c>
      <c r="AT661" s="798">
        <f t="shared" si="657"/>
        <v>0</v>
      </c>
      <c r="AU661" s="798">
        <f t="shared" si="657"/>
        <v>0</v>
      </c>
      <c r="AV661" s="798">
        <f t="shared" si="657"/>
        <v>0</v>
      </c>
      <c r="AW661" s="798">
        <f t="shared" si="657"/>
        <v>0</v>
      </c>
      <c r="AX661" s="798">
        <f t="shared" si="657"/>
        <v>0</v>
      </c>
      <c r="AY661" s="798">
        <f t="shared" si="657"/>
        <v>0</v>
      </c>
      <c r="AZ661" s="798">
        <f t="shared" si="657"/>
        <v>0</v>
      </c>
      <c r="BA661" s="798">
        <f t="shared" si="657"/>
        <v>0</v>
      </c>
      <c r="BB661" s="798">
        <f t="shared" si="657"/>
        <v>0</v>
      </c>
      <c r="BC661" s="798">
        <f t="shared" si="657"/>
        <v>0</v>
      </c>
      <c r="BD661" s="798">
        <f t="shared" si="657"/>
        <v>0</v>
      </c>
      <c r="BE661" s="798">
        <f t="shared" si="657"/>
        <v>0</v>
      </c>
      <c r="BF661" s="798">
        <f t="shared" si="657"/>
        <v>0</v>
      </c>
      <c r="BG661" s="798">
        <f t="shared" si="657"/>
        <v>0</v>
      </c>
      <c r="BH661" s="798">
        <f t="shared" si="657"/>
        <v>0</v>
      </c>
      <c r="BI661" s="798">
        <f t="shared" si="657"/>
        <v>0</v>
      </c>
      <c r="BJ661" s="798">
        <f t="shared" si="657"/>
        <v>0</v>
      </c>
      <c r="BK661" s="798">
        <f t="shared" si="657"/>
        <v>1</v>
      </c>
      <c r="BL661" s="765"/>
      <c r="BM661" s="817"/>
      <c r="BN661" s="817"/>
    </row>
    <row r="662" hidden="1">
      <c r="A662" s="765"/>
      <c r="B662" s="765"/>
      <c r="C662" s="765"/>
      <c r="D662" s="765"/>
      <c r="E662" s="765"/>
      <c r="F662" s="765"/>
      <c r="G662" s="765"/>
      <c r="H662" s="765"/>
      <c r="I662" s="765">
        <f t="shared" si="17"/>
        <v>651</v>
      </c>
      <c r="J662" s="763">
        <f t="shared" si="5"/>
        <v>6.82801E+17</v>
      </c>
      <c r="K662" s="796">
        <f t="shared" si="7"/>
        <v>0.55929</v>
      </c>
      <c r="L662" s="796">
        <v>5.0E-4</v>
      </c>
      <c r="M662" s="763">
        <v>7.78563869577735E17</v>
      </c>
      <c r="N662" s="797">
        <f t="shared" si="8"/>
        <v>0</v>
      </c>
      <c r="O662" s="798">
        <f t="shared" ref="O662:BK662" si="658">FLOOR(MIN((((N("value of ELS upgrade")+N$8*($K662-$K661))*(N("Check checkbox")+(IF($G$6=TRUE,$G$7,$G$8))/$G$8))/(N("ROI of ELS and multiply by 2 if ELS is 1:1")+IF($G$12 = True, 2, 1) * $J662))/((N("difference in ELS+ and the cost of it")+(($K661*O$8)-($K661*N$8)) / O$7)),(N("MIN lets it return 0 or 1 after floored")+1)),1)</f>
        <v>0</v>
      </c>
      <c r="P662" s="798">
        <f t="shared" si="658"/>
        <v>0</v>
      </c>
      <c r="Q662" s="798">
        <f t="shared" si="658"/>
        <v>0</v>
      </c>
      <c r="R662" s="798">
        <f t="shared" si="658"/>
        <v>0</v>
      </c>
      <c r="S662" s="798">
        <f t="shared" si="658"/>
        <v>0</v>
      </c>
      <c r="T662" s="798">
        <f t="shared" si="658"/>
        <v>0</v>
      </c>
      <c r="U662" s="798">
        <f t="shared" si="658"/>
        <v>0</v>
      </c>
      <c r="V662" s="798">
        <f t="shared" si="658"/>
        <v>0</v>
      </c>
      <c r="W662" s="798">
        <f t="shared" si="658"/>
        <v>0</v>
      </c>
      <c r="X662" s="798">
        <f t="shared" si="658"/>
        <v>0</v>
      </c>
      <c r="Y662" s="798">
        <f t="shared" si="658"/>
        <v>0</v>
      </c>
      <c r="Z662" s="798">
        <f t="shared" si="658"/>
        <v>0</v>
      </c>
      <c r="AA662" s="798">
        <f t="shared" si="658"/>
        <v>0</v>
      </c>
      <c r="AB662" s="798">
        <f t="shared" si="658"/>
        <v>0</v>
      </c>
      <c r="AC662" s="798">
        <f t="shared" si="658"/>
        <v>0</v>
      </c>
      <c r="AD662" s="798">
        <f t="shared" si="658"/>
        <v>0</v>
      </c>
      <c r="AE662" s="798">
        <f t="shared" si="658"/>
        <v>0</v>
      </c>
      <c r="AF662" s="798">
        <f t="shared" si="658"/>
        <v>0</v>
      </c>
      <c r="AG662" s="798">
        <f t="shared" si="658"/>
        <v>0</v>
      </c>
      <c r="AH662" s="798">
        <f t="shared" si="658"/>
        <v>0</v>
      </c>
      <c r="AI662" s="798">
        <f t="shared" si="658"/>
        <v>0</v>
      </c>
      <c r="AJ662" s="798">
        <f t="shared" si="658"/>
        <v>0</v>
      </c>
      <c r="AK662" s="798">
        <f t="shared" si="658"/>
        <v>0</v>
      </c>
      <c r="AL662" s="798">
        <f t="shared" si="658"/>
        <v>0</v>
      </c>
      <c r="AM662" s="798">
        <f t="shared" si="658"/>
        <v>0</v>
      </c>
      <c r="AN662" s="798">
        <f t="shared" si="658"/>
        <v>0</v>
      </c>
      <c r="AO662" s="798">
        <f t="shared" si="658"/>
        <v>0</v>
      </c>
      <c r="AP662" s="798">
        <f t="shared" si="658"/>
        <v>0</v>
      </c>
      <c r="AQ662" s="798">
        <f t="shared" si="658"/>
        <v>0</v>
      </c>
      <c r="AR662" s="798">
        <f t="shared" si="658"/>
        <v>0</v>
      </c>
      <c r="AS662" s="798">
        <f t="shared" si="658"/>
        <v>0</v>
      </c>
      <c r="AT662" s="798">
        <f t="shared" si="658"/>
        <v>0</v>
      </c>
      <c r="AU662" s="798">
        <f t="shared" si="658"/>
        <v>0</v>
      </c>
      <c r="AV662" s="798">
        <f t="shared" si="658"/>
        <v>0</v>
      </c>
      <c r="AW662" s="798">
        <f t="shared" si="658"/>
        <v>0</v>
      </c>
      <c r="AX662" s="798">
        <f t="shared" si="658"/>
        <v>0</v>
      </c>
      <c r="AY662" s="798">
        <f t="shared" si="658"/>
        <v>0</v>
      </c>
      <c r="AZ662" s="798">
        <f t="shared" si="658"/>
        <v>0</v>
      </c>
      <c r="BA662" s="798">
        <f t="shared" si="658"/>
        <v>0</v>
      </c>
      <c r="BB662" s="798">
        <f t="shared" si="658"/>
        <v>0</v>
      </c>
      <c r="BC662" s="798">
        <f t="shared" si="658"/>
        <v>0</v>
      </c>
      <c r="BD662" s="798">
        <f t="shared" si="658"/>
        <v>0</v>
      </c>
      <c r="BE662" s="798">
        <f t="shared" si="658"/>
        <v>0</v>
      </c>
      <c r="BF662" s="798">
        <f t="shared" si="658"/>
        <v>0</v>
      </c>
      <c r="BG662" s="798">
        <f t="shared" si="658"/>
        <v>0</v>
      </c>
      <c r="BH662" s="798">
        <f t="shared" si="658"/>
        <v>0</v>
      </c>
      <c r="BI662" s="798">
        <f t="shared" si="658"/>
        <v>0</v>
      </c>
      <c r="BJ662" s="798">
        <f t="shared" si="658"/>
        <v>0</v>
      </c>
      <c r="BK662" s="798">
        <f t="shared" si="658"/>
        <v>1</v>
      </c>
      <c r="BL662" s="765"/>
      <c r="BM662" s="817"/>
      <c r="BN662" s="817"/>
    </row>
    <row r="663" hidden="1">
      <c r="A663" s="765"/>
      <c r="B663" s="765"/>
      <c r="C663" s="765"/>
      <c r="D663" s="765"/>
      <c r="E663" s="765"/>
      <c r="F663" s="765"/>
      <c r="G663" s="765"/>
      <c r="H663" s="765"/>
      <c r="I663" s="765">
        <f t="shared" si="17"/>
        <v>652</v>
      </c>
      <c r="J663" s="763">
        <f t="shared" si="5"/>
        <v>6.85068E+17</v>
      </c>
      <c r="K663" s="796">
        <f t="shared" si="7"/>
        <v>0.55979</v>
      </c>
      <c r="L663" s="796">
        <v>5.0E-4</v>
      </c>
      <c r="M663" s="763">
        <v>7.81149200512045E17</v>
      </c>
      <c r="N663" s="797">
        <f t="shared" si="8"/>
        <v>0</v>
      </c>
      <c r="O663" s="798">
        <f t="shared" ref="O663:BK663" si="659">FLOOR(MIN((((N("value of ELS upgrade")+N$8*($K663-$K662))*(N("Check checkbox")+(IF($G$6=TRUE,$G$7,$G$8))/$G$8))/(N("ROI of ELS and multiply by 2 if ELS is 1:1")+IF($G$12 = True, 2, 1) * $J663))/((N("difference in ELS+ and the cost of it")+(($K662*O$8)-($K662*N$8)) / O$7)),(N("MIN lets it return 0 or 1 after floored")+1)),1)</f>
        <v>0</v>
      </c>
      <c r="P663" s="798">
        <f t="shared" si="659"/>
        <v>0</v>
      </c>
      <c r="Q663" s="798">
        <f t="shared" si="659"/>
        <v>0</v>
      </c>
      <c r="R663" s="798">
        <f t="shared" si="659"/>
        <v>0</v>
      </c>
      <c r="S663" s="798">
        <f t="shared" si="659"/>
        <v>0</v>
      </c>
      <c r="T663" s="798">
        <f t="shared" si="659"/>
        <v>0</v>
      </c>
      <c r="U663" s="798">
        <f t="shared" si="659"/>
        <v>0</v>
      </c>
      <c r="V663" s="798">
        <f t="shared" si="659"/>
        <v>0</v>
      </c>
      <c r="W663" s="798">
        <f t="shared" si="659"/>
        <v>0</v>
      </c>
      <c r="X663" s="798">
        <f t="shared" si="659"/>
        <v>0</v>
      </c>
      <c r="Y663" s="798">
        <f t="shared" si="659"/>
        <v>0</v>
      </c>
      <c r="Z663" s="798">
        <f t="shared" si="659"/>
        <v>0</v>
      </c>
      <c r="AA663" s="798">
        <f t="shared" si="659"/>
        <v>0</v>
      </c>
      <c r="AB663" s="798">
        <f t="shared" si="659"/>
        <v>0</v>
      </c>
      <c r="AC663" s="798">
        <f t="shared" si="659"/>
        <v>0</v>
      </c>
      <c r="AD663" s="798">
        <f t="shared" si="659"/>
        <v>0</v>
      </c>
      <c r="AE663" s="798">
        <f t="shared" si="659"/>
        <v>0</v>
      </c>
      <c r="AF663" s="798">
        <f t="shared" si="659"/>
        <v>0</v>
      </c>
      <c r="AG663" s="798">
        <f t="shared" si="659"/>
        <v>0</v>
      </c>
      <c r="AH663" s="798">
        <f t="shared" si="659"/>
        <v>0</v>
      </c>
      <c r="AI663" s="798">
        <f t="shared" si="659"/>
        <v>0</v>
      </c>
      <c r="AJ663" s="798">
        <f t="shared" si="659"/>
        <v>0</v>
      </c>
      <c r="AK663" s="798">
        <f t="shared" si="659"/>
        <v>0</v>
      </c>
      <c r="AL663" s="798">
        <f t="shared" si="659"/>
        <v>0</v>
      </c>
      <c r="AM663" s="798">
        <f t="shared" si="659"/>
        <v>0</v>
      </c>
      <c r="AN663" s="798">
        <f t="shared" si="659"/>
        <v>0</v>
      </c>
      <c r="AO663" s="798">
        <f t="shared" si="659"/>
        <v>0</v>
      </c>
      <c r="AP663" s="798">
        <f t="shared" si="659"/>
        <v>0</v>
      </c>
      <c r="AQ663" s="798">
        <f t="shared" si="659"/>
        <v>0</v>
      </c>
      <c r="AR663" s="798">
        <f t="shared" si="659"/>
        <v>0</v>
      </c>
      <c r="AS663" s="798">
        <f t="shared" si="659"/>
        <v>0</v>
      </c>
      <c r="AT663" s="798">
        <f t="shared" si="659"/>
        <v>0</v>
      </c>
      <c r="AU663" s="798">
        <f t="shared" si="659"/>
        <v>0</v>
      </c>
      <c r="AV663" s="798">
        <f t="shared" si="659"/>
        <v>0</v>
      </c>
      <c r="AW663" s="798">
        <f t="shared" si="659"/>
        <v>0</v>
      </c>
      <c r="AX663" s="798">
        <f t="shared" si="659"/>
        <v>0</v>
      </c>
      <c r="AY663" s="798">
        <f t="shared" si="659"/>
        <v>0</v>
      </c>
      <c r="AZ663" s="798">
        <f t="shared" si="659"/>
        <v>0</v>
      </c>
      <c r="BA663" s="798">
        <f t="shared" si="659"/>
        <v>0</v>
      </c>
      <c r="BB663" s="798">
        <f t="shared" si="659"/>
        <v>0</v>
      </c>
      <c r="BC663" s="798">
        <f t="shared" si="659"/>
        <v>0</v>
      </c>
      <c r="BD663" s="798">
        <f t="shared" si="659"/>
        <v>0</v>
      </c>
      <c r="BE663" s="798">
        <f t="shared" si="659"/>
        <v>0</v>
      </c>
      <c r="BF663" s="798">
        <f t="shared" si="659"/>
        <v>0</v>
      </c>
      <c r="BG663" s="798">
        <f t="shared" si="659"/>
        <v>0</v>
      </c>
      <c r="BH663" s="798">
        <f t="shared" si="659"/>
        <v>0</v>
      </c>
      <c r="BI663" s="798">
        <f t="shared" si="659"/>
        <v>0</v>
      </c>
      <c r="BJ663" s="798">
        <f t="shared" si="659"/>
        <v>0</v>
      </c>
      <c r="BK663" s="798">
        <f t="shared" si="659"/>
        <v>1</v>
      </c>
      <c r="BL663" s="765"/>
      <c r="BM663" s="817"/>
      <c r="BN663" s="817"/>
    </row>
    <row r="664" hidden="1">
      <c r="A664" s="765"/>
      <c r="B664" s="765"/>
      <c r="C664" s="765"/>
      <c r="D664" s="765"/>
      <c r="E664" s="765"/>
      <c r="F664" s="765"/>
      <c r="G664" s="765"/>
      <c r="H664" s="765"/>
      <c r="I664" s="765">
        <f t="shared" si="17"/>
        <v>653</v>
      </c>
      <c r="J664" s="763">
        <f t="shared" si="5"/>
        <v>6.87342E+17</v>
      </c>
      <c r="K664" s="796">
        <f t="shared" si="7"/>
        <v>0.56029</v>
      </c>
      <c r="L664" s="796">
        <v>5.0E-4</v>
      </c>
      <c r="M664" s="763">
        <v>7.83741792665664E17</v>
      </c>
      <c r="N664" s="797">
        <f t="shared" si="8"/>
        <v>0</v>
      </c>
      <c r="O664" s="798">
        <f t="shared" ref="O664:BK664" si="660">FLOOR(MIN((((N("value of ELS upgrade")+N$8*($K664-$K663))*(N("Check checkbox")+(IF($G$6=TRUE,$G$7,$G$8))/$G$8))/(N("ROI of ELS and multiply by 2 if ELS is 1:1")+IF($G$12 = True, 2, 1) * $J664))/((N("difference in ELS+ and the cost of it")+(($K663*O$8)-($K663*N$8)) / O$7)),(N("MIN lets it return 0 or 1 after floored")+1)),1)</f>
        <v>0</v>
      </c>
      <c r="P664" s="798">
        <f t="shared" si="660"/>
        <v>0</v>
      </c>
      <c r="Q664" s="798">
        <f t="shared" si="660"/>
        <v>0</v>
      </c>
      <c r="R664" s="798">
        <f t="shared" si="660"/>
        <v>0</v>
      </c>
      <c r="S664" s="798">
        <f t="shared" si="660"/>
        <v>0</v>
      </c>
      <c r="T664" s="798">
        <f t="shared" si="660"/>
        <v>0</v>
      </c>
      <c r="U664" s="798">
        <f t="shared" si="660"/>
        <v>0</v>
      </c>
      <c r="V664" s="798">
        <f t="shared" si="660"/>
        <v>0</v>
      </c>
      <c r="W664" s="798">
        <f t="shared" si="660"/>
        <v>0</v>
      </c>
      <c r="X664" s="798">
        <f t="shared" si="660"/>
        <v>0</v>
      </c>
      <c r="Y664" s="798">
        <f t="shared" si="660"/>
        <v>0</v>
      </c>
      <c r="Z664" s="798">
        <f t="shared" si="660"/>
        <v>0</v>
      </c>
      <c r="AA664" s="798">
        <f t="shared" si="660"/>
        <v>0</v>
      </c>
      <c r="AB664" s="798">
        <f t="shared" si="660"/>
        <v>0</v>
      </c>
      <c r="AC664" s="798">
        <f t="shared" si="660"/>
        <v>0</v>
      </c>
      <c r="AD664" s="798">
        <f t="shared" si="660"/>
        <v>0</v>
      </c>
      <c r="AE664" s="798">
        <f t="shared" si="660"/>
        <v>0</v>
      </c>
      <c r="AF664" s="798">
        <f t="shared" si="660"/>
        <v>0</v>
      </c>
      <c r="AG664" s="798">
        <f t="shared" si="660"/>
        <v>0</v>
      </c>
      <c r="AH664" s="798">
        <f t="shared" si="660"/>
        <v>0</v>
      </c>
      <c r="AI664" s="798">
        <f t="shared" si="660"/>
        <v>0</v>
      </c>
      <c r="AJ664" s="798">
        <f t="shared" si="660"/>
        <v>0</v>
      </c>
      <c r="AK664" s="798">
        <f t="shared" si="660"/>
        <v>0</v>
      </c>
      <c r="AL664" s="798">
        <f t="shared" si="660"/>
        <v>0</v>
      </c>
      <c r="AM664" s="798">
        <f t="shared" si="660"/>
        <v>0</v>
      </c>
      <c r="AN664" s="798">
        <f t="shared" si="660"/>
        <v>0</v>
      </c>
      <c r="AO664" s="798">
        <f t="shared" si="660"/>
        <v>0</v>
      </c>
      <c r="AP664" s="798">
        <f t="shared" si="660"/>
        <v>0</v>
      </c>
      <c r="AQ664" s="798">
        <f t="shared" si="660"/>
        <v>0</v>
      </c>
      <c r="AR664" s="798">
        <f t="shared" si="660"/>
        <v>0</v>
      </c>
      <c r="AS664" s="798">
        <f t="shared" si="660"/>
        <v>0</v>
      </c>
      <c r="AT664" s="798">
        <f t="shared" si="660"/>
        <v>0</v>
      </c>
      <c r="AU664" s="798">
        <f t="shared" si="660"/>
        <v>0</v>
      </c>
      <c r="AV664" s="798">
        <f t="shared" si="660"/>
        <v>0</v>
      </c>
      <c r="AW664" s="798">
        <f t="shared" si="660"/>
        <v>0</v>
      </c>
      <c r="AX664" s="798">
        <f t="shared" si="660"/>
        <v>0</v>
      </c>
      <c r="AY664" s="798">
        <f t="shared" si="660"/>
        <v>0</v>
      </c>
      <c r="AZ664" s="798">
        <f t="shared" si="660"/>
        <v>0</v>
      </c>
      <c r="BA664" s="798">
        <f t="shared" si="660"/>
        <v>0</v>
      </c>
      <c r="BB664" s="798">
        <f t="shared" si="660"/>
        <v>0</v>
      </c>
      <c r="BC664" s="798">
        <f t="shared" si="660"/>
        <v>0</v>
      </c>
      <c r="BD664" s="798">
        <f t="shared" si="660"/>
        <v>0</v>
      </c>
      <c r="BE664" s="798">
        <f t="shared" si="660"/>
        <v>0</v>
      </c>
      <c r="BF664" s="798">
        <f t="shared" si="660"/>
        <v>0</v>
      </c>
      <c r="BG664" s="798">
        <f t="shared" si="660"/>
        <v>0</v>
      </c>
      <c r="BH664" s="798">
        <f t="shared" si="660"/>
        <v>0</v>
      </c>
      <c r="BI664" s="798">
        <f t="shared" si="660"/>
        <v>0</v>
      </c>
      <c r="BJ664" s="798">
        <f t="shared" si="660"/>
        <v>0</v>
      </c>
      <c r="BK664" s="798">
        <f t="shared" si="660"/>
        <v>1</v>
      </c>
      <c r="BL664" s="765"/>
      <c r="BM664" s="817"/>
      <c r="BN664" s="817"/>
    </row>
    <row r="665" hidden="1">
      <c r="A665" s="765"/>
      <c r="B665" s="765"/>
      <c r="C665" s="765"/>
      <c r="D665" s="765"/>
      <c r="E665" s="765"/>
      <c r="F665" s="765"/>
      <c r="G665" s="765"/>
      <c r="H665" s="765"/>
      <c r="I665" s="765">
        <f t="shared" si="17"/>
        <v>654</v>
      </c>
      <c r="J665" s="763">
        <f t="shared" si="5"/>
        <v>6.89622E+17</v>
      </c>
      <c r="K665" s="796">
        <f t="shared" si="7"/>
        <v>0.56079</v>
      </c>
      <c r="L665" s="796">
        <v>5.0E-4</v>
      </c>
      <c r="M665" s="763">
        <v>7.86341608609625E17</v>
      </c>
      <c r="N665" s="797">
        <f t="shared" si="8"/>
        <v>0</v>
      </c>
      <c r="O665" s="798">
        <f t="shared" ref="O665:BK665" si="661">FLOOR(MIN((((N("value of ELS upgrade")+N$8*($K665-$K664))*(N("Check checkbox")+(IF($G$6=TRUE,$G$7,$G$8))/$G$8))/(N("ROI of ELS and multiply by 2 if ELS is 1:1")+IF($G$12 = True, 2, 1) * $J665))/((N("difference in ELS+ and the cost of it")+(($K664*O$8)-($K664*N$8)) / O$7)),(N("MIN lets it return 0 or 1 after floored")+1)),1)</f>
        <v>0</v>
      </c>
      <c r="P665" s="798">
        <f t="shared" si="661"/>
        <v>0</v>
      </c>
      <c r="Q665" s="798">
        <f t="shared" si="661"/>
        <v>0</v>
      </c>
      <c r="R665" s="798">
        <f t="shared" si="661"/>
        <v>0</v>
      </c>
      <c r="S665" s="798">
        <f t="shared" si="661"/>
        <v>0</v>
      </c>
      <c r="T665" s="798">
        <f t="shared" si="661"/>
        <v>0</v>
      </c>
      <c r="U665" s="798">
        <f t="shared" si="661"/>
        <v>0</v>
      </c>
      <c r="V665" s="798">
        <f t="shared" si="661"/>
        <v>0</v>
      </c>
      <c r="W665" s="798">
        <f t="shared" si="661"/>
        <v>0</v>
      </c>
      <c r="X665" s="798">
        <f t="shared" si="661"/>
        <v>0</v>
      </c>
      <c r="Y665" s="798">
        <f t="shared" si="661"/>
        <v>0</v>
      </c>
      <c r="Z665" s="798">
        <f t="shared" si="661"/>
        <v>0</v>
      </c>
      <c r="AA665" s="798">
        <f t="shared" si="661"/>
        <v>0</v>
      </c>
      <c r="AB665" s="798">
        <f t="shared" si="661"/>
        <v>0</v>
      </c>
      <c r="AC665" s="798">
        <f t="shared" si="661"/>
        <v>0</v>
      </c>
      <c r="AD665" s="798">
        <f t="shared" si="661"/>
        <v>0</v>
      </c>
      <c r="AE665" s="798">
        <f t="shared" si="661"/>
        <v>0</v>
      </c>
      <c r="AF665" s="798">
        <f t="shared" si="661"/>
        <v>0</v>
      </c>
      <c r="AG665" s="798">
        <f t="shared" si="661"/>
        <v>0</v>
      </c>
      <c r="AH665" s="798">
        <f t="shared" si="661"/>
        <v>0</v>
      </c>
      <c r="AI665" s="798">
        <f t="shared" si="661"/>
        <v>0</v>
      </c>
      <c r="AJ665" s="798">
        <f t="shared" si="661"/>
        <v>0</v>
      </c>
      <c r="AK665" s="798">
        <f t="shared" si="661"/>
        <v>0</v>
      </c>
      <c r="AL665" s="798">
        <f t="shared" si="661"/>
        <v>0</v>
      </c>
      <c r="AM665" s="798">
        <f t="shared" si="661"/>
        <v>0</v>
      </c>
      <c r="AN665" s="798">
        <f t="shared" si="661"/>
        <v>0</v>
      </c>
      <c r="AO665" s="798">
        <f t="shared" si="661"/>
        <v>0</v>
      </c>
      <c r="AP665" s="798">
        <f t="shared" si="661"/>
        <v>0</v>
      </c>
      <c r="AQ665" s="798">
        <f t="shared" si="661"/>
        <v>0</v>
      </c>
      <c r="AR665" s="798">
        <f t="shared" si="661"/>
        <v>0</v>
      </c>
      <c r="AS665" s="798">
        <f t="shared" si="661"/>
        <v>0</v>
      </c>
      <c r="AT665" s="798">
        <f t="shared" si="661"/>
        <v>0</v>
      </c>
      <c r="AU665" s="798">
        <f t="shared" si="661"/>
        <v>0</v>
      </c>
      <c r="AV665" s="798">
        <f t="shared" si="661"/>
        <v>0</v>
      </c>
      <c r="AW665" s="798">
        <f t="shared" si="661"/>
        <v>0</v>
      </c>
      <c r="AX665" s="798">
        <f t="shared" si="661"/>
        <v>0</v>
      </c>
      <c r="AY665" s="798">
        <f t="shared" si="661"/>
        <v>0</v>
      </c>
      <c r="AZ665" s="798">
        <f t="shared" si="661"/>
        <v>0</v>
      </c>
      <c r="BA665" s="798">
        <f t="shared" si="661"/>
        <v>0</v>
      </c>
      <c r="BB665" s="798">
        <f t="shared" si="661"/>
        <v>0</v>
      </c>
      <c r="BC665" s="798">
        <f t="shared" si="661"/>
        <v>0</v>
      </c>
      <c r="BD665" s="798">
        <f t="shared" si="661"/>
        <v>0</v>
      </c>
      <c r="BE665" s="798">
        <f t="shared" si="661"/>
        <v>0</v>
      </c>
      <c r="BF665" s="798">
        <f t="shared" si="661"/>
        <v>0</v>
      </c>
      <c r="BG665" s="798">
        <f t="shared" si="661"/>
        <v>0</v>
      </c>
      <c r="BH665" s="798">
        <f t="shared" si="661"/>
        <v>0</v>
      </c>
      <c r="BI665" s="798">
        <f t="shared" si="661"/>
        <v>0</v>
      </c>
      <c r="BJ665" s="798">
        <f t="shared" si="661"/>
        <v>0</v>
      </c>
      <c r="BK665" s="798">
        <f t="shared" si="661"/>
        <v>1</v>
      </c>
      <c r="BL665" s="765"/>
      <c r="BM665" s="817"/>
      <c r="BN665" s="817"/>
    </row>
    <row r="666" hidden="1">
      <c r="A666" s="765"/>
      <c r="B666" s="765"/>
      <c r="C666" s="765"/>
      <c r="D666" s="765"/>
      <c r="E666" s="765"/>
      <c r="F666" s="765"/>
      <c r="G666" s="765"/>
      <c r="H666" s="765"/>
      <c r="I666" s="765">
        <f t="shared" si="17"/>
        <v>655</v>
      </c>
      <c r="J666" s="763">
        <f t="shared" si="5"/>
        <v>6.91908E+17</v>
      </c>
      <c r="K666" s="796">
        <f t="shared" si="7"/>
        <v>0.56129</v>
      </c>
      <c r="L666" s="796">
        <v>5.0E-4</v>
      </c>
      <c r="M666" s="763">
        <v>7.8894872320186E17</v>
      </c>
      <c r="N666" s="797">
        <f t="shared" si="8"/>
        <v>0</v>
      </c>
      <c r="O666" s="798">
        <f t="shared" ref="O666:BK666" si="662">FLOOR(MIN((((N("value of ELS upgrade")+N$8*($K666-$K665))*(N("Check checkbox")+(IF($G$6=TRUE,$G$7,$G$8))/$G$8))/(N("ROI of ELS and multiply by 2 if ELS is 1:1")+IF($G$12 = True, 2, 1) * $J666))/((N("difference in ELS+ and the cost of it")+(($K665*O$8)-($K665*N$8)) / O$7)),(N("MIN lets it return 0 or 1 after floored")+1)),1)</f>
        <v>0</v>
      </c>
      <c r="P666" s="798">
        <f t="shared" si="662"/>
        <v>0</v>
      </c>
      <c r="Q666" s="798">
        <f t="shared" si="662"/>
        <v>0</v>
      </c>
      <c r="R666" s="798">
        <f t="shared" si="662"/>
        <v>0</v>
      </c>
      <c r="S666" s="798">
        <f t="shared" si="662"/>
        <v>0</v>
      </c>
      <c r="T666" s="798">
        <f t="shared" si="662"/>
        <v>0</v>
      </c>
      <c r="U666" s="798">
        <f t="shared" si="662"/>
        <v>0</v>
      </c>
      <c r="V666" s="798">
        <f t="shared" si="662"/>
        <v>0</v>
      </c>
      <c r="W666" s="798">
        <f t="shared" si="662"/>
        <v>0</v>
      </c>
      <c r="X666" s="798">
        <f t="shared" si="662"/>
        <v>0</v>
      </c>
      <c r="Y666" s="798">
        <f t="shared" si="662"/>
        <v>0</v>
      </c>
      <c r="Z666" s="798">
        <f t="shared" si="662"/>
        <v>0</v>
      </c>
      <c r="AA666" s="798">
        <f t="shared" si="662"/>
        <v>0</v>
      </c>
      <c r="AB666" s="798">
        <f t="shared" si="662"/>
        <v>0</v>
      </c>
      <c r="AC666" s="798">
        <f t="shared" si="662"/>
        <v>0</v>
      </c>
      <c r="AD666" s="798">
        <f t="shared" si="662"/>
        <v>0</v>
      </c>
      <c r="AE666" s="798">
        <f t="shared" si="662"/>
        <v>0</v>
      </c>
      <c r="AF666" s="798">
        <f t="shared" si="662"/>
        <v>0</v>
      </c>
      <c r="AG666" s="798">
        <f t="shared" si="662"/>
        <v>0</v>
      </c>
      <c r="AH666" s="798">
        <f t="shared" si="662"/>
        <v>0</v>
      </c>
      <c r="AI666" s="798">
        <f t="shared" si="662"/>
        <v>0</v>
      </c>
      <c r="AJ666" s="798">
        <f t="shared" si="662"/>
        <v>0</v>
      </c>
      <c r="AK666" s="798">
        <f t="shared" si="662"/>
        <v>0</v>
      </c>
      <c r="AL666" s="798">
        <f t="shared" si="662"/>
        <v>0</v>
      </c>
      <c r="AM666" s="798">
        <f t="shared" si="662"/>
        <v>0</v>
      </c>
      <c r="AN666" s="798">
        <f t="shared" si="662"/>
        <v>0</v>
      </c>
      <c r="AO666" s="798">
        <f t="shared" si="662"/>
        <v>0</v>
      </c>
      <c r="AP666" s="798">
        <f t="shared" si="662"/>
        <v>0</v>
      </c>
      <c r="AQ666" s="798">
        <f t="shared" si="662"/>
        <v>0</v>
      </c>
      <c r="AR666" s="798">
        <f t="shared" si="662"/>
        <v>0</v>
      </c>
      <c r="AS666" s="798">
        <f t="shared" si="662"/>
        <v>0</v>
      </c>
      <c r="AT666" s="798">
        <f t="shared" si="662"/>
        <v>0</v>
      </c>
      <c r="AU666" s="798">
        <f t="shared" si="662"/>
        <v>0</v>
      </c>
      <c r="AV666" s="798">
        <f t="shared" si="662"/>
        <v>0</v>
      </c>
      <c r="AW666" s="798">
        <f t="shared" si="662"/>
        <v>0</v>
      </c>
      <c r="AX666" s="798">
        <f t="shared" si="662"/>
        <v>0</v>
      </c>
      <c r="AY666" s="798">
        <f t="shared" si="662"/>
        <v>0</v>
      </c>
      <c r="AZ666" s="798">
        <f t="shared" si="662"/>
        <v>0</v>
      </c>
      <c r="BA666" s="798">
        <f t="shared" si="662"/>
        <v>0</v>
      </c>
      <c r="BB666" s="798">
        <f t="shared" si="662"/>
        <v>0</v>
      </c>
      <c r="BC666" s="798">
        <f t="shared" si="662"/>
        <v>0</v>
      </c>
      <c r="BD666" s="798">
        <f t="shared" si="662"/>
        <v>0</v>
      </c>
      <c r="BE666" s="798">
        <f t="shared" si="662"/>
        <v>0</v>
      </c>
      <c r="BF666" s="798">
        <f t="shared" si="662"/>
        <v>0</v>
      </c>
      <c r="BG666" s="798">
        <f t="shared" si="662"/>
        <v>0</v>
      </c>
      <c r="BH666" s="798">
        <f t="shared" si="662"/>
        <v>0</v>
      </c>
      <c r="BI666" s="798">
        <f t="shared" si="662"/>
        <v>0</v>
      </c>
      <c r="BJ666" s="798">
        <f t="shared" si="662"/>
        <v>0</v>
      </c>
      <c r="BK666" s="798">
        <f t="shared" si="662"/>
        <v>1</v>
      </c>
      <c r="BL666" s="765"/>
      <c r="BM666" s="817"/>
      <c r="BN666" s="817"/>
    </row>
    <row r="667" hidden="1">
      <c r="A667" s="765"/>
      <c r="B667" s="765"/>
      <c r="C667" s="765"/>
      <c r="D667" s="765"/>
      <c r="E667" s="765"/>
      <c r="F667" s="765"/>
      <c r="G667" s="765"/>
      <c r="H667" s="765"/>
      <c r="I667" s="765">
        <f t="shared" si="17"/>
        <v>656</v>
      </c>
      <c r="J667" s="763">
        <f t="shared" si="5"/>
        <v>6.94201E+17</v>
      </c>
      <c r="K667" s="796">
        <f t="shared" si="7"/>
        <v>0.56179</v>
      </c>
      <c r="L667" s="796">
        <v>5.0E-4</v>
      </c>
      <c r="M667" s="763">
        <v>7.91563099013402E17</v>
      </c>
      <c r="N667" s="797">
        <f t="shared" si="8"/>
        <v>0</v>
      </c>
      <c r="O667" s="798">
        <f t="shared" ref="O667:BK667" si="663">FLOOR(MIN((((N("value of ELS upgrade")+N$8*($K667-$K666))*(N("Check checkbox")+(IF($G$6=TRUE,$G$7,$G$8))/$G$8))/(N("ROI of ELS and multiply by 2 if ELS is 1:1")+IF($G$12 = True, 2, 1) * $J667))/((N("difference in ELS+ and the cost of it")+(($K666*O$8)-($K666*N$8)) / O$7)),(N("MIN lets it return 0 or 1 after floored")+1)),1)</f>
        <v>0</v>
      </c>
      <c r="P667" s="798">
        <f t="shared" si="663"/>
        <v>0</v>
      </c>
      <c r="Q667" s="798">
        <f t="shared" si="663"/>
        <v>0</v>
      </c>
      <c r="R667" s="798">
        <f t="shared" si="663"/>
        <v>0</v>
      </c>
      <c r="S667" s="798">
        <f t="shared" si="663"/>
        <v>0</v>
      </c>
      <c r="T667" s="798">
        <f t="shared" si="663"/>
        <v>0</v>
      </c>
      <c r="U667" s="798">
        <f t="shared" si="663"/>
        <v>0</v>
      </c>
      <c r="V667" s="798">
        <f t="shared" si="663"/>
        <v>0</v>
      </c>
      <c r="W667" s="798">
        <f t="shared" si="663"/>
        <v>0</v>
      </c>
      <c r="X667" s="798">
        <f t="shared" si="663"/>
        <v>0</v>
      </c>
      <c r="Y667" s="798">
        <f t="shared" si="663"/>
        <v>0</v>
      </c>
      <c r="Z667" s="798">
        <f t="shared" si="663"/>
        <v>0</v>
      </c>
      <c r="AA667" s="798">
        <f t="shared" si="663"/>
        <v>0</v>
      </c>
      <c r="AB667" s="798">
        <f t="shared" si="663"/>
        <v>0</v>
      </c>
      <c r="AC667" s="798">
        <f t="shared" si="663"/>
        <v>0</v>
      </c>
      <c r="AD667" s="798">
        <f t="shared" si="663"/>
        <v>0</v>
      </c>
      <c r="AE667" s="798">
        <f t="shared" si="663"/>
        <v>0</v>
      </c>
      <c r="AF667" s="798">
        <f t="shared" si="663"/>
        <v>0</v>
      </c>
      <c r="AG667" s="798">
        <f t="shared" si="663"/>
        <v>0</v>
      </c>
      <c r="AH667" s="798">
        <f t="shared" si="663"/>
        <v>0</v>
      </c>
      <c r="AI667" s="798">
        <f t="shared" si="663"/>
        <v>0</v>
      </c>
      <c r="AJ667" s="798">
        <f t="shared" si="663"/>
        <v>0</v>
      </c>
      <c r="AK667" s="798">
        <f t="shared" si="663"/>
        <v>0</v>
      </c>
      <c r="AL667" s="798">
        <f t="shared" si="663"/>
        <v>0</v>
      </c>
      <c r="AM667" s="798">
        <f t="shared" si="663"/>
        <v>0</v>
      </c>
      <c r="AN667" s="798">
        <f t="shared" si="663"/>
        <v>0</v>
      </c>
      <c r="AO667" s="798">
        <f t="shared" si="663"/>
        <v>0</v>
      </c>
      <c r="AP667" s="798">
        <f t="shared" si="663"/>
        <v>0</v>
      </c>
      <c r="AQ667" s="798">
        <f t="shared" si="663"/>
        <v>0</v>
      </c>
      <c r="AR667" s="798">
        <f t="shared" si="663"/>
        <v>0</v>
      </c>
      <c r="AS667" s="798">
        <f t="shared" si="663"/>
        <v>0</v>
      </c>
      <c r="AT667" s="798">
        <f t="shared" si="663"/>
        <v>0</v>
      </c>
      <c r="AU667" s="798">
        <f t="shared" si="663"/>
        <v>0</v>
      </c>
      <c r="AV667" s="798">
        <f t="shared" si="663"/>
        <v>0</v>
      </c>
      <c r="AW667" s="798">
        <f t="shared" si="663"/>
        <v>0</v>
      </c>
      <c r="AX667" s="798">
        <f t="shared" si="663"/>
        <v>0</v>
      </c>
      <c r="AY667" s="798">
        <f t="shared" si="663"/>
        <v>0</v>
      </c>
      <c r="AZ667" s="798">
        <f t="shared" si="663"/>
        <v>0</v>
      </c>
      <c r="BA667" s="798">
        <f t="shared" si="663"/>
        <v>0</v>
      </c>
      <c r="BB667" s="798">
        <f t="shared" si="663"/>
        <v>0</v>
      </c>
      <c r="BC667" s="798">
        <f t="shared" si="663"/>
        <v>0</v>
      </c>
      <c r="BD667" s="798">
        <f t="shared" si="663"/>
        <v>0</v>
      </c>
      <c r="BE667" s="798">
        <f t="shared" si="663"/>
        <v>0</v>
      </c>
      <c r="BF667" s="798">
        <f t="shared" si="663"/>
        <v>0</v>
      </c>
      <c r="BG667" s="798">
        <f t="shared" si="663"/>
        <v>0</v>
      </c>
      <c r="BH667" s="798">
        <f t="shared" si="663"/>
        <v>0</v>
      </c>
      <c r="BI667" s="798">
        <f t="shared" si="663"/>
        <v>0</v>
      </c>
      <c r="BJ667" s="798">
        <f t="shared" si="663"/>
        <v>0</v>
      </c>
      <c r="BK667" s="798">
        <f t="shared" si="663"/>
        <v>1</v>
      </c>
      <c r="BL667" s="765"/>
      <c r="BM667" s="817"/>
      <c r="BN667" s="817"/>
    </row>
    <row r="668" hidden="1">
      <c r="A668" s="765"/>
      <c r="B668" s="765"/>
      <c r="C668" s="765"/>
      <c r="D668" s="765"/>
      <c r="E668" s="765"/>
      <c r="F668" s="765"/>
      <c r="G668" s="765"/>
      <c r="H668" s="765"/>
      <c r="I668" s="765">
        <f t="shared" si="17"/>
        <v>657</v>
      </c>
      <c r="J668" s="763">
        <f t="shared" si="5"/>
        <v>6.965E+17</v>
      </c>
      <c r="K668" s="796">
        <f t="shared" si="7"/>
        <v>0.56229</v>
      </c>
      <c r="L668" s="796">
        <v>5.0E-4</v>
      </c>
      <c r="M668" s="763">
        <v>7.94184773473218E17</v>
      </c>
      <c r="N668" s="797">
        <f t="shared" si="8"/>
        <v>0</v>
      </c>
      <c r="O668" s="798">
        <f t="shared" ref="O668:BK668" si="664">FLOOR(MIN((((N("value of ELS upgrade")+N$8*($K668-$K667))*(N("Check checkbox")+(IF($G$6=TRUE,$G$7,$G$8))/$G$8))/(N("ROI of ELS and multiply by 2 if ELS is 1:1")+IF($G$12 = True, 2, 1) * $J668))/((N("difference in ELS+ and the cost of it")+(($K667*O$8)-($K667*N$8)) / O$7)),(N("MIN lets it return 0 or 1 after floored")+1)),1)</f>
        <v>0</v>
      </c>
      <c r="P668" s="798">
        <f t="shared" si="664"/>
        <v>0</v>
      </c>
      <c r="Q668" s="798">
        <f t="shared" si="664"/>
        <v>0</v>
      </c>
      <c r="R668" s="798">
        <f t="shared" si="664"/>
        <v>0</v>
      </c>
      <c r="S668" s="798">
        <f t="shared" si="664"/>
        <v>0</v>
      </c>
      <c r="T668" s="798">
        <f t="shared" si="664"/>
        <v>0</v>
      </c>
      <c r="U668" s="798">
        <f t="shared" si="664"/>
        <v>0</v>
      </c>
      <c r="V668" s="798">
        <f t="shared" si="664"/>
        <v>0</v>
      </c>
      <c r="W668" s="798">
        <f t="shared" si="664"/>
        <v>0</v>
      </c>
      <c r="X668" s="798">
        <f t="shared" si="664"/>
        <v>0</v>
      </c>
      <c r="Y668" s="798">
        <f t="shared" si="664"/>
        <v>0</v>
      </c>
      <c r="Z668" s="798">
        <f t="shared" si="664"/>
        <v>0</v>
      </c>
      <c r="AA668" s="798">
        <f t="shared" si="664"/>
        <v>0</v>
      </c>
      <c r="AB668" s="798">
        <f t="shared" si="664"/>
        <v>0</v>
      </c>
      <c r="AC668" s="798">
        <f t="shared" si="664"/>
        <v>0</v>
      </c>
      <c r="AD668" s="798">
        <f t="shared" si="664"/>
        <v>0</v>
      </c>
      <c r="AE668" s="798">
        <f t="shared" si="664"/>
        <v>0</v>
      </c>
      <c r="AF668" s="798">
        <f t="shared" si="664"/>
        <v>0</v>
      </c>
      <c r="AG668" s="798">
        <f t="shared" si="664"/>
        <v>0</v>
      </c>
      <c r="AH668" s="798">
        <f t="shared" si="664"/>
        <v>0</v>
      </c>
      <c r="AI668" s="798">
        <f t="shared" si="664"/>
        <v>0</v>
      </c>
      <c r="AJ668" s="798">
        <f t="shared" si="664"/>
        <v>0</v>
      </c>
      <c r="AK668" s="798">
        <f t="shared" si="664"/>
        <v>0</v>
      </c>
      <c r="AL668" s="798">
        <f t="shared" si="664"/>
        <v>0</v>
      </c>
      <c r="AM668" s="798">
        <f t="shared" si="664"/>
        <v>0</v>
      </c>
      <c r="AN668" s="798">
        <f t="shared" si="664"/>
        <v>0</v>
      </c>
      <c r="AO668" s="798">
        <f t="shared" si="664"/>
        <v>0</v>
      </c>
      <c r="AP668" s="798">
        <f t="shared" si="664"/>
        <v>0</v>
      </c>
      <c r="AQ668" s="798">
        <f t="shared" si="664"/>
        <v>0</v>
      </c>
      <c r="AR668" s="798">
        <f t="shared" si="664"/>
        <v>0</v>
      </c>
      <c r="AS668" s="798">
        <f t="shared" si="664"/>
        <v>0</v>
      </c>
      <c r="AT668" s="798">
        <f t="shared" si="664"/>
        <v>0</v>
      </c>
      <c r="AU668" s="798">
        <f t="shared" si="664"/>
        <v>0</v>
      </c>
      <c r="AV668" s="798">
        <f t="shared" si="664"/>
        <v>0</v>
      </c>
      <c r="AW668" s="798">
        <f t="shared" si="664"/>
        <v>0</v>
      </c>
      <c r="AX668" s="798">
        <f t="shared" si="664"/>
        <v>0</v>
      </c>
      <c r="AY668" s="798">
        <f t="shared" si="664"/>
        <v>0</v>
      </c>
      <c r="AZ668" s="798">
        <f t="shared" si="664"/>
        <v>0</v>
      </c>
      <c r="BA668" s="798">
        <f t="shared" si="664"/>
        <v>0</v>
      </c>
      <c r="BB668" s="798">
        <f t="shared" si="664"/>
        <v>0</v>
      </c>
      <c r="BC668" s="798">
        <f t="shared" si="664"/>
        <v>0</v>
      </c>
      <c r="BD668" s="798">
        <f t="shared" si="664"/>
        <v>0</v>
      </c>
      <c r="BE668" s="798">
        <f t="shared" si="664"/>
        <v>0</v>
      </c>
      <c r="BF668" s="798">
        <f t="shared" si="664"/>
        <v>0</v>
      </c>
      <c r="BG668" s="798">
        <f t="shared" si="664"/>
        <v>0</v>
      </c>
      <c r="BH668" s="798">
        <f t="shared" si="664"/>
        <v>0</v>
      </c>
      <c r="BI668" s="798">
        <f t="shared" si="664"/>
        <v>0</v>
      </c>
      <c r="BJ668" s="798">
        <f t="shared" si="664"/>
        <v>0</v>
      </c>
      <c r="BK668" s="798">
        <f t="shared" si="664"/>
        <v>1</v>
      </c>
      <c r="BL668" s="765"/>
      <c r="BM668" s="817"/>
      <c r="BN668" s="817"/>
    </row>
    <row r="669" hidden="1">
      <c r="A669" s="765"/>
      <c r="B669" s="765"/>
      <c r="C669" s="765"/>
      <c r="D669" s="765"/>
      <c r="E669" s="765"/>
      <c r="F669" s="765"/>
      <c r="G669" s="765"/>
      <c r="H669" s="765"/>
      <c r="I669" s="765">
        <f t="shared" si="17"/>
        <v>658</v>
      </c>
      <c r="J669" s="763">
        <f t="shared" si="5"/>
        <v>6.98806E+17</v>
      </c>
      <c r="K669" s="796">
        <f t="shared" si="7"/>
        <v>0.56279</v>
      </c>
      <c r="L669" s="796">
        <v>5.0E-4</v>
      </c>
      <c r="M669" s="763">
        <v>7.96813784010273E17</v>
      </c>
      <c r="N669" s="797">
        <f t="shared" si="8"/>
        <v>0</v>
      </c>
      <c r="O669" s="798">
        <f t="shared" ref="O669:BK669" si="665">FLOOR(MIN((((N("value of ELS upgrade")+N$8*($K669-$K668))*(N("Check checkbox")+(IF($G$6=TRUE,$G$7,$G$8))/$G$8))/(N("ROI of ELS and multiply by 2 if ELS is 1:1")+IF($G$12 = True, 2, 1) * $J669))/((N("difference in ELS+ and the cost of it")+(($K668*O$8)-($K668*N$8)) / O$7)),(N("MIN lets it return 0 or 1 after floored")+1)),1)</f>
        <v>0</v>
      </c>
      <c r="P669" s="798">
        <f t="shared" si="665"/>
        <v>0</v>
      </c>
      <c r="Q669" s="798">
        <f t="shared" si="665"/>
        <v>0</v>
      </c>
      <c r="R669" s="798">
        <f t="shared" si="665"/>
        <v>0</v>
      </c>
      <c r="S669" s="798">
        <f t="shared" si="665"/>
        <v>0</v>
      </c>
      <c r="T669" s="798">
        <f t="shared" si="665"/>
        <v>0</v>
      </c>
      <c r="U669" s="798">
        <f t="shared" si="665"/>
        <v>0</v>
      </c>
      <c r="V669" s="798">
        <f t="shared" si="665"/>
        <v>0</v>
      </c>
      <c r="W669" s="798">
        <f t="shared" si="665"/>
        <v>0</v>
      </c>
      <c r="X669" s="798">
        <f t="shared" si="665"/>
        <v>0</v>
      </c>
      <c r="Y669" s="798">
        <f t="shared" si="665"/>
        <v>0</v>
      </c>
      <c r="Z669" s="798">
        <f t="shared" si="665"/>
        <v>0</v>
      </c>
      <c r="AA669" s="798">
        <f t="shared" si="665"/>
        <v>0</v>
      </c>
      <c r="AB669" s="798">
        <f t="shared" si="665"/>
        <v>0</v>
      </c>
      <c r="AC669" s="798">
        <f t="shared" si="665"/>
        <v>0</v>
      </c>
      <c r="AD669" s="798">
        <f t="shared" si="665"/>
        <v>0</v>
      </c>
      <c r="AE669" s="798">
        <f t="shared" si="665"/>
        <v>0</v>
      </c>
      <c r="AF669" s="798">
        <f t="shared" si="665"/>
        <v>0</v>
      </c>
      <c r="AG669" s="798">
        <f t="shared" si="665"/>
        <v>0</v>
      </c>
      <c r="AH669" s="798">
        <f t="shared" si="665"/>
        <v>0</v>
      </c>
      <c r="AI669" s="798">
        <f t="shared" si="665"/>
        <v>0</v>
      </c>
      <c r="AJ669" s="798">
        <f t="shared" si="665"/>
        <v>0</v>
      </c>
      <c r="AK669" s="798">
        <f t="shared" si="665"/>
        <v>0</v>
      </c>
      <c r="AL669" s="798">
        <f t="shared" si="665"/>
        <v>0</v>
      </c>
      <c r="AM669" s="798">
        <f t="shared" si="665"/>
        <v>0</v>
      </c>
      <c r="AN669" s="798">
        <f t="shared" si="665"/>
        <v>0</v>
      </c>
      <c r="AO669" s="798">
        <f t="shared" si="665"/>
        <v>0</v>
      </c>
      <c r="AP669" s="798">
        <f t="shared" si="665"/>
        <v>0</v>
      </c>
      <c r="AQ669" s="798">
        <f t="shared" si="665"/>
        <v>0</v>
      </c>
      <c r="AR669" s="798">
        <f t="shared" si="665"/>
        <v>0</v>
      </c>
      <c r="AS669" s="798">
        <f t="shared" si="665"/>
        <v>0</v>
      </c>
      <c r="AT669" s="798">
        <f t="shared" si="665"/>
        <v>0</v>
      </c>
      <c r="AU669" s="798">
        <f t="shared" si="665"/>
        <v>0</v>
      </c>
      <c r="AV669" s="798">
        <f t="shared" si="665"/>
        <v>0</v>
      </c>
      <c r="AW669" s="798">
        <f t="shared" si="665"/>
        <v>0</v>
      </c>
      <c r="AX669" s="798">
        <f t="shared" si="665"/>
        <v>0</v>
      </c>
      <c r="AY669" s="798">
        <f t="shared" si="665"/>
        <v>0</v>
      </c>
      <c r="AZ669" s="798">
        <f t="shared" si="665"/>
        <v>0</v>
      </c>
      <c r="BA669" s="798">
        <f t="shared" si="665"/>
        <v>0</v>
      </c>
      <c r="BB669" s="798">
        <f t="shared" si="665"/>
        <v>0</v>
      </c>
      <c r="BC669" s="798">
        <f t="shared" si="665"/>
        <v>0</v>
      </c>
      <c r="BD669" s="798">
        <f t="shared" si="665"/>
        <v>0</v>
      </c>
      <c r="BE669" s="798">
        <f t="shared" si="665"/>
        <v>0</v>
      </c>
      <c r="BF669" s="798">
        <f t="shared" si="665"/>
        <v>0</v>
      </c>
      <c r="BG669" s="798">
        <f t="shared" si="665"/>
        <v>0</v>
      </c>
      <c r="BH669" s="798">
        <f t="shared" si="665"/>
        <v>0</v>
      </c>
      <c r="BI669" s="798">
        <f t="shared" si="665"/>
        <v>0</v>
      </c>
      <c r="BJ669" s="798">
        <f t="shared" si="665"/>
        <v>0</v>
      </c>
      <c r="BK669" s="798">
        <f t="shared" si="665"/>
        <v>1</v>
      </c>
      <c r="BL669" s="765"/>
      <c r="BM669" s="817"/>
      <c r="BN669" s="817"/>
    </row>
    <row r="670" hidden="1">
      <c r="A670" s="765"/>
      <c r="B670" s="765"/>
      <c r="C670" s="765"/>
      <c r="D670" s="765"/>
      <c r="E670" s="765"/>
      <c r="F670" s="765"/>
      <c r="G670" s="765"/>
      <c r="H670" s="765"/>
      <c r="I670" s="765">
        <f t="shared" si="17"/>
        <v>659</v>
      </c>
      <c r="J670" s="763">
        <f t="shared" si="5"/>
        <v>7.01118E+17</v>
      </c>
      <c r="K670" s="796">
        <f t="shared" si="7"/>
        <v>0.56329</v>
      </c>
      <c r="L670" s="796">
        <v>5.0E-4</v>
      </c>
      <c r="M670" s="763">
        <v>7.99450093195601E17</v>
      </c>
      <c r="N670" s="797">
        <f t="shared" si="8"/>
        <v>0</v>
      </c>
      <c r="O670" s="798">
        <f t="shared" ref="O670:BK670" si="666">FLOOR(MIN((((N("value of ELS upgrade")+N$8*($K670-$K669))*(N("Check checkbox")+(IF($G$6=TRUE,$G$7,$G$8))/$G$8))/(N("ROI of ELS and multiply by 2 if ELS is 1:1")+IF($G$12 = True, 2, 1) * $J670))/((N("difference in ELS+ and the cost of it")+(($K669*O$8)-($K669*N$8)) / O$7)),(N("MIN lets it return 0 or 1 after floored")+1)),1)</f>
        <v>0</v>
      </c>
      <c r="P670" s="798">
        <f t="shared" si="666"/>
        <v>0</v>
      </c>
      <c r="Q670" s="798">
        <f t="shared" si="666"/>
        <v>0</v>
      </c>
      <c r="R670" s="798">
        <f t="shared" si="666"/>
        <v>0</v>
      </c>
      <c r="S670" s="798">
        <f t="shared" si="666"/>
        <v>0</v>
      </c>
      <c r="T670" s="798">
        <f t="shared" si="666"/>
        <v>0</v>
      </c>
      <c r="U670" s="798">
        <f t="shared" si="666"/>
        <v>0</v>
      </c>
      <c r="V670" s="798">
        <f t="shared" si="666"/>
        <v>0</v>
      </c>
      <c r="W670" s="798">
        <f t="shared" si="666"/>
        <v>0</v>
      </c>
      <c r="X670" s="798">
        <f t="shared" si="666"/>
        <v>0</v>
      </c>
      <c r="Y670" s="798">
        <f t="shared" si="666"/>
        <v>0</v>
      </c>
      <c r="Z670" s="798">
        <f t="shared" si="666"/>
        <v>0</v>
      </c>
      <c r="AA670" s="798">
        <f t="shared" si="666"/>
        <v>0</v>
      </c>
      <c r="AB670" s="798">
        <f t="shared" si="666"/>
        <v>0</v>
      </c>
      <c r="AC670" s="798">
        <f t="shared" si="666"/>
        <v>0</v>
      </c>
      <c r="AD670" s="798">
        <f t="shared" si="666"/>
        <v>0</v>
      </c>
      <c r="AE670" s="798">
        <f t="shared" si="666"/>
        <v>0</v>
      </c>
      <c r="AF670" s="798">
        <f t="shared" si="666"/>
        <v>0</v>
      </c>
      <c r="AG670" s="798">
        <f t="shared" si="666"/>
        <v>0</v>
      </c>
      <c r="AH670" s="798">
        <f t="shared" si="666"/>
        <v>0</v>
      </c>
      <c r="AI670" s="798">
        <f t="shared" si="666"/>
        <v>0</v>
      </c>
      <c r="AJ670" s="798">
        <f t="shared" si="666"/>
        <v>0</v>
      </c>
      <c r="AK670" s="798">
        <f t="shared" si="666"/>
        <v>0</v>
      </c>
      <c r="AL670" s="798">
        <f t="shared" si="666"/>
        <v>0</v>
      </c>
      <c r="AM670" s="798">
        <f t="shared" si="666"/>
        <v>0</v>
      </c>
      <c r="AN670" s="798">
        <f t="shared" si="666"/>
        <v>0</v>
      </c>
      <c r="AO670" s="798">
        <f t="shared" si="666"/>
        <v>0</v>
      </c>
      <c r="AP670" s="798">
        <f t="shared" si="666"/>
        <v>0</v>
      </c>
      <c r="AQ670" s="798">
        <f t="shared" si="666"/>
        <v>0</v>
      </c>
      <c r="AR670" s="798">
        <f t="shared" si="666"/>
        <v>0</v>
      </c>
      <c r="AS670" s="798">
        <f t="shared" si="666"/>
        <v>0</v>
      </c>
      <c r="AT670" s="798">
        <f t="shared" si="666"/>
        <v>0</v>
      </c>
      <c r="AU670" s="798">
        <f t="shared" si="666"/>
        <v>0</v>
      </c>
      <c r="AV670" s="798">
        <f t="shared" si="666"/>
        <v>0</v>
      </c>
      <c r="AW670" s="798">
        <f t="shared" si="666"/>
        <v>0</v>
      </c>
      <c r="AX670" s="798">
        <f t="shared" si="666"/>
        <v>0</v>
      </c>
      <c r="AY670" s="798">
        <f t="shared" si="666"/>
        <v>0</v>
      </c>
      <c r="AZ670" s="798">
        <f t="shared" si="666"/>
        <v>0</v>
      </c>
      <c r="BA670" s="798">
        <f t="shared" si="666"/>
        <v>0</v>
      </c>
      <c r="BB670" s="798">
        <f t="shared" si="666"/>
        <v>0</v>
      </c>
      <c r="BC670" s="798">
        <f t="shared" si="666"/>
        <v>0</v>
      </c>
      <c r="BD670" s="798">
        <f t="shared" si="666"/>
        <v>0</v>
      </c>
      <c r="BE670" s="798">
        <f t="shared" si="666"/>
        <v>0</v>
      </c>
      <c r="BF670" s="798">
        <f t="shared" si="666"/>
        <v>0</v>
      </c>
      <c r="BG670" s="798">
        <f t="shared" si="666"/>
        <v>0</v>
      </c>
      <c r="BH670" s="798">
        <f t="shared" si="666"/>
        <v>0</v>
      </c>
      <c r="BI670" s="798">
        <f t="shared" si="666"/>
        <v>0</v>
      </c>
      <c r="BJ670" s="798">
        <f t="shared" si="666"/>
        <v>0</v>
      </c>
      <c r="BK670" s="798">
        <f t="shared" si="666"/>
        <v>1</v>
      </c>
      <c r="BL670" s="765"/>
      <c r="BM670" s="817"/>
      <c r="BN670" s="817"/>
    </row>
    <row r="671" hidden="1">
      <c r="A671" s="765"/>
      <c r="B671" s="765"/>
      <c r="C671" s="765"/>
      <c r="D671" s="765"/>
      <c r="E671" s="765"/>
      <c r="F671" s="765"/>
      <c r="G671" s="765"/>
      <c r="H671" s="765"/>
      <c r="I671" s="765">
        <f t="shared" si="17"/>
        <v>660</v>
      </c>
      <c r="J671" s="763">
        <f t="shared" si="5"/>
        <v>7.03436E+17</v>
      </c>
      <c r="K671" s="796">
        <f t="shared" si="7"/>
        <v>0.56379</v>
      </c>
      <c r="L671" s="796">
        <v>5.0E-4</v>
      </c>
      <c r="M671" s="763">
        <v>8.02093738458168E17</v>
      </c>
      <c r="N671" s="797">
        <f t="shared" si="8"/>
        <v>0</v>
      </c>
      <c r="O671" s="798">
        <f t="shared" ref="O671:BK671" si="667">FLOOR(MIN((((N("value of ELS upgrade")+N$8*($K671-$K670))*(N("Check checkbox")+(IF($G$6=TRUE,$G$7,$G$8))/$G$8))/(N("ROI of ELS and multiply by 2 if ELS is 1:1")+IF($G$12 = True, 2, 1) * $J671))/((N("difference in ELS+ and the cost of it")+(($K670*O$8)-($K670*N$8)) / O$7)),(N("MIN lets it return 0 or 1 after floored")+1)),1)</f>
        <v>0</v>
      </c>
      <c r="P671" s="798">
        <f t="shared" si="667"/>
        <v>0</v>
      </c>
      <c r="Q671" s="798">
        <f t="shared" si="667"/>
        <v>0</v>
      </c>
      <c r="R671" s="798">
        <f t="shared" si="667"/>
        <v>0</v>
      </c>
      <c r="S671" s="798">
        <f t="shared" si="667"/>
        <v>0</v>
      </c>
      <c r="T671" s="798">
        <f t="shared" si="667"/>
        <v>0</v>
      </c>
      <c r="U671" s="798">
        <f t="shared" si="667"/>
        <v>0</v>
      </c>
      <c r="V671" s="798">
        <f t="shared" si="667"/>
        <v>0</v>
      </c>
      <c r="W671" s="798">
        <f t="shared" si="667"/>
        <v>0</v>
      </c>
      <c r="X671" s="798">
        <f t="shared" si="667"/>
        <v>0</v>
      </c>
      <c r="Y671" s="798">
        <f t="shared" si="667"/>
        <v>0</v>
      </c>
      <c r="Z671" s="798">
        <f t="shared" si="667"/>
        <v>0</v>
      </c>
      <c r="AA671" s="798">
        <f t="shared" si="667"/>
        <v>0</v>
      </c>
      <c r="AB671" s="798">
        <f t="shared" si="667"/>
        <v>0</v>
      </c>
      <c r="AC671" s="798">
        <f t="shared" si="667"/>
        <v>0</v>
      </c>
      <c r="AD671" s="798">
        <f t="shared" si="667"/>
        <v>0</v>
      </c>
      <c r="AE671" s="798">
        <f t="shared" si="667"/>
        <v>0</v>
      </c>
      <c r="AF671" s="798">
        <f t="shared" si="667"/>
        <v>0</v>
      </c>
      <c r="AG671" s="798">
        <f t="shared" si="667"/>
        <v>0</v>
      </c>
      <c r="AH671" s="798">
        <f t="shared" si="667"/>
        <v>0</v>
      </c>
      <c r="AI671" s="798">
        <f t="shared" si="667"/>
        <v>0</v>
      </c>
      <c r="AJ671" s="798">
        <f t="shared" si="667"/>
        <v>0</v>
      </c>
      <c r="AK671" s="798">
        <f t="shared" si="667"/>
        <v>0</v>
      </c>
      <c r="AL671" s="798">
        <f t="shared" si="667"/>
        <v>0</v>
      </c>
      <c r="AM671" s="798">
        <f t="shared" si="667"/>
        <v>0</v>
      </c>
      <c r="AN671" s="798">
        <f t="shared" si="667"/>
        <v>0</v>
      </c>
      <c r="AO671" s="798">
        <f t="shared" si="667"/>
        <v>0</v>
      </c>
      <c r="AP671" s="798">
        <f t="shared" si="667"/>
        <v>0</v>
      </c>
      <c r="AQ671" s="798">
        <f t="shared" si="667"/>
        <v>0</v>
      </c>
      <c r="AR671" s="798">
        <f t="shared" si="667"/>
        <v>0</v>
      </c>
      <c r="AS671" s="798">
        <f t="shared" si="667"/>
        <v>0</v>
      </c>
      <c r="AT671" s="798">
        <f t="shared" si="667"/>
        <v>0</v>
      </c>
      <c r="AU671" s="798">
        <f t="shared" si="667"/>
        <v>0</v>
      </c>
      <c r="AV671" s="798">
        <f t="shared" si="667"/>
        <v>0</v>
      </c>
      <c r="AW671" s="798">
        <f t="shared" si="667"/>
        <v>0</v>
      </c>
      <c r="AX671" s="798">
        <f t="shared" si="667"/>
        <v>0</v>
      </c>
      <c r="AY671" s="798">
        <f t="shared" si="667"/>
        <v>0</v>
      </c>
      <c r="AZ671" s="798">
        <f t="shared" si="667"/>
        <v>0</v>
      </c>
      <c r="BA671" s="798">
        <f t="shared" si="667"/>
        <v>0</v>
      </c>
      <c r="BB671" s="798">
        <f t="shared" si="667"/>
        <v>0</v>
      </c>
      <c r="BC671" s="798">
        <f t="shared" si="667"/>
        <v>0</v>
      </c>
      <c r="BD671" s="798">
        <f t="shared" si="667"/>
        <v>0</v>
      </c>
      <c r="BE671" s="798">
        <f t="shared" si="667"/>
        <v>0</v>
      </c>
      <c r="BF671" s="798">
        <f t="shared" si="667"/>
        <v>0</v>
      </c>
      <c r="BG671" s="798">
        <f t="shared" si="667"/>
        <v>0</v>
      </c>
      <c r="BH671" s="798">
        <f t="shared" si="667"/>
        <v>0</v>
      </c>
      <c r="BI671" s="798">
        <f t="shared" si="667"/>
        <v>0</v>
      </c>
      <c r="BJ671" s="798">
        <f t="shared" si="667"/>
        <v>0</v>
      </c>
      <c r="BK671" s="798">
        <f t="shared" si="667"/>
        <v>1</v>
      </c>
      <c r="BL671" s="765"/>
      <c r="BM671" s="817"/>
      <c r="BN671" s="817"/>
    </row>
    <row r="672" hidden="1">
      <c r="A672" s="765"/>
      <c r="B672" s="765"/>
      <c r="C672" s="765"/>
      <c r="D672" s="765"/>
      <c r="E672" s="765"/>
      <c r="F672" s="765"/>
      <c r="G672" s="765"/>
      <c r="H672" s="765"/>
      <c r="I672" s="765">
        <f t="shared" si="17"/>
        <v>661</v>
      </c>
      <c r="J672" s="763">
        <f t="shared" si="5"/>
        <v>7.05761E+17</v>
      </c>
      <c r="K672" s="796">
        <f t="shared" si="7"/>
        <v>0.56429</v>
      </c>
      <c r="L672" s="796">
        <v>5.0E-4</v>
      </c>
      <c r="M672" s="763">
        <v>8.04744719797974E17</v>
      </c>
      <c r="N672" s="797">
        <f t="shared" si="8"/>
        <v>0</v>
      </c>
      <c r="O672" s="798">
        <f t="shared" ref="O672:BK672" si="668">FLOOR(MIN((((N("value of ELS upgrade")+N$8*($K672-$K671))*(N("Check checkbox")+(IF($G$6=TRUE,$G$7,$G$8))/$G$8))/(N("ROI of ELS and multiply by 2 if ELS is 1:1")+IF($G$12 = True, 2, 1) * $J672))/((N("difference in ELS+ and the cost of it")+(($K671*O$8)-($K671*N$8)) / O$7)),(N("MIN lets it return 0 or 1 after floored")+1)),1)</f>
        <v>0</v>
      </c>
      <c r="P672" s="798">
        <f t="shared" si="668"/>
        <v>0</v>
      </c>
      <c r="Q672" s="798">
        <f t="shared" si="668"/>
        <v>0</v>
      </c>
      <c r="R672" s="798">
        <f t="shared" si="668"/>
        <v>0</v>
      </c>
      <c r="S672" s="798">
        <f t="shared" si="668"/>
        <v>0</v>
      </c>
      <c r="T672" s="798">
        <f t="shared" si="668"/>
        <v>0</v>
      </c>
      <c r="U672" s="798">
        <f t="shared" si="668"/>
        <v>0</v>
      </c>
      <c r="V672" s="798">
        <f t="shared" si="668"/>
        <v>0</v>
      </c>
      <c r="W672" s="798">
        <f t="shared" si="668"/>
        <v>0</v>
      </c>
      <c r="X672" s="798">
        <f t="shared" si="668"/>
        <v>0</v>
      </c>
      <c r="Y672" s="798">
        <f t="shared" si="668"/>
        <v>0</v>
      </c>
      <c r="Z672" s="798">
        <f t="shared" si="668"/>
        <v>0</v>
      </c>
      <c r="AA672" s="798">
        <f t="shared" si="668"/>
        <v>0</v>
      </c>
      <c r="AB672" s="798">
        <f t="shared" si="668"/>
        <v>0</v>
      </c>
      <c r="AC672" s="798">
        <f t="shared" si="668"/>
        <v>0</v>
      </c>
      <c r="AD672" s="798">
        <f t="shared" si="668"/>
        <v>0</v>
      </c>
      <c r="AE672" s="798">
        <f t="shared" si="668"/>
        <v>0</v>
      </c>
      <c r="AF672" s="798">
        <f t="shared" si="668"/>
        <v>0</v>
      </c>
      <c r="AG672" s="798">
        <f t="shared" si="668"/>
        <v>0</v>
      </c>
      <c r="AH672" s="798">
        <f t="shared" si="668"/>
        <v>0</v>
      </c>
      <c r="AI672" s="798">
        <f t="shared" si="668"/>
        <v>0</v>
      </c>
      <c r="AJ672" s="798">
        <f t="shared" si="668"/>
        <v>0</v>
      </c>
      <c r="AK672" s="798">
        <f t="shared" si="668"/>
        <v>0</v>
      </c>
      <c r="AL672" s="798">
        <f t="shared" si="668"/>
        <v>0</v>
      </c>
      <c r="AM672" s="798">
        <f t="shared" si="668"/>
        <v>0</v>
      </c>
      <c r="AN672" s="798">
        <f t="shared" si="668"/>
        <v>0</v>
      </c>
      <c r="AO672" s="798">
        <f t="shared" si="668"/>
        <v>0</v>
      </c>
      <c r="AP672" s="798">
        <f t="shared" si="668"/>
        <v>0</v>
      </c>
      <c r="AQ672" s="798">
        <f t="shared" si="668"/>
        <v>0</v>
      </c>
      <c r="AR672" s="798">
        <f t="shared" si="668"/>
        <v>0</v>
      </c>
      <c r="AS672" s="798">
        <f t="shared" si="668"/>
        <v>0</v>
      </c>
      <c r="AT672" s="798">
        <f t="shared" si="668"/>
        <v>0</v>
      </c>
      <c r="AU672" s="798">
        <f t="shared" si="668"/>
        <v>0</v>
      </c>
      <c r="AV672" s="798">
        <f t="shared" si="668"/>
        <v>0</v>
      </c>
      <c r="AW672" s="798">
        <f t="shared" si="668"/>
        <v>0</v>
      </c>
      <c r="AX672" s="798">
        <f t="shared" si="668"/>
        <v>0</v>
      </c>
      <c r="AY672" s="798">
        <f t="shared" si="668"/>
        <v>0</v>
      </c>
      <c r="AZ672" s="798">
        <f t="shared" si="668"/>
        <v>0</v>
      </c>
      <c r="BA672" s="798">
        <f t="shared" si="668"/>
        <v>0</v>
      </c>
      <c r="BB672" s="798">
        <f t="shared" si="668"/>
        <v>0</v>
      </c>
      <c r="BC672" s="798">
        <f t="shared" si="668"/>
        <v>0</v>
      </c>
      <c r="BD672" s="798">
        <f t="shared" si="668"/>
        <v>0</v>
      </c>
      <c r="BE672" s="798">
        <f t="shared" si="668"/>
        <v>0</v>
      </c>
      <c r="BF672" s="798">
        <f t="shared" si="668"/>
        <v>0</v>
      </c>
      <c r="BG672" s="798">
        <f t="shared" si="668"/>
        <v>0</v>
      </c>
      <c r="BH672" s="798">
        <f t="shared" si="668"/>
        <v>0</v>
      </c>
      <c r="BI672" s="798">
        <f t="shared" si="668"/>
        <v>0</v>
      </c>
      <c r="BJ672" s="798">
        <f t="shared" si="668"/>
        <v>0</v>
      </c>
      <c r="BK672" s="798">
        <f t="shared" si="668"/>
        <v>1</v>
      </c>
      <c r="BL672" s="765"/>
      <c r="BM672" s="817"/>
      <c r="BN672" s="817"/>
    </row>
    <row r="673" hidden="1">
      <c r="A673" s="765"/>
      <c r="B673" s="765"/>
      <c r="C673" s="765"/>
      <c r="D673" s="765"/>
      <c r="E673" s="765"/>
      <c r="F673" s="765"/>
      <c r="G673" s="765"/>
      <c r="H673" s="765"/>
      <c r="I673" s="765">
        <f t="shared" si="17"/>
        <v>662</v>
      </c>
      <c r="J673" s="763">
        <f t="shared" si="5"/>
        <v>7.08093E+17</v>
      </c>
      <c r="K673" s="796">
        <f t="shared" si="7"/>
        <v>0.56479</v>
      </c>
      <c r="L673" s="796">
        <v>5.0E-4</v>
      </c>
      <c r="M673" s="763">
        <v>8.0740311207295E17</v>
      </c>
      <c r="N673" s="797">
        <f t="shared" si="8"/>
        <v>0</v>
      </c>
      <c r="O673" s="798">
        <f t="shared" ref="O673:BK673" si="669">FLOOR(MIN((((N("value of ELS upgrade")+N$8*($K673-$K672))*(N("Check checkbox")+(IF($G$6=TRUE,$G$7,$G$8))/$G$8))/(N("ROI of ELS and multiply by 2 if ELS is 1:1")+IF($G$12 = True, 2, 1) * $J673))/((N("difference in ELS+ and the cost of it")+(($K672*O$8)-($K672*N$8)) / O$7)),(N("MIN lets it return 0 or 1 after floored")+1)),1)</f>
        <v>0</v>
      </c>
      <c r="P673" s="798">
        <f t="shared" si="669"/>
        <v>0</v>
      </c>
      <c r="Q673" s="798">
        <f t="shared" si="669"/>
        <v>0</v>
      </c>
      <c r="R673" s="798">
        <f t="shared" si="669"/>
        <v>0</v>
      </c>
      <c r="S673" s="798">
        <f t="shared" si="669"/>
        <v>0</v>
      </c>
      <c r="T673" s="798">
        <f t="shared" si="669"/>
        <v>0</v>
      </c>
      <c r="U673" s="798">
        <f t="shared" si="669"/>
        <v>0</v>
      </c>
      <c r="V673" s="798">
        <f t="shared" si="669"/>
        <v>0</v>
      </c>
      <c r="W673" s="798">
        <f t="shared" si="669"/>
        <v>0</v>
      </c>
      <c r="X673" s="798">
        <f t="shared" si="669"/>
        <v>0</v>
      </c>
      <c r="Y673" s="798">
        <f t="shared" si="669"/>
        <v>0</v>
      </c>
      <c r="Z673" s="798">
        <f t="shared" si="669"/>
        <v>0</v>
      </c>
      <c r="AA673" s="798">
        <f t="shared" si="669"/>
        <v>0</v>
      </c>
      <c r="AB673" s="798">
        <f t="shared" si="669"/>
        <v>0</v>
      </c>
      <c r="AC673" s="798">
        <f t="shared" si="669"/>
        <v>0</v>
      </c>
      <c r="AD673" s="798">
        <f t="shared" si="669"/>
        <v>0</v>
      </c>
      <c r="AE673" s="798">
        <f t="shared" si="669"/>
        <v>0</v>
      </c>
      <c r="AF673" s="798">
        <f t="shared" si="669"/>
        <v>0</v>
      </c>
      <c r="AG673" s="798">
        <f t="shared" si="669"/>
        <v>0</v>
      </c>
      <c r="AH673" s="798">
        <f t="shared" si="669"/>
        <v>0</v>
      </c>
      <c r="AI673" s="798">
        <f t="shared" si="669"/>
        <v>0</v>
      </c>
      <c r="AJ673" s="798">
        <f t="shared" si="669"/>
        <v>0</v>
      </c>
      <c r="AK673" s="798">
        <f t="shared" si="669"/>
        <v>0</v>
      </c>
      <c r="AL673" s="798">
        <f t="shared" si="669"/>
        <v>0</v>
      </c>
      <c r="AM673" s="798">
        <f t="shared" si="669"/>
        <v>0</v>
      </c>
      <c r="AN673" s="798">
        <f t="shared" si="669"/>
        <v>0</v>
      </c>
      <c r="AO673" s="798">
        <f t="shared" si="669"/>
        <v>0</v>
      </c>
      <c r="AP673" s="798">
        <f t="shared" si="669"/>
        <v>0</v>
      </c>
      <c r="AQ673" s="798">
        <f t="shared" si="669"/>
        <v>0</v>
      </c>
      <c r="AR673" s="798">
        <f t="shared" si="669"/>
        <v>0</v>
      </c>
      <c r="AS673" s="798">
        <f t="shared" si="669"/>
        <v>0</v>
      </c>
      <c r="AT673" s="798">
        <f t="shared" si="669"/>
        <v>0</v>
      </c>
      <c r="AU673" s="798">
        <f t="shared" si="669"/>
        <v>0</v>
      </c>
      <c r="AV673" s="798">
        <f t="shared" si="669"/>
        <v>0</v>
      </c>
      <c r="AW673" s="798">
        <f t="shared" si="669"/>
        <v>0</v>
      </c>
      <c r="AX673" s="798">
        <f t="shared" si="669"/>
        <v>0</v>
      </c>
      <c r="AY673" s="798">
        <f t="shared" si="669"/>
        <v>0</v>
      </c>
      <c r="AZ673" s="798">
        <f t="shared" si="669"/>
        <v>0</v>
      </c>
      <c r="BA673" s="798">
        <f t="shared" si="669"/>
        <v>0</v>
      </c>
      <c r="BB673" s="798">
        <f t="shared" si="669"/>
        <v>0</v>
      </c>
      <c r="BC673" s="798">
        <f t="shared" si="669"/>
        <v>0</v>
      </c>
      <c r="BD673" s="798">
        <f t="shared" si="669"/>
        <v>0</v>
      </c>
      <c r="BE673" s="798">
        <f t="shared" si="669"/>
        <v>0</v>
      </c>
      <c r="BF673" s="798">
        <f t="shared" si="669"/>
        <v>0</v>
      </c>
      <c r="BG673" s="798">
        <f t="shared" si="669"/>
        <v>0</v>
      </c>
      <c r="BH673" s="798">
        <f t="shared" si="669"/>
        <v>0</v>
      </c>
      <c r="BI673" s="798">
        <f t="shared" si="669"/>
        <v>0</v>
      </c>
      <c r="BJ673" s="798">
        <f t="shared" si="669"/>
        <v>0</v>
      </c>
      <c r="BK673" s="798">
        <f t="shared" si="669"/>
        <v>1</v>
      </c>
      <c r="BL673" s="765"/>
      <c r="BM673" s="817"/>
      <c r="BN673" s="817"/>
    </row>
    <row r="674" hidden="1">
      <c r="A674" s="765"/>
      <c r="B674" s="765"/>
      <c r="C674" s="765"/>
      <c r="D674" s="765"/>
      <c r="E674" s="765"/>
      <c r="F674" s="765"/>
      <c r="G674" s="765"/>
      <c r="H674" s="765"/>
      <c r="I674" s="765">
        <f t="shared" si="17"/>
        <v>663</v>
      </c>
      <c r="J674" s="763">
        <f t="shared" si="5"/>
        <v>7.1043E+17</v>
      </c>
      <c r="K674" s="796">
        <f t="shared" si="7"/>
        <v>0.56529</v>
      </c>
      <c r="L674" s="796">
        <v>5.0E-4</v>
      </c>
      <c r="M674" s="763">
        <v>8.10068840425165E17</v>
      </c>
      <c r="N674" s="797">
        <f t="shared" si="8"/>
        <v>0</v>
      </c>
      <c r="O674" s="798">
        <f t="shared" ref="O674:BK674" si="670">FLOOR(MIN((((N("value of ELS upgrade")+N$8*($K674-$K673))*(N("Check checkbox")+(IF($G$6=TRUE,$G$7,$G$8))/$G$8))/(N("ROI of ELS and multiply by 2 if ELS is 1:1")+IF($G$12 = True, 2, 1) * $J674))/((N("difference in ELS+ and the cost of it")+(($K673*O$8)-($K673*N$8)) / O$7)),(N("MIN lets it return 0 or 1 after floored")+1)),1)</f>
        <v>0</v>
      </c>
      <c r="P674" s="798">
        <f t="shared" si="670"/>
        <v>0</v>
      </c>
      <c r="Q674" s="798">
        <f t="shared" si="670"/>
        <v>0</v>
      </c>
      <c r="R674" s="798">
        <f t="shared" si="670"/>
        <v>0</v>
      </c>
      <c r="S674" s="798">
        <f t="shared" si="670"/>
        <v>0</v>
      </c>
      <c r="T674" s="798">
        <f t="shared" si="670"/>
        <v>0</v>
      </c>
      <c r="U674" s="798">
        <f t="shared" si="670"/>
        <v>0</v>
      </c>
      <c r="V674" s="798">
        <f t="shared" si="670"/>
        <v>0</v>
      </c>
      <c r="W674" s="798">
        <f t="shared" si="670"/>
        <v>0</v>
      </c>
      <c r="X674" s="798">
        <f t="shared" si="670"/>
        <v>0</v>
      </c>
      <c r="Y674" s="798">
        <f t="shared" si="670"/>
        <v>0</v>
      </c>
      <c r="Z674" s="798">
        <f t="shared" si="670"/>
        <v>0</v>
      </c>
      <c r="AA674" s="798">
        <f t="shared" si="670"/>
        <v>0</v>
      </c>
      <c r="AB674" s="798">
        <f t="shared" si="670"/>
        <v>0</v>
      </c>
      <c r="AC674" s="798">
        <f t="shared" si="670"/>
        <v>0</v>
      </c>
      <c r="AD674" s="798">
        <f t="shared" si="670"/>
        <v>0</v>
      </c>
      <c r="AE674" s="798">
        <f t="shared" si="670"/>
        <v>0</v>
      </c>
      <c r="AF674" s="798">
        <f t="shared" si="670"/>
        <v>0</v>
      </c>
      <c r="AG674" s="798">
        <f t="shared" si="670"/>
        <v>0</v>
      </c>
      <c r="AH674" s="798">
        <f t="shared" si="670"/>
        <v>0</v>
      </c>
      <c r="AI674" s="798">
        <f t="shared" si="670"/>
        <v>0</v>
      </c>
      <c r="AJ674" s="798">
        <f t="shared" si="670"/>
        <v>0</v>
      </c>
      <c r="AK674" s="798">
        <f t="shared" si="670"/>
        <v>0</v>
      </c>
      <c r="AL674" s="798">
        <f t="shared" si="670"/>
        <v>0</v>
      </c>
      <c r="AM674" s="798">
        <f t="shared" si="670"/>
        <v>0</v>
      </c>
      <c r="AN674" s="798">
        <f t="shared" si="670"/>
        <v>0</v>
      </c>
      <c r="AO674" s="798">
        <f t="shared" si="670"/>
        <v>0</v>
      </c>
      <c r="AP674" s="798">
        <f t="shared" si="670"/>
        <v>0</v>
      </c>
      <c r="AQ674" s="798">
        <f t="shared" si="670"/>
        <v>0</v>
      </c>
      <c r="AR674" s="798">
        <f t="shared" si="670"/>
        <v>0</v>
      </c>
      <c r="AS674" s="798">
        <f t="shared" si="670"/>
        <v>0</v>
      </c>
      <c r="AT674" s="798">
        <f t="shared" si="670"/>
        <v>0</v>
      </c>
      <c r="AU674" s="798">
        <f t="shared" si="670"/>
        <v>0</v>
      </c>
      <c r="AV674" s="798">
        <f t="shared" si="670"/>
        <v>0</v>
      </c>
      <c r="AW674" s="798">
        <f t="shared" si="670"/>
        <v>0</v>
      </c>
      <c r="AX674" s="798">
        <f t="shared" si="670"/>
        <v>0</v>
      </c>
      <c r="AY674" s="798">
        <f t="shared" si="670"/>
        <v>0</v>
      </c>
      <c r="AZ674" s="798">
        <f t="shared" si="670"/>
        <v>0</v>
      </c>
      <c r="BA674" s="798">
        <f t="shared" si="670"/>
        <v>0</v>
      </c>
      <c r="BB674" s="798">
        <f t="shared" si="670"/>
        <v>0</v>
      </c>
      <c r="BC674" s="798">
        <f t="shared" si="670"/>
        <v>0</v>
      </c>
      <c r="BD674" s="798">
        <f t="shared" si="670"/>
        <v>0</v>
      </c>
      <c r="BE674" s="798">
        <f t="shared" si="670"/>
        <v>0</v>
      </c>
      <c r="BF674" s="798">
        <f t="shared" si="670"/>
        <v>0</v>
      </c>
      <c r="BG674" s="798">
        <f t="shared" si="670"/>
        <v>0</v>
      </c>
      <c r="BH674" s="798">
        <f t="shared" si="670"/>
        <v>0</v>
      </c>
      <c r="BI674" s="798">
        <f t="shared" si="670"/>
        <v>0</v>
      </c>
      <c r="BJ674" s="798">
        <f t="shared" si="670"/>
        <v>0</v>
      </c>
      <c r="BK674" s="798">
        <f t="shared" si="670"/>
        <v>1</v>
      </c>
      <c r="BL674" s="765"/>
      <c r="BM674" s="817"/>
      <c r="BN674" s="817"/>
    </row>
    <row r="675" hidden="1">
      <c r="A675" s="765"/>
      <c r="B675" s="765"/>
      <c r="C675" s="765"/>
      <c r="D675" s="765"/>
      <c r="E675" s="765"/>
      <c r="F675" s="765"/>
      <c r="G675" s="765"/>
      <c r="H675" s="765"/>
      <c r="I675" s="765">
        <f t="shared" si="17"/>
        <v>664</v>
      </c>
      <c r="J675" s="763">
        <f t="shared" si="5"/>
        <v>7.12775E+17</v>
      </c>
      <c r="K675" s="796">
        <f t="shared" si="7"/>
        <v>0.56579</v>
      </c>
      <c r="L675" s="796">
        <v>5.0E-4</v>
      </c>
      <c r="M675" s="763">
        <v>8.12742017141515E17</v>
      </c>
      <c r="N675" s="797">
        <f t="shared" si="8"/>
        <v>0</v>
      </c>
      <c r="O675" s="798">
        <f t="shared" ref="O675:BK675" si="671">FLOOR(MIN((((N("value of ELS upgrade")+N$8*($K675-$K674))*(N("Check checkbox")+(IF($G$6=TRUE,$G$7,$G$8))/$G$8))/(N("ROI of ELS and multiply by 2 if ELS is 1:1")+IF($G$12 = True, 2, 1) * $J675))/((N("difference in ELS+ and the cost of it")+(($K674*O$8)-($K674*N$8)) / O$7)),(N("MIN lets it return 0 or 1 after floored")+1)),1)</f>
        <v>0</v>
      </c>
      <c r="P675" s="798">
        <f t="shared" si="671"/>
        <v>0</v>
      </c>
      <c r="Q675" s="798">
        <f t="shared" si="671"/>
        <v>0</v>
      </c>
      <c r="R675" s="798">
        <f t="shared" si="671"/>
        <v>0</v>
      </c>
      <c r="S675" s="798">
        <f t="shared" si="671"/>
        <v>0</v>
      </c>
      <c r="T675" s="798">
        <f t="shared" si="671"/>
        <v>0</v>
      </c>
      <c r="U675" s="798">
        <f t="shared" si="671"/>
        <v>0</v>
      </c>
      <c r="V675" s="798">
        <f t="shared" si="671"/>
        <v>0</v>
      </c>
      <c r="W675" s="798">
        <f t="shared" si="671"/>
        <v>0</v>
      </c>
      <c r="X675" s="798">
        <f t="shared" si="671"/>
        <v>0</v>
      </c>
      <c r="Y675" s="798">
        <f t="shared" si="671"/>
        <v>0</v>
      </c>
      <c r="Z675" s="798">
        <f t="shared" si="671"/>
        <v>0</v>
      </c>
      <c r="AA675" s="798">
        <f t="shared" si="671"/>
        <v>0</v>
      </c>
      <c r="AB675" s="798">
        <f t="shared" si="671"/>
        <v>0</v>
      </c>
      <c r="AC675" s="798">
        <f t="shared" si="671"/>
        <v>0</v>
      </c>
      <c r="AD675" s="798">
        <f t="shared" si="671"/>
        <v>0</v>
      </c>
      <c r="AE675" s="798">
        <f t="shared" si="671"/>
        <v>0</v>
      </c>
      <c r="AF675" s="798">
        <f t="shared" si="671"/>
        <v>0</v>
      </c>
      <c r="AG675" s="798">
        <f t="shared" si="671"/>
        <v>0</v>
      </c>
      <c r="AH675" s="798">
        <f t="shared" si="671"/>
        <v>0</v>
      </c>
      <c r="AI675" s="798">
        <f t="shared" si="671"/>
        <v>0</v>
      </c>
      <c r="AJ675" s="798">
        <f t="shared" si="671"/>
        <v>0</v>
      </c>
      <c r="AK675" s="798">
        <f t="shared" si="671"/>
        <v>0</v>
      </c>
      <c r="AL675" s="798">
        <f t="shared" si="671"/>
        <v>0</v>
      </c>
      <c r="AM675" s="798">
        <f t="shared" si="671"/>
        <v>0</v>
      </c>
      <c r="AN675" s="798">
        <f t="shared" si="671"/>
        <v>0</v>
      </c>
      <c r="AO675" s="798">
        <f t="shared" si="671"/>
        <v>0</v>
      </c>
      <c r="AP675" s="798">
        <f t="shared" si="671"/>
        <v>0</v>
      </c>
      <c r="AQ675" s="798">
        <f t="shared" si="671"/>
        <v>0</v>
      </c>
      <c r="AR675" s="798">
        <f t="shared" si="671"/>
        <v>0</v>
      </c>
      <c r="AS675" s="798">
        <f t="shared" si="671"/>
        <v>0</v>
      </c>
      <c r="AT675" s="798">
        <f t="shared" si="671"/>
        <v>0</v>
      </c>
      <c r="AU675" s="798">
        <f t="shared" si="671"/>
        <v>0</v>
      </c>
      <c r="AV675" s="798">
        <f t="shared" si="671"/>
        <v>0</v>
      </c>
      <c r="AW675" s="798">
        <f t="shared" si="671"/>
        <v>0</v>
      </c>
      <c r="AX675" s="798">
        <f t="shared" si="671"/>
        <v>0</v>
      </c>
      <c r="AY675" s="798">
        <f t="shared" si="671"/>
        <v>0</v>
      </c>
      <c r="AZ675" s="798">
        <f t="shared" si="671"/>
        <v>0</v>
      </c>
      <c r="BA675" s="798">
        <f t="shared" si="671"/>
        <v>0</v>
      </c>
      <c r="BB675" s="798">
        <f t="shared" si="671"/>
        <v>0</v>
      </c>
      <c r="BC675" s="798">
        <f t="shared" si="671"/>
        <v>0</v>
      </c>
      <c r="BD675" s="798">
        <f t="shared" si="671"/>
        <v>0</v>
      </c>
      <c r="BE675" s="798">
        <f t="shared" si="671"/>
        <v>0</v>
      </c>
      <c r="BF675" s="798">
        <f t="shared" si="671"/>
        <v>0</v>
      </c>
      <c r="BG675" s="798">
        <f t="shared" si="671"/>
        <v>0</v>
      </c>
      <c r="BH675" s="798">
        <f t="shared" si="671"/>
        <v>0</v>
      </c>
      <c r="BI675" s="798">
        <f t="shared" si="671"/>
        <v>0</v>
      </c>
      <c r="BJ675" s="798">
        <f t="shared" si="671"/>
        <v>0</v>
      </c>
      <c r="BK675" s="798">
        <f t="shared" si="671"/>
        <v>1</v>
      </c>
      <c r="BL675" s="765"/>
      <c r="BM675" s="817"/>
      <c r="BN675" s="817"/>
    </row>
    <row r="676" hidden="1">
      <c r="A676" s="765"/>
      <c r="B676" s="765"/>
      <c r="C676" s="765"/>
      <c r="D676" s="765"/>
      <c r="E676" s="765"/>
      <c r="F676" s="765"/>
      <c r="G676" s="765"/>
      <c r="H676" s="765"/>
      <c r="I676" s="765">
        <f t="shared" si="17"/>
        <v>665</v>
      </c>
      <c r="J676" s="763">
        <f t="shared" si="5"/>
        <v>7.15126E+17</v>
      </c>
      <c r="K676" s="796">
        <f t="shared" si="7"/>
        <v>0.56629</v>
      </c>
      <c r="L676" s="796">
        <v>5.0E-4</v>
      </c>
      <c r="M676" s="763">
        <v>8.15422604793036E17</v>
      </c>
      <c r="N676" s="797">
        <f t="shared" si="8"/>
        <v>0</v>
      </c>
      <c r="O676" s="798">
        <f t="shared" ref="O676:BK676" si="672">FLOOR(MIN((((N("value of ELS upgrade")+N$8*($K676-$K675))*(N("Check checkbox")+(IF($G$6=TRUE,$G$7,$G$8))/$G$8))/(N("ROI of ELS and multiply by 2 if ELS is 1:1")+IF($G$12 = True, 2, 1) * $J676))/((N("difference in ELS+ and the cost of it")+(($K675*O$8)-($K675*N$8)) / O$7)),(N("MIN lets it return 0 or 1 after floored")+1)),1)</f>
        <v>0</v>
      </c>
      <c r="P676" s="798">
        <f t="shared" si="672"/>
        <v>0</v>
      </c>
      <c r="Q676" s="798">
        <f t="shared" si="672"/>
        <v>0</v>
      </c>
      <c r="R676" s="798">
        <f t="shared" si="672"/>
        <v>0</v>
      </c>
      <c r="S676" s="798">
        <f t="shared" si="672"/>
        <v>0</v>
      </c>
      <c r="T676" s="798">
        <f t="shared" si="672"/>
        <v>0</v>
      </c>
      <c r="U676" s="798">
        <f t="shared" si="672"/>
        <v>0</v>
      </c>
      <c r="V676" s="798">
        <f t="shared" si="672"/>
        <v>0</v>
      </c>
      <c r="W676" s="798">
        <f t="shared" si="672"/>
        <v>0</v>
      </c>
      <c r="X676" s="798">
        <f t="shared" si="672"/>
        <v>0</v>
      </c>
      <c r="Y676" s="798">
        <f t="shared" si="672"/>
        <v>0</v>
      </c>
      <c r="Z676" s="798">
        <f t="shared" si="672"/>
        <v>0</v>
      </c>
      <c r="AA676" s="798">
        <f t="shared" si="672"/>
        <v>0</v>
      </c>
      <c r="AB676" s="798">
        <f t="shared" si="672"/>
        <v>0</v>
      </c>
      <c r="AC676" s="798">
        <f t="shared" si="672"/>
        <v>0</v>
      </c>
      <c r="AD676" s="798">
        <f t="shared" si="672"/>
        <v>0</v>
      </c>
      <c r="AE676" s="798">
        <f t="shared" si="672"/>
        <v>0</v>
      </c>
      <c r="AF676" s="798">
        <f t="shared" si="672"/>
        <v>0</v>
      </c>
      <c r="AG676" s="798">
        <f t="shared" si="672"/>
        <v>0</v>
      </c>
      <c r="AH676" s="798">
        <f t="shared" si="672"/>
        <v>0</v>
      </c>
      <c r="AI676" s="798">
        <f t="shared" si="672"/>
        <v>0</v>
      </c>
      <c r="AJ676" s="798">
        <f t="shared" si="672"/>
        <v>0</v>
      </c>
      <c r="AK676" s="798">
        <f t="shared" si="672"/>
        <v>0</v>
      </c>
      <c r="AL676" s="798">
        <f t="shared" si="672"/>
        <v>0</v>
      </c>
      <c r="AM676" s="798">
        <f t="shared" si="672"/>
        <v>0</v>
      </c>
      <c r="AN676" s="798">
        <f t="shared" si="672"/>
        <v>0</v>
      </c>
      <c r="AO676" s="798">
        <f t="shared" si="672"/>
        <v>0</v>
      </c>
      <c r="AP676" s="798">
        <f t="shared" si="672"/>
        <v>0</v>
      </c>
      <c r="AQ676" s="798">
        <f t="shared" si="672"/>
        <v>0</v>
      </c>
      <c r="AR676" s="798">
        <f t="shared" si="672"/>
        <v>0</v>
      </c>
      <c r="AS676" s="798">
        <f t="shared" si="672"/>
        <v>0</v>
      </c>
      <c r="AT676" s="798">
        <f t="shared" si="672"/>
        <v>0</v>
      </c>
      <c r="AU676" s="798">
        <f t="shared" si="672"/>
        <v>0</v>
      </c>
      <c r="AV676" s="798">
        <f t="shared" si="672"/>
        <v>0</v>
      </c>
      <c r="AW676" s="798">
        <f t="shared" si="672"/>
        <v>0</v>
      </c>
      <c r="AX676" s="798">
        <f t="shared" si="672"/>
        <v>0</v>
      </c>
      <c r="AY676" s="798">
        <f t="shared" si="672"/>
        <v>0</v>
      </c>
      <c r="AZ676" s="798">
        <f t="shared" si="672"/>
        <v>0</v>
      </c>
      <c r="BA676" s="798">
        <f t="shared" si="672"/>
        <v>0</v>
      </c>
      <c r="BB676" s="798">
        <f t="shared" si="672"/>
        <v>0</v>
      </c>
      <c r="BC676" s="798">
        <f t="shared" si="672"/>
        <v>0</v>
      </c>
      <c r="BD676" s="798">
        <f t="shared" si="672"/>
        <v>0</v>
      </c>
      <c r="BE676" s="798">
        <f t="shared" si="672"/>
        <v>0</v>
      </c>
      <c r="BF676" s="798">
        <f t="shared" si="672"/>
        <v>0</v>
      </c>
      <c r="BG676" s="798">
        <f t="shared" si="672"/>
        <v>0</v>
      </c>
      <c r="BH676" s="798">
        <f t="shared" si="672"/>
        <v>0</v>
      </c>
      <c r="BI676" s="798">
        <f t="shared" si="672"/>
        <v>0</v>
      </c>
      <c r="BJ676" s="798">
        <f t="shared" si="672"/>
        <v>0</v>
      </c>
      <c r="BK676" s="798">
        <f t="shared" si="672"/>
        <v>1</v>
      </c>
      <c r="BL676" s="765"/>
      <c r="BM676" s="817"/>
      <c r="BN676" s="817"/>
    </row>
    <row r="677" hidden="1">
      <c r="A677" s="765"/>
      <c r="B677" s="765"/>
      <c r="C677" s="765"/>
      <c r="D677" s="765"/>
      <c r="E677" s="765"/>
      <c r="F677" s="765"/>
      <c r="G677" s="765"/>
      <c r="H677" s="765"/>
      <c r="I677" s="765">
        <f t="shared" si="17"/>
        <v>666</v>
      </c>
      <c r="J677" s="763">
        <f t="shared" si="5"/>
        <v>7.17483E+17</v>
      </c>
      <c r="K677" s="796">
        <f t="shared" si="7"/>
        <v>0.56679</v>
      </c>
      <c r="L677" s="796">
        <v>5.0E-4</v>
      </c>
      <c r="M677" s="763">
        <v>8.18110603379726E17</v>
      </c>
      <c r="N677" s="797">
        <f t="shared" si="8"/>
        <v>0</v>
      </c>
      <c r="O677" s="798">
        <f t="shared" ref="O677:BK677" si="673">FLOOR(MIN((((N("value of ELS upgrade")+N$8*($K677-$K676))*(N("Check checkbox")+(IF($G$6=TRUE,$G$7,$G$8))/$G$8))/(N("ROI of ELS and multiply by 2 if ELS is 1:1")+IF($G$12 = True, 2, 1) * $J677))/((N("difference in ELS+ and the cost of it")+(($K676*O$8)-($K676*N$8)) / O$7)),(N("MIN lets it return 0 or 1 after floored")+1)),1)</f>
        <v>0</v>
      </c>
      <c r="P677" s="798">
        <f t="shared" si="673"/>
        <v>0</v>
      </c>
      <c r="Q677" s="798">
        <f t="shared" si="673"/>
        <v>0</v>
      </c>
      <c r="R677" s="798">
        <f t="shared" si="673"/>
        <v>0</v>
      </c>
      <c r="S677" s="798">
        <f t="shared" si="673"/>
        <v>0</v>
      </c>
      <c r="T677" s="798">
        <f t="shared" si="673"/>
        <v>0</v>
      </c>
      <c r="U677" s="798">
        <f t="shared" si="673"/>
        <v>0</v>
      </c>
      <c r="V677" s="798">
        <f t="shared" si="673"/>
        <v>0</v>
      </c>
      <c r="W677" s="798">
        <f t="shared" si="673"/>
        <v>0</v>
      </c>
      <c r="X677" s="798">
        <f t="shared" si="673"/>
        <v>0</v>
      </c>
      <c r="Y677" s="798">
        <f t="shared" si="673"/>
        <v>0</v>
      </c>
      <c r="Z677" s="798">
        <f t="shared" si="673"/>
        <v>0</v>
      </c>
      <c r="AA677" s="798">
        <f t="shared" si="673"/>
        <v>0</v>
      </c>
      <c r="AB677" s="798">
        <f t="shared" si="673"/>
        <v>0</v>
      </c>
      <c r="AC677" s="798">
        <f t="shared" si="673"/>
        <v>0</v>
      </c>
      <c r="AD677" s="798">
        <f t="shared" si="673"/>
        <v>0</v>
      </c>
      <c r="AE677" s="798">
        <f t="shared" si="673"/>
        <v>0</v>
      </c>
      <c r="AF677" s="798">
        <f t="shared" si="673"/>
        <v>0</v>
      </c>
      <c r="AG677" s="798">
        <f t="shared" si="673"/>
        <v>0</v>
      </c>
      <c r="AH677" s="798">
        <f t="shared" si="673"/>
        <v>0</v>
      </c>
      <c r="AI677" s="798">
        <f t="shared" si="673"/>
        <v>0</v>
      </c>
      <c r="AJ677" s="798">
        <f t="shared" si="673"/>
        <v>0</v>
      </c>
      <c r="AK677" s="798">
        <f t="shared" si="673"/>
        <v>0</v>
      </c>
      <c r="AL677" s="798">
        <f t="shared" si="673"/>
        <v>0</v>
      </c>
      <c r="AM677" s="798">
        <f t="shared" si="673"/>
        <v>0</v>
      </c>
      <c r="AN677" s="798">
        <f t="shared" si="673"/>
        <v>0</v>
      </c>
      <c r="AO677" s="798">
        <f t="shared" si="673"/>
        <v>0</v>
      </c>
      <c r="AP677" s="798">
        <f t="shared" si="673"/>
        <v>0</v>
      </c>
      <c r="AQ677" s="798">
        <f t="shared" si="673"/>
        <v>0</v>
      </c>
      <c r="AR677" s="798">
        <f t="shared" si="673"/>
        <v>0</v>
      </c>
      <c r="AS677" s="798">
        <f t="shared" si="673"/>
        <v>0</v>
      </c>
      <c r="AT677" s="798">
        <f t="shared" si="673"/>
        <v>0</v>
      </c>
      <c r="AU677" s="798">
        <f t="shared" si="673"/>
        <v>0</v>
      </c>
      <c r="AV677" s="798">
        <f t="shared" si="673"/>
        <v>0</v>
      </c>
      <c r="AW677" s="798">
        <f t="shared" si="673"/>
        <v>0</v>
      </c>
      <c r="AX677" s="798">
        <f t="shared" si="673"/>
        <v>0</v>
      </c>
      <c r="AY677" s="798">
        <f t="shared" si="673"/>
        <v>0</v>
      </c>
      <c r="AZ677" s="798">
        <f t="shared" si="673"/>
        <v>0</v>
      </c>
      <c r="BA677" s="798">
        <f t="shared" si="673"/>
        <v>0</v>
      </c>
      <c r="BB677" s="798">
        <f t="shared" si="673"/>
        <v>0</v>
      </c>
      <c r="BC677" s="798">
        <f t="shared" si="673"/>
        <v>0</v>
      </c>
      <c r="BD677" s="798">
        <f t="shared" si="673"/>
        <v>0</v>
      </c>
      <c r="BE677" s="798">
        <f t="shared" si="673"/>
        <v>0</v>
      </c>
      <c r="BF677" s="798">
        <f t="shared" si="673"/>
        <v>0</v>
      </c>
      <c r="BG677" s="798">
        <f t="shared" si="673"/>
        <v>0</v>
      </c>
      <c r="BH677" s="798">
        <f t="shared" si="673"/>
        <v>0</v>
      </c>
      <c r="BI677" s="798">
        <f t="shared" si="673"/>
        <v>0</v>
      </c>
      <c r="BJ677" s="798">
        <f t="shared" si="673"/>
        <v>0</v>
      </c>
      <c r="BK677" s="798">
        <f t="shared" si="673"/>
        <v>1</v>
      </c>
      <c r="BL677" s="765"/>
      <c r="BM677" s="817"/>
      <c r="BN677" s="817"/>
    </row>
    <row r="678" hidden="1">
      <c r="A678" s="765"/>
      <c r="B678" s="765"/>
      <c r="C678" s="765"/>
      <c r="D678" s="765"/>
      <c r="E678" s="765"/>
      <c r="F678" s="765"/>
      <c r="G678" s="765"/>
      <c r="H678" s="765"/>
      <c r="I678" s="765">
        <f t="shared" si="17"/>
        <v>667</v>
      </c>
      <c r="J678" s="763">
        <f t="shared" si="5"/>
        <v>7.19847E+17</v>
      </c>
      <c r="K678" s="796">
        <f t="shared" si="7"/>
        <v>0.56729</v>
      </c>
      <c r="L678" s="796">
        <v>5.0E-4</v>
      </c>
      <c r="M678" s="763">
        <v>8.20806050330551E17</v>
      </c>
      <c r="N678" s="797">
        <f t="shared" si="8"/>
        <v>0</v>
      </c>
      <c r="O678" s="798">
        <f t="shared" ref="O678:BK678" si="674">FLOOR(MIN((((N("value of ELS upgrade")+N$8*($K678-$K677))*(N("Check checkbox")+(IF($G$6=TRUE,$G$7,$G$8))/$G$8))/(N("ROI of ELS and multiply by 2 if ELS is 1:1")+IF($G$12 = True, 2, 1) * $J678))/((N("difference in ELS+ and the cost of it")+(($K677*O$8)-($K677*N$8)) / O$7)),(N("MIN lets it return 0 or 1 after floored")+1)),1)</f>
        <v>0</v>
      </c>
      <c r="P678" s="798">
        <f t="shared" si="674"/>
        <v>0</v>
      </c>
      <c r="Q678" s="798">
        <f t="shared" si="674"/>
        <v>0</v>
      </c>
      <c r="R678" s="798">
        <f t="shared" si="674"/>
        <v>0</v>
      </c>
      <c r="S678" s="798">
        <f t="shared" si="674"/>
        <v>0</v>
      </c>
      <c r="T678" s="798">
        <f t="shared" si="674"/>
        <v>0</v>
      </c>
      <c r="U678" s="798">
        <f t="shared" si="674"/>
        <v>0</v>
      </c>
      <c r="V678" s="798">
        <f t="shared" si="674"/>
        <v>0</v>
      </c>
      <c r="W678" s="798">
        <f t="shared" si="674"/>
        <v>0</v>
      </c>
      <c r="X678" s="798">
        <f t="shared" si="674"/>
        <v>0</v>
      </c>
      <c r="Y678" s="798">
        <f t="shared" si="674"/>
        <v>0</v>
      </c>
      <c r="Z678" s="798">
        <f t="shared" si="674"/>
        <v>0</v>
      </c>
      <c r="AA678" s="798">
        <f t="shared" si="674"/>
        <v>0</v>
      </c>
      <c r="AB678" s="798">
        <f t="shared" si="674"/>
        <v>0</v>
      </c>
      <c r="AC678" s="798">
        <f t="shared" si="674"/>
        <v>0</v>
      </c>
      <c r="AD678" s="798">
        <f t="shared" si="674"/>
        <v>0</v>
      </c>
      <c r="AE678" s="798">
        <f t="shared" si="674"/>
        <v>0</v>
      </c>
      <c r="AF678" s="798">
        <f t="shared" si="674"/>
        <v>0</v>
      </c>
      <c r="AG678" s="798">
        <f t="shared" si="674"/>
        <v>0</v>
      </c>
      <c r="AH678" s="798">
        <f t="shared" si="674"/>
        <v>0</v>
      </c>
      <c r="AI678" s="798">
        <f t="shared" si="674"/>
        <v>0</v>
      </c>
      <c r="AJ678" s="798">
        <f t="shared" si="674"/>
        <v>0</v>
      </c>
      <c r="AK678" s="798">
        <f t="shared" si="674"/>
        <v>0</v>
      </c>
      <c r="AL678" s="798">
        <f t="shared" si="674"/>
        <v>0</v>
      </c>
      <c r="AM678" s="798">
        <f t="shared" si="674"/>
        <v>0</v>
      </c>
      <c r="AN678" s="798">
        <f t="shared" si="674"/>
        <v>0</v>
      </c>
      <c r="AO678" s="798">
        <f t="shared" si="674"/>
        <v>0</v>
      </c>
      <c r="AP678" s="798">
        <f t="shared" si="674"/>
        <v>0</v>
      </c>
      <c r="AQ678" s="798">
        <f t="shared" si="674"/>
        <v>0</v>
      </c>
      <c r="AR678" s="798">
        <f t="shared" si="674"/>
        <v>0</v>
      </c>
      <c r="AS678" s="798">
        <f t="shared" si="674"/>
        <v>0</v>
      </c>
      <c r="AT678" s="798">
        <f t="shared" si="674"/>
        <v>0</v>
      </c>
      <c r="AU678" s="798">
        <f t="shared" si="674"/>
        <v>0</v>
      </c>
      <c r="AV678" s="798">
        <f t="shared" si="674"/>
        <v>0</v>
      </c>
      <c r="AW678" s="798">
        <f t="shared" si="674"/>
        <v>0</v>
      </c>
      <c r="AX678" s="798">
        <f t="shared" si="674"/>
        <v>0</v>
      </c>
      <c r="AY678" s="798">
        <f t="shared" si="674"/>
        <v>0</v>
      </c>
      <c r="AZ678" s="798">
        <f t="shared" si="674"/>
        <v>0</v>
      </c>
      <c r="BA678" s="798">
        <f t="shared" si="674"/>
        <v>0</v>
      </c>
      <c r="BB678" s="798">
        <f t="shared" si="674"/>
        <v>0</v>
      </c>
      <c r="BC678" s="798">
        <f t="shared" si="674"/>
        <v>0</v>
      </c>
      <c r="BD678" s="798">
        <f t="shared" si="674"/>
        <v>0</v>
      </c>
      <c r="BE678" s="798">
        <f t="shared" si="674"/>
        <v>0</v>
      </c>
      <c r="BF678" s="798">
        <f t="shared" si="674"/>
        <v>0</v>
      </c>
      <c r="BG678" s="798">
        <f t="shared" si="674"/>
        <v>0</v>
      </c>
      <c r="BH678" s="798">
        <f t="shared" si="674"/>
        <v>0</v>
      </c>
      <c r="BI678" s="798">
        <f t="shared" si="674"/>
        <v>0</v>
      </c>
      <c r="BJ678" s="798">
        <f t="shared" si="674"/>
        <v>0</v>
      </c>
      <c r="BK678" s="798">
        <f t="shared" si="674"/>
        <v>1</v>
      </c>
      <c r="BL678" s="765"/>
      <c r="BM678" s="817"/>
      <c r="BN678" s="817"/>
    </row>
    <row r="679" hidden="1">
      <c r="A679" s="765"/>
      <c r="B679" s="765"/>
      <c r="C679" s="765"/>
      <c r="D679" s="765"/>
      <c r="E679" s="765"/>
      <c r="F679" s="765"/>
      <c r="G679" s="765"/>
      <c r="H679" s="765"/>
      <c r="I679" s="765">
        <f t="shared" si="17"/>
        <v>668</v>
      </c>
      <c r="J679" s="763">
        <f t="shared" si="5"/>
        <v>7.22217E+17</v>
      </c>
      <c r="K679" s="796">
        <f t="shared" si="7"/>
        <v>0.56779</v>
      </c>
      <c r="L679" s="796">
        <v>5.0E-4</v>
      </c>
      <c r="M679" s="763">
        <v>8.23508945645513E17</v>
      </c>
      <c r="N679" s="797">
        <f t="shared" si="8"/>
        <v>0</v>
      </c>
      <c r="O679" s="798">
        <f t="shared" ref="O679:BK679" si="675">FLOOR(MIN((((N("value of ELS upgrade")+N$8*($K679-$K678))*(N("Check checkbox")+(IF($G$6=TRUE,$G$7,$G$8))/$G$8))/(N("ROI of ELS and multiply by 2 if ELS is 1:1")+IF($G$12 = True, 2, 1) * $J679))/((N("difference in ELS+ and the cost of it")+(($K678*O$8)-($K678*N$8)) / O$7)),(N("MIN lets it return 0 or 1 after floored")+1)),1)</f>
        <v>0</v>
      </c>
      <c r="P679" s="798">
        <f t="shared" si="675"/>
        <v>0</v>
      </c>
      <c r="Q679" s="798">
        <f t="shared" si="675"/>
        <v>0</v>
      </c>
      <c r="R679" s="798">
        <f t="shared" si="675"/>
        <v>0</v>
      </c>
      <c r="S679" s="798">
        <f t="shared" si="675"/>
        <v>0</v>
      </c>
      <c r="T679" s="798">
        <f t="shared" si="675"/>
        <v>0</v>
      </c>
      <c r="U679" s="798">
        <f t="shared" si="675"/>
        <v>0</v>
      </c>
      <c r="V679" s="798">
        <f t="shared" si="675"/>
        <v>0</v>
      </c>
      <c r="W679" s="798">
        <f t="shared" si="675"/>
        <v>0</v>
      </c>
      <c r="X679" s="798">
        <f t="shared" si="675"/>
        <v>0</v>
      </c>
      <c r="Y679" s="798">
        <f t="shared" si="675"/>
        <v>0</v>
      </c>
      <c r="Z679" s="798">
        <f t="shared" si="675"/>
        <v>0</v>
      </c>
      <c r="AA679" s="798">
        <f t="shared" si="675"/>
        <v>0</v>
      </c>
      <c r="AB679" s="798">
        <f t="shared" si="675"/>
        <v>0</v>
      </c>
      <c r="AC679" s="798">
        <f t="shared" si="675"/>
        <v>0</v>
      </c>
      <c r="AD679" s="798">
        <f t="shared" si="675"/>
        <v>0</v>
      </c>
      <c r="AE679" s="798">
        <f t="shared" si="675"/>
        <v>0</v>
      </c>
      <c r="AF679" s="798">
        <f t="shared" si="675"/>
        <v>0</v>
      </c>
      <c r="AG679" s="798">
        <f t="shared" si="675"/>
        <v>0</v>
      </c>
      <c r="AH679" s="798">
        <f t="shared" si="675"/>
        <v>0</v>
      </c>
      <c r="AI679" s="798">
        <f t="shared" si="675"/>
        <v>0</v>
      </c>
      <c r="AJ679" s="798">
        <f t="shared" si="675"/>
        <v>0</v>
      </c>
      <c r="AK679" s="798">
        <f t="shared" si="675"/>
        <v>0</v>
      </c>
      <c r="AL679" s="798">
        <f t="shared" si="675"/>
        <v>0</v>
      </c>
      <c r="AM679" s="798">
        <f t="shared" si="675"/>
        <v>0</v>
      </c>
      <c r="AN679" s="798">
        <f t="shared" si="675"/>
        <v>0</v>
      </c>
      <c r="AO679" s="798">
        <f t="shared" si="675"/>
        <v>0</v>
      </c>
      <c r="AP679" s="798">
        <f t="shared" si="675"/>
        <v>0</v>
      </c>
      <c r="AQ679" s="798">
        <f t="shared" si="675"/>
        <v>0</v>
      </c>
      <c r="AR679" s="798">
        <f t="shared" si="675"/>
        <v>0</v>
      </c>
      <c r="AS679" s="798">
        <f t="shared" si="675"/>
        <v>0</v>
      </c>
      <c r="AT679" s="798">
        <f t="shared" si="675"/>
        <v>0</v>
      </c>
      <c r="AU679" s="798">
        <f t="shared" si="675"/>
        <v>0</v>
      </c>
      <c r="AV679" s="798">
        <f t="shared" si="675"/>
        <v>0</v>
      </c>
      <c r="AW679" s="798">
        <f t="shared" si="675"/>
        <v>0</v>
      </c>
      <c r="AX679" s="798">
        <f t="shared" si="675"/>
        <v>0</v>
      </c>
      <c r="AY679" s="798">
        <f t="shared" si="675"/>
        <v>0</v>
      </c>
      <c r="AZ679" s="798">
        <f t="shared" si="675"/>
        <v>0</v>
      </c>
      <c r="BA679" s="798">
        <f t="shared" si="675"/>
        <v>0</v>
      </c>
      <c r="BB679" s="798">
        <f t="shared" si="675"/>
        <v>0</v>
      </c>
      <c r="BC679" s="798">
        <f t="shared" si="675"/>
        <v>0</v>
      </c>
      <c r="BD679" s="798">
        <f t="shared" si="675"/>
        <v>0</v>
      </c>
      <c r="BE679" s="798">
        <f t="shared" si="675"/>
        <v>0</v>
      </c>
      <c r="BF679" s="798">
        <f t="shared" si="675"/>
        <v>0</v>
      </c>
      <c r="BG679" s="798">
        <f t="shared" si="675"/>
        <v>0</v>
      </c>
      <c r="BH679" s="798">
        <f t="shared" si="675"/>
        <v>0</v>
      </c>
      <c r="BI679" s="798">
        <f t="shared" si="675"/>
        <v>0</v>
      </c>
      <c r="BJ679" s="798">
        <f t="shared" si="675"/>
        <v>0</v>
      </c>
      <c r="BK679" s="798">
        <f t="shared" si="675"/>
        <v>1</v>
      </c>
      <c r="BL679" s="765"/>
      <c r="BM679" s="817"/>
      <c r="BN679" s="817"/>
    </row>
    <row r="680" hidden="1">
      <c r="A680" s="765"/>
      <c r="B680" s="765"/>
      <c r="C680" s="765"/>
      <c r="D680" s="765"/>
      <c r="E680" s="765"/>
      <c r="F680" s="765"/>
      <c r="G680" s="765"/>
      <c r="H680" s="765"/>
      <c r="I680" s="765">
        <f t="shared" si="17"/>
        <v>669</v>
      </c>
      <c r="J680" s="763">
        <f t="shared" si="5"/>
        <v>7.24594E+17</v>
      </c>
      <c r="K680" s="796">
        <f t="shared" si="7"/>
        <v>0.56829</v>
      </c>
      <c r="L680" s="796">
        <v>5.0E-4</v>
      </c>
      <c r="M680" s="763">
        <v>8.2621936418254E17</v>
      </c>
      <c r="N680" s="797">
        <f t="shared" si="8"/>
        <v>0</v>
      </c>
      <c r="O680" s="798">
        <f t="shared" ref="O680:BK680" si="676">FLOOR(MIN((((N("value of ELS upgrade")+N$8*($K680-$K679))*(N("Check checkbox")+(IF($G$6=TRUE,$G$7,$G$8))/$G$8))/(N("ROI of ELS and multiply by 2 if ELS is 1:1")+IF($G$12 = True, 2, 1) * $J680))/((N("difference in ELS+ and the cost of it")+(($K679*O$8)-($K679*N$8)) / O$7)),(N("MIN lets it return 0 or 1 after floored")+1)),1)</f>
        <v>0</v>
      </c>
      <c r="P680" s="798">
        <f t="shared" si="676"/>
        <v>0</v>
      </c>
      <c r="Q680" s="798">
        <f t="shared" si="676"/>
        <v>0</v>
      </c>
      <c r="R680" s="798">
        <f t="shared" si="676"/>
        <v>0</v>
      </c>
      <c r="S680" s="798">
        <f t="shared" si="676"/>
        <v>0</v>
      </c>
      <c r="T680" s="798">
        <f t="shared" si="676"/>
        <v>0</v>
      </c>
      <c r="U680" s="798">
        <f t="shared" si="676"/>
        <v>0</v>
      </c>
      <c r="V680" s="798">
        <f t="shared" si="676"/>
        <v>0</v>
      </c>
      <c r="W680" s="798">
        <f t="shared" si="676"/>
        <v>0</v>
      </c>
      <c r="X680" s="798">
        <f t="shared" si="676"/>
        <v>0</v>
      </c>
      <c r="Y680" s="798">
        <f t="shared" si="676"/>
        <v>0</v>
      </c>
      <c r="Z680" s="798">
        <f t="shared" si="676"/>
        <v>0</v>
      </c>
      <c r="AA680" s="798">
        <f t="shared" si="676"/>
        <v>0</v>
      </c>
      <c r="AB680" s="798">
        <f t="shared" si="676"/>
        <v>0</v>
      </c>
      <c r="AC680" s="798">
        <f t="shared" si="676"/>
        <v>0</v>
      </c>
      <c r="AD680" s="798">
        <f t="shared" si="676"/>
        <v>0</v>
      </c>
      <c r="AE680" s="798">
        <f t="shared" si="676"/>
        <v>0</v>
      </c>
      <c r="AF680" s="798">
        <f t="shared" si="676"/>
        <v>0</v>
      </c>
      <c r="AG680" s="798">
        <f t="shared" si="676"/>
        <v>0</v>
      </c>
      <c r="AH680" s="798">
        <f t="shared" si="676"/>
        <v>0</v>
      </c>
      <c r="AI680" s="798">
        <f t="shared" si="676"/>
        <v>0</v>
      </c>
      <c r="AJ680" s="798">
        <f t="shared" si="676"/>
        <v>0</v>
      </c>
      <c r="AK680" s="798">
        <f t="shared" si="676"/>
        <v>0</v>
      </c>
      <c r="AL680" s="798">
        <f t="shared" si="676"/>
        <v>0</v>
      </c>
      <c r="AM680" s="798">
        <f t="shared" si="676"/>
        <v>0</v>
      </c>
      <c r="AN680" s="798">
        <f t="shared" si="676"/>
        <v>0</v>
      </c>
      <c r="AO680" s="798">
        <f t="shared" si="676"/>
        <v>0</v>
      </c>
      <c r="AP680" s="798">
        <f t="shared" si="676"/>
        <v>0</v>
      </c>
      <c r="AQ680" s="798">
        <f t="shared" si="676"/>
        <v>0</v>
      </c>
      <c r="AR680" s="798">
        <f t="shared" si="676"/>
        <v>0</v>
      </c>
      <c r="AS680" s="798">
        <f t="shared" si="676"/>
        <v>0</v>
      </c>
      <c r="AT680" s="798">
        <f t="shared" si="676"/>
        <v>0</v>
      </c>
      <c r="AU680" s="798">
        <f t="shared" si="676"/>
        <v>0</v>
      </c>
      <c r="AV680" s="798">
        <f t="shared" si="676"/>
        <v>0</v>
      </c>
      <c r="AW680" s="798">
        <f t="shared" si="676"/>
        <v>0</v>
      </c>
      <c r="AX680" s="798">
        <f t="shared" si="676"/>
        <v>0</v>
      </c>
      <c r="AY680" s="798">
        <f t="shared" si="676"/>
        <v>0</v>
      </c>
      <c r="AZ680" s="798">
        <f t="shared" si="676"/>
        <v>0</v>
      </c>
      <c r="BA680" s="798">
        <f t="shared" si="676"/>
        <v>0</v>
      </c>
      <c r="BB680" s="798">
        <f t="shared" si="676"/>
        <v>0</v>
      </c>
      <c r="BC680" s="798">
        <f t="shared" si="676"/>
        <v>0</v>
      </c>
      <c r="BD680" s="798">
        <f t="shared" si="676"/>
        <v>0</v>
      </c>
      <c r="BE680" s="798">
        <f t="shared" si="676"/>
        <v>0</v>
      </c>
      <c r="BF680" s="798">
        <f t="shared" si="676"/>
        <v>0</v>
      </c>
      <c r="BG680" s="798">
        <f t="shared" si="676"/>
        <v>0</v>
      </c>
      <c r="BH680" s="798">
        <f t="shared" si="676"/>
        <v>0</v>
      </c>
      <c r="BI680" s="798">
        <f t="shared" si="676"/>
        <v>0</v>
      </c>
      <c r="BJ680" s="798">
        <f t="shared" si="676"/>
        <v>0</v>
      </c>
      <c r="BK680" s="798">
        <f t="shared" si="676"/>
        <v>1</v>
      </c>
      <c r="BL680" s="765"/>
      <c r="BM680" s="817"/>
      <c r="BN680" s="817"/>
    </row>
    <row r="681" hidden="1">
      <c r="A681" s="765"/>
      <c r="B681" s="765"/>
      <c r="C681" s="765"/>
      <c r="D681" s="765"/>
      <c r="E681" s="765"/>
      <c r="F681" s="765"/>
      <c r="G681" s="765"/>
      <c r="H681" s="765"/>
      <c r="I681" s="765">
        <f t="shared" si="17"/>
        <v>670</v>
      </c>
      <c r="J681" s="763">
        <f t="shared" si="5"/>
        <v>7.26978E+17</v>
      </c>
      <c r="K681" s="796">
        <f t="shared" si="7"/>
        <v>0.56879</v>
      </c>
      <c r="L681" s="796">
        <v>5.0E-4</v>
      </c>
      <c r="M681" s="763">
        <v>8.28937231083703E17</v>
      </c>
      <c r="N681" s="797">
        <f t="shared" si="8"/>
        <v>0</v>
      </c>
      <c r="O681" s="798">
        <f t="shared" ref="O681:BK681" si="677">FLOOR(MIN((((N("value of ELS upgrade")+N$8*($K681-$K680))*(N("Check checkbox")+(IF($G$6=TRUE,$G$7,$G$8))/$G$8))/(N("ROI of ELS and multiply by 2 if ELS is 1:1")+IF($G$12 = True, 2, 1) * $J681))/((N("difference in ELS+ and the cost of it")+(($K680*O$8)-($K680*N$8)) / O$7)),(N("MIN lets it return 0 or 1 after floored")+1)),1)</f>
        <v>0</v>
      </c>
      <c r="P681" s="798">
        <f t="shared" si="677"/>
        <v>0</v>
      </c>
      <c r="Q681" s="798">
        <f t="shared" si="677"/>
        <v>0</v>
      </c>
      <c r="R681" s="798">
        <f t="shared" si="677"/>
        <v>0</v>
      </c>
      <c r="S681" s="798">
        <f t="shared" si="677"/>
        <v>0</v>
      </c>
      <c r="T681" s="798">
        <f t="shared" si="677"/>
        <v>0</v>
      </c>
      <c r="U681" s="798">
        <f t="shared" si="677"/>
        <v>0</v>
      </c>
      <c r="V681" s="798">
        <f t="shared" si="677"/>
        <v>0</v>
      </c>
      <c r="W681" s="798">
        <f t="shared" si="677"/>
        <v>0</v>
      </c>
      <c r="X681" s="798">
        <f t="shared" si="677"/>
        <v>0</v>
      </c>
      <c r="Y681" s="798">
        <f t="shared" si="677"/>
        <v>0</v>
      </c>
      <c r="Z681" s="798">
        <f t="shared" si="677"/>
        <v>0</v>
      </c>
      <c r="AA681" s="798">
        <f t="shared" si="677"/>
        <v>0</v>
      </c>
      <c r="AB681" s="798">
        <f t="shared" si="677"/>
        <v>0</v>
      </c>
      <c r="AC681" s="798">
        <f t="shared" si="677"/>
        <v>0</v>
      </c>
      <c r="AD681" s="798">
        <f t="shared" si="677"/>
        <v>0</v>
      </c>
      <c r="AE681" s="798">
        <f t="shared" si="677"/>
        <v>0</v>
      </c>
      <c r="AF681" s="798">
        <f t="shared" si="677"/>
        <v>0</v>
      </c>
      <c r="AG681" s="798">
        <f t="shared" si="677"/>
        <v>0</v>
      </c>
      <c r="AH681" s="798">
        <f t="shared" si="677"/>
        <v>0</v>
      </c>
      <c r="AI681" s="798">
        <f t="shared" si="677"/>
        <v>0</v>
      </c>
      <c r="AJ681" s="798">
        <f t="shared" si="677"/>
        <v>0</v>
      </c>
      <c r="AK681" s="798">
        <f t="shared" si="677"/>
        <v>0</v>
      </c>
      <c r="AL681" s="798">
        <f t="shared" si="677"/>
        <v>0</v>
      </c>
      <c r="AM681" s="798">
        <f t="shared" si="677"/>
        <v>0</v>
      </c>
      <c r="AN681" s="798">
        <f t="shared" si="677"/>
        <v>0</v>
      </c>
      <c r="AO681" s="798">
        <f t="shared" si="677"/>
        <v>0</v>
      </c>
      <c r="AP681" s="798">
        <f t="shared" si="677"/>
        <v>0</v>
      </c>
      <c r="AQ681" s="798">
        <f t="shared" si="677"/>
        <v>0</v>
      </c>
      <c r="AR681" s="798">
        <f t="shared" si="677"/>
        <v>0</v>
      </c>
      <c r="AS681" s="798">
        <f t="shared" si="677"/>
        <v>0</v>
      </c>
      <c r="AT681" s="798">
        <f t="shared" si="677"/>
        <v>0</v>
      </c>
      <c r="AU681" s="798">
        <f t="shared" si="677"/>
        <v>0</v>
      </c>
      <c r="AV681" s="798">
        <f t="shared" si="677"/>
        <v>0</v>
      </c>
      <c r="AW681" s="798">
        <f t="shared" si="677"/>
        <v>0</v>
      </c>
      <c r="AX681" s="798">
        <f t="shared" si="677"/>
        <v>0</v>
      </c>
      <c r="AY681" s="798">
        <f t="shared" si="677"/>
        <v>0</v>
      </c>
      <c r="AZ681" s="798">
        <f t="shared" si="677"/>
        <v>0</v>
      </c>
      <c r="BA681" s="798">
        <f t="shared" si="677"/>
        <v>0</v>
      </c>
      <c r="BB681" s="798">
        <f t="shared" si="677"/>
        <v>0</v>
      </c>
      <c r="BC681" s="798">
        <f t="shared" si="677"/>
        <v>0</v>
      </c>
      <c r="BD681" s="798">
        <f t="shared" si="677"/>
        <v>0</v>
      </c>
      <c r="BE681" s="798">
        <f t="shared" si="677"/>
        <v>0</v>
      </c>
      <c r="BF681" s="798">
        <f t="shared" si="677"/>
        <v>0</v>
      </c>
      <c r="BG681" s="798">
        <f t="shared" si="677"/>
        <v>0</v>
      </c>
      <c r="BH681" s="798">
        <f t="shared" si="677"/>
        <v>0</v>
      </c>
      <c r="BI681" s="798">
        <f t="shared" si="677"/>
        <v>0</v>
      </c>
      <c r="BJ681" s="798">
        <f t="shared" si="677"/>
        <v>0</v>
      </c>
      <c r="BK681" s="798">
        <f t="shared" si="677"/>
        <v>1</v>
      </c>
      <c r="BL681" s="765"/>
      <c r="BM681" s="817"/>
      <c r="BN681" s="817"/>
    </row>
    <row r="682" hidden="1">
      <c r="A682" s="765"/>
      <c r="B682" s="765"/>
      <c r="C682" s="765"/>
      <c r="D682" s="765"/>
      <c r="E682" s="765"/>
      <c r="F682" s="765"/>
      <c r="G682" s="765"/>
      <c r="H682" s="765"/>
      <c r="I682" s="765">
        <f t="shared" si="17"/>
        <v>671</v>
      </c>
      <c r="J682" s="763">
        <f t="shared" si="5"/>
        <v>7.29368E+17</v>
      </c>
      <c r="K682" s="796">
        <f t="shared" si="7"/>
        <v>0.56929</v>
      </c>
      <c r="L682" s="796">
        <v>5.0E-4</v>
      </c>
      <c r="M682" s="763">
        <v>8.31662583777967E17</v>
      </c>
      <c r="N682" s="797">
        <f t="shared" si="8"/>
        <v>0</v>
      </c>
      <c r="O682" s="798">
        <f t="shared" ref="O682:BK682" si="678">FLOOR(MIN((((N("value of ELS upgrade")+N$8*($K682-$K681))*(N("Check checkbox")+(IF($G$6=TRUE,$G$7,$G$8))/$G$8))/(N("ROI of ELS and multiply by 2 if ELS is 1:1")+IF($G$12 = True, 2, 1) * $J682))/((N("difference in ELS+ and the cost of it")+(($K681*O$8)-($K681*N$8)) / O$7)),(N("MIN lets it return 0 or 1 after floored")+1)),1)</f>
        <v>0</v>
      </c>
      <c r="P682" s="798">
        <f t="shared" si="678"/>
        <v>0</v>
      </c>
      <c r="Q682" s="798">
        <f t="shared" si="678"/>
        <v>0</v>
      </c>
      <c r="R682" s="798">
        <f t="shared" si="678"/>
        <v>0</v>
      </c>
      <c r="S682" s="798">
        <f t="shared" si="678"/>
        <v>0</v>
      </c>
      <c r="T682" s="798">
        <f t="shared" si="678"/>
        <v>0</v>
      </c>
      <c r="U682" s="798">
        <f t="shared" si="678"/>
        <v>0</v>
      </c>
      <c r="V682" s="798">
        <f t="shared" si="678"/>
        <v>0</v>
      </c>
      <c r="W682" s="798">
        <f t="shared" si="678"/>
        <v>0</v>
      </c>
      <c r="X682" s="798">
        <f t="shared" si="678"/>
        <v>0</v>
      </c>
      <c r="Y682" s="798">
        <f t="shared" si="678"/>
        <v>0</v>
      </c>
      <c r="Z682" s="798">
        <f t="shared" si="678"/>
        <v>0</v>
      </c>
      <c r="AA682" s="798">
        <f t="shared" si="678"/>
        <v>0</v>
      </c>
      <c r="AB682" s="798">
        <f t="shared" si="678"/>
        <v>0</v>
      </c>
      <c r="AC682" s="798">
        <f t="shared" si="678"/>
        <v>0</v>
      </c>
      <c r="AD682" s="798">
        <f t="shared" si="678"/>
        <v>0</v>
      </c>
      <c r="AE682" s="798">
        <f t="shared" si="678"/>
        <v>0</v>
      </c>
      <c r="AF682" s="798">
        <f t="shared" si="678"/>
        <v>0</v>
      </c>
      <c r="AG682" s="798">
        <f t="shared" si="678"/>
        <v>0</v>
      </c>
      <c r="AH682" s="798">
        <f t="shared" si="678"/>
        <v>0</v>
      </c>
      <c r="AI682" s="798">
        <f t="shared" si="678"/>
        <v>0</v>
      </c>
      <c r="AJ682" s="798">
        <f t="shared" si="678"/>
        <v>0</v>
      </c>
      <c r="AK682" s="798">
        <f t="shared" si="678"/>
        <v>0</v>
      </c>
      <c r="AL682" s="798">
        <f t="shared" si="678"/>
        <v>0</v>
      </c>
      <c r="AM682" s="798">
        <f t="shared" si="678"/>
        <v>0</v>
      </c>
      <c r="AN682" s="798">
        <f t="shared" si="678"/>
        <v>0</v>
      </c>
      <c r="AO682" s="798">
        <f t="shared" si="678"/>
        <v>0</v>
      </c>
      <c r="AP682" s="798">
        <f t="shared" si="678"/>
        <v>0</v>
      </c>
      <c r="AQ682" s="798">
        <f t="shared" si="678"/>
        <v>0</v>
      </c>
      <c r="AR682" s="798">
        <f t="shared" si="678"/>
        <v>0</v>
      </c>
      <c r="AS682" s="798">
        <f t="shared" si="678"/>
        <v>0</v>
      </c>
      <c r="AT682" s="798">
        <f t="shared" si="678"/>
        <v>0</v>
      </c>
      <c r="AU682" s="798">
        <f t="shared" si="678"/>
        <v>0</v>
      </c>
      <c r="AV682" s="798">
        <f t="shared" si="678"/>
        <v>0</v>
      </c>
      <c r="AW682" s="798">
        <f t="shared" si="678"/>
        <v>0</v>
      </c>
      <c r="AX682" s="798">
        <f t="shared" si="678"/>
        <v>0</v>
      </c>
      <c r="AY682" s="798">
        <f t="shared" si="678"/>
        <v>0</v>
      </c>
      <c r="AZ682" s="798">
        <f t="shared" si="678"/>
        <v>0</v>
      </c>
      <c r="BA682" s="798">
        <f t="shared" si="678"/>
        <v>0</v>
      </c>
      <c r="BB682" s="798">
        <f t="shared" si="678"/>
        <v>0</v>
      </c>
      <c r="BC682" s="798">
        <f t="shared" si="678"/>
        <v>0</v>
      </c>
      <c r="BD682" s="798">
        <f t="shared" si="678"/>
        <v>0</v>
      </c>
      <c r="BE682" s="798">
        <f t="shared" si="678"/>
        <v>0</v>
      </c>
      <c r="BF682" s="798">
        <f t="shared" si="678"/>
        <v>0</v>
      </c>
      <c r="BG682" s="798">
        <f t="shared" si="678"/>
        <v>0</v>
      </c>
      <c r="BH682" s="798">
        <f t="shared" si="678"/>
        <v>0</v>
      </c>
      <c r="BI682" s="798">
        <f t="shared" si="678"/>
        <v>0</v>
      </c>
      <c r="BJ682" s="798">
        <f t="shared" si="678"/>
        <v>0</v>
      </c>
      <c r="BK682" s="798">
        <f t="shared" si="678"/>
        <v>1</v>
      </c>
      <c r="BL682" s="765"/>
      <c r="BM682" s="817"/>
      <c r="BN682" s="817"/>
    </row>
    <row r="683" hidden="1">
      <c r="A683" s="765"/>
      <c r="B683" s="765"/>
      <c r="C683" s="765"/>
      <c r="D683" s="765"/>
      <c r="E683" s="765"/>
      <c r="F683" s="765"/>
      <c r="G683" s="765"/>
      <c r="H683" s="765"/>
      <c r="I683" s="765">
        <f t="shared" si="17"/>
        <v>672</v>
      </c>
      <c r="J683" s="763">
        <f t="shared" si="5"/>
        <v>7.31765E+17</v>
      </c>
      <c r="K683" s="796">
        <f t="shared" si="7"/>
        <v>0.56979</v>
      </c>
      <c r="L683" s="796">
        <v>5.0E-4</v>
      </c>
      <c r="M683" s="763">
        <v>8.34395497123263E17</v>
      </c>
      <c r="N683" s="797">
        <f t="shared" si="8"/>
        <v>0</v>
      </c>
      <c r="O683" s="798">
        <f t="shared" ref="O683:BK683" si="679">FLOOR(MIN((((N("value of ELS upgrade")+N$8*($K683-$K682))*(N("Check checkbox")+(IF($G$6=TRUE,$G$7,$G$8))/$G$8))/(N("ROI of ELS and multiply by 2 if ELS is 1:1")+IF($G$12 = True, 2, 1) * $J683))/((N("difference in ELS+ and the cost of it")+(($K682*O$8)-($K682*N$8)) / O$7)),(N("MIN lets it return 0 or 1 after floored")+1)),1)</f>
        <v>0</v>
      </c>
      <c r="P683" s="798">
        <f t="shared" si="679"/>
        <v>0</v>
      </c>
      <c r="Q683" s="798">
        <f t="shared" si="679"/>
        <v>0</v>
      </c>
      <c r="R683" s="798">
        <f t="shared" si="679"/>
        <v>0</v>
      </c>
      <c r="S683" s="798">
        <f t="shared" si="679"/>
        <v>0</v>
      </c>
      <c r="T683" s="798">
        <f t="shared" si="679"/>
        <v>0</v>
      </c>
      <c r="U683" s="798">
        <f t="shared" si="679"/>
        <v>0</v>
      </c>
      <c r="V683" s="798">
        <f t="shared" si="679"/>
        <v>0</v>
      </c>
      <c r="W683" s="798">
        <f t="shared" si="679"/>
        <v>0</v>
      </c>
      <c r="X683" s="798">
        <f t="shared" si="679"/>
        <v>0</v>
      </c>
      <c r="Y683" s="798">
        <f t="shared" si="679"/>
        <v>0</v>
      </c>
      <c r="Z683" s="798">
        <f t="shared" si="679"/>
        <v>0</v>
      </c>
      <c r="AA683" s="798">
        <f t="shared" si="679"/>
        <v>0</v>
      </c>
      <c r="AB683" s="798">
        <f t="shared" si="679"/>
        <v>0</v>
      </c>
      <c r="AC683" s="798">
        <f t="shared" si="679"/>
        <v>0</v>
      </c>
      <c r="AD683" s="798">
        <f t="shared" si="679"/>
        <v>0</v>
      </c>
      <c r="AE683" s="798">
        <f t="shared" si="679"/>
        <v>0</v>
      </c>
      <c r="AF683" s="798">
        <f t="shared" si="679"/>
        <v>0</v>
      </c>
      <c r="AG683" s="798">
        <f t="shared" si="679"/>
        <v>0</v>
      </c>
      <c r="AH683" s="798">
        <f t="shared" si="679"/>
        <v>0</v>
      </c>
      <c r="AI683" s="798">
        <f t="shared" si="679"/>
        <v>0</v>
      </c>
      <c r="AJ683" s="798">
        <f t="shared" si="679"/>
        <v>0</v>
      </c>
      <c r="AK683" s="798">
        <f t="shared" si="679"/>
        <v>0</v>
      </c>
      <c r="AL683" s="798">
        <f t="shared" si="679"/>
        <v>0</v>
      </c>
      <c r="AM683" s="798">
        <f t="shared" si="679"/>
        <v>0</v>
      </c>
      <c r="AN683" s="798">
        <f t="shared" si="679"/>
        <v>0</v>
      </c>
      <c r="AO683" s="798">
        <f t="shared" si="679"/>
        <v>0</v>
      </c>
      <c r="AP683" s="798">
        <f t="shared" si="679"/>
        <v>0</v>
      </c>
      <c r="AQ683" s="798">
        <f t="shared" si="679"/>
        <v>0</v>
      </c>
      <c r="AR683" s="798">
        <f t="shared" si="679"/>
        <v>0</v>
      </c>
      <c r="AS683" s="798">
        <f t="shared" si="679"/>
        <v>0</v>
      </c>
      <c r="AT683" s="798">
        <f t="shared" si="679"/>
        <v>0</v>
      </c>
      <c r="AU683" s="798">
        <f t="shared" si="679"/>
        <v>0</v>
      </c>
      <c r="AV683" s="798">
        <f t="shared" si="679"/>
        <v>0</v>
      </c>
      <c r="AW683" s="798">
        <f t="shared" si="679"/>
        <v>0</v>
      </c>
      <c r="AX683" s="798">
        <f t="shared" si="679"/>
        <v>0</v>
      </c>
      <c r="AY683" s="798">
        <f t="shared" si="679"/>
        <v>0</v>
      </c>
      <c r="AZ683" s="798">
        <f t="shared" si="679"/>
        <v>0</v>
      </c>
      <c r="BA683" s="798">
        <f t="shared" si="679"/>
        <v>0</v>
      </c>
      <c r="BB683" s="798">
        <f t="shared" si="679"/>
        <v>0</v>
      </c>
      <c r="BC683" s="798">
        <f t="shared" si="679"/>
        <v>0</v>
      </c>
      <c r="BD683" s="798">
        <f t="shared" si="679"/>
        <v>0</v>
      </c>
      <c r="BE683" s="798">
        <f t="shared" si="679"/>
        <v>0</v>
      </c>
      <c r="BF683" s="798">
        <f t="shared" si="679"/>
        <v>0</v>
      </c>
      <c r="BG683" s="798">
        <f t="shared" si="679"/>
        <v>0</v>
      </c>
      <c r="BH683" s="798">
        <f t="shared" si="679"/>
        <v>0</v>
      </c>
      <c r="BI683" s="798">
        <f t="shared" si="679"/>
        <v>0</v>
      </c>
      <c r="BJ683" s="798">
        <f t="shared" si="679"/>
        <v>0</v>
      </c>
      <c r="BK683" s="798">
        <f t="shared" si="679"/>
        <v>1</v>
      </c>
      <c r="BL683" s="765"/>
      <c r="BM683" s="817"/>
      <c r="BN683" s="817"/>
    </row>
    <row r="684" hidden="1">
      <c r="A684" s="765"/>
      <c r="B684" s="765"/>
      <c r="C684" s="765"/>
      <c r="D684" s="765"/>
      <c r="E684" s="765"/>
      <c r="F684" s="765"/>
      <c r="G684" s="765"/>
      <c r="H684" s="765"/>
      <c r="I684" s="765">
        <f t="shared" si="17"/>
        <v>673</v>
      </c>
      <c r="J684" s="763">
        <f t="shared" si="5"/>
        <v>7.34168E+17</v>
      </c>
      <c r="K684" s="796">
        <f t="shared" si="7"/>
        <v>0.57029</v>
      </c>
      <c r="L684" s="796">
        <v>5.0E-4</v>
      </c>
      <c r="M684" s="763">
        <v>8.37135933690626E17</v>
      </c>
      <c r="N684" s="797">
        <f t="shared" si="8"/>
        <v>0</v>
      </c>
      <c r="O684" s="798">
        <f t="shared" ref="O684:BK684" si="680">FLOOR(MIN((((N("value of ELS upgrade")+N$8*($K684-$K683))*(N("Check checkbox")+(IF($G$6=TRUE,$G$7,$G$8))/$G$8))/(N("ROI of ELS and multiply by 2 if ELS is 1:1")+IF($G$12 = True, 2, 1) * $J684))/((N("difference in ELS+ and the cost of it")+(($K683*O$8)-($K683*N$8)) / O$7)),(N("MIN lets it return 0 or 1 after floored")+1)),1)</f>
        <v>0</v>
      </c>
      <c r="P684" s="798">
        <f t="shared" si="680"/>
        <v>0</v>
      </c>
      <c r="Q684" s="798">
        <f t="shared" si="680"/>
        <v>0</v>
      </c>
      <c r="R684" s="798">
        <f t="shared" si="680"/>
        <v>0</v>
      </c>
      <c r="S684" s="798">
        <f t="shared" si="680"/>
        <v>0</v>
      </c>
      <c r="T684" s="798">
        <f t="shared" si="680"/>
        <v>0</v>
      </c>
      <c r="U684" s="798">
        <f t="shared" si="680"/>
        <v>0</v>
      </c>
      <c r="V684" s="798">
        <f t="shared" si="680"/>
        <v>0</v>
      </c>
      <c r="W684" s="798">
        <f t="shared" si="680"/>
        <v>0</v>
      </c>
      <c r="X684" s="798">
        <f t="shared" si="680"/>
        <v>0</v>
      </c>
      <c r="Y684" s="798">
        <f t="shared" si="680"/>
        <v>0</v>
      </c>
      <c r="Z684" s="798">
        <f t="shared" si="680"/>
        <v>0</v>
      </c>
      <c r="AA684" s="798">
        <f t="shared" si="680"/>
        <v>0</v>
      </c>
      <c r="AB684" s="798">
        <f t="shared" si="680"/>
        <v>0</v>
      </c>
      <c r="AC684" s="798">
        <f t="shared" si="680"/>
        <v>0</v>
      </c>
      <c r="AD684" s="798">
        <f t="shared" si="680"/>
        <v>0</v>
      </c>
      <c r="AE684" s="798">
        <f t="shared" si="680"/>
        <v>0</v>
      </c>
      <c r="AF684" s="798">
        <f t="shared" si="680"/>
        <v>0</v>
      </c>
      <c r="AG684" s="798">
        <f t="shared" si="680"/>
        <v>0</v>
      </c>
      <c r="AH684" s="798">
        <f t="shared" si="680"/>
        <v>0</v>
      </c>
      <c r="AI684" s="798">
        <f t="shared" si="680"/>
        <v>0</v>
      </c>
      <c r="AJ684" s="798">
        <f t="shared" si="680"/>
        <v>0</v>
      </c>
      <c r="AK684" s="798">
        <f t="shared" si="680"/>
        <v>0</v>
      </c>
      <c r="AL684" s="798">
        <f t="shared" si="680"/>
        <v>0</v>
      </c>
      <c r="AM684" s="798">
        <f t="shared" si="680"/>
        <v>0</v>
      </c>
      <c r="AN684" s="798">
        <f t="shared" si="680"/>
        <v>0</v>
      </c>
      <c r="AO684" s="798">
        <f t="shared" si="680"/>
        <v>0</v>
      </c>
      <c r="AP684" s="798">
        <f t="shared" si="680"/>
        <v>0</v>
      </c>
      <c r="AQ684" s="798">
        <f t="shared" si="680"/>
        <v>0</v>
      </c>
      <c r="AR684" s="798">
        <f t="shared" si="680"/>
        <v>0</v>
      </c>
      <c r="AS684" s="798">
        <f t="shared" si="680"/>
        <v>0</v>
      </c>
      <c r="AT684" s="798">
        <f t="shared" si="680"/>
        <v>0</v>
      </c>
      <c r="AU684" s="798">
        <f t="shared" si="680"/>
        <v>0</v>
      </c>
      <c r="AV684" s="798">
        <f t="shared" si="680"/>
        <v>0</v>
      </c>
      <c r="AW684" s="798">
        <f t="shared" si="680"/>
        <v>0</v>
      </c>
      <c r="AX684" s="798">
        <f t="shared" si="680"/>
        <v>0</v>
      </c>
      <c r="AY684" s="798">
        <f t="shared" si="680"/>
        <v>0</v>
      </c>
      <c r="AZ684" s="798">
        <f t="shared" si="680"/>
        <v>0</v>
      </c>
      <c r="BA684" s="798">
        <f t="shared" si="680"/>
        <v>0</v>
      </c>
      <c r="BB684" s="798">
        <f t="shared" si="680"/>
        <v>0</v>
      </c>
      <c r="BC684" s="798">
        <f t="shared" si="680"/>
        <v>0</v>
      </c>
      <c r="BD684" s="798">
        <f t="shared" si="680"/>
        <v>0</v>
      </c>
      <c r="BE684" s="798">
        <f t="shared" si="680"/>
        <v>0</v>
      </c>
      <c r="BF684" s="798">
        <f t="shared" si="680"/>
        <v>0</v>
      </c>
      <c r="BG684" s="798">
        <f t="shared" si="680"/>
        <v>0</v>
      </c>
      <c r="BH684" s="798">
        <f t="shared" si="680"/>
        <v>0</v>
      </c>
      <c r="BI684" s="798">
        <f t="shared" si="680"/>
        <v>0</v>
      </c>
      <c r="BJ684" s="798">
        <f t="shared" si="680"/>
        <v>0</v>
      </c>
      <c r="BK684" s="798">
        <f t="shared" si="680"/>
        <v>1</v>
      </c>
      <c r="BL684" s="765"/>
      <c r="BM684" s="817"/>
      <c r="BN684" s="817"/>
    </row>
    <row r="685" hidden="1">
      <c r="A685" s="765"/>
      <c r="B685" s="765"/>
      <c r="C685" s="765"/>
      <c r="D685" s="765"/>
      <c r="E685" s="765"/>
      <c r="F685" s="765"/>
      <c r="G685" s="765"/>
      <c r="H685" s="765"/>
      <c r="I685" s="765">
        <f t="shared" si="17"/>
        <v>674</v>
      </c>
      <c r="J685" s="763">
        <f t="shared" si="5"/>
        <v>7.36578E+17</v>
      </c>
      <c r="K685" s="796">
        <f t="shared" si="7"/>
        <v>0.57079</v>
      </c>
      <c r="L685" s="796">
        <v>5.0E-4</v>
      </c>
      <c r="M685" s="763">
        <v>8.3988393090902E17</v>
      </c>
      <c r="N685" s="797">
        <f t="shared" si="8"/>
        <v>0</v>
      </c>
      <c r="O685" s="798">
        <f t="shared" ref="O685:BK685" si="681">FLOOR(MIN((((N("value of ELS upgrade")+N$8*($K685-$K684))*(N("Check checkbox")+(IF($G$6=TRUE,$G$7,$G$8))/$G$8))/(N("ROI of ELS and multiply by 2 if ELS is 1:1")+IF($G$12 = True, 2, 1) * $J685))/((N("difference in ELS+ and the cost of it")+(($K684*O$8)-($K684*N$8)) / O$7)),(N("MIN lets it return 0 or 1 after floored")+1)),1)</f>
        <v>0</v>
      </c>
      <c r="P685" s="798">
        <f t="shared" si="681"/>
        <v>0</v>
      </c>
      <c r="Q685" s="798">
        <f t="shared" si="681"/>
        <v>0</v>
      </c>
      <c r="R685" s="798">
        <f t="shared" si="681"/>
        <v>0</v>
      </c>
      <c r="S685" s="798">
        <f t="shared" si="681"/>
        <v>0</v>
      </c>
      <c r="T685" s="798">
        <f t="shared" si="681"/>
        <v>0</v>
      </c>
      <c r="U685" s="798">
        <f t="shared" si="681"/>
        <v>0</v>
      </c>
      <c r="V685" s="798">
        <f t="shared" si="681"/>
        <v>0</v>
      </c>
      <c r="W685" s="798">
        <f t="shared" si="681"/>
        <v>0</v>
      </c>
      <c r="X685" s="798">
        <f t="shared" si="681"/>
        <v>0</v>
      </c>
      <c r="Y685" s="798">
        <f t="shared" si="681"/>
        <v>0</v>
      </c>
      <c r="Z685" s="798">
        <f t="shared" si="681"/>
        <v>0</v>
      </c>
      <c r="AA685" s="798">
        <f t="shared" si="681"/>
        <v>0</v>
      </c>
      <c r="AB685" s="798">
        <f t="shared" si="681"/>
        <v>0</v>
      </c>
      <c r="AC685" s="798">
        <f t="shared" si="681"/>
        <v>0</v>
      </c>
      <c r="AD685" s="798">
        <f t="shared" si="681"/>
        <v>0</v>
      </c>
      <c r="AE685" s="798">
        <f t="shared" si="681"/>
        <v>0</v>
      </c>
      <c r="AF685" s="798">
        <f t="shared" si="681"/>
        <v>0</v>
      </c>
      <c r="AG685" s="798">
        <f t="shared" si="681"/>
        <v>0</v>
      </c>
      <c r="AH685" s="798">
        <f t="shared" si="681"/>
        <v>0</v>
      </c>
      <c r="AI685" s="798">
        <f t="shared" si="681"/>
        <v>0</v>
      </c>
      <c r="AJ685" s="798">
        <f t="shared" si="681"/>
        <v>0</v>
      </c>
      <c r="AK685" s="798">
        <f t="shared" si="681"/>
        <v>0</v>
      </c>
      <c r="AL685" s="798">
        <f t="shared" si="681"/>
        <v>0</v>
      </c>
      <c r="AM685" s="798">
        <f t="shared" si="681"/>
        <v>0</v>
      </c>
      <c r="AN685" s="798">
        <f t="shared" si="681"/>
        <v>0</v>
      </c>
      <c r="AO685" s="798">
        <f t="shared" si="681"/>
        <v>0</v>
      </c>
      <c r="AP685" s="798">
        <f t="shared" si="681"/>
        <v>0</v>
      </c>
      <c r="AQ685" s="798">
        <f t="shared" si="681"/>
        <v>0</v>
      </c>
      <c r="AR685" s="798">
        <f t="shared" si="681"/>
        <v>0</v>
      </c>
      <c r="AS685" s="798">
        <f t="shared" si="681"/>
        <v>0</v>
      </c>
      <c r="AT685" s="798">
        <f t="shared" si="681"/>
        <v>0</v>
      </c>
      <c r="AU685" s="798">
        <f t="shared" si="681"/>
        <v>0</v>
      </c>
      <c r="AV685" s="798">
        <f t="shared" si="681"/>
        <v>0</v>
      </c>
      <c r="AW685" s="798">
        <f t="shared" si="681"/>
        <v>0</v>
      </c>
      <c r="AX685" s="798">
        <f t="shared" si="681"/>
        <v>0</v>
      </c>
      <c r="AY685" s="798">
        <f t="shared" si="681"/>
        <v>0</v>
      </c>
      <c r="AZ685" s="798">
        <f t="shared" si="681"/>
        <v>0</v>
      </c>
      <c r="BA685" s="798">
        <f t="shared" si="681"/>
        <v>0</v>
      </c>
      <c r="BB685" s="798">
        <f t="shared" si="681"/>
        <v>0</v>
      </c>
      <c r="BC685" s="798">
        <f t="shared" si="681"/>
        <v>0</v>
      </c>
      <c r="BD685" s="798">
        <f t="shared" si="681"/>
        <v>0</v>
      </c>
      <c r="BE685" s="798">
        <f t="shared" si="681"/>
        <v>0</v>
      </c>
      <c r="BF685" s="798">
        <f t="shared" si="681"/>
        <v>0</v>
      </c>
      <c r="BG685" s="798">
        <f t="shared" si="681"/>
        <v>0</v>
      </c>
      <c r="BH685" s="798">
        <f t="shared" si="681"/>
        <v>0</v>
      </c>
      <c r="BI685" s="798">
        <f t="shared" si="681"/>
        <v>0</v>
      </c>
      <c r="BJ685" s="798">
        <f t="shared" si="681"/>
        <v>0</v>
      </c>
      <c r="BK685" s="798">
        <f t="shared" si="681"/>
        <v>1</v>
      </c>
      <c r="BL685" s="765"/>
      <c r="BM685" s="817"/>
      <c r="BN685" s="817"/>
    </row>
    <row r="686" hidden="1">
      <c r="A686" s="765"/>
      <c r="B686" s="765"/>
      <c r="C686" s="765"/>
      <c r="D686" s="765"/>
      <c r="E686" s="765"/>
      <c r="F686" s="765"/>
      <c r="G686" s="765"/>
      <c r="H686" s="765"/>
      <c r="I686" s="765">
        <f t="shared" si="17"/>
        <v>675</v>
      </c>
      <c r="J686" s="763">
        <f t="shared" si="5"/>
        <v>7.38995E+17</v>
      </c>
      <c r="K686" s="796">
        <f t="shared" si="7"/>
        <v>0.57129</v>
      </c>
      <c r="L686" s="796">
        <v>5.0E-4</v>
      </c>
      <c r="M686" s="763">
        <v>8.42639488778447E17</v>
      </c>
      <c r="N686" s="797">
        <f t="shared" si="8"/>
        <v>0</v>
      </c>
      <c r="O686" s="798">
        <f t="shared" ref="O686:BK686" si="682">FLOOR(MIN((((N("value of ELS upgrade")+N$8*($K686-$K685))*(N("Check checkbox")+(IF($G$6=TRUE,$G$7,$G$8))/$G$8))/(N("ROI of ELS and multiply by 2 if ELS is 1:1")+IF($G$12 = True, 2, 1) * $J686))/((N("difference in ELS+ and the cost of it")+(($K685*O$8)-($K685*N$8)) / O$7)),(N("MIN lets it return 0 or 1 after floored")+1)),1)</f>
        <v>0</v>
      </c>
      <c r="P686" s="798">
        <f t="shared" si="682"/>
        <v>0</v>
      </c>
      <c r="Q686" s="798">
        <f t="shared" si="682"/>
        <v>0</v>
      </c>
      <c r="R686" s="798">
        <f t="shared" si="682"/>
        <v>0</v>
      </c>
      <c r="S686" s="798">
        <f t="shared" si="682"/>
        <v>0</v>
      </c>
      <c r="T686" s="798">
        <f t="shared" si="682"/>
        <v>0</v>
      </c>
      <c r="U686" s="798">
        <f t="shared" si="682"/>
        <v>0</v>
      </c>
      <c r="V686" s="798">
        <f t="shared" si="682"/>
        <v>0</v>
      </c>
      <c r="W686" s="798">
        <f t="shared" si="682"/>
        <v>0</v>
      </c>
      <c r="X686" s="798">
        <f t="shared" si="682"/>
        <v>0</v>
      </c>
      <c r="Y686" s="798">
        <f t="shared" si="682"/>
        <v>0</v>
      </c>
      <c r="Z686" s="798">
        <f t="shared" si="682"/>
        <v>0</v>
      </c>
      <c r="AA686" s="798">
        <f t="shared" si="682"/>
        <v>0</v>
      </c>
      <c r="AB686" s="798">
        <f t="shared" si="682"/>
        <v>0</v>
      </c>
      <c r="AC686" s="798">
        <f t="shared" si="682"/>
        <v>0</v>
      </c>
      <c r="AD686" s="798">
        <f t="shared" si="682"/>
        <v>0</v>
      </c>
      <c r="AE686" s="798">
        <f t="shared" si="682"/>
        <v>0</v>
      </c>
      <c r="AF686" s="798">
        <f t="shared" si="682"/>
        <v>0</v>
      </c>
      <c r="AG686" s="798">
        <f t="shared" si="682"/>
        <v>0</v>
      </c>
      <c r="AH686" s="798">
        <f t="shared" si="682"/>
        <v>0</v>
      </c>
      <c r="AI686" s="798">
        <f t="shared" si="682"/>
        <v>0</v>
      </c>
      <c r="AJ686" s="798">
        <f t="shared" si="682"/>
        <v>0</v>
      </c>
      <c r="AK686" s="798">
        <f t="shared" si="682"/>
        <v>0</v>
      </c>
      <c r="AL686" s="798">
        <f t="shared" si="682"/>
        <v>0</v>
      </c>
      <c r="AM686" s="798">
        <f t="shared" si="682"/>
        <v>0</v>
      </c>
      <c r="AN686" s="798">
        <f t="shared" si="682"/>
        <v>0</v>
      </c>
      <c r="AO686" s="798">
        <f t="shared" si="682"/>
        <v>0</v>
      </c>
      <c r="AP686" s="798">
        <f t="shared" si="682"/>
        <v>0</v>
      </c>
      <c r="AQ686" s="798">
        <f t="shared" si="682"/>
        <v>0</v>
      </c>
      <c r="AR686" s="798">
        <f t="shared" si="682"/>
        <v>0</v>
      </c>
      <c r="AS686" s="798">
        <f t="shared" si="682"/>
        <v>0</v>
      </c>
      <c r="AT686" s="798">
        <f t="shared" si="682"/>
        <v>0</v>
      </c>
      <c r="AU686" s="798">
        <f t="shared" si="682"/>
        <v>0</v>
      </c>
      <c r="AV686" s="798">
        <f t="shared" si="682"/>
        <v>0</v>
      </c>
      <c r="AW686" s="798">
        <f t="shared" si="682"/>
        <v>0</v>
      </c>
      <c r="AX686" s="798">
        <f t="shared" si="682"/>
        <v>0</v>
      </c>
      <c r="AY686" s="798">
        <f t="shared" si="682"/>
        <v>0</v>
      </c>
      <c r="AZ686" s="798">
        <f t="shared" si="682"/>
        <v>0</v>
      </c>
      <c r="BA686" s="798">
        <f t="shared" si="682"/>
        <v>0</v>
      </c>
      <c r="BB686" s="798">
        <f t="shared" si="682"/>
        <v>0</v>
      </c>
      <c r="BC686" s="798">
        <f t="shared" si="682"/>
        <v>0</v>
      </c>
      <c r="BD686" s="798">
        <f t="shared" si="682"/>
        <v>0</v>
      </c>
      <c r="BE686" s="798">
        <f t="shared" si="682"/>
        <v>0</v>
      </c>
      <c r="BF686" s="798">
        <f t="shared" si="682"/>
        <v>0</v>
      </c>
      <c r="BG686" s="798">
        <f t="shared" si="682"/>
        <v>0</v>
      </c>
      <c r="BH686" s="798">
        <f t="shared" si="682"/>
        <v>0</v>
      </c>
      <c r="BI686" s="798">
        <f t="shared" si="682"/>
        <v>0</v>
      </c>
      <c r="BJ686" s="798">
        <f t="shared" si="682"/>
        <v>0</v>
      </c>
      <c r="BK686" s="798">
        <f t="shared" si="682"/>
        <v>1</v>
      </c>
      <c r="BL686" s="765"/>
      <c r="BM686" s="817"/>
      <c r="BN686" s="817"/>
    </row>
    <row r="687" hidden="1">
      <c r="A687" s="765"/>
      <c r="B687" s="765"/>
      <c r="C687" s="765"/>
      <c r="D687" s="765"/>
      <c r="E687" s="765"/>
      <c r="F687" s="765"/>
      <c r="G687" s="765"/>
      <c r="H687" s="765"/>
      <c r="I687" s="765">
        <f t="shared" si="17"/>
        <v>676</v>
      </c>
      <c r="J687" s="763">
        <f t="shared" si="5"/>
        <v>7.41418E+17</v>
      </c>
      <c r="K687" s="796">
        <f t="shared" si="7"/>
        <v>0.57179</v>
      </c>
      <c r="L687" s="796">
        <v>5.0E-4</v>
      </c>
      <c r="M687" s="763">
        <v>8.4540264472787E17</v>
      </c>
      <c r="N687" s="797">
        <f t="shared" si="8"/>
        <v>0</v>
      </c>
      <c r="O687" s="798">
        <f t="shared" ref="O687:BK687" si="683">FLOOR(MIN((((N("value of ELS upgrade")+N$8*($K687-$K686))*(N("Check checkbox")+(IF($G$6=TRUE,$G$7,$G$8))/$G$8))/(N("ROI of ELS and multiply by 2 if ELS is 1:1")+IF($G$12 = True, 2, 1) * $J687))/((N("difference in ELS+ and the cost of it")+(($K686*O$8)-($K686*N$8)) / O$7)),(N("MIN lets it return 0 or 1 after floored")+1)),1)</f>
        <v>0</v>
      </c>
      <c r="P687" s="798">
        <f t="shared" si="683"/>
        <v>0</v>
      </c>
      <c r="Q687" s="798">
        <f t="shared" si="683"/>
        <v>0</v>
      </c>
      <c r="R687" s="798">
        <f t="shared" si="683"/>
        <v>0</v>
      </c>
      <c r="S687" s="798">
        <f t="shared" si="683"/>
        <v>0</v>
      </c>
      <c r="T687" s="798">
        <f t="shared" si="683"/>
        <v>0</v>
      </c>
      <c r="U687" s="798">
        <f t="shared" si="683"/>
        <v>0</v>
      </c>
      <c r="V687" s="798">
        <f t="shared" si="683"/>
        <v>0</v>
      </c>
      <c r="W687" s="798">
        <f t="shared" si="683"/>
        <v>0</v>
      </c>
      <c r="X687" s="798">
        <f t="shared" si="683"/>
        <v>0</v>
      </c>
      <c r="Y687" s="798">
        <f t="shared" si="683"/>
        <v>0</v>
      </c>
      <c r="Z687" s="798">
        <f t="shared" si="683"/>
        <v>0</v>
      </c>
      <c r="AA687" s="798">
        <f t="shared" si="683"/>
        <v>0</v>
      </c>
      <c r="AB687" s="798">
        <f t="shared" si="683"/>
        <v>0</v>
      </c>
      <c r="AC687" s="798">
        <f t="shared" si="683"/>
        <v>0</v>
      </c>
      <c r="AD687" s="798">
        <f t="shared" si="683"/>
        <v>0</v>
      </c>
      <c r="AE687" s="798">
        <f t="shared" si="683"/>
        <v>0</v>
      </c>
      <c r="AF687" s="798">
        <f t="shared" si="683"/>
        <v>0</v>
      </c>
      <c r="AG687" s="798">
        <f t="shared" si="683"/>
        <v>0</v>
      </c>
      <c r="AH687" s="798">
        <f t="shared" si="683"/>
        <v>0</v>
      </c>
      <c r="AI687" s="798">
        <f t="shared" si="683"/>
        <v>0</v>
      </c>
      <c r="AJ687" s="798">
        <f t="shared" si="683"/>
        <v>0</v>
      </c>
      <c r="AK687" s="798">
        <f t="shared" si="683"/>
        <v>0</v>
      </c>
      <c r="AL687" s="798">
        <f t="shared" si="683"/>
        <v>0</v>
      </c>
      <c r="AM687" s="798">
        <f t="shared" si="683"/>
        <v>0</v>
      </c>
      <c r="AN687" s="798">
        <f t="shared" si="683"/>
        <v>0</v>
      </c>
      <c r="AO687" s="798">
        <f t="shared" si="683"/>
        <v>0</v>
      </c>
      <c r="AP687" s="798">
        <f t="shared" si="683"/>
        <v>0</v>
      </c>
      <c r="AQ687" s="798">
        <f t="shared" si="683"/>
        <v>0</v>
      </c>
      <c r="AR687" s="798">
        <f t="shared" si="683"/>
        <v>0</v>
      </c>
      <c r="AS687" s="798">
        <f t="shared" si="683"/>
        <v>0</v>
      </c>
      <c r="AT687" s="798">
        <f t="shared" si="683"/>
        <v>0</v>
      </c>
      <c r="AU687" s="798">
        <f t="shared" si="683"/>
        <v>0</v>
      </c>
      <c r="AV687" s="798">
        <f t="shared" si="683"/>
        <v>0</v>
      </c>
      <c r="AW687" s="798">
        <f t="shared" si="683"/>
        <v>0</v>
      </c>
      <c r="AX687" s="798">
        <f t="shared" si="683"/>
        <v>0</v>
      </c>
      <c r="AY687" s="798">
        <f t="shared" si="683"/>
        <v>0</v>
      </c>
      <c r="AZ687" s="798">
        <f t="shared" si="683"/>
        <v>0</v>
      </c>
      <c r="BA687" s="798">
        <f t="shared" si="683"/>
        <v>0</v>
      </c>
      <c r="BB687" s="798">
        <f t="shared" si="683"/>
        <v>0</v>
      </c>
      <c r="BC687" s="798">
        <f t="shared" si="683"/>
        <v>0</v>
      </c>
      <c r="BD687" s="798">
        <f t="shared" si="683"/>
        <v>0</v>
      </c>
      <c r="BE687" s="798">
        <f t="shared" si="683"/>
        <v>0</v>
      </c>
      <c r="BF687" s="798">
        <f t="shared" si="683"/>
        <v>0</v>
      </c>
      <c r="BG687" s="798">
        <f t="shared" si="683"/>
        <v>0</v>
      </c>
      <c r="BH687" s="798">
        <f t="shared" si="683"/>
        <v>0</v>
      </c>
      <c r="BI687" s="798">
        <f t="shared" si="683"/>
        <v>0</v>
      </c>
      <c r="BJ687" s="798">
        <f t="shared" si="683"/>
        <v>0</v>
      </c>
      <c r="BK687" s="798">
        <f t="shared" si="683"/>
        <v>1</v>
      </c>
      <c r="BL687" s="765"/>
      <c r="BM687" s="817"/>
      <c r="BN687" s="817"/>
    </row>
    <row r="688" hidden="1">
      <c r="A688" s="765"/>
      <c r="B688" s="765"/>
      <c r="C688" s="765"/>
      <c r="D688" s="765"/>
      <c r="E688" s="765"/>
      <c r="F688" s="765"/>
      <c r="G688" s="765"/>
      <c r="H688" s="765"/>
      <c r="I688" s="765">
        <f t="shared" si="17"/>
        <v>677</v>
      </c>
      <c r="J688" s="763">
        <f t="shared" si="5"/>
        <v>7.43848E+17</v>
      </c>
      <c r="K688" s="796">
        <f t="shared" si="7"/>
        <v>0.57229</v>
      </c>
      <c r="L688" s="796">
        <v>5.0E-4</v>
      </c>
      <c r="M688" s="763">
        <v>8.48173398757292E17</v>
      </c>
      <c r="N688" s="797">
        <f t="shared" si="8"/>
        <v>0</v>
      </c>
      <c r="O688" s="798">
        <f t="shared" ref="O688:BK688" si="684">FLOOR(MIN((((N("value of ELS upgrade")+N$8*($K688-$K687))*(N("Check checkbox")+(IF($G$6=TRUE,$G$7,$G$8))/$G$8))/(N("ROI of ELS and multiply by 2 if ELS is 1:1")+IF($G$12 = True, 2, 1) * $J688))/((N("difference in ELS+ and the cost of it")+(($K687*O$8)-($K687*N$8)) / O$7)),(N("MIN lets it return 0 or 1 after floored")+1)),1)</f>
        <v>0</v>
      </c>
      <c r="P688" s="798">
        <f t="shared" si="684"/>
        <v>0</v>
      </c>
      <c r="Q688" s="798">
        <f t="shared" si="684"/>
        <v>0</v>
      </c>
      <c r="R688" s="798">
        <f t="shared" si="684"/>
        <v>0</v>
      </c>
      <c r="S688" s="798">
        <f t="shared" si="684"/>
        <v>0</v>
      </c>
      <c r="T688" s="798">
        <f t="shared" si="684"/>
        <v>0</v>
      </c>
      <c r="U688" s="798">
        <f t="shared" si="684"/>
        <v>0</v>
      </c>
      <c r="V688" s="798">
        <f t="shared" si="684"/>
        <v>0</v>
      </c>
      <c r="W688" s="798">
        <f t="shared" si="684"/>
        <v>0</v>
      </c>
      <c r="X688" s="798">
        <f t="shared" si="684"/>
        <v>0</v>
      </c>
      <c r="Y688" s="798">
        <f t="shared" si="684"/>
        <v>0</v>
      </c>
      <c r="Z688" s="798">
        <f t="shared" si="684"/>
        <v>0</v>
      </c>
      <c r="AA688" s="798">
        <f t="shared" si="684"/>
        <v>0</v>
      </c>
      <c r="AB688" s="798">
        <f t="shared" si="684"/>
        <v>0</v>
      </c>
      <c r="AC688" s="798">
        <f t="shared" si="684"/>
        <v>0</v>
      </c>
      <c r="AD688" s="798">
        <f t="shared" si="684"/>
        <v>0</v>
      </c>
      <c r="AE688" s="798">
        <f t="shared" si="684"/>
        <v>0</v>
      </c>
      <c r="AF688" s="798">
        <f t="shared" si="684"/>
        <v>0</v>
      </c>
      <c r="AG688" s="798">
        <f t="shared" si="684"/>
        <v>0</v>
      </c>
      <c r="AH688" s="798">
        <f t="shared" si="684"/>
        <v>0</v>
      </c>
      <c r="AI688" s="798">
        <f t="shared" si="684"/>
        <v>0</v>
      </c>
      <c r="AJ688" s="798">
        <f t="shared" si="684"/>
        <v>0</v>
      </c>
      <c r="AK688" s="798">
        <f t="shared" si="684"/>
        <v>0</v>
      </c>
      <c r="AL688" s="798">
        <f t="shared" si="684"/>
        <v>0</v>
      </c>
      <c r="AM688" s="798">
        <f t="shared" si="684"/>
        <v>0</v>
      </c>
      <c r="AN688" s="798">
        <f t="shared" si="684"/>
        <v>0</v>
      </c>
      <c r="AO688" s="798">
        <f t="shared" si="684"/>
        <v>0</v>
      </c>
      <c r="AP688" s="798">
        <f t="shared" si="684"/>
        <v>0</v>
      </c>
      <c r="AQ688" s="798">
        <f t="shared" si="684"/>
        <v>0</v>
      </c>
      <c r="AR688" s="798">
        <f t="shared" si="684"/>
        <v>0</v>
      </c>
      <c r="AS688" s="798">
        <f t="shared" si="684"/>
        <v>0</v>
      </c>
      <c r="AT688" s="798">
        <f t="shared" si="684"/>
        <v>0</v>
      </c>
      <c r="AU688" s="798">
        <f t="shared" si="684"/>
        <v>0</v>
      </c>
      <c r="AV688" s="798">
        <f t="shared" si="684"/>
        <v>0</v>
      </c>
      <c r="AW688" s="798">
        <f t="shared" si="684"/>
        <v>0</v>
      </c>
      <c r="AX688" s="798">
        <f t="shared" si="684"/>
        <v>0</v>
      </c>
      <c r="AY688" s="798">
        <f t="shared" si="684"/>
        <v>0</v>
      </c>
      <c r="AZ688" s="798">
        <f t="shared" si="684"/>
        <v>0</v>
      </c>
      <c r="BA688" s="798">
        <f t="shared" si="684"/>
        <v>0</v>
      </c>
      <c r="BB688" s="798">
        <f t="shared" si="684"/>
        <v>0</v>
      </c>
      <c r="BC688" s="798">
        <f t="shared" si="684"/>
        <v>0</v>
      </c>
      <c r="BD688" s="798">
        <f t="shared" si="684"/>
        <v>0</v>
      </c>
      <c r="BE688" s="798">
        <f t="shared" si="684"/>
        <v>0</v>
      </c>
      <c r="BF688" s="798">
        <f t="shared" si="684"/>
        <v>0</v>
      </c>
      <c r="BG688" s="798">
        <f t="shared" si="684"/>
        <v>0</v>
      </c>
      <c r="BH688" s="798">
        <f t="shared" si="684"/>
        <v>0</v>
      </c>
      <c r="BI688" s="798">
        <f t="shared" si="684"/>
        <v>0</v>
      </c>
      <c r="BJ688" s="798">
        <f t="shared" si="684"/>
        <v>0</v>
      </c>
      <c r="BK688" s="798">
        <f t="shared" si="684"/>
        <v>1</v>
      </c>
      <c r="BL688" s="765"/>
      <c r="BM688" s="817"/>
      <c r="BN688" s="817"/>
    </row>
    <row r="689" hidden="1">
      <c r="A689" s="765"/>
      <c r="B689" s="765"/>
      <c r="C689" s="765"/>
      <c r="D689" s="765"/>
      <c r="E689" s="765"/>
      <c r="F689" s="765"/>
      <c r="G689" s="765"/>
      <c r="H689" s="765"/>
      <c r="I689" s="765">
        <f t="shared" si="17"/>
        <v>678</v>
      </c>
      <c r="J689" s="763">
        <f t="shared" si="5"/>
        <v>7.46285E+17</v>
      </c>
      <c r="K689" s="796">
        <f t="shared" si="7"/>
        <v>0.57279</v>
      </c>
      <c r="L689" s="796">
        <v>5.0E-4</v>
      </c>
      <c r="M689" s="763">
        <v>8.50951713437745E17</v>
      </c>
      <c r="N689" s="797">
        <f t="shared" si="8"/>
        <v>0</v>
      </c>
      <c r="O689" s="798">
        <f t="shared" ref="O689:BK689" si="685">FLOOR(MIN((((N("value of ELS upgrade")+N$8*($K689-$K688))*(N("Check checkbox")+(IF($G$6=TRUE,$G$7,$G$8))/$G$8))/(N("ROI of ELS and multiply by 2 if ELS is 1:1")+IF($G$12 = True, 2, 1) * $J689))/((N("difference in ELS+ and the cost of it")+(($K688*O$8)-($K688*N$8)) / O$7)),(N("MIN lets it return 0 or 1 after floored")+1)),1)</f>
        <v>0</v>
      </c>
      <c r="P689" s="798">
        <f t="shared" si="685"/>
        <v>0</v>
      </c>
      <c r="Q689" s="798">
        <f t="shared" si="685"/>
        <v>0</v>
      </c>
      <c r="R689" s="798">
        <f t="shared" si="685"/>
        <v>0</v>
      </c>
      <c r="S689" s="798">
        <f t="shared" si="685"/>
        <v>0</v>
      </c>
      <c r="T689" s="798">
        <f t="shared" si="685"/>
        <v>0</v>
      </c>
      <c r="U689" s="798">
        <f t="shared" si="685"/>
        <v>0</v>
      </c>
      <c r="V689" s="798">
        <f t="shared" si="685"/>
        <v>0</v>
      </c>
      <c r="W689" s="798">
        <f t="shared" si="685"/>
        <v>0</v>
      </c>
      <c r="X689" s="798">
        <f t="shared" si="685"/>
        <v>0</v>
      </c>
      <c r="Y689" s="798">
        <f t="shared" si="685"/>
        <v>0</v>
      </c>
      <c r="Z689" s="798">
        <f t="shared" si="685"/>
        <v>0</v>
      </c>
      <c r="AA689" s="798">
        <f t="shared" si="685"/>
        <v>0</v>
      </c>
      <c r="AB689" s="798">
        <f t="shared" si="685"/>
        <v>0</v>
      </c>
      <c r="AC689" s="798">
        <f t="shared" si="685"/>
        <v>0</v>
      </c>
      <c r="AD689" s="798">
        <f t="shared" si="685"/>
        <v>0</v>
      </c>
      <c r="AE689" s="798">
        <f t="shared" si="685"/>
        <v>0</v>
      </c>
      <c r="AF689" s="798">
        <f t="shared" si="685"/>
        <v>0</v>
      </c>
      <c r="AG689" s="798">
        <f t="shared" si="685"/>
        <v>0</v>
      </c>
      <c r="AH689" s="798">
        <f t="shared" si="685"/>
        <v>0</v>
      </c>
      <c r="AI689" s="798">
        <f t="shared" si="685"/>
        <v>0</v>
      </c>
      <c r="AJ689" s="798">
        <f t="shared" si="685"/>
        <v>0</v>
      </c>
      <c r="AK689" s="798">
        <f t="shared" si="685"/>
        <v>0</v>
      </c>
      <c r="AL689" s="798">
        <f t="shared" si="685"/>
        <v>0</v>
      </c>
      <c r="AM689" s="798">
        <f t="shared" si="685"/>
        <v>0</v>
      </c>
      <c r="AN689" s="798">
        <f t="shared" si="685"/>
        <v>0</v>
      </c>
      <c r="AO689" s="798">
        <f t="shared" si="685"/>
        <v>0</v>
      </c>
      <c r="AP689" s="798">
        <f t="shared" si="685"/>
        <v>0</v>
      </c>
      <c r="AQ689" s="798">
        <f t="shared" si="685"/>
        <v>0</v>
      </c>
      <c r="AR689" s="798">
        <f t="shared" si="685"/>
        <v>0</v>
      </c>
      <c r="AS689" s="798">
        <f t="shared" si="685"/>
        <v>0</v>
      </c>
      <c r="AT689" s="798">
        <f t="shared" si="685"/>
        <v>0</v>
      </c>
      <c r="AU689" s="798">
        <f t="shared" si="685"/>
        <v>0</v>
      </c>
      <c r="AV689" s="798">
        <f t="shared" si="685"/>
        <v>0</v>
      </c>
      <c r="AW689" s="798">
        <f t="shared" si="685"/>
        <v>0</v>
      </c>
      <c r="AX689" s="798">
        <f t="shared" si="685"/>
        <v>0</v>
      </c>
      <c r="AY689" s="798">
        <f t="shared" si="685"/>
        <v>0</v>
      </c>
      <c r="AZ689" s="798">
        <f t="shared" si="685"/>
        <v>0</v>
      </c>
      <c r="BA689" s="798">
        <f t="shared" si="685"/>
        <v>0</v>
      </c>
      <c r="BB689" s="798">
        <f t="shared" si="685"/>
        <v>0</v>
      </c>
      <c r="BC689" s="798">
        <f t="shared" si="685"/>
        <v>0</v>
      </c>
      <c r="BD689" s="798">
        <f t="shared" si="685"/>
        <v>0</v>
      </c>
      <c r="BE689" s="798">
        <f t="shared" si="685"/>
        <v>0</v>
      </c>
      <c r="BF689" s="798">
        <f t="shared" si="685"/>
        <v>0</v>
      </c>
      <c r="BG689" s="798">
        <f t="shared" si="685"/>
        <v>0</v>
      </c>
      <c r="BH689" s="798">
        <f t="shared" si="685"/>
        <v>0</v>
      </c>
      <c r="BI689" s="798">
        <f t="shared" si="685"/>
        <v>0</v>
      </c>
      <c r="BJ689" s="798">
        <f t="shared" si="685"/>
        <v>0</v>
      </c>
      <c r="BK689" s="798">
        <f t="shared" si="685"/>
        <v>1</v>
      </c>
      <c r="BL689" s="765"/>
      <c r="BM689" s="817"/>
      <c r="BN689" s="817"/>
    </row>
    <row r="690" hidden="1">
      <c r="A690" s="765"/>
      <c r="B690" s="765"/>
      <c r="C690" s="765"/>
      <c r="D690" s="765"/>
      <c r="E690" s="765"/>
      <c r="F690" s="765"/>
      <c r="G690" s="765"/>
      <c r="H690" s="765"/>
      <c r="I690" s="765">
        <f t="shared" si="17"/>
        <v>679</v>
      </c>
      <c r="J690" s="763">
        <f t="shared" si="5"/>
        <v>7.48728E+17</v>
      </c>
      <c r="K690" s="796">
        <f t="shared" si="7"/>
        <v>0.57329</v>
      </c>
      <c r="L690" s="796">
        <v>5.0E-4</v>
      </c>
      <c r="M690" s="763">
        <v>8.53737701056127E17</v>
      </c>
      <c r="N690" s="797">
        <f t="shared" si="8"/>
        <v>0</v>
      </c>
      <c r="O690" s="798">
        <f t="shared" ref="O690:BK690" si="686">FLOOR(MIN((((N("value of ELS upgrade")+N$8*($K690-$K689))*(N("Check checkbox")+(IF($G$6=TRUE,$G$7,$G$8))/$G$8))/(N("ROI of ELS and multiply by 2 if ELS is 1:1")+IF($G$12 = True, 2, 1) * $J690))/((N("difference in ELS+ and the cost of it")+(($K689*O$8)-($K689*N$8)) / O$7)),(N("MIN lets it return 0 or 1 after floored")+1)),1)</f>
        <v>0</v>
      </c>
      <c r="P690" s="798">
        <f t="shared" si="686"/>
        <v>0</v>
      </c>
      <c r="Q690" s="798">
        <f t="shared" si="686"/>
        <v>0</v>
      </c>
      <c r="R690" s="798">
        <f t="shared" si="686"/>
        <v>0</v>
      </c>
      <c r="S690" s="798">
        <f t="shared" si="686"/>
        <v>0</v>
      </c>
      <c r="T690" s="798">
        <f t="shared" si="686"/>
        <v>0</v>
      </c>
      <c r="U690" s="798">
        <f t="shared" si="686"/>
        <v>0</v>
      </c>
      <c r="V690" s="798">
        <f t="shared" si="686"/>
        <v>0</v>
      </c>
      <c r="W690" s="798">
        <f t="shared" si="686"/>
        <v>0</v>
      </c>
      <c r="X690" s="798">
        <f t="shared" si="686"/>
        <v>0</v>
      </c>
      <c r="Y690" s="798">
        <f t="shared" si="686"/>
        <v>0</v>
      </c>
      <c r="Z690" s="798">
        <f t="shared" si="686"/>
        <v>0</v>
      </c>
      <c r="AA690" s="798">
        <f t="shared" si="686"/>
        <v>0</v>
      </c>
      <c r="AB690" s="798">
        <f t="shared" si="686"/>
        <v>0</v>
      </c>
      <c r="AC690" s="798">
        <f t="shared" si="686"/>
        <v>0</v>
      </c>
      <c r="AD690" s="798">
        <f t="shared" si="686"/>
        <v>0</v>
      </c>
      <c r="AE690" s="798">
        <f t="shared" si="686"/>
        <v>0</v>
      </c>
      <c r="AF690" s="798">
        <f t="shared" si="686"/>
        <v>0</v>
      </c>
      <c r="AG690" s="798">
        <f t="shared" si="686"/>
        <v>0</v>
      </c>
      <c r="AH690" s="798">
        <f t="shared" si="686"/>
        <v>0</v>
      </c>
      <c r="AI690" s="798">
        <f t="shared" si="686"/>
        <v>0</v>
      </c>
      <c r="AJ690" s="798">
        <f t="shared" si="686"/>
        <v>0</v>
      </c>
      <c r="AK690" s="798">
        <f t="shared" si="686"/>
        <v>0</v>
      </c>
      <c r="AL690" s="798">
        <f t="shared" si="686"/>
        <v>0</v>
      </c>
      <c r="AM690" s="798">
        <f t="shared" si="686"/>
        <v>0</v>
      </c>
      <c r="AN690" s="798">
        <f t="shared" si="686"/>
        <v>0</v>
      </c>
      <c r="AO690" s="798">
        <f t="shared" si="686"/>
        <v>0</v>
      </c>
      <c r="AP690" s="798">
        <f t="shared" si="686"/>
        <v>0</v>
      </c>
      <c r="AQ690" s="798">
        <f t="shared" si="686"/>
        <v>0</v>
      </c>
      <c r="AR690" s="798">
        <f t="shared" si="686"/>
        <v>0</v>
      </c>
      <c r="AS690" s="798">
        <f t="shared" si="686"/>
        <v>0</v>
      </c>
      <c r="AT690" s="798">
        <f t="shared" si="686"/>
        <v>0</v>
      </c>
      <c r="AU690" s="798">
        <f t="shared" si="686"/>
        <v>0</v>
      </c>
      <c r="AV690" s="798">
        <f t="shared" si="686"/>
        <v>0</v>
      </c>
      <c r="AW690" s="798">
        <f t="shared" si="686"/>
        <v>0</v>
      </c>
      <c r="AX690" s="798">
        <f t="shared" si="686"/>
        <v>0</v>
      </c>
      <c r="AY690" s="798">
        <f t="shared" si="686"/>
        <v>0</v>
      </c>
      <c r="AZ690" s="798">
        <f t="shared" si="686"/>
        <v>0</v>
      </c>
      <c r="BA690" s="798">
        <f t="shared" si="686"/>
        <v>0</v>
      </c>
      <c r="BB690" s="798">
        <f t="shared" si="686"/>
        <v>0</v>
      </c>
      <c r="BC690" s="798">
        <f t="shared" si="686"/>
        <v>0</v>
      </c>
      <c r="BD690" s="798">
        <f t="shared" si="686"/>
        <v>0</v>
      </c>
      <c r="BE690" s="798">
        <f t="shared" si="686"/>
        <v>0</v>
      </c>
      <c r="BF690" s="798">
        <f t="shared" si="686"/>
        <v>0</v>
      </c>
      <c r="BG690" s="798">
        <f t="shared" si="686"/>
        <v>0</v>
      </c>
      <c r="BH690" s="798">
        <f t="shared" si="686"/>
        <v>0</v>
      </c>
      <c r="BI690" s="798">
        <f t="shared" si="686"/>
        <v>0</v>
      </c>
      <c r="BJ690" s="798">
        <f t="shared" si="686"/>
        <v>0</v>
      </c>
      <c r="BK690" s="798">
        <f t="shared" si="686"/>
        <v>1</v>
      </c>
      <c r="BL690" s="765"/>
      <c r="BM690" s="817"/>
      <c r="BN690" s="817"/>
    </row>
    <row r="691" hidden="1">
      <c r="A691" s="765"/>
      <c r="B691" s="765"/>
      <c r="C691" s="765"/>
      <c r="D691" s="765"/>
      <c r="E691" s="765"/>
      <c r="F691" s="765"/>
      <c r="G691" s="765"/>
      <c r="H691" s="765"/>
      <c r="I691" s="765">
        <f t="shared" si="17"/>
        <v>680</v>
      </c>
      <c r="J691" s="763">
        <f t="shared" si="5"/>
        <v>7.51178E+17</v>
      </c>
      <c r="K691" s="796">
        <f t="shared" si="7"/>
        <v>0.57379</v>
      </c>
      <c r="L691" s="796">
        <v>5.0E-4</v>
      </c>
      <c r="M691" s="763">
        <v>8.56531324183471E17</v>
      </c>
      <c r="N691" s="797">
        <f t="shared" si="8"/>
        <v>0</v>
      </c>
      <c r="O691" s="798">
        <f t="shared" ref="O691:BK691" si="687">FLOOR(MIN((((N("value of ELS upgrade")+N$8*($K691-$K690))*(N("Check checkbox")+(IF($G$6=TRUE,$G$7,$G$8))/$G$8))/(N("ROI of ELS and multiply by 2 if ELS is 1:1")+IF($G$12 = True, 2, 1) * $J691))/((N("difference in ELS+ and the cost of it")+(($K690*O$8)-($K690*N$8)) / O$7)),(N("MIN lets it return 0 or 1 after floored")+1)),1)</f>
        <v>0</v>
      </c>
      <c r="P691" s="798">
        <f t="shared" si="687"/>
        <v>0</v>
      </c>
      <c r="Q691" s="798">
        <f t="shared" si="687"/>
        <v>0</v>
      </c>
      <c r="R691" s="798">
        <f t="shared" si="687"/>
        <v>0</v>
      </c>
      <c r="S691" s="798">
        <f t="shared" si="687"/>
        <v>0</v>
      </c>
      <c r="T691" s="798">
        <f t="shared" si="687"/>
        <v>0</v>
      </c>
      <c r="U691" s="798">
        <f t="shared" si="687"/>
        <v>0</v>
      </c>
      <c r="V691" s="798">
        <f t="shared" si="687"/>
        <v>0</v>
      </c>
      <c r="W691" s="798">
        <f t="shared" si="687"/>
        <v>0</v>
      </c>
      <c r="X691" s="798">
        <f t="shared" si="687"/>
        <v>0</v>
      </c>
      <c r="Y691" s="798">
        <f t="shared" si="687"/>
        <v>0</v>
      </c>
      <c r="Z691" s="798">
        <f t="shared" si="687"/>
        <v>0</v>
      </c>
      <c r="AA691" s="798">
        <f t="shared" si="687"/>
        <v>0</v>
      </c>
      <c r="AB691" s="798">
        <f t="shared" si="687"/>
        <v>0</v>
      </c>
      <c r="AC691" s="798">
        <f t="shared" si="687"/>
        <v>0</v>
      </c>
      <c r="AD691" s="798">
        <f t="shared" si="687"/>
        <v>0</v>
      </c>
      <c r="AE691" s="798">
        <f t="shared" si="687"/>
        <v>0</v>
      </c>
      <c r="AF691" s="798">
        <f t="shared" si="687"/>
        <v>0</v>
      </c>
      <c r="AG691" s="798">
        <f t="shared" si="687"/>
        <v>0</v>
      </c>
      <c r="AH691" s="798">
        <f t="shared" si="687"/>
        <v>0</v>
      </c>
      <c r="AI691" s="798">
        <f t="shared" si="687"/>
        <v>0</v>
      </c>
      <c r="AJ691" s="798">
        <f t="shared" si="687"/>
        <v>0</v>
      </c>
      <c r="AK691" s="798">
        <f t="shared" si="687"/>
        <v>0</v>
      </c>
      <c r="AL691" s="798">
        <f t="shared" si="687"/>
        <v>0</v>
      </c>
      <c r="AM691" s="798">
        <f t="shared" si="687"/>
        <v>0</v>
      </c>
      <c r="AN691" s="798">
        <f t="shared" si="687"/>
        <v>0</v>
      </c>
      <c r="AO691" s="798">
        <f t="shared" si="687"/>
        <v>0</v>
      </c>
      <c r="AP691" s="798">
        <f t="shared" si="687"/>
        <v>0</v>
      </c>
      <c r="AQ691" s="798">
        <f t="shared" si="687"/>
        <v>0</v>
      </c>
      <c r="AR691" s="798">
        <f t="shared" si="687"/>
        <v>0</v>
      </c>
      <c r="AS691" s="798">
        <f t="shared" si="687"/>
        <v>0</v>
      </c>
      <c r="AT691" s="798">
        <f t="shared" si="687"/>
        <v>0</v>
      </c>
      <c r="AU691" s="798">
        <f t="shared" si="687"/>
        <v>0</v>
      </c>
      <c r="AV691" s="798">
        <f t="shared" si="687"/>
        <v>0</v>
      </c>
      <c r="AW691" s="798">
        <f t="shared" si="687"/>
        <v>0</v>
      </c>
      <c r="AX691" s="798">
        <f t="shared" si="687"/>
        <v>0</v>
      </c>
      <c r="AY691" s="798">
        <f t="shared" si="687"/>
        <v>0</v>
      </c>
      <c r="AZ691" s="798">
        <f t="shared" si="687"/>
        <v>0</v>
      </c>
      <c r="BA691" s="798">
        <f t="shared" si="687"/>
        <v>0</v>
      </c>
      <c r="BB691" s="798">
        <f t="shared" si="687"/>
        <v>0</v>
      </c>
      <c r="BC691" s="798">
        <f t="shared" si="687"/>
        <v>0</v>
      </c>
      <c r="BD691" s="798">
        <f t="shared" si="687"/>
        <v>0</v>
      </c>
      <c r="BE691" s="798">
        <f t="shared" si="687"/>
        <v>0</v>
      </c>
      <c r="BF691" s="798">
        <f t="shared" si="687"/>
        <v>0</v>
      </c>
      <c r="BG691" s="798">
        <f t="shared" si="687"/>
        <v>0</v>
      </c>
      <c r="BH691" s="798">
        <f t="shared" si="687"/>
        <v>0</v>
      </c>
      <c r="BI691" s="798">
        <f t="shared" si="687"/>
        <v>0</v>
      </c>
      <c r="BJ691" s="798">
        <f t="shared" si="687"/>
        <v>0</v>
      </c>
      <c r="BK691" s="798">
        <f t="shared" si="687"/>
        <v>1</v>
      </c>
      <c r="BL691" s="765"/>
      <c r="BM691" s="817"/>
      <c r="BN691" s="817"/>
    </row>
    <row r="692" hidden="1">
      <c r="A692" s="765"/>
      <c r="B692" s="765"/>
      <c r="C692" s="765"/>
      <c r="D692" s="765"/>
      <c r="E692" s="765"/>
      <c r="F692" s="765"/>
      <c r="G692" s="765"/>
      <c r="H692" s="765"/>
      <c r="I692" s="765">
        <f t="shared" si="17"/>
        <v>681</v>
      </c>
      <c r="J692" s="763">
        <f t="shared" si="5"/>
        <v>3.76817E+18</v>
      </c>
      <c r="K692" s="796">
        <f t="shared" si="7"/>
        <v>0.57429</v>
      </c>
      <c r="L692" s="796">
        <v>5.0E-4</v>
      </c>
      <c r="M692" s="763">
        <v>4.29666310124372E18</v>
      </c>
      <c r="N692" s="797">
        <f t="shared" si="8"/>
        <v>0</v>
      </c>
      <c r="O692" s="798">
        <f t="shared" ref="O692:BK692" si="688">FLOOR(MIN((((N("value of ELS upgrade")+N$8*($K692-$K691))*(N("Check checkbox")+(IF($G$6=TRUE,$G$7,$G$8))/$G$8))/(N("ROI of ELS and multiply by 2 if ELS is 1:1")+IF($G$12 = True, 2, 1) * $J692))/((N("difference in ELS+ and the cost of it")+(($K691*O$8)-($K691*N$8)) / O$7)),(N("MIN lets it return 0 or 1 after floored")+1)),1)</f>
        <v>0</v>
      </c>
      <c r="P692" s="798">
        <f t="shared" si="688"/>
        <v>0</v>
      </c>
      <c r="Q692" s="798">
        <f t="shared" si="688"/>
        <v>0</v>
      </c>
      <c r="R692" s="798">
        <f t="shared" si="688"/>
        <v>0</v>
      </c>
      <c r="S692" s="798">
        <f t="shared" si="688"/>
        <v>0</v>
      </c>
      <c r="T692" s="798">
        <f t="shared" si="688"/>
        <v>0</v>
      </c>
      <c r="U692" s="798">
        <f t="shared" si="688"/>
        <v>0</v>
      </c>
      <c r="V692" s="798">
        <f t="shared" si="688"/>
        <v>0</v>
      </c>
      <c r="W692" s="798">
        <f t="shared" si="688"/>
        <v>0</v>
      </c>
      <c r="X692" s="798">
        <f t="shared" si="688"/>
        <v>0</v>
      </c>
      <c r="Y692" s="798">
        <f t="shared" si="688"/>
        <v>0</v>
      </c>
      <c r="Z692" s="798">
        <f t="shared" si="688"/>
        <v>0</v>
      </c>
      <c r="AA692" s="798">
        <f t="shared" si="688"/>
        <v>0</v>
      </c>
      <c r="AB692" s="798">
        <f t="shared" si="688"/>
        <v>0</v>
      </c>
      <c r="AC692" s="798">
        <f t="shared" si="688"/>
        <v>0</v>
      </c>
      <c r="AD692" s="798">
        <f t="shared" si="688"/>
        <v>0</v>
      </c>
      <c r="AE692" s="798">
        <f t="shared" si="688"/>
        <v>0</v>
      </c>
      <c r="AF692" s="798">
        <f t="shared" si="688"/>
        <v>0</v>
      </c>
      <c r="AG692" s="798">
        <f t="shared" si="688"/>
        <v>0</v>
      </c>
      <c r="AH692" s="798">
        <f t="shared" si="688"/>
        <v>0</v>
      </c>
      <c r="AI692" s="798">
        <f t="shared" si="688"/>
        <v>0</v>
      </c>
      <c r="AJ692" s="798">
        <f t="shared" si="688"/>
        <v>0</v>
      </c>
      <c r="AK692" s="798">
        <f t="shared" si="688"/>
        <v>0</v>
      </c>
      <c r="AL692" s="798">
        <f t="shared" si="688"/>
        <v>0</v>
      </c>
      <c r="AM692" s="798">
        <f t="shared" si="688"/>
        <v>0</v>
      </c>
      <c r="AN692" s="798">
        <f t="shared" si="688"/>
        <v>0</v>
      </c>
      <c r="AO692" s="798">
        <f t="shared" si="688"/>
        <v>0</v>
      </c>
      <c r="AP692" s="798">
        <f t="shared" si="688"/>
        <v>0</v>
      </c>
      <c r="AQ692" s="798">
        <f t="shared" si="688"/>
        <v>0</v>
      </c>
      <c r="AR692" s="798">
        <f t="shared" si="688"/>
        <v>0</v>
      </c>
      <c r="AS692" s="798">
        <f t="shared" si="688"/>
        <v>0</v>
      </c>
      <c r="AT692" s="798">
        <f t="shared" si="688"/>
        <v>0</v>
      </c>
      <c r="AU692" s="798">
        <f t="shared" si="688"/>
        <v>0</v>
      </c>
      <c r="AV692" s="798">
        <f t="shared" si="688"/>
        <v>0</v>
      </c>
      <c r="AW692" s="798">
        <f t="shared" si="688"/>
        <v>0</v>
      </c>
      <c r="AX692" s="798">
        <f t="shared" si="688"/>
        <v>0</v>
      </c>
      <c r="AY692" s="798">
        <f t="shared" si="688"/>
        <v>0</v>
      </c>
      <c r="AZ692" s="798">
        <f t="shared" si="688"/>
        <v>0</v>
      </c>
      <c r="BA692" s="798">
        <f t="shared" si="688"/>
        <v>0</v>
      </c>
      <c r="BB692" s="798">
        <f t="shared" si="688"/>
        <v>0</v>
      </c>
      <c r="BC692" s="798">
        <f t="shared" si="688"/>
        <v>0</v>
      </c>
      <c r="BD692" s="798">
        <f t="shared" si="688"/>
        <v>0</v>
      </c>
      <c r="BE692" s="798">
        <f t="shared" si="688"/>
        <v>0</v>
      </c>
      <c r="BF692" s="798">
        <f t="shared" si="688"/>
        <v>0</v>
      </c>
      <c r="BG692" s="798">
        <f t="shared" si="688"/>
        <v>0</v>
      </c>
      <c r="BH692" s="798">
        <f t="shared" si="688"/>
        <v>0</v>
      </c>
      <c r="BI692" s="798">
        <f t="shared" si="688"/>
        <v>0</v>
      </c>
      <c r="BJ692" s="798">
        <f t="shared" si="688"/>
        <v>0</v>
      </c>
      <c r="BK692" s="798">
        <f t="shared" si="688"/>
        <v>1</v>
      </c>
      <c r="BL692" s="765"/>
      <c r="BM692" s="817"/>
      <c r="BN692" s="817"/>
    </row>
    <row r="693" hidden="1">
      <c r="A693" s="765"/>
      <c r="B693" s="765"/>
      <c r="C693" s="765"/>
      <c r="D693" s="765"/>
      <c r="E693" s="765"/>
      <c r="F693" s="765"/>
      <c r="G693" s="765"/>
      <c r="H693" s="765"/>
      <c r="I693" s="765">
        <f t="shared" si="17"/>
        <v>682</v>
      </c>
      <c r="J693" s="763">
        <f t="shared" si="5"/>
        <v>3.78049E+18</v>
      </c>
      <c r="K693" s="796">
        <f t="shared" si="7"/>
        <v>0.57479</v>
      </c>
      <c r="L693" s="796">
        <v>5.0E-4</v>
      </c>
      <c r="M693" s="763">
        <v>4.3107077591149E18</v>
      </c>
      <c r="N693" s="797">
        <f t="shared" si="8"/>
        <v>0</v>
      </c>
      <c r="O693" s="798">
        <f t="shared" ref="O693:BK693" si="689">FLOOR(MIN((((N("value of ELS upgrade")+N$8*($K693-$K692))*(N("Check checkbox")+(IF($G$6=TRUE,$G$7,$G$8))/$G$8))/(N("ROI of ELS and multiply by 2 if ELS is 1:1")+IF($G$12 = True, 2, 1) * $J693))/((N("difference in ELS+ and the cost of it")+(($K692*O$8)-($K692*N$8)) / O$7)),(N("MIN lets it return 0 or 1 after floored")+1)),1)</f>
        <v>0</v>
      </c>
      <c r="P693" s="798">
        <f t="shared" si="689"/>
        <v>0</v>
      </c>
      <c r="Q693" s="798">
        <f t="shared" si="689"/>
        <v>0</v>
      </c>
      <c r="R693" s="798">
        <f t="shared" si="689"/>
        <v>0</v>
      </c>
      <c r="S693" s="798">
        <f t="shared" si="689"/>
        <v>0</v>
      </c>
      <c r="T693" s="798">
        <f t="shared" si="689"/>
        <v>0</v>
      </c>
      <c r="U693" s="798">
        <f t="shared" si="689"/>
        <v>0</v>
      </c>
      <c r="V693" s="798">
        <f t="shared" si="689"/>
        <v>0</v>
      </c>
      <c r="W693" s="798">
        <f t="shared" si="689"/>
        <v>0</v>
      </c>
      <c r="X693" s="798">
        <f t="shared" si="689"/>
        <v>0</v>
      </c>
      <c r="Y693" s="798">
        <f t="shared" si="689"/>
        <v>0</v>
      </c>
      <c r="Z693" s="798">
        <f t="shared" si="689"/>
        <v>0</v>
      </c>
      <c r="AA693" s="798">
        <f t="shared" si="689"/>
        <v>0</v>
      </c>
      <c r="AB693" s="798">
        <f t="shared" si="689"/>
        <v>0</v>
      </c>
      <c r="AC693" s="798">
        <f t="shared" si="689"/>
        <v>0</v>
      </c>
      <c r="AD693" s="798">
        <f t="shared" si="689"/>
        <v>0</v>
      </c>
      <c r="AE693" s="798">
        <f t="shared" si="689"/>
        <v>0</v>
      </c>
      <c r="AF693" s="798">
        <f t="shared" si="689"/>
        <v>0</v>
      </c>
      <c r="AG693" s="798">
        <f t="shared" si="689"/>
        <v>0</v>
      </c>
      <c r="AH693" s="798">
        <f t="shared" si="689"/>
        <v>0</v>
      </c>
      <c r="AI693" s="798">
        <f t="shared" si="689"/>
        <v>0</v>
      </c>
      <c r="AJ693" s="798">
        <f t="shared" si="689"/>
        <v>0</v>
      </c>
      <c r="AK693" s="798">
        <f t="shared" si="689"/>
        <v>0</v>
      </c>
      <c r="AL693" s="798">
        <f t="shared" si="689"/>
        <v>0</v>
      </c>
      <c r="AM693" s="798">
        <f t="shared" si="689"/>
        <v>0</v>
      </c>
      <c r="AN693" s="798">
        <f t="shared" si="689"/>
        <v>0</v>
      </c>
      <c r="AO693" s="798">
        <f t="shared" si="689"/>
        <v>0</v>
      </c>
      <c r="AP693" s="798">
        <f t="shared" si="689"/>
        <v>0</v>
      </c>
      <c r="AQ693" s="798">
        <f t="shared" si="689"/>
        <v>0</v>
      </c>
      <c r="AR693" s="798">
        <f t="shared" si="689"/>
        <v>0</v>
      </c>
      <c r="AS693" s="798">
        <f t="shared" si="689"/>
        <v>0</v>
      </c>
      <c r="AT693" s="798">
        <f t="shared" si="689"/>
        <v>0</v>
      </c>
      <c r="AU693" s="798">
        <f t="shared" si="689"/>
        <v>0</v>
      </c>
      <c r="AV693" s="798">
        <f t="shared" si="689"/>
        <v>0</v>
      </c>
      <c r="AW693" s="798">
        <f t="shared" si="689"/>
        <v>0</v>
      </c>
      <c r="AX693" s="798">
        <f t="shared" si="689"/>
        <v>0</v>
      </c>
      <c r="AY693" s="798">
        <f t="shared" si="689"/>
        <v>0</v>
      </c>
      <c r="AZ693" s="798">
        <f t="shared" si="689"/>
        <v>0</v>
      </c>
      <c r="BA693" s="798">
        <f t="shared" si="689"/>
        <v>0</v>
      </c>
      <c r="BB693" s="798">
        <f t="shared" si="689"/>
        <v>0</v>
      </c>
      <c r="BC693" s="798">
        <f t="shared" si="689"/>
        <v>0</v>
      </c>
      <c r="BD693" s="798">
        <f t="shared" si="689"/>
        <v>0</v>
      </c>
      <c r="BE693" s="798">
        <f t="shared" si="689"/>
        <v>0</v>
      </c>
      <c r="BF693" s="798">
        <f t="shared" si="689"/>
        <v>0</v>
      </c>
      <c r="BG693" s="798">
        <f t="shared" si="689"/>
        <v>0</v>
      </c>
      <c r="BH693" s="798">
        <f t="shared" si="689"/>
        <v>0</v>
      </c>
      <c r="BI693" s="798">
        <f t="shared" si="689"/>
        <v>0</v>
      </c>
      <c r="BJ693" s="798">
        <f t="shared" si="689"/>
        <v>0</v>
      </c>
      <c r="BK693" s="798">
        <f t="shared" si="689"/>
        <v>1</v>
      </c>
      <c r="BL693" s="765"/>
      <c r="BM693" s="817"/>
      <c r="BN693" s="817"/>
    </row>
    <row r="694" hidden="1">
      <c r="A694" s="765"/>
      <c r="B694" s="765"/>
      <c r="C694" s="765"/>
      <c r="D694" s="765"/>
      <c r="E694" s="765"/>
      <c r="F694" s="765"/>
      <c r="G694" s="765"/>
      <c r="H694" s="765"/>
      <c r="I694" s="765">
        <f t="shared" si="17"/>
        <v>683</v>
      </c>
      <c r="J694" s="763">
        <f t="shared" si="5"/>
        <v>3.79284E+18</v>
      </c>
      <c r="K694" s="796">
        <f t="shared" si="7"/>
        <v>0.57529</v>
      </c>
      <c r="L694" s="796">
        <v>5.0E-4</v>
      </c>
      <c r="M694" s="763">
        <v>4.32479096882055E18</v>
      </c>
      <c r="N694" s="797">
        <f t="shared" si="8"/>
        <v>0</v>
      </c>
      <c r="O694" s="798">
        <f t="shared" ref="O694:BK694" si="690">FLOOR(MIN((((N("value of ELS upgrade")+N$8*($K694-$K693))*(N("Check checkbox")+(IF($G$6=TRUE,$G$7,$G$8))/$G$8))/(N("ROI of ELS and multiply by 2 if ELS is 1:1")+IF($G$12 = True, 2, 1) * $J694))/((N("difference in ELS+ and the cost of it")+(($K693*O$8)-($K693*N$8)) / O$7)),(N("MIN lets it return 0 or 1 after floored")+1)),1)</f>
        <v>0</v>
      </c>
      <c r="P694" s="798">
        <f t="shared" si="690"/>
        <v>0</v>
      </c>
      <c r="Q694" s="798">
        <f t="shared" si="690"/>
        <v>0</v>
      </c>
      <c r="R694" s="798">
        <f t="shared" si="690"/>
        <v>0</v>
      </c>
      <c r="S694" s="798">
        <f t="shared" si="690"/>
        <v>0</v>
      </c>
      <c r="T694" s="798">
        <f t="shared" si="690"/>
        <v>0</v>
      </c>
      <c r="U694" s="798">
        <f t="shared" si="690"/>
        <v>0</v>
      </c>
      <c r="V694" s="798">
        <f t="shared" si="690"/>
        <v>0</v>
      </c>
      <c r="W694" s="798">
        <f t="shared" si="690"/>
        <v>0</v>
      </c>
      <c r="X694" s="798">
        <f t="shared" si="690"/>
        <v>0</v>
      </c>
      <c r="Y694" s="798">
        <f t="shared" si="690"/>
        <v>0</v>
      </c>
      <c r="Z694" s="798">
        <f t="shared" si="690"/>
        <v>0</v>
      </c>
      <c r="AA694" s="798">
        <f t="shared" si="690"/>
        <v>0</v>
      </c>
      <c r="AB694" s="798">
        <f t="shared" si="690"/>
        <v>0</v>
      </c>
      <c r="AC694" s="798">
        <f t="shared" si="690"/>
        <v>0</v>
      </c>
      <c r="AD694" s="798">
        <f t="shared" si="690"/>
        <v>0</v>
      </c>
      <c r="AE694" s="798">
        <f t="shared" si="690"/>
        <v>0</v>
      </c>
      <c r="AF694" s="798">
        <f t="shared" si="690"/>
        <v>0</v>
      </c>
      <c r="AG694" s="798">
        <f t="shared" si="690"/>
        <v>0</v>
      </c>
      <c r="AH694" s="798">
        <f t="shared" si="690"/>
        <v>0</v>
      </c>
      <c r="AI694" s="798">
        <f t="shared" si="690"/>
        <v>0</v>
      </c>
      <c r="AJ694" s="798">
        <f t="shared" si="690"/>
        <v>0</v>
      </c>
      <c r="AK694" s="798">
        <f t="shared" si="690"/>
        <v>0</v>
      </c>
      <c r="AL694" s="798">
        <f t="shared" si="690"/>
        <v>0</v>
      </c>
      <c r="AM694" s="798">
        <f t="shared" si="690"/>
        <v>0</v>
      </c>
      <c r="AN694" s="798">
        <f t="shared" si="690"/>
        <v>0</v>
      </c>
      <c r="AO694" s="798">
        <f t="shared" si="690"/>
        <v>0</v>
      </c>
      <c r="AP694" s="798">
        <f t="shared" si="690"/>
        <v>0</v>
      </c>
      <c r="AQ694" s="798">
        <f t="shared" si="690"/>
        <v>0</v>
      </c>
      <c r="AR694" s="798">
        <f t="shared" si="690"/>
        <v>0</v>
      </c>
      <c r="AS694" s="798">
        <f t="shared" si="690"/>
        <v>0</v>
      </c>
      <c r="AT694" s="798">
        <f t="shared" si="690"/>
        <v>0</v>
      </c>
      <c r="AU694" s="798">
        <f t="shared" si="690"/>
        <v>0</v>
      </c>
      <c r="AV694" s="798">
        <f t="shared" si="690"/>
        <v>0</v>
      </c>
      <c r="AW694" s="798">
        <f t="shared" si="690"/>
        <v>0</v>
      </c>
      <c r="AX694" s="798">
        <f t="shared" si="690"/>
        <v>0</v>
      </c>
      <c r="AY694" s="798">
        <f t="shared" si="690"/>
        <v>0</v>
      </c>
      <c r="AZ694" s="798">
        <f t="shared" si="690"/>
        <v>0</v>
      </c>
      <c r="BA694" s="798">
        <f t="shared" si="690"/>
        <v>0</v>
      </c>
      <c r="BB694" s="798">
        <f t="shared" si="690"/>
        <v>0</v>
      </c>
      <c r="BC694" s="798">
        <f t="shared" si="690"/>
        <v>0</v>
      </c>
      <c r="BD694" s="798">
        <f t="shared" si="690"/>
        <v>0</v>
      </c>
      <c r="BE694" s="798">
        <f t="shared" si="690"/>
        <v>0</v>
      </c>
      <c r="BF694" s="798">
        <f t="shared" si="690"/>
        <v>0</v>
      </c>
      <c r="BG694" s="798">
        <f t="shared" si="690"/>
        <v>0</v>
      </c>
      <c r="BH694" s="798">
        <f t="shared" si="690"/>
        <v>0</v>
      </c>
      <c r="BI694" s="798">
        <f t="shared" si="690"/>
        <v>0</v>
      </c>
      <c r="BJ694" s="798">
        <f t="shared" si="690"/>
        <v>0</v>
      </c>
      <c r="BK694" s="798">
        <f t="shared" si="690"/>
        <v>1</v>
      </c>
      <c r="BL694" s="765"/>
      <c r="BM694" s="817"/>
      <c r="BN694" s="817"/>
    </row>
    <row r="695" hidden="1">
      <c r="A695" s="765"/>
      <c r="B695" s="765"/>
      <c r="C695" s="765"/>
      <c r="D695" s="765"/>
      <c r="E695" s="765"/>
      <c r="F695" s="765"/>
      <c r="G695" s="765"/>
      <c r="H695" s="765"/>
      <c r="I695" s="765">
        <f t="shared" si="17"/>
        <v>684</v>
      </c>
      <c r="J695" s="763">
        <f t="shared" si="5"/>
        <v>3.80523E+18</v>
      </c>
      <c r="K695" s="796">
        <f t="shared" si="7"/>
        <v>0.57579</v>
      </c>
      <c r="L695" s="796">
        <v>5.0E-4</v>
      </c>
      <c r="M695" s="763">
        <v>4.33891273036067E18</v>
      </c>
      <c r="N695" s="797">
        <f t="shared" si="8"/>
        <v>0</v>
      </c>
      <c r="O695" s="798">
        <f t="shared" ref="O695:BK695" si="691">FLOOR(MIN((((N("value of ELS upgrade")+N$8*($K695-$K694))*(N("Check checkbox")+(IF($G$6=TRUE,$G$7,$G$8))/$G$8))/(N("ROI of ELS and multiply by 2 if ELS is 1:1")+IF($G$12 = True, 2, 1) * $J695))/((N("difference in ELS+ and the cost of it")+(($K694*O$8)-($K694*N$8)) / O$7)),(N("MIN lets it return 0 or 1 after floored")+1)),1)</f>
        <v>0</v>
      </c>
      <c r="P695" s="798">
        <f t="shared" si="691"/>
        <v>0</v>
      </c>
      <c r="Q695" s="798">
        <f t="shared" si="691"/>
        <v>0</v>
      </c>
      <c r="R695" s="798">
        <f t="shared" si="691"/>
        <v>0</v>
      </c>
      <c r="S695" s="798">
        <f t="shared" si="691"/>
        <v>0</v>
      </c>
      <c r="T695" s="798">
        <f t="shared" si="691"/>
        <v>0</v>
      </c>
      <c r="U695" s="798">
        <f t="shared" si="691"/>
        <v>0</v>
      </c>
      <c r="V695" s="798">
        <f t="shared" si="691"/>
        <v>0</v>
      </c>
      <c r="W695" s="798">
        <f t="shared" si="691"/>
        <v>0</v>
      </c>
      <c r="X695" s="798">
        <f t="shared" si="691"/>
        <v>0</v>
      </c>
      <c r="Y695" s="798">
        <f t="shared" si="691"/>
        <v>0</v>
      </c>
      <c r="Z695" s="798">
        <f t="shared" si="691"/>
        <v>0</v>
      </c>
      <c r="AA695" s="798">
        <f t="shared" si="691"/>
        <v>0</v>
      </c>
      <c r="AB695" s="798">
        <f t="shared" si="691"/>
        <v>0</v>
      </c>
      <c r="AC695" s="798">
        <f t="shared" si="691"/>
        <v>0</v>
      </c>
      <c r="AD695" s="798">
        <f t="shared" si="691"/>
        <v>0</v>
      </c>
      <c r="AE695" s="798">
        <f t="shared" si="691"/>
        <v>0</v>
      </c>
      <c r="AF695" s="798">
        <f t="shared" si="691"/>
        <v>0</v>
      </c>
      <c r="AG695" s="798">
        <f t="shared" si="691"/>
        <v>0</v>
      </c>
      <c r="AH695" s="798">
        <f t="shared" si="691"/>
        <v>0</v>
      </c>
      <c r="AI695" s="798">
        <f t="shared" si="691"/>
        <v>0</v>
      </c>
      <c r="AJ695" s="798">
        <f t="shared" si="691"/>
        <v>0</v>
      </c>
      <c r="AK695" s="798">
        <f t="shared" si="691"/>
        <v>0</v>
      </c>
      <c r="AL695" s="798">
        <f t="shared" si="691"/>
        <v>0</v>
      </c>
      <c r="AM695" s="798">
        <f t="shared" si="691"/>
        <v>0</v>
      </c>
      <c r="AN695" s="798">
        <f t="shared" si="691"/>
        <v>0</v>
      </c>
      <c r="AO695" s="798">
        <f t="shared" si="691"/>
        <v>0</v>
      </c>
      <c r="AP695" s="798">
        <f t="shared" si="691"/>
        <v>0</v>
      </c>
      <c r="AQ695" s="798">
        <f t="shared" si="691"/>
        <v>0</v>
      </c>
      <c r="AR695" s="798">
        <f t="shared" si="691"/>
        <v>0</v>
      </c>
      <c r="AS695" s="798">
        <f t="shared" si="691"/>
        <v>0</v>
      </c>
      <c r="AT695" s="798">
        <f t="shared" si="691"/>
        <v>0</v>
      </c>
      <c r="AU695" s="798">
        <f t="shared" si="691"/>
        <v>0</v>
      </c>
      <c r="AV695" s="798">
        <f t="shared" si="691"/>
        <v>0</v>
      </c>
      <c r="AW695" s="798">
        <f t="shared" si="691"/>
        <v>0</v>
      </c>
      <c r="AX695" s="798">
        <f t="shared" si="691"/>
        <v>0</v>
      </c>
      <c r="AY695" s="798">
        <f t="shared" si="691"/>
        <v>0</v>
      </c>
      <c r="AZ695" s="798">
        <f t="shared" si="691"/>
        <v>0</v>
      </c>
      <c r="BA695" s="798">
        <f t="shared" si="691"/>
        <v>0</v>
      </c>
      <c r="BB695" s="798">
        <f t="shared" si="691"/>
        <v>0</v>
      </c>
      <c r="BC695" s="798">
        <f t="shared" si="691"/>
        <v>0</v>
      </c>
      <c r="BD695" s="798">
        <f t="shared" si="691"/>
        <v>0</v>
      </c>
      <c r="BE695" s="798">
        <f t="shared" si="691"/>
        <v>0</v>
      </c>
      <c r="BF695" s="798">
        <f t="shared" si="691"/>
        <v>0</v>
      </c>
      <c r="BG695" s="798">
        <f t="shared" si="691"/>
        <v>0</v>
      </c>
      <c r="BH695" s="798">
        <f t="shared" si="691"/>
        <v>0</v>
      </c>
      <c r="BI695" s="798">
        <f t="shared" si="691"/>
        <v>0</v>
      </c>
      <c r="BJ695" s="798">
        <f t="shared" si="691"/>
        <v>0</v>
      </c>
      <c r="BK695" s="798">
        <f t="shared" si="691"/>
        <v>1</v>
      </c>
      <c r="BL695" s="765"/>
      <c r="BM695" s="817"/>
      <c r="BN695" s="817"/>
    </row>
    <row r="696" hidden="1">
      <c r="A696" s="765"/>
      <c r="B696" s="765"/>
      <c r="C696" s="765"/>
      <c r="D696" s="765"/>
      <c r="E696" s="765"/>
      <c r="F696" s="765"/>
      <c r="G696" s="765"/>
      <c r="H696" s="765"/>
      <c r="I696" s="765">
        <f t="shared" si="17"/>
        <v>685</v>
      </c>
      <c r="J696" s="763">
        <f t="shared" si="5"/>
        <v>3.81765E+18</v>
      </c>
      <c r="K696" s="796">
        <f t="shared" si="7"/>
        <v>0.57629</v>
      </c>
      <c r="L696" s="796">
        <v>5.0E-4</v>
      </c>
      <c r="M696" s="763">
        <v>4.35307304373527E18</v>
      </c>
      <c r="N696" s="797">
        <f t="shared" si="8"/>
        <v>0</v>
      </c>
      <c r="O696" s="798">
        <f t="shared" ref="O696:BK696" si="692">FLOOR(MIN((((N("value of ELS upgrade")+N$8*($K696-$K695))*(N("Check checkbox")+(IF($G$6=TRUE,$G$7,$G$8))/$G$8))/(N("ROI of ELS and multiply by 2 if ELS is 1:1")+IF($G$12 = True, 2, 1) * $J696))/((N("difference in ELS+ and the cost of it")+(($K695*O$8)-($K695*N$8)) / O$7)),(N("MIN lets it return 0 or 1 after floored")+1)),1)</f>
        <v>0</v>
      </c>
      <c r="P696" s="798">
        <f t="shared" si="692"/>
        <v>0</v>
      </c>
      <c r="Q696" s="798">
        <f t="shared" si="692"/>
        <v>0</v>
      </c>
      <c r="R696" s="798">
        <f t="shared" si="692"/>
        <v>0</v>
      </c>
      <c r="S696" s="798">
        <f t="shared" si="692"/>
        <v>0</v>
      </c>
      <c r="T696" s="798">
        <f t="shared" si="692"/>
        <v>0</v>
      </c>
      <c r="U696" s="798">
        <f t="shared" si="692"/>
        <v>0</v>
      </c>
      <c r="V696" s="798">
        <f t="shared" si="692"/>
        <v>0</v>
      </c>
      <c r="W696" s="798">
        <f t="shared" si="692"/>
        <v>0</v>
      </c>
      <c r="X696" s="798">
        <f t="shared" si="692"/>
        <v>0</v>
      </c>
      <c r="Y696" s="798">
        <f t="shared" si="692"/>
        <v>0</v>
      </c>
      <c r="Z696" s="798">
        <f t="shared" si="692"/>
        <v>0</v>
      </c>
      <c r="AA696" s="798">
        <f t="shared" si="692"/>
        <v>0</v>
      </c>
      <c r="AB696" s="798">
        <f t="shared" si="692"/>
        <v>0</v>
      </c>
      <c r="AC696" s="798">
        <f t="shared" si="692"/>
        <v>0</v>
      </c>
      <c r="AD696" s="798">
        <f t="shared" si="692"/>
        <v>0</v>
      </c>
      <c r="AE696" s="798">
        <f t="shared" si="692"/>
        <v>0</v>
      </c>
      <c r="AF696" s="798">
        <f t="shared" si="692"/>
        <v>0</v>
      </c>
      <c r="AG696" s="798">
        <f t="shared" si="692"/>
        <v>0</v>
      </c>
      <c r="AH696" s="798">
        <f t="shared" si="692"/>
        <v>0</v>
      </c>
      <c r="AI696" s="798">
        <f t="shared" si="692"/>
        <v>0</v>
      </c>
      <c r="AJ696" s="798">
        <f t="shared" si="692"/>
        <v>0</v>
      </c>
      <c r="AK696" s="798">
        <f t="shared" si="692"/>
        <v>0</v>
      </c>
      <c r="AL696" s="798">
        <f t="shared" si="692"/>
        <v>0</v>
      </c>
      <c r="AM696" s="798">
        <f t="shared" si="692"/>
        <v>0</v>
      </c>
      <c r="AN696" s="798">
        <f t="shared" si="692"/>
        <v>0</v>
      </c>
      <c r="AO696" s="798">
        <f t="shared" si="692"/>
        <v>0</v>
      </c>
      <c r="AP696" s="798">
        <f t="shared" si="692"/>
        <v>0</v>
      </c>
      <c r="AQ696" s="798">
        <f t="shared" si="692"/>
        <v>0</v>
      </c>
      <c r="AR696" s="798">
        <f t="shared" si="692"/>
        <v>0</v>
      </c>
      <c r="AS696" s="798">
        <f t="shared" si="692"/>
        <v>0</v>
      </c>
      <c r="AT696" s="798">
        <f t="shared" si="692"/>
        <v>0</v>
      </c>
      <c r="AU696" s="798">
        <f t="shared" si="692"/>
        <v>0</v>
      </c>
      <c r="AV696" s="798">
        <f t="shared" si="692"/>
        <v>0</v>
      </c>
      <c r="AW696" s="798">
        <f t="shared" si="692"/>
        <v>0</v>
      </c>
      <c r="AX696" s="798">
        <f t="shared" si="692"/>
        <v>0</v>
      </c>
      <c r="AY696" s="798">
        <f t="shared" si="692"/>
        <v>0</v>
      </c>
      <c r="AZ696" s="798">
        <f t="shared" si="692"/>
        <v>0</v>
      </c>
      <c r="BA696" s="798">
        <f t="shared" si="692"/>
        <v>0</v>
      </c>
      <c r="BB696" s="798">
        <f t="shared" si="692"/>
        <v>0</v>
      </c>
      <c r="BC696" s="798">
        <f t="shared" si="692"/>
        <v>0</v>
      </c>
      <c r="BD696" s="798">
        <f t="shared" si="692"/>
        <v>0</v>
      </c>
      <c r="BE696" s="798">
        <f t="shared" si="692"/>
        <v>0</v>
      </c>
      <c r="BF696" s="798">
        <f t="shared" si="692"/>
        <v>0</v>
      </c>
      <c r="BG696" s="798">
        <f t="shared" si="692"/>
        <v>0</v>
      </c>
      <c r="BH696" s="798">
        <f t="shared" si="692"/>
        <v>0</v>
      </c>
      <c r="BI696" s="798">
        <f t="shared" si="692"/>
        <v>0</v>
      </c>
      <c r="BJ696" s="798">
        <f t="shared" si="692"/>
        <v>0</v>
      </c>
      <c r="BK696" s="798">
        <f t="shared" si="692"/>
        <v>1</v>
      </c>
      <c r="BL696" s="765"/>
      <c r="BM696" s="817"/>
      <c r="BN696" s="817"/>
    </row>
    <row r="697" hidden="1">
      <c r="A697" s="765"/>
      <c r="B697" s="765"/>
      <c r="C697" s="765"/>
      <c r="D697" s="765"/>
      <c r="E697" s="765"/>
      <c r="F697" s="765"/>
      <c r="G697" s="765"/>
      <c r="H697" s="765"/>
      <c r="I697" s="765">
        <f t="shared" si="17"/>
        <v>686</v>
      </c>
      <c r="J697" s="763">
        <f t="shared" si="5"/>
        <v>3.8301E+18</v>
      </c>
      <c r="K697" s="796">
        <f t="shared" si="7"/>
        <v>0.57679</v>
      </c>
      <c r="L697" s="796">
        <v>5.0E-4</v>
      </c>
      <c r="M697" s="763">
        <v>4.36727190894433E18</v>
      </c>
      <c r="N697" s="797">
        <f t="shared" si="8"/>
        <v>0</v>
      </c>
      <c r="O697" s="798">
        <f t="shared" ref="O697:BK697" si="693">FLOOR(MIN((((N("value of ELS upgrade")+N$8*($K697-$K696))*(N("Check checkbox")+(IF($G$6=TRUE,$G$7,$G$8))/$G$8))/(N("ROI of ELS and multiply by 2 if ELS is 1:1")+IF($G$12 = True, 2, 1) * $J697))/((N("difference in ELS+ and the cost of it")+(($K696*O$8)-($K696*N$8)) / O$7)),(N("MIN lets it return 0 or 1 after floored")+1)),1)</f>
        <v>0</v>
      </c>
      <c r="P697" s="798">
        <f t="shared" si="693"/>
        <v>0</v>
      </c>
      <c r="Q697" s="798">
        <f t="shared" si="693"/>
        <v>0</v>
      </c>
      <c r="R697" s="798">
        <f t="shared" si="693"/>
        <v>0</v>
      </c>
      <c r="S697" s="798">
        <f t="shared" si="693"/>
        <v>0</v>
      </c>
      <c r="T697" s="798">
        <f t="shared" si="693"/>
        <v>0</v>
      </c>
      <c r="U697" s="798">
        <f t="shared" si="693"/>
        <v>0</v>
      </c>
      <c r="V697" s="798">
        <f t="shared" si="693"/>
        <v>0</v>
      </c>
      <c r="W697" s="798">
        <f t="shared" si="693"/>
        <v>0</v>
      </c>
      <c r="X697" s="798">
        <f t="shared" si="693"/>
        <v>0</v>
      </c>
      <c r="Y697" s="798">
        <f t="shared" si="693"/>
        <v>0</v>
      </c>
      <c r="Z697" s="798">
        <f t="shared" si="693"/>
        <v>0</v>
      </c>
      <c r="AA697" s="798">
        <f t="shared" si="693"/>
        <v>0</v>
      </c>
      <c r="AB697" s="798">
        <f t="shared" si="693"/>
        <v>0</v>
      </c>
      <c r="AC697" s="798">
        <f t="shared" si="693"/>
        <v>0</v>
      </c>
      <c r="AD697" s="798">
        <f t="shared" si="693"/>
        <v>0</v>
      </c>
      <c r="AE697" s="798">
        <f t="shared" si="693"/>
        <v>0</v>
      </c>
      <c r="AF697" s="798">
        <f t="shared" si="693"/>
        <v>0</v>
      </c>
      <c r="AG697" s="798">
        <f t="shared" si="693"/>
        <v>0</v>
      </c>
      <c r="AH697" s="798">
        <f t="shared" si="693"/>
        <v>0</v>
      </c>
      <c r="AI697" s="798">
        <f t="shared" si="693"/>
        <v>0</v>
      </c>
      <c r="AJ697" s="798">
        <f t="shared" si="693"/>
        <v>0</v>
      </c>
      <c r="AK697" s="798">
        <f t="shared" si="693"/>
        <v>0</v>
      </c>
      <c r="AL697" s="798">
        <f t="shared" si="693"/>
        <v>0</v>
      </c>
      <c r="AM697" s="798">
        <f t="shared" si="693"/>
        <v>0</v>
      </c>
      <c r="AN697" s="798">
        <f t="shared" si="693"/>
        <v>0</v>
      </c>
      <c r="AO697" s="798">
        <f t="shared" si="693"/>
        <v>0</v>
      </c>
      <c r="AP697" s="798">
        <f t="shared" si="693"/>
        <v>0</v>
      </c>
      <c r="AQ697" s="798">
        <f t="shared" si="693"/>
        <v>0</v>
      </c>
      <c r="AR697" s="798">
        <f t="shared" si="693"/>
        <v>0</v>
      </c>
      <c r="AS697" s="798">
        <f t="shared" si="693"/>
        <v>0</v>
      </c>
      <c r="AT697" s="798">
        <f t="shared" si="693"/>
        <v>0</v>
      </c>
      <c r="AU697" s="798">
        <f t="shared" si="693"/>
        <v>0</v>
      </c>
      <c r="AV697" s="798">
        <f t="shared" si="693"/>
        <v>0</v>
      </c>
      <c r="AW697" s="798">
        <f t="shared" si="693"/>
        <v>0</v>
      </c>
      <c r="AX697" s="798">
        <f t="shared" si="693"/>
        <v>0</v>
      </c>
      <c r="AY697" s="798">
        <f t="shared" si="693"/>
        <v>0</v>
      </c>
      <c r="AZ697" s="798">
        <f t="shared" si="693"/>
        <v>0</v>
      </c>
      <c r="BA697" s="798">
        <f t="shared" si="693"/>
        <v>0</v>
      </c>
      <c r="BB697" s="798">
        <f t="shared" si="693"/>
        <v>0</v>
      </c>
      <c r="BC697" s="798">
        <f t="shared" si="693"/>
        <v>0</v>
      </c>
      <c r="BD697" s="798">
        <f t="shared" si="693"/>
        <v>0</v>
      </c>
      <c r="BE697" s="798">
        <f t="shared" si="693"/>
        <v>0</v>
      </c>
      <c r="BF697" s="798">
        <f t="shared" si="693"/>
        <v>0</v>
      </c>
      <c r="BG697" s="798">
        <f t="shared" si="693"/>
        <v>0</v>
      </c>
      <c r="BH697" s="798">
        <f t="shared" si="693"/>
        <v>0</v>
      </c>
      <c r="BI697" s="798">
        <f t="shared" si="693"/>
        <v>0</v>
      </c>
      <c r="BJ697" s="798">
        <f t="shared" si="693"/>
        <v>0</v>
      </c>
      <c r="BK697" s="798">
        <f t="shared" si="693"/>
        <v>1</v>
      </c>
      <c r="BL697" s="765"/>
      <c r="BM697" s="817"/>
      <c r="BN697" s="817"/>
    </row>
    <row r="698" hidden="1">
      <c r="A698" s="765"/>
      <c r="B698" s="765"/>
      <c r="C698" s="765"/>
      <c r="D698" s="765"/>
      <c r="E698" s="765"/>
      <c r="F698" s="765"/>
      <c r="G698" s="765"/>
      <c r="H698" s="765"/>
      <c r="I698" s="765">
        <f t="shared" si="17"/>
        <v>687</v>
      </c>
      <c r="J698" s="763">
        <f t="shared" si="5"/>
        <v>3.84258E+18</v>
      </c>
      <c r="K698" s="796">
        <f t="shared" si="7"/>
        <v>0.57729</v>
      </c>
      <c r="L698" s="796">
        <v>5.0E-4</v>
      </c>
      <c r="M698" s="763">
        <v>4.38150970027751E18</v>
      </c>
      <c r="N698" s="797">
        <f t="shared" si="8"/>
        <v>0</v>
      </c>
      <c r="O698" s="798">
        <f t="shared" ref="O698:BK698" si="694">FLOOR(MIN((((N("value of ELS upgrade")+N$8*($K698-$K697))*(N("Check checkbox")+(IF($G$6=TRUE,$G$7,$G$8))/$G$8))/(N("ROI of ELS and multiply by 2 if ELS is 1:1")+IF($G$12 = True, 2, 1) * $J698))/((N("difference in ELS+ and the cost of it")+(($K697*O$8)-($K697*N$8)) / O$7)),(N("MIN lets it return 0 or 1 after floored")+1)),1)</f>
        <v>0</v>
      </c>
      <c r="P698" s="798">
        <f t="shared" si="694"/>
        <v>0</v>
      </c>
      <c r="Q698" s="798">
        <f t="shared" si="694"/>
        <v>0</v>
      </c>
      <c r="R698" s="798">
        <f t="shared" si="694"/>
        <v>0</v>
      </c>
      <c r="S698" s="798">
        <f t="shared" si="694"/>
        <v>0</v>
      </c>
      <c r="T698" s="798">
        <f t="shared" si="694"/>
        <v>0</v>
      </c>
      <c r="U698" s="798">
        <f t="shared" si="694"/>
        <v>0</v>
      </c>
      <c r="V698" s="798">
        <f t="shared" si="694"/>
        <v>0</v>
      </c>
      <c r="W698" s="798">
        <f t="shared" si="694"/>
        <v>0</v>
      </c>
      <c r="X698" s="798">
        <f t="shared" si="694"/>
        <v>0</v>
      </c>
      <c r="Y698" s="798">
        <f t="shared" si="694"/>
        <v>0</v>
      </c>
      <c r="Z698" s="798">
        <f t="shared" si="694"/>
        <v>0</v>
      </c>
      <c r="AA698" s="798">
        <f t="shared" si="694"/>
        <v>0</v>
      </c>
      <c r="AB698" s="798">
        <f t="shared" si="694"/>
        <v>0</v>
      </c>
      <c r="AC698" s="798">
        <f t="shared" si="694"/>
        <v>0</v>
      </c>
      <c r="AD698" s="798">
        <f t="shared" si="694"/>
        <v>0</v>
      </c>
      <c r="AE698" s="798">
        <f t="shared" si="694"/>
        <v>0</v>
      </c>
      <c r="AF698" s="798">
        <f t="shared" si="694"/>
        <v>0</v>
      </c>
      <c r="AG698" s="798">
        <f t="shared" si="694"/>
        <v>0</v>
      </c>
      <c r="AH698" s="798">
        <f t="shared" si="694"/>
        <v>0</v>
      </c>
      <c r="AI698" s="798">
        <f t="shared" si="694"/>
        <v>0</v>
      </c>
      <c r="AJ698" s="798">
        <f t="shared" si="694"/>
        <v>0</v>
      </c>
      <c r="AK698" s="798">
        <f t="shared" si="694"/>
        <v>0</v>
      </c>
      <c r="AL698" s="798">
        <f t="shared" si="694"/>
        <v>0</v>
      </c>
      <c r="AM698" s="798">
        <f t="shared" si="694"/>
        <v>0</v>
      </c>
      <c r="AN698" s="798">
        <f t="shared" si="694"/>
        <v>0</v>
      </c>
      <c r="AO698" s="798">
        <f t="shared" si="694"/>
        <v>0</v>
      </c>
      <c r="AP698" s="798">
        <f t="shared" si="694"/>
        <v>0</v>
      </c>
      <c r="AQ698" s="798">
        <f t="shared" si="694"/>
        <v>0</v>
      </c>
      <c r="AR698" s="798">
        <f t="shared" si="694"/>
        <v>0</v>
      </c>
      <c r="AS698" s="798">
        <f t="shared" si="694"/>
        <v>0</v>
      </c>
      <c r="AT698" s="798">
        <f t="shared" si="694"/>
        <v>0</v>
      </c>
      <c r="AU698" s="798">
        <f t="shared" si="694"/>
        <v>0</v>
      </c>
      <c r="AV698" s="798">
        <f t="shared" si="694"/>
        <v>0</v>
      </c>
      <c r="AW698" s="798">
        <f t="shared" si="694"/>
        <v>0</v>
      </c>
      <c r="AX698" s="798">
        <f t="shared" si="694"/>
        <v>0</v>
      </c>
      <c r="AY698" s="798">
        <f t="shared" si="694"/>
        <v>0</v>
      </c>
      <c r="AZ698" s="798">
        <f t="shared" si="694"/>
        <v>0</v>
      </c>
      <c r="BA698" s="798">
        <f t="shared" si="694"/>
        <v>0</v>
      </c>
      <c r="BB698" s="798">
        <f t="shared" si="694"/>
        <v>0</v>
      </c>
      <c r="BC698" s="798">
        <f t="shared" si="694"/>
        <v>0</v>
      </c>
      <c r="BD698" s="798">
        <f t="shared" si="694"/>
        <v>0</v>
      </c>
      <c r="BE698" s="798">
        <f t="shared" si="694"/>
        <v>0</v>
      </c>
      <c r="BF698" s="798">
        <f t="shared" si="694"/>
        <v>0</v>
      </c>
      <c r="BG698" s="798">
        <f t="shared" si="694"/>
        <v>0</v>
      </c>
      <c r="BH698" s="798">
        <f t="shared" si="694"/>
        <v>0</v>
      </c>
      <c r="BI698" s="798">
        <f t="shared" si="694"/>
        <v>0</v>
      </c>
      <c r="BJ698" s="798">
        <f t="shared" si="694"/>
        <v>0</v>
      </c>
      <c r="BK698" s="798">
        <f t="shared" si="694"/>
        <v>1</v>
      </c>
      <c r="BL698" s="765"/>
      <c r="BM698" s="817"/>
      <c r="BN698" s="817"/>
    </row>
    <row r="699" hidden="1">
      <c r="A699" s="765"/>
      <c r="B699" s="765"/>
      <c r="C699" s="765"/>
      <c r="D699" s="765"/>
      <c r="E699" s="765"/>
      <c r="F699" s="765"/>
      <c r="G699" s="765"/>
      <c r="H699" s="765"/>
      <c r="I699" s="765">
        <f t="shared" si="17"/>
        <v>688</v>
      </c>
      <c r="J699" s="763">
        <f t="shared" si="5"/>
        <v>3.8551E+18</v>
      </c>
      <c r="K699" s="796">
        <f t="shared" si="7"/>
        <v>0.57779</v>
      </c>
      <c r="L699" s="796">
        <v>5.0E-4</v>
      </c>
      <c r="M699" s="763">
        <v>4.39578604344516E18</v>
      </c>
      <c r="N699" s="797">
        <f t="shared" si="8"/>
        <v>0</v>
      </c>
      <c r="O699" s="798">
        <f t="shared" ref="O699:BK699" si="695">FLOOR(MIN((((N("value of ELS upgrade")+N$8*($K699-$K698))*(N("Check checkbox")+(IF($G$6=TRUE,$G$7,$G$8))/$G$8))/(N("ROI of ELS and multiply by 2 if ELS is 1:1")+IF($G$12 = True, 2, 1) * $J699))/((N("difference in ELS+ and the cost of it")+(($K698*O$8)-($K698*N$8)) / O$7)),(N("MIN lets it return 0 or 1 after floored")+1)),1)</f>
        <v>0</v>
      </c>
      <c r="P699" s="798">
        <f t="shared" si="695"/>
        <v>0</v>
      </c>
      <c r="Q699" s="798">
        <f t="shared" si="695"/>
        <v>0</v>
      </c>
      <c r="R699" s="798">
        <f t="shared" si="695"/>
        <v>0</v>
      </c>
      <c r="S699" s="798">
        <f t="shared" si="695"/>
        <v>0</v>
      </c>
      <c r="T699" s="798">
        <f t="shared" si="695"/>
        <v>0</v>
      </c>
      <c r="U699" s="798">
        <f t="shared" si="695"/>
        <v>0</v>
      </c>
      <c r="V699" s="798">
        <f t="shared" si="695"/>
        <v>0</v>
      </c>
      <c r="W699" s="798">
        <f t="shared" si="695"/>
        <v>0</v>
      </c>
      <c r="X699" s="798">
        <f t="shared" si="695"/>
        <v>0</v>
      </c>
      <c r="Y699" s="798">
        <f t="shared" si="695"/>
        <v>0</v>
      </c>
      <c r="Z699" s="798">
        <f t="shared" si="695"/>
        <v>0</v>
      </c>
      <c r="AA699" s="798">
        <f t="shared" si="695"/>
        <v>0</v>
      </c>
      <c r="AB699" s="798">
        <f t="shared" si="695"/>
        <v>0</v>
      </c>
      <c r="AC699" s="798">
        <f t="shared" si="695"/>
        <v>0</v>
      </c>
      <c r="AD699" s="798">
        <f t="shared" si="695"/>
        <v>0</v>
      </c>
      <c r="AE699" s="798">
        <f t="shared" si="695"/>
        <v>0</v>
      </c>
      <c r="AF699" s="798">
        <f t="shared" si="695"/>
        <v>0</v>
      </c>
      <c r="AG699" s="798">
        <f t="shared" si="695"/>
        <v>0</v>
      </c>
      <c r="AH699" s="798">
        <f t="shared" si="695"/>
        <v>0</v>
      </c>
      <c r="AI699" s="798">
        <f t="shared" si="695"/>
        <v>0</v>
      </c>
      <c r="AJ699" s="798">
        <f t="shared" si="695"/>
        <v>0</v>
      </c>
      <c r="AK699" s="798">
        <f t="shared" si="695"/>
        <v>0</v>
      </c>
      <c r="AL699" s="798">
        <f t="shared" si="695"/>
        <v>0</v>
      </c>
      <c r="AM699" s="798">
        <f t="shared" si="695"/>
        <v>0</v>
      </c>
      <c r="AN699" s="798">
        <f t="shared" si="695"/>
        <v>0</v>
      </c>
      <c r="AO699" s="798">
        <f t="shared" si="695"/>
        <v>0</v>
      </c>
      <c r="AP699" s="798">
        <f t="shared" si="695"/>
        <v>0</v>
      </c>
      <c r="AQ699" s="798">
        <f t="shared" si="695"/>
        <v>0</v>
      </c>
      <c r="AR699" s="798">
        <f t="shared" si="695"/>
        <v>0</v>
      </c>
      <c r="AS699" s="798">
        <f t="shared" si="695"/>
        <v>0</v>
      </c>
      <c r="AT699" s="798">
        <f t="shared" si="695"/>
        <v>0</v>
      </c>
      <c r="AU699" s="798">
        <f t="shared" si="695"/>
        <v>0</v>
      </c>
      <c r="AV699" s="798">
        <f t="shared" si="695"/>
        <v>0</v>
      </c>
      <c r="AW699" s="798">
        <f t="shared" si="695"/>
        <v>0</v>
      </c>
      <c r="AX699" s="798">
        <f t="shared" si="695"/>
        <v>0</v>
      </c>
      <c r="AY699" s="798">
        <f t="shared" si="695"/>
        <v>0</v>
      </c>
      <c r="AZ699" s="798">
        <f t="shared" si="695"/>
        <v>0</v>
      </c>
      <c r="BA699" s="798">
        <f t="shared" si="695"/>
        <v>0</v>
      </c>
      <c r="BB699" s="798">
        <f t="shared" si="695"/>
        <v>0</v>
      </c>
      <c r="BC699" s="798">
        <f t="shared" si="695"/>
        <v>0</v>
      </c>
      <c r="BD699" s="798">
        <f t="shared" si="695"/>
        <v>0</v>
      </c>
      <c r="BE699" s="798">
        <f t="shared" si="695"/>
        <v>0</v>
      </c>
      <c r="BF699" s="798">
        <f t="shared" si="695"/>
        <v>0</v>
      </c>
      <c r="BG699" s="798">
        <f t="shared" si="695"/>
        <v>0</v>
      </c>
      <c r="BH699" s="798">
        <f t="shared" si="695"/>
        <v>0</v>
      </c>
      <c r="BI699" s="798">
        <f t="shared" si="695"/>
        <v>0</v>
      </c>
      <c r="BJ699" s="798">
        <f t="shared" si="695"/>
        <v>0</v>
      </c>
      <c r="BK699" s="798">
        <f t="shared" si="695"/>
        <v>1</v>
      </c>
      <c r="BL699" s="765"/>
      <c r="BM699" s="817"/>
      <c r="BN699" s="817"/>
    </row>
    <row r="700" hidden="1">
      <c r="A700" s="765"/>
      <c r="B700" s="765"/>
      <c r="C700" s="765"/>
      <c r="D700" s="765"/>
      <c r="E700" s="765"/>
      <c r="F700" s="765"/>
      <c r="G700" s="765"/>
      <c r="H700" s="765"/>
      <c r="I700" s="765">
        <f t="shared" si="17"/>
        <v>689</v>
      </c>
      <c r="J700" s="763">
        <f t="shared" si="5"/>
        <v>3.86766E+18</v>
      </c>
      <c r="K700" s="796">
        <f t="shared" si="7"/>
        <v>0.57829</v>
      </c>
      <c r="L700" s="796">
        <v>5.0E-4</v>
      </c>
      <c r="M700" s="763">
        <v>4.4101016870266E18</v>
      </c>
      <c r="N700" s="797">
        <f t="shared" si="8"/>
        <v>0</v>
      </c>
      <c r="O700" s="798">
        <f t="shared" ref="O700:BK700" si="696">FLOOR(MIN((((N("value of ELS upgrade")+N$8*($K700-$K699))*(N("Check checkbox")+(IF($G$6=TRUE,$G$7,$G$8))/$G$8))/(N("ROI of ELS and multiply by 2 if ELS is 1:1")+IF($G$12 = True, 2, 1) * $J700))/((N("difference in ELS+ and the cost of it")+(($K699*O$8)-($K699*N$8)) / O$7)),(N("MIN lets it return 0 or 1 after floored")+1)),1)</f>
        <v>0</v>
      </c>
      <c r="P700" s="798">
        <f t="shared" si="696"/>
        <v>0</v>
      </c>
      <c r="Q700" s="798">
        <f t="shared" si="696"/>
        <v>0</v>
      </c>
      <c r="R700" s="798">
        <f t="shared" si="696"/>
        <v>0</v>
      </c>
      <c r="S700" s="798">
        <f t="shared" si="696"/>
        <v>0</v>
      </c>
      <c r="T700" s="798">
        <f t="shared" si="696"/>
        <v>0</v>
      </c>
      <c r="U700" s="798">
        <f t="shared" si="696"/>
        <v>0</v>
      </c>
      <c r="V700" s="798">
        <f t="shared" si="696"/>
        <v>0</v>
      </c>
      <c r="W700" s="798">
        <f t="shared" si="696"/>
        <v>0</v>
      </c>
      <c r="X700" s="798">
        <f t="shared" si="696"/>
        <v>0</v>
      </c>
      <c r="Y700" s="798">
        <f t="shared" si="696"/>
        <v>0</v>
      </c>
      <c r="Z700" s="798">
        <f t="shared" si="696"/>
        <v>0</v>
      </c>
      <c r="AA700" s="798">
        <f t="shared" si="696"/>
        <v>0</v>
      </c>
      <c r="AB700" s="798">
        <f t="shared" si="696"/>
        <v>0</v>
      </c>
      <c r="AC700" s="798">
        <f t="shared" si="696"/>
        <v>0</v>
      </c>
      <c r="AD700" s="798">
        <f t="shared" si="696"/>
        <v>0</v>
      </c>
      <c r="AE700" s="798">
        <f t="shared" si="696"/>
        <v>0</v>
      </c>
      <c r="AF700" s="798">
        <f t="shared" si="696"/>
        <v>0</v>
      </c>
      <c r="AG700" s="798">
        <f t="shared" si="696"/>
        <v>0</v>
      </c>
      <c r="AH700" s="798">
        <f t="shared" si="696"/>
        <v>0</v>
      </c>
      <c r="AI700" s="798">
        <f t="shared" si="696"/>
        <v>0</v>
      </c>
      <c r="AJ700" s="798">
        <f t="shared" si="696"/>
        <v>0</v>
      </c>
      <c r="AK700" s="798">
        <f t="shared" si="696"/>
        <v>0</v>
      </c>
      <c r="AL700" s="798">
        <f t="shared" si="696"/>
        <v>0</v>
      </c>
      <c r="AM700" s="798">
        <f t="shared" si="696"/>
        <v>0</v>
      </c>
      <c r="AN700" s="798">
        <f t="shared" si="696"/>
        <v>0</v>
      </c>
      <c r="AO700" s="798">
        <f t="shared" si="696"/>
        <v>0</v>
      </c>
      <c r="AP700" s="798">
        <f t="shared" si="696"/>
        <v>0</v>
      </c>
      <c r="AQ700" s="798">
        <f t="shared" si="696"/>
        <v>0</v>
      </c>
      <c r="AR700" s="798">
        <f t="shared" si="696"/>
        <v>0</v>
      </c>
      <c r="AS700" s="798">
        <f t="shared" si="696"/>
        <v>0</v>
      </c>
      <c r="AT700" s="798">
        <f t="shared" si="696"/>
        <v>0</v>
      </c>
      <c r="AU700" s="798">
        <f t="shared" si="696"/>
        <v>0</v>
      </c>
      <c r="AV700" s="798">
        <f t="shared" si="696"/>
        <v>0</v>
      </c>
      <c r="AW700" s="798">
        <f t="shared" si="696"/>
        <v>0</v>
      </c>
      <c r="AX700" s="798">
        <f t="shared" si="696"/>
        <v>0</v>
      </c>
      <c r="AY700" s="798">
        <f t="shared" si="696"/>
        <v>0</v>
      </c>
      <c r="AZ700" s="798">
        <f t="shared" si="696"/>
        <v>0</v>
      </c>
      <c r="BA700" s="798">
        <f t="shared" si="696"/>
        <v>0</v>
      </c>
      <c r="BB700" s="798">
        <f t="shared" si="696"/>
        <v>0</v>
      </c>
      <c r="BC700" s="798">
        <f t="shared" si="696"/>
        <v>0</v>
      </c>
      <c r="BD700" s="798">
        <f t="shared" si="696"/>
        <v>0</v>
      </c>
      <c r="BE700" s="798">
        <f t="shared" si="696"/>
        <v>0</v>
      </c>
      <c r="BF700" s="798">
        <f t="shared" si="696"/>
        <v>0</v>
      </c>
      <c r="BG700" s="798">
        <f t="shared" si="696"/>
        <v>0</v>
      </c>
      <c r="BH700" s="798">
        <f t="shared" si="696"/>
        <v>0</v>
      </c>
      <c r="BI700" s="798">
        <f t="shared" si="696"/>
        <v>0</v>
      </c>
      <c r="BJ700" s="798">
        <f t="shared" si="696"/>
        <v>0</v>
      </c>
      <c r="BK700" s="798">
        <f t="shared" si="696"/>
        <v>1</v>
      </c>
      <c r="BL700" s="765"/>
      <c r="BM700" s="817"/>
      <c r="BN700" s="817"/>
    </row>
    <row r="701" hidden="1">
      <c r="A701" s="765"/>
      <c r="B701" s="765"/>
      <c r="C701" s="765"/>
      <c r="D701" s="765"/>
      <c r="E701" s="765"/>
      <c r="F701" s="765"/>
      <c r="G701" s="765"/>
      <c r="H701" s="765"/>
      <c r="I701" s="765">
        <f t="shared" si="17"/>
        <v>690</v>
      </c>
      <c r="J701" s="763">
        <f t="shared" si="5"/>
        <v>3.88025E+18</v>
      </c>
      <c r="K701" s="796">
        <f t="shared" si="7"/>
        <v>0.57879</v>
      </c>
      <c r="L701" s="796">
        <v>5.0E-4</v>
      </c>
      <c r="M701" s="763">
        <v>4.42445588244251E18</v>
      </c>
      <c r="N701" s="797">
        <f t="shared" si="8"/>
        <v>0</v>
      </c>
      <c r="O701" s="798">
        <f t="shared" ref="O701:BK701" si="697">FLOOR(MIN((((N("value of ELS upgrade")+N$8*($K701-$K700))*(N("Check checkbox")+(IF($G$6=TRUE,$G$7,$G$8))/$G$8))/(N("ROI of ELS and multiply by 2 if ELS is 1:1")+IF($G$12 = True, 2, 1) * $J701))/((N("difference in ELS+ and the cost of it")+(($K700*O$8)-($K700*N$8)) / O$7)),(N("MIN lets it return 0 or 1 after floored")+1)),1)</f>
        <v>0</v>
      </c>
      <c r="P701" s="798">
        <f t="shared" si="697"/>
        <v>0</v>
      </c>
      <c r="Q701" s="798">
        <f t="shared" si="697"/>
        <v>0</v>
      </c>
      <c r="R701" s="798">
        <f t="shared" si="697"/>
        <v>0</v>
      </c>
      <c r="S701" s="798">
        <f t="shared" si="697"/>
        <v>0</v>
      </c>
      <c r="T701" s="798">
        <f t="shared" si="697"/>
        <v>0</v>
      </c>
      <c r="U701" s="798">
        <f t="shared" si="697"/>
        <v>0</v>
      </c>
      <c r="V701" s="798">
        <f t="shared" si="697"/>
        <v>0</v>
      </c>
      <c r="W701" s="798">
        <f t="shared" si="697"/>
        <v>0</v>
      </c>
      <c r="X701" s="798">
        <f t="shared" si="697"/>
        <v>0</v>
      </c>
      <c r="Y701" s="798">
        <f t="shared" si="697"/>
        <v>0</v>
      </c>
      <c r="Z701" s="798">
        <f t="shared" si="697"/>
        <v>0</v>
      </c>
      <c r="AA701" s="798">
        <f t="shared" si="697"/>
        <v>0</v>
      </c>
      <c r="AB701" s="798">
        <f t="shared" si="697"/>
        <v>0</v>
      </c>
      <c r="AC701" s="798">
        <f t="shared" si="697"/>
        <v>0</v>
      </c>
      <c r="AD701" s="798">
        <f t="shared" si="697"/>
        <v>0</v>
      </c>
      <c r="AE701" s="798">
        <f t="shared" si="697"/>
        <v>0</v>
      </c>
      <c r="AF701" s="798">
        <f t="shared" si="697"/>
        <v>0</v>
      </c>
      <c r="AG701" s="798">
        <f t="shared" si="697"/>
        <v>0</v>
      </c>
      <c r="AH701" s="798">
        <f t="shared" si="697"/>
        <v>0</v>
      </c>
      <c r="AI701" s="798">
        <f t="shared" si="697"/>
        <v>0</v>
      </c>
      <c r="AJ701" s="798">
        <f t="shared" si="697"/>
        <v>0</v>
      </c>
      <c r="AK701" s="798">
        <f t="shared" si="697"/>
        <v>0</v>
      </c>
      <c r="AL701" s="798">
        <f t="shared" si="697"/>
        <v>0</v>
      </c>
      <c r="AM701" s="798">
        <f t="shared" si="697"/>
        <v>0</v>
      </c>
      <c r="AN701" s="798">
        <f t="shared" si="697"/>
        <v>0</v>
      </c>
      <c r="AO701" s="798">
        <f t="shared" si="697"/>
        <v>0</v>
      </c>
      <c r="AP701" s="798">
        <f t="shared" si="697"/>
        <v>0</v>
      </c>
      <c r="AQ701" s="798">
        <f t="shared" si="697"/>
        <v>0</v>
      </c>
      <c r="AR701" s="798">
        <f t="shared" si="697"/>
        <v>0</v>
      </c>
      <c r="AS701" s="798">
        <f t="shared" si="697"/>
        <v>0</v>
      </c>
      <c r="AT701" s="798">
        <f t="shared" si="697"/>
        <v>0</v>
      </c>
      <c r="AU701" s="798">
        <f t="shared" si="697"/>
        <v>0</v>
      </c>
      <c r="AV701" s="798">
        <f t="shared" si="697"/>
        <v>0</v>
      </c>
      <c r="AW701" s="798">
        <f t="shared" si="697"/>
        <v>0</v>
      </c>
      <c r="AX701" s="798">
        <f t="shared" si="697"/>
        <v>0</v>
      </c>
      <c r="AY701" s="798">
        <f t="shared" si="697"/>
        <v>0</v>
      </c>
      <c r="AZ701" s="798">
        <f t="shared" si="697"/>
        <v>0</v>
      </c>
      <c r="BA701" s="798">
        <f t="shared" si="697"/>
        <v>0</v>
      </c>
      <c r="BB701" s="798">
        <f t="shared" si="697"/>
        <v>0</v>
      </c>
      <c r="BC701" s="798">
        <f t="shared" si="697"/>
        <v>0</v>
      </c>
      <c r="BD701" s="798">
        <f t="shared" si="697"/>
        <v>0</v>
      </c>
      <c r="BE701" s="798">
        <f t="shared" si="697"/>
        <v>0</v>
      </c>
      <c r="BF701" s="798">
        <f t="shared" si="697"/>
        <v>0</v>
      </c>
      <c r="BG701" s="798">
        <f t="shared" si="697"/>
        <v>0</v>
      </c>
      <c r="BH701" s="798">
        <f t="shared" si="697"/>
        <v>0</v>
      </c>
      <c r="BI701" s="798">
        <f t="shared" si="697"/>
        <v>0</v>
      </c>
      <c r="BJ701" s="798">
        <f t="shared" si="697"/>
        <v>0</v>
      </c>
      <c r="BK701" s="798">
        <f t="shared" si="697"/>
        <v>1</v>
      </c>
      <c r="BL701" s="765"/>
      <c r="BM701" s="817"/>
      <c r="BN701" s="817"/>
    </row>
    <row r="702" hidden="1">
      <c r="A702" s="765"/>
      <c r="B702" s="765"/>
      <c r="C702" s="765"/>
      <c r="D702" s="765"/>
      <c r="E702" s="765"/>
      <c r="F702" s="765"/>
      <c r="G702" s="765"/>
      <c r="H702" s="765"/>
      <c r="I702" s="765">
        <f t="shared" si="17"/>
        <v>691</v>
      </c>
      <c r="J702" s="763">
        <f t="shared" si="5"/>
        <v>3.89287E+18</v>
      </c>
      <c r="K702" s="796">
        <f t="shared" si="7"/>
        <v>0.57929</v>
      </c>
      <c r="L702" s="796">
        <v>5.0E-4</v>
      </c>
      <c r="M702" s="763">
        <v>4.43884937827219E18</v>
      </c>
      <c r="N702" s="797">
        <f t="shared" si="8"/>
        <v>0</v>
      </c>
      <c r="O702" s="798">
        <f t="shared" ref="O702:BK702" si="698">FLOOR(MIN((((N("value of ELS upgrade")+N$8*($K702-$K701))*(N("Check checkbox")+(IF($G$6=TRUE,$G$7,$G$8))/$G$8))/(N("ROI of ELS and multiply by 2 if ELS is 1:1")+IF($G$12 = True, 2, 1) * $J702))/((N("difference in ELS+ and the cost of it")+(($K701*O$8)-($K701*N$8)) / O$7)),(N("MIN lets it return 0 or 1 after floored")+1)),1)</f>
        <v>0</v>
      </c>
      <c r="P702" s="798">
        <f t="shared" si="698"/>
        <v>0</v>
      </c>
      <c r="Q702" s="798">
        <f t="shared" si="698"/>
        <v>0</v>
      </c>
      <c r="R702" s="798">
        <f t="shared" si="698"/>
        <v>0</v>
      </c>
      <c r="S702" s="798">
        <f t="shared" si="698"/>
        <v>0</v>
      </c>
      <c r="T702" s="798">
        <f t="shared" si="698"/>
        <v>0</v>
      </c>
      <c r="U702" s="798">
        <f t="shared" si="698"/>
        <v>0</v>
      </c>
      <c r="V702" s="798">
        <f t="shared" si="698"/>
        <v>0</v>
      </c>
      <c r="W702" s="798">
        <f t="shared" si="698"/>
        <v>0</v>
      </c>
      <c r="X702" s="798">
        <f t="shared" si="698"/>
        <v>0</v>
      </c>
      <c r="Y702" s="798">
        <f t="shared" si="698"/>
        <v>0</v>
      </c>
      <c r="Z702" s="798">
        <f t="shared" si="698"/>
        <v>0</v>
      </c>
      <c r="AA702" s="798">
        <f t="shared" si="698"/>
        <v>0</v>
      </c>
      <c r="AB702" s="798">
        <f t="shared" si="698"/>
        <v>0</v>
      </c>
      <c r="AC702" s="798">
        <f t="shared" si="698"/>
        <v>0</v>
      </c>
      <c r="AD702" s="798">
        <f t="shared" si="698"/>
        <v>0</v>
      </c>
      <c r="AE702" s="798">
        <f t="shared" si="698"/>
        <v>0</v>
      </c>
      <c r="AF702" s="798">
        <f t="shared" si="698"/>
        <v>0</v>
      </c>
      <c r="AG702" s="798">
        <f t="shared" si="698"/>
        <v>0</v>
      </c>
      <c r="AH702" s="798">
        <f t="shared" si="698"/>
        <v>0</v>
      </c>
      <c r="AI702" s="798">
        <f t="shared" si="698"/>
        <v>0</v>
      </c>
      <c r="AJ702" s="798">
        <f t="shared" si="698"/>
        <v>0</v>
      </c>
      <c r="AK702" s="798">
        <f t="shared" si="698"/>
        <v>0</v>
      </c>
      <c r="AL702" s="798">
        <f t="shared" si="698"/>
        <v>0</v>
      </c>
      <c r="AM702" s="798">
        <f t="shared" si="698"/>
        <v>0</v>
      </c>
      <c r="AN702" s="798">
        <f t="shared" si="698"/>
        <v>0</v>
      </c>
      <c r="AO702" s="798">
        <f t="shared" si="698"/>
        <v>0</v>
      </c>
      <c r="AP702" s="798">
        <f t="shared" si="698"/>
        <v>0</v>
      </c>
      <c r="AQ702" s="798">
        <f t="shared" si="698"/>
        <v>0</v>
      </c>
      <c r="AR702" s="798">
        <f t="shared" si="698"/>
        <v>0</v>
      </c>
      <c r="AS702" s="798">
        <f t="shared" si="698"/>
        <v>0</v>
      </c>
      <c r="AT702" s="798">
        <f t="shared" si="698"/>
        <v>0</v>
      </c>
      <c r="AU702" s="798">
        <f t="shared" si="698"/>
        <v>0</v>
      </c>
      <c r="AV702" s="798">
        <f t="shared" si="698"/>
        <v>0</v>
      </c>
      <c r="AW702" s="798">
        <f t="shared" si="698"/>
        <v>0</v>
      </c>
      <c r="AX702" s="798">
        <f t="shared" si="698"/>
        <v>0</v>
      </c>
      <c r="AY702" s="798">
        <f t="shared" si="698"/>
        <v>0</v>
      </c>
      <c r="AZ702" s="798">
        <f t="shared" si="698"/>
        <v>0</v>
      </c>
      <c r="BA702" s="798">
        <f t="shared" si="698"/>
        <v>0</v>
      </c>
      <c r="BB702" s="798">
        <f t="shared" si="698"/>
        <v>0</v>
      </c>
      <c r="BC702" s="798">
        <f t="shared" si="698"/>
        <v>0</v>
      </c>
      <c r="BD702" s="798">
        <f t="shared" si="698"/>
        <v>0</v>
      </c>
      <c r="BE702" s="798">
        <f t="shared" si="698"/>
        <v>0</v>
      </c>
      <c r="BF702" s="798">
        <f t="shared" si="698"/>
        <v>0</v>
      </c>
      <c r="BG702" s="798">
        <f t="shared" si="698"/>
        <v>0</v>
      </c>
      <c r="BH702" s="798">
        <f t="shared" si="698"/>
        <v>0</v>
      </c>
      <c r="BI702" s="798">
        <f t="shared" si="698"/>
        <v>0</v>
      </c>
      <c r="BJ702" s="798">
        <f t="shared" si="698"/>
        <v>0</v>
      </c>
      <c r="BK702" s="798">
        <f t="shared" si="698"/>
        <v>1</v>
      </c>
      <c r="BL702" s="765"/>
      <c r="BM702" s="817"/>
      <c r="BN702" s="817"/>
    </row>
    <row r="703" hidden="1">
      <c r="A703" s="765"/>
      <c r="B703" s="765"/>
      <c r="C703" s="765"/>
      <c r="D703" s="765"/>
      <c r="E703" s="765"/>
      <c r="F703" s="765"/>
      <c r="G703" s="765"/>
      <c r="H703" s="765"/>
      <c r="I703" s="765">
        <f t="shared" si="17"/>
        <v>692</v>
      </c>
      <c r="J703" s="763">
        <f t="shared" si="5"/>
        <v>3.90553E+18</v>
      </c>
      <c r="K703" s="796">
        <f t="shared" si="7"/>
        <v>0.57979</v>
      </c>
      <c r="L703" s="796">
        <v>5.0E-4</v>
      </c>
      <c r="M703" s="763">
        <v>4.45328217451566E18</v>
      </c>
      <c r="N703" s="797">
        <f t="shared" si="8"/>
        <v>0</v>
      </c>
      <c r="O703" s="798">
        <f t="shared" ref="O703:BK703" si="699">FLOOR(MIN((((N("value of ELS upgrade")+N$8*($K703-$K702))*(N("Check checkbox")+(IF($G$6=TRUE,$G$7,$G$8))/$G$8))/(N("ROI of ELS and multiply by 2 if ELS is 1:1")+IF($G$12 = True, 2, 1) * $J703))/((N("difference in ELS+ and the cost of it")+(($K702*O$8)-($K702*N$8)) / O$7)),(N("MIN lets it return 0 or 1 after floored")+1)),1)</f>
        <v>0</v>
      </c>
      <c r="P703" s="798">
        <f t="shared" si="699"/>
        <v>0</v>
      </c>
      <c r="Q703" s="798">
        <f t="shared" si="699"/>
        <v>0</v>
      </c>
      <c r="R703" s="798">
        <f t="shared" si="699"/>
        <v>0</v>
      </c>
      <c r="S703" s="798">
        <f t="shared" si="699"/>
        <v>0</v>
      </c>
      <c r="T703" s="798">
        <f t="shared" si="699"/>
        <v>0</v>
      </c>
      <c r="U703" s="798">
        <f t="shared" si="699"/>
        <v>0</v>
      </c>
      <c r="V703" s="798">
        <f t="shared" si="699"/>
        <v>0</v>
      </c>
      <c r="W703" s="798">
        <f t="shared" si="699"/>
        <v>0</v>
      </c>
      <c r="X703" s="798">
        <f t="shared" si="699"/>
        <v>0</v>
      </c>
      <c r="Y703" s="798">
        <f t="shared" si="699"/>
        <v>0</v>
      </c>
      <c r="Z703" s="798">
        <f t="shared" si="699"/>
        <v>0</v>
      </c>
      <c r="AA703" s="798">
        <f t="shared" si="699"/>
        <v>0</v>
      </c>
      <c r="AB703" s="798">
        <f t="shared" si="699"/>
        <v>0</v>
      </c>
      <c r="AC703" s="798">
        <f t="shared" si="699"/>
        <v>0</v>
      </c>
      <c r="AD703" s="798">
        <f t="shared" si="699"/>
        <v>0</v>
      </c>
      <c r="AE703" s="798">
        <f t="shared" si="699"/>
        <v>0</v>
      </c>
      <c r="AF703" s="798">
        <f t="shared" si="699"/>
        <v>0</v>
      </c>
      <c r="AG703" s="798">
        <f t="shared" si="699"/>
        <v>0</v>
      </c>
      <c r="AH703" s="798">
        <f t="shared" si="699"/>
        <v>0</v>
      </c>
      <c r="AI703" s="798">
        <f t="shared" si="699"/>
        <v>0</v>
      </c>
      <c r="AJ703" s="798">
        <f t="shared" si="699"/>
        <v>0</v>
      </c>
      <c r="AK703" s="798">
        <f t="shared" si="699"/>
        <v>0</v>
      </c>
      <c r="AL703" s="798">
        <f t="shared" si="699"/>
        <v>0</v>
      </c>
      <c r="AM703" s="798">
        <f t="shared" si="699"/>
        <v>0</v>
      </c>
      <c r="AN703" s="798">
        <f t="shared" si="699"/>
        <v>0</v>
      </c>
      <c r="AO703" s="798">
        <f t="shared" si="699"/>
        <v>0</v>
      </c>
      <c r="AP703" s="798">
        <f t="shared" si="699"/>
        <v>0</v>
      </c>
      <c r="AQ703" s="798">
        <f t="shared" si="699"/>
        <v>0</v>
      </c>
      <c r="AR703" s="798">
        <f t="shared" si="699"/>
        <v>0</v>
      </c>
      <c r="AS703" s="798">
        <f t="shared" si="699"/>
        <v>0</v>
      </c>
      <c r="AT703" s="798">
        <f t="shared" si="699"/>
        <v>0</v>
      </c>
      <c r="AU703" s="798">
        <f t="shared" si="699"/>
        <v>0</v>
      </c>
      <c r="AV703" s="798">
        <f t="shared" si="699"/>
        <v>0</v>
      </c>
      <c r="AW703" s="798">
        <f t="shared" si="699"/>
        <v>0</v>
      </c>
      <c r="AX703" s="798">
        <f t="shared" si="699"/>
        <v>0</v>
      </c>
      <c r="AY703" s="798">
        <f t="shared" si="699"/>
        <v>0</v>
      </c>
      <c r="AZ703" s="798">
        <f t="shared" si="699"/>
        <v>0</v>
      </c>
      <c r="BA703" s="798">
        <f t="shared" si="699"/>
        <v>0</v>
      </c>
      <c r="BB703" s="798">
        <f t="shared" si="699"/>
        <v>0</v>
      </c>
      <c r="BC703" s="798">
        <f t="shared" si="699"/>
        <v>0</v>
      </c>
      <c r="BD703" s="798">
        <f t="shared" si="699"/>
        <v>0</v>
      </c>
      <c r="BE703" s="798">
        <f t="shared" si="699"/>
        <v>0</v>
      </c>
      <c r="BF703" s="798">
        <f t="shared" si="699"/>
        <v>0</v>
      </c>
      <c r="BG703" s="798">
        <f t="shared" si="699"/>
        <v>0</v>
      </c>
      <c r="BH703" s="798">
        <f t="shared" si="699"/>
        <v>0</v>
      </c>
      <c r="BI703" s="798">
        <f t="shared" si="699"/>
        <v>0</v>
      </c>
      <c r="BJ703" s="798">
        <f t="shared" si="699"/>
        <v>0</v>
      </c>
      <c r="BK703" s="798">
        <f t="shared" si="699"/>
        <v>1</v>
      </c>
      <c r="BL703" s="765"/>
      <c r="BM703" s="817"/>
      <c r="BN703" s="817"/>
    </row>
    <row r="704" hidden="1">
      <c r="A704" s="765"/>
      <c r="B704" s="765"/>
      <c r="C704" s="765"/>
      <c r="D704" s="765"/>
      <c r="E704" s="765"/>
      <c r="F704" s="765"/>
      <c r="G704" s="765"/>
      <c r="H704" s="765"/>
      <c r="I704" s="765">
        <f t="shared" si="17"/>
        <v>693</v>
      </c>
      <c r="J704" s="763">
        <f t="shared" si="5"/>
        <v>3.91822E+18</v>
      </c>
      <c r="K704" s="796">
        <f t="shared" si="7"/>
        <v>0.58029</v>
      </c>
      <c r="L704" s="796">
        <v>5.0E-4</v>
      </c>
      <c r="M704" s="763">
        <v>4.46775389688325E18</v>
      </c>
      <c r="N704" s="797">
        <f t="shared" si="8"/>
        <v>0</v>
      </c>
      <c r="O704" s="798">
        <f t="shared" ref="O704:BK704" si="700">FLOOR(MIN((((N("value of ELS upgrade")+N$8*($K704-$K703))*(N("Check checkbox")+(IF($G$6=TRUE,$G$7,$G$8))/$G$8))/(N("ROI of ELS and multiply by 2 if ELS is 1:1")+IF($G$12 = True, 2, 1) * $J704))/((N("difference in ELS+ and the cost of it")+(($K703*O$8)-($K703*N$8)) / O$7)),(N("MIN lets it return 0 or 1 after floored")+1)),1)</f>
        <v>0</v>
      </c>
      <c r="P704" s="798">
        <f t="shared" si="700"/>
        <v>0</v>
      </c>
      <c r="Q704" s="798">
        <f t="shared" si="700"/>
        <v>0</v>
      </c>
      <c r="R704" s="798">
        <f t="shared" si="700"/>
        <v>0</v>
      </c>
      <c r="S704" s="798">
        <f t="shared" si="700"/>
        <v>0</v>
      </c>
      <c r="T704" s="798">
        <f t="shared" si="700"/>
        <v>0</v>
      </c>
      <c r="U704" s="798">
        <f t="shared" si="700"/>
        <v>0</v>
      </c>
      <c r="V704" s="798">
        <f t="shared" si="700"/>
        <v>0</v>
      </c>
      <c r="W704" s="798">
        <f t="shared" si="700"/>
        <v>0</v>
      </c>
      <c r="X704" s="798">
        <f t="shared" si="700"/>
        <v>0</v>
      </c>
      <c r="Y704" s="798">
        <f t="shared" si="700"/>
        <v>0</v>
      </c>
      <c r="Z704" s="798">
        <f t="shared" si="700"/>
        <v>0</v>
      </c>
      <c r="AA704" s="798">
        <f t="shared" si="700"/>
        <v>0</v>
      </c>
      <c r="AB704" s="798">
        <f t="shared" si="700"/>
        <v>0</v>
      </c>
      <c r="AC704" s="798">
        <f t="shared" si="700"/>
        <v>0</v>
      </c>
      <c r="AD704" s="798">
        <f t="shared" si="700"/>
        <v>0</v>
      </c>
      <c r="AE704" s="798">
        <f t="shared" si="700"/>
        <v>0</v>
      </c>
      <c r="AF704" s="798">
        <f t="shared" si="700"/>
        <v>0</v>
      </c>
      <c r="AG704" s="798">
        <f t="shared" si="700"/>
        <v>0</v>
      </c>
      <c r="AH704" s="798">
        <f t="shared" si="700"/>
        <v>0</v>
      </c>
      <c r="AI704" s="798">
        <f t="shared" si="700"/>
        <v>0</v>
      </c>
      <c r="AJ704" s="798">
        <f t="shared" si="700"/>
        <v>0</v>
      </c>
      <c r="AK704" s="798">
        <f t="shared" si="700"/>
        <v>0</v>
      </c>
      <c r="AL704" s="798">
        <f t="shared" si="700"/>
        <v>0</v>
      </c>
      <c r="AM704" s="798">
        <f t="shared" si="700"/>
        <v>0</v>
      </c>
      <c r="AN704" s="798">
        <f t="shared" si="700"/>
        <v>0</v>
      </c>
      <c r="AO704" s="798">
        <f t="shared" si="700"/>
        <v>0</v>
      </c>
      <c r="AP704" s="798">
        <f t="shared" si="700"/>
        <v>0</v>
      </c>
      <c r="AQ704" s="798">
        <f t="shared" si="700"/>
        <v>0</v>
      </c>
      <c r="AR704" s="798">
        <f t="shared" si="700"/>
        <v>0</v>
      </c>
      <c r="AS704" s="798">
        <f t="shared" si="700"/>
        <v>0</v>
      </c>
      <c r="AT704" s="798">
        <f t="shared" si="700"/>
        <v>0</v>
      </c>
      <c r="AU704" s="798">
        <f t="shared" si="700"/>
        <v>0</v>
      </c>
      <c r="AV704" s="798">
        <f t="shared" si="700"/>
        <v>0</v>
      </c>
      <c r="AW704" s="798">
        <f t="shared" si="700"/>
        <v>0</v>
      </c>
      <c r="AX704" s="798">
        <f t="shared" si="700"/>
        <v>0</v>
      </c>
      <c r="AY704" s="798">
        <f t="shared" si="700"/>
        <v>0</v>
      </c>
      <c r="AZ704" s="798">
        <f t="shared" si="700"/>
        <v>0</v>
      </c>
      <c r="BA704" s="798">
        <f t="shared" si="700"/>
        <v>0</v>
      </c>
      <c r="BB704" s="798">
        <f t="shared" si="700"/>
        <v>0</v>
      </c>
      <c r="BC704" s="798">
        <f t="shared" si="700"/>
        <v>0</v>
      </c>
      <c r="BD704" s="798">
        <f t="shared" si="700"/>
        <v>0</v>
      </c>
      <c r="BE704" s="798">
        <f t="shared" si="700"/>
        <v>0</v>
      </c>
      <c r="BF704" s="798">
        <f t="shared" si="700"/>
        <v>0</v>
      </c>
      <c r="BG704" s="798">
        <f t="shared" si="700"/>
        <v>0</v>
      </c>
      <c r="BH704" s="798">
        <f t="shared" si="700"/>
        <v>0</v>
      </c>
      <c r="BI704" s="798">
        <f t="shared" si="700"/>
        <v>0</v>
      </c>
      <c r="BJ704" s="798">
        <f t="shared" si="700"/>
        <v>0</v>
      </c>
      <c r="BK704" s="798">
        <f t="shared" si="700"/>
        <v>1</v>
      </c>
      <c r="BL704" s="765"/>
      <c r="BM704" s="817"/>
      <c r="BN704" s="817"/>
    </row>
    <row r="705" hidden="1">
      <c r="A705" s="765"/>
      <c r="B705" s="765"/>
      <c r="C705" s="765"/>
      <c r="D705" s="765"/>
      <c r="E705" s="765"/>
      <c r="F705" s="765"/>
      <c r="G705" s="765"/>
      <c r="H705" s="765"/>
      <c r="I705" s="765">
        <f t="shared" si="17"/>
        <v>694</v>
      </c>
      <c r="J705" s="763">
        <f t="shared" si="5"/>
        <v>3.93095E+18</v>
      </c>
      <c r="K705" s="796">
        <f t="shared" si="7"/>
        <v>0.58079</v>
      </c>
      <c r="L705" s="796">
        <v>5.0E-4</v>
      </c>
      <c r="M705" s="763">
        <v>4.48226491966462E18</v>
      </c>
      <c r="N705" s="797">
        <f t="shared" si="8"/>
        <v>0</v>
      </c>
      <c r="O705" s="798">
        <f t="shared" ref="O705:BK705" si="701">FLOOR(MIN((((N("value of ELS upgrade")+N$8*($K705-$K704))*(N("Check checkbox")+(IF($G$6=TRUE,$G$7,$G$8))/$G$8))/(N("ROI of ELS and multiply by 2 if ELS is 1:1")+IF($G$12 = True, 2, 1) * $J705))/((N("difference in ELS+ and the cost of it")+(($K704*O$8)-($K704*N$8)) / O$7)),(N("MIN lets it return 0 or 1 after floored")+1)),1)</f>
        <v>0</v>
      </c>
      <c r="P705" s="798">
        <f t="shared" si="701"/>
        <v>0</v>
      </c>
      <c r="Q705" s="798">
        <f t="shared" si="701"/>
        <v>0</v>
      </c>
      <c r="R705" s="798">
        <f t="shared" si="701"/>
        <v>0</v>
      </c>
      <c r="S705" s="798">
        <f t="shared" si="701"/>
        <v>0</v>
      </c>
      <c r="T705" s="798">
        <f t="shared" si="701"/>
        <v>0</v>
      </c>
      <c r="U705" s="798">
        <f t="shared" si="701"/>
        <v>0</v>
      </c>
      <c r="V705" s="798">
        <f t="shared" si="701"/>
        <v>0</v>
      </c>
      <c r="W705" s="798">
        <f t="shared" si="701"/>
        <v>0</v>
      </c>
      <c r="X705" s="798">
        <f t="shared" si="701"/>
        <v>0</v>
      </c>
      <c r="Y705" s="798">
        <f t="shared" si="701"/>
        <v>0</v>
      </c>
      <c r="Z705" s="798">
        <f t="shared" si="701"/>
        <v>0</v>
      </c>
      <c r="AA705" s="798">
        <f t="shared" si="701"/>
        <v>0</v>
      </c>
      <c r="AB705" s="798">
        <f t="shared" si="701"/>
        <v>0</v>
      </c>
      <c r="AC705" s="798">
        <f t="shared" si="701"/>
        <v>0</v>
      </c>
      <c r="AD705" s="798">
        <f t="shared" si="701"/>
        <v>0</v>
      </c>
      <c r="AE705" s="798">
        <f t="shared" si="701"/>
        <v>0</v>
      </c>
      <c r="AF705" s="798">
        <f t="shared" si="701"/>
        <v>0</v>
      </c>
      <c r="AG705" s="798">
        <f t="shared" si="701"/>
        <v>0</v>
      </c>
      <c r="AH705" s="798">
        <f t="shared" si="701"/>
        <v>0</v>
      </c>
      <c r="AI705" s="798">
        <f t="shared" si="701"/>
        <v>0</v>
      </c>
      <c r="AJ705" s="798">
        <f t="shared" si="701"/>
        <v>0</v>
      </c>
      <c r="AK705" s="798">
        <f t="shared" si="701"/>
        <v>0</v>
      </c>
      <c r="AL705" s="798">
        <f t="shared" si="701"/>
        <v>0</v>
      </c>
      <c r="AM705" s="798">
        <f t="shared" si="701"/>
        <v>0</v>
      </c>
      <c r="AN705" s="798">
        <f t="shared" si="701"/>
        <v>0</v>
      </c>
      <c r="AO705" s="798">
        <f t="shared" si="701"/>
        <v>0</v>
      </c>
      <c r="AP705" s="798">
        <f t="shared" si="701"/>
        <v>0</v>
      </c>
      <c r="AQ705" s="798">
        <f t="shared" si="701"/>
        <v>0</v>
      </c>
      <c r="AR705" s="798">
        <f t="shared" si="701"/>
        <v>0</v>
      </c>
      <c r="AS705" s="798">
        <f t="shared" si="701"/>
        <v>0</v>
      </c>
      <c r="AT705" s="798">
        <f t="shared" si="701"/>
        <v>0</v>
      </c>
      <c r="AU705" s="798">
        <f t="shared" si="701"/>
        <v>0</v>
      </c>
      <c r="AV705" s="798">
        <f t="shared" si="701"/>
        <v>0</v>
      </c>
      <c r="AW705" s="798">
        <f t="shared" si="701"/>
        <v>0</v>
      </c>
      <c r="AX705" s="798">
        <f t="shared" si="701"/>
        <v>0</v>
      </c>
      <c r="AY705" s="798">
        <f t="shared" si="701"/>
        <v>0</v>
      </c>
      <c r="AZ705" s="798">
        <f t="shared" si="701"/>
        <v>0</v>
      </c>
      <c r="BA705" s="798">
        <f t="shared" si="701"/>
        <v>0</v>
      </c>
      <c r="BB705" s="798">
        <f t="shared" si="701"/>
        <v>0</v>
      </c>
      <c r="BC705" s="798">
        <f t="shared" si="701"/>
        <v>0</v>
      </c>
      <c r="BD705" s="798">
        <f t="shared" si="701"/>
        <v>0</v>
      </c>
      <c r="BE705" s="798">
        <f t="shared" si="701"/>
        <v>0</v>
      </c>
      <c r="BF705" s="798">
        <f t="shared" si="701"/>
        <v>0</v>
      </c>
      <c r="BG705" s="798">
        <f t="shared" si="701"/>
        <v>0</v>
      </c>
      <c r="BH705" s="798">
        <f t="shared" si="701"/>
        <v>0</v>
      </c>
      <c r="BI705" s="798">
        <f t="shared" si="701"/>
        <v>0</v>
      </c>
      <c r="BJ705" s="798">
        <f t="shared" si="701"/>
        <v>0</v>
      </c>
      <c r="BK705" s="798">
        <f t="shared" si="701"/>
        <v>1</v>
      </c>
      <c r="BL705" s="765"/>
      <c r="BM705" s="817"/>
      <c r="BN705" s="817"/>
    </row>
    <row r="706" hidden="1">
      <c r="A706" s="765"/>
      <c r="B706" s="765"/>
      <c r="C706" s="765"/>
      <c r="D706" s="765"/>
      <c r="E706" s="765"/>
      <c r="F706" s="765"/>
      <c r="G706" s="765"/>
      <c r="H706" s="765"/>
      <c r="I706" s="765">
        <f t="shared" si="17"/>
        <v>695</v>
      </c>
      <c r="J706" s="763">
        <f t="shared" si="5"/>
        <v>3.94371E+18</v>
      </c>
      <c r="K706" s="796">
        <f t="shared" si="7"/>
        <v>0.58129</v>
      </c>
      <c r="L706" s="796">
        <v>5.0E-4</v>
      </c>
      <c r="M706" s="763">
        <v>4.49681543000459E18</v>
      </c>
      <c r="N706" s="797">
        <f t="shared" si="8"/>
        <v>0</v>
      </c>
      <c r="O706" s="798">
        <f t="shared" ref="O706:BK706" si="702">FLOOR(MIN((((N("value of ELS upgrade")+N$8*($K706-$K705))*(N("Check checkbox")+(IF($G$6=TRUE,$G$7,$G$8))/$G$8))/(N("ROI of ELS and multiply by 2 if ELS is 1:1")+IF($G$12 = True, 2, 1) * $J706))/((N("difference in ELS+ and the cost of it")+(($K705*O$8)-($K705*N$8)) / O$7)),(N("MIN lets it return 0 or 1 after floored")+1)),1)</f>
        <v>0</v>
      </c>
      <c r="P706" s="798">
        <f t="shared" si="702"/>
        <v>0</v>
      </c>
      <c r="Q706" s="798">
        <f t="shared" si="702"/>
        <v>0</v>
      </c>
      <c r="R706" s="798">
        <f t="shared" si="702"/>
        <v>0</v>
      </c>
      <c r="S706" s="798">
        <f t="shared" si="702"/>
        <v>0</v>
      </c>
      <c r="T706" s="798">
        <f t="shared" si="702"/>
        <v>0</v>
      </c>
      <c r="U706" s="798">
        <f t="shared" si="702"/>
        <v>0</v>
      </c>
      <c r="V706" s="798">
        <f t="shared" si="702"/>
        <v>0</v>
      </c>
      <c r="W706" s="798">
        <f t="shared" si="702"/>
        <v>0</v>
      </c>
      <c r="X706" s="798">
        <f t="shared" si="702"/>
        <v>0</v>
      </c>
      <c r="Y706" s="798">
        <f t="shared" si="702"/>
        <v>0</v>
      </c>
      <c r="Z706" s="798">
        <f t="shared" si="702"/>
        <v>0</v>
      </c>
      <c r="AA706" s="798">
        <f t="shared" si="702"/>
        <v>0</v>
      </c>
      <c r="AB706" s="798">
        <f t="shared" si="702"/>
        <v>0</v>
      </c>
      <c r="AC706" s="798">
        <f t="shared" si="702"/>
        <v>0</v>
      </c>
      <c r="AD706" s="798">
        <f t="shared" si="702"/>
        <v>0</v>
      </c>
      <c r="AE706" s="798">
        <f t="shared" si="702"/>
        <v>0</v>
      </c>
      <c r="AF706" s="798">
        <f t="shared" si="702"/>
        <v>0</v>
      </c>
      <c r="AG706" s="798">
        <f t="shared" si="702"/>
        <v>0</v>
      </c>
      <c r="AH706" s="798">
        <f t="shared" si="702"/>
        <v>0</v>
      </c>
      <c r="AI706" s="798">
        <f t="shared" si="702"/>
        <v>0</v>
      </c>
      <c r="AJ706" s="798">
        <f t="shared" si="702"/>
        <v>0</v>
      </c>
      <c r="AK706" s="798">
        <f t="shared" si="702"/>
        <v>0</v>
      </c>
      <c r="AL706" s="798">
        <f t="shared" si="702"/>
        <v>0</v>
      </c>
      <c r="AM706" s="798">
        <f t="shared" si="702"/>
        <v>0</v>
      </c>
      <c r="AN706" s="798">
        <f t="shared" si="702"/>
        <v>0</v>
      </c>
      <c r="AO706" s="798">
        <f t="shared" si="702"/>
        <v>0</v>
      </c>
      <c r="AP706" s="798">
        <f t="shared" si="702"/>
        <v>0</v>
      </c>
      <c r="AQ706" s="798">
        <f t="shared" si="702"/>
        <v>0</v>
      </c>
      <c r="AR706" s="798">
        <f t="shared" si="702"/>
        <v>0</v>
      </c>
      <c r="AS706" s="798">
        <f t="shared" si="702"/>
        <v>0</v>
      </c>
      <c r="AT706" s="798">
        <f t="shared" si="702"/>
        <v>0</v>
      </c>
      <c r="AU706" s="798">
        <f t="shared" si="702"/>
        <v>0</v>
      </c>
      <c r="AV706" s="798">
        <f t="shared" si="702"/>
        <v>0</v>
      </c>
      <c r="AW706" s="798">
        <f t="shared" si="702"/>
        <v>0</v>
      </c>
      <c r="AX706" s="798">
        <f t="shared" si="702"/>
        <v>0</v>
      </c>
      <c r="AY706" s="798">
        <f t="shared" si="702"/>
        <v>0</v>
      </c>
      <c r="AZ706" s="798">
        <f t="shared" si="702"/>
        <v>0</v>
      </c>
      <c r="BA706" s="798">
        <f t="shared" si="702"/>
        <v>0</v>
      </c>
      <c r="BB706" s="798">
        <f t="shared" si="702"/>
        <v>0</v>
      </c>
      <c r="BC706" s="798">
        <f t="shared" si="702"/>
        <v>0</v>
      </c>
      <c r="BD706" s="798">
        <f t="shared" si="702"/>
        <v>0</v>
      </c>
      <c r="BE706" s="798">
        <f t="shared" si="702"/>
        <v>0</v>
      </c>
      <c r="BF706" s="798">
        <f t="shared" si="702"/>
        <v>0</v>
      </c>
      <c r="BG706" s="798">
        <f t="shared" si="702"/>
        <v>0</v>
      </c>
      <c r="BH706" s="798">
        <f t="shared" si="702"/>
        <v>0</v>
      </c>
      <c r="BI706" s="798">
        <f t="shared" si="702"/>
        <v>0</v>
      </c>
      <c r="BJ706" s="798">
        <f t="shared" si="702"/>
        <v>0</v>
      </c>
      <c r="BK706" s="798">
        <f t="shared" si="702"/>
        <v>1</v>
      </c>
      <c r="BL706" s="765"/>
      <c r="BM706" s="817"/>
      <c r="BN706" s="817"/>
    </row>
    <row r="707" hidden="1">
      <c r="A707" s="765"/>
      <c r="B707" s="765"/>
      <c r="C707" s="765"/>
      <c r="D707" s="765"/>
      <c r="E707" s="765"/>
      <c r="F707" s="765"/>
      <c r="G707" s="765"/>
      <c r="H707" s="765"/>
      <c r="I707" s="765">
        <f t="shared" si="17"/>
        <v>696</v>
      </c>
      <c r="J707" s="763">
        <f t="shared" si="5"/>
        <v>3.9565E+18</v>
      </c>
      <c r="K707" s="796">
        <f t="shared" si="7"/>
        <v>0.58179</v>
      </c>
      <c r="L707" s="796">
        <v>5.0E-4</v>
      </c>
      <c r="M707" s="763">
        <v>4.51140524075835E18</v>
      </c>
      <c r="N707" s="797">
        <f t="shared" si="8"/>
        <v>0</v>
      </c>
      <c r="O707" s="798">
        <f t="shared" ref="O707:BK707" si="703">FLOOR(MIN((((N("value of ELS upgrade")+N$8*($K707-$K706))*(N("Check checkbox")+(IF($G$6=TRUE,$G$7,$G$8))/$G$8))/(N("ROI of ELS and multiply by 2 if ELS is 1:1")+IF($G$12 = True, 2, 1) * $J707))/((N("difference in ELS+ and the cost of it")+(($K706*O$8)-($K706*N$8)) / O$7)),(N("MIN lets it return 0 or 1 after floored")+1)),1)</f>
        <v>0</v>
      </c>
      <c r="P707" s="798">
        <f t="shared" si="703"/>
        <v>0</v>
      </c>
      <c r="Q707" s="798">
        <f t="shared" si="703"/>
        <v>0</v>
      </c>
      <c r="R707" s="798">
        <f t="shared" si="703"/>
        <v>0</v>
      </c>
      <c r="S707" s="798">
        <f t="shared" si="703"/>
        <v>0</v>
      </c>
      <c r="T707" s="798">
        <f t="shared" si="703"/>
        <v>0</v>
      </c>
      <c r="U707" s="798">
        <f t="shared" si="703"/>
        <v>0</v>
      </c>
      <c r="V707" s="798">
        <f t="shared" si="703"/>
        <v>0</v>
      </c>
      <c r="W707" s="798">
        <f t="shared" si="703"/>
        <v>0</v>
      </c>
      <c r="X707" s="798">
        <f t="shared" si="703"/>
        <v>0</v>
      </c>
      <c r="Y707" s="798">
        <f t="shared" si="703"/>
        <v>0</v>
      </c>
      <c r="Z707" s="798">
        <f t="shared" si="703"/>
        <v>0</v>
      </c>
      <c r="AA707" s="798">
        <f t="shared" si="703"/>
        <v>0</v>
      </c>
      <c r="AB707" s="798">
        <f t="shared" si="703"/>
        <v>0</v>
      </c>
      <c r="AC707" s="798">
        <f t="shared" si="703"/>
        <v>0</v>
      </c>
      <c r="AD707" s="798">
        <f t="shared" si="703"/>
        <v>0</v>
      </c>
      <c r="AE707" s="798">
        <f t="shared" si="703"/>
        <v>0</v>
      </c>
      <c r="AF707" s="798">
        <f t="shared" si="703"/>
        <v>0</v>
      </c>
      <c r="AG707" s="798">
        <f t="shared" si="703"/>
        <v>0</v>
      </c>
      <c r="AH707" s="798">
        <f t="shared" si="703"/>
        <v>0</v>
      </c>
      <c r="AI707" s="798">
        <f t="shared" si="703"/>
        <v>0</v>
      </c>
      <c r="AJ707" s="798">
        <f t="shared" si="703"/>
        <v>0</v>
      </c>
      <c r="AK707" s="798">
        <f t="shared" si="703"/>
        <v>0</v>
      </c>
      <c r="AL707" s="798">
        <f t="shared" si="703"/>
        <v>0</v>
      </c>
      <c r="AM707" s="798">
        <f t="shared" si="703"/>
        <v>0</v>
      </c>
      <c r="AN707" s="798">
        <f t="shared" si="703"/>
        <v>0</v>
      </c>
      <c r="AO707" s="798">
        <f t="shared" si="703"/>
        <v>0</v>
      </c>
      <c r="AP707" s="798">
        <f t="shared" si="703"/>
        <v>0</v>
      </c>
      <c r="AQ707" s="798">
        <f t="shared" si="703"/>
        <v>0</v>
      </c>
      <c r="AR707" s="798">
        <f t="shared" si="703"/>
        <v>0</v>
      </c>
      <c r="AS707" s="798">
        <f t="shared" si="703"/>
        <v>0</v>
      </c>
      <c r="AT707" s="798">
        <f t="shared" si="703"/>
        <v>0</v>
      </c>
      <c r="AU707" s="798">
        <f t="shared" si="703"/>
        <v>0</v>
      </c>
      <c r="AV707" s="798">
        <f t="shared" si="703"/>
        <v>0</v>
      </c>
      <c r="AW707" s="798">
        <f t="shared" si="703"/>
        <v>0</v>
      </c>
      <c r="AX707" s="798">
        <f t="shared" si="703"/>
        <v>0</v>
      </c>
      <c r="AY707" s="798">
        <f t="shared" si="703"/>
        <v>0</v>
      </c>
      <c r="AZ707" s="798">
        <f t="shared" si="703"/>
        <v>0</v>
      </c>
      <c r="BA707" s="798">
        <f t="shared" si="703"/>
        <v>0</v>
      </c>
      <c r="BB707" s="798">
        <f t="shared" si="703"/>
        <v>0</v>
      </c>
      <c r="BC707" s="798">
        <f t="shared" si="703"/>
        <v>0</v>
      </c>
      <c r="BD707" s="798">
        <f t="shared" si="703"/>
        <v>0</v>
      </c>
      <c r="BE707" s="798">
        <f t="shared" si="703"/>
        <v>0</v>
      </c>
      <c r="BF707" s="798">
        <f t="shared" si="703"/>
        <v>0</v>
      </c>
      <c r="BG707" s="798">
        <f t="shared" si="703"/>
        <v>0</v>
      </c>
      <c r="BH707" s="798">
        <f t="shared" si="703"/>
        <v>0</v>
      </c>
      <c r="BI707" s="798">
        <f t="shared" si="703"/>
        <v>0</v>
      </c>
      <c r="BJ707" s="798">
        <f t="shared" si="703"/>
        <v>0</v>
      </c>
      <c r="BK707" s="798">
        <f t="shared" si="703"/>
        <v>1</v>
      </c>
      <c r="BL707" s="765"/>
      <c r="BM707" s="817"/>
      <c r="BN707" s="817"/>
    </row>
    <row r="708" hidden="1">
      <c r="A708" s="765"/>
      <c r="B708" s="765"/>
      <c r="C708" s="765"/>
      <c r="D708" s="765"/>
      <c r="E708" s="765"/>
      <c r="F708" s="765"/>
      <c r="G708" s="765"/>
      <c r="H708" s="765"/>
      <c r="I708" s="765">
        <f t="shared" si="17"/>
        <v>697</v>
      </c>
      <c r="J708" s="763">
        <f t="shared" si="5"/>
        <v>3.96933E+18</v>
      </c>
      <c r="K708" s="796">
        <f t="shared" si="7"/>
        <v>0.58229</v>
      </c>
      <c r="L708" s="796">
        <v>5.0E-4</v>
      </c>
      <c r="M708" s="763">
        <v>4.52603472621554E18</v>
      </c>
      <c r="N708" s="797">
        <f t="shared" si="8"/>
        <v>0</v>
      </c>
      <c r="O708" s="798">
        <f t="shared" ref="O708:BK708" si="704">FLOOR(MIN((((N("value of ELS upgrade")+N$8*($K708-$K707))*(N("Check checkbox")+(IF($G$6=TRUE,$G$7,$G$8))/$G$8))/(N("ROI of ELS and multiply by 2 if ELS is 1:1")+IF($G$12 = True, 2, 1) * $J708))/((N("difference in ELS+ and the cost of it")+(($K707*O$8)-($K707*N$8)) / O$7)),(N("MIN lets it return 0 or 1 after floored")+1)),1)</f>
        <v>0</v>
      </c>
      <c r="P708" s="798">
        <f t="shared" si="704"/>
        <v>0</v>
      </c>
      <c r="Q708" s="798">
        <f t="shared" si="704"/>
        <v>0</v>
      </c>
      <c r="R708" s="798">
        <f t="shared" si="704"/>
        <v>0</v>
      </c>
      <c r="S708" s="798">
        <f t="shared" si="704"/>
        <v>0</v>
      </c>
      <c r="T708" s="798">
        <f t="shared" si="704"/>
        <v>0</v>
      </c>
      <c r="U708" s="798">
        <f t="shared" si="704"/>
        <v>0</v>
      </c>
      <c r="V708" s="798">
        <f t="shared" si="704"/>
        <v>0</v>
      </c>
      <c r="W708" s="798">
        <f t="shared" si="704"/>
        <v>0</v>
      </c>
      <c r="X708" s="798">
        <f t="shared" si="704"/>
        <v>0</v>
      </c>
      <c r="Y708" s="798">
        <f t="shared" si="704"/>
        <v>0</v>
      </c>
      <c r="Z708" s="798">
        <f t="shared" si="704"/>
        <v>0</v>
      </c>
      <c r="AA708" s="798">
        <f t="shared" si="704"/>
        <v>0</v>
      </c>
      <c r="AB708" s="798">
        <f t="shared" si="704"/>
        <v>0</v>
      </c>
      <c r="AC708" s="798">
        <f t="shared" si="704"/>
        <v>0</v>
      </c>
      <c r="AD708" s="798">
        <f t="shared" si="704"/>
        <v>0</v>
      </c>
      <c r="AE708" s="798">
        <f t="shared" si="704"/>
        <v>0</v>
      </c>
      <c r="AF708" s="798">
        <f t="shared" si="704"/>
        <v>0</v>
      </c>
      <c r="AG708" s="798">
        <f t="shared" si="704"/>
        <v>0</v>
      </c>
      <c r="AH708" s="798">
        <f t="shared" si="704"/>
        <v>0</v>
      </c>
      <c r="AI708" s="798">
        <f t="shared" si="704"/>
        <v>0</v>
      </c>
      <c r="AJ708" s="798">
        <f t="shared" si="704"/>
        <v>0</v>
      </c>
      <c r="AK708" s="798">
        <f t="shared" si="704"/>
        <v>0</v>
      </c>
      <c r="AL708" s="798">
        <f t="shared" si="704"/>
        <v>0</v>
      </c>
      <c r="AM708" s="798">
        <f t="shared" si="704"/>
        <v>0</v>
      </c>
      <c r="AN708" s="798">
        <f t="shared" si="704"/>
        <v>0</v>
      </c>
      <c r="AO708" s="798">
        <f t="shared" si="704"/>
        <v>0</v>
      </c>
      <c r="AP708" s="798">
        <f t="shared" si="704"/>
        <v>0</v>
      </c>
      <c r="AQ708" s="798">
        <f t="shared" si="704"/>
        <v>0</v>
      </c>
      <c r="AR708" s="798">
        <f t="shared" si="704"/>
        <v>0</v>
      </c>
      <c r="AS708" s="798">
        <f t="shared" si="704"/>
        <v>0</v>
      </c>
      <c r="AT708" s="798">
        <f t="shared" si="704"/>
        <v>0</v>
      </c>
      <c r="AU708" s="798">
        <f t="shared" si="704"/>
        <v>0</v>
      </c>
      <c r="AV708" s="798">
        <f t="shared" si="704"/>
        <v>0</v>
      </c>
      <c r="AW708" s="798">
        <f t="shared" si="704"/>
        <v>0</v>
      </c>
      <c r="AX708" s="798">
        <f t="shared" si="704"/>
        <v>0</v>
      </c>
      <c r="AY708" s="798">
        <f t="shared" si="704"/>
        <v>0</v>
      </c>
      <c r="AZ708" s="798">
        <f t="shared" si="704"/>
        <v>0</v>
      </c>
      <c r="BA708" s="798">
        <f t="shared" si="704"/>
        <v>0</v>
      </c>
      <c r="BB708" s="798">
        <f t="shared" si="704"/>
        <v>0</v>
      </c>
      <c r="BC708" s="798">
        <f t="shared" si="704"/>
        <v>0</v>
      </c>
      <c r="BD708" s="798">
        <f t="shared" si="704"/>
        <v>0</v>
      </c>
      <c r="BE708" s="798">
        <f t="shared" si="704"/>
        <v>0</v>
      </c>
      <c r="BF708" s="798">
        <f t="shared" si="704"/>
        <v>0</v>
      </c>
      <c r="BG708" s="798">
        <f t="shared" si="704"/>
        <v>0</v>
      </c>
      <c r="BH708" s="798">
        <f t="shared" si="704"/>
        <v>0</v>
      </c>
      <c r="BI708" s="798">
        <f t="shared" si="704"/>
        <v>0</v>
      </c>
      <c r="BJ708" s="798">
        <f t="shared" si="704"/>
        <v>0</v>
      </c>
      <c r="BK708" s="798">
        <f t="shared" si="704"/>
        <v>1</v>
      </c>
      <c r="BL708" s="765"/>
      <c r="BM708" s="817"/>
      <c r="BN708" s="817"/>
    </row>
    <row r="709" hidden="1">
      <c r="A709" s="765"/>
      <c r="B709" s="765"/>
      <c r="C709" s="765"/>
      <c r="D709" s="765"/>
      <c r="E709" s="765"/>
      <c r="F709" s="765"/>
      <c r="G709" s="765"/>
      <c r="H709" s="765"/>
      <c r="I709" s="765">
        <f t="shared" si="17"/>
        <v>698</v>
      </c>
      <c r="J709" s="763">
        <f t="shared" si="5"/>
        <v>3.9822E+18</v>
      </c>
      <c r="K709" s="796">
        <f t="shared" si="7"/>
        <v>0.58279</v>
      </c>
      <c r="L709" s="796">
        <v>5.0E-4</v>
      </c>
      <c r="M709" s="763">
        <v>4.54070369923135E18</v>
      </c>
      <c r="N709" s="797">
        <f t="shared" si="8"/>
        <v>0</v>
      </c>
      <c r="O709" s="798">
        <f t="shared" ref="O709:BK709" si="705">FLOOR(MIN((((N("value of ELS upgrade")+N$8*($K709-$K708))*(N("Check checkbox")+(IF($G$6=TRUE,$G$7,$G$8))/$G$8))/(N("ROI of ELS and multiply by 2 if ELS is 1:1")+IF($G$12 = True, 2, 1) * $J709))/((N("difference in ELS+ and the cost of it")+(($K708*O$8)-($K708*N$8)) / O$7)),(N("MIN lets it return 0 or 1 after floored")+1)),1)</f>
        <v>0</v>
      </c>
      <c r="P709" s="798">
        <f t="shared" si="705"/>
        <v>0</v>
      </c>
      <c r="Q709" s="798">
        <f t="shared" si="705"/>
        <v>0</v>
      </c>
      <c r="R709" s="798">
        <f t="shared" si="705"/>
        <v>0</v>
      </c>
      <c r="S709" s="798">
        <f t="shared" si="705"/>
        <v>0</v>
      </c>
      <c r="T709" s="798">
        <f t="shared" si="705"/>
        <v>0</v>
      </c>
      <c r="U709" s="798">
        <f t="shared" si="705"/>
        <v>0</v>
      </c>
      <c r="V709" s="798">
        <f t="shared" si="705"/>
        <v>0</v>
      </c>
      <c r="W709" s="798">
        <f t="shared" si="705"/>
        <v>0</v>
      </c>
      <c r="X709" s="798">
        <f t="shared" si="705"/>
        <v>0</v>
      </c>
      <c r="Y709" s="798">
        <f t="shared" si="705"/>
        <v>0</v>
      </c>
      <c r="Z709" s="798">
        <f t="shared" si="705"/>
        <v>0</v>
      </c>
      <c r="AA709" s="798">
        <f t="shared" si="705"/>
        <v>0</v>
      </c>
      <c r="AB709" s="798">
        <f t="shared" si="705"/>
        <v>0</v>
      </c>
      <c r="AC709" s="798">
        <f t="shared" si="705"/>
        <v>0</v>
      </c>
      <c r="AD709" s="798">
        <f t="shared" si="705"/>
        <v>0</v>
      </c>
      <c r="AE709" s="798">
        <f t="shared" si="705"/>
        <v>0</v>
      </c>
      <c r="AF709" s="798">
        <f t="shared" si="705"/>
        <v>0</v>
      </c>
      <c r="AG709" s="798">
        <f t="shared" si="705"/>
        <v>0</v>
      </c>
      <c r="AH709" s="798">
        <f t="shared" si="705"/>
        <v>0</v>
      </c>
      <c r="AI709" s="798">
        <f t="shared" si="705"/>
        <v>0</v>
      </c>
      <c r="AJ709" s="798">
        <f t="shared" si="705"/>
        <v>0</v>
      </c>
      <c r="AK709" s="798">
        <f t="shared" si="705"/>
        <v>0</v>
      </c>
      <c r="AL709" s="798">
        <f t="shared" si="705"/>
        <v>0</v>
      </c>
      <c r="AM709" s="798">
        <f t="shared" si="705"/>
        <v>0</v>
      </c>
      <c r="AN709" s="798">
        <f t="shared" si="705"/>
        <v>0</v>
      </c>
      <c r="AO709" s="798">
        <f t="shared" si="705"/>
        <v>0</v>
      </c>
      <c r="AP709" s="798">
        <f t="shared" si="705"/>
        <v>0</v>
      </c>
      <c r="AQ709" s="798">
        <f t="shared" si="705"/>
        <v>0</v>
      </c>
      <c r="AR709" s="798">
        <f t="shared" si="705"/>
        <v>0</v>
      </c>
      <c r="AS709" s="798">
        <f t="shared" si="705"/>
        <v>0</v>
      </c>
      <c r="AT709" s="798">
        <f t="shared" si="705"/>
        <v>0</v>
      </c>
      <c r="AU709" s="798">
        <f t="shared" si="705"/>
        <v>0</v>
      </c>
      <c r="AV709" s="798">
        <f t="shared" si="705"/>
        <v>0</v>
      </c>
      <c r="AW709" s="798">
        <f t="shared" si="705"/>
        <v>0</v>
      </c>
      <c r="AX709" s="798">
        <f t="shared" si="705"/>
        <v>0</v>
      </c>
      <c r="AY709" s="798">
        <f t="shared" si="705"/>
        <v>0</v>
      </c>
      <c r="AZ709" s="798">
        <f t="shared" si="705"/>
        <v>0</v>
      </c>
      <c r="BA709" s="798">
        <f t="shared" si="705"/>
        <v>0</v>
      </c>
      <c r="BB709" s="798">
        <f t="shared" si="705"/>
        <v>0</v>
      </c>
      <c r="BC709" s="798">
        <f t="shared" si="705"/>
        <v>0</v>
      </c>
      <c r="BD709" s="798">
        <f t="shared" si="705"/>
        <v>0</v>
      </c>
      <c r="BE709" s="798">
        <f t="shared" si="705"/>
        <v>0</v>
      </c>
      <c r="BF709" s="798">
        <f t="shared" si="705"/>
        <v>0</v>
      </c>
      <c r="BG709" s="798">
        <f t="shared" si="705"/>
        <v>0</v>
      </c>
      <c r="BH709" s="798">
        <f t="shared" si="705"/>
        <v>0</v>
      </c>
      <c r="BI709" s="798">
        <f t="shared" si="705"/>
        <v>0</v>
      </c>
      <c r="BJ709" s="798">
        <f t="shared" si="705"/>
        <v>0</v>
      </c>
      <c r="BK709" s="798">
        <f t="shared" si="705"/>
        <v>1</v>
      </c>
      <c r="BL709" s="765"/>
      <c r="BM709" s="817"/>
      <c r="BN709" s="817"/>
    </row>
    <row r="710" hidden="1">
      <c r="A710" s="765"/>
      <c r="B710" s="765"/>
      <c r="C710" s="765"/>
      <c r="D710" s="765"/>
      <c r="E710" s="765"/>
      <c r="F710" s="765"/>
      <c r="G710" s="765"/>
      <c r="H710" s="765"/>
      <c r="I710" s="765">
        <f t="shared" si="17"/>
        <v>699</v>
      </c>
      <c r="J710" s="763">
        <f t="shared" si="5"/>
        <v>3.9951E+18</v>
      </c>
      <c r="K710" s="796">
        <f t="shared" si="7"/>
        <v>0.58329</v>
      </c>
      <c r="L710" s="796">
        <v>5.0E-4</v>
      </c>
      <c r="M710" s="763">
        <v>4.55541234695058E18</v>
      </c>
      <c r="N710" s="797">
        <f t="shared" si="8"/>
        <v>0</v>
      </c>
      <c r="O710" s="798">
        <f t="shared" ref="O710:BK710" si="706">FLOOR(MIN((((N("value of ELS upgrade")+N$8*($K710-$K709))*(N("Check checkbox")+(IF($G$6=TRUE,$G$7,$G$8))/$G$8))/(N("ROI of ELS and multiply by 2 if ELS is 1:1")+IF($G$12 = True, 2, 1) * $J710))/((N("difference in ELS+ and the cost of it")+(($K709*O$8)-($K709*N$8)) / O$7)),(N("MIN lets it return 0 or 1 after floored")+1)),1)</f>
        <v>0</v>
      </c>
      <c r="P710" s="798">
        <f t="shared" si="706"/>
        <v>0</v>
      </c>
      <c r="Q710" s="798">
        <f t="shared" si="706"/>
        <v>0</v>
      </c>
      <c r="R710" s="798">
        <f t="shared" si="706"/>
        <v>0</v>
      </c>
      <c r="S710" s="798">
        <f t="shared" si="706"/>
        <v>0</v>
      </c>
      <c r="T710" s="798">
        <f t="shared" si="706"/>
        <v>0</v>
      </c>
      <c r="U710" s="798">
        <f t="shared" si="706"/>
        <v>0</v>
      </c>
      <c r="V710" s="798">
        <f t="shared" si="706"/>
        <v>0</v>
      </c>
      <c r="W710" s="798">
        <f t="shared" si="706"/>
        <v>0</v>
      </c>
      <c r="X710" s="798">
        <f t="shared" si="706"/>
        <v>0</v>
      </c>
      <c r="Y710" s="798">
        <f t="shared" si="706"/>
        <v>0</v>
      </c>
      <c r="Z710" s="798">
        <f t="shared" si="706"/>
        <v>0</v>
      </c>
      <c r="AA710" s="798">
        <f t="shared" si="706"/>
        <v>0</v>
      </c>
      <c r="AB710" s="798">
        <f t="shared" si="706"/>
        <v>0</v>
      </c>
      <c r="AC710" s="798">
        <f t="shared" si="706"/>
        <v>0</v>
      </c>
      <c r="AD710" s="798">
        <f t="shared" si="706"/>
        <v>0</v>
      </c>
      <c r="AE710" s="798">
        <f t="shared" si="706"/>
        <v>0</v>
      </c>
      <c r="AF710" s="798">
        <f t="shared" si="706"/>
        <v>0</v>
      </c>
      <c r="AG710" s="798">
        <f t="shared" si="706"/>
        <v>0</v>
      </c>
      <c r="AH710" s="798">
        <f t="shared" si="706"/>
        <v>0</v>
      </c>
      <c r="AI710" s="798">
        <f t="shared" si="706"/>
        <v>0</v>
      </c>
      <c r="AJ710" s="798">
        <f t="shared" si="706"/>
        <v>0</v>
      </c>
      <c r="AK710" s="798">
        <f t="shared" si="706"/>
        <v>0</v>
      </c>
      <c r="AL710" s="798">
        <f t="shared" si="706"/>
        <v>0</v>
      </c>
      <c r="AM710" s="798">
        <f t="shared" si="706"/>
        <v>0</v>
      </c>
      <c r="AN710" s="798">
        <f t="shared" si="706"/>
        <v>0</v>
      </c>
      <c r="AO710" s="798">
        <f t="shared" si="706"/>
        <v>0</v>
      </c>
      <c r="AP710" s="798">
        <f t="shared" si="706"/>
        <v>0</v>
      </c>
      <c r="AQ710" s="798">
        <f t="shared" si="706"/>
        <v>0</v>
      </c>
      <c r="AR710" s="798">
        <f t="shared" si="706"/>
        <v>0</v>
      </c>
      <c r="AS710" s="798">
        <f t="shared" si="706"/>
        <v>0</v>
      </c>
      <c r="AT710" s="798">
        <f t="shared" si="706"/>
        <v>0</v>
      </c>
      <c r="AU710" s="798">
        <f t="shared" si="706"/>
        <v>0</v>
      </c>
      <c r="AV710" s="798">
        <f t="shared" si="706"/>
        <v>0</v>
      </c>
      <c r="AW710" s="798">
        <f t="shared" si="706"/>
        <v>0</v>
      </c>
      <c r="AX710" s="798">
        <f t="shared" si="706"/>
        <v>0</v>
      </c>
      <c r="AY710" s="798">
        <f t="shared" si="706"/>
        <v>0</v>
      </c>
      <c r="AZ710" s="798">
        <f t="shared" si="706"/>
        <v>0</v>
      </c>
      <c r="BA710" s="798">
        <f t="shared" si="706"/>
        <v>0</v>
      </c>
      <c r="BB710" s="798">
        <f t="shared" si="706"/>
        <v>0</v>
      </c>
      <c r="BC710" s="798">
        <f t="shared" si="706"/>
        <v>0</v>
      </c>
      <c r="BD710" s="798">
        <f t="shared" si="706"/>
        <v>0</v>
      </c>
      <c r="BE710" s="798">
        <f t="shared" si="706"/>
        <v>0</v>
      </c>
      <c r="BF710" s="798">
        <f t="shared" si="706"/>
        <v>0</v>
      </c>
      <c r="BG710" s="798">
        <f t="shared" si="706"/>
        <v>0</v>
      </c>
      <c r="BH710" s="798">
        <f t="shared" si="706"/>
        <v>0</v>
      </c>
      <c r="BI710" s="798">
        <f t="shared" si="706"/>
        <v>0</v>
      </c>
      <c r="BJ710" s="798">
        <f t="shared" si="706"/>
        <v>0</v>
      </c>
      <c r="BK710" s="798">
        <f t="shared" si="706"/>
        <v>1</v>
      </c>
      <c r="BL710" s="765"/>
      <c r="BM710" s="817"/>
      <c r="BN710" s="817"/>
    </row>
    <row r="711" hidden="1">
      <c r="A711" s="765"/>
      <c r="B711" s="765"/>
      <c r="C711" s="765"/>
      <c r="D711" s="765"/>
      <c r="E711" s="765"/>
      <c r="F711" s="765"/>
      <c r="G711" s="765"/>
      <c r="H711" s="765"/>
      <c r="I711" s="765"/>
      <c r="J711" s="765"/>
      <c r="K711" s="765"/>
      <c r="L711" s="765"/>
      <c r="M711" s="765"/>
      <c r="N711" s="765"/>
      <c r="O711" s="765"/>
      <c r="P711" s="765"/>
      <c r="Q711" s="765"/>
      <c r="R711" s="765"/>
      <c r="S711" s="765"/>
      <c r="T711" s="765"/>
      <c r="U711" s="765"/>
      <c r="V711" s="765"/>
      <c r="W711" s="765"/>
      <c r="X711" s="765"/>
      <c r="Y711" s="765"/>
      <c r="Z711" s="765"/>
      <c r="AA711" s="765"/>
      <c r="AB711" s="765"/>
      <c r="AC711" s="765"/>
      <c r="AD711" s="765"/>
      <c r="AE711" s="765"/>
      <c r="AF711" s="765"/>
      <c r="AG711" s="765"/>
      <c r="AH711" s="765"/>
      <c r="AI711" s="765"/>
      <c r="AJ711" s="765"/>
      <c r="AK711" s="765"/>
      <c r="AL711" s="765"/>
      <c r="AM711" s="765"/>
      <c r="AN711" s="765"/>
      <c r="AO711" s="765"/>
      <c r="AP711" s="765"/>
      <c r="AQ711" s="765"/>
      <c r="AR711" s="765"/>
      <c r="AS711" s="765"/>
      <c r="AT711" s="765"/>
      <c r="AU711" s="765"/>
      <c r="AV711" s="765"/>
      <c r="AW711" s="765"/>
      <c r="AX711" s="765"/>
      <c r="AY711" s="765"/>
      <c r="AZ711" s="765"/>
      <c r="BA711" s="765"/>
      <c r="BB711" s="765"/>
      <c r="BC711" s="765"/>
      <c r="BD711" s="765"/>
      <c r="BE711" s="765"/>
      <c r="BF711" s="765"/>
      <c r="BG711" s="765"/>
      <c r="BH711" s="765"/>
      <c r="BI711" s="765"/>
      <c r="BJ711" s="765"/>
      <c r="BK711" s="765"/>
      <c r="BL711" s="765"/>
      <c r="BM711" s="817"/>
      <c r="BN711" s="817"/>
    </row>
    <row r="712" hidden="1">
      <c r="A712" s="765"/>
      <c r="B712" s="765"/>
      <c r="C712" s="765"/>
      <c r="D712" s="765"/>
      <c r="E712" s="765"/>
      <c r="F712" s="765"/>
      <c r="G712" s="765"/>
      <c r="H712" s="765"/>
      <c r="I712" s="765"/>
      <c r="J712" s="765"/>
      <c r="K712" s="765"/>
      <c r="L712" s="765"/>
      <c r="M712" s="765"/>
      <c r="N712" s="765"/>
      <c r="O712" s="765"/>
      <c r="P712" s="765"/>
      <c r="Q712" s="765"/>
      <c r="R712" s="765"/>
      <c r="S712" s="765"/>
      <c r="T712" s="765"/>
      <c r="U712" s="765"/>
      <c r="V712" s="765"/>
      <c r="W712" s="765"/>
      <c r="X712" s="765"/>
      <c r="Y712" s="765"/>
      <c r="Z712" s="765"/>
      <c r="AA712" s="765"/>
      <c r="AB712" s="765"/>
      <c r="AC712" s="765"/>
      <c r="AD712" s="765"/>
      <c r="AE712" s="765"/>
      <c r="AF712" s="765"/>
      <c r="AG712" s="765"/>
      <c r="AH712" s="765"/>
      <c r="AI712" s="765"/>
      <c r="AJ712" s="765"/>
      <c r="AK712" s="765"/>
      <c r="AL712" s="765"/>
      <c r="AM712" s="765"/>
      <c r="AN712" s="765"/>
      <c r="AO712" s="765"/>
      <c r="AP712" s="765"/>
      <c r="AQ712" s="765"/>
      <c r="AR712" s="765"/>
      <c r="AS712" s="765"/>
      <c r="AT712" s="765"/>
      <c r="AU712" s="765"/>
      <c r="AV712" s="765"/>
      <c r="AW712" s="765"/>
      <c r="AX712" s="765"/>
      <c r="AY712" s="765"/>
      <c r="AZ712" s="765"/>
      <c r="BA712" s="765"/>
      <c r="BB712" s="765"/>
      <c r="BC712" s="765"/>
      <c r="BD712" s="765"/>
      <c r="BE712" s="765"/>
      <c r="BF712" s="765"/>
      <c r="BG712" s="765"/>
      <c r="BH712" s="765"/>
      <c r="BI712" s="765"/>
      <c r="BJ712" s="765"/>
      <c r="BK712" s="765"/>
      <c r="BL712" s="765"/>
      <c r="BM712" s="817"/>
      <c r="BN712" s="817"/>
    </row>
    <row r="713" hidden="1">
      <c r="A713" s="765"/>
      <c r="B713" s="765"/>
      <c r="C713" s="765"/>
      <c r="D713" s="765"/>
      <c r="E713" s="765"/>
      <c r="F713" s="765"/>
      <c r="G713" s="765"/>
      <c r="H713" s="765"/>
      <c r="I713" s="765"/>
      <c r="J713" s="765"/>
      <c r="K713" s="765"/>
      <c r="L713" s="765"/>
      <c r="M713" s="766"/>
      <c r="N713" s="818"/>
      <c r="O713" s="767"/>
      <c r="P713" s="767"/>
      <c r="Q713" s="767"/>
      <c r="R713" s="767"/>
      <c r="S713" s="767"/>
      <c r="T713" s="767"/>
      <c r="U713" s="767"/>
      <c r="V713" s="767"/>
      <c r="W713" s="767"/>
      <c r="X713" s="767"/>
      <c r="Y713" s="767"/>
      <c r="Z713" s="767"/>
      <c r="AA713" s="767"/>
      <c r="AB713" s="767"/>
      <c r="AC713" s="767"/>
      <c r="AD713" s="767"/>
      <c r="AE713" s="767"/>
      <c r="AF713" s="767"/>
      <c r="AG713" s="767"/>
      <c r="AH713" s="767"/>
      <c r="AI713" s="767"/>
      <c r="AJ713" s="767"/>
      <c r="AK713" s="767"/>
      <c r="AL713" s="767"/>
      <c r="AM713" s="767"/>
      <c r="AN713" s="767"/>
      <c r="AO713" s="767"/>
      <c r="AP713" s="767"/>
      <c r="AQ713" s="767"/>
      <c r="AR713" s="767"/>
      <c r="AS713" s="767"/>
      <c r="AT713" s="767"/>
      <c r="AU713" s="767"/>
      <c r="AV713" s="767"/>
      <c r="AW713" s="767"/>
      <c r="AX713" s="767"/>
      <c r="AY713" s="767"/>
      <c r="AZ713" s="767"/>
      <c r="BA713" s="767"/>
      <c r="BB713" s="767"/>
      <c r="BC713" s="767"/>
      <c r="BD713" s="767"/>
      <c r="BE713" s="767"/>
      <c r="BF713" s="767"/>
      <c r="BG713" s="767"/>
      <c r="BH713" s="767"/>
      <c r="BI713" s="767"/>
      <c r="BJ713" s="767"/>
      <c r="BK713" s="767"/>
      <c r="BL713" s="765"/>
      <c r="BM713" s="817"/>
      <c r="BN713" s="817"/>
    </row>
    <row r="714" hidden="1">
      <c r="A714" s="765"/>
      <c r="B714" s="765"/>
      <c r="C714" s="765"/>
      <c r="D714" s="765"/>
      <c r="E714" s="765"/>
      <c r="F714" s="765"/>
      <c r="G714" s="765"/>
      <c r="H714" s="765"/>
      <c r="I714" s="765"/>
      <c r="J714" s="765"/>
      <c r="K714" s="765"/>
      <c r="L714" s="765"/>
      <c r="M714" s="766"/>
      <c r="N714" s="818"/>
      <c r="O714" s="767"/>
      <c r="P714" s="767"/>
      <c r="Q714" s="767"/>
      <c r="R714" s="767"/>
      <c r="S714" s="767"/>
      <c r="T714" s="767"/>
      <c r="U714" s="767"/>
      <c r="V714" s="767"/>
      <c r="W714" s="767"/>
      <c r="X714" s="767"/>
      <c r="Y714" s="767"/>
      <c r="Z714" s="767"/>
      <c r="AA714" s="767"/>
      <c r="AB714" s="767"/>
      <c r="AC714" s="767"/>
      <c r="AD714" s="767"/>
      <c r="AE714" s="767"/>
      <c r="AF714" s="767"/>
      <c r="AG714" s="767"/>
      <c r="AH714" s="767"/>
      <c r="AI714" s="767"/>
      <c r="AJ714" s="767"/>
      <c r="AK714" s="767"/>
      <c r="AL714" s="767"/>
      <c r="AM714" s="767"/>
      <c r="AN714" s="767"/>
      <c r="AO714" s="767"/>
      <c r="AP714" s="767"/>
      <c r="AQ714" s="767"/>
      <c r="AR714" s="767"/>
      <c r="AS714" s="767"/>
      <c r="AT714" s="767"/>
      <c r="AU714" s="767"/>
      <c r="AV714" s="767"/>
      <c r="AW714" s="767"/>
      <c r="AX714" s="767"/>
      <c r="AY714" s="767"/>
      <c r="AZ714" s="767"/>
      <c r="BA714" s="767"/>
      <c r="BB714" s="767"/>
      <c r="BC714" s="767"/>
      <c r="BD714" s="767"/>
      <c r="BE714" s="767"/>
      <c r="BF714" s="767"/>
      <c r="BG714" s="767"/>
      <c r="BH714" s="767"/>
      <c r="BI714" s="767"/>
      <c r="BJ714" s="767"/>
      <c r="BK714" s="767"/>
      <c r="BL714" s="765"/>
      <c r="BM714" s="817"/>
      <c r="BN714" s="817"/>
    </row>
    <row r="715" hidden="1">
      <c r="A715" s="765"/>
      <c r="B715" s="765"/>
      <c r="C715" s="765"/>
      <c r="D715" s="765"/>
      <c r="E715" s="765"/>
      <c r="F715" s="765"/>
      <c r="G715" s="765"/>
      <c r="H715" s="765"/>
      <c r="I715" s="765"/>
      <c r="J715" s="765"/>
      <c r="K715" s="765"/>
      <c r="L715" s="765"/>
      <c r="M715" s="775"/>
      <c r="N715" s="818"/>
      <c r="O715" s="767"/>
      <c r="P715" s="767"/>
      <c r="Q715" s="767"/>
      <c r="R715" s="767"/>
      <c r="S715" s="767"/>
      <c r="T715" s="767"/>
      <c r="U715" s="767"/>
      <c r="V715" s="767"/>
      <c r="W715" s="767"/>
      <c r="X715" s="767"/>
      <c r="Y715" s="767"/>
      <c r="Z715" s="767"/>
      <c r="AA715" s="767"/>
      <c r="AB715" s="767"/>
      <c r="AC715" s="767"/>
      <c r="AD715" s="767"/>
      <c r="AE715" s="767"/>
      <c r="AF715" s="767"/>
      <c r="AG715" s="767"/>
      <c r="AH715" s="767"/>
      <c r="AI715" s="767"/>
      <c r="AJ715" s="767"/>
      <c r="AK715" s="767"/>
      <c r="AL715" s="767"/>
      <c r="AM715" s="767"/>
      <c r="AN715" s="767"/>
      <c r="AO715" s="767"/>
      <c r="AP715" s="767"/>
      <c r="AQ715" s="767"/>
      <c r="AR715" s="767"/>
      <c r="AS715" s="767"/>
      <c r="AT715" s="767"/>
      <c r="AU715" s="767"/>
      <c r="AV715" s="767"/>
      <c r="AW715" s="767"/>
      <c r="AX715" s="767"/>
      <c r="AY715" s="767"/>
      <c r="AZ715" s="767"/>
      <c r="BA715" s="767"/>
      <c r="BB715" s="767"/>
      <c r="BC715" s="767"/>
      <c r="BD715" s="767"/>
      <c r="BE715" s="767"/>
      <c r="BF715" s="767"/>
      <c r="BG715" s="767"/>
      <c r="BH715" s="767"/>
      <c r="BI715" s="767"/>
      <c r="BJ715" s="767"/>
      <c r="BK715" s="767"/>
      <c r="BL715" s="765"/>
      <c r="BM715" s="817"/>
      <c r="BN715" s="817"/>
    </row>
    <row r="716" hidden="1">
      <c r="A716" s="765"/>
      <c r="B716" s="765"/>
      <c r="C716" s="765"/>
      <c r="D716" s="765"/>
      <c r="E716" s="765"/>
      <c r="F716" s="765"/>
      <c r="G716" s="765"/>
      <c r="H716" s="765"/>
      <c r="I716" s="765"/>
      <c r="J716" s="765"/>
      <c r="K716" s="765"/>
      <c r="L716" s="765"/>
      <c r="M716" s="775"/>
      <c r="N716" s="818"/>
      <c r="O716" s="767"/>
      <c r="P716" s="767"/>
      <c r="Q716" s="767"/>
      <c r="R716" s="767"/>
      <c r="S716" s="767"/>
      <c r="T716" s="767"/>
      <c r="U716" s="767"/>
      <c r="V716" s="767"/>
      <c r="W716" s="767"/>
      <c r="X716" s="767"/>
      <c r="Y716" s="767"/>
      <c r="Z716" s="767"/>
      <c r="AA716" s="767"/>
      <c r="AB716" s="767"/>
      <c r="AC716" s="767"/>
      <c r="AD716" s="767"/>
      <c r="AE716" s="767"/>
      <c r="AF716" s="767"/>
      <c r="AG716" s="767"/>
      <c r="AH716" s="767"/>
      <c r="AI716" s="767"/>
      <c r="AJ716" s="767"/>
      <c r="AK716" s="767"/>
      <c r="AL716" s="767"/>
      <c r="AM716" s="767"/>
      <c r="AN716" s="767"/>
      <c r="AO716" s="767"/>
      <c r="AP716" s="767"/>
      <c r="AQ716" s="767"/>
      <c r="AR716" s="767"/>
      <c r="AS716" s="767"/>
      <c r="AT716" s="767"/>
      <c r="AU716" s="767"/>
      <c r="AV716" s="767"/>
      <c r="AW716" s="767"/>
      <c r="AX716" s="767"/>
      <c r="AY716" s="767"/>
      <c r="AZ716" s="767"/>
      <c r="BA716" s="767"/>
      <c r="BB716" s="767"/>
      <c r="BC716" s="767"/>
      <c r="BD716" s="767"/>
      <c r="BE716" s="767"/>
      <c r="BF716" s="767"/>
      <c r="BG716" s="767"/>
      <c r="BH716" s="767"/>
      <c r="BI716" s="767"/>
      <c r="BJ716" s="767"/>
      <c r="BK716" s="767"/>
      <c r="BL716" s="765"/>
      <c r="BM716" s="817"/>
      <c r="BN716" s="817"/>
    </row>
    <row r="717" hidden="1">
      <c r="A717" s="765"/>
      <c r="B717" s="765"/>
      <c r="C717" s="765"/>
      <c r="D717" s="765"/>
      <c r="E717" s="765"/>
      <c r="F717" s="765"/>
      <c r="G717" s="765"/>
      <c r="H717" s="765"/>
      <c r="I717" s="765"/>
      <c r="J717" s="765"/>
      <c r="K717" s="765"/>
      <c r="L717" s="765"/>
      <c r="M717" s="775"/>
      <c r="N717" s="818"/>
      <c r="O717" s="767"/>
      <c r="P717" s="767"/>
      <c r="Q717" s="767"/>
      <c r="R717" s="767"/>
      <c r="S717" s="767"/>
      <c r="T717" s="767"/>
      <c r="U717" s="767"/>
      <c r="V717" s="767"/>
      <c r="W717" s="767"/>
      <c r="X717" s="767"/>
      <c r="Y717" s="767"/>
      <c r="Z717" s="767"/>
      <c r="AA717" s="767"/>
      <c r="AB717" s="767"/>
      <c r="AC717" s="767"/>
      <c r="AD717" s="767"/>
      <c r="AE717" s="767"/>
      <c r="AF717" s="767"/>
      <c r="AG717" s="767"/>
      <c r="AH717" s="767"/>
      <c r="AI717" s="767"/>
      <c r="AJ717" s="767"/>
      <c r="AK717" s="767"/>
      <c r="AL717" s="767"/>
      <c r="AM717" s="767"/>
      <c r="AN717" s="767"/>
      <c r="AO717" s="767"/>
      <c r="AP717" s="767"/>
      <c r="AQ717" s="767"/>
      <c r="AR717" s="767"/>
      <c r="AS717" s="767"/>
      <c r="AT717" s="767"/>
      <c r="AU717" s="767"/>
      <c r="AV717" s="767"/>
      <c r="AW717" s="767"/>
      <c r="AX717" s="767"/>
      <c r="AY717" s="767"/>
      <c r="AZ717" s="767"/>
      <c r="BA717" s="767"/>
      <c r="BB717" s="767"/>
      <c r="BC717" s="767"/>
      <c r="BD717" s="767"/>
      <c r="BE717" s="767"/>
      <c r="BF717" s="767"/>
      <c r="BG717" s="767"/>
      <c r="BH717" s="767"/>
      <c r="BI717" s="767"/>
      <c r="BJ717" s="767"/>
      <c r="BK717" s="767"/>
      <c r="BL717" s="765"/>
      <c r="BM717" s="817"/>
      <c r="BN717" s="817"/>
    </row>
    <row r="718" hidden="1">
      <c r="A718" s="765"/>
      <c r="B718" s="765"/>
      <c r="C718" s="765"/>
      <c r="D718" s="765"/>
      <c r="E718" s="765"/>
      <c r="F718" s="765"/>
      <c r="G718" s="765"/>
      <c r="H718" s="765"/>
      <c r="I718" s="765"/>
      <c r="J718" s="765"/>
      <c r="K718" s="765"/>
      <c r="L718" s="765"/>
      <c r="M718" s="775"/>
      <c r="N718" s="818"/>
      <c r="O718" s="767"/>
      <c r="P718" s="767"/>
      <c r="Q718" s="767"/>
      <c r="R718" s="767"/>
      <c r="S718" s="767"/>
      <c r="T718" s="767"/>
      <c r="U718" s="767"/>
      <c r="V718" s="767"/>
      <c r="W718" s="767"/>
      <c r="X718" s="767"/>
      <c r="Y718" s="767"/>
      <c r="Z718" s="767"/>
      <c r="AA718" s="767"/>
      <c r="AB718" s="767"/>
      <c r="AC718" s="767"/>
      <c r="AD718" s="767"/>
      <c r="AE718" s="767"/>
      <c r="AF718" s="767"/>
      <c r="AG718" s="767"/>
      <c r="AH718" s="767"/>
      <c r="AI718" s="767"/>
      <c r="AJ718" s="767"/>
      <c r="AK718" s="767"/>
      <c r="AL718" s="767"/>
      <c r="AM718" s="767"/>
      <c r="AN718" s="767"/>
      <c r="AO718" s="767"/>
      <c r="AP718" s="767"/>
      <c r="AQ718" s="767"/>
      <c r="AR718" s="767"/>
      <c r="AS718" s="767"/>
      <c r="AT718" s="767"/>
      <c r="AU718" s="767"/>
      <c r="AV718" s="767"/>
      <c r="AW718" s="767"/>
      <c r="AX718" s="767"/>
      <c r="AY718" s="767"/>
      <c r="AZ718" s="767"/>
      <c r="BA718" s="767"/>
      <c r="BB718" s="767"/>
      <c r="BC718" s="767"/>
      <c r="BD718" s="767"/>
      <c r="BE718" s="767"/>
      <c r="BF718" s="767"/>
      <c r="BG718" s="767"/>
      <c r="BH718" s="767"/>
      <c r="BI718" s="767"/>
      <c r="BJ718" s="767"/>
      <c r="BK718" s="767"/>
      <c r="BL718" s="765"/>
      <c r="BM718" s="817"/>
      <c r="BN718" s="817"/>
    </row>
    <row r="719" hidden="1">
      <c r="A719" s="765"/>
      <c r="B719" s="765"/>
      <c r="C719" s="765"/>
      <c r="D719" s="765"/>
      <c r="E719" s="765"/>
      <c r="F719" s="765"/>
      <c r="G719" s="765"/>
      <c r="H719" s="765"/>
      <c r="I719" s="765"/>
      <c r="J719" s="765"/>
      <c r="K719" s="765"/>
      <c r="L719" s="765"/>
      <c r="M719" s="775"/>
      <c r="N719" s="818"/>
      <c r="O719" s="767"/>
      <c r="P719" s="767"/>
      <c r="Q719" s="767"/>
      <c r="R719" s="767"/>
      <c r="S719" s="767"/>
      <c r="T719" s="767"/>
      <c r="U719" s="767"/>
      <c r="V719" s="767"/>
      <c r="W719" s="767"/>
      <c r="X719" s="767"/>
      <c r="Y719" s="767"/>
      <c r="Z719" s="767"/>
      <c r="AA719" s="767"/>
      <c r="AB719" s="767"/>
      <c r="AC719" s="767"/>
      <c r="AD719" s="767"/>
      <c r="AE719" s="767"/>
      <c r="AF719" s="767"/>
      <c r="AG719" s="767"/>
      <c r="AH719" s="767"/>
      <c r="AI719" s="767"/>
      <c r="AJ719" s="767"/>
      <c r="AK719" s="767"/>
      <c r="AL719" s="767"/>
      <c r="AM719" s="767"/>
      <c r="AN719" s="767"/>
      <c r="AO719" s="767"/>
      <c r="AP719" s="767"/>
      <c r="AQ719" s="767"/>
      <c r="AR719" s="767"/>
      <c r="AS719" s="767"/>
      <c r="AT719" s="767"/>
      <c r="AU719" s="767"/>
      <c r="AV719" s="767"/>
      <c r="AW719" s="767"/>
      <c r="AX719" s="767"/>
      <c r="AY719" s="767"/>
      <c r="AZ719" s="767"/>
      <c r="BA719" s="767"/>
      <c r="BB719" s="767"/>
      <c r="BC719" s="767"/>
      <c r="BD719" s="767"/>
      <c r="BE719" s="767"/>
      <c r="BF719" s="767"/>
      <c r="BG719" s="767"/>
      <c r="BH719" s="767"/>
      <c r="BI719" s="767"/>
      <c r="BJ719" s="767"/>
      <c r="BK719" s="767"/>
      <c r="BL719" s="765"/>
      <c r="BM719" s="817"/>
      <c r="BN719" s="817"/>
    </row>
    <row r="720" hidden="1">
      <c r="A720" s="765"/>
      <c r="B720" s="765"/>
      <c r="C720" s="765"/>
      <c r="D720" s="765"/>
      <c r="E720" s="765"/>
      <c r="F720" s="765"/>
      <c r="G720" s="765"/>
      <c r="H720" s="765"/>
      <c r="I720" s="765"/>
      <c r="J720" s="765"/>
      <c r="K720" s="765"/>
      <c r="L720" s="765"/>
      <c r="M720" s="775"/>
      <c r="N720" s="818"/>
      <c r="O720" s="767"/>
      <c r="P720" s="767"/>
      <c r="Q720" s="767"/>
      <c r="R720" s="767"/>
      <c r="S720" s="767"/>
      <c r="T720" s="767"/>
      <c r="U720" s="767"/>
      <c r="V720" s="767"/>
      <c r="W720" s="767"/>
      <c r="X720" s="767"/>
      <c r="Y720" s="767"/>
      <c r="Z720" s="767"/>
      <c r="AA720" s="767"/>
      <c r="AB720" s="767"/>
      <c r="AC720" s="767"/>
      <c r="AD720" s="767"/>
      <c r="AE720" s="767"/>
      <c r="AF720" s="767"/>
      <c r="AG720" s="767"/>
      <c r="AH720" s="767"/>
      <c r="AI720" s="767"/>
      <c r="AJ720" s="767"/>
      <c r="AK720" s="767"/>
      <c r="AL720" s="767"/>
      <c r="AM720" s="767"/>
      <c r="AN720" s="767"/>
      <c r="AO720" s="767"/>
      <c r="AP720" s="767"/>
      <c r="AQ720" s="767"/>
      <c r="AR720" s="767"/>
      <c r="AS720" s="767"/>
      <c r="AT720" s="767"/>
      <c r="AU720" s="767"/>
      <c r="AV720" s="767"/>
      <c r="AW720" s="767"/>
      <c r="AX720" s="767"/>
      <c r="AY720" s="767"/>
      <c r="AZ720" s="767"/>
      <c r="BA720" s="767"/>
      <c r="BB720" s="767"/>
      <c r="BC720" s="767"/>
      <c r="BD720" s="767"/>
      <c r="BE720" s="767"/>
      <c r="BF720" s="767"/>
      <c r="BG720" s="767"/>
      <c r="BH720" s="767"/>
      <c r="BI720" s="767"/>
      <c r="BJ720" s="767"/>
      <c r="BK720" s="767"/>
      <c r="BL720" s="765"/>
      <c r="BM720" s="817"/>
      <c r="BN720" s="817"/>
    </row>
    <row r="721" hidden="1">
      <c r="A721" s="765"/>
      <c r="B721" s="765"/>
      <c r="C721" s="765"/>
      <c r="D721" s="765"/>
      <c r="E721" s="765"/>
      <c r="F721" s="765"/>
      <c r="G721" s="765"/>
      <c r="H721" s="765"/>
      <c r="I721" s="765"/>
      <c r="J721" s="765"/>
      <c r="K721" s="765"/>
      <c r="L721" s="765"/>
      <c r="M721" s="775"/>
      <c r="N721" s="818"/>
      <c r="O721" s="767"/>
      <c r="P721" s="767"/>
      <c r="Q721" s="767"/>
      <c r="R721" s="767"/>
      <c r="S721" s="767"/>
      <c r="T721" s="767"/>
      <c r="U721" s="767"/>
      <c r="V721" s="767"/>
      <c r="W721" s="767"/>
      <c r="X721" s="767"/>
      <c r="Y721" s="767"/>
      <c r="Z721" s="767"/>
      <c r="AA721" s="767"/>
      <c r="AB721" s="767"/>
      <c r="AC721" s="767"/>
      <c r="AD721" s="767"/>
      <c r="AE721" s="767"/>
      <c r="AF721" s="767"/>
      <c r="AG721" s="767"/>
      <c r="AH721" s="767"/>
      <c r="AI721" s="767"/>
      <c r="AJ721" s="767"/>
      <c r="AK721" s="767"/>
      <c r="AL721" s="767"/>
      <c r="AM721" s="767"/>
      <c r="AN721" s="767"/>
      <c r="AO721" s="767"/>
      <c r="AP721" s="767"/>
      <c r="AQ721" s="767"/>
      <c r="AR721" s="767"/>
      <c r="AS721" s="767"/>
      <c r="AT721" s="767"/>
      <c r="AU721" s="767"/>
      <c r="AV721" s="767"/>
      <c r="AW721" s="767"/>
      <c r="AX721" s="767"/>
      <c r="AY721" s="767"/>
      <c r="AZ721" s="767"/>
      <c r="BA721" s="767"/>
      <c r="BB721" s="767"/>
      <c r="BC721" s="767"/>
      <c r="BD721" s="767"/>
      <c r="BE721" s="767"/>
      <c r="BF721" s="767"/>
      <c r="BG721" s="767"/>
      <c r="BH721" s="767"/>
      <c r="BI721" s="767"/>
      <c r="BJ721" s="767"/>
      <c r="BK721" s="767"/>
      <c r="BL721" s="765"/>
      <c r="BM721" s="817"/>
      <c r="BN721" s="817"/>
    </row>
    <row r="722" hidden="1">
      <c r="A722" s="765"/>
      <c r="B722" s="765"/>
      <c r="C722" s="765"/>
      <c r="D722" s="765"/>
      <c r="E722" s="765"/>
      <c r="F722" s="765"/>
      <c r="G722" s="765"/>
      <c r="H722" s="765"/>
      <c r="I722" s="765"/>
      <c r="J722" s="765"/>
      <c r="K722" s="765"/>
      <c r="L722" s="765"/>
      <c r="M722" s="766"/>
      <c r="N722" s="766"/>
      <c r="O722" s="767"/>
      <c r="P722" s="767"/>
      <c r="Q722" s="767"/>
      <c r="R722" s="767"/>
      <c r="S722" s="767"/>
      <c r="T722" s="767"/>
      <c r="U722" s="767"/>
      <c r="V722" s="767"/>
      <c r="W722" s="767"/>
      <c r="X722" s="767"/>
      <c r="Y722" s="767"/>
      <c r="Z722" s="767"/>
      <c r="AA722" s="767"/>
      <c r="AB722" s="767"/>
      <c r="AC722" s="767"/>
      <c r="AD722" s="767"/>
      <c r="AE722" s="767"/>
      <c r="AF722" s="767"/>
      <c r="AG722" s="767"/>
      <c r="AH722" s="767"/>
      <c r="AI722" s="767"/>
      <c r="AJ722" s="767"/>
      <c r="AK722" s="767"/>
      <c r="AL722" s="767"/>
      <c r="AM722" s="767"/>
      <c r="AN722" s="767"/>
      <c r="AO722" s="767"/>
      <c r="AP722" s="767"/>
      <c r="AQ722" s="767"/>
      <c r="AR722" s="767"/>
      <c r="AS722" s="767"/>
      <c r="AT722" s="767"/>
      <c r="AU722" s="767"/>
      <c r="AV722" s="767"/>
      <c r="AW722" s="767"/>
      <c r="AX722" s="767"/>
      <c r="AY722" s="767"/>
      <c r="AZ722" s="767"/>
      <c r="BA722" s="767"/>
      <c r="BB722" s="767"/>
      <c r="BC722" s="767"/>
      <c r="BD722" s="767"/>
      <c r="BE722" s="767"/>
      <c r="BF722" s="767"/>
      <c r="BG722" s="767"/>
      <c r="BH722" s="767"/>
      <c r="BI722" s="767"/>
      <c r="BJ722" s="767"/>
      <c r="BK722" s="767"/>
      <c r="BL722" s="765"/>
      <c r="BM722" s="817"/>
      <c r="BN722" s="817"/>
    </row>
  </sheetData>
  <mergeCells count="14">
    <mergeCell ref="E6:F6"/>
    <mergeCell ref="E7:F7"/>
    <mergeCell ref="F24:G33"/>
    <mergeCell ref="B8:C8"/>
    <mergeCell ref="E8:F8"/>
    <mergeCell ref="B9:G11"/>
    <mergeCell ref="B12:F12"/>
    <mergeCell ref="B2:G3"/>
    <mergeCell ref="B4:C4"/>
    <mergeCell ref="E4:F4"/>
    <mergeCell ref="B5:C5"/>
    <mergeCell ref="E5:F5"/>
    <mergeCell ref="B6:C6"/>
    <mergeCell ref="B7:C7"/>
  </mergeCells>
  <conditionalFormatting sqref="C13:C33 E13:E33 G13:G23">
    <cfRule type="expression" dxfId="26" priority="1">
      <formula>IF(C13&lt;=$D$8,True)</formula>
    </cfRule>
  </conditionalFormatting>
  <conditionalFormatting sqref="B13:B33 D13:D33 F13:F23">
    <cfRule type="expression" dxfId="27" priority="2">
      <formula>B13&lt;=$K$3</formula>
    </cfRule>
  </conditionalFormatting>
  <conditionalFormatting sqref="B13:B33 D13:D33 F13:F23">
    <cfRule type="expression" dxfId="28" priority="3">
      <formula>ISBETWEEN($D$8+1,C12,C13)</formula>
    </cfRule>
  </conditionalFormatting>
  <conditionalFormatting sqref="D4:D8 G4:G5">
    <cfRule type="expression" dxfId="7" priority="4">
      <formula>NOT(ISFORMULA(D4))</formula>
    </cfRule>
  </conditionalFormatting>
  <dataValidations>
    <dataValidation type="list" allowBlank="1" showErrorMessage="1" sqref="D6">
      <formula1>'ELS+ ROI Calculator'!$BM$8:$BM$28</formula1>
    </dataValidation>
    <dataValidation type="decimal" allowBlank="1" showDropDown="1" sqref="G7">
      <formula1>0.0</formula1>
      <formula2>G8</formula2>
    </dataValidation>
    <dataValidation type="decimal" operator="greaterThan" allowBlank="1" showDropDown="1" sqref="G8">
      <formula1>0.0</formula1>
    </dataValidation>
    <dataValidation type="list" allowBlank="1" showDropDown="1" showErrorMessage="1" sqref="D4">
      <formula1>'ELS+ ROI Calculator'!$BN$8:$BN$17</formula1>
    </dataValidation>
    <dataValidation type="decimal" allowBlank="1" showDropDown="1" sqref="D5 G5 D8">
      <formula1>0.0</formula1>
      <formula2>699.0</formula2>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outlineLevelCol="1"/>
  <cols>
    <col customWidth="1" min="2" max="2" width="27.63"/>
    <col customWidth="1" min="3" max="3" width="6.0"/>
    <col customWidth="1" min="4" max="4" width="7.88"/>
    <col customWidth="1" min="5" max="5" width="4.63"/>
    <col customWidth="1" min="6" max="6" width="19.63"/>
    <col customWidth="1" min="7" max="7" width="10.38"/>
    <col collapsed="1" customWidth="1" min="8" max="8" width="9.63"/>
    <col customWidth="1" hidden="1" min="9" max="9" width="19.13" outlineLevel="1"/>
    <col hidden="1" min="10" max="10" width="12.63" outlineLevel="1"/>
    <col customWidth="1" hidden="1" min="11" max="11" width="6.75" outlineLevel="1"/>
    <col hidden="1" min="12" max="13" width="12.63" outlineLevel="1"/>
    <col customWidth="1" hidden="1" min="14" max="14" width="15.75" outlineLevel="1"/>
    <col customWidth="1" hidden="1" min="15" max="15" width="20.63" outlineLevel="1"/>
    <col customWidth="1" hidden="1" min="16" max="16" width="15.63" outlineLevel="1"/>
    <col customWidth="1" hidden="1" min="17" max="17" width="14.38" outlineLevel="1"/>
  </cols>
  <sheetData>
    <row r="1">
      <c r="A1" s="36"/>
      <c r="B1" s="36"/>
      <c r="C1" s="36"/>
      <c r="D1" s="36"/>
      <c r="E1" s="36"/>
      <c r="F1" s="36"/>
      <c r="G1" s="36"/>
      <c r="H1" s="36"/>
      <c r="I1" s="36"/>
      <c r="J1" s="36"/>
      <c r="K1" s="36"/>
      <c r="L1" s="36"/>
      <c r="M1" s="36"/>
      <c r="N1" s="36"/>
      <c r="O1" s="36"/>
      <c r="P1" s="36"/>
      <c r="Q1" s="36"/>
    </row>
    <row r="2">
      <c r="A2" s="36"/>
      <c r="B2" s="36"/>
      <c r="C2" s="36"/>
      <c r="D2" s="36"/>
      <c r="E2" s="36"/>
      <c r="F2" s="36"/>
      <c r="G2" s="36"/>
      <c r="H2" s="36"/>
      <c r="I2" s="36"/>
      <c r="J2" s="36"/>
      <c r="K2" s="36"/>
      <c r="L2" s="36"/>
      <c r="M2" s="36"/>
      <c r="N2" s="36"/>
      <c r="O2" s="36"/>
      <c r="P2" s="36"/>
      <c r="Q2" s="36"/>
    </row>
    <row r="3">
      <c r="A3" s="36"/>
      <c r="B3" s="819" t="s">
        <v>281</v>
      </c>
      <c r="C3" s="820"/>
      <c r="D3" s="820"/>
      <c r="E3" s="821"/>
      <c r="F3" s="822" t="s">
        <v>282</v>
      </c>
      <c r="G3" s="821"/>
      <c r="H3" s="36"/>
      <c r="I3" s="36" t="s">
        <v>283</v>
      </c>
      <c r="J3" s="823">
        <f t="array" ref="J3">INDEX('Workshop Enhancement Prices'!O:O,C17 + 3)*(1-IDS_VAULT_STAT("Discount Enhancements"))</f>
        <v>514700000000000</v>
      </c>
      <c r="K3" s="36"/>
      <c r="L3" s="824"/>
      <c r="M3" s="825" t="s">
        <v>284</v>
      </c>
      <c r="N3" s="826" t="s">
        <v>285</v>
      </c>
      <c r="O3" s="36"/>
      <c r="P3" s="36" t="str">
        <f>"% increase per " &amp; FORMAT_NUMBER(N7)</f>
        <v>% increase per 1000 T</v>
      </c>
      <c r="Q3" s="36"/>
    </row>
    <row r="4">
      <c r="A4" s="36"/>
      <c r="B4" s="827" t="s">
        <v>286</v>
      </c>
      <c r="D4" s="828" t="b">
        <v>1</v>
      </c>
      <c r="E4" s="829"/>
      <c r="F4" s="830" t="str">
        <f>"Coins+ "&amp;P3</f>
        <v>Coins+ % increase per 1000 T</v>
      </c>
      <c r="G4" s="831"/>
      <c r="H4" s="36"/>
      <c r="I4" s="36" t="s">
        <v>287</v>
      </c>
      <c r="J4" s="823">
        <f t="array" ref="J4">INDEX('Workshop Enhancement Prices'!S:S,C16 + 3)*(1-IDS_VAULT_STAT("Discount Enhancements"))</f>
        <v>1.14E+15</v>
      </c>
      <c r="K4" s="36"/>
      <c r="L4" s="39" t="s">
        <v>288</v>
      </c>
      <c r="M4" s="36">
        <f>(IF(D4, D6,1)*(C21+((C23-C21)*0.67))/IF(D4,(D5*C23),1)+IF(D4,(((D5-D6)*C23)/(D5*699)),0))*IF(D4,C23,1)</f>
        <v>673.986</v>
      </c>
      <c r="N4" s="832">
        <f>
IF(D7="Health (GC)", G17+(M4*0.05%)+G19+(G21*0.1%)+G23,
G16+(M5*0.05%)+G18+(G20*0.1%)+G22
)</f>
        <v>0.444993</v>
      </c>
      <c r="O4" s="36"/>
      <c r="P4" s="833">
        <f>((((C17+1)/100+1)/(C17/100+1)-1)*2)/(J3/N7)</f>
        <v>0.02921623078</v>
      </c>
      <c r="Q4" s="36"/>
    </row>
    <row r="5">
      <c r="A5" s="36"/>
      <c r="B5" s="827" t="s">
        <v>289</v>
      </c>
      <c r="D5" s="834">
        <v>10000.0</v>
      </c>
      <c r="E5" s="829"/>
      <c r="F5" s="835">
        <f>P4</f>
        <v>0.02921623078</v>
      </c>
      <c r="G5" s="836"/>
      <c r="H5" s="36"/>
      <c r="I5" s="36"/>
      <c r="J5" s="36"/>
      <c r="K5" s="36"/>
      <c r="L5" s="837" t="s">
        <v>290</v>
      </c>
      <c r="M5" s="838">
        <f>(IF(D4, D6,1)*(C20+((C22-C20)*0.67))/IF(D4,(D5*C22),1)+IF(D4,(((D5-D6)*C22)/(D5*C22)),0))*IF(D4,699,1)</f>
        <v>674.646</v>
      </c>
      <c r="N5" s="839"/>
      <c r="O5" s="36"/>
      <c r="P5" s="36"/>
      <c r="Q5" s="36"/>
    </row>
    <row r="6">
      <c r="A6" s="36"/>
      <c r="B6" s="827" t="s">
        <v>291</v>
      </c>
      <c r="D6" s="834">
        <v>2000.0</v>
      </c>
      <c r="E6" s="829"/>
      <c r="F6" s="840"/>
      <c r="G6" s="829"/>
      <c r="H6" s="36"/>
      <c r="I6" s="36" t="s">
        <v>292</v>
      </c>
      <c r="J6" s="36">
        <f>IF(IDS_CARDS_IN_PRESET('Master Sheet'!AC3, "Intro Sprint"),IDS_LAB_LEVEL("Intro Sprint Mastery"),-1)</f>
        <v>0</v>
      </c>
      <c r="K6" s="36"/>
      <c r="L6" s="36"/>
      <c r="M6" s="36"/>
      <c r="N6" s="36"/>
      <c r="O6" s="36"/>
      <c r="P6" s="36" t="str">
        <f>"% increase per " &amp; FORMAT_NUMBER(N7)</f>
        <v>% increase per 1000 T</v>
      </c>
      <c r="Q6" s="36"/>
    </row>
    <row r="7">
      <c r="A7" s="36"/>
      <c r="B7" s="841" t="s">
        <v>293</v>
      </c>
      <c r="D7" s="842" t="s">
        <v>294</v>
      </c>
      <c r="E7" s="829"/>
      <c r="F7" s="830" t="str">
        <f>"ELS+ "&amp;P3</f>
        <v>ELS+ % increase per 1000 T</v>
      </c>
      <c r="G7" s="831"/>
      <c r="H7" s="36"/>
      <c r="I7" s="36" t="s">
        <v>295</v>
      </c>
      <c r="J7" s="36">
        <f>(J6+1)*180</f>
        <v>180</v>
      </c>
      <c r="K7" s="36"/>
      <c r="L7" s="36"/>
      <c r="M7" s="36"/>
      <c r="N7" s="36">
        <f>10^FLOOR(LOG10(J3),1)*10</f>
        <v>1E+15</v>
      </c>
      <c r="O7" s="36" t="str">
        <f>FORMAT_NUMBER(N7)</f>
        <v>1000 T</v>
      </c>
      <c r="P7" s="833">
        <f>(J18/J14-1)/(J4/N7)</f>
        <v>0.007861018546</v>
      </c>
      <c r="Q7" s="36"/>
    </row>
    <row r="8">
      <c r="A8" s="36"/>
      <c r="B8" s="843"/>
      <c r="E8" s="829"/>
      <c r="F8" s="844">
        <f>IF(P7&lt;0,"result is &lt;0%, read below",P7)</f>
        <v>0.007861018546</v>
      </c>
      <c r="G8" s="829"/>
      <c r="H8" s="36"/>
      <c r="I8" s="36" t="s">
        <v>296</v>
      </c>
      <c r="J8" s="36">
        <f>D13-(J7*0.9)</f>
        <v>9838</v>
      </c>
      <c r="K8" s="36"/>
      <c r="L8" s="36"/>
      <c r="M8" s="36"/>
      <c r="N8" s="36"/>
      <c r="O8" s="36"/>
      <c r="P8" s="36"/>
      <c r="Q8" s="36"/>
    </row>
    <row r="9">
      <c r="A9" s="36"/>
      <c r="B9" s="845" t="s">
        <v>297</v>
      </c>
      <c r="C9" s="211"/>
      <c r="D9" s="211"/>
      <c r="E9" s="846"/>
      <c r="F9" s="847" t="s">
        <v>298</v>
      </c>
      <c r="G9" s="821"/>
      <c r="H9" s="36"/>
      <c r="I9" s="36" t="s">
        <v>299</v>
      </c>
      <c r="J9" s="36">
        <f>D11-(J7*0.9)</f>
        <v>8838</v>
      </c>
      <c r="K9" s="36"/>
      <c r="L9" s="36"/>
      <c r="M9" s="36"/>
      <c r="N9" s="36"/>
      <c r="O9" s="36"/>
      <c r="P9" s="36"/>
      <c r="Q9" s="36"/>
    </row>
    <row r="10">
      <c r="A10" s="36"/>
      <c r="B10" s="843"/>
      <c r="E10" s="829"/>
      <c r="G10" s="829"/>
      <c r="H10" s="36"/>
      <c r="I10" s="36"/>
      <c r="J10" s="36"/>
      <c r="K10" s="36"/>
      <c r="L10" s="36"/>
      <c r="M10" s="36"/>
      <c r="N10" s="36"/>
      <c r="O10" s="36"/>
      <c r="P10" s="36"/>
      <c r="Q10" s="36"/>
    </row>
    <row r="11">
      <c r="A11" s="36"/>
      <c r="B11" s="827" t="s">
        <v>300</v>
      </c>
      <c r="D11" s="834">
        <v>9000.0</v>
      </c>
      <c r="E11" s="829"/>
      <c r="G11" s="829"/>
      <c r="H11" s="36"/>
      <c r="I11" s="36" t="s">
        <v>301</v>
      </c>
      <c r="J11" s="823">
        <f>UNFORMAT_NUMBER(D14&amp;E14)</f>
        <v>1E+15</v>
      </c>
      <c r="K11" s="36"/>
      <c r="L11" s="36"/>
      <c r="M11" s="36"/>
      <c r="N11" s="36"/>
      <c r="O11" s="36"/>
      <c r="P11" s="36"/>
      <c r="Q11" s="36"/>
    </row>
    <row r="12">
      <c r="A12" s="36"/>
      <c r="B12" s="827" t="s">
        <v>302</v>
      </c>
      <c r="D12" s="848">
        <v>800.0</v>
      </c>
      <c r="E12" s="849" t="s">
        <v>303</v>
      </c>
      <c r="G12" s="829"/>
      <c r="H12" s="36"/>
      <c r="I12" s="36" t="s">
        <v>304</v>
      </c>
      <c r="J12" s="823">
        <f>UNFORMAT_NUMBER(D12&amp;E12)</f>
        <v>800000000000000</v>
      </c>
      <c r="K12" s="36"/>
      <c r="L12" s="36"/>
      <c r="M12" s="36"/>
      <c r="N12" s="36"/>
      <c r="O12" s="36"/>
      <c r="P12" s="36"/>
      <c r="Q12" s="36"/>
    </row>
    <row r="13">
      <c r="A13" s="36"/>
      <c r="B13" s="827" t="s">
        <v>305</v>
      </c>
      <c r="D13" s="834">
        <v>10000.0</v>
      </c>
      <c r="E13" s="829"/>
      <c r="G13" s="829"/>
      <c r="H13" s="36"/>
      <c r="I13" s="36"/>
      <c r="J13" s="36"/>
      <c r="K13" s="36"/>
      <c r="L13" s="36"/>
      <c r="M13" s="36"/>
      <c r="N13" s="36"/>
      <c r="O13" s="36"/>
      <c r="P13" s="36"/>
      <c r="Q13" s="36"/>
    </row>
    <row r="14">
      <c r="A14" s="36"/>
      <c r="B14" s="827" t="s">
        <v>306</v>
      </c>
      <c r="D14" s="848">
        <v>1000.0</v>
      </c>
      <c r="E14" s="849" t="s">
        <v>303</v>
      </c>
      <c r="F14" s="850"/>
      <c r="G14" s="851"/>
      <c r="H14" s="36"/>
      <c r="I14" s="15" t="s">
        <v>307</v>
      </c>
      <c r="J14" s="823">
        <f>( J11/J8)</f>
        <v>101646676154</v>
      </c>
      <c r="K14" s="36" t="str">
        <f t="shared" ref="K14:K16" si="1">FORMAT_NUMBER(J14)</f>
        <v>101.65 B</v>
      </c>
      <c r="L14" s="36"/>
      <c r="M14" s="36"/>
      <c r="N14" s="36"/>
      <c r="O14" s="36"/>
      <c r="P14" s="36"/>
      <c r="Q14" s="36"/>
    </row>
    <row r="15">
      <c r="A15" s="36"/>
      <c r="B15" s="852" t="s">
        <v>308</v>
      </c>
      <c r="C15" s="820"/>
      <c r="D15" s="820"/>
      <c r="E15" s="820"/>
      <c r="F15" s="820"/>
      <c r="G15" s="821"/>
      <c r="H15" s="36"/>
      <c r="I15" s="15" t="s">
        <v>309</v>
      </c>
      <c r="J15" s="823">
        <f>J12/J9</f>
        <v>90518216791</v>
      </c>
      <c r="K15" s="36" t="str">
        <f t="shared" si="1"/>
        <v>90.52 B</v>
      </c>
      <c r="L15" s="36"/>
      <c r="M15" s="36"/>
      <c r="N15" s="36"/>
      <c r="O15" s="36"/>
      <c r="P15" s="36"/>
      <c r="Q15" s="36"/>
    </row>
    <row r="16">
      <c r="A16" s="36"/>
      <c r="B16" s="853" t="s">
        <v>310</v>
      </c>
      <c r="C16" s="854">
        <f>'Master Sheet'!R20</f>
        <v>15</v>
      </c>
      <c r="D16" s="855"/>
      <c r="F16" s="856" t="s">
        <v>311</v>
      </c>
      <c r="G16" s="857">
        <f>IFERROR(VLOOKUP("Enemy Attack Level Skip",IDS_MOD_GENERATOR_SUBSTATS('Master Sheet'!AG38),4, FALSE), 0)+IFERROR(VLOOKUP("Enemy Attack Level Skip",IDS_MOD_GENERATOR_SUBSTATS('Master Sheet'!AG44),4, FALSE), 0)*'Master Sheet'!AG49</f>
        <v>0.088</v>
      </c>
      <c r="H16" s="36"/>
      <c r="I16" s="15" t="s">
        <v>312</v>
      </c>
      <c r="J16" s="823">
        <f>((J11-J12)/(J8-J9))</f>
        <v>200000000000</v>
      </c>
      <c r="K16" s="36" t="str">
        <f t="shared" si="1"/>
        <v>200 B</v>
      </c>
      <c r="L16" s="36"/>
      <c r="M16" s="36"/>
      <c r="N16" s="36"/>
      <c r="O16" s="36"/>
      <c r="P16" s="36"/>
      <c r="Q16" s="36"/>
    </row>
    <row r="17">
      <c r="A17" s="36"/>
      <c r="B17" s="853" t="s">
        <v>313</v>
      </c>
      <c r="C17" s="854">
        <f>'Master Sheet'!R16</f>
        <v>33</v>
      </c>
      <c r="F17" s="856" t="s">
        <v>314</v>
      </c>
      <c r="G17" s="857">
        <f>IFERROR(VLOOKUP("Enemy Health Level Skip",IDS_MOD_GENERATOR_SUBSTATS('Master Sheet'!AG38),4, FALSE), 0)+IFERROR(VLOOKUP("Enemy Health Level Skip",IDS_MOD_GENERATOR_SUBSTATS('Master Sheet'!AG44),4, FALSE), 0)*'Master Sheet'!AG49</f>
        <v>0.068</v>
      </c>
      <c r="H17" s="36"/>
      <c r="I17" s="36"/>
      <c r="J17" s="36"/>
      <c r="K17" s="36"/>
      <c r="L17" s="36"/>
      <c r="M17" s="36" t="s">
        <v>315</v>
      </c>
      <c r="N17" s="36" t="s">
        <v>316</v>
      </c>
      <c r="O17" s="36" t="s">
        <v>317</v>
      </c>
      <c r="P17" s="36"/>
      <c r="Q17" s="36"/>
    </row>
    <row r="18">
      <c r="A18" s="36"/>
      <c r="B18" s="858" t="s">
        <v>318</v>
      </c>
      <c r="C18" s="859">
        <f>IF('Master Sheet'!AA27,'Master Sheet'!Z8,-1)</f>
        <v>0</v>
      </c>
      <c r="F18" s="856" t="s">
        <v>319</v>
      </c>
      <c r="G18" s="860">
        <f>'Master Sheet'!Z22</f>
        <v>0</v>
      </c>
      <c r="H18" s="36"/>
      <c r="I18" s="36" t="s">
        <v>320</v>
      </c>
      <c r="J18" s="823">
        <f>(J14*J8+(N18-D13)*J16)/O18</f>
        <v>102557589057</v>
      </c>
      <c r="K18" s="36" t="str">
        <f>FORMAT_NUMBER(J18)</f>
        <v>102.56 B</v>
      </c>
      <c r="L18" s="36"/>
      <c r="M18" s="36">
        <f>LET(
TELS,N4*(C16/100+1),
D13*(1-TELS))</f>
        <v>4882.5805</v>
      </c>
      <c r="N18" s="36">
        <f>LET(
   TnELS, N4 * ((C16+1)/100 + 1),
   N, 20,
   GeoSum, (TnELS * (TnELS^N - 1)) / (TnELS - 1),
   Result, (GeoSum + 1) * M18,
   Result
)
</f>
        <v>10091.96777</v>
      </c>
      <c r="O18" s="36">
        <f>N18-(J7*0.9)</f>
        <v>9929.967769</v>
      </c>
      <c r="P18" s="36"/>
      <c r="Q18" s="36"/>
    </row>
    <row r="19">
      <c r="A19" s="36"/>
      <c r="B19" s="843"/>
      <c r="F19" s="856" t="s">
        <v>321</v>
      </c>
      <c r="G19" s="860">
        <f>'Master Sheet'!Z23</f>
        <v>0</v>
      </c>
      <c r="H19" s="36"/>
      <c r="I19" s="36"/>
      <c r="J19" s="36"/>
      <c r="K19" s="36"/>
      <c r="L19" s="36"/>
      <c r="M19" s="36"/>
      <c r="N19" s="36"/>
      <c r="O19" s="36"/>
      <c r="P19" s="36"/>
      <c r="Q19" s="36"/>
    </row>
    <row r="20">
      <c r="A20" s="36"/>
      <c r="B20" s="853" t="s">
        <v>322</v>
      </c>
      <c r="C20" s="854">
        <f>'Master Sheet'!D49</f>
        <v>330</v>
      </c>
      <c r="F20" s="856" t="s">
        <v>323</v>
      </c>
      <c r="G20" s="861">
        <f>'Master Sheet'!Z5</f>
        <v>20</v>
      </c>
      <c r="H20" s="36"/>
      <c r="I20" s="36"/>
      <c r="J20" s="36"/>
      <c r="K20" s="36"/>
      <c r="L20" s="36"/>
      <c r="M20" s="36"/>
      <c r="N20" s="36"/>
      <c r="O20" s="36"/>
      <c r="P20" s="36"/>
      <c r="Q20" s="36"/>
    </row>
    <row r="21">
      <c r="A21" s="36"/>
      <c r="B21" s="853" t="s">
        <v>324</v>
      </c>
      <c r="C21" s="854">
        <f>'Master Sheet'!D50</f>
        <v>320</v>
      </c>
      <c r="F21" s="856" t="s">
        <v>325</v>
      </c>
      <c r="G21" s="861">
        <f>'Master Sheet'!Z6</f>
        <v>20</v>
      </c>
      <c r="H21" s="36"/>
      <c r="I21" s="36"/>
      <c r="J21" s="36"/>
      <c r="K21" s="36"/>
      <c r="L21" s="36"/>
      <c r="M21" s="36"/>
      <c r="N21" s="36"/>
      <c r="O21" s="36"/>
      <c r="P21" s="36"/>
      <c r="Q21" s="36"/>
    </row>
    <row r="22">
      <c r="A22" s="36"/>
      <c r="B22" s="853" t="s">
        <v>326</v>
      </c>
      <c r="C22" s="854">
        <f>IF(OR(D4, 'Master Sheet'!E49=0),
  699,
  'Master Sheet'!E50)</f>
        <v>699</v>
      </c>
      <c r="F22" s="856" t="s">
        <v>327</v>
      </c>
      <c r="G22" s="862">
        <f>'Master Sheet'!Z14</f>
        <v>0.02</v>
      </c>
      <c r="H22" s="36"/>
      <c r="I22" s="36"/>
      <c r="J22" s="36"/>
      <c r="K22" s="36"/>
      <c r="L22" s="36"/>
      <c r="M22" s="36"/>
      <c r="N22" s="36"/>
      <c r="O22" s="36"/>
      <c r="P22" s="36"/>
      <c r="Q22" s="36"/>
    </row>
    <row r="23">
      <c r="A23" s="36"/>
      <c r="B23" s="863" t="s">
        <v>328</v>
      </c>
      <c r="C23" s="864">
        <f>IF(OR(D4, 'Master Sheet'!E50=0),
  699,
  'Master Sheet'!E49)</f>
        <v>699</v>
      </c>
      <c r="D23" s="850"/>
      <c r="E23" s="850"/>
      <c r="F23" s="865" t="s">
        <v>329</v>
      </c>
      <c r="G23" s="866">
        <f>'Master Sheet'!Z15</f>
        <v>0.02</v>
      </c>
      <c r="H23" s="36"/>
      <c r="I23" s="36"/>
      <c r="J23" s="36"/>
      <c r="K23" s="36"/>
      <c r="L23" s="36"/>
      <c r="M23" s="36"/>
      <c r="N23" s="36"/>
      <c r="O23" s="36"/>
      <c r="P23" s="36"/>
      <c r="Q23" s="36"/>
    </row>
    <row r="24">
      <c r="A24" s="36"/>
      <c r="B24" s="36"/>
      <c r="C24" s="36"/>
      <c r="D24" s="36"/>
      <c r="E24" s="36"/>
      <c r="F24" s="36"/>
      <c r="G24" s="36"/>
      <c r="H24" s="36"/>
      <c r="I24" s="36"/>
      <c r="J24" s="36"/>
      <c r="K24" s="36"/>
      <c r="L24" s="36"/>
      <c r="M24" s="36"/>
      <c r="N24" s="36"/>
      <c r="O24" s="36"/>
      <c r="P24" s="36"/>
      <c r="Q24" s="36"/>
    </row>
    <row r="25">
      <c r="A25" s="36"/>
      <c r="B25" s="36"/>
      <c r="C25" s="867"/>
      <c r="D25" s="36"/>
      <c r="E25" s="36"/>
      <c r="F25" s="36"/>
      <c r="G25" s="36"/>
      <c r="H25" s="36"/>
      <c r="I25" s="36"/>
      <c r="J25" s="36"/>
      <c r="K25" s="36"/>
      <c r="L25" s="36"/>
      <c r="M25" s="36"/>
      <c r="N25" s="36"/>
      <c r="O25" s="36"/>
      <c r="P25" s="36"/>
      <c r="Q25" s="36"/>
    </row>
    <row r="26">
      <c r="A26" s="36"/>
      <c r="B26" s="36"/>
      <c r="C26" s="867"/>
      <c r="D26" s="36"/>
      <c r="E26" s="36"/>
      <c r="F26" s="36"/>
      <c r="G26" s="36"/>
      <c r="H26" s="36"/>
      <c r="I26" s="36"/>
      <c r="J26" s="36"/>
      <c r="K26" s="36"/>
      <c r="L26" s="36"/>
      <c r="M26" s="36"/>
      <c r="N26" s="36"/>
      <c r="O26" s="36"/>
      <c r="P26" s="36"/>
      <c r="Q26" s="36"/>
    </row>
  </sheetData>
  <mergeCells count="27">
    <mergeCell ref="B3:E3"/>
    <mergeCell ref="F3:G3"/>
    <mergeCell ref="B4:C4"/>
    <mergeCell ref="D4:E4"/>
    <mergeCell ref="F4:G4"/>
    <mergeCell ref="D5:E5"/>
    <mergeCell ref="F5:G5"/>
    <mergeCell ref="B5:C5"/>
    <mergeCell ref="B6:C6"/>
    <mergeCell ref="D6:E6"/>
    <mergeCell ref="F6:G6"/>
    <mergeCell ref="B7:C8"/>
    <mergeCell ref="F7:G7"/>
    <mergeCell ref="F8:G8"/>
    <mergeCell ref="B13:C13"/>
    <mergeCell ref="B14:C14"/>
    <mergeCell ref="D16:E23"/>
    <mergeCell ref="B18:B19"/>
    <mergeCell ref="C18:C19"/>
    <mergeCell ref="D7:E8"/>
    <mergeCell ref="B9:E10"/>
    <mergeCell ref="F9:G14"/>
    <mergeCell ref="B11:C11"/>
    <mergeCell ref="D11:E11"/>
    <mergeCell ref="B12:C12"/>
    <mergeCell ref="D13:E13"/>
    <mergeCell ref="B15:G15"/>
  </mergeCells>
  <conditionalFormatting sqref="C16:C23 G16:G23">
    <cfRule type="expression" dxfId="7" priority="1">
      <formula>NOT(ISFORMULA(C16))</formula>
    </cfRule>
  </conditionalFormatting>
  <conditionalFormatting sqref="B6:E6">
    <cfRule type="expression" dxfId="29" priority="2">
      <formula>"IF"</formula>
    </cfRule>
  </conditionalFormatting>
  <conditionalFormatting sqref="B5:E6">
    <cfRule type="expression" dxfId="30" priority="3">
      <formula>$D$4=FALSE</formula>
    </cfRule>
  </conditionalFormatting>
  <dataValidations>
    <dataValidation type="list" allowBlank="1" showErrorMessage="1" sqref="E12 E14">
      <formula1>"k,M,B,T,q,Q"</formula1>
    </dataValidation>
    <dataValidation type="list" allowBlank="1" showErrorMessage="1" sqref="D7">
      <formula1>"Attack (ehp),Health (GC)"</formula1>
    </dataValidation>
    <dataValidation type="list" allowBlank="1" showErrorMessage="1" sqref="C18">
      <formula1>"-1,0,1,2,3,4,5,6,7,8,9"</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ummaryRight="0"/>
  </sheetPr>
  <sheetViews>
    <sheetView workbookViewId="0"/>
  </sheetViews>
  <sheetFormatPr customHeight="1" defaultColWidth="12.63" defaultRowHeight="15.75"/>
  <cols>
    <col customWidth="1" min="1" max="1" width="3.75"/>
    <col customWidth="1" min="8" max="8" width="3.75"/>
  </cols>
  <sheetData>
    <row r="1">
      <c r="A1" s="868"/>
      <c r="B1" s="73" t="s">
        <v>102</v>
      </c>
      <c r="C1" s="73" t="s">
        <v>124</v>
      </c>
      <c r="D1" s="869" t="s">
        <v>138</v>
      </c>
      <c r="E1" s="869" t="s">
        <v>207</v>
      </c>
      <c r="F1" s="73" t="s">
        <v>330</v>
      </c>
      <c r="G1" s="73" t="s">
        <v>331</v>
      </c>
      <c r="H1" s="870"/>
      <c r="I1" s="73" t="s">
        <v>102</v>
      </c>
      <c r="J1" s="73" t="s">
        <v>204</v>
      </c>
      <c r="K1" s="73" t="s">
        <v>122</v>
      </c>
      <c r="L1" s="73" t="s">
        <v>205</v>
      </c>
      <c r="M1" s="73" t="s">
        <v>206</v>
      </c>
      <c r="N1" s="73" t="s">
        <v>112</v>
      </c>
      <c r="O1" s="73" t="s">
        <v>124</v>
      </c>
      <c r="P1" s="73" t="s">
        <v>138</v>
      </c>
      <c r="Q1" s="73" t="s">
        <v>207</v>
      </c>
      <c r="R1" s="73" t="s">
        <v>208</v>
      </c>
      <c r="S1" s="73" t="s">
        <v>163</v>
      </c>
      <c r="T1" s="73" t="s">
        <v>209</v>
      </c>
      <c r="U1" s="73" t="s">
        <v>210</v>
      </c>
      <c r="V1" s="195" t="s">
        <v>211</v>
      </c>
      <c r="W1" s="73" t="s">
        <v>212</v>
      </c>
      <c r="X1" s="73" t="s">
        <v>157</v>
      </c>
      <c r="Y1" s="73" t="s">
        <v>213</v>
      </c>
      <c r="Z1" s="869" t="s">
        <v>214</v>
      </c>
      <c r="AA1" s="73"/>
      <c r="AB1" s="73"/>
    </row>
    <row r="2">
      <c r="A2" s="871" t="s">
        <v>0</v>
      </c>
      <c r="B2" s="872">
        <v>3.0</v>
      </c>
      <c r="C2" s="872">
        <v>5.0</v>
      </c>
      <c r="D2" s="872">
        <v>5.0E-4</v>
      </c>
      <c r="E2" s="872">
        <v>0.0</v>
      </c>
      <c r="F2" s="872">
        <v>0.0</v>
      </c>
      <c r="G2" s="872">
        <v>0.0</v>
      </c>
      <c r="H2" s="873" t="s">
        <v>332</v>
      </c>
      <c r="I2" s="874">
        <v>0.0</v>
      </c>
      <c r="J2" s="874">
        <v>0.0</v>
      </c>
      <c r="K2" s="874">
        <v>0.0</v>
      </c>
      <c r="L2" s="874">
        <v>0.0</v>
      </c>
      <c r="M2" s="874">
        <v>0.0</v>
      </c>
      <c r="N2" s="874">
        <v>0.0</v>
      </c>
      <c r="O2" s="874">
        <v>0.0</v>
      </c>
      <c r="P2" s="874">
        <v>0.0</v>
      </c>
      <c r="Q2" s="874">
        <v>0.0</v>
      </c>
      <c r="R2" s="874">
        <v>0.0</v>
      </c>
      <c r="S2" s="874">
        <v>0.0</v>
      </c>
      <c r="T2" s="874">
        <v>0.0</v>
      </c>
      <c r="U2" s="874">
        <v>0.0</v>
      </c>
      <c r="V2" s="874">
        <v>0.0</v>
      </c>
      <c r="W2" s="874">
        <v>0.0</v>
      </c>
      <c r="X2" s="874">
        <v>0.0</v>
      </c>
      <c r="Y2" s="874">
        <v>0.0</v>
      </c>
      <c r="Z2" s="874">
        <v>0.0</v>
      </c>
      <c r="AA2" s="875"/>
      <c r="AB2" s="875"/>
    </row>
    <row r="3">
      <c r="A3" s="224"/>
      <c r="B3" s="872">
        <v>5.877</v>
      </c>
      <c r="C3" s="872">
        <v>10.0</v>
      </c>
      <c r="D3" s="872">
        <v>0.0399999991059303</v>
      </c>
      <c r="E3" s="872">
        <v>0.504999995231628</v>
      </c>
      <c r="F3" s="872">
        <v>0.7939773798</v>
      </c>
      <c r="G3" s="872">
        <v>0.09927235544</v>
      </c>
      <c r="H3" s="224"/>
      <c r="I3" s="874">
        <v>5.0E9</v>
      </c>
      <c r="J3" s="874">
        <v>5.0E9</v>
      </c>
      <c r="K3" s="874">
        <v>5.0E9</v>
      </c>
      <c r="L3" s="874">
        <v>5.0E9</v>
      </c>
      <c r="M3" s="874">
        <v>5.0E9</v>
      </c>
      <c r="N3" s="874">
        <v>5.0E9</v>
      </c>
      <c r="O3" s="874">
        <v>5.0E9</v>
      </c>
      <c r="P3" s="874">
        <v>5.0E9</v>
      </c>
      <c r="Q3" s="874">
        <v>5.0E9</v>
      </c>
      <c r="R3" s="874">
        <v>5.0E9</v>
      </c>
      <c r="S3" s="874">
        <v>5.0E9</v>
      </c>
      <c r="T3" s="874">
        <v>5.0E9</v>
      </c>
      <c r="U3" s="874">
        <v>5.0E9</v>
      </c>
      <c r="V3" s="874">
        <v>5.0E9</v>
      </c>
      <c r="W3" s="874">
        <v>5.0E9</v>
      </c>
      <c r="X3" s="874">
        <v>5.0E9</v>
      </c>
      <c r="Y3" s="874">
        <v>5.0E9</v>
      </c>
      <c r="Z3" s="874">
        <v>5.0E9</v>
      </c>
      <c r="AA3" s="875"/>
      <c r="AB3" s="875"/>
    </row>
    <row r="4">
      <c r="A4" s="224"/>
      <c r="B4" s="872">
        <v>8.908</v>
      </c>
      <c r="C4" s="872">
        <v>15.0769996643066</v>
      </c>
      <c r="D4" s="872">
        <v>0.0884999982118607</v>
      </c>
      <c r="E4" s="872">
        <v>1.51994898564816</v>
      </c>
      <c r="F4" s="872">
        <v>1.576000094</v>
      </c>
      <c r="G4" s="872">
        <v>0.1970999986</v>
      </c>
      <c r="H4" s="224"/>
      <c r="I4" s="874">
        <v>5.04E9</v>
      </c>
      <c r="J4" s="874">
        <v>5.04E9</v>
      </c>
      <c r="K4" s="874">
        <v>5.04E9</v>
      </c>
      <c r="L4" s="874">
        <v>5.04E9</v>
      </c>
      <c r="M4" s="874">
        <v>5.04E9</v>
      </c>
      <c r="N4" s="874">
        <v>6.1E9</v>
      </c>
      <c r="O4" s="874">
        <v>5.04E9</v>
      </c>
      <c r="P4" s="874">
        <v>5.04E9</v>
      </c>
      <c r="Q4" s="874">
        <v>5.04E9</v>
      </c>
      <c r="R4" s="874">
        <v>5.04E9</v>
      </c>
      <c r="S4" s="874">
        <v>5.04E9</v>
      </c>
      <c r="T4" s="874">
        <v>6.25E9</v>
      </c>
      <c r="U4" s="874">
        <v>5.04E9</v>
      </c>
      <c r="V4" s="874">
        <v>6.25E9</v>
      </c>
      <c r="W4" s="874">
        <v>6.25E9</v>
      </c>
      <c r="X4" s="874">
        <v>6.05E9</v>
      </c>
      <c r="Y4" s="874">
        <v>5.04E9</v>
      </c>
      <c r="Z4" s="874">
        <v>1.55E10</v>
      </c>
      <c r="AA4" s="875"/>
      <c r="AB4" s="875"/>
    </row>
    <row r="5">
      <c r="A5" s="224"/>
      <c r="B5" s="872">
        <v>12.093</v>
      </c>
      <c r="C5" s="872">
        <v>20.097185602328</v>
      </c>
      <c r="D5" s="872">
        <v>0.151587081611156</v>
      </c>
      <c r="E5" s="872">
        <v>2.55563557463949</v>
      </c>
      <c r="F5" s="872">
        <v>2.346203089</v>
      </c>
      <c r="G5" s="872">
        <v>0.2934987247</v>
      </c>
      <c r="H5" s="224"/>
      <c r="I5" s="874">
        <v>5.11E9</v>
      </c>
      <c r="J5" s="874">
        <v>5.11E9</v>
      </c>
      <c r="K5" s="874">
        <v>5.11E9</v>
      </c>
      <c r="L5" s="874">
        <v>5.11E9</v>
      </c>
      <c r="M5" s="874">
        <v>5.11E9</v>
      </c>
      <c r="N5" s="874">
        <v>2.358E10</v>
      </c>
      <c r="O5" s="874">
        <v>5.11E9</v>
      </c>
      <c r="P5" s="874">
        <v>5.11E9</v>
      </c>
      <c r="Q5" s="874">
        <v>5.11E9</v>
      </c>
      <c r="R5" s="874">
        <v>5.11E9</v>
      </c>
      <c r="S5" s="874">
        <v>5.11E9</v>
      </c>
      <c r="T5" s="874">
        <v>1.246E10</v>
      </c>
      <c r="U5" s="874">
        <v>5.11E9</v>
      </c>
      <c r="V5" s="874">
        <v>1.246E10</v>
      </c>
      <c r="W5" s="874">
        <v>1.246E10</v>
      </c>
      <c r="X5" s="874">
        <v>2.225E10</v>
      </c>
      <c r="Y5" s="874">
        <v>5.11E9</v>
      </c>
      <c r="Z5" s="874">
        <v>2.0298E11</v>
      </c>
      <c r="AA5" s="875"/>
      <c r="AB5" s="875"/>
    </row>
    <row r="6">
      <c r="A6" s="224"/>
      <c r="B6" s="872">
        <v>15.432</v>
      </c>
      <c r="C6" s="872">
        <v>25.9979132943818</v>
      </c>
      <c r="D6" s="872">
        <v>0.234163052797318</v>
      </c>
      <c r="E6" s="872">
        <v>3.62399103538218</v>
      </c>
      <c r="F6" s="872">
        <v>3.104720116</v>
      </c>
      <c r="G6" s="872">
        <v>0.3884840906</v>
      </c>
      <c r="H6" s="224"/>
      <c r="I6" s="874">
        <v>5.2E9</v>
      </c>
      <c r="J6" s="874">
        <v>5.2E9</v>
      </c>
      <c r="K6" s="874">
        <v>5.2E9</v>
      </c>
      <c r="L6" s="874">
        <v>5.2E9</v>
      </c>
      <c r="M6" s="874">
        <v>5.2E9</v>
      </c>
      <c r="N6" s="874">
        <v>1.062E11</v>
      </c>
      <c r="O6" s="874">
        <v>5.2E9</v>
      </c>
      <c r="P6" s="874">
        <v>5.2E9</v>
      </c>
      <c r="Q6" s="874">
        <v>5.2E9</v>
      </c>
      <c r="R6" s="874">
        <v>5.2E9</v>
      </c>
      <c r="S6" s="874">
        <v>5.2E9</v>
      </c>
      <c r="T6" s="874">
        <v>2.742E10</v>
      </c>
      <c r="U6" s="874">
        <v>5.2E9</v>
      </c>
      <c r="V6" s="874">
        <v>2.742E10</v>
      </c>
      <c r="W6" s="874">
        <v>2.742E10</v>
      </c>
      <c r="X6" s="874">
        <v>9.556E10</v>
      </c>
      <c r="Y6" s="874">
        <v>5.2E9</v>
      </c>
      <c r="Z6" s="874">
        <v>1.13E12</v>
      </c>
      <c r="AA6" s="875"/>
      <c r="AB6" s="875"/>
    </row>
    <row r="7">
      <c r="A7" s="224"/>
      <c r="B7" s="872">
        <v>18.925</v>
      </c>
      <c r="C7" s="872">
        <v>32.6758214062247</v>
      </c>
      <c r="D7" s="872">
        <v>0.33963343000412</v>
      </c>
      <c r="E7" s="872">
        <v>4.73464229221187</v>
      </c>
      <c r="F7" s="872">
        <v>3.851683378</v>
      </c>
      <c r="G7" s="872">
        <v>0.4820716083</v>
      </c>
      <c r="H7" s="224"/>
      <c r="I7" s="874">
        <v>5.33E9</v>
      </c>
      <c r="J7" s="874">
        <v>5.33E9</v>
      </c>
      <c r="K7" s="874">
        <v>5.33E9</v>
      </c>
      <c r="L7" s="874">
        <v>5.33E9</v>
      </c>
      <c r="M7" s="874">
        <v>5.33E9</v>
      </c>
      <c r="N7" s="874">
        <v>3.4319E11</v>
      </c>
      <c r="O7" s="874">
        <v>5.33E9</v>
      </c>
      <c r="P7" s="874">
        <v>5.33E9</v>
      </c>
      <c r="Q7" s="874">
        <v>5.33E9</v>
      </c>
      <c r="R7" s="874">
        <v>5.33E9</v>
      </c>
      <c r="S7" s="874">
        <v>5.33E9</v>
      </c>
      <c r="T7" s="874">
        <v>5.45E10</v>
      </c>
      <c r="U7" s="874">
        <v>5.33E9</v>
      </c>
      <c r="V7" s="874">
        <v>5.45E10</v>
      </c>
      <c r="W7" s="874">
        <v>5.45E10</v>
      </c>
      <c r="X7" s="874">
        <v>2.9927E11</v>
      </c>
      <c r="Y7" s="874">
        <v>5.33E9</v>
      </c>
      <c r="Z7" s="874">
        <v>3.89E12</v>
      </c>
      <c r="AA7" s="875"/>
      <c r="AB7" s="875"/>
    </row>
    <row r="8">
      <c r="A8" s="224"/>
      <c r="B8" s="872">
        <v>22.572</v>
      </c>
      <c r="C8" s="872">
        <v>40.310564520516</v>
      </c>
      <c r="D8" s="872">
        <v>0.470741903662682</v>
      </c>
      <c r="E8" s="872">
        <v>5.89604257541594</v>
      </c>
      <c r="F8" s="872">
        <v>4.587224007</v>
      </c>
      <c r="G8" s="872">
        <v>0.5742766261</v>
      </c>
      <c r="H8" s="224"/>
      <c r="I8" s="874">
        <v>5.49E9</v>
      </c>
      <c r="J8" s="874">
        <v>5.49E9</v>
      </c>
      <c r="K8" s="874">
        <v>5.49E9</v>
      </c>
      <c r="L8" s="874">
        <v>5.49E9</v>
      </c>
      <c r="M8" s="874">
        <v>5.49E9</v>
      </c>
      <c r="N8" s="874">
        <v>8.6783E11</v>
      </c>
      <c r="O8" s="874">
        <v>5.49E9</v>
      </c>
      <c r="P8" s="874">
        <v>5.49E9</v>
      </c>
      <c r="Q8" s="874">
        <v>5.49E9</v>
      </c>
      <c r="R8" s="874">
        <v>5.49E9</v>
      </c>
      <c r="S8" s="874">
        <v>5.49E9</v>
      </c>
      <c r="T8" s="874">
        <v>9.685E10</v>
      </c>
      <c r="U8" s="874">
        <v>5.49E9</v>
      </c>
      <c r="V8" s="874">
        <v>9.685E10</v>
      </c>
      <c r="W8" s="874">
        <v>9.685E10</v>
      </c>
      <c r="X8" s="874">
        <v>7.3939E11</v>
      </c>
      <c r="Y8" s="874">
        <v>5.49E9</v>
      </c>
      <c r="Z8" s="874">
        <v>1.014E13</v>
      </c>
      <c r="AA8" s="875"/>
      <c r="AB8" s="875"/>
    </row>
    <row r="9">
      <c r="A9" s="224"/>
      <c r="B9" s="872">
        <v>26.373</v>
      </c>
      <c r="C9" s="872">
        <v>49.0693445982124</v>
      </c>
      <c r="D9" s="872">
        <v>0.62983224606514</v>
      </c>
      <c r="E9" s="872">
        <v>7.1158777927034</v>
      </c>
      <c r="F9" s="872">
        <v>5.311471462</v>
      </c>
      <c r="G9" s="872">
        <v>0.6651141644</v>
      </c>
      <c r="H9" s="224"/>
      <c r="I9" s="874">
        <v>5.7E9</v>
      </c>
      <c r="J9" s="874">
        <v>5.7E9</v>
      </c>
      <c r="K9" s="874">
        <v>5.7E9</v>
      </c>
      <c r="L9" s="874">
        <v>5.7E9</v>
      </c>
      <c r="M9" s="874">
        <v>5.7E9</v>
      </c>
      <c r="N9" s="874">
        <v>1.86E12</v>
      </c>
      <c r="O9" s="874">
        <v>5.7E9</v>
      </c>
      <c r="P9" s="874">
        <v>5.7E9</v>
      </c>
      <c r="Q9" s="874">
        <v>5.7E9</v>
      </c>
      <c r="R9" s="874">
        <v>5.7E9</v>
      </c>
      <c r="S9" s="874">
        <v>5.7E9</v>
      </c>
      <c r="T9" s="874">
        <v>1.5745E11</v>
      </c>
      <c r="U9" s="874">
        <v>5.7E9</v>
      </c>
      <c r="V9" s="874">
        <v>1.5745E11</v>
      </c>
      <c r="W9" s="874">
        <v>1.5745E11</v>
      </c>
      <c r="X9" s="874">
        <v>1.56E12</v>
      </c>
      <c r="Y9" s="874">
        <v>5.7E9</v>
      </c>
      <c r="Z9" s="874">
        <v>2.219E13</v>
      </c>
      <c r="AA9" s="875"/>
      <c r="AB9" s="875"/>
    </row>
    <row r="10">
      <c r="A10" s="224"/>
      <c r="B10" s="872">
        <v>30.328</v>
      </c>
      <c r="C10" s="872">
        <v>59.1100979674611</v>
      </c>
      <c r="D10" s="872">
        <v>0.81897399187088</v>
      </c>
      <c r="E10" s="872">
        <v>8.40127638510422</v>
      </c>
      <c r="F10" s="872">
        <v>6.024554729</v>
      </c>
      <c r="G10" s="872">
        <v>0.754599452</v>
      </c>
      <c r="H10" s="224"/>
      <c r="I10" s="874">
        <v>5.93E9</v>
      </c>
      <c r="J10" s="874">
        <v>5.93E9</v>
      </c>
      <c r="K10" s="874">
        <v>5.93E9</v>
      </c>
      <c r="L10" s="874">
        <v>5.93E9</v>
      </c>
      <c r="M10" s="874">
        <v>5.93E9</v>
      </c>
      <c r="N10" s="874">
        <v>3.55E12</v>
      </c>
      <c r="O10" s="874">
        <v>5.93E9</v>
      </c>
      <c r="P10" s="874">
        <v>5.93E9</v>
      </c>
      <c r="Q10" s="874">
        <v>5.93E9</v>
      </c>
      <c r="R10" s="874">
        <v>5.93E9</v>
      </c>
      <c r="S10" s="874">
        <v>5.93E9</v>
      </c>
      <c r="T10" s="874">
        <v>2.3917E11</v>
      </c>
      <c r="U10" s="874">
        <v>5.93E9</v>
      </c>
      <c r="V10" s="874">
        <v>2.3917E11</v>
      </c>
      <c r="W10" s="874">
        <v>2.3917E11</v>
      </c>
      <c r="X10" s="874">
        <v>2.92E12</v>
      </c>
      <c r="Y10" s="874">
        <v>5.93E9</v>
      </c>
      <c r="Z10" s="874">
        <v>4.305E13</v>
      </c>
      <c r="AA10" s="875"/>
      <c r="AB10" s="875"/>
    </row>
    <row r="11">
      <c r="A11" s="224"/>
      <c r="B11" s="872">
        <v>34.437</v>
      </c>
      <c r="C11" s="872">
        <v>70.5834860234063</v>
      </c>
      <c r="D11" s="872">
        <v>1.04003383612633</v>
      </c>
      <c r="E11" s="872">
        <v>9.75893539106834</v>
      </c>
      <c r="F11" s="872">
        <v>6.726599693</v>
      </c>
      <c r="G11" s="872">
        <v>0.8427472115</v>
      </c>
      <c r="H11" s="224"/>
      <c r="I11" s="874">
        <v>6.21E9</v>
      </c>
      <c r="J11" s="874">
        <v>6.21E9</v>
      </c>
      <c r="K11" s="874">
        <v>6.21E9</v>
      </c>
      <c r="L11" s="874">
        <v>6.21E9</v>
      </c>
      <c r="M11" s="874">
        <v>6.21E9</v>
      </c>
      <c r="N11" s="874">
        <v>6.21E12</v>
      </c>
      <c r="O11" s="874">
        <v>6.21E9</v>
      </c>
      <c r="P11" s="874">
        <v>6.21E9</v>
      </c>
      <c r="Q11" s="874">
        <v>6.21E9</v>
      </c>
      <c r="R11" s="874">
        <v>6.21E9</v>
      </c>
      <c r="S11" s="874">
        <v>6.21E9</v>
      </c>
      <c r="T11" s="874">
        <v>3.4479E11</v>
      </c>
      <c r="U11" s="874">
        <v>6.21E9</v>
      </c>
      <c r="V11" s="874">
        <v>3.4479E11</v>
      </c>
      <c r="W11" s="874">
        <v>3.4479E11</v>
      </c>
      <c r="X11" s="874">
        <v>5.05E12</v>
      </c>
      <c r="Y11" s="874">
        <v>6.21E9</v>
      </c>
      <c r="Z11" s="874">
        <v>7.644E13</v>
      </c>
      <c r="AA11" s="875"/>
      <c r="AB11" s="875"/>
    </row>
    <row r="12">
      <c r="A12" s="224"/>
      <c r="B12" s="872">
        <v>38.7</v>
      </c>
      <c r="C12" s="872">
        <v>83.634214884587</v>
      </c>
      <c r="D12" s="872">
        <v>1.29472118282318</v>
      </c>
      <c r="E12" s="872">
        <v>11.1952039480022</v>
      </c>
      <c r="F12" s="872">
        <v>7.417732716</v>
      </c>
      <c r="G12" s="872">
        <v>0.9295721054</v>
      </c>
      <c r="H12" s="224"/>
      <c r="I12" s="874">
        <v>6.53E9</v>
      </c>
      <c r="J12" s="874">
        <v>6.53E9</v>
      </c>
      <c r="K12" s="874">
        <v>6.53E9</v>
      </c>
      <c r="L12" s="874">
        <v>6.53E9</v>
      </c>
      <c r="M12" s="874">
        <v>6.53E9</v>
      </c>
      <c r="N12" s="874">
        <v>1.019E13</v>
      </c>
      <c r="O12" s="874">
        <v>6.53E9</v>
      </c>
      <c r="P12" s="874">
        <v>6.53E9</v>
      </c>
      <c r="Q12" s="874">
        <v>6.53E9</v>
      </c>
      <c r="R12" s="874">
        <v>6.53E9</v>
      </c>
      <c r="S12" s="874">
        <v>6.53E9</v>
      </c>
      <c r="T12" s="874">
        <v>4.7701E11</v>
      </c>
      <c r="U12" s="874">
        <v>6.53E9</v>
      </c>
      <c r="V12" s="874">
        <v>4.7701E11</v>
      </c>
      <c r="W12" s="874">
        <v>4.7701E11</v>
      </c>
      <c r="X12" s="874">
        <v>8.18E12</v>
      </c>
      <c r="Y12" s="874">
        <v>6.53E9</v>
      </c>
      <c r="Z12" s="874">
        <v>1.2685E14</v>
      </c>
      <c r="AA12" s="875"/>
      <c r="AB12" s="875"/>
    </row>
    <row r="13">
      <c r="A13" s="224"/>
      <c r="B13" s="872">
        <v>43.117</v>
      </c>
      <c r="C13" s="872">
        <v>98.4019699937853</v>
      </c>
      <c r="D13" s="872">
        <v>1.58461926031113</v>
      </c>
      <c r="E13" s="872">
        <v>12.7161425721298</v>
      </c>
      <c r="F13" s="872">
        <v>8.098078728</v>
      </c>
      <c r="G13" s="872">
        <v>1.015088916</v>
      </c>
      <c r="H13" s="224"/>
      <c r="I13" s="874">
        <v>6.88E9</v>
      </c>
      <c r="J13" s="874">
        <v>6.88E9</v>
      </c>
      <c r="K13" s="874">
        <v>6.88E9</v>
      </c>
      <c r="L13" s="874">
        <v>6.88E9</v>
      </c>
      <c r="M13" s="874">
        <v>6.88E9</v>
      </c>
      <c r="N13" s="874">
        <v>1.585E13</v>
      </c>
      <c r="O13" s="874">
        <v>6.88E9</v>
      </c>
      <c r="P13" s="874">
        <v>6.88E9</v>
      </c>
      <c r="Q13" s="874">
        <v>6.88E9</v>
      </c>
      <c r="R13" s="874">
        <v>6.88E9</v>
      </c>
      <c r="S13" s="874">
        <v>6.88E9</v>
      </c>
      <c r="T13" s="874">
        <v>6.3846E11</v>
      </c>
      <c r="U13" s="874">
        <v>6.88E9</v>
      </c>
      <c r="V13" s="874">
        <v>6.3846E11</v>
      </c>
      <c r="W13" s="874">
        <v>6.3846E11</v>
      </c>
      <c r="X13" s="874">
        <v>1.259E13</v>
      </c>
      <c r="Y13" s="874">
        <v>6.88E9</v>
      </c>
      <c r="Z13" s="874">
        <v>1.9954E14</v>
      </c>
      <c r="AA13" s="875"/>
      <c r="AB13" s="875"/>
    </row>
    <row r="14">
      <c r="A14" s="224"/>
      <c r="B14" s="872">
        <v>47.688</v>
      </c>
      <c r="C14" s="872">
        <v>115.022163798705</v>
      </c>
      <c r="D14" s="872">
        <v>1.91120656275749</v>
      </c>
      <c r="E14" s="872">
        <v>14.3275659759206</v>
      </c>
      <c r="F14" s="872">
        <v>8.767760277</v>
      </c>
      <c r="G14" s="872">
        <v>1.099311948</v>
      </c>
      <c r="H14" s="224"/>
      <c r="I14" s="874">
        <v>7.28E9</v>
      </c>
      <c r="J14" s="874">
        <v>7.28E9</v>
      </c>
      <c r="K14" s="874">
        <v>7.28E9</v>
      </c>
      <c r="L14" s="874">
        <v>7.28E9</v>
      </c>
      <c r="M14" s="874">
        <v>7.28E9</v>
      </c>
      <c r="N14" s="874">
        <v>2.366E13</v>
      </c>
      <c r="O14" s="874">
        <v>7.28E9</v>
      </c>
      <c r="P14" s="874">
        <v>7.28E9</v>
      </c>
      <c r="Q14" s="874">
        <v>7.28E9</v>
      </c>
      <c r="R14" s="874">
        <v>7.28E9</v>
      </c>
      <c r="S14" s="874">
        <v>7.28E9</v>
      </c>
      <c r="T14" s="874">
        <v>8.317E11</v>
      </c>
      <c r="U14" s="874">
        <v>7.28E9</v>
      </c>
      <c r="V14" s="874">
        <v>8.317E11</v>
      </c>
      <c r="W14" s="874">
        <v>8.317E11</v>
      </c>
      <c r="X14" s="874">
        <v>1.861E13</v>
      </c>
      <c r="Y14" s="874">
        <v>7.28E9</v>
      </c>
      <c r="Z14" s="874">
        <v>3.0061E14</v>
      </c>
      <c r="AA14" s="875"/>
      <c r="AB14" s="875"/>
    </row>
    <row r="15">
      <c r="A15" s="876"/>
      <c r="B15" s="872">
        <v>52.413</v>
      </c>
      <c r="C15" s="872">
        <v>133.62641800601</v>
      </c>
      <c r="D15" s="872">
        <v>2.27587385177612</v>
      </c>
      <c r="E15" s="872">
        <v>16.0350774277543</v>
      </c>
      <c r="F15" s="872">
        <v>9.42689991</v>
      </c>
      <c r="G15" s="872">
        <v>1.182255745</v>
      </c>
      <c r="H15" s="877"/>
      <c r="I15" s="874">
        <v>7.73E9</v>
      </c>
      <c r="J15" s="874">
        <v>7.73E9</v>
      </c>
      <c r="K15" s="874">
        <v>7.73E9</v>
      </c>
      <c r="L15" s="874">
        <v>7.73E9</v>
      </c>
      <c r="M15" s="874">
        <v>7.73E9</v>
      </c>
      <c r="N15" s="874">
        <v>3.409E13</v>
      </c>
      <c r="O15" s="874">
        <v>7.73E9</v>
      </c>
      <c r="P15" s="874">
        <v>7.73E9</v>
      </c>
      <c r="Q15" s="874">
        <v>7.73E9</v>
      </c>
      <c r="R15" s="874">
        <v>7.73E9</v>
      </c>
      <c r="S15" s="874">
        <v>7.73E9</v>
      </c>
      <c r="T15" s="874">
        <v>1.06E12</v>
      </c>
      <c r="U15" s="874">
        <v>7.73E9</v>
      </c>
      <c r="V15" s="874">
        <v>1.06E12</v>
      </c>
      <c r="W15" s="874">
        <v>1.06E12</v>
      </c>
      <c r="X15" s="874">
        <v>2.659E13</v>
      </c>
      <c r="Y15" s="874">
        <v>7.73E9</v>
      </c>
      <c r="Z15" s="874">
        <v>4.3701E14</v>
      </c>
      <c r="AA15" s="875"/>
      <c r="AB15" s="875"/>
    </row>
    <row r="16">
      <c r="A16" s="876"/>
      <c r="B16" s="872">
        <v>57.292</v>
      </c>
      <c r="C16" s="872">
        <v>154.343064527377</v>
      </c>
      <c r="D16" s="872">
        <v>2.67993676996231</v>
      </c>
      <c r="E16" s="872">
        <v>17.8440935210856</v>
      </c>
      <c r="F16" s="872">
        <v>10.07561779</v>
      </c>
      <c r="G16" s="872">
        <v>1.263933897</v>
      </c>
      <c r="H16" s="877"/>
      <c r="I16" s="874">
        <v>8.21E9</v>
      </c>
      <c r="J16" s="874">
        <v>8.21E9</v>
      </c>
      <c r="K16" s="874">
        <v>8.21E9</v>
      </c>
      <c r="L16" s="874">
        <v>8.21E9</v>
      </c>
      <c r="M16" s="874">
        <v>8.21E9</v>
      </c>
      <c r="N16" s="874">
        <v>4.771E13</v>
      </c>
      <c r="O16" s="874">
        <v>8.21E9</v>
      </c>
      <c r="P16" s="874">
        <v>8.21E9</v>
      </c>
      <c r="Q16" s="874">
        <v>8.21E9</v>
      </c>
      <c r="R16" s="874">
        <v>8.21E9</v>
      </c>
      <c r="S16" s="874">
        <v>8.21E9</v>
      </c>
      <c r="T16" s="874">
        <v>1.32E12</v>
      </c>
      <c r="U16" s="874">
        <v>8.21E9</v>
      </c>
      <c r="V16" s="874">
        <v>1.32E12</v>
      </c>
      <c r="W16" s="874">
        <v>1.32E12</v>
      </c>
      <c r="X16" s="874">
        <v>3.692E13</v>
      </c>
      <c r="Y16" s="874">
        <v>8.21E9</v>
      </c>
      <c r="Z16" s="874">
        <v>6.1654E14</v>
      </c>
      <c r="AA16" s="875"/>
      <c r="AB16" s="875"/>
    </row>
    <row r="17">
      <c r="A17" s="876"/>
      <c r="B17" s="872">
        <v>62.325</v>
      </c>
      <c r="C17" s="872">
        <v>176.392881510634</v>
      </c>
      <c r="D17" s="872">
        <v>3.12464492273331</v>
      </c>
      <c r="E17" s="872">
        <v>19.7598662250421</v>
      </c>
      <c r="F17" s="872">
        <v>10.71403408</v>
      </c>
      <c r="G17" s="872">
        <v>1.344360948</v>
      </c>
      <c r="H17" s="877"/>
      <c r="I17" s="874">
        <v>8.74E9</v>
      </c>
      <c r="J17" s="874">
        <v>8.74E9</v>
      </c>
      <c r="K17" s="874">
        <v>8.74E9</v>
      </c>
      <c r="L17" s="874">
        <v>8.74E9</v>
      </c>
      <c r="M17" s="874">
        <v>8.74E9</v>
      </c>
      <c r="N17" s="874">
        <v>6.513E13</v>
      </c>
      <c r="O17" s="874">
        <v>8.74E9</v>
      </c>
      <c r="P17" s="874">
        <v>8.74E9</v>
      </c>
      <c r="Q17" s="874">
        <v>8.74E9</v>
      </c>
      <c r="R17" s="874">
        <v>8.74E9</v>
      </c>
      <c r="S17" s="874">
        <v>8.74E9</v>
      </c>
      <c r="T17" s="874">
        <v>1.63E12</v>
      </c>
      <c r="U17" s="874">
        <v>8.74E9</v>
      </c>
      <c r="V17" s="874">
        <v>1.63E12</v>
      </c>
      <c r="W17" s="874">
        <v>1.63E12</v>
      </c>
      <c r="X17" s="874">
        <v>5.002E13</v>
      </c>
      <c r="Y17" s="874">
        <v>8.74E9</v>
      </c>
      <c r="Z17" s="874">
        <v>8.4792E14</v>
      </c>
      <c r="AA17" s="875"/>
      <c r="AB17" s="875"/>
    </row>
    <row r="18">
      <c r="A18" s="876"/>
      <c r="B18" s="872">
        <v>67.512</v>
      </c>
      <c r="C18" s="872">
        <v>201.578517502479</v>
      </c>
      <c r="D18" s="872">
        <v>3.61119126987457</v>
      </c>
      <c r="E18" s="872">
        <v>21.7875007061407</v>
      </c>
      <c r="F18" s="872">
        <v>11.34226704</v>
      </c>
      <c r="G18" s="872">
        <v>1.423550725</v>
      </c>
      <c r="H18" s="877"/>
      <c r="I18" s="874">
        <v>9.32E9</v>
      </c>
      <c r="J18" s="874">
        <v>9.32E9</v>
      </c>
      <c r="K18" s="874">
        <v>9.32E9</v>
      </c>
      <c r="L18" s="874">
        <v>9.32E9</v>
      </c>
      <c r="M18" s="874">
        <v>9.32E9</v>
      </c>
      <c r="N18" s="874">
        <v>8.702E13</v>
      </c>
      <c r="O18" s="874">
        <v>9.32E9</v>
      </c>
      <c r="P18" s="874">
        <v>9.32E9</v>
      </c>
      <c r="Q18" s="874">
        <v>9.32E9</v>
      </c>
      <c r="R18" s="874">
        <v>9.32E9</v>
      </c>
      <c r="S18" s="874">
        <v>9.32E9</v>
      </c>
      <c r="T18" s="874">
        <v>1.97E12</v>
      </c>
      <c r="U18" s="874">
        <v>9.32E9</v>
      </c>
      <c r="V18" s="874">
        <v>1.97E12</v>
      </c>
      <c r="W18" s="874">
        <v>1.97E12</v>
      </c>
      <c r="X18" s="874">
        <v>6.638E13</v>
      </c>
      <c r="Y18" s="874">
        <v>9.32E9</v>
      </c>
      <c r="Z18" s="874">
        <v>1.14E15</v>
      </c>
      <c r="AA18" s="875"/>
      <c r="AB18" s="875"/>
    </row>
    <row r="19">
      <c r="A19" s="876"/>
      <c r="B19" s="872">
        <v>72.853</v>
      </c>
      <c r="C19" s="872">
        <v>229.232181813954</v>
      </c>
      <c r="D19" s="872">
        <v>4.14071723127365</v>
      </c>
      <c r="E19" s="872">
        <v>23.9319659004916</v>
      </c>
      <c r="F19" s="872">
        <v>11.96043396</v>
      </c>
      <c r="G19" s="872">
        <v>1.501516819</v>
      </c>
      <c r="H19" s="877"/>
      <c r="I19" s="874">
        <v>9.94E9</v>
      </c>
      <c r="J19" s="874">
        <v>9.94E9</v>
      </c>
      <c r="K19" s="874">
        <v>9.94E9</v>
      </c>
      <c r="L19" s="874">
        <v>9.94E9</v>
      </c>
      <c r="M19" s="874">
        <v>9.94E9</v>
      </c>
      <c r="N19" s="874">
        <v>1.1411E14</v>
      </c>
      <c r="O19" s="874">
        <v>9.94E9</v>
      </c>
      <c r="P19" s="874">
        <v>9.94E9</v>
      </c>
      <c r="Q19" s="874">
        <v>9.94E9</v>
      </c>
      <c r="R19" s="874">
        <v>9.94E9</v>
      </c>
      <c r="S19" s="874">
        <v>9.94E9</v>
      </c>
      <c r="T19" s="874">
        <v>2.36E12</v>
      </c>
      <c r="U19" s="874">
        <v>9.94E9</v>
      </c>
      <c r="V19" s="874">
        <v>2.36E12</v>
      </c>
      <c r="W19" s="874">
        <v>2.36E12</v>
      </c>
      <c r="X19" s="874">
        <v>8.648E13</v>
      </c>
      <c r="Y19" s="874">
        <v>9.94E9</v>
      </c>
      <c r="Z19" s="874">
        <v>1.51E15</v>
      </c>
      <c r="AA19" s="875"/>
      <c r="AB19" s="875"/>
    </row>
    <row r="20">
      <c r="A20" s="876"/>
      <c r="B20" s="872">
        <v>78.348</v>
      </c>
      <c r="C20" s="872">
        <v>259.471256497487</v>
      </c>
      <c r="D20" s="872">
        <v>4.71431890821457</v>
      </c>
      <c r="E20" s="872">
        <v>26.1981129396408</v>
      </c>
      <c r="F20" s="872">
        <v>12.56865025</v>
      </c>
      <c r="G20" s="872">
        <v>1.578272939</v>
      </c>
      <c r="H20" s="877"/>
      <c r="I20" s="874">
        <v>2.121E10</v>
      </c>
      <c r="J20" s="874">
        <v>2.121E10</v>
      </c>
      <c r="K20" s="874">
        <v>2.121E10</v>
      </c>
      <c r="L20" s="874">
        <v>2.121E10</v>
      </c>
      <c r="M20" s="874">
        <v>2.121E10</v>
      </c>
      <c r="N20" s="874">
        <v>2.944E14</v>
      </c>
      <c r="O20" s="874">
        <v>2.121E10</v>
      </c>
      <c r="P20" s="874">
        <v>2.121E10</v>
      </c>
      <c r="Q20" s="874">
        <v>2.121E10</v>
      </c>
      <c r="R20" s="874">
        <v>2.121E10</v>
      </c>
      <c r="S20" s="874">
        <v>2.121E10</v>
      </c>
      <c r="T20" s="874">
        <v>5.59E12</v>
      </c>
      <c r="U20" s="874">
        <v>2.121E10</v>
      </c>
      <c r="V20" s="874">
        <v>5.59E12</v>
      </c>
      <c r="W20" s="874">
        <v>5.59E12</v>
      </c>
      <c r="X20" s="874">
        <v>2.2177E14</v>
      </c>
      <c r="Y20" s="874">
        <v>2.121E10</v>
      </c>
      <c r="Z20" s="874">
        <v>3.91E15</v>
      </c>
      <c r="AA20" s="875"/>
      <c r="AB20" s="875"/>
    </row>
    <row r="21">
      <c r="A21" s="876"/>
      <c r="B21" s="872">
        <v>83.997</v>
      </c>
      <c r="C21" s="872">
        <v>292.411100290032</v>
      </c>
      <c r="D21" s="872">
        <v>5.33305110740662</v>
      </c>
      <c r="E21" s="872">
        <v>28.5906793794517</v>
      </c>
      <c r="F21" s="872">
        <v>13.16703033</v>
      </c>
      <c r="G21" s="872">
        <v>1.653832316</v>
      </c>
      <c r="H21" s="877"/>
      <c r="I21" s="874">
        <v>3.395E10</v>
      </c>
      <c r="J21" s="874">
        <v>3.395E10</v>
      </c>
      <c r="K21" s="874">
        <v>3.395E10</v>
      </c>
      <c r="L21" s="874">
        <v>3.395E10</v>
      </c>
      <c r="M21" s="874">
        <v>3.395E10</v>
      </c>
      <c r="N21" s="874">
        <v>5.6141E14</v>
      </c>
      <c r="O21" s="874">
        <v>3.395E10</v>
      </c>
      <c r="P21" s="874">
        <v>3.395E10</v>
      </c>
      <c r="Q21" s="874">
        <v>3.395E10</v>
      </c>
      <c r="R21" s="874">
        <v>3.395E10</v>
      </c>
      <c r="S21" s="874">
        <v>3.395E10</v>
      </c>
      <c r="T21" s="874">
        <v>9.84E12</v>
      </c>
      <c r="U21" s="874">
        <v>3.395E10</v>
      </c>
      <c r="V21" s="874">
        <v>9.84E12</v>
      </c>
      <c r="W21" s="874">
        <v>9.84E12</v>
      </c>
      <c r="X21" s="874">
        <v>4.2049E14</v>
      </c>
      <c r="Y21" s="874">
        <v>3.395E10</v>
      </c>
      <c r="Z21" s="874">
        <v>7.5E15</v>
      </c>
      <c r="AA21" s="875"/>
      <c r="AB21" s="875"/>
    </row>
    <row r="22">
      <c r="A22" s="876"/>
      <c r="B22" s="872">
        <v>89.8</v>
      </c>
      <c r="C22" s="872">
        <v>328.165256895536</v>
      </c>
      <c r="D22" s="872">
        <v>5.99793159294128</v>
      </c>
      <c r="E22" s="872">
        <v>31.1143024908768</v>
      </c>
      <c r="F22" s="872">
        <v>13.75568962</v>
      </c>
      <c r="G22" s="872">
        <v>1.728208661</v>
      </c>
      <c r="H22" s="877"/>
      <c r="I22" s="874">
        <v>4.83E10</v>
      </c>
      <c r="J22" s="874">
        <v>4.83E10</v>
      </c>
      <c r="K22" s="874">
        <v>4.83E10</v>
      </c>
      <c r="L22" s="874">
        <v>4.83E10</v>
      </c>
      <c r="M22" s="874">
        <v>4.83E10</v>
      </c>
      <c r="N22" s="874">
        <v>9.3937E14</v>
      </c>
      <c r="O22" s="874">
        <v>4.83E10</v>
      </c>
      <c r="P22" s="874">
        <v>4.83E10</v>
      </c>
      <c r="Q22" s="874">
        <v>4.83E10</v>
      </c>
      <c r="R22" s="874">
        <v>4.83E10</v>
      </c>
      <c r="S22" s="874">
        <v>4.83E10</v>
      </c>
      <c r="T22" s="874">
        <v>1.526E13</v>
      </c>
      <c r="U22" s="874">
        <v>4.83E10</v>
      </c>
      <c r="V22" s="874">
        <v>1.526E13</v>
      </c>
      <c r="W22" s="874">
        <v>1.526E13</v>
      </c>
      <c r="X22" s="874">
        <v>6.9978E14</v>
      </c>
      <c r="Y22" s="874">
        <v>4.83E10</v>
      </c>
      <c r="Z22" s="874">
        <v>1.261E16</v>
      </c>
      <c r="AA22" s="875"/>
      <c r="AB22" s="875"/>
    </row>
    <row r="23">
      <c r="A23" s="876"/>
      <c r="B23" s="872">
        <v>95.757</v>
      </c>
      <c r="C23" s="872">
        <v>366.845395475666</v>
      </c>
      <c r="D23" s="872">
        <v>6.70994376039505</v>
      </c>
      <c r="E23" s="872">
        <v>33.7735228847129</v>
      </c>
      <c r="F23" s="872">
        <v>14.33473969</v>
      </c>
      <c r="G23" s="872">
        <v>1.801415205</v>
      </c>
      <c r="H23" s="877"/>
      <c r="I23" s="874">
        <v>6.441E10</v>
      </c>
      <c r="J23" s="874">
        <v>6.441E10</v>
      </c>
      <c r="K23" s="874">
        <v>6.441E10</v>
      </c>
      <c r="L23" s="874">
        <v>6.441E10</v>
      </c>
      <c r="M23" s="874">
        <v>6.441E10</v>
      </c>
      <c r="N23" s="874">
        <v>1.46E15</v>
      </c>
      <c r="O23" s="874">
        <v>6.441E10</v>
      </c>
      <c r="P23" s="874">
        <v>6.441E10</v>
      </c>
      <c r="Q23" s="874">
        <v>6.441E10</v>
      </c>
      <c r="R23" s="874">
        <v>6.441E10</v>
      </c>
      <c r="S23" s="874">
        <v>6.441E10</v>
      </c>
      <c r="T23" s="874">
        <v>2.202E13</v>
      </c>
      <c r="U23" s="874">
        <v>6.441E10</v>
      </c>
      <c r="V23" s="874">
        <v>2.202E13</v>
      </c>
      <c r="W23" s="874">
        <v>2.202E13</v>
      </c>
      <c r="X23" s="874">
        <v>1.08E15</v>
      </c>
      <c r="Y23" s="874">
        <v>6.441E10</v>
      </c>
      <c r="Z23" s="874">
        <v>1.965E16</v>
      </c>
      <c r="AA23" s="875"/>
      <c r="AB23" s="875"/>
    </row>
    <row r="24">
      <c r="A24" s="876"/>
      <c r="B24" s="872">
        <v>101.868</v>
      </c>
      <c r="C24" s="872">
        <v>408.561637950839</v>
      </c>
      <c r="D24" s="872">
        <v>7.47004088878631</v>
      </c>
      <c r="E24" s="872">
        <v>36.5727941776172</v>
      </c>
      <c r="F24" s="872">
        <v>14.90428925</v>
      </c>
      <c r="G24" s="872">
        <v>1.873464584</v>
      </c>
      <c r="H24" s="877"/>
      <c r="I24" s="874">
        <v>8.242E10</v>
      </c>
      <c r="J24" s="874">
        <v>8.242E10</v>
      </c>
      <c r="K24" s="874">
        <v>8.242E10</v>
      </c>
      <c r="L24" s="874">
        <v>8.242E10</v>
      </c>
      <c r="M24" s="874">
        <v>8.242E10</v>
      </c>
      <c r="N24" s="874">
        <v>2.15E15</v>
      </c>
      <c r="O24" s="874">
        <v>8.242E10</v>
      </c>
      <c r="P24" s="874">
        <v>8.242E10</v>
      </c>
      <c r="Q24" s="874">
        <v>8.242E10</v>
      </c>
      <c r="R24" s="874">
        <v>8.242E10</v>
      </c>
      <c r="S24" s="874">
        <v>8.242E10</v>
      </c>
      <c r="T24" s="874">
        <v>3.029E13</v>
      </c>
      <c r="U24" s="874">
        <v>8.242E10</v>
      </c>
      <c r="V24" s="874">
        <v>3.029E13</v>
      </c>
      <c r="W24" s="874">
        <v>3.029E13</v>
      </c>
      <c r="X24" s="874">
        <v>1.58E15</v>
      </c>
      <c r="Y24" s="874">
        <v>8.242E10</v>
      </c>
      <c r="Z24" s="874">
        <v>2.91E16</v>
      </c>
      <c r="AA24" s="875"/>
      <c r="AB24" s="875"/>
    </row>
    <row r="25">
      <c r="A25" s="876"/>
      <c r="B25" s="872">
        <v>108.133</v>
      </c>
      <c r="C25" s="872">
        <v>453.422529245585</v>
      </c>
      <c r="D25" s="872">
        <v>8.27914577007294</v>
      </c>
      <c r="E25" s="872">
        <v>39.5164902416187</v>
      </c>
      <c r="F25" s="872">
        <v>15.46445179</v>
      </c>
      <c r="G25" s="872">
        <v>1.944370151</v>
      </c>
      <c r="H25" s="877"/>
      <c r="I25" s="874">
        <v>1.0249E11</v>
      </c>
      <c r="J25" s="874">
        <v>1.0249E11</v>
      </c>
      <c r="K25" s="874">
        <v>1.0249E11</v>
      </c>
      <c r="L25" s="874">
        <v>1.0249E11</v>
      </c>
      <c r="M25" s="874">
        <v>1.0249E11</v>
      </c>
      <c r="N25" s="874">
        <v>3.04E15</v>
      </c>
      <c r="O25" s="874">
        <v>1.0249E11</v>
      </c>
      <c r="P25" s="874">
        <v>1.0249E11</v>
      </c>
      <c r="Q25" s="874">
        <v>1.0249E11</v>
      </c>
      <c r="R25" s="874">
        <v>1.0249E11</v>
      </c>
      <c r="S25" s="874">
        <v>1.0249E11</v>
      </c>
      <c r="T25" s="874">
        <v>4.024E13</v>
      </c>
      <c r="U25" s="874">
        <v>1.0249E11</v>
      </c>
      <c r="V25" s="874">
        <v>4.024E13</v>
      </c>
      <c r="W25" s="874">
        <v>4.024E13</v>
      </c>
      <c r="X25" s="874">
        <v>2.23E15</v>
      </c>
      <c r="Y25" s="874">
        <v>1.0249E11</v>
      </c>
      <c r="Z25" s="874">
        <v>4.145E16</v>
      </c>
      <c r="AA25" s="875"/>
      <c r="AB25" s="875"/>
    </row>
    <row r="26">
      <c r="A26" s="876"/>
      <c r="B26" s="872">
        <v>114.552</v>
      </c>
      <c r="C26" s="872">
        <v>501.535215816381</v>
      </c>
      <c r="D26" s="872">
        <v>9.13815720510483</v>
      </c>
      <c r="E26" s="872">
        <v>42.6089064123703</v>
      </c>
      <c r="F26" s="872">
        <v>16.01533699</v>
      </c>
      <c r="G26" s="872">
        <v>2.014144897</v>
      </c>
      <c r="H26" s="877"/>
      <c r="I26" s="874">
        <v>1.2475E11</v>
      </c>
      <c r="J26" s="874">
        <v>1.2475E11</v>
      </c>
      <c r="K26" s="874">
        <v>1.2475E11</v>
      </c>
      <c r="L26" s="874">
        <v>1.2475E11</v>
      </c>
      <c r="M26" s="874">
        <v>1.2475E11</v>
      </c>
      <c r="N26" s="874">
        <v>4.19E15</v>
      </c>
      <c r="O26" s="874">
        <v>1.2475E11</v>
      </c>
      <c r="P26" s="874">
        <v>1.2475E11</v>
      </c>
      <c r="Q26" s="874">
        <v>1.2475E11</v>
      </c>
      <c r="R26" s="874">
        <v>1.2475E11</v>
      </c>
      <c r="S26" s="874">
        <v>1.2475E11</v>
      </c>
      <c r="T26" s="874">
        <v>5.208E13</v>
      </c>
      <c r="U26" s="874">
        <v>1.2475E11</v>
      </c>
      <c r="V26" s="874">
        <v>5.208E13</v>
      </c>
      <c r="W26" s="874">
        <v>5.208E13</v>
      </c>
      <c r="X26" s="874">
        <v>3.06E15</v>
      </c>
      <c r="Y26" s="874">
        <v>1.2475E11</v>
      </c>
      <c r="Z26" s="874">
        <v>5.735E16</v>
      </c>
      <c r="AA26" s="875"/>
      <c r="AB26" s="875"/>
    </row>
    <row r="27">
      <c r="A27" s="876"/>
      <c r="B27" s="872">
        <v>121.125</v>
      </c>
      <c r="C27" s="872">
        <v>553.005445651652</v>
      </c>
      <c r="D27" s="872">
        <v>10.0479474487305</v>
      </c>
      <c r="E27" s="872">
        <v>45.8542679469121</v>
      </c>
      <c r="F27" s="872">
        <v>16.5570488</v>
      </c>
      <c r="G27" s="872">
        <v>2.082800865</v>
      </c>
      <c r="H27" s="877"/>
      <c r="I27" s="874">
        <v>1.4936E11</v>
      </c>
      <c r="J27" s="874">
        <v>1.4936E11</v>
      </c>
      <c r="K27" s="874">
        <v>1.4936E11</v>
      </c>
      <c r="L27" s="874">
        <v>1.4936E11</v>
      </c>
      <c r="M27" s="874">
        <v>1.4936E11</v>
      </c>
      <c r="N27" s="874">
        <v>5.64E15</v>
      </c>
      <c r="O27" s="874">
        <v>1.4936E11</v>
      </c>
      <c r="P27" s="874">
        <v>1.4936E11</v>
      </c>
      <c r="Q27" s="874">
        <v>1.4936E11</v>
      </c>
      <c r="R27" s="874">
        <v>1.4936E11</v>
      </c>
      <c r="S27" s="874">
        <v>1.4936E11</v>
      </c>
      <c r="T27" s="874">
        <v>6.599E13</v>
      </c>
      <c r="U27" s="874">
        <v>1.4936E11</v>
      </c>
      <c r="V27" s="874">
        <v>6.599E13</v>
      </c>
      <c r="W27" s="874">
        <v>6.599E13</v>
      </c>
      <c r="X27" s="874">
        <v>4.1E15</v>
      </c>
      <c r="Y27" s="874">
        <v>1.4936E11</v>
      </c>
      <c r="Z27" s="874">
        <v>7.747E16</v>
      </c>
      <c r="AA27" s="875"/>
      <c r="AB27" s="875"/>
    </row>
    <row r="28">
      <c r="A28" s="876"/>
      <c r="B28" s="872">
        <v>127.852</v>
      </c>
      <c r="C28" s="872">
        <v>607.937746799609</v>
      </c>
      <c r="D28" s="872">
        <v>11.0093667831421</v>
      </c>
      <c r="E28" s="872">
        <v>49.2567300236717</v>
      </c>
      <c r="F28" s="872">
        <v>17.08969879</v>
      </c>
      <c r="G28" s="872">
        <v>2.150351286</v>
      </c>
      <c r="H28" s="877"/>
      <c r="I28" s="874">
        <v>1.7648E11</v>
      </c>
      <c r="J28" s="874">
        <v>1.7648E11</v>
      </c>
      <c r="K28" s="874">
        <v>1.7648E11</v>
      </c>
      <c r="L28" s="874">
        <v>1.7648E11</v>
      </c>
      <c r="M28" s="874">
        <v>1.7648E11</v>
      </c>
      <c r="N28" s="874">
        <v>7.44E15</v>
      </c>
      <c r="O28" s="874">
        <v>1.7648E11</v>
      </c>
      <c r="P28" s="874">
        <v>1.7648E11</v>
      </c>
      <c r="Q28" s="874">
        <v>1.7648E11</v>
      </c>
      <c r="R28" s="874">
        <v>1.7648E11</v>
      </c>
      <c r="S28" s="874">
        <v>1.7648E11</v>
      </c>
      <c r="T28" s="874">
        <v>8.219E13</v>
      </c>
      <c r="U28" s="874">
        <v>1.7648E11</v>
      </c>
      <c r="V28" s="874">
        <v>8.219E13</v>
      </c>
      <c r="W28" s="874">
        <v>8.219E13</v>
      </c>
      <c r="X28" s="874">
        <v>5.39E15</v>
      </c>
      <c r="Y28" s="874">
        <v>1.7648E11</v>
      </c>
      <c r="Z28" s="874">
        <v>1.026E17</v>
      </c>
      <c r="AA28" s="875"/>
      <c r="AB28" s="875"/>
    </row>
    <row r="29">
      <c r="A29" s="876"/>
      <c r="B29" s="872">
        <v>134.733</v>
      </c>
      <c r="C29" s="872">
        <v>666.435367858969</v>
      </c>
      <c r="D29" s="872">
        <v>12.0232430877686</v>
      </c>
      <c r="E29" s="872">
        <v>52.8203874084796</v>
      </c>
      <c r="F29" s="872">
        <v>17.61338997</v>
      </c>
      <c r="G29" s="872">
        <v>2.216808319</v>
      </c>
      <c r="H29" s="877"/>
      <c r="I29" s="874">
        <v>2.0625E11</v>
      </c>
      <c r="J29" s="874">
        <v>2.0625E11</v>
      </c>
      <c r="K29" s="874">
        <v>2.0625E11</v>
      </c>
      <c r="L29" s="874">
        <v>2.0625E11</v>
      </c>
      <c r="M29" s="874">
        <v>2.0625E11</v>
      </c>
      <c r="N29" s="874">
        <v>9.64E15</v>
      </c>
      <c r="O29" s="874">
        <v>2.0625E11</v>
      </c>
      <c r="P29" s="874">
        <v>2.0625E11</v>
      </c>
      <c r="Q29" s="874">
        <v>2.0625E11</v>
      </c>
      <c r="R29" s="874">
        <v>2.0625E11</v>
      </c>
      <c r="S29" s="874">
        <v>2.0625E11</v>
      </c>
      <c r="T29" s="874">
        <v>1.0089E14</v>
      </c>
      <c r="U29" s="874">
        <v>2.0625E11</v>
      </c>
      <c r="V29" s="874">
        <v>1.0089E14</v>
      </c>
      <c r="W29" s="874">
        <v>1.0089E14</v>
      </c>
      <c r="X29" s="874">
        <v>6.96E15</v>
      </c>
      <c r="Y29" s="874">
        <v>2.0625E11</v>
      </c>
      <c r="Z29" s="874">
        <v>1.3359E17</v>
      </c>
      <c r="AA29" s="875"/>
      <c r="AB29" s="875"/>
    </row>
    <row r="30">
      <c r="A30" s="876"/>
      <c r="B30" s="872">
        <v>141.768</v>
      </c>
      <c r="C30" s="872">
        <v>728.600426752149</v>
      </c>
      <c r="D30" s="872">
        <v>13.0903867235184</v>
      </c>
      <c r="E30" s="872">
        <v>56.5492684133093</v>
      </c>
      <c r="F30" s="872">
        <v>18.12822723</v>
      </c>
      <c r="G30" s="872">
        <v>2.282184124</v>
      </c>
      <c r="H30" s="877"/>
      <c r="I30" s="874">
        <v>2.3883E11</v>
      </c>
      <c r="J30" s="874">
        <v>2.3883E11</v>
      </c>
      <c r="K30" s="874">
        <v>2.3883E11</v>
      </c>
      <c r="L30" s="874">
        <v>2.3883E11</v>
      </c>
      <c r="M30" s="874">
        <v>2.3883E11</v>
      </c>
      <c r="N30" s="874">
        <v>1.233E16</v>
      </c>
      <c r="O30" s="874">
        <v>2.3883E11</v>
      </c>
      <c r="P30" s="874">
        <v>2.3883E11</v>
      </c>
      <c r="Q30" s="874">
        <v>2.3883E11</v>
      </c>
      <c r="R30" s="874">
        <v>2.3883E11</v>
      </c>
      <c r="S30" s="874">
        <v>2.3883E11</v>
      </c>
      <c r="T30" s="874">
        <v>1.2232E14</v>
      </c>
      <c r="U30" s="874">
        <v>2.3883E11</v>
      </c>
      <c r="V30" s="874">
        <v>1.2232E14</v>
      </c>
      <c r="W30" s="874">
        <v>1.2232E14</v>
      </c>
      <c r="X30" s="874">
        <v>8.87E15</v>
      </c>
      <c r="Y30" s="874">
        <v>2.3883E11</v>
      </c>
      <c r="Z30" s="874">
        <v>1.7141E17</v>
      </c>
      <c r="AA30" s="875"/>
      <c r="AB30" s="875"/>
    </row>
    <row r="31">
      <c r="A31" s="876"/>
      <c r="B31" s="872">
        <v>148.957</v>
      </c>
      <c r="C31" s="872">
        <v>794.533910725273</v>
      </c>
      <c r="D31" s="872">
        <v>14.2115851716995</v>
      </c>
      <c r="E31" s="872">
        <v>60.4473578530648</v>
      </c>
      <c r="F31" s="872">
        <v>18.63431549</v>
      </c>
      <c r="G31" s="872">
        <v>2.346491575</v>
      </c>
      <c r="H31" s="877"/>
      <c r="I31" s="874">
        <v>2.7439E11</v>
      </c>
      <c r="J31" s="874">
        <v>2.7439E11</v>
      </c>
      <c r="K31" s="874">
        <v>2.7439E11</v>
      </c>
      <c r="L31" s="874">
        <v>2.7439E11</v>
      </c>
      <c r="M31" s="874">
        <v>2.7439E11</v>
      </c>
      <c r="N31" s="874">
        <v>1.556E16</v>
      </c>
      <c r="O31" s="874">
        <v>2.7439E11</v>
      </c>
      <c r="P31" s="874">
        <v>2.7439E11</v>
      </c>
      <c r="Q31" s="874">
        <v>2.7439E11</v>
      </c>
      <c r="R31" s="874">
        <v>2.7439E11</v>
      </c>
      <c r="S31" s="874">
        <v>2.7439E11</v>
      </c>
      <c r="T31" s="874">
        <v>1.4671E14</v>
      </c>
      <c r="U31" s="874">
        <v>2.7439E11</v>
      </c>
      <c r="V31" s="874">
        <v>1.4671E14</v>
      </c>
      <c r="W31" s="874">
        <v>1.4671E14</v>
      </c>
      <c r="X31" s="874">
        <v>1.115E16</v>
      </c>
      <c r="Y31" s="874">
        <v>2.7439E11</v>
      </c>
      <c r="Z31" s="874">
        <v>2.1713E17</v>
      </c>
      <c r="AA31" s="875"/>
      <c r="AB31" s="875"/>
    </row>
    <row r="32">
      <c r="A32" s="876"/>
      <c r="B32" s="872">
        <v>156.3</v>
      </c>
      <c r="C32" s="872">
        <v>873.20082933185</v>
      </c>
      <c r="D32" s="872">
        <v>15.3876130876541</v>
      </c>
      <c r="E32" s="872">
        <v>65.157365147801</v>
      </c>
      <c r="F32" s="872">
        <v>19.13175583</v>
      </c>
      <c r="G32" s="872">
        <v>2.409741879</v>
      </c>
      <c r="H32" s="877"/>
      <c r="I32" s="874">
        <v>3.1307E11</v>
      </c>
      <c r="J32" s="874">
        <v>3.1307E11</v>
      </c>
      <c r="K32" s="874">
        <v>3.1307E11</v>
      </c>
      <c r="L32" s="874">
        <v>3.1307E11</v>
      </c>
      <c r="M32" s="874">
        <v>3.1307E11</v>
      </c>
      <c r="N32" s="874">
        <v>1.942E16</v>
      </c>
      <c r="O32" s="874">
        <v>3.1307E11</v>
      </c>
      <c r="P32" s="874">
        <v>3.1307E11</v>
      </c>
      <c r="Q32" s="874">
        <v>3.1307E11</v>
      </c>
      <c r="R32" s="874">
        <v>3.1307E11</v>
      </c>
      <c r="S32" s="874">
        <v>3.1307E11</v>
      </c>
      <c r="T32" s="874">
        <v>1.7429E14</v>
      </c>
      <c r="U32" s="874">
        <v>3.1307E11</v>
      </c>
      <c r="V32" s="874">
        <v>1.7429E14</v>
      </c>
      <c r="W32" s="874">
        <v>1.7429E14</v>
      </c>
      <c r="X32" s="874">
        <v>1.387E16</v>
      </c>
      <c r="Y32" s="874">
        <v>3.1307E11</v>
      </c>
      <c r="Z32" s="874">
        <v>2.7192E17</v>
      </c>
      <c r="AA32" s="875"/>
      <c r="AB32" s="875"/>
    </row>
    <row r="33">
      <c r="A33" s="876"/>
      <c r="B33" s="872">
        <v>163.797</v>
      </c>
      <c r="C33" s="872">
        <v>947.726865875615</v>
      </c>
      <c r="D33" s="872">
        <v>16.6192242527008</v>
      </c>
      <c r="E33" s="872">
        <v>69.4476335851533</v>
      </c>
      <c r="F33" s="872">
        <v>19.62064934</v>
      </c>
      <c r="G33" s="872">
        <v>2.471947908</v>
      </c>
      <c r="H33" s="877"/>
      <c r="I33" s="874">
        <v>3.5504E11</v>
      </c>
      <c r="J33" s="874">
        <v>3.5504E11</v>
      </c>
      <c r="K33" s="874">
        <v>3.5504E11</v>
      </c>
      <c r="L33" s="874">
        <v>3.5504E11</v>
      </c>
      <c r="M33" s="874">
        <v>3.5504E11</v>
      </c>
      <c r="N33" s="874">
        <v>2.399E16</v>
      </c>
      <c r="O33" s="874">
        <v>3.5504E11</v>
      </c>
      <c r="P33" s="874">
        <v>3.5504E11</v>
      </c>
      <c r="Q33" s="874">
        <v>3.5504E11</v>
      </c>
      <c r="R33" s="874">
        <v>3.5504E11</v>
      </c>
      <c r="S33" s="874">
        <v>3.5504E11</v>
      </c>
      <c r="T33" s="874">
        <v>2.0532E14</v>
      </c>
      <c r="U33" s="874">
        <v>3.5504E11</v>
      </c>
      <c r="V33" s="874">
        <v>2.0532E14</v>
      </c>
      <c r="W33" s="874">
        <v>2.0532E14</v>
      </c>
      <c r="X33" s="874">
        <v>1.707E16</v>
      </c>
      <c r="Y33" s="874">
        <v>3.5504E11</v>
      </c>
      <c r="Z33" s="874">
        <v>3.37E17</v>
      </c>
      <c r="AA33" s="875"/>
      <c r="AB33" s="875"/>
    </row>
    <row r="34">
      <c r="A34" s="876"/>
      <c r="B34" s="872">
        <v>171.448</v>
      </c>
      <c r="C34" s="872">
        <v>1026.36003504739</v>
      </c>
      <c r="D34" s="872">
        <v>17.9071600055695</v>
      </c>
      <c r="E34" s="872">
        <v>73.9205071704581</v>
      </c>
      <c r="F34" s="872">
        <v>20.10109711</v>
      </c>
      <c r="G34" s="872">
        <v>2.533120871</v>
      </c>
      <c r="H34" s="877"/>
      <c r="I34" s="874">
        <v>4.8054E11</v>
      </c>
      <c r="J34" s="874">
        <v>4.8054E11</v>
      </c>
      <c r="K34" s="874">
        <v>4.8054E11</v>
      </c>
      <c r="L34" s="874">
        <v>4.8054E11</v>
      </c>
      <c r="M34" s="874">
        <v>4.8054E11</v>
      </c>
      <c r="N34" s="874">
        <v>3.524E16</v>
      </c>
      <c r="O34" s="874">
        <v>4.8054E11</v>
      </c>
      <c r="P34" s="874">
        <v>4.8054E11</v>
      </c>
      <c r="Q34" s="874">
        <v>4.8054E11</v>
      </c>
      <c r="R34" s="874">
        <v>4.8054E11</v>
      </c>
      <c r="S34" s="874">
        <v>4.8054E11</v>
      </c>
      <c r="T34" s="874">
        <v>2.8806E14</v>
      </c>
      <c r="U34" s="874">
        <v>4.8054E11</v>
      </c>
      <c r="V34" s="874">
        <v>2.8806E14</v>
      </c>
      <c r="W34" s="874">
        <v>2.8806E14</v>
      </c>
      <c r="X34" s="874">
        <v>2.5E16</v>
      </c>
      <c r="Y34" s="874">
        <v>4.8054E11</v>
      </c>
      <c r="Z34" s="874">
        <v>4.9677E17</v>
      </c>
      <c r="AA34" s="875"/>
      <c r="AB34" s="875"/>
    </row>
    <row r="35">
      <c r="A35" s="876"/>
      <c r="B35" s="872">
        <v>179.253</v>
      </c>
      <c r="C35" s="872">
        <v>1109.19851220259</v>
      </c>
      <c r="D35" s="872">
        <v>19.2521444644928</v>
      </c>
      <c r="E35" s="872">
        <v>78.5798027356754</v>
      </c>
      <c r="F35" s="872">
        <v>20.57320023</v>
      </c>
      <c r="G35" s="872">
        <v>2.593272448</v>
      </c>
      <c r="H35" s="877"/>
      <c r="I35" s="874">
        <v>6.2927E11</v>
      </c>
      <c r="J35" s="874">
        <v>6.2927E11</v>
      </c>
      <c r="K35" s="874">
        <v>6.2927E11</v>
      </c>
      <c r="L35" s="874">
        <v>6.2927E11</v>
      </c>
      <c r="M35" s="874">
        <v>6.2927E11</v>
      </c>
      <c r="N35" s="874">
        <v>4.991E16</v>
      </c>
      <c r="O35" s="874">
        <v>6.2927E11</v>
      </c>
      <c r="P35" s="874">
        <v>6.2927E11</v>
      </c>
      <c r="Q35" s="874">
        <v>6.2927E11</v>
      </c>
      <c r="R35" s="874">
        <v>6.2927E11</v>
      </c>
      <c r="S35" s="874">
        <v>6.2927E11</v>
      </c>
      <c r="T35" s="874">
        <v>3.9025E14</v>
      </c>
      <c r="U35" s="874">
        <v>6.2927E11</v>
      </c>
      <c r="V35" s="874">
        <v>3.9025E14</v>
      </c>
      <c r="W35" s="874">
        <v>3.9025E14</v>
      </c>
      <c r="X35" s="874">
        <v>3.529E16</v>
      </c>
      <c r="Y35" s="874">
        <v>6.2927E11</v>
      </c>
      <c r="Z35" s="874">
        <v>7.0587E17</v>
      </c>
      <c r="AA35" s="875"/>
      <c r="AB35" s="875"/>
    </row>
    <row r="36">
      <c r="A36" s="876"/>
      <c r="B36" s="872">
        <v>187.212</v>
      </c>
      <c r="C36" s="872">
        <v>1196.33951078259</v>
      </c>
      <c r="D36" s="872">
        <v>20.6548896627426</v>
      </c>
      <c r="E36" s="872">
        <v>83.4292809828832</v>
      </c>
      <c r="F36" s="872">
        <v>21.03705406</v>
      </c>
      <c r="G36" s="872">
        <v>2.652414799</v>
      </c>
      <c r="H36" s="877"/>
      <c r="I36" s="874">
        <v>8.0365E11</v>
      </c>
      <c r="J36" s="874">
        <v>8.0365E11</v>
      </c>
      <c r="K36" s="874">
        <v>8.0365E11</v>
      </c>
      <c r="L36" s="874">
        <v>8.0365E11</v>
      </c>
      <c r="M36" s="874">
        <v>8.0365E11</v>
      </c>
      <c r="N36" s="874">
        <v>6.873E16</v>
      </c>
      <c r="O36" s="874">
        <v>8.0365E11</v>
      </c>
      <c r="P36" s="874">
        <v>8.0365E11</v>
      </c>
      <c r="Q36" s="874">
        <v>8.0365E11</v>
      </c>
      <c r="R36" s="874">
        <v>8.0365E11</v>
      </c>
      <c r="S36" s="874">
        <v>8.0365E11</v>
      </c>
      <c r="T36" s="874">
        <v>5.147E14</v>
      </c>
      <c r="U36" s="874">
        <v>8.0365E11</v>
      </c>
      <c r="V36" s="874">
        <v>5.147E14</v>
      </c>
      <c r="W36" s="874">
        <v>5.147E14</v>
      </c>
      <c r="X36" s="874">
        <v>4.845E16</v>
      </c>
      <c r="Y36" s="874">
        <v>8.0365E11</v>
      </c>
      <c r="Z36" s="874">
        <v>9.75E17</v>
      </c>
      <c r="AA36" s="875"/>
      <c r="AB36" s="875"/>
    </row>
    <row r="37">
      <c r="A37" s="876"/>
      <c r="B37" s="872">
        <v>195.325</v>
      </c>
      <c r="C37" s="872">
        <v>1287.87958291281</v>
      </c>
      <c r="D37" s="872">
        <v>22.1160907964706</v>
      </c>
      <c r="E37" s="872">
        <v>88.4726708885743</v>
      </c>
      <c r="F37" s="872">
        <v>21.4927578</v>
      </c>
      <c r="G37" s="872">
        <v>2.710558891</v>
      </c>
      <c r="H37" s="877"/>
      <c r="I37" s="874">
        <v>1.01E12</v>
      </c>
      <c r="J37" s="874">
        <v>1.01E12</v>
      </c>
      <c r="K37" s="874">
        <v>1.01E12</v>
      </c>
      <c r="L37" s="874">
        <v>1.01E12</v>
      </c>
      <c r="M37" s="874">
        <v>1.01E12</v>
      </c>
      <c r="N37" s="874">
        <v>9.252E16</v>
      </c>
      <c r="O37" s="874">
        <v>1.01E12</v>
      </c>
      <c r="P37" s="874">
        <v>1.01E12</v>
      </c>
      <c r="Q37" s="874">
        <v>1.01E12</v>
      </c>
      <c r="R37" s="874">
        <v>1.01E12</v>
      </c>
      <c r="S37" s="874">
        <v>1.01E12</v>
      </c>
      <c r="T37" s="874">
        <v>6.6446E14</v>
      </c>
      <c r="U37" s="874">
        <v>1.01E12</v>
      </c>
      <c r="V37" s="874">
        <v>6.6446E14</v>
      </c>
      <c r="W37" s="874">
        <v>6.6446E14</v>
      </c>
      <c r="X37" s="874">
        <v>6.503E16</v>
      </c>
      <c r="Y37" s="874">
        <v>1.01E12</v>
      </c>
      <c r="Z37" s="874">
        <v>1.32E18</v>
      </c>
      <c r="AA37" s="875"/>
      <c r="AB37" s="875"/>
    </row>
    <row r="38">
      <c r="A38" s="876"/>
      <c r="B38" s="872">
        <v>203.592</v>
      </c>
      <c r="C38" s="872">
        <v>1383.91395808681</v>
      </c>
      <c r="D38" s="872">
        <v>23.6364335317612</v>
      </c>
      <c r="E38" s="872">
        <v>93.7136477397894</v>
      </c>
      <c r="F38" s="872">
        <v>21.94041252</v>
      </c>
      <c r="G38" s="872">
        <v>2.767716885</v>
      </c>
      <c r="H38" s="877"/>
      <c r="I38" s="874">
        <v>1.24E12</v>
      </c>
      <c r="J38" s="874">
        <v>1.24E12</v>
      </c>
      <c r="K38" s="874">
        <v>1.24E12</v>
      </c>
      <c r="L38" s="874">
        <v>1.24E12</v>
      </c>
      <c r="M38" s="874">
        <v>1.24E12</v>
      </c>
      <c r="N38" s="874">
        <v>1.2222E17</v>
      </c>
      <c r="O38" s="874">
        <v>1.24E12</v>
      </c>
      <c r="P38" s="874">
        <v>1.24E12</v>
      </c>
      <c r="Q38" s="874">
        <v>1.24E12</v>
      </c>
      <c r="R38" s="874">
        <v>1.24E12</v>
      </c>
      <c r="S38" s="874">
        <v>1.24E12</v>
      </c>
      <c r="T38" s="874">
        <v>8.4282E14</v>
      </c>
      <c r="U38" s="874">
        <v>1.24E12</v>
      </c>
      <c r="V38" s="874">
        <v>8.4282E14</v>
      </c>
      <c r="W38" s="874">
        <v>8.4282E14</v>
      </c>
      <c r="X38" s="874">
        <v>8.565E16</v>
      </c>
      <c r="Y38" s="874">
        <v>1.24E12</v>
      </c>
      <c r="Z38" s="874">
        <v>1.74E18</v>
      </c>
      <c r="AA38" s="875"/>
      <c r="AB38" s="875"/>
    </row>
    <row r="39">
      <c r="A39" s="876"/>
      <c r="B39" s="872">
        <v>212.013</v>
      </c>
      <c r="C39" s="872">
        <v>1484.53786579816</v>
      </c>
      <c r="D39" s="872">
        <v>25.2165925483704</v>
      </c>
      <c r="E39" s="872">
        <v>99.1558526575542</v>
      </c>
      <c r="F39" s="872">
        <v>22.38010406</v>
      </c>
      <c r="G39" s="872">
        <v>2.823899031</v>
      </c>
      <c r="H39" s="877"/>
      <c r="I39" s="874">
        <v>1.51E12</v>
      </c>
      <c r="J39" s="874">
        <v>1.51E12</v>
      </c>
      <c r="K39" s="874">
        <v>1.51E12</v>
      </c>
      <c r="L39" s="874">
        <v>1.51E12</v>
      </c>
      <c r="M39" s="874">
        <v>1.51E12</v>
      </c>
      <c r="N39" s="874">
        <v>1.589E17</v>
      </c>
      <c r="O39" s="874">
        <v>1.51E12</v>
      </c>
      <c r="P39" s="874">
        <v>1.51E12</v>
      </c>
      <c r="Q39" s="874">
        <v>1.51E12</v>
      </c>
      <c r="R39" s="874">
        <v>1.51E12</v>
      </c>
      <c r="S39" s="874">
        <v>1.51E12</v>
      </c>
      <c r="T39" s="874">
        <v>1.05E15</v>
      </c>
      <c r="U39" s="874">
        <v>1.51E12</v>
      </c>
      <c r="V39" s="874">
        <v>1.05E15</v>
      </c>
      <c r="W39" s="874">
        <v>1.05E15</v>
      </c>
      <c r="X39" s="874">
        <v>1.1104E17</v>
      </c>
      <c r="Y39" s="874">
        <v>1.51E12</v>
      </c>
      <c r="Z39" s="874">
        <v>2.27E18</v>
      </c>
      <c r="AA39" s="875"/>
      <c r="AB39" s="875"/>
    </row>
    <row r="40">
      <c r="A40" s="876"/>
      <c r="B40" s="872">
        <v>220.588</v>
      </c>
      <c r="C40" s="872">
        <v>1589.84485219081</v>
      </c>
      <c r="D40" s="872">
        <v>26.8572245903015</v>
      </c>
      <c r="E40" s="872">
        <v>104.802897477739</v>
      </c>
      <c r="F40" s="872">
        <v>22.81193352</v>
      </c>
      <c r="G40" s="872">
        <v>2.87911725</v>
      </c>
      <c r="H40" s="877"/>
      <c r="I40" s="874">
        <v>1.81E12</v>
      </c>
      <c r="J40" s="874">
        <v>1.81E12</v>
      </c>
      <c r="K40" s="874">
        <v>1.81E12</v>
      </c>
      <c r="L40" s="874">
        <v>1.81E12</v>
      </c>
      <c r="M40" s="874">
        <v>1.81E12</v>
      </c>
      <c r="N40" s="874">
        <v>2.0374E17</v>
      </c>
      <c r="O40" s="874">
        <v>1.81E12</v>
      </c>
      <c r="P40" s="874">
        <v>1.81E12</v>
      </c>
      <c r="Q40" s="874">
        <v>1.81E12</v>
      </c>
      <c r="R40" s="874">
        <v>1.81E12</v>
      </c>
      <c r="S40" s="874">
        <v>1.81E12</v>
      </c>
      <c r="T40" s="874">
        <v>1.3E15</v>
      </c>
      <c r="U40" s="874">
        <v>1.81E12</v>
      </c>
      <c r="V40" s="874">
        <v>1.3E15</v>
      </c>
      <c r="W40" s="874">
        <v>1.3E15</v>
      </c>
      <c r="X40" s="874">
        <v>1.4199E17</v>
      </c>
      <c r="Y40" s="874">
        <v>1.81E12</v>
      </c>
      <c r="Z40" s="874">
        <v>2.92E18</v>
      </c>
      <c r="AA40" s="875"/>
      <c r="AB40" s="875"/>
    </row>
    <row r="41">
      <c r="A41" s="876"/>
      <c r="B41" s="872">
        <v>229.317</v>
      </c>
      <c r="C41" s="872">
        <v>1699.92870388721</v>
      </c>
      <c r="D41" s="872">
        <v>28.5589823646545</v>
      </c>
      <c r="E41" s="872">
        <v>110.65834034676</v>
      </c>
      <c r="F41" s="872">
        <v>23.23599243</v>
      </c>
      <c r="G41" s="872">
        <v>2.933382511</v>
      </c>
      <c r="H41" s="877"/>
      <c r="I41" s="874">
        <v>2.15E12</v>
      </c>
      <c r="J41" s="874">
        <v>2.15E12</v>
      </c>
      <c r="K41" s="874">
        <v>2.15E12</v>
      </c>
      <c r="L41" s="874">
        <v>2.15E12</v>
      </c>
      <c r="M41" s="874">
        <v>2.15E12</v>
      </c>
      <c r="N41" s="874">
        <v>2.581E17</v>
      </c>
      <c r="O41" s="874">
        <v>2.15E12</v>
      </c>
      <c r="P41" s="874">
        <v>2.15E12</v>
      </c>
      <c r="Q41" s="874">
        <v>2.15E12</v>
      </c>
      <c r="R41" s="874">
        <v>2.15E12</v>
      </c>
      <c r="S41" s="874">
        <v>2.15E12</v>
      </c>
      <c r="T41" s="874">
        <v>1.59E15</v>
      </c>
      <c r="U41" s="874">
        <v>2.15E12</v>
      </c>
      <c r="V41" s="874">
        <v>1.59E15</v>
      </c>
      <c r="W41" s="874">
        <v>1.59E15</v>
      </c>
      <c r="X41" s="874">
        <v>1.794E17</v>
      </c>
      <c r="Y41" s="874">
        <v>2.15E12</v>
      </c>
      <c r="Z41" s="874">
        <v>3.71E18</v>
      </c>
      <c r="AA41" s="875"/>
      <c r="AB41" s="875"/>
    </row>
    <row r="42">
      <c r="A42" s="876"/>
      <c r="B42" s="872">
        <v>238.2</v>
      </c>
      <c r="C42" s="872">
        <v>1814.8817646387</v>
      </c>
      <c r="D42" s="872">
        <v>30.3225030784607</v>
      </c>
      <c r="E42" s="872">
        <v>116.725715006741</v>
      </c>
      <c r="F42" s="872">
        <v>23.65237236</v>
      </c>
      <c r="G42" s="872">
        <v>2.986705303</v>
      </c>
      <c r="H42" s="877"/>
      <c r="I42" s="874">
        <v>2.54E12</v>
      </c>
      <c r="J42" s="874">
        <v>2.54E12</v>
      </c>
      <c r="K42" s="874">
        <v>2.54E12</v>
      </c>
      <c r="L42" s="874">
        <v>2.54E12</v>
      </c>
      <c r="M42" s="874">
        <v>2.54E12</v>
      </c>
      <c r="N42" s="874">
        <v>3.2348E17</v>
      </c>
      <c r="O42" s="874">
        <v>2.54E12</v>
      </c>
      <c r="P42" s="874">
        <v>2.54E12</v>
      </c>
      <c r="Q42" s="874">
        <v>2.54E12</v>
      </c>
      <c r="R42" s="874">
        <v>2.54E12</v>
      </c>
      <c r="S42" s="874">
        <v>2.54E12</v>
      </c>
      <c r="T42" s="874">
        <v>1.92E15</v>
      </c>
      <c r="U42" s="874">
        <v>2.54E12</v>
      </c>
      <c r="V42" s="874">
        <v>1.92E15</v>
      </c>
      <c r="W42" s="874">
        <v>1.92E15</v>
      </c>
      <c r="X42" s="874">
        <v>2.2425E17</v>
      </c>
      <c r="Y42" s="874">
        <v>2.54E12</v>
      </c>
      <c r="Z42" s="874">
        <v>4.67E18</v>
      </c>
      <c r="AA42" s="875"/>
      <c r="AB42" s="875"/>
    </row>
    <row r="43">
      <c r="A43" s="876"/>
      <c r="B43" s="872">
        <v>247.237</v>
      </c>
      <c r="C43" s="872">
        <v>1934.79613771811</v>
      </c>
      <c r="D43" s="872">
        <v>32.1484174661636</v>
      </c>
      <c r="E43" s="872">
        <v>123.008521033787</v>
      </c>
      <c r="F43" s="872">
        <v>24.06116676</v>
      </c>
      <c r="G43" s="872">
        <v>3.039096832</v>
      </c>
      <c r="H43" s="877"/>
      <c r="I43" s="874">
        <v>2.97E12</v>
      </c>
      <c r="J43" s="874">
        <v>2.97E12</v>
      </c>
      <c r="K43" s="874">
        <v>2.97E12</v>
      </c>
      <c r="L43" s="874">
        <v>2.97E12</v>
      </c>
      <c r="M43" s="874">
        <v>2.97E12</v>
      </c>
      <c r="N43" s="874">
        <v>4.0153E17</v>
      </c>
      <c r="O43" s="874">
        <v>2.97E12</v>
      </c>
      <c r="P43" s="874">
        <v>2.97E12</v>
      </c>
      <c r="Q43" s="874">
        <v>2.97E12</v>
      </c>
      <c r="R43" s="874">
        <v>2.97E12</v>
      </c>
      <c r="S43" s="874">
        <v>2.97E12</v>
      </c>
      <c r="T43" s="874">
        <v>2.3E15</v>
      </c>
      <c r="U43" s="874">
        <v>2.97E12</v>
      </c>
      <c r="V43" s="874">
        <v>2.3E15</v>
      </c>
      <c r="W43" s="874">
        <v>2.3E15</v>
      </c>
      <c r="X43" s="874">
        <v>2.7766E17</v>
      </c>
      <c r="Y43" s="874">
        <v>2.97E12</v>
      </c>
      <c r="Z43" s="874">
        <v>5.81E18</v>
      </c>
      <c r="AA43" s="875"/>
      <c r="AB43" s="875"/>
    </row>
    <row r="44">
      <c r="A44" s="876"/>
      <c r="B44" s="872">
        <v>256.428</v>
      </c>
      <c r="C44" s="872">
        <v>2059.76272400565</v>
      </c>
      <c r="D44" s="872">
        <v>34.037344918251</v>
      </c>
      <c r="E44" s="872">
        <v>129.51021895713</v>
      </c>
      <c r="F44" s="872">
        <v>24.4624691</v>
      </c>
      <c r="G44" s="872">
        <v>3.090568066</v>
      </c>
      <c r="H44" s="877"/>
      <c r="I44" s="874">
        <v>3.46E12</v>
      </c>
      <c r="J44" s="874">
        <v>3.46E12</v>
      </c>
      <c r="K44" s="874">
        <v>3.46E12</v>
      </c>
      <c r="L44" s="874">
        <v>3.46E12</v>
      </c>
      <c r="M44" s="874">
        <v>3.46E12</v>
      </c>
      <c r="N44" s="874">
        <v>4.941E17</v>
      </c>
      <c r="O44" s="874">
        <v>3.46E12</v>
      </c>
      <c r="P44" s="874">
        <v>3.46E12</v>
      </c>
      <c r="Q44" s="874">
        <v>3.46E12</v>
      </c>
      <c r="R44" s="874">
        <v>3.46E12</v>
      </c>
      <c r="S44" s="874">
        <v>3.46E12</v>
      </c>
      <c r="T44" s="874">
        <v>2.73E15</v>
      </c>
      <c r="U44" s="874">
        <v>3.46E12</v>
      </c>
      <c r="V44" s="874">
        <v>2.73E15</v>
      </c>
      <c r="W44" s="874">
        <v>2.73E15</v>
      </c>
      <c r="X44" s="874">
        <v>3.4083E17</v>
      </c>
      <c r="Y44" s="874">
        <v>3.46E12</v>
      </c>
      <c r="Z44" s="874">
        <v>7.16E18</v>
      </c>
      <c r="AA44" s="875"/>
      <c r="AB44" s="875"/>
    </row>
    <row r="45">
      <c r="A45" s="876"/>
      <c r="B45" s="872">
        <v>265.773</v>
      </c>
      <c r="C45" s="872">
        <v>2189.87242438155</v>
      </c>
      <c r="D45" s="872">
        <v>35.9898919992447</v>
      </c>
      <c r="E45" s="872">
        <v>136.234244901707</v>
      </c>
      <c r="F45" s="872">
        <v>24.85636139</v>
      </c>
      <c r="G45" s="872">
        <v>3.141129017</v>
      </c>
      <c r="H45" s="877"/>
      <c r="I45" s="874">
        <v>3.99E12</v>
      </c>
      <c r="J45" s="874">
        <v>3.99E12</v>
      </c>
      <c r="K45" s="874">
        <v>3.99E12</v>
      </c>
      <c r="L45" s="874">
        <v>3.99E12</v>
      </c>
      <c r="M45" s="874">
        <v>3.99E12</v>
      </c>
      <c r="N45" s="874">
        <v>6.0324E17</v>
      </c>
      <c r="O45" s="874">
        <v>3.99E12</v>
      </c>
      <c r="P45" s="874">
        <v>3.99E12</v>
      </c>
      <c r="Q45" s="874">
        <v>3.99E12</v>
      </c>
      <c r="R45" s="874">
        <v>3.99E12</v>
      </c>
      <c r="S45" s="874">
        <v>3.99E12</v>
      </c>
      <c r="T45" s="874">
        <v>3.22E15</v>
      </c>
      <c r="U45" s="874">
        <v>3.99E12</v>
      </c>
      <c r="V45" s="874">
        <v>3.22E15</v>
      </c>
      <c r="W45" s="874">
        <v>3.22E15</v>
      </c>
      <c r="X45" s="874">
        <v>4.1511E17</v>
      </c>
      <c r="Y45" s="874">
        <v>3.99E12</v>
      </c>
      <c r="Z45" s="874">
        <v>8.77E18</v>
      </c>
      <c r="AA45" s="875"/>
      <c r="AB45" s="875"/>
    </row>
    <row r="46">
      <c r="A46" s="876"/>
      <c r="B46" s="872">
        <v>275.272</v>
      </c>
      <c r="C46" s="872">
        <v>2325.21565876901</v>
      </c>
      <c r="D46" s="872">
        <v>38.0066630764007</v>
      </c>
      <c r="E46" s="872">
        <v>143.184000826437</v>
      </c>
      <c r="F46" s="872">
        <v>25.24293709</v>
      </c>
      <c r="G46" s="872">
        <v>3.190790653</v>
      </c>
      <c r="H46" s="877"/>
      <c r="I46" s="874">
        <v>4.59E12</v>
      </c>
      <c r="J46" s="874">
        <v>4.59E12</v>
      </c>
      <c r="K46" s="874">
        <v>4.59E12</v>
      </c>
      <c r="L46" s="874">
        <v>4.59E12</v>
      </c>
      <c r="M46" s="874">
        <v>4.59E12</v>
      </c>
      <c r="N46" s="874">
        <v>7.3119E17</v>
      </c>
      <c r="O46" s="874">
        <v>4.59E12</v>
      </c>
      <c r="P46" s="874">
        <v>4.59E12</v>
      </c>
      <c r="Q46" s="874">
        <v>4.59E12</v>
      </c>
      <c r="R46" s="874">
        <v>4.59E12</v>
      </c>
      <c r="S46" s="874">
        <v>4.59E12</v>
      </c>
      <c r="T46" s="874">
        <v>3.78E15</v>
      </c>
      <c r="U46" s="874">
        <v>4.59E12</v>
      </c>
      <c r="V46" s="874">
        <v>3.78E15</v>
      </c>
      <c r="W46" s="874">
        <v>3.78E15</v>
      </c>
      <c r="X46" s="874">
        <v>5.0197E17</v>
      </c>
      <c r="Y46" s="874">
        <v>4.59E12</v>
      </c>
      <c r="Z46" s="874">
        <v>1.065E19</v>
      </c>
      <c r="AA46" s="875"/>
      <c r="AB46" s="875"/>
    </row>
    <row r="47">
      <c r="A47" s="876"/>
      <c r="B47" s="872">
        <v>284.925</v>
      </c>
      <c r="C47" s="872">
        <v>2465.88116374158</v>
      </c>
      <c r="D47" s="872">
        <v>40.0882489757538</v>
      </c>
      <c r="E47" s="872">
        <v>150.362844762509</v>
      </c>
      <c r="F47" s="872">
        <v>25.62228394</v>
      </c>
      <c r="G47" s="872">
        <v>3.239562988</v>
      </c>
      <c r="H47" s="877"/>
      <c r="I47" s="874">
        <v>5.24E12</v>
      </c>
      <c r="J47" s="874">
        <v>5.24E12</v>
      </c>
      <c r="K47" s="874">
        <v>5.24E12</v>
      </c>
      <c r="L47" s="874">
        <v>5.24E12</v>
      </c>
      <c r="M47" s="874">
        <v>5.24E12</v>
      </c>
      <c r="N47" s="874">
        <v>8.8041E17</v>
      </c>
      <c r="O47" s="874">
        <v>5.24E12</v>
      </c>
      <c r="P47" s="874">
        <v>5.24E12</v>
      </c>
      <c r="Q47" s="874">
        <v>5.24E12</v>
      </c>
      <c r="R47" s="874">
        <v>5.24E12</v>
      </c>
      <c r="S47" s="874">
        <v>5.24E12</v>
      </c>
      <c r="T47" s="874">
        <v>4.41E15</v>
      </c>
      <c r="U47" s="874">
        <v>5.24E12</v>
      </c>
      <c r="V47" s="874">
        <v>4.41E15</v>
      </c>
      <c r="W47" s="874">
        <v>4.41E15</v>
      </c>
      <c r="X47" s="874">
        <v>6.0303E17</v>
      </c>
      <c r="Y47" s="874">
        <v>5.24E12</v>
      </c>
      <c r="Z47" s="874">
        <v>1.285E19</v>
      </c>
      <c r="AA47" s="875"/>
      <c r="AB47" s="875"/>
    </row>
    <row r="48">
      <c r="A48" s="876"/>
      <c r="B48" s="872">
        <v>294.732</v>
      </c>
      <c r="C48" s="872">
        <v>2611.95767587281</v>
      </c>
      <c r="D48" s="872">
        <v>42.2352342891693</v>
      </c>
      <c r="E48" s="872">
        <v>157.774134741109</v>
      </c>
      <c r="F48" s="872">
        <v>25.99448776</v>
      </c>
      <c r="G48" s="872">
        <v>3.287456989</v>
      </c>
      <c r="H48" s="877"/>
      <c r="I48" s="874">
        <v>5.96E12</v>
      </c>
      <c r="J48" s="874">
        <v>5.96E12</v>
      </c>
      <c r="K48" s="874">
        <v>5.96E12</v>
      </c>
      <c r="L48" s="874">
        <v>5.96E12</v>
      </c>
      <c r="M48" s="874">
        <v>5.96E12</v>
      </c>
      <c r="N48" s="874">
        <v>1.05E18</v>
      </c>
      <c r="O48" s="874">
        <v>5.96E12</v>
      </c>
      <c r="P48" s="874">
        <v>5.96E12</v>
      </c>
      <c r="Q48" s="874">
        <v>5.96E12</v>
      </c>
      <c r="R48" s="874">
        <v>5.96E12</v>
      </c>
      <c r="S48" s="874">
        <v>5.96E12</v>
      </c>
      <c r="T48" s="874">
        <v>5.11E15</v>
      </c>
      <c r="U48" s="874">
        <v>5.96E12</v>
      </c>
      <c r="V48" s="874">
        <v>5.11E15</v>
      </c>
      <c r="W48" s="874">
        <v>5.11E15</v>
      </c>
      <c r="X48" s="874">
        <v>7.2003E17</v>
      </c>
      <c r="Y48" s="874">
        <v>5.96E12</v>
      </c>
      <c r="Z48" s="874">
        <v>1.542E19</v>
      </c>
      <c r="AA48" s="875"/>
      <c r="AB48" s="875"/>
    </row>
    <row r="49">
      <c r="A49" s="876"/>
      <c r="B49" s="872">
        <v>304.693</v>
      </c>
      <c r="C49" s="872">
        <v>2763.53417221477</v>
      </c>
      <c r="D49" s="872">
        <v>44.4481904249191</v>
      </c>
      <c r="E49" s="872">
        <v>165.421179984832</v>
      </c>
      <c r="F49" s="872">
        <v>26.35963821</v>
      </c>
      <c r="G49" s="872">
        <v>3.334482431</v>
      </c>
      <c r="H49" s="877"/>
      <c r="I49" s="874">
        <v>6.76E12</v>
      </c>
      <c r="J49" s="874">
        <v>6.76E12</v>
      </c>
      <c r="K49" s="874">
        <v>6.76E12</v>
      </c>
      <c r="L49" s="874">
        <v>6.76E12</v>
      </c>
      <c r="M49" s="874">
        <v>6.76E12</v>
      </c>
      <c r="N49" s="874">
        <v>1.25E18</v>
      </c>
      <c r="O49" s="874">
        <v>6.76E12</v>
      </c>
      <c r="P49" s="874">
        <v>6.76E12</v>
      </c>
      <c r="Q49" s="874">
        <v>6.76E12</v>
      </c>
      <c r="R49" s="874">
        <v>6.76E12</v>
      </c>
      <c r="S49" s="874">
        <v>6.76E12</v>
      </c>
      <c r="T49" s="874">
        <v>5.9E15</v>
      </c>
      <c r="U49" s="874">
        <v>6.76E12</v>
      </c>
      <c r="V49" s="874">
        <v>5.9E15</v>
      </c>
      <c r="W49" s="874">
        <v>5.9E15</v>
      </c>
      <c r="X49" s="874">
        <v>8.5491E17</v>
      </c>
      <c r="Y49" s="874">
        <v>6.76E12</v>
      </c>
      <c r="Z49" s="874">
        <v>1.839E19</v>
      </c>
      <c r="AA49" s="875"/>
      <c r="AB49" s="875"/>
    </row>
    <row r="50">
      <c r="A50" s="876"/>
      <c r="B50" s="872">
        <v>314.808</v>
      </c>
      <c r="C50" s="872">
        <v>2920.69818694843</v>
      </c>
      <c r="D50" s="872">
        <v>46.7276928281784</v>
      </c>
      <c r="E50" s="872">
        <v>173.307260431116</v>
      </c>
      <c r="F50" s="872">
        <v>26.7178154</v>
      </c>
      <c r="G50" s="872">
        <v>3.380649328</v>
      </c>
      <c r="H50" s="877"/>
      <c r="I50" s="874">
        <v>7.62E12</v>
      </c>
      <c r="J50" s="874">
        <v>7.62E12</v>
      </c>
      <c r="K50" s="874">
        <v>7.62E12</v>
      </c>
      <c r="L50" s="874">
        <v>7.62E12</v>
      </c>
      <c r="M50" s="874">
        <v>7.62E12</v>
      </c>
      <c r="N50" s="874">
        <v>1.48E18</v>
      </c>
      <c r="O50" s="874">
        <v>7.62E12</v>
      </c>
      <c r="P50" s="874">
        <v>7.62E12</v>
      </c>
      <c r="Q50" s="874">
        <v>7.62E12</v>
      </c>
      <c r="R50" s="874">
        <v>7.62E12</v>
      </c>
      <c r="S50" s="874">
        <v>7.62E12</v>
      </c>
      <c r="T50" s="874">
        <v>6.77E15</v>
      </c>
      <c r="U50" s="874">
        <v>7.62E12</v>
      </c>
      <c r="V50" s="874">
        <v>6.77E15</v>
      </c>
      <c r="W50" s="874">
        <v>6.77E15</v>
      </c>
      <c r="X50" s="874">
        <v>1.01E18</v>
      </c>
      <c r="Y50" s="874">
        <v>7.62E12</v>
      </c>
      <c r="Z50" s="874">
        <v>2.181E19</v>
      </c>
      <c r="AA50" s="875"/>
      <c r="AB50" s="875"/>
    </row>
    <row r="51">
      <c r="A51" s="876"/>
      <c r="B51" s="872">
        <v>325.077</v>
      </c>
      <c r="C51" s="872">
        <v>3083.53629234066</v>
      </c>
      <c r="D51" s="872">
        <v>49.0742953290939</v>
      </c>
      <c r="E51" s="872">
        <v>181.435646255682</v>
      </c>
      <c r="F51" s="872">
        <v>27.06910324</v>
      </c>
      <c r="G51" s="872">
        <v>3.425967455</v>
      </c>
      <c r="H51" s="876"/>
      <c r="I51" s="874">
        <v>8.56E12</v>
      </c>
      <c r="J51" s="874">
        <v>8.56E12</v>
      </c>
      <c r="K51" s="874">
        <v>8.56E12</v>
      </c>
      <c r="L51" s="874">
        <v>8.56E12</v>
      </c>
      <c r="M51" s="874">
        <v>8.56E12</v>
      </c>
      <c r="N51" s="874">
        <v>1.75E18</v>
      </c>
      <c r="O51" s="874">
        <v>8.56E12</v>
      </c>
      <c r="P51" s="874">
        <v>8.56E12</v>
      </c>
      <c r="Q51" s="874">
        <v>8.56E12</v>
      </c>
      <c r="R51" s="874">
        <v>8.56E12</v>
      </c>
      <c r="S51" s="874">
        <v>8.56E12</v>
      </c>
      <c r="T51" s="874">
        <v>7.74E15</v>
      </c>
      <c r="U51" s="874">
        <v>8.56E12</v>
      </c>
      <c r="V51" s="874">
        <v>7.74E15</v>
      </c>
      <c r="W51" s="874">
        <v>7.74E15</v>
      </c>
      <c r="X51" s="874">
        <v>1.19E18</v>
      </c>
      <c r="Y51" s="874">
        <v>8.56E12</v>
      </c>
      <c r="Z51" s="874">
        <v>2.574E19</v>
      </c>
      <c r="AA51" s="875"/>
      <c r="AB51" s="875"/>
    </row>
    <row r="52">
      <c r="A52" s="876"/>
      <c r="B52" s="872">
        <v>335.5</v>
      </c>
      <c r="C52" s="872">
        <v>3301.66088867188</v>
      </c>
      <c r="D52" s="872">
        <v>51.4885517578125</v>
      </c>
      <c r="E52" s="872">
        <v>191.670444970907</v>
      </c>
      <c r="F52" s="872">
        <v>27.41358948</v>
      </c>
      <c r="G52" s="872">
        <v>3.47044754</v>
      </c>
      <c r="H52" s="876"/>
      <c r="I52" s="874">
        <v>9.59E12</v>
      </c>
      <c r="J52" s="874">
        <v>9.59E12</v>
      </c>
      <c r="K52" s="874">
        <v>9.59E12</v>
      </c>
      <c r="L52" s="874">
        <v>9.59E12</v>
      </c>
      <c r="M52" s="874">
        <v>9.59E12</v>
      </c>
      <c r="N52" s="874">
        <v>2.05E18</v>
      </c>
      <c r="O52" s="874">
        <v>9.59E12</v>
      </c>
      <c r="P52" s="874">
        <v>9.59E12</v>
      </c>
      <c r="Q52" s="874">
        <v>9.59E12</v>
      </c>
      <c r="R52" s="874">
        <v>9.59E12</v>
      </c>
      <c r="S52" s="874">
        <v>9.59E12</v>
      </c>
      <c r="T52" s="874">
        <v>8.82E15</v>
      </c>
      <c r="U52" s="874">
        <v>9.59E12</v>
      </c>
      <c r="V52" s="874">
        <v>8.82E15</v>
      </c>
      <c r="W52" s="874">
        <v>8.82E15</v>
      </c>
      <c r="X52" s="874">
        <v>1.39E18</v>
      </c>
      <c r="Y52" s="874">
        <v>9.59E12</v>
      </c>
      <c r="Z52" s="874">
        <v>3.024E19</v>
      </c>
      <c r="AA52" s="875"/>
      <c r="AB52" s="875"/>
    </row>
    <row r="53">
      <c r="A53" s="876"/>
      <c r="B53" s="872">
        <v>346.077</v>
      </c>
      <c r="C53" s="872">
        <v>3478.76416015625</v>
      </c>
      <c r="D53" s="872">
        <v>53.971015586853</v>
      </c>
      <c r="E53" s="872">
        <v>200.377651320844</v>
      </c>
      <c r="F53" s="872">
        <v>27.75135612</v>
      </c>
      <c r="G53" s="872">
        <v>3.514098883</v>
      </c>
      <c r="H53" s="876"/>
      <c r="I53" s="874">
        <v>1.07E13</v>
      </c>
      <c r="J53" s="874">
        <v>1.07E13</v>
      </c>
      <c r="K53" s="874">
        <v>1.07E13</v>
      </c>
      <c r="L53" s="874">
        <v>1.07E13</v>
      </c>
      <c r="M53" s="874">
        <v>1.07E13</v>
      </c>
      <c r="N53" s="878">
        <v>2.39E18</v>
      </c>
      <c r="O53" s="874">
        <v>1.07E13</v>
      </c>
      <c r="P53" s="874">
        <v>1.07E13</v>
      </c>
      <c r="Q53" s="874">
        <v>1.07E13</v>
      </c>
      <c r="R53" s="874">
        <v>1.07E13</v>
      </c>
      <c r="S53" s="874">
        <v>1.07E13</v>
      </c>
      <c r="T53" s="874">
        <v>1.001E16</v>
      </c>
      <c r="U53" s="874">
        <v>1.07E13</v>
      </c>
      <c r="V53" s="874">
        <v>1.001E16</v>
      </c>
      <c r="W53" s="874">
        <v>1.001E16</v>
      </c>
      <c r="X53" s="878">
        <v>1.62E18</v>
      </c>
      <c r="Y53" s="874">
        <v>1.07E13</v>
      </c>
      <c r="Z53" s="878">
        <v>3.537E19</v>
      </c>
      <c r="AA53" s="875"/>
      <c r="AB53" s="875"/>
    </row>
    <row r="54">
      <c r="A54" s="876"/>
      <c r="B54" s="872">
        <v>356.808</v>
      </c>
      <c r="C54" s="872">
        <v>3661.89135742188</v>
      </c>
      <c r="D54" s="872">
        <v>56.5222186737061</v>
      </c>
      <c r="E54" s="872">
        <v>209.339267864887</v>
      </c>
      <c r="F54" s="872">
        <v>28.08248329</v>
      </c>
      <c r="G54" s="872">
        <v>3.556931019</v>
      </c>
      <c r="H54" s="876"/>
      <c r="I54" s="874">
        <v>1.37E13</v>
      </c>
      <c r="J54" s="874">
        <v>1.37E13</v>
      </c>
      <c r="K54" s="874">
        <v>1.37E13</v>
      </c>
      <c r="L54" s="874">
        <v>1.37E13</v>
      </c>
      <c r="M54" s="874">
        <v>1.37E13</v>
      </c>
      <c r="N54" s="878">
        <v>3.2E18</v>
      </c>
      <c r="O54" s="874">
        <v>1.37E13</v>
      </c>
      <c r="P54" s="874">
        <v>1.37E13</v>
      </c>
      <c r="Q54" s="874">
        <v>1.37E13</v>
      </c>
      <c r="R54" s="874">
        <v>1.37E13</v>
      </c>
      <c r="S54" s="874">
        <v>1.37E13</v>
      </c>
      <c r="T54" s="874">
        <v>1.301E16</v>
      </c>
      <c r="U54" s="874">
        <v>1.37E13</v>
      </c>
      <c r="V54" s="874">
        <v>1.301E16</v>
      </c>
      <c r="W54" s="874">
        <v>1.301E16</v>
      </c>
      <c r="X54" s="878">
        <v>2.16E18</v>
      </c>
      <c r="Y54" s="874">
        <v>1.37E13</v>
      </c>
      <c r="Z54" s="878">
        <v>4.738E19</v>
      </c>
      <c r="AA54" s="875"/>
      <c r="AB54" s="875"/>
    </row>
    <row r="55">
      <c r="A55" s="876"/>
      <c r="B55" s="872">
        <v>367.693</v>
      </c>
      <c r="C55" s="872">
        <v>3851.1279296875</v>
      </c>
      <c r="D55" s="872">
        <v>59.1426971511841</v>
      </c>
      <c r="E55" s="872">
        <v>218.558478550212</v>
      </c>
      <c r="F55" s="872">
        <v>28.40705109</v>
      </c>
      <c r="G55" s="872">
        <v>3.598953962</v>
      </c>
      <c r="H55" s="876"/>
      <c r="I55" s="874">
        <v>1.718E13</v>
      </c>
      <c r="J55" s="874">
        <v>1.718E13</v>
      </c>
      <c r="K55" s="874">
        <v>1.718E13</v>
      </c>
      <c r="L55" s="874">
        <v>1.718E13</v>
      </c>
      <c r="M55" s="874">
        <v>1.718E13</v>
      </c>
      <c r="N55" s="878">
        <v>4.19E18</v>
      </c>
      <c r="O55" s="874">
        <v>1.718E13</v>
      </c>
      <c r="P55" s="874">
        <v>1.718E13</v>
      </c>
      <c r="Q55" s="874">
        <v>1.718E13</v>
      </c>
      <c r="R55" s="874">
        <v>1.718E13</v>
      </c>
      <c r="S55" s="874">
        <v>1.718E13</v>
      </c>
      <c r="T55" s="874">
        <v>1.658E16</v>
      </c>
      <c r="U55" s="874">
        <v>1.718E13</v>
      </c>
      <c r="V55" s="874">
        <v>1.658E16</v>
      </c>
      <c r="W55" s="874">
        <v>1.658E16</v>
      </c>
      <c r="X55" s="878">
        <v>2.82E18</v>
      </c>
      <c r="Y55" s="874">
        <v>1.718E13</v>
      </c>
      <c r="Z55" s="878">
        <v>6.214E19</v>
      </c>
      <c r="AA55" s="875"/>
      <c r="AB55" s="875"/>
    </row>
    <row r="56">
      <c r="A56" s="876"/>
      <c r="B56" s="872">
        <v>378.732</v>
      </c>
      <c r="C56" s="872">
        <v>4046.56103515625</v>
      </c>
      <c r="D56" s="872">
        <v>61.8329739685059</v>
      </c>
      <c r="E56" s="872">
        <v>228.038457466575</v>
      </c>
      <c r="F56" s="872">
        <v>28.72514153</v>
      </c>
      <c r="G56" s="872">
        <v>3.640177011</v>
      </c>
      <c r="H56" s="876"/>
      <c r="I56" s="874">
        <v>2.121E13</v>
      </c>
      <c r="J56" s="874">
        <v>2.121E13</v>
      </c>
      <c r="K56" s="874">
        <v>2.121E13</v>
      </c>
      <c r="L56" s="874">
        <v>2.121E13</v>
      </c>
      <c r="M56" s="874">
        <v>2.121E13</v>
      </c>
      <c r="N56" s="878">
        <v>5.39E18</v>
      </c>
      <c r="O56" s="874">
        <v>2.121E13</v>
      </c>
      <c r="P56" s="874">
        <v>2.121E13</v>
      </c>
      <c r="Q56" s="874">
        <v>2.121E13</v>
      </c>
      <c r="R56" s="874">
        <v>2.121E13</v>
      </c>
      <c r="S56" s="874">
        <v>2.121E13</v>
      </c>
      <c r="T56" s="874">
        <v>2.077E16</v>
      </c>
      <c r="U56" s="874">
        <v>2.121E13</v>
      </c>
      <c r="V56" s="874">
        <v>2.077E16</v>
      </c>
      <c r="W56" s="874">
        <v>2.077E16</v>
      </c>
      <c r="X56" s="878">
        <v>3.62E18</v>
      </c>
      <c r="Y56" s="874">
        <v>2.121E13</v>
      </c>
      <c r="Z56" s="878">
        <v>8.012E19</v>
      </c>
      <c r="AA56" s="875"/>
      <c r="AB56" s="875"/>
    </row>
    <row r="57">
      <c r="A57" s="876"/>
      <c r="B57" s="872">
        <v>389.925</v>
      </c>
      <c r="C57" s="872">
        <v>4248.275390625</v>
      </c>
      <c r="D57" s="872">
        <v>64.59357670784</v>
      </c>
      <c r="E57" s="872">
        <v>237.782358988888</v>
      </c>
      <c r="F57" s="872">
        <v>29.0368309</v>
      </c>
      <c r="G57" s="872">
        <v>3.680609226</v>
      </c>
      <c r="H57" s="876"/>
      <c r="I57" s="874">
        <v>2.583E13</v>
      </c>
      <c r="J57" s="874">
        <v>2.583E13</v>
      </c>
      <c r="K57" s="874">
        <v>2.583E13</v>
      </c>
      <c r="L57" s="874">
        <v>2.583E13</v>
      </c>
      <c r="M57" s="874">
        <v>2.583E13</v>
      </c>
      <c r="N57" s="878">
        <v>6.83E18</v>
      </c>
      <c r="O57" s="874">
        <v>2.583E13</v>
      </c>
      <c r="P57" s="874">
        <v>2.583E13</v>
      </c>
      <c r="Q57" s="874">
        <v>2.583E13</v>
      </c>
      <c r="R57" s="874">
        <v>2.583E13</v>
      </c>
      <c r="S57" s="874">
        <v>2.583E13</v>
      </c>
      <c r="T57" s="874">
        <v>2.567E16</v>
      </c>
      <c r="U57" s="874">
        <v>2.583E13</v>
      </c>
      <c r="V57" s="874">
        <v>2.567E16</v>
      </c>
      <c r="W57" s="874">
        <v>2.567E16</v>
      </c>
      <c r="X57" s="878">
        <v>4.59E18</v>
      </c>
      <c r="Y57" s="874">
        <v>2.583E13</v>
      </c>
      <c r="Z57" s="878">
        <v>1.0184E20</v>
      </c>
      <c r="AA57" s="875"/>
      <c r="AB57" s="875"/>
    </row>
    <row r="58">
      <c r="A58" s="876"/>
      <c r="B58" s="872">
        <v>401.272</v>
      </c>
      <c r="C58" s="872">
        <v>4456.3564453125</v>
      </c>
      <c r="D58" s="872">
        <v>67.4250146579742</v>
      </c>
      <c r="E58" s="872">
        <v>247.793298062377</v>
      </c>
      <c r="F58" s="872">
        <v>29.34219933</v>
      </c>
      <c r="G58" s="872">
        <v>3.72026062</v>
      </c>
      <c r="H58" s="876"/>
      <c r="I58" s="874">
        <v>3.111E13</v>
      </c>
      <c r="J58" s="874">
        <v>3.111E13</v>
      </c>
      <c r="K58" s="874">
        <v>3.111E13</v>
      </c>
      <c r="L58" s="874">
        <v>3.111E13</v>
      </c>
      <c r="M58" s="874">
        <v>3.111E13</v>
      </c>
      <c r="N58" s="878">
        <v>8.57E18</v>
      </c>
      <c r="O58" s="874">
        <v>3.111E13</v>
      </c>
      <c r="P58" s="874">
        <v>3.111E13</v>
      </c>
      <c r="Q58" s="874">
        <v>3.111E13</v>
      </c>
      <c r="R58" s="874">
        <v>3.111E13</v>
      </c>
      <c r="S58" s="874">
        <v>3.111E13</v>
      </c>
      <c r="T58" s="874">
        <v>3.136E16</v>
      </c>
      <c r="U58" s="874">
        <v>3.111E13</v>
      </c>
      <c r="V58" s="874">
        <v>3.136E16</v>
      </c>
      <c r="W58" s="874">
        <v>3.136E16</v>
      </c>
      <c r="X58" s="878">
        <v>5.74E18</v>
      </c>
      <c r="Y58" s="874">
        <v>3.111E13</v>
      </c>
      <c r="Z58" s="878">
        <v>1.2788E20</v>
      </c>
      <c r="AA58" s="875"/>
      <c r="AB58" s="875"/>
    </row>
    <row r="59">
      <c r="A59" s="876"/>
      <c r="B59" s="872">
        <v>412.773</v>
      </c>
      <c r="C59" s="872">
        <v>4670.888671875</v>
      </c>
      <c r="D59" s="872">
        <v>70.327793428421</v>
      </c>
      <c r="E59" s="872">
        <v>258.074389632269</v>
      </c>
      <c r="F59" s="872">
        <v>29.6413269</v>
      </c>
      <c r="G59" s="872">
        <v>3.759140015</v>
      </c>
      <c r="H59" s="876"/>
      <c r="I59" s="874">
        <v>3.711E13</v>
      </c>
      <c r="J59" s="874">
        <v>3.711E13</v>
      </c>
      <c r="K59" s="874">
        <v>3.711E13</v>
      </c>
      <c r="L59" s="874">
        <v>3.711E13</v>
      </c>
      <c r="M59" s="874">
        <v>3.711E13</v>
      </c>
      <c r="N59" s="878">
        <v>1.062E19</v>
      </c>
      <c r="O59" s="874">
        <v>3.711E13</v>
      </c>
      <c r="P59" s="874">
        <v>3.711E13</v>
      </c>
      <c r="Q59" s="874">
        <v>3.711E13</v>
      </c>
      <c r="R59" s="874">
        <v>3.711E13</v>
      </c>
      <c r="S59" s="874">
        <v>3.711E13</v>
      </c>
      <c r="T59" s="874">
        <v>3.793E16</v>
      </c>
      <c r="U59" s="874">
        <v>3.711E13</v>
      </c>
      <c r="V59" s="874">
        <v>3.793E16</v>
      </c>
      <c r="W59" s="874">
        <v>3.793E16</v>
      </c>
      <c r="X59" s="878">
        <v>7.1E18</v>
      </c>
      <c r="Y59" s="874">
        <v>3.711E13</v>
      </c>
      <c r="Z59" s="878">
        <v>1.5891E20</v>
      </c>
      <c r="AA59" s="875"/>
      <c r="AB59" s="875"/>
    </row>
    <row r="60">
      <c r="A60" s="876"/>
      <c r="B60" s="872">
        <v>424.428</v>
      </c>
      <c r="C60" s="872">
        <v>4891.95654296875</v>
      </c>
      <c r="D60" s="872">
        <v>73.3024227848053</v>
      </c>
      <c r="E60" s="872">
        <v>268.628709214102</v>
      </c>
      <c r="F60" s="872">
        <v>29.93428421</v>
      </c>
      <c r="G60" s="872">
        <v>3.797256947</v>
      </c>
      <c r="H60" s="876"/>
      <c r="I60" s="874">
        <v>4.389E13</v>
      </c>
      <c r="J60" s="874">
        <v>4.389E13</v>
      </c>
      <c r="K60" s="874">
        <v>4.389E13</v>
      </c>
      <c r="L60" s="874">
        <v>4.389E13</v>
      </c>
      <c r="M60" s="874">
        <v>4.389E13</v>
      </c>
      <c r="N60" s="878">
        <v>1.306E19</v>
      </c>
      <c r="O60" s="874">
        <v>4.389E13</v>
      </c>
      <c r="P60" s="874">
        <v>4.389E13</v>
      </c>
      <c r="Q60" s="874">
        <v>4.389E13</v>
      </c>
      <c r="R60" s="874">
        <v>4.389E13</v>
      </c>
      <c r="S60" s="874">
        <v>4.389E13</v>
      </c>
      <c r="T60" s="874">
        <v>4.547E16</v>
      </c>
      <c r="U60" s="874">
        <v>4.389E13</v>
      </c>
      <c r="V60" s="874">
        <v>4.547E16</v>
      </c>
      <c r="W60" s="874">
        <v>4.547E16</v>
      </c>
      <c r="X60" s="878">
        <v>8.72E18</v>
      </c>
      <c r="Y60" s="874">
        <v>4.389E13</v>
      </c>
      <c r="Z60" s="878">
        <v>1.9563E20</v>
      </c>
      <c r="AA60" s="875"/>
      <c r="AB60" s="875"/>
    </row>
    <row r="61">
      <c r="A61" s="876"/>
      <c r="B61" s="872">
        <v>436.237</v>
      </c>
      <c r="C61" s="872">
        <v>5119.6435546875</v>
      </c>
      <c r="D61" s="872">
        <v>76.3493993091583</v>
      </c>
      <c r="E61" s="872">
        <v>279.459332323417</v>
      </c>
      <c r="F61" s="872">
        <v>30.22114944</v>
      </c>
      <c r="G61" s="872">
        <v>3.834619522</v>
      </c>
      <c r="H61" s="876"/>
      <c r="I61" s="874">
        <v>5.152E13</v>
      </c>
      <c r="J61" s="874">
        <v>5.152E13</v>
      </c>
      <c r="K61" s="874">
        <v>5.152E13</v>
      </c>
      <c r="L61" s="874">
        <v>5.152E13</v>
      </c>
      <c r="M61" s="874">
        <v>5.152E13</v>
      </c>
      <c r="N61" s="878">
        <v>1.592E19</v>
      </c>
      <c r="O61" s="874">
        <v>5.152E13</v>
      </c>
      <c r="P61" s="874">
        <v>5.152E13</v>
      </c>
      <c r="Q61" s="874">
        <v>5.152E13</v>
      </c>
      <c r="R61" s="874">
        <v>5.152E13</v>
      </c>
      <c r="S61" s="874">
        <v>5.152E13</v>
      </c>
      <c r="T61" s="874">
        <v>5.409E16</v>
      </c>
      <c r="U61" s="874">
        <v>5.152E13</v>
      </c>
      <c r="V61" s="874">
        <v>5.409E16</v>
      </c>
      <c r="W61" s="874">
        <v>5.409E16</v>
      </c>
      <c r="X61" s="878">
        <v>1.06E19</v>
      </c>
      <c r="Y61" s="874">
        <v>5.152E13</v>
      </c>
      <c r="Z61" s="878">
        <v>2.3888E20</v>
      </c>
      <c r="AA61" s="875"/>
      <c r="AB61" s="875"/>
    </row>
    <row r="62">
      <c r="A62" s="876"/>
      <c r="B62" s="872">
        <v>448.2</v>
      </c>
      <c r="C62" s="872">
        <v>5354.033203125</v>
      </c>
      <c r="D62" s="872">
        <v>79.4692107944489</v>
      </c>
      <c r="E62" s="872">
        <v>290.569275331223</v>
      </c>
      <c r="F62" s="872">
        <v>30.50200081</v>
      </c>
      <c r="G62" s="872">
        <v>3.871237755</v>
      </c>
      <c r="H62" s="876"/>
      <c r="I62" s="874">
        <v>6.008E13</v>
      </c>
      <c r="J62" s="874">
        <v>6.008E13</v>
      </c>
      <c r="K62" s="874">
        <v>6.008E13</v>
      </c>
      <c r="L62" s="874">
        <v>6.008E13</v>
      </c>
      <c r="M62" s="874">
        <v>6.008E13</v>
      </c>
      <c r="N62" s="878">
        <v>1.926E19</v>
      </c>
      <c r="O62" s="874">
        <v>6.008E13</v>
      </c>
      <c r="P62" s="874">
        <v>6.008E13</v>
      </c>
      <c r="Q62" s="874">
        <v>6.008E13</v>
      </c>
      <c r="R62" s="874">
        <v>6.008E13</v>
      </c>
      <c r="S62" s="874">
        <v>6.008E13</v>
      </c>
      <c r="T62" s="874">
        <v>6.39E16</v>
      </c>
      <c r="U62" s="874">
        <v>6.008E13</v>
      </c>
      <c r="V62" s="874">
        <v>6.39E16</v>
      </c>
      <c r="W62" s="874">
        <v>6.39E16</v>
      </c>
      <c r="X62" s="878">
        <v>1.281E19</v>
      </c>
      <c r="Y62" s="874">
        <v>6.008E13</v>
      </c>
      <c r="Z62" s="878">
        <v>2.8953E20</v>
      </c>
      <c r="AA62" s="875"/>
      <c r="AB62" s="875"/>
    </row>
    <row r="63">
      <c r="A63" s="876"/>
      <c r="B63" s="872">
        <v>460.317</v>
      </c>
      <c r="C63" s="872">
        <v>5595.208984375</v>
      </c>
      <c r="D63" s="872">
        <v>82.662358455658</v>
      </c>
      <c r="E63" s="872">
        <v>301.961613753061</v>
      </c>
      <c r="F63" s="872">
        <v>30.77691078</v>
      </c>
      <c r="G63" s="872">
        <v>3.907119513</v>
      </c>
      <c r="H63" s="876"/>
      <c r="I63" s="874">
        <v>6.965E13</v>
      </c>
      <c r="J63" s="874">
        <v>6.965E13</v>
      </c>
      <c r="K63" s="874">
        <v>6.965E13</v>
      </c>
      <c r="L63" s="874">
        <v>6.965E13</v>
      </c>
      <c r="M63" s="874">
        <v>6.965E13</v>
      </c>
      <c r="N63" s="878">
        <v>2.315E19</v>
      </c>
      <c r="O63" s="874">
        <v>6.965E13</v>
      </c>
      <c r="P63" s="874">
        <v>6.965E13</v>
      </c>
      <c r="Q63" s="874">
        <v>6.965E13</v>
      </c>
      <c r="R63" s="874">
        <v>6.965E13</v>
      </c>
      <c r="S63" s="874">
        <v>6.965E13</v>
      </c>
      <c r="T63" s="874">
        <v>7.502E16</v>
      </c>
      <c r="U63" s="874">
        <v>6.965E13</v>
      </c>
      <c r="V63" s="874">
        <v>7.502E16</v>
      </c>
      <c r="W63" s="874">
        <v>7.502E16</v>
      </c>
      <c r="X63" s="878">
        <v>1.537E19</v>
      </c>
      <c r="Y63" s="874">
        <v>6.965E13</v>
      </c>
      <c r="Z63" s="875"/>
      <c r="AA63" s="875"/>
      <c r="AB63" s="875"/>
    </row>
    <row r="64">
      <c r="A64" s="876"/>
      <c r="B64" s="872">
        <v>472.588</v>
      </c>
      <c r="C64" s="872">
        <v>5843.25341796875</v>
      </c>
      <c r="D64" s="872">
        <v>85.9292988471985</v>
      </c>
      <c r="E64" s="872">
        <v>313.639304815409</v>
      </c>
      <c r="F64" s="872">
        <v>31.04595566</v>
      </c>
      <c r="G64" s="872">
        <v>3.942274809</v>
      </c>
      <c r="H64" s="876"/>
      <c r="I64" s="874">
        <v>8.031E13</v>
      </c>
      <c r="J64" s="874">
        <v>8.031E13</v>
      </c>
      <c r="K64" s="874">
        <v>8.031E13</v>
      </c>
      <c r="L64" s="874">
        <v>8.031E13</v>
      </c>
      <c r="M64" s="874">
        <v>8.031E13</v>
      </c>
      <c r="N64" s="878">
        <v>2.765E19</v>
      </c>
      <c r="O64" s="874">
        <v>8.031E13</v>
      </c>
      <c r="P64" s="874">
        <v>8.031E13</v>
      </c>
      <c r="Q64" s="874">
        <v>8.031E13</v>
      </c>
      <c r="R64" s="874">
        <v>8.031E13</v>
      </c>
      <c r="S64" s="874">
        <v>8.031E13</v>
      </c>
      <c r="T64" s="874">
        <v>8.757E16</v>
      </c>
      <c r="U64" s="874">
        <v>8.031E13</v>
      </c>
      <c r="V64" s="874">
        <v>8.757E16</v>
      </c>
      <c r="W64" s="874">
        <v>8.757E16</v>
      </c>
      <c r="X64" s="878">
        <v>1.833E19</v>
      </c>
      <c r="Y64" s="874">
        <v>8.031E13</v>
      </c>
      <c r="Z64" s="875"/>
      <c r="AA64" s="875"/>
      <c r="AB64" s="875"/>
    </row>
    <row r="65">
      <c r="A65" s="876"/>
      <c r="B65" s="872">
        <v>485.013</v>
      </c>
      <c r="C65" s="872">
        <v>6098.248046875</v>
      </c>
      <c r="D65" s="872">
        <v>89.2705331840515</v>
      </c>
      <c r="E65" s="872">
        <v>325.605345174435</v>
      </c>
      <c r="F65" s="872">
        <v>31.3092041</v>
      </c>
      <c r="G65" s="872">
        <v>3.976711273</v>
      </c>
      <c r="H65" s="876"/>
      <c r="I65" s="874">
        <v>9.214E13</v>
      </c>
      <c r="J65" s="874">
        <v>9.214E13</v>
      </c>
      <c r="K65" s="874">
        <v>9.214E13</v>
      </c>
      <c r="L65" s="874">
        <v>9.214E13</v>
      </c>
      <c r="M65" s="874">
        <v>9.214E13</v>
      </c>
      <c r="N65" s="878">
        <v>3.285E19</v>
      </c>
      <c r="O65" s="874">
        <v>9.214E13</v>
      </c>
      <c r="P65" s="874">
        <v>9.214E13</v>
      </c>
      <c r="Q65" s="874">
        <v>9.214E13</v>
      </c>
      <c r="R65" s="874">
        <v>9.214E13</v>
      </c>
      <c r="S65" s="874">
        <v>9.214E13</v>
      </c>
      <c r="T65" s="874">
        <v>1.0169E17</v>
      </c>
      <c r="U65" s="874">
        <v>9.214E13</v>
      </c>
      <c r="V65" s="874">
        <v>1.0169E17</v>
      </c>
      <c r="W65" s="874">
        <v>1.0169E17</v>
      </c>
      <c r="X65" s="878">
        <v>2.174E19</v>
      </c>
      <c r="Y65" s="874">
        <v>9.214E13</v>
      </c>
      <c r="Z65" s="875"/>
      <c r="AA65" s="875"/>
      <c r="AB65" s="875"/>
    </row>
    <row r="66">
      <c r="A66" s="876"/>
      <c r="B66" s="872">
        <v>497.592</v>
      </c>
      <c r="C66" s="872">
        <v>6360.27490234375</v>
      </c>
      <c r="D66" s="872">
        <v>92.6865272865295</v>
      </c>
      <c r="E66" s="872">
        <v>337.862731486307</v>
      </c>
      <c r="F66" s="872">
        <v>31.56672668</v>
      </c>
      <c r="G66" s="872">
        <v>4.010437965</v>
      </c>
      <c r="H66" s="876"/>
      <c r="I66" s="874">
        <v>1.0523E14</v>
      </c>
      <c r="J66" s="874">
        <v>1.0523E14</v>
      </c>
      <c r="K66" s="874">
        <v>1.0523E14</v>
      </c>
      <c r="L66" s="874">
        <v>1.0523E14</v>
      </c>
      <c r="M66" s="874">
        <v>1.0523E14</v>
      </c>
      <c r="N66" s="878">
        <v>3.882E19</v>
      </c>
      <c r="O66" s="874">
        <v>1.0523E14</v>
      </c>
      <c r="P66" s="874">
        <v>1.0523E14</v>
      </c>
      <c r="Q66" s="874">
        <v>1.0523E14</v>
      </c>
      <c r="R66" s="874">
        <v>1.0523E14</v>
      </c>
      <c r="S66" s="874">
        <v>1.0523E14</v>
      </c>
      <c r="T66" s="874">
        <v>1.1752E17</v>
      </c>
      <c r="U66" s="874">
        <v>1.0523E14</v>
      </c>
      <c r="V66" s="874">
        <v>1.1752E17</v>
      </c>
      <c r="W66" s="874">
        <v>1.1752E17</v>
      </c>
      <c r="X66" s="878">
        <v>2.566E19</v>
      </c>
      <c r="Y66" s="874">
        <v>1.0523E14</v>
      </c>
      <c r="Z66" s="875"/>
      <c r="AA66" s="875"/>
      <c r="AB66" s="875"/>
    </row>
    <row r="67">
      <c r="A67" s="876"/>
      <c r="B67" s="872">
        <v>510.325</v>
      </c>
      <c r="C67" s="872">
        <v>6629.41650390625</v>
      </c>
      <c r="D67" s="872">
        <v>96.1777381858826</v>
      </c>
      <c r="E67" s="872">
        <v>350.414381547817</v>
      </c>
      <c r="F67" s="872">
        <v>31.81859779</v>
      </c>
      <c r="G67" s="872">
        <v>4.043462753</v>
      </c>
      <c r="H67" s="876"/>
      <c r="I67" s="874">
        <v>1.1969E14</v>
      </c>
      <c r="J67" s="874">
        <v>1.1969E14</v>
      </c>
      <c r="K67" s="874">
        <v>1.1969E14</v>
      </c>
      <c r="L67" s="874">
        <v>1.1969E14</v>
      </c>
      <c r="M67" s="874">
        <v>1.1969E14</v>
      </c>
      <c r="N67" s="878">
        <v>4.567E19</v>
      </c>
      <c r="O67" s="874">
        <v>1.1969E14</v>
      </c>
      <c r="P67" s="874">
        <v>1.1969E14</v>
      </c>
      <c r="Q67" s="874">
        <v>1.1969E14</v>
      </c>
      <c r="R67" s="874">
        <v>1.1969E14</v>
      </c>
      <c r="S67" s="874">
        <v>1.1969E14</v>
      </c>
      <c r="T67" s="874">
        <v>1.3522E17</v>
      </c>
      <c r="U67" s="874">
        <v>1.1969E14</v>
      </c>
      <c r="V67" s="874">
        <v>1.3522E17</v>
      </c>
      <c r="W67" s="874">
        <v>1.3522E17</v>
      </c>
      <c r="X67" s="878">
        <v>3.013E19</v>
      </c>
      <c r="Y67" s="874">
        <v>1.1969E14</v>
      </c>
      <c r="Z67" s="875"/>
      <c r="AA67" s="875"/>
      <c r="AB67" s="875"/>
    </row>
    <row r="68">
      <c r="A68" s="876"/>
      <c r="B68" s="872">
        <v>523.212</v>
      </c>
      <c r="C68" s="872">
        <v>6905.75244140625</v>
      </c>
      <c r="D68" s="872">
        <v>99.7446492805481</v>
      </c>
      <c r="E68" s="872">
        <v>363.263272300289</v>
      </c>
      <c r="F68" s="872">
        <v>32.064888</v>
      </c>
      <c r="G68" s="872">
        <v>4.07579565</v>
      </c>
      <c r="H68" s="876"/>
      <c r="I68" s="874">
        <v>1.3561E14</v>
      </c>
      <c r="J68" s="874">
        <v>1.3561E14</v>
      </c>
      <c r="K68" s="874">
        <v>1.3561E14</v>
      </c>
      <c r="L68" s="874">
        <v>1.3561E14</v>
      </c>
      <c r="M68" s="874">
        <v>1.3561E14</v>
      </c>
      <c r="N68" s="878">
        <v>5.348E19</v>
      </c>
      <c r="O68" s="874">
        <v>1.3561E14</v>
      </c>
      <c r="P68" s="874">
        <v>1.3561E14</v>
      </c>
      <c r="Q68" s="874">
        <v>1.3561E14</v>
      </c>
      <c r="R68" s="874">
        <v>1.3561E14</v>
      </c>
      <c r="S68" s="874">
        <v>1.3561E14</v>
      </c>
      <c r="T68" s="874">
        <v>1.5495E17</v>
      </c>
      <c r="U68" s="874">
        <v>1.3561E14</v>
      </c>
      <c r="V68" s="874">
        <v>1.5495E17</v>
      </c>
      <c r="W68" s="874">
        <v>1.5495E17</v>
      </c>
      <c r="X68" s="878">
        <v>3.523E19</v>
      </c>
      <c r="Y68" s="874">
        <v>1.3561E14</v>
      </c>
      <c r="Z68" s="875"/>
      <c r="AA68" s="875"/>
      <c r="AB68" s="875"/>
    </row>
    <row r="69">
      <c r="A69" s="876"/>
      <c r="B69" s="872">
        <v>536.253</v>
      </c>
      <c r="C69" s="872">
        <v>7189.36474609375</v>
      </c>
      <c r="D69" s="872">
        <v>103.387700023651</v>
      </c>
      <c r="E69" s="872">
        <v>376.412262395988</v>
      </c>
      <c r="F69" s="872">
        <v>32.30567169</v>
      </c>
      <c r="G69" s="872">
        <v>4.107442856</v>
      </c>
      <c r="H69" s="876"/>
      <c r="I69" s="874">
        <v>1.531E14</v>
      </c>
      <c r="J69" s="874">
        <v>1.531E14</v>
      </c>
      <c r="K69" s="874">
        <v>1.531E14</v>
      </c>
      <c r="L69" s="874">
        <v>1.531E14</v>
      </c>
      <c r="M69" s="874">
        <v>1.531E14</v>
      </c>
      <c r="N69" s="878">
        <v>6.237E19</v>
      </c>
      <c r="O69" s="874">
        <v>1.531E14</v>
      </c>
      <c r="P69" s="874">
        <v>1.531E14</v>
      </c>
      <c r="Q69" s="874">
        <v>1.531E14</v>
      </c>
      <c r="R69" s="874">
        <v>1.531E14</v>
      </c>
      <c r="S69" s="874">
        <v>1.531E14</v>
      </c>
      <c r="T69" s="874">
        <v>1.7687E17</v>
      </c>
      <c r="U69" s="874">
        <v>1.531E14</v>
      </c>
      <c r="V69" s="874">
        <v>1.7687E17</v>
      </c>
      <c r="W69" s="874">
        <v>1.7687E17</v>
      </c>
      <c r="X69" s="878">
        <v>4.102E19</v>
      </c>
      <c r="Y69" s="874">
        <v>1.531E14</v>
      </c>
      <c r="Z69" s="875"/>
      <c r="AA69" s="875"/>
      <c r="AB69" s="875"/>
    </row>
    <row r="70">
      <c r="A70" s="876"/>
      <c r="B70" s="872">
        <v>549.448</v>
      </c>
      <c r="C70" s="872">
        <v>7480.3330078125</v>
      </c>
      <c r="D70" s="872">
        <v>107.107356473923</v>
      </c>
      <c r="E70" s="872">
        <v>389.864309061394</v>
      </c>
      <c r="F70" s="872">
        <v>32.54100418</v>
      </c>
      <c r="G70" s="872">
        <v>4.138414383</v>
      </c>
      <c r="H70" s="876"/>
      <c r="I70" s="874">
        <v>1.7226E14</v>
      </c>
      <c r="J70" s="874">
        <v>1.7226E14</v>
      </c>
      <c r="K70" s="874">
        <v>1.7226E14</v>
      </c>
      <c r="L70" s="874">
        <v>1.7226E14</v>
      </c>
      <c r="M70" s="874">
        <v>1.7226E14</v>
      </c>
      <c r="N70" s="878">
        <v>7.245E19</v>
      </c>
      <c r="O70" s="874">
        <v>1.7226E14</v>
      </c>
      <c r="P70" s="874">
        <v>1.7226E14</v>
      </c>
      <c r="Q70" s="874">
        <v>1.7226E14</v>
      </c>
      <c r="R70" s="874">
        <v>1.7226E14</v>
      </c>
      <c r="S70" s="874">
        <v>1.7226E14</v>
      </c>
      <c r="T70" s="874">
        <v>2.0118E17</v>
      </c>
      <c r="U70" s="874">
        <v>1.7226E14</v>
      </c>
      <c r="V70" s="874">
        <v>2.0118E17</v>
      </c>
      <c r="W70" s="874">
        <v>2.0118E17</v>
      </c>
      <c r="X70" s="878">
        <v>4.758E19</v>
      </c>
      <c r="Y70" s="874">
        <v>1.7226E14</v>
      </c>
      <c r="Z70" s="875"/>
      <c r="AA70" s="875"/>
      <c r="AB70" s="875"/>
    </row>
    <row r="71">
      <c r="A71" s="876"/>
      <c r="B71" s="872">
        <v>562.797</v>
      </c>
      <c r="C71" s="872">
        <v>7778.7373046875</v>
      </c>
      <c r="D71" s="872">
        <v>110.904066396713</v>
      </c>
      <c r="E71" s="872">
        <v>403.622251233928</v>
      </c>
      <c r="F71" s="872">
        <v>32.77096558</v>
      </c>
      <c r="G71" s="872">
        <v>4.168717384</v>
      </c>
      <c r="H71" s="876"/>
      <c r="I71" s="874">
        <v>1.9321E14</v>
      </c>
      <c r="J71" s="874">
        <v>1.9321E14</v>
      </c>
      <c r="K71" s="874">
        <v>1.9321E14</v>
      </c>
      <c r="L71" s="874">
        <v>1.9321E14</v>
      </c>
      <c r="M71" s="874">
        <v>1.9321E14</v>
      </c>
      <c r="N71" s="878">
        <v>8.385E19</v>
      </c>
      <c r="O71" s="874">
        <v>1.9321E14</v>
      </c>
      <c r="P71" s="874">
        <v>1.9321E14</v>
      </c>
      <c r="Q71" s="874">
        <v>1.9321E14</v>
      </c>
      <c r="R71" s="874">
        <v>1.9321E14</v>
      </c>
      <c r="S71" s="874">
        <v>1.9321E14</v>
      </c>
      <c r="T71" s="874">
        <v>2.2807E17</v>
      </c>
      <c r="U71" s="874">
        <v>1.9321E14</v>
      </c>
      <c r="V71" s="874">
        <v>2.2807E17</v>
      </c>
      <c r="W71" s="874">
        <v>2.2807E17</v>
      </c>
      <c r="X71" s="878">
        <v>5.499E19</v>
      </c>
      <c r="Y71" s="874">
        <v>1.9321E14</v>
      </c>
      <c r="Z71" s="875"/>
      <c r="AA71" s="875"/>
      <c r="AB71" s="875"/>
    </row>
    <row r="72">
      <c r="A72" s="876"/>
      <c r="B72" s="872">
        <v>576.3</v>
      </c>
      <c r="C72" s="872">
        <v>8084.658203125</v>
      </c>
      <c r="D72" s="872">
        <v>114.778278272629</v>
      </c>
      <c r="E72" s="872">
        <v>421.744236030513</v>
      </c>
      <c r="F72" s="872">
        <v>33.0</v>
      </c>
      <c r="G72" s="872">
        <v>4.198360443</v>
      </c>
      <c r="H72" s="876"/>
      <c r="I72" s="874">
        <v>2.1608E14</v>
      </c>
      <c r="J72" s="874">
        <v>2.1608E14</v>
      </c>
      <c r="K72" s="874">
        <v>2.1608E14</v>
      </c>
      <c r="L72" s="874">
        <v>2.1608E14</v>
      </c>
      <c r="M72" s="874">
        <v>2.1608E14</v>
      </c>
      <c r="N72" s="878">
        <v>9.672E19</v>
      </c>
      <c r="O72" s="874">
        <v>2.1608E14</v>
      </c>
      <c r="P72" s="874">
        <v>2.1608E14</v>
      </c>
      <c r="Q72" s="874">
        <v>2.1608E14</v>
      </c>
      <c r="R72" s="874">
        <v>2.1608E14</v>
      </c>
      <c r="S72" s="874">
        <v>2.1608E14</v>
      </c>
      <c r="T72" s="874">
        <v>2.5774E17</v>
      </c>
      <c r="U72" s="874">
        <v>2.1608E14</v>
      </c>
      <c r="V72" s="874">
        <v>2.5774E17</v>
      </c>
      <c r="W72" s="874">
        <v>2.5774E17</v>
      </c>
      <c r="X72" s="878">
        <v>6.333E19</v>
      </c>
      <c r="Y72" s="874">
        <v>2.1608E14</v>
      </c>
      <c r="Z72" s="875"/>
      <c r="AA72" s="875"/>
      <c r="AB72" s="875"/>
    </row>
    <row r="73">
      <c r="A73" s="876"/>
      <c r="B73" s="872">
        <v>589.957</v>
      </c>
      <c r="C73" s="872">
        <v>8398.1748046875</v>
      </c>
      <c r="D73" s="872">
        <v>118.730431554794</v>
      </c>
      <c r="E73" s="872">
        <v>436.262199997997</v>
      </c>
      <c r="F73" s="872">
        <v>33.20000076</v>
      </c>
      <c r="G73" s="872">
        <v>4.227351189</v>
      </c>
      <c r="H73" s="876"/>
      <c r="I73" s="874">
        <v>2.4098E14</v>
      </c>
      <c r="J73" s="874">
        <v>2.4098E14</v>
      </c>
      <c r="K73" s="874">
        <v>2.4098E14</v>
      </c>
      <c r="L73" s="874">
        <v>2.4098E14</v>
      </c>
      <c r="M73" s="874">
        <v>2.4098E14</v>
      </c>
      <c r="N73" s="878">
        <v>1.1119E20</v>
      </c>
      <c r="O73" s="874">
        <v>2.4098E14</v>
      </c>
      <c r="P73" s="874">
        <v>2.4098E14</v>
      </c>
      <c r="Q73" s="874">
        <v>2.4098E14</v>
      </c>
      <c r="R73" s="874">
        <v>2.4098E14</v>
      </c>
      <c r="S73" s="874">
        <v>2.4098E14</v>
      </c>
      <c r="T73" s="874">
        <v>2.9041E17</v>
      </c>
      <c r="U73" s="874">
        <v>2.4098E14</v>
      </c>
      <c r="V73" s="874">
        <v>2.9041E17</v>
      </c>
      <c r="W73" s="874">
        <v>2.9041E17</v>
      </c>
      <c r="X73" s="878">
        <v>7.271E19</v>
      </c>
      <c r="Y73" s="874">
        <v>2.4098E14</v>
      </c>
      <c r="Z73" s="875"/>
      <c r="AA73" s="875"/>
      <c r="AB73" s="875"/>
    </row>
    <row r="74">
      <c r="A74" s="876"/>
      <c r="B74" s="872">
        <v>603.768</v>
      </c>
      <c r="C74" s="872">
        <v>8719.3662109375</v>
      </c>
      <c r="D74" s="872">
        <v>122.760965696335</v>
      </c>
      <c r="E74" s="872">
        <v>451.097708453834</v>
      </c>
      <c r="F74" s="872">
        <v>33.40000153</v>
      </c>
      <c r="G74" s="872">
        <v>4.255698204</v>
      </c>
      <c r="H74" s="876"/>
      <c r="I74" s="874">
        <v>2.6805E14</v>
      </c>
      <c r="J74" s="874">
        <v>2.6805E14</v>
      </c>
      <c r="K74" s="874">
        <v>2.6805E14</v>
      </c>
      <c r="L74" s="874">
        <v>2.6805E14</v>
      </c>
      <c r="M74" s="874">
        <v>2.6805E14</v>
      </c>
      <c r="N74" s="878">
        <v>1.2744E20</v>
      </c>
      <c r="O74" s="874">
        <v>2.6805E14</v>
      </c>
      <c r="P74" s="874">
        <v>2.6805E14</v>
      </c>
      <c r="Q74" s="874">
        <v>2.6805E14</v>
      </c>
      <c r="R74" s="874">
        <v>2.6805E14</v>
      </c>
      <c r="S74" s="874">
        <v>2.6805E14</v>
      </c>
      <c r="T74" s="874">
        <v>3.263E17</v>
      </c>
      <c r="U74" s="874">
        <v>2.6805E14</v>
      </c>
      <c r="V74" s="874">
        <v>3.263E17</v>
      </c>
      <c r="W74" s="874">
        <v>3.263E17</v>
      </c>
      <c r="X74" s="878">
        <v>8.321E19</v>
      </c>
      <c r="Y74" s="874">
        <v>2.6805E14</v>
      </c>
      <c r="Z74" s="875"/>
      <c r="AA74" s="875"/>
      <c r="AB74" s="875"/>
    </row>
    <row r="75">
      <c r="A75" s="876"/>
      <c r="B75" s="872">
        <v>617.733</v>
      </c>
      <c r="C75" s="872">
        <v>9048.310546875</v>
      </c>
      <c r="D75" s="872">
        <v>126.870320150375</v>
      </c>
      <c r="E75" s="872">
        <v>466.253548272921</v>
      </c>
      <c r="F75" s="872">
        <v>33.59999847</v>
      </c>
      <c r="G75" s="872">
        <v>4.283408165</v>
      </c>
      <c r="H75" s="876"/>
      <c r="I75" s="874">
        <v>2.9743E14</v>
      </c>
      <c r="J75" s="874">
        <v>2.9743E14</v>
      </c>
      <c r="K75" s="874">
        <v>2.9743E14</v>
      </c>
      <c r="L75" s="874">
        <v>2.9743E14</v>
      </c>
      <c r="M75" s="874">
        <v>2.9743E14</v>
      </c>
      <c r="N75" s="878">
        <v>1.4564E20</v>
      </c>
      <c r="O75" s="874">
        <v>2.9743E14</v>
      </c>
      <c r="P75" s="874">
        <v>2.9743E14</v>
      </c>
      <c r="Q75" s="874">
        <v>2.9743E14</v>
      </c>
      <c r="R75" s="874">
        <v>2.9743E14</v>
      </c>
      <c r="S75" s="874">
        <v>2.9743E14</v>
      </c>
      <c r="T75" s="874">
        <v>3.6565E17</v>
      </c>
      <c r="U75" s="874">
        <v>2.9743E14</v>
      </c>
      <c r="V75" s="874">
        <v>3.6565E17</v>
      </c>
      <c r="W75" s="874">
        <v>3.6565E17</v>
      </c>
      <c r="X75" s="878">
        <v>9.496E19</v>
      </c>
      <c r="Y75" s="874">
        <v>2.9743E14</v>
      </c>
      <c r="Z75" s="875"/>
      <c r="AA75" s="875"/>
      <c r="AB75" s="875"/>
    </row>
    <row r="76">
      <c r="A76" s="876"/>
      <c r="B76" s="872">
        <v>631.852</v>
      </c>
      <c r="C76" s="872">
        <v>9385.0859375</v>
      </c>
      <c r="D76" s="872">
        <v>131.058908241272</v>
      </c>
      <c r="E76" s="872">
        <v>481.73266558015</v>
      </c>
      <c r="F76" s="872">
        <v>33.79999924</v>
      </c>
      <c r="G76" s="872">
        <v>4.310489655</v>
      </c>
      <c r="H76" s="876"/>
      <c r="I76" s="874">
        <v>3.2925E14</v>
      </c>
      <c r="J76" s="874">
        <v>3.2925E14</v>
      </c>
      <c r="K76" s="874">
        <v>3.2925E14</v>
      </c>
      <c r="L76" s="874">
        <v>3.2925E14</v>
      </c>
      <c r="M76" s="874">
        <v>3.2925E14</v>
      </c>
      <c r="N76" s="878">
        <v>1.6596E20</v>
      </c>
      <c r="O76" s="874">
        <v>3.2925E14</v>
      </c>
      <c r="P76" s="874">
        <v>3.2925E14</v>
      </c>
      <c r="Q76" s="874">
        <v>3.2925E14</v>
      </c>
      <c r="R76" s="874">
        <v>3.2925E14</v>
      </c>
      <c r="S76" s="874">
        <v>3.2925E14</v>
      </c>
      <c r="T76" s="874">
        <v>4.0872E17</v>
      </c>
      <c r="U76" s="874">
        <v>3.2925E14</v>
      </c>
      <c r="V76" s="874">
        <v>4.0872E17</v>
      </c>
      <c r="W76" s="874">
        <v>4.0872E17</v>
      </c>
      <c r="X76" s="878">
        <v>1.0806E20</v>
      </c>
      <c r="Y76" s="874">
        <v>3.2925E14</v>
      </c>
      <c r="Z76" s="875"/>
      <c r="AA76" s="875"/>
      <c r="AB76" s="875"/>
    </row>
    <row r="77">
      <c r="A77" s="876"/>
      <c r="B77" s="872">
        <v>646.125</v>
      </c>
      <c r="C77" s="872">
        <v>9827.07009275653</v>
      </c>
      <c r="D77" s="872">
        <v>135.327186523437</v>
      </c>
      <c r="E77" s="872">
        <v>497.537767625423</v>
      </c>
      <c r="F77" s="872">
        <v>34.0</v>
      </c>
      <c r="G77" s="872">
        <v>4.336950302</v>
      </c>
      <c r="H77" s="876"/>
      <c r="I77" s="874">
        <v>3.6367E14</v>
      </c>
      <c r="J77" s="874">
        <v>3.6367E14</v>
      </c>
      <c r="K77" s="874">
        <v>3.6367E14</v>
      </c>
      <c r="L77" s="874">
        <v>3.6367E14</v>
      </c>
      <c r="M77" s="874">
        <v>3.6367E14</v>
      </c>
      <c r="N77" s="878">
        <v>1.8863E20</v>
      </c>
      <c r="O77" s="874">
        <v>3.6367E14</v>
      </c>
      <c r="P77" s="874">
        <v>3.6367E14</v>
      </c>
      <c r="Q77" s="874">
        <v>3.6367E14</v>
      </c>
      <c r="R77" s="874">
        <v>3.6367E14</v>
      </c>
      <c r="S77" s="874">
        <v>3.6367E14</v>
      </c>
      <c r="T77" s="874">
        <v>4.5577E17</v>
      </c>
      <c r="U77" s="874">
        <v>3.6367E14</v>
      </c>
      <c r="V77" s="874">
        <v>4.5577E17</v>
      </c>
      <c r="W77" s="874">
        <v>4.5577E17</v>
      </c>
      <c r="X77" s="878">
        <v>1.2266E20</v>
      </c>
      <c r="Y77" s="874">
        <v>3.6367E14</v>
      </c>
      <c r="Z77" s="875"/>
      <c r="AA77" s="875"/>
      <c r="AB77" s="875"/>
    </row>
    <row r="78">
      <c r="A78" s="73"/>
      <c r="B78" s="872">
        <v>660.552</v>
      </c>
      <c r="C78" s="872">
        <v>10183.2706557994</v>
      </c>
      <c r="D78" s="872">
        <v>139.675550743103</v>
      </c>
      <c r="E78" s="872">
        <v>513.671760721131</v>
      </c>
      <c r="F78" s="872">
        <v>34.20000076</v>
      </c>
      <c r="G78" s="872">
        <v>4.362798214</v>
      </c>
      <c r="H78" s="73"/>
      <c r="I78" s="874">
        <v>4.0083E14</v>
      </c>
      <c r="J78" s="874">
        <v>4.0083E14</v>
      </c>
      <c r="K78" s="874">
        <v>4.0083E14</v>
      </c>
      <c r="L78" s="874">
        <v>4.0083E14</v>
      </c>
      <c r="M78" s="874">
        <v>4.0083E14</v>
      </c>
      <c r="N78" s="875"/>
      <c r="O78" s="874">
        <v>4.0083E14</v>
      </c>
      <c r="P78" s="874">
        <v>4.0083E14</v>
      </c>
      <c r="Q78" s="874">
        <v>4.0083E14</v>
      </c>
      <c r="R78" s="874">
        <v>4.0083E14</v>
      </c>
      <c r="S78" s="874">
        <v>4.0083E14</v>
      </c>
      <c r="T78" s="874">
        <v>5.0708E17</v>
      </c>
      <c r="U78" s="874">
        <v>4.0083E14</v>
      </c>
      <c r="V78" s="874">
        <v>5.0708E17</v>
      </c>
      <c r="W78" s="874">
        <v>5.0708E17</v>
      </c>
      <c r="X78" s="878">
        <v>1.3887E20</v>
      </c>
      <c r="Y78" s="874">
        <v>4.0083E14</v>
      </c>
      <c r="Z78" s="875"/>
      <c r="AA78" s="875"/>
      <c r="AB78" s="875"/>
    </row>
    <row r="79">
      <c r="A79" s="73"/>
      <c r="B79" s="872">
        <v>675.133</v>
      </c>
      <c r="C79" s="872">
        <v>10547.6182890779</v>
      </c>
      <c r="D79" s="872">
        <v>144.104440353394</v>
      </c>
      <c r="E79" s="872">
        <v>530.137352117177</v>
      </c>
      <c r="F79" s="872">
        <v>34.40000153</v>
      </c>
      <c r="G79" s="872">
        <v>4.388040066</v>
      </c>
      <c r="H79" s="73"/>
      <c r="I79" s="874">
        <v>4.4091E14</v>
      </c>
      <c r="J79" s="874">
        <v>4.4091E14</v>
      </c>
      <c r="K79" s="874">
        <v>4.4091E14</v>
      </c>
      <c r="L79" s="874">
        <v>4.4091E14</v>
      </c>
      <c r="M79" s="874">
        <v>4.4091E14</v>
      </c>
      <c r="N79" s="875"/>
      <c r="O79" s="874">
        <v>4.4091E14</v>
      </c>
      <c r="P79" s="874">
        <v>4.4091E14</v>
      </c>
      <c r="Q79" s="874">
        <v>4.4091E14</v>
      </c>
      <c r="R79" s="874">
        <v>4.4091E14</v>
      </c>
      <c r="S79" s="874">
        <v>4.4091E14</v>
      </c>
      <c r="T79" s="874">
        <v>5.6294E17</v>
      </c>
      <c r="U79" s="874">
        <v>4.4091E14</v>
      </c>
      <c r="V79" s="874">
        <v>5.6294E17</v>
      </c>
      <c r="W79" s="874">
        <v>5.6294E17</v>
      </c>
      <c r="X79" s="878">
        <v>1.5684E20</v>
      </c>
      <c r="Y79" s="874">
        <v>4.4091E14</v>
      </c>
      <c r="Z79" s="875"/>
      <c r="AA79" s="875"/>
      <c r="AB79" s="875"/>
    </row>
    <row r="80">
      <c r="A80" s="73"/>
      <c r="B80" s="872">
        <v>689.868</v>
      </c>
      <c r="C80" s="872">
        <v>10920.1899261849</v>
      </c>
      <c r="D80" s="872">
        <v>148.614268440247</v>
      </c>
      <c r="E80" s="872">
        <v>546.937368500956</v>
      </c>
      <c r="F80" s="872">
        <v>34.59999847</v>
      </c>
      <c r="G80" s="872">
        <v>4.41268301</v>
      </c>
      <c r="H80" s="73"/>
      <c r="I80" s="874">
        <v>4.8406E14</v>
      </c>
      <c r="J80" s="874">
        <v>4.8406E14</v>
      </c>
      <c r="K80" s="874">
        <v>4.8406E14</v>
      </c>
      <c r="L80" s="874">
        <v>4.8406E14</v>
      </c>
      <c r="M80" s="874">
        <v>4.8406E14</v>
      </c>
      <c r="N80" s="875"/>
      <c r="O80" s="874">
        <v>4.8406E14</v>
      </c>
      <c r="P80" s="874">
        <v>4.8406E14</v>
      </c>
      <c r="Q80" s="874">
        <v>4.8406E14</v>
      </c>
      <c r="R80" s="874">
        <v>4.8406E14</v>
      </c>
      <c r="S80" s="874">
        <v>4.8406E14</v>
      </c>
      <c r="T80" s="874">
        <v>6.2366E17</v>
      </c>
      <c r="U80" s="874">
        <v>4.8406E14</v>
      </c>
      <c r="V80" s="874">
        <v>6.2366E17</v>
      </c>
      <c r="W80" s="874">
        <v>6.2366E17</v>
      </c>
      <c r="X80" s="878">
        <v>1.7674E20</v>
      </c>
      <c r="Y80" s="874">
        <v>4.8406E14</v>
      </c>
      <c r="Z80" s="875"/>
      <c r="AA80" s="875"/>
      <c r="AB80" s="875"/>
    </row>
    <row r="81">
      <c r="A81" s="73"/>
      <c r="B81" s="872">
        <v>704.757</v>
      </c>
      <c r="C81" s="872">
        <v>11301.0625007136</v>
      </c>
      <c r="D81" s="872">
        <v>153.205439300537</v>
      </c>
      <c r="E81" s="872">
        <v>564.074556934868</v>
      </c>
      <c r="F81" s="872">
        <v>34.79999924</v>
      </c>
      <c r="G81" s="872">
        <v>4.43673563</v>
      </c>
      <c r="H81" s="73"/>
      <c r="I81" s="874">
        <v>5.3045E14</v>
      </c>
      <c r="J81" s="874">
        <v>5.3045E14</v>
      </c>
      <c r="K81" s="874">
        <v>5.3045E14</v>
      </c>
      <c r="L81" s="874">
        <v>5.3045E14</v>
      </c>
      <c r="M81" s="874">
        <v>5.3045E14</v>
      </c>
      <c r="N81" s="875"/>
      <c r="O81" s="874">
        <v>5.3045E14</v>
      </c>
      <c r="P81" s="874">
        <v>5.3045E14</v>
      </c>
      <c r="Q81" s="874">
        <v>5.3045E14</v>
      </c>
      <c r="R81" s="874">
        <v>5.3045E14</v>
      </c>
      <c r="S81" s="874">
        <v>5.3045E14</v>
      </c>
      <c r="T81" s="874">
        <v>6.8955E17</v>
      </c>
      <c r="U81" s="874">
        <v>5.3045E14</v>
      </c>
      <c r="V81" s="874">
        <v>6.8955E17</v>
      </c>
      <c r="W81" s="874">
        <v>6.8955E17</v>
      </c>
      <c r="X81" s="878">
        <v>1.9872E20</v>
      </c>
      <c r="Y81" s="874">
        <v>5.3045E14</v>
      </c>
      <c r="Z81" s="875"/>
      <c r="AA81" s="875"/>
      <c r="AB81" s="875"/>
    </row>
    <row r="82">
      <c r="A82" s="73"/>
      <c r="B82" s="872">
        <v>719.8</v>
      </c>
      <c r="C82" s="872">
        <v>11690.3159052413</v>
      </c>
      <c r="D82" s="872">
        <v>157.878374809265</v>
      </c>
      <c r="E82" s="872">
        <v>581.55170429381</v>
      </c>
      <c r="F82" s="872">
        <v>35.0</v>
      </c>
      <c r="G82" s="872">
        <v>4.460204124</v>
      </c>
      <c r="H82" s="73"/>
      <c r="I82" s="874">
        <v>5.8027E14</v>
      </c>
      <c r="J82" s="874">
        <v>5.8027E14</v>
      </c>
      <c r="K82" s="874">
        <v>5.8027E14</v>
      </c>
      <c r="L82" s="874">
        <v>5.8027E14</v>
      </c>
      <c r="M82" s="874">
        <v>5.8027E14</v>
      </c>
      <c r="N82" s="875"/>
      <c r="O82" s="874">
        <v>5.8027E14</v>
      </c>
      <c r="P82" s="874">
        <v>5.8027E14</v>
      </c>
      <c r="Q82" s="874">
        <v>5.8027E14</v>
      </c>
      <c r="R82" s="874">
        <v>5.8027E14</v>
      </c>
      <c r="S82" s="874">
        <v>5.8027E14</v>
      </c>
      <c r="T82" s="874">
        <v>7.6097E17</v>
      </c>
      <c r="U82" s="874">
        <v>5.8027E14</v>
      </c>
      <c r="V82" s="874">
        <v>7.6097E17</v>
      </c>
      <c r="W82" s="874">
        <v>7.6097E17</v>
      </c>
      <c r="X82" s="878">
        <v>2.2296E20</v>
      </c>
      <c r="Y82" s="874">
        <v>5.8027E14</v>
      </c>
      <c r="Z82" s="875"/>
      <c r="AA82" s="875"/>
      <c r="AB82" s="875"/>
    </row>
    <row r="83">
      <c r="A83" s="73"/>
      <c r="B83" s="872">
        <v>734.997</v>
      </c>
      <c r="C83" s="872">
        <v>12088.0260870329</v>
      </c>
      <c r="D83" s="872">
        <v>162.633488290787</v>
      </c>
      <c r="E83" s="872">
        <v>599.371478015184</v>
      </c>
      <c r="F83" s="872">
        <v>35.20000076</v>
      </c>
      <c r="G83" s="872"/>
      <c r="H83" s="73"/>
      <c r="I83" s="874">
        <v>6.337E14</v>
      </c>
      <c r="J83" s="874">
        <v>6.337E14</v>
      </c>
      <c r="K83" s="874">
        <v>6.337E14</v>
      </c>
      <c r="L83" s="874">
        <v>6.337E14</v>
      </c>
      <c r="M83" s="874">
        <v>6.337E14</v>
      </c>
      <c r="N83" s="875"/>
      <c r="O83" s="874">
        <v>6.337E14</v>
      </c>
      <c r="P83" s="874">
        <v>6.337E14</v>
      </c>
      <c r="Q83" s="874">
        <v>6.337E14</v>
      </c>
      <c r="R83" s="874">
        <v>6.337E14</v>
      </c>
      <c r="S83" s="874">
        <v>6.337E14</v>
      </c>
      <c r="T83" s="874">
        <v>8.3825E17</v>
      </c>
      <c r="U83" s="874">
        <v>6.337E14</v>
      </c>
      <c r="V83" s="874">
        <v>8.3825E17</v>
      </c>
      <c r="W83" s="874">
        <v>8.3825E17</v>
      </c>
      <c r="X83" s="878">
        <v>2.4965E20</v>
      </c>
      <c r="Y83" s="874">
        <v>6.337E14</v>
      </c>
      <c r="Z83" s="875"/>
      <c r="AA83" s="875"/>
      <c r="AB83" s="875"/>
    </row>
    <row r="84">
      <c r="A84" s="73"/>
      <c r="B84" s="872">
        <v>750.348</v>
      </c>
      <c r="C84" s="872">
        <v>12494.2680070251</v>
      </c>
      <c r="D84" s="872">
        <v>167.47114840889</v>
      </c>
      <c r="E84" s="872">
        <v>617.536704786388</v>
      </c>
      <c r="F84" s="872">
        <v>35.40000153</v>
      </c>
      <c r="G84" s="872"/>
      <c r="H84" s="73"/>
      <c r="I84" s="874">
        <v>6.9093E14</v>
      </c>
      <c r="J84" s="874">
        <v>6.9093E14</v>
      </c>
      <c r="K84" s="874">
        <v>6.9093E14</v>
      </c>
      <c r="L84" s="874">
        <v>6.9093E14</v>
      </c>
      <c r="M84" s="874">
        <v>6.9093E14</v>
      </c>
      <c r="N84" s="875"/>
      <c r="O84" s="874">
        <v>6.9093E14</v>
      </c>
      <c r="P84" s="874">
        <v>6.9093E14</v>
      </c>
      <c r="Q84" s="874">
        <v>6.9093E14</v>
      </c>
      <c r="R84" s="874">
        <v>6.9093E14</v>
      </c>
      <c r="S84" s="874">
        <v>6.9093E14</v>
      </c>
      <c r="T84" s="874">
        <v>9.2176E17</v>
      </c>
      <c r="U84" s="874">
        <v>6.9093E14</v>
      </c>
      <c r="V84" s="874">
        <v>9.2176E17</v>
      </c>
      <c r="W84" s="874">
        <v>9.2176E17</v>
      </c>
      <c r="X84" s="878">
        <v>2.79E20</v>
      </c>
      <c r="Y84" s="874">
        <v>6.9093E14</v>
      </c>
      <c r="Z84" s="875"/>
      <c r="AA84" s="875"/>
      <c r="AB84" s="875"/>
    </row>
    <row r="85">
      <c r="A85" s="73"/>
      <c r="B85" s="872">
        <v>765.853</v>
      </c>
      <c r="C85" s="872">
        <v>12909.1225441236</v>
      </c>
      <c r="D85" s="872">
        <v>172.391794855118</v>
      </c>
      <c r="E85" s="872">
        <v>636.050012232324</v>
      </c>
      <c r="F85" s="872">
        <v>35.59999847</v>
      </c>
      <c r="G85" s="872"/>
      <c r="H85" s="73"/>
      <c r="I85" s="874">
        <v>7.5216E14</v>
      </c>
      <c r="J85" s="874">
        <v>7.5216E14</v>
      </c>
      <c r="K85" s="874">
        <v>7.5216E14</v>
      </c>
      <c r="L85" s="874">
        <v>7.5216E14</v>
      </c>
      <c r="M85" s="874">
        <v>7.5216E14</v>
      </c>
      <c r="N85" s="875"/>
      <c r="O85" s="874">
        <v>7.5216E14</v>
      </c>
      <c r="P85" s="874">
        <v>7.5216E14</v>
      </c>
      <c r="Q85" s="874">
        <v>7.5216E14</v>
      </c>
      <c r="R85" s="874">
        <v>7.5216E14</v>
      </c>
      <c r="S85" s="874">
        <v>7.5216E14</v>
      </c>
      <c r="T85" s="874">
        <v>1.01E18</v>
      </c>
      <c r="U85" s="874">
        <v>7.5216E14</v>
      </c>
      <c r="V85" s="874">
        <v>1.01E18</v>
      </c>
      <c r="W85" s="874">
        <v>1.01E18</v>
      </c>
      <c r="X85" s="878">
        <v>3.112E20</v>
      </c>
      <c r="Y85" s="874">
        <v>7.5216E14</v>
      </c>
      <c r="Z85" s="875"/>
      <c r="AA85" s="875"/>
      <c r="AB85" s="875"/>
    </row>
    <row r="86">
      <c r="A86" s="73"/>
      <c r="B86" s="872">
        <v>781.512</v>
      </c>
      <c r="C86" s="872">
        <v>13332.6607139525</v>
      </c>
      <c r="D86" s="872">
        <v>177.395814348221</v>
      </c>
      <c r="E86" s="872">
        <v>654.914107602893</v>
      </c>
      <c r="F86" s="872">
        <v>35.79999924</v>
      </c>
      <c r="G86" s="872"/>
      <c r="H86" s="73"/>
      <c r="I86" s="874">
        <v>8.176E14</v>
      </c>
      <c r="J86" s="874">
        <v>8.176E14</v>
      </c>
      <c r="K86" s="874">
        <v>8.176E14</v>
      </c>
      <c r="L86" s="874">
        <v>8.176E14</v>
      </c>
      <c r="M86" s="874">
        <v>8.176E14</v>
      </c>
      <c r="N86" s="875"/>
      <c r="O86" s="874">
        <v>8.176E14</v>
      </c>
      <c r="P86" s="874">
        <v>8.176E14</v>
      </c>
      <c r="Q86" s="874">
        <v>8.176E14</v>
      </c>
      <c r="R86" s="874">
        <v>8.176E14</v>
      </c>
      <c r="S86" s="874">
        <v>8.176E14</v>
      </c>
      <c r="T86" s="874">
        <v>1.11E18</v>
      </c>
      <c r="U86" s="874">
        <v>8.176E14</v>
      </c>
      <c r="V86" s="874">
        <v>1.11E18</v>
      </c>
      <c r="W86" s="874">
        <v>1.11E18</v>
      </c>
      <c r="X86" s="878">
        <v>3.465E20</v>
      </c>
      <c r="Y86" s="874">
        <v>8.176E14</v>
      </c>
      <c r="Z86" s="875"/>
      <c r="AA86" s="875"/>
      <c r="AB86" s="875"/>
    </row>
    <row r="87">
      <c r="A87" s="73"/>
      <c r="B87" s="872">
        <v>797.325</v>
      </c>
      <c r="C87" s="872">
        <v>13764.9643817456</v>
      </c>
      <c r="D87" s="872">
        <v>182.483593606949</v>
      </c>
      <c r="E87" s="872">
        <v>674.131737960494</v>
      </c>
      <c r="F87" s="872">
        <v>36.0</v>
      </c>
      <c r="G87" s="872"/>
      <c r="H87" s="73"/>
      <c r="I87" s="874">
        <v>8.8746E14</v>
      </c>
      <c r="J87" s="874">
        <v>8.8746E14</v>
      </c>
      <c r="K87" s="874">
        <v>8.8746E14</v>
      </c>
      <c r="L87" s="874">
        <v>8.8746E14</v>
      </c>
      <c r="M87" s="874">
        <v>8.8746E14</v>
      </c>
      <c r="N87" s="875"/>
      <c r="O87" s="874">
        <v>8.8746E14</v>
      </c>
      <c r="P87" s="874">
        <v>8.8746E14</v>
      </c>
      <c r="Q87" s="874">
        <v>8.8746E14</v>
      </c>
      <c r="R87" s="874">
        <v>8.8746E14</v>
      </c>
      <c r="S87" s="874">
        <v>8.8746E14</v>
      </c>
      <c r="T87" s="874">
        <v>1.21E18</v>
      </c>
      <c r="U87" s="874">
        <v>8.8746E14</v>
      </c>
      <c r="V87" s="874">
        <v>1.21E18</v>
      </c>
      <c r="W87" s="874">
        <v>1.21E18</v>
      </c>
      <c r="X87" s="878">
        <v>3.8513E20</v>
      </c>
      <c r="Y87" s="874">
        <v>8.8746E14</v>
      </c>
      <c r="Z87" s="875"/>
      <c r="AA87" s="875"/>
      <c r="AB87" s="875"/>
    </row>
    <row r="88">
      <c r="A88" s="73"/>
      <c r="B88" s="872">
        <v>813.292</v>
      </c>
      <c r="C88" s="872">
        <v>14206.1065357833</v>
      </c>
      <c r="D88" s="872">
        <v>187.655536928177</v>
      </c>
      <c r="E88" s="872">
        <v>693.705530930032</v>
      </c>
      <c r="F88" s="872">
        <v>36.20000076</v>
      </c>
      <c r="G88" s="872"/>
      <c r="H88" s="73"/>
      <c r="I88" s="874">
        <v>9.6196E14</v>
      </c>
      <c r="J88" s="874">
        <v>9.6196E14</v>
      </c>
      <c r="K88" s="874">
        <v>9.6196E14</v>
      </c>
      <c r="L88" s="874">
        <v>9.6196E14</v>
      </c>
      <c r="M88" s="874">
        <v>9.6196E14</v>
      </c>
      <c r="N88" s="875"/>
      <c r="O88" s="874">
        <v>9.6196E14</v>
      </c>
      <c r="P88" s="874">
        <v>9.6196E14</v>
      </c>
      <c r="Q88" s="874">
        <v>9.6196E14</v>
      </c>
      <c r="R88" s="874">
        <v>9.6196E14</v>
      </c>
      <c r="S88" s="874">
        <v>9.6196E14</v>
      </c>
      <c r="T88" s="874">
        <v>1.33E18</v>
      </c>
      <c r="U88" s="874">
        <v>9.6196E14</v>
      </c>
      <c r="V88" s="874">
        <v>1.33E18</v>
      </c>
      <c r="W88" s="874">
        <v>1.33E18</v>
      </c>
      <c r="X88" s="878">
        <v>4.2734E20</v>
      </c>
      <c r="Y88" s="874">
        <v>9.6196E14</v>
      </c>
      <c r="Z88" s="875"/>
      <c r="AA88" s="875"/>
      <c r="AB88" s="875"/>
    </row>
    <row r="89">
      <c r="A89" s="73"/>
      <c r="B89" s="872">
        <v>829.413</v>
      </c>
      <c r="C89" s="872">
        <v>14656.1621370025</v>
      </c>
      <c r="D89" s="872">
        <v>192.912031269073</v>
      </c>
      <c r="E89" s="872">
        <v>713.638193761406</v>
      </c>
      <c r="F89" s="872">
        <v>36.40000153</v>
      </c>
      <c r="G89" s="872"/>
      <c r="H89" s="73"/>
      <c r="I89" s="874">
        <v>1.04E15</v>
      </c>
      <c r="J89" s="874">
        <v>1.04E15</v>
      </c>
      <c r="K89" s="874">
        <v>1.04E15</v>
      </c>
      <c r="L89" s="874">
        <v>1.04E15</v>
      </c>
      <c r="M89" s="874">
        <v>1.04E15</v>
      </c>
      <c r="N89" s="875"/>
      <c r="O89" s="874">
        <v>1.04E15</v>
      </c>
      <c r="P89" s="874">
        <v>1.04E15</v>
      </c>
      <c r="Q89" s="874">
        <v>1.04E15</v>
      </c>
      <c r="R89" s="874">
        <v>1.04E15</v>
      </c>
      <c r="S89" s="874">
        <v>1.04E15</v>
      </c>
      <c r="T89" s="874">
        <v>1.45E18</v>
      </c>
      <c r="U89" s="874">
        <v>1.04E15</v>
      </c>
      <c r="V89" s="874">
        <v>1.45E18</v>
      </c>
      <c r="W89" s="874">
        <v>1.45E18</v>
      </c>
      <c r="X89" s="878">
        <v>4.7341E20</v>
      </c>
      <c r="Y89" s="874">
        <v>1.04E15</v>
      </c>
      <c r="Z89" s="875"/>
      <c r="AA89" s="875"/>
      <c r="AB89" s="875"/>
    </row>
    <row r="90">
      <c r="A90" s="73"/>
      <c r="B90" s="872">
        <v>845.688</v>
      </c>
      <c r="C90" s="872">
        <v>15115.2081189961</v>
      </c>
      <c r="D90" s="872">
        <v>198.253445293427</v>
      </c>
      <c r="E90" s="872">
        <v>733.932314267022</v>
      </c>
      <c r="F90" s="872">
        <v>36.59999847</v>
      </c>
      <c r="G90" s="872"/>
      <c r="H90" s="73"/>
      <c r="I90" s="874">
        <v>1.13E15</v>
      </c>
      <c r="J90" s="874">
        <v>1.13E15</v>
      </c>
      <c r="K90" s="874">
        <v>1.13E15</v>
      </c>
      <c r="L90" s="874">
        <v>1.13E15</v>
      </c>
      <c r="M90" s="874">
        <v>1.13E15</v>
      </c>
      <c r="N90" s="875"/>
      <c r="O90" s="874">
        <v>1.13E15</v>
      </c>
      <c r="P90" s="874">
        <v>1.13E15</v>
      </c>
      <c r="Q90" s="874">
        <v>1.13E15</v>
      </c>
      <c r="R90" s="874">
        <v>1.13E15</v>
      </c>
      <c r="S90" s="874">
        <v>1.13E15</v>
      </c>
      <c r="T90" s="874">
        <v>1.58E18</v>
      </c>
      <c r="U90" s="874">
        <v>1.13E15</v>
      </c>
      <c r="V90" s="874">
        <v>1.58E18</v>
      </c>
      <c r="W90" s="874">
        <v>1.58E18</v>
      </c>
      <c r="X90" s="878">
        <v>5.2363E20</v>
      </c>
      <c r="Y90" s="874">
        <v>1.13E15</v>
      </c>
      <c r="Z90" s="875"/>
      <c r="AA90" s="875"/>
      <c r="AB90" s="875"/>
    </row>
    <row r="91">
      <c r="A91" s="73"/>
      <c r="B91" s="872">
        <v>862.117</v>
      </c>
      <c r="C91" s="872">
        <v>15583.3194427011</v>
      </c>
      <c r="D91" s="872">
        <v>203.68018353653</v>
      </c>
      <c r="E91" s="872">
        <v>754.590599696781</v>
      </c>
      <c r="F91" s="872">
        <v>36.79999924</v>
      </c>
      <c r="G91" s="872"/>
      <c r="H91" s="73"/>
      <c r="I91" s="874">
        <v>1.22E15</v>
      </c>
      <c r="J91" s="874">
        <v>1.22E15</v>
      </c>
      <c r="K91" s="874">
        <v>1.22E15</v>
      </c>
      <c r="L91" s="874">
        <v>1.22E15</v>
      </c>
      <c r="M91" s="874">
        <v>1.22E15</v>
      </c>
      <c r="N91" s="875"/>
      <c r="O91" s="874">
        <v>1.22E15</v>
      </c>
      <c r="P91" s="874">
        <v>1.22E15</v>
      </c>
      <c r="Q91" s="874">
        <v>1.22E15</v>
      </c>
      <c r="R91" s="874">
        <v>1.22E15</v>
      </c>
      <c r="S91" s="874">
        <v>1.22E15</v>
      </c>
      <c r="T91" s="874">
        <v>1.72E18</v>
      </c>
      <c r="U91" s="874">
        <v>1.22E15</v>
      </c>
      <c r="V91" s="874">
        <v>1.72E18</v>
      </c>
      <c r="W91" s="874">
        <v>1.72E18</v>
      </c>
      <c r="X91" s="878">
        <v>5.7829E20</v>
      </c>
      <c r="Y91" s="874">
        <v>1.22E15</v>
      </c>
      <c r="Z91" s="875"/>
      <c r="AA91" s="875"/>
      <c r="AB91" s="875"/>
    </row>
    <row r="92">
      <c r="A92" s="73"/>
      <c r="B92" s="872">
        <v>878.7</v>
      </c>
      <c r="C92" s="872">
        <v>16060.5690963978</v>
      </c>
      <c r="D92" s="872">
        <v>209.192615139008</v>
      </c>
      <c r="E92" s="872">
        <v>783.073513891357</v>
      </c>
      <c r="F92" s="872">
        <v>37.0</v>
      </c>
      <c r="G92" s="872"/>
      <c r="H92" s="73"/>
      <c r="I92" s="874">
        <v>1.31E15</v>
      </c>
      <c r="J92" s="874">
        <v>1.31E15</v>
      </c>
      <c r="K92" s="874">
        <v>1.31E15</v>
      </c>
      <c r="L92" s="874">
        <v>1.31E15</v>
      </c>
      <c r="M92" s="874">
        <v>1.31E15</v>
      </c>
      <c r="N92" s="875"/>
      <c r="O92" s="874">
        <v>1.31E15</v>
      </c>
      <c r="P92" s="874">
        <v>1.31E15</v>
      </c>
      <c r="Q92" s="874">
        <v>1.31E15</v>
      </c>
      <c r="R92" s="874">
        <v>1.31E15</v>
      </c>
      <c r="S92" s="874">
        <v>1.31E15</v>
      </c>
      <c r="T92" s="874">
        <v>1.86E18</v>
      </c>
      <c r="U92" s="874">
        <v>1.31E15</v>
      </c>
      <c r="V92" s="874">
        <v>1.86E18</v>
      </c>
      <c r="W92" s="874">
        <v>1.86E18</v>
      </c>
      <c r="X92" s="878">
        <v>6.3772E20</v>
      </c>
      <c r="Y92" s="874">
        <v>1.31E15</v>
      </c>
      <c r="Z92" s="875"/>
      <c r="AA92" s="875"/>
      <c r="AB92" s="875"/>
    </row>
    <row r="93">
      <c r="A93" s="73"/>
      <c r="B93" s="872">
        <v>895.437</v>
      </c>
      <c r="C93" s="872">
        <v>16547.0340136795</v>
      </c>
      <c r="D93" s="872">
        <v>214.791126819611</v>
      </c>
      <c r="E93" s="872">
        <v>804.673687988552</v>
      </c>
      <c r="F93" s="872">
        <v>37.20000076</v>
      </c>
      <c r="G93" s="872"/>
      <c r="H93" s="73"/>
      <c r="I93" s="874">
        <v>1.41E15</v>
      </c>
      <c r="J93" s="874">
        <v>1.41E15</v>
      </c>
      <c r="K93" s="874">
        <v>1.41E15</v>
      </c>
      <c r="L93" s="874">
        <v>1.41E15</v>
      </c>
      <c r="M93" s="874">
        <v>1.41E15</v>
      </c>
      <c r="N93" s="875"/>
      <c r="O93" s="874">
        <v>1.41E15</v>
      </c>
      <c r="P93" s="874">
        <v>1.41E15</v>
      </c>
      <c r="Q93" s="874">
        <v>1.41E15</v>
      </c>
      <c r="R93" s="874">
        <v>1.41E15</v>
      </c>
      <c r="S93" s="874">
        <v>1.41E15</v>
      </c>
      <c r="T93" s="874">
        <v>2.02E18</v>
      </c>
      <c r="U93" s="874">
        <v>1.41E15</v>
      </c>
      <c r="V93" s="874">
        <v>2.02E18</v>
      </c>
      <c r="W93" s="874">
        <v>2.02E18</v>
      </c>
      <c r="X93" s="878">
        <v>7.0226E20</v>
      </c>
      <c r="Y93" s="874">
        <v>1.41E15</v>
      </c>
      <c r="Z93" s="875"/>
      <c r="AA93" s="875"/>
      <c r="AB93" s="875"/>
    </row>
    <row r="94">
      <c r="A94" s="73"/>
      <c r="B94" s="872">
        <v>912.328</v>
      </c>
      <c r="C94" s="872">
        <v>17042.7871828265</v>
      </c>
      <c r="D94" s="872">
        <v>220.476087718964</v>
      </c>
      <c r="E94" s="872">
        <v>826.649366678069</v>
      </c>
      <c r="F94" s="872">
        <v>37.40000153</v>
      </c>
      <c r="G94" s="872"/>
      <c r="H94" s="73"/>
      <c r="I94" s="874">
        <v>1.52E15</v>
      </c>
      <c r="J94" s="874">
        <v>1.52E15</v>
      </c>
      <c r="K94" s="874">
        <v>1.52E15</v>
      </c>
      <c r="L94" s="874">
        <v>1.52E15</v>
      </c>
      <c r="M94" s="874">
        <v>1.52E15</v>
      </c>
      <c r="N94" s="875"/>
      <c r="O94" s="874">
        <v>1.52E15</v>
      </c>
      <c r="P94" s="874">
        <v>1.52E15</v>
      </c>
      <c r="Q94" s="874">
        <v>1.52E15</v>
      </c>
      <c r="R94" s="874">
        <v>1.52E15</v>
      </c>
      <c r="S94" s="874">
        <v>1.52E15</v>
      </c>
      <c r="T94" s="874">
        <v>2.19E18</v>
      </c>
      <c r="U94" s="874">
        <v>1.52E15</v>
      </c>
      <c r="V94" s="874">
        <v>2.19E18</v>
      </c>
      <c r="W94" s="874">
        <v>2.19E18</v>
      </c>
      <c r="X94" s="878">
        <v>7.7226E20</v>
      </c>
      <c r="Y94" s="874">
        <v>1.52E15</v>
      </c>
      <c r="Z94" s="875"/>
      <c r="AA94" s="875"/>
      <c r="AB94" s="875"/>
    </row>
    <row r="95">
      <c r="A95" s="73"/>
      <c r="B95" s="872">
        <v>929.373</v>
      </c>
      <c r="C95" s="872">
        <v>17547.9055374321</v>
      </c>
      <c r="D95" s="872">
        <v>226.24786721611</v>
      </c>
      <c r="E95" s="872">
        <v>849.003363631655</v>
      </c>
      <c r="F95" s="872">
        <v>37.59999847</v>
      </c>
      <c r="G95" s="872"/>
      <c r="H95" s="73"/>
      <c r="I95" s="874">
        <v>1.63E15</v>
      </c>
      <c r="J95" s="874">
        <v>1.63E15</v>
      </c>
      <c r="K95" s="874">
        <v>1.63E15</v>
      </c>
      <c r="L95" s="874">
        <v>1.63E15</v>
      </c>
      <c r="M95" s="874">
        <v>1.63E15</v>
      </c>
      <c r="N95" s="875"/>
      <c r="O95" s="874">
        <v>1.63E15</v>
      </c>
      <c r="P95" s="874">
        <v>1.63E15</v>
      </c>
      <c r="Q95" s="874">
        <v>1.63E15</v>
      </c>
      <c r="R95" s="874">
        <v>1.63E15</v>
      </c>
      <c r="S95" s="874">
        <v>1.63E15</v>
      </c>
      <c r="T95" s="874">
        <v>2.37E18</v>
      </c>
      <c r="U95" s="874">
        <v>1.63E15</v>
      </c>
      <c r="V95" s="874">
        <v>2.37E18</v>
      </c>
      <c r="W95" s="874">
        <v>2.37E18</v>
      </c>
      <c r="X95" s="878">
        <v>8.481E20</v>
      </c>
      <c r="Y95" s="874">
        <v>1.63E15</v>
      </c>
      <c r="Z95" s="875"/>
      <c r="AA95" s="875"/>
      <c r="AB95" s="875"/>
    </row>
    <row r="96">
      <c r="A96" s="73"/>
      <c r="B96" s="872">
        <v>946.572</v>
      </c>
      <c r="C96" s="872">
        <v>18062.457134136</v>
      </c>
      <c r="D96" s="872">
        <v>232.106869131088</v>
      </c>
      <c r="E96" s="872">
        <v>871.738090567952</v>
      </c>
      <c r="F96" s="872">
        <v>37.79999924</v>
      </c>
      <c r="G96" s="872"/>
      <c r="H96" s="73"/>
      <c r="I96" s="874">
        <v>1.75E15</v>
      </c>
      <c r="J96" s="874">
        <v>1.75E15</v>
      </c>
      <c r="K96" s="874">
        <v>1.75E15</v>
      </c>
      <c r="L96" s="874">
        <v>1.75E15</v>
      </c>
      <c r="M96" s="874">
        <v>1.75E15</v>
      </c>
      <c r="N96" s="875"/>
      <c r="O96" s="874">
        <v>1.75E15</v>
      </c>
      <c r="P96" s="874">
        <v>1.75E15</v>
      </c>
      <c r="Q96" s="874">
        <v>1.75E15</v>
      </c>
      <c r="R96" s="874">
        <v>1.75E15</v>
      </c>
      <c r="S96" s="874">
        <v>1.75E15</v>
      </c>
      <c r="T96" s="874">
        <v>2.57E18</v>
      </c>
      <c r="U96" s="874">
        <v>1.75E15</v>
      </c>
      <c r="V96" s="874">
        <v>2.57E18</v>
      </c>
      <c r="W96" s="874">
        <v>2.57E18</v>
      </c>
      <c r="X96" s="878">
        <v>9.3019E20</v>
      </c>
      <c r="Y96" s="874">
        <v>1.75E15</v>
      </c>
      <c r="Z96" s="875"/>
      <c r="AA96" s="875"/>
      <c r="AB96" s="875"/>
    </row>
    <row r="97">
      <c r="A97" s="73"/>
      <c r="B97" s="872">
        <v>963.925</v>
      </c>
      <c r="C97" s="872">
        <v>18586.5228518439</v>
      </c>
      <c r="D97" s="872">
        <v>238.053410108566</v>
      </c>
      <c r="E97" s="872">
        <v>894.856280768084</v>
      </c>
      <c r="F97" s="872">
        <v>38.0</v>
      </c>
      <c r="G97" s="872"/>
      <c r="H97" s="73"/>
      <c r="I97" s="874">
        <v>1.88E15</v>
      </c>
      <c r="J97" s="874">
        <v>1.88E15</v>
      </c>
      <c r="K97" s="874">
        <v>1.88E15</v>
      </c>
      <c r="L97" s="874">
        <v>1.88E15</v>
      </c>
      <c r="M97" s="874">
        <v>1.88E15</v>
      </c>
      <c r="N97" s="875"/>
      <c r="O97" s="874">
        <v>1.88E15</v>
      </c>
      <c r="P97" s="874">
        <v>1.88E15</v>
      </c>
      <c r="Q97" s="874">
        <v>1.88E15</v>
      </c>
      <c r="R97" s="874">
        <v>1.88E15</v>
      </c>
      <c r="S97" s="874">
        <v>1.88E15</v>
      </c>
      <c r="T97" s="874">
        <v>2.77E18</v>
      </c>
      <c r="U97" s="874">
        <v>1.88E15</v>
      </c>
      <c r="V97" s="874">
        <v>2.77E18</v>
      </c>
      <c r="W97" s="874">
        <v>2.77E18</v>
      </c>
      <c r="X97" s="878">
        <v>1.02E21</v>
      </c>
      <c r="Y97" s="874">
        <v>1.88E15</v>
      </c>
      <c r="Z97" s="875"/>
      <c r="AA97" s="875"/>
      <c r="AB97" s="875"/>
    </row>
    <row r="98">
      <c r="A98" s="73"/>
      <c r="B98" s="872">
        <v>981.432</v>
      </c>
      <c r="C98" s="872">
        <v>19120.1717335237</v>
      </c>
      <c r="D98" s="872">
        <v>244.087894445419</v>
      </c>
      <c r="E98" s="872">
        <v>918.360426341313</v>
      </c>
      <c r="F98" s="872">
        <v>38.20000076</v>
      </c>
      <c r="G98" s="872"/>
      <c r="H98" s="73"/>
      <c r="I98" s="874">
        <v>2.02E15</v>
      </c>
      <c r="J98" s="874">
        <v>2.02E15</v>
      </c>
      <c r="K98" s="874">
        <v>2.02E15</v>
      </c>
      <c r="L98" s="874">
        <v>2.02E15</v>
      </c>
      <c r="M98" s="874">
        <v>2.02E15</v>
      </c>
      <c r="N98" s="875"/>
      <c r="O98" s="874">
        <v>2.02E15</v>
      </c>
      <c r="P98" s="874">
        <v>2.02E15</v>
      </c>
      <c r="Q98" s="874">
        <v>2.02E15</v>
      </c>
      <c r="R98" s="874">
        <v>2.02E15</v>
      </c>
      <c r="S98" s="874">
        <v>2.02E15</v>
      </c>
      <c r="T98" s="874">
        <v>2.99E18</v>
      </c>
      <c r="U98" s="874">
        <v>2.02E15</v>
      </c>
      <c r="V98" s="874">
        <v>2.99E18</v>
      </c>
      <c r="W98" s="874">
        <v>2.99E18</v>
      </c>
      <c r="X98" s="878">
        <v>1.11E21</v>
      </c>
      <c r="Y98" s="874">
        <v>2.02E15</v>
      </c>
      <c r="Z98" s="875"/>
      <c r="AA98" s="875"/>
      <c r="AB98" s="875"/>
    </row>
    <row r="99">
      <c r="A99" s="73"/>
      <c r="B99" s="872">
        <v>999.093</v>
      </c>
      <c r="C99" s="872">
        <v>19663.4787401124</v>
      </c>
      <c r="D99" s="872">
        <v>250.210691282272</v>
      </c>
      <c r="E99" s="872">
        <v>942.253180178145</v>
      </c>
      <c r="F99" s="872">
        <v>38.40000153</v>
      </c>
      <c r="G99" s="872"/>
      <c r="H99" s="73"/>
      <c r="I99" s="874">
        <v>2.16E15</v>
      </c>
      <c r="J99" s="874">
        <v>2.16E15</v>
      </c>
      <c r="K99" s="874">
        <v>2.16E15</v>
      </c>
      <c r="L99" s="874">
        <v>2.16E15</v>
      </c>
      <c r="M99" s="874">
        <v>2.16E15</v>
      </c>
      <c r="N99" s="875"/>
      <c r="O99" s="874">
        <v>2.16E15</v>
      </c>
      <c r="P99" s="874">
        <v>2.16E15</v>
      </c>
      <c r="Q99" s="874">
        <v>2.16E15</v>
      </c>
      <c r="R99" s="874">
        <v>2.16E15</v>
      </c>
      <c r="S99" s="874">
        <v>2.16E15</v>
      </c>
      <c r="T99" s="874">
        <v>3.23E18</v>
      </c>
      <c r="U99" s="874">
        <v>2.16E15</v>
      </c>
      <c r="V99" s="874">
        <v>3.23E18</v>
      </c>
      <c r="W99" s="874">
        <v>3.23E18</v>
      </c>
      <c r="X99" s="878">
        <v>1.22E21</v>
      </c>
      <c r="Y99" s="874">
        <v>2.16E15</v>
      </c>
      <c r="Z99" s="875"/>
      <c r="AA99" s="875"/>
      <c r="AB99" s="875"/>
    </row>
    <row r="100">
      <c r="A100" s="73"/>
      <c r="B100" s="872">
        <v>1016.908</v>
      </c>
      <c r="C100" s="872">
        <v>20216.5168598904</v>
      </c>
      <c r="D100" s="872">
        <v>256.422117025375</v>
      </c>
      <c r="E100" s="872">
        <v>966.537195169084</v>
      </c>
      <c r="F100" s="872">
        <v>38.59999847</v>
      </c>
      <c r="G100" s="872"/>
      <c r="H100" s="73"/>
      <c r="I100" s="874">
        <v>2.31E15</v>
      </c>
      <c r="J100" s="874">
        <v>2.31E15</v>
      </c>
      <c r="K100" s="874">
        <v>2.31E15</v>
      </c>
      <c r="L100" s="874">
        <v>2.31E15</v>
      </c>
      <c r="M100" s="874">
        <v>2.31E15</v>
      </c>
      <c r="N100" s="875"/>
      <c r="O100" s="874">
        <v>2.31E15</v>
      </c>
      <c r="P100" s="874">
        <v>2.31E15</v>
      </c>
      <c r="Q100" s="874">
        <v>2.31E15</v>
      </c>
      <c r="R100" s="874">
        <v>2.31E15</v>
      </c>
      <c r="S100" s="874">
        <v>2.31E15</v>
      </c>
      <c r="T100" s="874">
        <v>3.48E18</v>
      </c>
      <c r="U100" s="874">
        <v>2.31E15</v>
      </c>
      <c r="V100" s="874">
        <v>3.48E18</v>
      </c>
      <c r="W100" s="874">
        <v>3.48E18</v>
      </c>
      <c r="X100" s="878">
        <v>1.33E21</v>
      </c>
      <c r="Y100" s="874">
        <v>2.31E15</v>
      </c>
      <c r="Z100" s="875"/>
      <c r="AA100" s="875"/>
      <c r="AB100" s="875"/>
    </row>
    <row r="101">
      <c r="A101" s="73"/>
      <c r="B101" s="872">
        <v>1034.877</v>
      </c>
      <c r="C101" s="872">
        <v>20779.3571084822</v>
      </c>
      <c r="D101" s="872">
        <v>262.722575971603</v>
      </c>
      <c r="E101" s="872">
        <v>991.214802642148</v>
      </c>
      <c r="F101" s="872">
        <v>38.79999924</v>
      </c>
      <c r="G101" s="872"/>
      <c r="H101" s="73"/>
      <c r="I101" s="874">
        <v>2.47E15</v>
      </c>
      <c r="J101" s="874">
        <v>2.47E15</v>
      </c>
      <c r="K101" s="874">
        <v>2.47E15</v>
      </c>
      <c r="L101" s="874">
        <v>2.47E15</v>
      </c>
      <c r="M101" s="874">
        <v>2.47E15</v>
      </c>
      <c r="N101" s="875"/>
      <c r="O101" s="874">
        <v>2.47E15</v>
      </c>
      <c r="P101" s="874">
        <v>2.47E15</v>
      </c>
      <c r="Q101" s="874">
        <v>2.47E15</v>
      </c>
      <c r="R101" s="874">
        <v>2.47E15</v>
      </c>
      <c r="S101" s="874">
        <v>2.47E15</v>
      </c>
      <c r="T101" s="874">
        <v>3.74E18</v>
      </c>
      <c r="U101" s="874">
        <v>2.47E15</v>
      </c>
      <c r="V101" s="874">
        <v>3.74E18</v>
      </c>
      <c r="W101" s="874">
        <v>3.74E18</v>
      </c>
      <c r="X101" s="878">
        <v>1.45E21</v>
      </c>
      <c r="Y101" s="874">
        <v>2.47E15</v>
      </c>
      <c r="Z101" s="875"/>
      <c r="AA101" s="875"/>
      <c r="AB101" s="875"/>
    </row>
    <row r="102">
      <c r="A102" s="73"/>
      <c r="B102" s="872">
        <v>1053.0</v>
      </c>
      <c r="C102" s="872">
        <v>21563.4809248988</v>
      </c>
      <c r="D102" s="872">
        <v>269.11240234375</v>
      </c>
      <c r="E102" s="872">
        <v>1016.28873587846</v>
      </c>
      <c r="F102" s="872">
        <v>39.0</v>
      </c>
      <c r="G102" s="872"/>
      <c r="H102" s="73"/>
      <c r="I102" s="874">
        <v>2.63E15</v>
      </c>
      <c r="J102" s="874">
        <v>2.63E15</v>
      </c>
      <c r="K102" s="874">
        <v>2.63E15</v>
      </c>
      <c r="L102" s="874">
        <v>2.63E15</v>
      </c>
      <c r="M102" s="874">
        <v>2.63E15</v>
      </c>
      <c r="N102" s="875"/>
      <c r="O102" s="874">
        <v>2.63E15</v>
      </c>
      <c r="P102" s="874">
        <v>2.63E15</v>
      </c>
      <c r="Q102" s="874">
        <v>2.63E15</v>
      </c>
      <c r="R102" s="874">
        <v>2.63E15</v>
      </c>
      <c r="S102" s="874">
        <v>2.63E15</v>
      </c>
      <c r="T102" s="874">
        <v>4.02E18</v>
      </c>
      <c r="U102" s="874">
        <v>2.63E15</v>
      </c>
      <c r="V102" s="874">
        <v>4.02E18</v>
      </c>
      <c r="W102" s="874">
        <v>4.02E18</v>
      </c>
      <c r="X102" s="878">
        <v>1.58E21</v>
      </c>
      <c r="Y102" s="874">
        <v>2.63E15</v>
      </c>
      <c r="Z102" s="875"/>
      <c r="AA102" s="875"/>
      <c r="AB102" s="875"/>
    </row>
    <row r="103">
      <c r="A103" s="73"/>
      <c r="B103" s="872">
        <v>1071.277</v>
      </c>
      <c r="C103" s="872">
        <v>22151.9153279578</v>
      </c>
      <c r="D103" s="872">
        <v>275.591947227478</v>
      </c>
      <c r="E103" s="872">
        <v>1041.76156737791</v>
      </c>
      <c r="F103" s="872">
        <v>39.20000076</v>
      </c>
      <c r="G103" s="872"/>
      <c r="H103" s="73"/>
      <c r="I103" s="874">
        <v>2.81E15</v>
      </c>
      <c r="J103" s="874">
        <v>2.81E15</v>
      </c>
      <c r="K103" s="874">
        <v>2.81E15</v>
      </c>
      <c r="L103" s="874">
        <v>2.81E15</v>
      </c>
      <c r="M103" s="874">
        <v>2.81E15</v>
      </c>
      <c r="N103" s="875"/>
      <c r="O103" s="874">
        <v>2.81E15</v>
      </c>
      <c r="P103" s="874">
        <v>2.81E15</v>
      </c>
      <c r="Q103" s="874">
        <v>2.81E15</v>
      </c>
      <c r="R103" s="874">
        <v>2.81E15</v>
      </c>
      <c r="S103" s="874">
        <v>2.81E15</v>
      </c>
      <c r="T103" s="874">
        <v>4.31E18</v>
      </c>
      <c r="U103" s="874">
        <v>2.81E15</v>
      </c>
      <c r="V103" s="874">
        <v>4.31E18</v>
      </c>
      <c r="W103" s="874">
        <v>4.31E18</v>
      </c>
      <c r="X103" s="875"/>
      <c r="Y103" s="874">
        <v>2.81E15</v>
      </c>
      <c r="Z103" s="875"/>
      <c r="AA103" s="875"/>
      <c r="AB103" s="875"/>
    </row>
    <row r="104">
      <c r="A104" s="73"/>
      <c r="B104" s="872">
        <v>1089.708</v>
      </c>
      <c r="C104" s="872">
        <v>22750.4700433277</v>
      </c>
      <c r="D104" s="872">
        <v>282.161580001831</v>
      </c>
      <c r="E104" s="872">
        <v>1067.63570885914</v>
      </c>
      <c r="F104" s="872">
        <v>39.40000153</v>
      </c>
      <c r="G104" s="872"/>
      <c r="H104" s="73"/>
      <c r="I104" s="874">
        <v>2.99E15</v>
      </c>
      <c r="J104" s="874">
        <v>2.99E15</v>
      </c>
      <c r="K104" s="874">
        <v>2.99E15</v>
      </c>
      <c r="L104" s="874">
        <v>2.99E15</v>
      </c>
      <c r="M104" s="874">
        <v>2.99E15</v>
      </c>
      <c r="N104" s="875"/>
      <c r="O104" s="874">
        <v>2.99E15</v>
      </c>
      <c r="P104" s="874">
        <v>2.99E15</v>
      </c>
      <c r="Q104" s="874">
        <v>2.99E15</v>
      </c>
      <c r="R104" s="874">
        <v>2.99E15</v>
      </c>
      <c r="S104" s="874">
        <v>2.99E15</v>
      </c>
      <c r="T104" s="878">
        <v>4.63E18</v>
      </c>
      <c r="U104" s="874">
        <v>2.99E15</v>
      </c>
      <c r="V104" s="878">
        <v>4.63E18</v>
      </c>
      <c r="W104" s="878">
        <v>4.63E18</v>
      </c>
      <c r="X104" s="875"/>
      <c r="Y104" s="874">
        <v>2.99E15</v>
      </c>
      <c r="Z104" s="875"/>
      <c r="AA104" s="875"/>
      <c r="AB104" s="875"/>
    </row>
    <row r="105">
      <c r="A105" s="73"/>
      <c r="B105" s="872">
        <v>1108.293</v>
      </c>
      <c r="C105" s="872">
        <v>23359.2167897569</v>
      </c>
      <c r="D105" s="872">
        <v>288.821634651184</v>
      </c>
      <c r="E105" s="872">
        <v>1093.9136524314</v>
      </c>
      <c r="F105" s="872">
        <v>39.59999847</v>
      </c>
      <c r="G105" s="872"/>
      <c r="H105" s="73"/>
      <c r="I105" s="874">
        <v>3.19E15</v>
      </c>
      <c r="J105" s="874">
        <v>3.19E15</v>
      </c>
      <c r="K105" s="874">
        <v>3.19E15</v>
      </c>
      <c r="L105" s="874">
        <v>3.19E15</v>
      </c>
      <c r="M105" s="874">
        <v>3.19E15</v>
      </c>
      <c r="N105" s="875"/>
      <c r="O105" s="874">
        <v>3.19E15</v>
      </c>
      <c r="P105" s="874">
        <v>3.19E15</v>
      </c>
      <c r="Q105" s="874">
        <v>3.19E15</v>
      </c>
      <c r="R105" s="874">
        <v>3.19E15</v>
      </c>
      <c r="S105" s="874">
        <v>3.19E15</v>
      </c>
      <c r="T105" s="878">
        <v>4.96E18</v>
      </c>
      <c r="U105" s="874">
        <v>3.19E15</v>
      </c>
      <c r="V105" s="878">
        <v>4.96E18</v>
      </c>
      <c r="W105" s="878">
        <v>4.96E18</v>
      </c>
      <c r="X105" s="875"/>
      <c r="Y105" s="874">
        <v>3.19E15</v>
      </c>
      <c r="Z105" s="875"/>
      <c r="AA105" s="875"/>
      <c r="AB105" s="875"/>
    </row>
    <row r="106">
      <c r="A106" s="73"/>
      <c r="B106" s="872">
        <v>1127.032</v>
      </c>
      <c r="C106" s="872">
        <v>23978.2312703691</v>
      </c>
      <c r="D106" s="872">
        <v>295.572462738037</v>
      </c>
      <c r="E106" s="872">
        <v>1120.59805098521</v>
      </c>
      <c r="F106" s="872">
        <v>39.79999924</v>
      </c>
      <c r="G106" s="872"/>
      <c r="H106" s="73"/>
      <c r="I106" s="874">
        <v>3.39E15</v>
      </c>
      <c r="J106" s="874">
        <v>3.39E15</v>
      </c>
      <c r="K106" s="874">
        <v>3.39E15</v>
      </c>
      <c r="L106" s="874">
        <v>3.39E15</v>
      </c>
      <c r="M106" s="874">
        <v>3.39E15</v>
      </c>
      <c r="N106" s="875"/>
      <c r="O106" s="874">
        <v>3.39E15</v>
      </c>
      <c r="P106" s="874">
        <v>3.39E15</v>
      </c>
      <c r="Q106" s="874">
        <v>3.39E15</v>
      </c>
      <c r="R106" s="874">
        <v>3.39E15</v>
      </c>
      <c r="S106" s="874">
        <v>3.39E15</v>
      </c>
      <c r="T106" s="878">
        <v>5.31E18</v>
      </c>
      <c r="U106" s="874">
        <v>3.39E15</v>
      </c>
      <c r="V106" s="878">
        <v>5.31E18</v>
      </c>
      <c r="W106" s="878">
        <v>5.31E18</v>
      </c>
      <c r="X106" s="875"/>
      <c r="Y106" s="874">
        <v>3.39E15</v>
      </c>
      <c r="Z106" s="875"/>
      <c r="AA106" s="875"/>
      <c r="AB106" s="875"/>
    </row>
    <row r="107">
      <c r="A107" s="73"/>
      <c r="B107" s="872">
        <v>1145.925</v>
      </c>
      <c r="C107" s="872">
        <v>24607.5812195381</v>
      </c>
      <c r="D107" s="872">
        <v>302.414433403015</v>
      </c>
      <c r="E107" s="872">
        <v>1147.6913162392</v>
      </c>
      <c r="F107" s="872">
        <v>40.0</v>
      </c>
      <c r="G107" s="872"/>
      <c r="H107" s="73"/>
      <c r="I107" s="874">
        <v>3.61E15</v>
      </c>
      <c r="J107" s="874">
        <v>3.61E15</v>
      </c>
      <c r="K107" s="874">
        <v>3.61E15</v>
      </c>
      <c r="L107" s="874">
        <v>3.61E15</v>
      </c>
      <c r="M107" s="874">
        <v>3.61E15</v>
      </c>
      <c r="N107" s="875"/>
      <c r="O107" s="874">
        <v>3.61E15</v>
      </c>
      <c r="P107" s="874">
        <v>3.61E15</v>
      </c>
      <c r="Q107" s="874">
        <v>3.61E15</v>
      </c>
      <c r="R107" s="874">
        <v>3.61E15</v>
      </c>
      <c r="S107" s="874">
        <v>3.61E15</v>
      </c>
      <c r="T107" s="878">
        <v>5.69E18</v>
      </c>
      <c r="U107" s="874">
        <v>3.61E15</v>
      </c>
      <c r="V107" s="878">
        <v>5.69E18</v>
      </c>
      <c r="W107" s="878">
        <v>5.69E18</v>
      </c>
      <c r="X107" s="875"/>
      <c r="Y107" s="874">
        <v>3.61E15</v>
      </c>
      <c r="Z107" s="875"/>
      <c r="AA107" s="875"/>
      <c r="AB107" s="875"/>
    </row>
    <row r="108">
      <c r="A108" s="73"/>
      <c r="B108" s="872">
        <v>1164.972</v>
      </c>
      <c r="C108" s="872">
        <v>25247.3423403874</v>
      </c>
      <c r="D108" s="872">
        <v>309.347863052368</v>
      </c>
      <c r="E108" s="872">
        <v>1175.19602069325</v>
      </c>
      <c r="F108" s="872">
        <v>40.20000076</v>
      </c>
      <c r="G108" s="872"/>
      <c r="H108" s="73"/>
      <c r="I108" s="874">
        <v>3.83E15</v>
      </c>
      <c r="J108" s="874">
        <v>3.83E15</v>
      </c>
      <c r="K108" s="874">
        <v>3.83E15</v>
      </c>
      <c r="L108" s="874">
        <v>3.83E15</v>
      </c>
      <c r="M108" s="874">
        <v>3.83E15</v>
      </c>
      <c r="N108" s="875"/>
      <c r="O108" s="874">
        <v>3.83E15</v>
      </c>
      <c r="P108" s="874">
        <v>3.83E15</v>
      </c>
      <c r="Q108" s="874">
        <v>3.83E15</v>
      </c>
      <c r="R108" s="874">
        <v>3.83E15</v>
      </c>
      <c r="S108" s="874">
        <v>3.83E15</v>
      </c>
      <c r="T108" s="878">
        <v>6.08E18</v>
      </c>
      <c r="U108" s="874">
        <v>3.83E15</v>
      </c>
      <c r="V108" s="878">
        <v>6.08E18</v>
      </c>
      <c r="W108" s="878">
        <v>6.08E18</v>
      </c>
      <c r="X108" s="875"/>
      <c r="Y108" s="874">
        <v>3.83E15</v>
      </c>
      <c r="Z108" s="875"/>
      <c r="AA108" s="875"/>
      <c r="AB108" s="875"/>
    </row>
    <row r="109">
      <c r="A109" s="73"/>
      <c r="B109" s="872">
        <v>1184.173</v>
      </c>
      <c r="C109" s="872">
        <v>25897.5863516657</v>
      </c>
      <c r="D109" s="872">
        <v>316.373085670471</v>
      </c>
      <c r="E109" s="872">
        <v>1203.114576066</v>
      </c>
      <c r="F109" s="872">
        <v>40.40000153</v>
      </c>
      <c r="G109" s="872"/>
      <c r="H109" s="73"/>
      <c r="I109" s="874">
        <v>4.07E15</v>
      </c>
      <c r="J109" s="874">
        <v>4.07E15</v>
      </c>
      <c r="K109" s="874">
        <v>4.07E15</v>
      </c>
      <c r="L109" s="874">
        <v>4.07E15</v>
      </c>
      <c r="M109" s="874">
        <v>4.07E15</v>
      </c>
      <c r="N109" s="875"/>
      <c r="O109" s="874">
        <v>4.07E15</v>
      </c>
      <c r="P109" s="874">
        <v>4.07E15</v>
      </c>
      <c r="Q109" s="874">
        <v>4.07E15</v>
      </c>
      <c r="R109" s="874">
        <v>4.07E15</v>
      </c>
      <c r="S109" s="874">
        <v>4.07E15</v>
      </c>
      <c r="T109" s="878">
        <v>6.49E18</v>
      </c>
      <c r="U109" s="874">
        <v>4.07E15</v>
      </c>
      <c r="V109" s="878">
        <v>6.49E18</v>
      </c>
      <c r="W109" s="878">
        <v>6.49E18</v>
      </c>
      <c r="X109" s="875"/>
      <c r="Y109" s="874">
        <v>4.07E15</v>
      </c>
      <c r="Z109" s="875"/>
      <c r="AA109" s="875"/>
      <c r="AB109" s="875"/>
    </row>
    <row r="110">
      <c r="A110" s="73"/>
      <c r="B110" s="872">
        <v>1203.528</v>
      </c>
      <c r="C110" s="872">
        <v>26558.3829799341</v>
      </c>
      <c r="D110" s="872">
        <v>323.490487976074</v>
      </c>
      <c r="E110" s="872">
        <v>1231.44955485735</v>
      </c>
      <c r="F110" s="872">
        <v>40.59999847</v>
      </c>
      <c r="G110" s="872"/>
      <c r="H110" s="73"/>
      <c r="I110" s="874">
        <v>4.32E15</v>
      </c>
      <c r="J110" s="874">
        <v>4.32E15</v>
      </c>
      <c r="K110" s="874">
        <v>4.32E15</v>
      </c>
      <c r="L110" s="874">
        <v>4.32E15</v>
      </c>
      <c r="M110" s="874">
        <v>4.32E15</v>
      </c>
      <c r="N110" s="875"/>
      <c r="O110" s="874">
        <v>4.32E15</v>
      </c>
      <c r="P110" s="874">
        <v>4.32E15</v>
      </c>
      <c r="Q110" s="874">
        <v>4.32E15</v>
      </c>
      <c r="R110" s="874">
        <v>4.32E15</v>
      </c>
      <c r="S110" s="874">
        <v>4.32E15</v>
      </c>
      <c r="T110" s="878">
        <v>6.93E18</v>
      </c>
      <c r="U110" s="874">
        <v>4.32E15</v>
      </c>
      <c r="V110" s="878">
        <v>6.93E18</v>
      </c>
      <c r="W110" s="878">
        <v>6.93E18</v>
      </c>
      <c r="X110" s="875"/>
      <c r="Y110" s="874">
        <v>4.32E15</v>
      </c>
      <c r="Z110" s="875"/>
      <c r="AA110" s="875"/>
      <c r="AB110" s="875"/>
    </row>
    <row r="111">
      <c r="A111" s="73"/>
      <c r="B111" s="872">
        <v>1223.037</v>
      </c>
      <c r="C111" s="872">
        <v>27229.8059361288</v>
      </c>
      <c r="D111" s="872">
        <v>330.700351696014</v>
      </c>
      <c r="E111" s="872">
        <v>1260.20328839531</v>
      </c>
      <c r="F111" s="872">
        <v>40.79999924</v>
      </c>
      <c r="G111" s="872"/>
      <c r="H111" s="73"/>
      <c r="I111" s="874">
        <v>4.58E15</v>
      </c>
      <c r="J111" s="874">
        <v>4.58E15</v>
      </c>
      <c r="K111" s="874">
        <v>4.58E15</v>
      </c>
      <c r="L111" s="874">
        <v>4.58E15</v>
      </c>
      <c r="M111" s="874">
        <v>4.58E15</v>
      </c>
      <c r="N111" s="875"/>
      <c r="O111" s="874">
        <v>4.58E15</v>
      </c>
      <c r="P111" s="874">
        <v>4.58E15</v>
      </c>
      <c r="Q111" s="874">
        <v>4.58E15</v>
      </c>
      <c r="R111" s="874">
        <v>4.58E15</v>
      </c>
      <c r="S111" s="874">
        <v>4.58E15</v>
      </c>
      <c r="T111" s="878">
        <v>7.4E18</v>
      </c>
      <c r="U111" s="874">
        <v>4.58E15</v>
      </c>
      <c r="V111" s="878">
        <v>7.4E18</v>
      </c>
      <c r="W111" s="878">
        <v>7.4E18</v>
      </c>
      <c r="X111" s="875"/>
      <c r="Y111" s="874">
        <v>4.58E15</v>
      </c>
      <c r="Z111" s="875"/>
      <c r="AA111" s="875"/>
      <c r="AB111" s="875"/>
    </row>
    <row r="112">
      <c r="A112" s="73"/>
      <c r="B112" s="872">
        <v>1242.7</v>
      </c>
      <c r="C112" s="872">
        <v>27911.9249468111</v>
      </c>
      <c r="D112" s="872">
        <v>338.003062595367</v>
      </c>
      <c r="E112" s="872">
        <v>1301.6581318282</v>
      </c>
      <c r="F112" s="872">
        <v>41.0</v>
      </c>
      <c r="G112" s="872"/>
      <c r="H112" s="73"/>
      <c r="I112" s="874">
        <v>4.85E15</v>
      </c>
      <c r="J112" s="874">
        <v>4.85E15</v>
      </c>
      <c r="K112" s="874">
        <v>4.85E15</v>
      </c>
      <c r="L112" s="874">
        <v>4.85E15</v>
      </c>
      <c r="M112" s="874">
        <v>4.85E15</v>
      </c>
      <c r="N112" s="875"/>
      <c r="O112" s="874">
        <v>4.85E15</v>
      </c>
      <c r="P112" s="874">
        <v>4.85E15</v>
      </c>
      <c r="Q112" s="874">
        <v>4.85E15</v>
      </c>
      <c r="R112" s="874">
        <v>4.85E15</v>
      </c>
      <c r="S112" s="874">
        <v>4.85E15</v>
      </c>
      <c r="T112" s="878">
        <v>7.88E18</v>
      </c>
      <c r="U112" s="874">
        <v>4.85E15</v>
      </c>
      <c r="V112" s="878">
        <v>7.88E18</v>
      </c>
      <c r="W112" s="878">
        <v>7.88E18</v>
      </c>
      <c r="X112" s="875"/>
      <c r="Y112" s="874">
        <v>4.85E15</v>
      </c>
      <c r="Z112" s="875"/>
      <c r="AA112" s="875"/>
      <c r="AB112" s="875"/>
    </row>
    <row r="113">
      <c r="A113" s="73"/>
      <c r="B113" s="872">
        <v>1262.517</v>
      </c>
      <c r="C113" s="872">
        <v>28604.809738542</v>
      </c>
      <c r="D113" s="872">
        <v>345.39893755722</v>
      </c>
      <c r="E113" s="872">
        <v>1331.5388246527</v>
      </c>
      <c r="F113" s="872">
        <v>41.20000076</v>
      </c>
      <c r="G113" s="872"/>
      <c r="H113" s="73"/>
      <c r="I113" s="874">
        <v>5.14E15</v>
      </c>
      <c r="J113" s="874">
        <v>5.14E15</v>
      </c>
      <c r="K113" s="874">
        <v>5.14E15</v>
      </c>
      <c r="L113" s="874">
        <v>5.14E15</v>
      </c>
      <c r="M113" s="874">
        <v>5.14E15</v>
      </c>
      <c r="N113" s="875"/>
      <c r="O113" s="874">
        <v>5.14E15</v>
      </c>
      <c r="P113" s="874">
        <v>5.14E15</v>
      </c>
      <c r="Q113" s="874">
        <v>5.14E15</v>
      </c>
      <c r="R113" s="874">
        <v>5.14E15</v>
      </c>
      <c r="S113" s="874">
        <v>5.14E15</v>
      </c>
      <c r="T113" s="878">
        <v>8.4E18</v>
      </c>
      <c r="U113" s="874">
        <v>5.14E15</v>
      </c>
      <c r="V113" s="878">
        <v>8.4E18</v>
      </c>
      <c r="W113" s="878">
        <v>8.4E18</v>
      </c>
      <c r="X113" s="875"/>
      <c r="Y113" s="874">
        <v>5.14E15</v>
      </c>
      <c r="Z113" s="875"/>
      <c r="AA113" s="875"/>
      <c r="AB113" s="875"/>
    </row>
    <row r="114">
      <c r="A114" s="73"/>
      <c r="B114" s="872">
        <v>1282.488</v>
      </c>
      <c r="C114" s="872">
        <v>29308.5380066326</v>
      </c>
      <c r="D114" s="872">
        <v>352.888257831573</v>
      </c>
      <c r="E114" s="872">
        <v>1361.84980789146</v>
      </c>
      <c r="F114" s="872">
        <v>41.40000153</v>
      </c>
      <c r="G114" s="872"/>
      <c r="H114" s="73"/>
      <c r="I114" s="874">
        <v>5.44E15</v>
      </c>
      <c r="J114" s="874">
        <v>5.44E15</v>
      </c>
      <c r="K114" s="874">
        <v>5.44E15</v>
      </c>
      <c r="L114" s="874">
        <v>5.44E15</v>
      </c>
      <c r="M114" s="874">
        <v>5.44E15</v>
      </c>
      <c r="N114" s="875"/>
      <c r="O114" s="874">
        <v>5.44E15</v>
      </c>
      <c r="P114" s="874">
        <v>5.44E15</v>
      </c>
      <c r="Q114" s="874">
        <v>5.44E15</v>
      </c>
      <c r="R114" s="874">
        <v>5.44E15</v>
      </c>
      <c r="S114" s="874">
        <v>5.44E15</v>
      </c>
      <c r="T114" s="878">
        <v>8.94E18</v>
      </c>
      <c r="U114" s="874">
        <v>5.44E15</v>
      </c>
      <c r="V114" s="878">
        <v>8.94E18</v>
      </c>
      <c r="W114" s="878">
        <v>8.94E18</v>
      </c>
      <c r="X114" s="875"/>
      <c r="Y114" s="874">
        <v>5.44E15</v>
      </c>
      <c r="Z114" s="875"/>
      <c r="AA114" s="875"/>
      <c r="AB114" s="875"/>
    </row>
    <row r="115">
      <c r="A115" s="73"/>
      <c r="B115" s="872">
        <v>1302.613</v>
      </c>
      <c r="C115" s="872">
        <v>30023.1735010818</v>
      </c>
      <c r="D115" s="872">
        <v>360.471445293426</v>
      </c>
      <c r="E115" s="872">
        <v>1392.59343507562</v>
      </c>
      <c r="F115" s="872">
        <v>41.59999847</v>
      </c>
      <c r="G115" s="872"/>
      <c r="H115" s="73"/>
      <c r="I115" s="874">
        <v>5.75E15</v>
      </c>
      <c r="J115" s="874">
        <v>5.75E15</v>
      </c>
      <c r="K115" s="874">
        <v>5.75E15</v>
      </c>
      <c r="L115" s="874">
        <v>5.75E15</v>
      </c>
      <c r="M115" s="874">
        <v>5.75E15</v>
      </c>
      <c r="N115" s="875"/>
      <c r="O115" s="874">
        <v>5.75E15</v>
      </c>
      <c r="P115" s="874">
        <v>5.75E15</v>
      </c>
      <c r="Q115" s="874">
        <v>5.75E15</v>
      </c>
      <c r="R115" s="874">
        <v>5.75E15</v>
      </c>
      <c r="S115" s="874">
        <v>5.75E15</v>
      </c>
      <c r="T115" s="878">
        <v>9.51E18</v>
      </c>
      <c r="U115" s="874">
        <v>5.75E15</v>
      </c>
      <c r="V115" s="878">
        <v>9.51E18</v>
      </c>
      <c r="W115" s="878">
        <v>9.51E18</v>
      </c>
      <c r="X115" s="875"/>
      <c r="Y115" s="874">
        <v>5.75E15</v>
      </c>
      <c r="Z115" s="875"/>
      <c r="AA115" s="875"/>
      <c r="AB115" s="875"/>
    </row>
    <row r="116">
      <c r="A116" s="73"/>
      <c r="B116" s="872">
        <v>1322.892</v>
      </c>
      <c r="C116" s="872">
        <v>30748.7899328256</v>
      </c>
      <c r="D116" s="872">
        <v>368.14874603653</v>
      </c>
      <c r="E116" s="872">
        <v>1423.77222204879</v>
      </c>
      <c r="F116" s="872">
        <v>41.79999924</v>
      </c>
      <c r="G116" s="872"/>
      <c r="H116" s="73"/>
      <c r="I116" s="874">
        <v>6.08E15</v>
      </c>
      <c r="J116" s="874">
        <v>6.08E15</v>
      </c>
      <c r="K116" s="874">
        <v>6.08E15</v>
      </c>
      <c r="L116" s="874">
        <v>6.08E15</v>
      </c>
      <c r="M116" s="874">
        <v>6.08E15</v>
      </c>
      <c r="N116" s="875"/>
      <c r="O116" s="874">
        <v>6.08E15</v>
      </c>
      <c r="P116" s="874">
        <v>6.08E15</v>
      </c>
      <c r="Q116" s="874">
        <v>6.08E15</v>
      </c>
      <c r="R116" s="874">
        <v>6.08E15</v>
      </c>
      <c r="S116" s="874">
        <v>6.08E15</v>
      </c>
      <c r="T116" s="878">
        <v>1.01E19</v>
      </c>
      <c r="U116" s="874">
        <v>6.08E15</v>
      </c>
      <c r="V116" s="878">
        <v>1.01E19</v>
      </c>
      <c r="W116" s="878">
        <v>1.01E19</v>
      </c>
      <c r="X116" s="875"/>
      <c r="Y116" s="874">
        <v>6.08E15</v>
      </c>
      <c r="Z116" s="875"/>
      <c r="AA116" s="875"/>
      <c r="AB116" s="875"/>
    </row>
    <row r="117">
      <c r="A117" s="73"/>
      <c r="B117" s="872">
        <v>1343.325</v>
      </c>
      <c r="C117" s="872">
        <v>31485.4570284253</v>
      </c>
      <c r="D117" s="872">
        <v>375.920546779633</v>
      </c>
      <c r="E117" s="872">
        <v>1455.38868465459</v>
      </c>
      <c r="F117" s="872">
        <v>42.0</v>
      </c>
      <c r="G117" s="872"/>
      <c r="H117" s="73"/>
      <c r="I117" s="874">
        <v>6.42E15</v>
      </c>
      <c r="J117" s="874">
        <v>6.42E15</v>
      </c>
      <c r="K117" s="874">
        <v>6.42E15</v>
      </c>
      <c r="L117" s="874">
        <v>6.42E15</v>
      </c>
      <c r="M117" s="874">
        <v>6.42E15</v>
      </c>
      <c r="N117" s="875"/>
      <c r="O117" s="874">
        <v>6.42E15</v>
      </c>
      <c r="P117" s="874">
        <v>6.42E15</v>
      </c>
      <c r="Q117" s="874">
        <v>6.42E15</v>
      </c>
      <c r="R117" s="874">
        <v>6.42E15</v>
      </c>
      <c r="S117" s="874">
        <v>6.42E15</v>
      </c>
      <c r="T117" s="878">
        <v>1.073E19</v>
      </c>
      <c r="U117" s="874">
        <v>6.42E15</v>
      </c>
      <c r="V117" s="878">
        <v>1.073E19</v>
      </c>
      <c r="W117" s="878">
        <v>1.073E19</v>
      </c>
      <c r="X117" s="875"/>
      <c r="Y117" s="874">
        <v>6.42E15</v>
      </c>
      <c r="Z117" s="875"/>
      <c r="AA117" s="875"/>
      <c r="AB117" s="875"/>
    </row>
    <row r="118">
      <c r="A118" s="73"/>
      <c r="B118" s="872">
        <v>1363.912</v>
      </c>
      <c r="C118" s="872">
        <v>32233.2465066295</v>
      </c>
      <c r="D118" s="872">
        <v>383.787163928986</v>
      </c>
      <c r="E118" s="872">
        <v>1487.44509526788</v>
      </c>
      <c r="F118" s="872">
        <v>42.20000076</v>
      </c>
      <c r="G118" s="872"/>
      <c r="H118" s="73"/>
      <c r="I118" s="874">
        <v>6.77E15</v>
      </c>
      <c r="J118" s="874">
        <v>6.77E15</v>
      </c>
      <c r="K118" s="874">
        <v>6.77E15</v>
      </c>
      <c r="L118" s="874">
        <v>6.77E15</v>
      </c>
      <c r="M118" s="874">
        <v>6.77E15</v>
      </c>
      <c r="N118" s="875"/>
      <c r="O118" s="874">
        <v>6.77E15</v>
      </c>
      <c r="P118" s="874">
        <v>6.77E15</v>
      </c>
      <c r="Q118" s="874">
        <v>6.77E15</v>
      </c>
      <c r="R118" s="874">
        <v>6.77E15</v>
      </c>
      <c r="S118" s="874">
        <v>6.77E15</v>
      </c>
      <c r="T118" s="878">
        <v>1.139E19</v>
      </c>
      <c r="U118" s="874">
        <v>6.77E15</v>
      </c>
      <c r="V118" s="878">
        <v>1.139E19</v>
      </c>
      <c r="W118" s="878">
        <v>1.139E19</v>
      </c>
      <c r="X118" s="875"/>
      <c r="Y118" s="874">
        <v>6.77E15</v>
      </c>
      <c r="Z118" s="875"/>
      <c r="AA118" s="875"/>
      <c r="AB118" s="875"/>
    </row>
    <row r="119">
      <c r="A119" s="73"/>
      <c r="B119" s="872">
        <v>1384.653</v>
      </c>
      <c r="C119" s="872">
        <v>32992.2280939994</v>
      </c>
      <c r="D119" s="872">
        <v>391.748878734589</v>
      </c>
      <c r="E119" s="872">
        <v>1519.94405088854</v>
      </c>
      <c r="F119" s="872">
        <v>42.40000153</v>
      </c>
      <c r="G119" s="872"/>
      <c r="H119" s="73"/>
      <c r="I119" s="874">
        <v>7.15E15</v>
      </c>
      <c r="J119" s="874">
        <v>7.15E15</v>
      </c>
      <c r="K119" s="874">
        <v>7.15E15</v>
      </c>
      <c r="L119" s="874">
        <v>7.15E15</v>
      </c>
      <c r="M119" s="874">
        <v>7.15E15</v>
      </c>
      <c r="N119" s="875"/>
      <c r="O119" s="874">
        <v>7.15E15</v>
      </c>
      <c r="P119" s="874">
        <v>7.15E15</v>
      </c>
      <c r="Q119" s="874">
        <v>7.15E15</v>
      </c>
      <c r="R119" s="874">
        <v>7.15E15</v>
      </c>
      <c r="S119" s="874">
        <v>7.15E15</v>
      </c>
      <c r="T119" s="878">
        <v>1.209E19</v>
      </c>
      <c r="U119" s="874">
        <v>7.15E15</v>
      </c>
      <c r="V119" s="878">
        <v>1.209E19</v>
      </c>
      <c r="W119" s="878">
        <v>1.209E19</v>
      </c>
      <c r="X119" s="875"/>
      <c r="Y119" s="874">
        <v>7.15E15</v>
      </c>
      <c r="Z119" s="875"/>
      <c r="AA119" s="875"/>
      <c r="AB119" s="875"/>
    </row>
    <row r="120">
      <c r="A120" s="73"/>
      <c r="B120" s="872">
        <v>1405.548</v>
      </c>
      <c r="C120" s="872">
        <v>33762.4695249088</v>
      </c>
      <c r="D120" s="872">
        <v>399.806042758942</v>
      </c>
      <c r="E120" s="872">
        <v>1552.88790504768</v>
      </c>
      <c r="F120" s="872">
        <v>42.59999847</v>
      </c>
      <c r="G120" s="872"/>
      <c r="H120" s="73"/>
      <c r="I120" s="874">
        <v>7.53E15</v>
      </c>
      <c r="J120" s="874">
        <v>7.53E15</v>
      </c>
      <c r="K120" s="874">
        <v>7.53E15</v>
      </c>
      <c r="L120" s="874">
        <v>7.53E15</v>
      </c>
      <c r="M120" s="874">
        <v>7.53E15</v>
      </c>
      <c r="N120" s="875"/>
      <c r="O120" s="874">
        <v>7.53E15</v>
      </c>
      <c r="P120" s="874">
        <v>7.53E15</v>
      </c>
      <c r="Q120" s="874">
        <v>7.53E15</v>
      </c>
      <c r="R120" s="874">
        <v>7.53E15</v>
      </c>
      <c r="S120" s="874">
        <v>7.53E15</v>
      </c>
      <c r="T120" s="878">
        <v>1.282E19</v>
      </c>
      <c r="U120" s="874">
        <v>7.53E15</v>
      </c>
      <c r="V120" s="878">
        <v>1.282E19</v>
      </c>
      <c r="W120" s="878">
        <v>1.282E19</v>
      </c>
      <c r="X120" s="875"/>
      <c r="Y120" s="874">
        <v>7.53E15</v>
      </c>
      <c r="Z120" s="875"/>
      <c r="AA120" s="875"/>
      <c r="AB120" s="875"/>
    </row>
    <row r="121">
      <c r="A121" s="73"/>
      <c r="B121" s="872">
        <v>1426.597</v>
      </c>
      <c r="C121" s="872">
        <v>34544.0445102938</v>
      </c>
      <c r="D121" s="872">
        <v>407.958972408295</v>
      </c>
      <c r="E121" s="872">
        <v>1586.27909243267</v>
      </c>
      <c r="F121" s="872">
        <v>42.79999924</v>
      </c>
      <c r="G121" s="872"/>
      <c r="H121" s="73"/>
      <c r="I121" s="874">
        <v>7.94E15</v>
      </c>
      <c r="J121" s="874">
        <v>7.94E15</v>
      </c>
      <c r="K121" s="874">
        <v>7.94E15</v>
      </c>
      <c r="L121" s="874">
        <v>7.94E15</v>
      </c>
      <c r="M121" s="874">
        <v>7.94E15</v>
      </c>
      <c r="N121" s="875"/>
      <c r="O121" s="874">
        <v>7.94E15</v>
      </c>
      <c r="P121" s="874">
        <v>7.94E15</v>
      </c>
      <c r="Q121" s="874">
        <v>7.94E15</v>
      </c>
      <c r="R121" s="874">
        <v>7.94E15</v>
      </c>
      <c r="S121" s="874">
        <v>7.94E15</v>
      </c>
      <c r="T121" s="878">
        <v>1.358E19</v>
      </c>
      <c r="U121" s="874">
        <v>7.94E15</v>
      </c>
      <c r="V121" s="878">
        <v>1.358E19</v>
      </c>
      <c r="W121" s="878">
        <v>1.358E19</v>
      </c>
      <c r="X121" s="875"/>
      <c r="Y121" s="874">
        <v>7.94E15</v>
      </c>
      <c r="Z121" s="875"/>
      <c r="AA121" s="875"/>
      <c r="AB121" s="875"/>
    </row>
    <row r="122">
      <c r="A122" s="73"/>
      <c r="B122" s="872">
        <v>1447.8</v>
      </c>
      <c r="C122" s="872">
        <v>35337.0148079656</v>
      </c>
      <c r="D122" s="872">
        <v>416.208019245148</v>
      </c>
      <c r="E122" s="872">
        <v>1620.11988541839</v>
      </c>
      <c r="F122" s="872">
        <v>43.0</v>
      </c>
      <c r="G122" s="872"/>
      <c r="H122" s="73"/>
      <c r="I122" s="874">
        <v>8.36E15</v>
      </c>
      <c r="J122" s="874">
        <v>8.36E15</v>
      </c>
      <c r="K122" s="874">
        <v>8.36E15</v>
      </c>
      <c r="L122" s="874">
        <v>8.36E15</v>
      </c>
      <c r="M122" s="874">
        <v>8.36E15</v>
      </c>
      <c r="N122" s="875"/>
      <c r="O122" s="874">
        <v>8.36E15</v>
      </c>
      <c r="P122" s="874">
        <v>8.36E15</v>
      </c>
      <c r="Q122" s="874">
        <v>8.36E15</v>
      </c>
      <c r="R122" s="874">
        <v>8.36E15</v>
      </c>
      <c r="S122" s="874">
        <v>8.36E15</v>
      </c>
      <c r="T122" s="878">
        <v>1.438E19</v>
      </c>
      <c r="U122" s="874">
        <v>8.36E15</v>
      </c>
      <c r="V122" s="878">
        <v>1.438E19</v>
      </c>
      <c r="W122" s="878">
        <v>1.438E19</v>
      </c>
      <c r="X122" s="875"/>
      <c r="Y122" s="874">
        <v>8.36E15</v>
      </c>
      <c r="Z122" s="875"/>
      <c r="AA122" s="875"/>
      <c r="AB122" s="875"/>
    </row>
    <row r="123">
      <c r="A123" s="73"/>
      <c r="B123" s="872">
        <v>1469.157</v>
      </c>
      <c r="C123" s="872">
        <v>36141.4640897978</v>
      </c>
      <c r="D123" s="872">
        <v>424.553429363251</v>
      </c>
      <c r="E123" s="872">
        <v>1654.4128810047</v>
      </c>
      <c r="F123" s="872">
        <v>43.20000076</v>
      </c>
      <c r="G123" s="872"/>
      <c r="H123" s="73"/>
      <c r="I123" s="874">
        <v>8.8E15</v>
      </c>
      <c r="J123" s="874">
        <v>8.8E15</v>
      </c>
      <c r="K123" s="874">
        <v>8.8E15</v>
      </c>
      <c r="L123" s="874">
        <v>8.8E15</v>
      </c>
      <c r="M123" s="874">
        <v>8.8E15</v>
      </c>
      <c r="N123" s="875"/>
      <c r="O123" s="874">
        <v>8.8E15</v>
      </c>
      <c r="P123" s="874">
        <v>8.8E15</v>
      </c>
      <c r="Q123" s="874">
        <v>8.8E15</v>
      </c>
      <c r="R123" s="874">
        <v>8.8E15</v>
      </c>
      <c r="S123" s="874">
        <v>8.8E15</v>
      </c>
      <c r="T123" s="878">
        <v>1.522E19</v>
      </c>
      <c r="U123" s="874">
        <v>8.8E15</v>
      </c>
      <c r="V123" s="878">
        <v>1.522E19</v>
      </c>
      <c r="W123" s="878">
        <v>1.522E19</v>
      </c>
      <c r="X123" s="875"/>
      <c r="Y123" s="874">
        <v>8.8E15</v>
      </c>
      <c r="Z123" s="875"/>
      <c r="AA123" s="875"/>
      <c r="AB123" s="875"/>
    </row>
    <row r="124">
      <c r="A124" s="73"/>
      <c r="B124" s="872">
        <v>1490.668</v>
      </c>
      <c r="C124" s="872">
        <v>36957.4481370393</v>
      </c>
      <c r="D124" s="872">
        <v>432.995554801941</v>
      </c>
      <c r="E124" s="872">
        <v>1689.16035156648</v>
      </c>
      <c r="F124" s="872">
        <v>43.40000153</v>
      </c>
      <c r="G124" s="872"/>
      <c r="H124" s="73"/>
      <c r="I124" s="874">
        <v>9.26E15</v>
      </c>
      <c r="J124" s="874">
        <v>9.26E15</v>
      </c>
      <c r="K124" s="874">
        <v>9.26E15</v>
      </c>
      <c r="L124" s="874">
        <v>9.26E15</v>
      </c>
      <c r="M124" s="874">
        <v>9.26E15</v>
      </c>
      <c r="N124" s="875"/>
      <c r="O124" s="874">
        <v>9.26E15</v>
      </c>
      <c r="P124" s="874">
        <v>9.26E15</v>
      </c>
      <c r="Q124" s="874">
        <v>9.26E15</v>
      </c>
      <c r="R124" s="874">
        <v>9.26E15</v>
      </c>
      <c r="S124" s="874">
        <v>9.26E15</v>
      </c>
      <c r="T124" s="878">
        <v>1.61E19</v>
      </c>
      <c r="U124" s="874">
        <v>9.26E15</v>
      </c>
      <c r="V124" s="878">
        <v>1.61E19</v>
      </c>
      <c r="W124" s="878">
        <v>1.61E19</v>
      </c>
      <c r="X124" s="875"/>
      <c r="Y124" s="874">
        <v>9.26E15</v>
      </c>
      <c r="Z124" s="875"/>
      <c r="AA124" s="875"/>
      <c r="AB124" s="875"/>
    </row>
    <row r="125">
      <c r="A125" s="73"/>
      <c r="B125" s="872">
        <v>1512.333</v>
      </c>
      <c r="C125" s="872">
        <v>37785.0386684388</v>
      </c>
      <c r="D125" s="872">
        <v>441.534746170044</v>
      </c>
      <c r="E125" s="872">
        <v>1724.36473179109</v>
      </c>
      <c r="F125" s="872">
        <v>43.59999847</v>
      </c>
      <c r="G125" s="872"/>
      <c r="H125" s="73"/>
      <c r="I125" s="874">
        <v>9.74E15</v>
      </c>
      <c r="J125" s="874">
        <v>9.74E15</v>
      </c>
      <c r="K125" s="874">
        <v>9.74E15</v>
      </c>
      <c r="L125" s="874">
        <v>9.74E15</v>
      </c>
      <c r="M125" s="874">
        <v>9.74E15</v>
      </c>
      <c r="N125" s="875"/>
      <c r="O125" s="874">
        <v>9.74E15</v>
      </c>
      <c r="P125" s="874">
        <v>9.74E15</v>
      </c>
      <c r="Q125" s="874">
        <v>9.74E15</v>
      </c>
      <c r="R125" s="874">
        <v>9.74E15</v>
      </c>
      <c r="S125" s="874">
        <v>9.74E15</v>
      </c>
      <c r="T125" s="878">
        <v>1.702E19</v>
      </c>
      <c r="U125" s="874">
        <v>9.74E15</v>
      </c>
      <c r="V125" s="878">
        <v>1.702E19</v>
      </c>
      <c r="W125" s="878">
        <v>1.702E19</v>
      </c>
      <c r="X125" s="875"/>
      <c r="Y125" s="874">
        <v>9.74E15</v>
      </c>
      <c r="Z125" s="875"/>
      <c r="AA125" s="875"/>
      <c r="AB125" s="875"/>
    </row>
    <row r="126">
      <c r="A126" s="73"/>
      <c r="B126" s="872">
        <v>1534.152</v>
      </c>
      <c r="C126" s="872">
        <v>38624.3113871198</v>
      </c>
      <c r="D126" s="872">
        <v>450.171250038147</v>
      </c>
      <c r="E126" s="872">
        <v>1760.02829405341</v>
      </c>
      <c r="F126" s="872">
        <v>43.79999924</v>
      </c>
      <c r="G126" s="872"/>
      <c r="H126" s="73"/>
      <c r="I126" s="874">
        <v>1.024E16</v>
      </c>
      <c r="J126" s="874">
        <v>1.024E16</v>
      </c>
      <c r="K126" s="874">
        <v>1.024E16</v>
      </c>
      <c r="L126" s="874">
        <v>1.024E16</v>
      </c>
      <c r="M126" s="874">
        <v>1.024E16</v>
      </c>
      <c r="N126" s="875"/>
      <c r="O126" s="874">
        <v>1.024E16</v>
      </c>
      <c r="P126" s="874">
        <v>1.024E16</v>
      </c>
      <c r="Q126" s="874">
        <v>1.024E16</v>
      </c>
      <c r="R126" s="874">
        <v>1.024E16</v>
      </c>
      <c r="S126" s="874">
        <v>1.024E16</v>
      </c>
      <c r="T126" s="878">
        <v>1.798E19</v>
      </c>
      <c r="U126" s="874">
        <v>1.024E16</v>
      </c>
      <c r="V126" s="878">
        <v>1.798E19</v>
      </c>
      <c r="W126" s="878">
        <v>1.798E19</v>
      </c>
      <c r="X126" s="875"/>
      <c r="Y126" s="874">
        <v>1.024E16</v>
      </c>
      <c r="Z126" s="875"/>
      <c r="AA126" s="875"/>
      <c r="AB126" s="875"/>
    </row>
    <row r="127">
      <c r="A127" s="73"/>
      <c r="B127" s="872">
        <v>1556.125</v>
      </c>
      <c r="C127" s="872">
        <v>39475.3300430812</v>
      </c>
      <c r="D127" s="872">
        <v>458.905453125</v>
      </c>
      <c r="E127" s="872">
        <v>1796.15347304082</v>
      </c>
      <c r="F127" s="872">
        <v>44.0</v>
      </c>
      <c r="G127" s="872"/>
      <c r="H127" s="73"/>
      <c r="I127" s="874">
        <v>1.076E16</v>
      </c>
      <c r="J127" s="874">
        <v>1.076E16</v>
      </c>
      <c r="K127" s="874">
        <v>1.076E16</v>
      </c>
      <c r="L127" s="874">
        <v>1.076E16</v>
      </c>
      <c r="M127" s="874">
        <v>1.076E16</v>
      </c>
      <c r="N127" s="875"/>
      <c r="O127" s="874">
        <v>1.076E16</v>
      </c>
      <c r="P127" s="874">
        <v>1.076E16</v>
      </c>
      <c r="Q127" s="874">
        <v>1.076E16</v>
      </c>
      <c r="R127" s="874">
        <v>1.076E16</v>
      </c>
      <c r="S127" s="874">
        <v>1.076E16</v>
      </c>
      <c r="T127" s="878">
        <v>1.899E19</v>
      </c>
      <c r="U127" s="874">
        <v>1.076E16</v>
      </c>
      <c r="V127" s="878">
        <v>1.899E19</v>
      </c>
      <c r="W127" s="878">
        <v>1.899E19</v>
      </c>
      <c r="X127" s="875"/>
      <c r="Y127" s="874">
        <v>1.076E16</v>
      </c>
      <c r="Z127" s="875"/>
      <c r="AA127" s="875"/>
      <c r="AB127" s="875"/>
    </row>
    <row r="128">
      <c r="A128" s="73"/>
      <c r="B128" s="872">
        <v>1578.252</v>
      </c>
      <c r="C128" s="872">
        <v>40338.1663550716</v>
      </c>
      <c r="D128" s="872">
        <v>467.737566368103</v>
      </c>
      <c r="E128" s="872">
        <v>1832.74254112818</v>
      </c>
      <c r="F128" s="872">
        <v>44.20000076</v>
      </c>
      <c r="G128" s="872"/>
      <c r="H128" s="73"/>
      <c r="I128" s="874">
        <v>1.13E16</v>
      </c>
      <c r="J128" s="874">
        <v>1.13E16</v>
      </c>
      <c r="K128" s="874">
        <v>1.13E16</v>
      </c>
      <c r="L128" s="874">
        <v>1.13E16</v>
      </c>
      <c r="M128" s="874">
        <v>1.13E16</v>
      </c>
      <c r="N128" s="875"/>
      <c r="O128" s="874">
        <v>1.13E16</v>
      </c>
      <c r="P128" s="874">
        <v>1.13E16</v>
      </c>
      <c r="Q128" s="874">
        <v>1.13E16</v>
      </c>
      <c r="R128" s="874">
        <v>1.13E16</v>
      </c>
      <c r="S128" s="874">
        <v>1.13E16</v>
      </c>
      <c r="T128" s="878">
        <v>2.004E19</v>
      </c>
      <c r="U128" s="874">
        <v>1.13E16</v>
      </c>
      <c r="V128" s="878">
        <v>2.004E19</v>
      </c>
      <c r="W128" s="878">
        <v>2.004E19</v>
      </c>
      <c r="X128" s="875"/>
      <c r="Y128" s="874">
        <v>1.13E16</v>
      </c>
      <c r="Z128" s="875"/>
      <c r="AA128" s="875"/>
      <c r="AB128" s="875"/>
    </row>
    <row r="129">
      <c r="A129" s="73"/>
      <c r="B129" s="872">
        <v>1600.533</v>
      </c>
      <c r="C129" s="872">
        <v>41212.8840730898</v>
      </c>
      <c r="D129" s="872">
        <v>476.667976486206</v>
      </c>
      <c r="E129" s="872">
        <v>1869.79809531537</v>
      </c>
      <c r="F129" s="872">
        <v>44.40000153</v>
      </c>
      <c r="G129" s="872"/>
      <c r="H129" s="73"/>
      <c r="I129" s="874">
        <v>1.186E16</v>
      </c>
      <c r="J129" s="874">
        <v>1.186E16</v>
      </c>
      <c r="K129" s="874">
        <v>1.186E16</v>
      </c>
      <c r="L129" s="874">
        <v>1.186E16</v>
      </c>
      <c r="M129" s="874">
        <v>1.186E16</v>
      </c>
      <c r="N129" s="875"/>
      <c r="O129" s="874">
        <v>1.186E16</v>
      </c>
      <c r="P129" s="874">
        <v>1.186E16</v>
      </c>
      <c r="Q129" s="874">
        <v>1.186E16</v>
      </c>
      <c r="R129" s="874">
        <v>1.186E16</v>
      </c>
      <c r="S129" s="874">
        <v>1.186E16</v>
      </c>
      <c r="T129" s="878">
        <v>2.114E19</v>
      </c>
      <c r="U129" s="874">
        <v>1.186E16</v>
      </c>
      <c r="V129" s="878">
        <v>2.114E19</v>
      </c>
      <c r="W129" s="878">
        <v>2.114E19</v>
      </c>
      <c r="X129" s="875"/>
      <c r="Y129" s="874">
        <v>1.186E16</v>
      </c>
      <c r="Z129" s="875"/>
      <c r="AA129" s="875"/>
      <c r="AB129" s="875"/>
    </row>
    <row r="130">
      <c r="A130" s="73"/>
      <c r="B130" s="872">
        <v>1622.968</v>
      </c>
      <c r="C130" s="872">
        <v>42099.5549158845</v>
      </c>
      <c r="D130" s="872">
        <v>485.696964729309</v>
      </c>
      <c r="E130" s="872">
        <v>1907.32224566475</v>
      </c>
      <c r="F130" s="872">
        <v>44.59999847</v>
      </c>
      <c r="G130" s="872"/>
      <c r="H130" s="73"/>
      <c r="I130" s="874">
        <v>1.244E16</v>
      </c>
      <c r="J130" s="874">
        <v>1.244E16</v>
      </c>
      <c r="K130" s="874">
        <v>1.244E16</v>
      </c>
      <c r="L130" s="874">
        <v>1.244E16</v>
      </c>
      <c r="M130" s="874">
        <v>1.244E16</v>
      </c>
      <c r="N130" s="875"/>
      <c r="O130" s="874">
        <v>1.244E16</v>
      </c>
      <c r="P130" s="874">
        <v>1.244E16</v>
      </c>
      <c r="Q130" s="874">
        <v>1.244E16</v>
      </c>
      <c r="R130" s="874">
        <v>1.244E16</v>
      </c>
      <c r="S130" s="874">
        <v>1.244E16</v>
      </c>
      <c r="T130" s="878">
        <v>2.229E19</v>
      </c>
      <c r="U130" s="874">
        <v>1.244E16</v>
      </c>
      <c r="V130" s="878">
        <v>2.229E19</v>
      </c>
      <c r="W130" s="878">
        <v>2.229E19</v>
      </c>
      <c r="X130" s="875"/>
      <c r="Y130" s="874">
        <v>1.244E16</v>
      </c>
      <c r="Z130" s="875"/>
      <c r="AA130" s="875"/>
      <c r="AB130" s="875"/>
    </row>
    <row r="131">
      <c r="A131" s="73"/>
      <c r="B131" s="872">
        <v>1645.557</v>
      </c>
      <c r="C131" s="872">
        <v>42998.2426334545</v>
      </c>
      <c r="D131" s="872">
        <v>494.824812347412</v>
      </c>
      <c r="E131" s="872">
        <v>1945.31742686371</v>
      </c>
      <c r="F131" s="872">
        <v>44.79999924</v>
      </c>
      <c r="G131" s="872"/>
      <c r="H131" s="73"/>
      <c r="I131" s="874">
        <v>1.304E16</v>
      </c>
      <c r="J131" s="874">
        <v>1.304E16</v>
      </c>
      <c r="K131" s="874">
        <v>1.304E16</v>
      </c>
      <c r="L131" s="874">
        <v>1.304E16</v>
      </c>
      <c r="M131" s="874">
        <v>1.304E16</v>
      </c>
      <c r="N131" s="875"/>
      <c r="O131" s="874">
        <v>1.304E16</v>
      </c>
      <c r="P131" s="874">
        <v>1.304E16</v>
      </c>
      <c r="Q131" s="874">
        <v>1.304E16</v>
      </c>
      <c r="R131" s="874">
        <v>1.304E16</v>
      </c>
      <c r="S131" s="874">
        <v>1.304E16</v>
      </c>
      <c r="T131" s="878">
        <v>2.349E19</v>
      </c>
      <c r="U131" s="874">
        <v>1.304E16</v>
      </c>
      <c r="V131" s="878">
        <v>2.349E19</v>
      </c>
      <c r="W131" s="878">
        <v>2.349E19</v>
      </c>
      <c r="X131" s="875"/>
      <c r="Y131" s="874">
        <v>1.304E16</v>
      </c>
      <c r="Z131" s="875"/>
      <c r="AA131" s="875"/>
      <c r="AB131" s="875"/>
    </row>
    <row r="132">
      <c r="A132" s="73"/>
      <c r="B132" s="872">
        <v>1668.3</v>
      </c>
      <c r="C132" s="872">
        <v>44339.5031433851</v>
      </c>
      <c r="D132" s="872">
        <v>504.051870903015</v>
      </c>
      <c r="E132" s="872">
        <v>1983.78607359962</v>
      </c>
      <c r="F132" s="872">
        <v>45.0</v>
      </c>
      <c r="G132" s="872"/>
      <c r="H132" s="73"/>
      <c r="I132" s="874">
        <v>1.367E16</v>
      </c>
      <c r="J132" s="874">
        <v>1.367E16</v>
      </c>
      <c r="K132" s="874">
        <v>1.367E16</v>
      </c>
      <c r="L132" s="874">
        <v>1.367E16</v>
      </c>
      <c r="M132" s="874">
        <v>1.367E16</v>
      </c>
      <c r="N132" s="875"/>
      <c r="O132" s="874">
        <v>1.367E16</v>
      </c>
      <c r="P132" s="874">
        <v>1.367E16</v>
      </c>
      <c r="Q132" s="874">
        <v>1.367E16</v>
      </c>
      <c r="R132" s="874">
        <v>1.367E16</v>
      </c>
      <c r="S132" s="874">
        <v>1.367E16</v>
      </c>
      <c r="T132" s="878">
        <v>2.475E19</v>
      </c>
      <c r="U132" s="874">
        <v>1.367E16</v>
      </c>
      <c r="V132" s="878">
        <v>2.475E19</v>
      </c>
      <c r="W132" s="878">
        <v>2.475E19</v>
      </c>
      <c r="X132" s="875"/>
      <c r="Y132" s="874">
        <v>1.367E16</v>
      </c>
      <c r="Z132" s="875"/>
      <c r="AA132" s="875"/>
      <c r="AB132" s="875"/>
    </row>
    <row r="133">
      <c r="A133" s="73"/>
      <c r="B133" s="872">
        <v>1691.197</v>
      </c>
      <c r="C133" s="872">
        <v>45271.4881565599</v>
      </c>
      <c r="D133" s="872">
        <v>513.378386489868</v>
      </c>
      <c r="E133" s="872">
        <v>2022.73029593485</v>
      </c>
      <c r="F133" s="872">
        <v>45.20000076</v>
      </c>
      <c r="G133" s="872"/>
      <c r="H133" s="73"/>
      <c r="I133" s="874">
        <v>1.432E16</v>
      </c>
      <c r="J133" s="874">
        <v>1.432E16</v>
      </c>
      <c r="K133" s="874">
        <v>1.432E16</v>
      </c>
      <c r="L133" s="874">
        <v>1.432E16</v>
      </c>
      <c r="M133" s="874">
        <v>1.432E16</v>
      </c>
      <c r="N133" s="875"/>
      <c r="O133" s="874">
        <v>1.432E16</v>
      </c>
      <c r="P133" s="874">
        <v>1.432E16</v>
      </c>
      <c r="Q133" s="874">
        <v>1.432E16</v>
      </c>
      <c r="R133" s="874">
        <v>1.432E16</v>
      </c>
      <c r="S133" s="874">
        <v>1.432E16</v>
      </c>
      <c r="T133" s="878">
        <v>2.606E19</v>
      </c>
      <c r="U133" s="874">
        <v>1.432E16</v>
      </c>
      <c r="V133" s="878">
        <v>2.606E19</v>
      </c>
      <c r="W133" s="878">
        <v>2.606E19</v>
      </c>
      <c r="X133" s="875"/>
      <c r="Y133" s="874">
        <v>1.432E16</v>
      </c>
      <c r="Z133" s="875"/>
      <c r="AA133" s="875"/>
      <c r="AB133" s="875"/>
    </row>
    <row r="134">
      <c r="A134" s="73"/>
      <c r="B134" s="872">
        <v>1714.248</v>
      </c>
      <c r="C134" s="872">
        <v>46215.8170756418</v>
      </c>
      <c r="D134" s="872">
        <v>522.804710670471</v>
      </c>
      <c r="E134" s="872">
        <v>2062.15252855677</v>
      </c>
      <c r="F134" s="872">
        <v>45.40000153</v>
      </c>
      <c r="G134" s="872"/>
      <c r="H134" s="73"/>
      <c r="I134" s="874">
        <v>1.5E16</v>
      </c>
      <c r="J134" s="874">
        <v>1.5E16</v>
      </c>
      <c r="K134" s="874">
        <v>1.5E16</v>
      </c>
      <c r="L134" s="874">
        <v>1.5E16</v>
      </c>
      <c r="M134" s="874">
        <v>1.5E16</v>
      </c>
      <c r="N134" s="875"/>
      <c r="O134" s="874">
        <v>1.5E16</v>
      </c>
      <c r="P134" s="874">
        <v>1.5E16</v>
      </c>
      <c r="Q134" s="874">
        <v>1.5E16</v>
      </c>
      <c r="R134" s="874">
        <v>1.5E16</v>
      </c>
      <c r="S134" s="874">
        <v>1.5E16</v>
      </c>
      <c r="T134" s="878">
        <v>2.742E19</v>
      </c>
      <c r="U134" s="874">
        <v>1.5E16</v>
      </c>
      <c r="V134" s="878">
        <v>2.742E19</v>
      </c>
      <c r="W134" s="878">
        <v>2.742E19</v>
      </c>
      <c r="X134" s="875"/>
      <c r="Y134" s="874">
        <v>1.5E16</v>
      </c>
      <c r="Z134" s="875"/>
      <c r="AA134" s="875"/>
      <c r="AB134" s="875"/>
    </row>
    <row r="135">
      <c r="A135" s="73"/>
      <c r="B135" s="872">
        <v>1737.453</v>
      </c>
      <c r="C135" s="872">
        <v>47172.5582990665</v>
      </c>
      <c r="D135" s="872">
        <v>532.331089538574</v>
      </c>
      <c r="E135" s="872">
        <v>2102.05520615276</v>
      </c>
      <c r="F135" s="872">
        <v>45.59999847</v>
      </c>
      <c r="G135" s="872"/>
      <c r="H135" s="73"/>
      <c r="I135" s="874">
        <v>1.571E16</v>
      </c>
      <c r="J135" s="874">
        <v>1.571E16</v>
      </c>
      <c r="K135" s="874">
        <v>1.571E16</v>
      </c>
      <c r="L135" s="874">
        <v>1.571E16</v>
      </c>
      <c r="M135" s="874">
        <v>1.571E16</v>
      </c>
      <c r="N135" s="875"/>
      <c r="O135" s="874">
        <v>1.571E16</v>
      </c>
      <c r="P135" s="874">
        <v>1.571E16</v>
      </c>
      <c r="Q135" s="874">
        <v>1.571E16</v>
      </c>
      <c r="R135" s="874">
        <v>1.571E16</v>
      </c>
      <c r="S135" s="874">
        <v>1.571E16</v>
      </c>
      <c r="T135" s="878">
        <v>2.885E19</v>
      </c>
      <c r="U135" s="874">
        <v>1.571E16</v>
      </c>
      <c r="V135" s="878">
        <v>2.885E19</v>
      </c>
      <c r="W135" s="878">
        <v>2.885E19</v>
      </c>
      <c r="X135" s="875"/>
      <c r="Y135" s="874">
        <v>1.571E16</v>
      </c>
      <c r="Z135" s="875"/>
      <c r="AA135" s="875"/>
      <c r="AB135" s="875"/>
    </row>
    <row r="136">
      <c r="A136" s="73"/>
      <c r="B136" s="872">
        <v>1760.812</v>
      </c>
      <c r="C136" s="872">
        <v>48141.7802252695</v>
      </c>
      <c r="D136" s="872">
        <v>541.957874656677</v>
      </c>
      <c r="E136" s="872">
        <v>2142.44027647271</v>
      </c>
      <c r="F136" s="872">
        <v>45.79999924</v>
      </c>
      <c r="G136" s="872"/>
      <c r="H136" s="73"/>
      <c r="I136" s="874">
        <v>1.643E16</v>
      </c>
      <c r="J136" s="874">
        <v>1.643E16</v>
      </c>
      <c r="K136" s="874">
        <v>1.643E16</v>
      </c>
      <c r="L136" s="874">
        <v>1.643E16</v>
      </c>
      <c r="M136" s="874">
        <v>1.643E16</v>
      </c>
      <c r="N136" s="875"/>
      <c r="O136" s="874">
        <v>1.643E16</v>
      </c>
      <c r="P136" s="874">
        <v>1.643E16</v>
      </c>
      <c r="Q136" s="874">
        <v>1.643E16</v>
      </c>
      <c r="R136" s="874">
        <v>1.643E16</v>
      </c>
      <c r="S136" s="874">
        <v>1.643E16</v>
      </c>
      <c r="T136" s="878">
        <v>3.033E19</v>
      </c>
      <c r="U136" s="874">
        <v>1.643E16</v>
      </c>
      <c r="V136" s="878">
        <v>3.033E19</v>
      </c>
      <c r="W136" s="878">
        <v>3.033E19</v>
      </c>
      <c r="X136" s="875"/>
      <c r="Y136" s="874">
        <v>1.643E16</v>
      </c>
      <c r="Z136" s="875"/>
      <c r="AA136" s="875"/>
      <c r="AB136" s="875"/>
    </row>
    <row r="137">
      <c r="A137" s="73"/>
      <c r="B137" s="872">
        <v>1784.325</v>
      </c>
      <c r="C137" s="872">
        <v>49123.5512526864</v>
      </c>
      <c r="D137" s="872">
        <v>551.685312595367</v>
      </c>
      <c r="E137" s="872">
        <v>2183.31049882898</v>
      </c>
      <c r="F137" s="872">
        <v>46.0</v>
      </c>
      <c r="G137" s="872"/>
      <c r="H137" s="73"/>
      <c r="I137" s="874">
        <v>1.719E16</v>
      </c>
      <c r="J137" s="874">
        <v>1.719E16</v>
      </c>
      <c r="K137" s="874">
        <v>1.719E16</v>
      </c>
      <c r="L137" s="874">
        <v>1.719E16</v>
      </c>
      <c r="M137" s="874">
        <v>1.719E16</v>
      </c>
      <c r="N137" s="875"/>
      <c r="O137" s="874">
        <v>1.719E16</v>
      </c>
      <c r="P137" s="874">
        <v>1.719E16</v>
      </c>
      <c r="Q137" s="874">
        <v>1.719E16</v>
      </c>
      <c r="R137" s="874">
        <v>1.719E16</v>
      </c>
      <c r="S137" s="874">
        <v>1.719E16</v>
      </c>
      <c r="T137" s="878">
        <v>3.188E19</v>
      </c>
      <c r="U137" s="874">
        <v>1.719E16</v>
      </c>
      <c r="V137" s="878">
        <v>3.188E19</v>
      </c>
      <c r="W137" s="878">
        <v>3.188E19</v>
      </c>
      <c r="X137" s="875"/>
      <c r="Y137" s="874">
        <v>1.719E16</v>
      </c>
      <c r="Z137" s="875"/>
      <c r="AA137" s="875"/>
      <c r="AB137" s="875"/>
    </row>
    <row r="138">
      <c r="A138" s="73"/>
      <c r="B138" s="872">
        <v>1807.992</v>
      </c>
      <c r="C138" s="872">
        <v>50117.9397797529</v>
      </c>
      <c r="D138" s="872">
        <v>561.51375396347</v>
      </c>
      <c r="E138" s="872">
        <v>2224.66782097144</v>
      </c>
      <c r="F138" s="872">
        <v>46.20000076</v>
      </c>
      <c r="G138" s="872"/>
      <c r="H138" s="73"/>
      <c r="I138" s="874">
        <v>1.797E16</v>
      </c>
      <c r="J138" s="874">
        <v>1.797E16</v>
      </c>
      <c r="K138" s="874">
        <v>1.797E16</v>
      </c>
      <c r="L138" s="874">
        <v>1.797E16</v>
      </c>
      <c r="M138" s="874">
        <v>1.797E16</v>
      </c>
      <c r="N138" s="875"/>
      <c r="O138" s="874">
        <v>1.797E16</v>
      </c>
      <c r="P138" s="874">
        <v>1.797E16</v>
      </c>
      <c r="Q138" s="874">
        <v>1.797E16</v>
      </c>
      <c r="R138" s="874">
        <v>1.797E16</v>
      </c>
      <c r="S138" s="874">
        <v>1.797E16</v>
      </c>
      <c r="T138" s="878">
        <v>3.349E19</v>
      </c>
      <c r="U138" s="874">
        <v>1.797E16</v>
      </c>
      <c r="V138" s="878">
        <v>3.349E19</v>
      </c>
      <c r="W138" s="878">
        <v>3.349E19</v>
      </c>
      <c r="X138" s="875"/>
      <c r="Y138" s="874">
        <v>1.797E16</v>
      </c>
      <c r="Z138" s="875"/>
      <c r="AA138" s="875"/>
      <c r="AB138" s="875"/>
    </row>
    <row r="139">
      <c r="A139" s="73"/>
      <c r="B139" s="872">
        <v>1831.813</v>
      </c>
      <c r="C139" s="872">
        <v>51125.010181467</v>
      </c>
      <c r="D139" s="872">
        <v>571.443445331573</v>
      </c>
      <c r="E139" s="872">
        <v>2266.51467758748</v>
      </c>
      <c r="F139" s="872">
        <v>46.40000153</v>
      </c>
      <c r="G139" s="872"/>
      <c r="H139" s="73"/>
      <c r="I139" s="874">
        <v>1.879E16</v>
      </c>
      <c r="J139" s="874">
        <v>1.879E16</v>
      </c>
      <c r="K139" s="874">
        <v>1.879E16</v>
      </c>
      <c r="L139" s="874">
        <v>1.879E16</v>
      </c>
      <c r="M139" s="874">
        <v>1.879E16</v>
      </c>
      <c r="N139" s="875"/>
      <c r="O139" s="874">
        <v>1.879E16</v>
      </c>
      <c r="P139" s="874">
        <v>1.879E16</v>
      </c>
      <c r="Q139" s="874">
        <v>1.879E16</v>
      </c>
      <c r="R139" s="874">
        <v>1.879E16</v>
      </c>
      <c r="S139" s="874">
        <v>1.879E16</v>
      </c>
      <c r="T139" s="878">
        <v>3.516E19</v>
      </c>
      <c r="U139" s="874">
        <v>1.879E16</v>
      </c>
      <c r="V139" s="878">
        <v>3.516E19</v>
      </c>
      <c r="W139" s="878">
        <v>3.516E19</v>
      </c>
      <c r="X139" s="875"/>
      <c r="Y139" s="874">
        <v>1.879E16</v>
      </c>
      <c r="Z139" s="875"/>
      <c r="AA139" s="875"/>
      <c r="AB139" s="875"/>
    </row>
    <row r="140">
      <c r="A140" s="73"/>
      <c r="B140" s="872">
        <v>1855.788</v>
      </c>
      <c r="C140" s="872">
        <v>52144.834879702</v>
      </c>
      <c r="D140" s="872">
        <v>581.474667949676</v>
      </c>
      <c r="E140" s="872">
        <v>2308.85334105198</v>
      </c>
      <c r="F140" s="872">
        <v>46.59999847</v>
      </c>
      <c r="G140" s="872"/>
      <c r="H140" s="73"/>
      <c r="I140" s="874">
        <v>1.963E16</v>
      </c>
      <c r="J140" s="874">
        <v>1.963E16</v>
      </c>
      <c r="K140" s="874">
        <v>1.963E16</v>
      </c>
      <c r="L140" s="874">
        <v>1.963E16</v>
      </c>
      <c r="M140" s="874">
        <v>1.963E16</v>
      </c>
      <c r="N140" s="875"/>
      <c r="O140" s="874">
        <v>1.963E16</v>
      </c>
      <c r="P140" s="874">
        <v>1.963E16</v>
      </c>
      <c r="Q140" s="874">
        <v>1.963E16</v>
      </c>
      <c r="R140" s="874">
        <v>1.963E16</v>
      </c>
      <c r="S140" s="874">
        <v>1.963E16</v>
      </c>
      <c r="T140" s="878">
        <v>3.691E19</v>
      </c>
      <c r="U140" s="874">
        <v>1.963E16</v>
      </c>
      <c r="V140" s="878">
        <v>3.691E19</v>
      </c>
      <c r="W140" s="878">
        <v>3.691E19</v>
      </c>
      <c r="X140" s="875"/>
      <c r="Y140" s="874">
        <v>1.963E16</v>
      </c>
      <c r="Z140" s="875"/>
      <c r="AA140" s="875"/>
      <c r="AB140" s="875"/>
    </row>
    <row r="141">
      <c r="A141" s="73"/>
      <c r="B141" s="872">
        <v>1879.917</v>
      </c>
      <c r="C141" s="872">
        <v>53177.4742260184</v>
      </c>
      <c r="D141" s="872">
        <v>591.607773380279</v>
      </c>
      <c r="E141" s="872">
        <v>2351.68592142731</v>
      </c>
      <c r="F141" s="872">
        <v>46.79999924</v>
      </c>
      <c r="G141" s="872"/>
      <c r="H141" s="73"/>
      <c r="I141" s="874">
        <v>2.05E16</v>
      </c>
      <c r="J141" s="874">
        <v>2.05E16</v>
      </c>
      <c r="K141" s="874">
        <v>2.05E16</v>
      </c>
      <c r="L141" s="874">
        <v>2.05E16</v>
      </c>
      <c r="M141" s="874">
        <v>2.05E16</v>
      </c>
      <c r="N141" s="875"/>
      <c r="O141" s="874">
        <v>2.05E16</v>
      </c>
      <c r="P141" s="874">
        <v>2.05E16</v>
      </c>
      <c r="Q141" s="874">
        <v>2.05E16</v>
      </c>
      <c r="R141" s="874">
        <v>2.05E16</v>
      </c>
      <c r="S141" s="874">
        <v>2.05E16</v>
      </c>
      <c r="T141" s="878">
        <v>3.872E19</v>
      </c>
      <c r="U141" s="874">
        <v>2.05E16</v>
      </c>
      <c r="V141" s="878">
        <v>3.872E19</v>
      </c>
      <c r="W141" s="878">
        <v>3.872E19</v>
      </c>
      <c r="X141" s="875"/>
      <c r="Y141" s="874">
        <v>2.05E16</v>
      </c>
      <c r="Z141" s="875"/>
      <c r="AA141" s="875"/>
      <c r="AB141" s="875"/>
    </row>
    <row r="142">
      <c r="A142" s="73"/>
      <c r="B142" s="872">
        <v>1904.2</v>
      </c>
      <c r="C142" s="872">
        <v>54223.0046657268</v>
      </c>
      <c r="D142" s="872">
        <v>601.843007717133</v>
      </c>
      <c r="E142" s="872">
        <v>2395.01501571333</v>
      </c>
      <c r="F142" s="872">
        <v>47.0</v>
      </c>
      <c r="G142" s="872"/>
      <c r="H142" s="73"/>
      <c r="I142" s="874">
        <v>2.14E16</v>
      </c>
      <c r="J142" s="874">
        <v>2.14E16</v>
      </c>
      <c r="K142" s="874">
        <v>2.14E16</v>
      </c>
      <c r="L142" s="874">
        <v>2.14E16</v>
      </c>
      <c r="M142" s="874">
        <v>2.14E16</v>
      </c>
      <c r="N142" s="875"/>
      <c r="O142" s="874">
        <v>2.14E16</v>
      </c>
      <c r="P142" s="874">
        <v>2.14E16</v>
      </c>
      <c r="Q142" s="874">
        <v>2.14E16</v>
      </c>
      <c r="R142" s="874">
        <v>2.14E16</v>
      </c>
      <c r="S142" s="874">
        <v>2.14E16</v>
      </c>
      <c r="T142" s="878">
        <v>4.061E19</v>
      </c>
      <c r="U142" s="874">
        <v>2.14E16</v>
      </c>
      <c r="V142" s="878">
        <v>4.061E19</v>
      </c>
      <c r="W142" s="878">
        <v>4.061E19</v>
      </c>
      <c r="X142" s="875"/>
      <c r="Y142" s="874">
        <v>2.14E16</v>
      </c>
      <c r="Z142" s="875"/>
      <c r="AA142" s="875"/>
      <c r="AB142" s="875"/>
    </row>
    <row r="143">
      <c r="A143" s="73"/>
      <c r="B143" s="872">
        <v>1928.637</v>
      </c>
      <c r="C143" s="872">
        <v>55281.4905738253</v>
      </c>
      <c r="D143" s="872">
        <v>612.180617053986</v>
      </c>
      <c r="E143" s="872">
        <v>2438.84257165995</v>
      </c>
      <c r="F143" s="872">
        <v>47.20000076</v>
      </c>
      <c r="G143" s="872"/>
      <c r="H143" s="73"/>
      <c r="I143" s="874">
        <v>2.234E16</v>
      </c>
      <c r="J143" s="874">
        <v>2.234E16</v>
      </c>
      <c r="K143" s="874">
        <v>2.234E16</v>
      </c>
      <c r="L143" s="874">
        <v>2.234E16</v>
      </c>
      <c r="M143" s="874">
        <v>2.234E16</v>
      </c>
      <c r="N143" s="875"/>
      <c r="O143" s="874">
        <v>2.234E16</v>
      </c>
      <c r="P143" s="874">
        <v>2.234E16</v>
      </c>
      <c r="Q143" s="874">
        <v>2.234E16</v>
      </c>
      <c r="R143" s="874">
        <v>2.234E16</v>
      </c>
      <c r="S143" s="874">
        <v>2.234E16</v>
      </c>
      <c r="T143" s="878">
        <v>4.258E19</v>
      </c>
      <c r="U143" s="874">
        <v>2.234E16</v>
      </c>
      <c r="V143" s="878">
        <v>4.258E19</v>
      </c>
      <c r="W143" s="878">
        <v>4.258E19</v>
      </c>
      <c r="X143" s="875"/>
      <c r="Y143" s="874">
        <v>2.234E16</v>
      </c>
      <c r="Z143" s="875"/>
      <c r="AA143" s="875"/>
      <c r="AB143" s="875"/>
    </row>
    <row r="144">
      <c r="A144" s="73"/>
      <c r="B144" s="872">
        <v>1953.228</v>
      </c>
      <c r="C144" s="872">
        <v>56352.9923018748</v>
      </c>
      <c r="D144" s="872">
        <v>622.621023265839</v>
      </c>
      <c r="E144" s="872">
        <v>2483.17102395453</v>
      </c>
      <c r="F144" s="872">
        <v>47.40000153</v>
      </c>
      <c r="G144" s="872"/>
      <c r="H144" s="73"/>
      <c r="I144" s="874">
        <v>2.33E16</v>
      </c>
      <c r="J144" s="874">
        <v>2.33E16</v>
      </c>
      <c r="K144" s="874">
        <v>2.33E16</v>
      </c>
      <c r="L144" s="874">
        <v>2.33E16</v>
      </c>
      <c r="M144" s="874">
        <v>2.33E16</v>
      </c>
      <c r="N144" s="875"/>
      <c r="O144" s="874">
        <v>2.33E16</v>
      </c>
      <c r="P144" s="874">
        <v>2.33E16</v>
      </c>
      <c r="Q144" s="874">
        <v>2.33E16</v>
      </c>
      <c r="R144" s="874">
        <v>2.33E16</v>
      </c>
      <c r="S144" s="874">
        <v>2.33E16</v>
      </c>
      <c r="T144" s="878">
        <v>4.462E19</v>
      </c>
      <c r="U144" s="874">
        <v>2.33E16</v>
      </c>
      <c r="V144" s="878">
        <v>4.462E19</v>
      </c>
      <c r="W144" s="878">
        <v>4.462E19</v>
      </c>
      <c r="X144" s="875"/>
      <c r="Y144" s="874">
        <v>2.33E16</v>
      </c>
      <c r="Z144" s="875"/>
      <c r="AA144" s="875"/>
      <c r="AB144" s="875"/>
    </row>
    <row r="145">
      <c r="A145" s="73"/>
      <c r="B145" s="872">
        <v>1977.973</v>
      </c>
      <c r="C145" s="872">
        <v>57437.5822717482</v>
      </c>
      <c r="D145" s="872">
        <v>633.164366977692</v>
      </c>
      <c r="E145" s="872">
        <v>2528.00248265946</v>
      </c>
      <c r="F145" s="872">
        <v>47.59999847</v>
      </c>
      <c r="G145" s="872"/>
      <c r="H145" s="73"/>
      <c r="I145" s="874">
        <v>2.43E16</v>
      </c>
      <c r="J145" s="874">
        <v>2.43E16</v>
      </c>
      <c r="K145" s="874">
        <v>2.43E16</v>
      </c>
      <c r="L145" s="874">
        <v>2.43E16</v>
      </c>
      <c r="M145" s="874">
        <v>2.43E16</v>
      </c>
      <c r="N145" s="875"/>
      <c r="O145" s="874">
        <v>2.43E16</v>
      </c>
      <c r="P145" s="874">
        <v>2.43E16</v>
      </c>
      <c r="Q145" s="874">
        <v>2.43E16</v>
      </c>
      <c r="R145" s="874">
        <v>2.43E16</v>
      </c>
      <c r="S145" s="874">
        <v>2.43E16</v>
      </c>
      <c r="T145" s="878">
        <v>4.674E19</v>
      </c>
      <c r="U145" s="874">
        <v>2.43E16</v>
      </c>
      <c r="V145" s="878">
        <v>4.674E19</v>
      </c>
      <c r="W145" s="878">
        <v>4.674E19</v>
      </c>
      <c r="X145" s="875"/>
      <c r="Y145" s="874">
        <v>2.43E16</v>
      </c>
      <c r="Z145" s="875"/>
      <c r="AA145" s="875"/>
      <c r="AB145" s="875"/>
    </row>
    <row r="146">
      <c r="A146" s="73"/>
      <c r="B146" s="872">
        <v>2002.872</v>
      </c>
      <c r="C146" s="872">
        <v>58535.3288818812</v>
      </c>
      <c r="D146" s="872">
        <v>643.810999752045</v>
      </c>
      <c r="E146" s="872">
        <v>2573.3393824621</v>
      </c>
      <c r="F146" s="872">
        <v>47.79999924</v>
      </c>
      <c r="G146" s="872"/>
      <c r="H146" s="73"/>
      <c r="I146" s="874">
        <v>2.534E16</v>
      </c>
      <c r="J146" s="874">
        <v>2.534E16</v>
      </c>
      <c r="K146" s="874">
        <v>2.534E16</v>
      </c>
      <c r="L146" s="874">
        <v>2.534E16</v>
      </c>
      <c r="M146" s="874">
        <v>2.534E16</v>
      </c>
      <c r="N146" s="875"/>
      <c r="O146" s="874">
        <v>2.534E16</v>
      </c>
      <c r="P146" s="874">
        <v>2.534E16</v>
      </c>
      <c r="Q146" s="874">
        <v>2.534E16</v>
      </c>
      <c r="R146" s="874">
        <v>2.534E16</v>
      </c>
      <c r="S146" s="874">
        <v>2.534E16</v>
      </c>
      <c r="T146" s="878">
        <v>4.895E19</v>
      </c>
      <c r="U146" s="874">
        <v>2.534E16</v>
      </c>
      <c r="V146" s="878">
        <v>4.895E19</v>
      </c>
      <c r="W146" s="878">
        <v>4.895E19</v>
      </c>
      <c r="X146" s="875"/>
      <c r="Y146" s="874">
        <v>2.534E16</v>
      </c>
      <c r="Z146" s="875"/>
      <c r="AA146" s="875"/>
      <c r="AB146" s="875"/>
    </row>
    <row r="147">
      <c r="A147" s="73"/>
      <c r="B147" s="872">
        <v>2027.925</v>
      </c>
      <c r="C147" s="872">
        <v>59646.2965072719</v>
      </c>
      <c r="D147" s="872">
        <v>654.561202838898</v>
      </c>
      <c r="E147" s="872">
        <v>2619.18399573734</v>
      </c>
      <c r="F147" s="872">
        <v>48.0</v>
      </c>
      <c r="G147" s="872"/>
      <c r="H147" s="73"/>
      <c r="I147" s="874">
        <v>2.641E16</v>
      </c>
      <c r="J147" s="874">
        <v>2.641E16</v>
      </c>
      <c r="K147" s="874">
        <v>2.641E16</v>
      </c>
      <c r="L147" s="874">
        <v>2.641E16</v>
      </c>
      <c r="M147" s="874">
        <v>2.641E16</v>
      </c>
      <c r="N147" s="875"/>
      <c r="O147" s="874">
        <v>2.641E16</v>
      </c>
      <c r="P147" s="874">
        <v>2.641E16</v>
      </c>
      <c r="Q147" s="874">
        <v>2.641E16</v>
      </c>
      <c r="R147" s="874">
        <v>2.641E16</v>
      </c>
      <c r="S147" s="874">
        <v>2.641E16</v>
      </c>
      <c r="T147" s="878">
        <v>5.124E19</v>
      </c>
      <c r="U147" s="874">
        <v>2.641E16</v>
      </c>
      <c r="V147" s="878">
        <v>5.124E19</v>
      </c>
      <c r="W147" s="878">
        <v>5.124E19</v>
      </c>
      <c r="X147" s="875"/>
      <c r="Y147" s="874">
        <v>2.641E16</v>
      </c>
      <c r="Z147" s="875"/>
      <c r="AA147" s="875"/>
      <c r="AB147" s="875"/>
    </row>
    <row r="148">
      <c r="A148" s="73"/>
      <c r="B148" s="872">
        <v>2053.132</v>
      </c>
      <c r="C148" s="872">
        <v>60770.5495229186</v>
      </c>
      <c r="D148" s="872">
        <v>665.415187175751</v>
      </c>
      <c r="E148" s="872">
        <v>2665.53827023506</v>
      </c>
      <c r="F148" s="872">
        <v>48.20000076</v>
      </c>
      <c r="G148" s="872"/>
      <c r="H148" s="73"/>
      <c r="I148" s="874">
        <v>2.751E16</v>
      </c>
      <c r="J148" s="874">
        <v>2.751E16</v>
      </c>
      <c r="K148" s="874">
        <v>2.751E16</v>
      </c>
      <c r="L148" s="874">
        <v>2.751E16</v>
      </c>
      <c r="M148" s="874">
        <v>2.751E16</v>
      </c>
      <c r="N148" s="875"/>
      <c r="O148" s="874">
        <v>2.751E16</v>
      </c>
      <c r="P148" s="874">
        <v>2.751E16</v>
      </c>
      <c r="Q148" s="874">
        <v>2.751E16</v>
      </c>
      <c r="R148" s="874">
        <v>2.751E16</v>
      </c>
      <c r="S148" s="874">
        <v>2.751E16</v>
      </c>
      <c r="T148" s="878">
        <v>5.361E19</v>
      </c>
      <c r="U148" s="874">
        <v>2.751E16</v>
      </c>
      <c r="V148" s="878">
        <v>5.361E19</v>
      </c>
      <c r="W148" s="878">
        <v>5.361E19</v>
      </c>
      <c r="X148" s="875"/>
      <c r="Y148" s="874">
        <v>2.751E16</v>
      </c>
      <c r="Z148" s="875"/>
      <c r="AA148" s="875"/>
      <c r="AB148" s="875"/>
    </row>
    <row r="149">
      <c r="A149" s="73"/>
      <c r="B149" s="872">
        <v>2078.493</v>
      </c>
      <c r="C149" s="872">
        <v>61908.1603506943</v>
      </c>
      <c r="D149" s="872">
        <v>676.373374637604</v>
      </c>
      <c r="E149" s="872">
        <v>2712.40447833015</v>
      </c>
      <c r="F149" s="872">
        <v>48.40000153</v>
      </c>
      <c r="G149" s="872"/>
      <c r="H149" s="73"/>
      <c r="I149" s="874">
        <v>2.865E16</v>
      </c>
      <c r="J149" s="874">
        <v>2.865E16</v>
      </c>
      <c r="K149" s="874">
        <v>2.865E16</v>
      </c>
      <c r="L149" s="874">
        <v>2.865E16</v>
      </c>
      <c r="M149" s="874">
        <v>2.865E16</v>
      </c>
      <c r="N149" s="875"/>
      <c r="O149" s="874">
        <v>2.865E16</v>
      </c>
      <c r="P149" s="874">
        <v>2.865E16</v>
      </c>
      <c r="Q149" s="874">
        <v>2.865E16</v>
      </c>
      <c r="R149" s="874">
        <v>2.865E16</v>
      </c>
      <c r="S149" s="874">
        <v>2.865E16</v>
      </c>
      <c r="T149" s="878">
        <v>5.608E19</v>
      </c>
      <c r="U149" s="874">
        <v>2.865E16</v>
      </c>
      <c r="V149" s="878">
        <v>5.608E19</v>
      </c>
      <c r="W149" s="878">
        <v>5.608E19</v>
      </c>
      <c r="X149" s="875"/>
      <c r="Y149" s="874">
        <v>2.865E16</v>
      </c>
      <c r="Z149" s="875"/>
      <c r="AA149" s="875"/>
      <c r="AB149" s="875"/>
    </row>
    <row r="150">
      <c r="A150" s="73"/>
      <c r="B150" s="872">
        <v>2104.008</v>
      </c>
      <c r="C150" s="872">
        <v>63059.1853187224</v>
      </c>
      <c r="D150" s="872">
        <v>687.435976638794</v>
      </c>
      <c r="E150" s="872">
        <v>2759.78505470998</v>
      </c>
      <c r="F150" s="872">
        <v>48.59999847</v>
      </c>
      <c r="G150" s="872"/>
      <c r="H150" s="73"/>
      <c r="I150" s="874">
        <v>2.983E16</v>
      </c>
      <c r="J150" s="874">
        <v>2.983E16</v>
      </c>
      <c r="K150" s="874">
        <v>2.983E16</v>
      </c>
      <c r="L150" s="874">
        <v>2.983E16</v>
      </c>
      <c r="M150" s="874">
        <v>2.983E16</v>
      </c>
      <c r="N150" s="875"/>
      <c r="O150" s="874">
        <v>2.983E16</v>
      </c>
      <c r="P150" s="874">
        <v>2.983E16</v>
      </c>
      <c r="Q150" s="874">
        <v>2.983E16</v>
      </c>
      <c r="R150" s="874">
        <v>2.983E16</v>
      </c>
      <c r="S150" s="874">
        <v>2.983E16</v>
      </c>
      <c r="T150" s="878">
        <v>5.864E19</v>
      </c>
      <c r="U150" s="874">
        <v>2.983E16</v>
      </c>
      <c r="V150" s="878">
        <v>5.864E19</v>
      </c>
      <c r="W150" s="878">
        <v>5.864E19</v>
      </c>
      <c r="X150" s="875"/>
      <c r="Y150" s="874">
        <v>2.983E16</v>
      </c>
      <c r="Z150" s="875"/>
      <c r="AA150" s="875"/>
      <c r="AB150" s="875"/>
    </row>
    <row r="151">
      <c r="A151" s="73"/>
      <c r="B151" s="872">
        <v>2129.677</v>
      </c>
      <c r="C151" s="872">
        <v>64223.7048957506</v>
      </c>
      <c r="D151" s="872">
        <v>698.603203163147</v>
      </c>
      <c r="E151" s="872">
        <v>2807.68227174941</v>
      </c>
      <c r="F151" s="872">
        <v>48.79999924</v>
      </c>
      <c r="G151" s="872"/>
      <c r="H151" s="73"/>
      <c r="I151" s="874">
        <v>3.105E16</v>
      </c>
      <c r="J151" s="874">
        <v>3.105E16</v>
      </c>
      <c r="K151" s="874">
        <v>3.105E16</v>
      </c>
      <c r="L151" s="874">
        <v>3.105E16</v>
      </c>
      <c r="M151" s="874">
        <v>3.105E16</v>
      </c>
      <c r="N151" s="875"/>
      <c r="O151" s="874">
        <v>3.105E16</v>
      </c>
      <c r="P151" s="874">
        <v>3.105E16</v>
      </c>
      <c r="Q151" s="874">
        <v>3.105E16</v>
      </c>
      <c r="R151" s="874">
        <v>3.105E16</v>
      </c>
      <c r="S151" s="874">
        <v>3.105E16</v>
      </c>
      <c r="T151" s="878">
        <v>6.13E19</v>
      </c>
      <c r="U151" s="874">
        <v>3.105E16</v>
      </c>
      <c r="V151" s="878">
        <v>6.13E19</v>
      </c>
      <c r="W151" s="878">
        <v>6.13E19</v>
      </c>
      <c r="X151" s="875"/>
      <c r="Y151" s="874">
        <v>3.105E16</v>
      </c>
      <c r="Z151" s="875"/>
      <c r="AA151" s="875"/>
      <c r="AB151" s="875"/>
    </row>
    <row r="152">
      <c r="A152" s="73"/>
      <c r="B152" s="872">
        <v>2155.5</v>
      </c>
      <c r="C152" s="872">
        <v>65401.7713864651</v>
      </c>
      <c r="D152" s="872">
        <v>709.87540625</v>
      </c>
      <c r="E152" s="872">
        <v>2856.09791488586</v>
      </c>
      <c r="F152" s="872">
        <v>49.0</v>
      </c>
      <c r="G152" s="872"/>
      <c r="H152" s="73"/>
      <c r="I152" s="874">
        <v>3.231E16</v>
      </c>
      <c r="J152" s="874">
        <v>3.231E16</v>
      </c>
      <c r="K152" s="874">
        <v>3.231E16</v>
      </c>
      <c r="L152" s="874">
        <v>3.231E16</v>
      </c>
      <c r="M152" s="874">
        <v>3.231E16</v>
      </c>
      <c r="N152" s="875"/>
      <c r="O152" s="874">
        <v>3.231E16</v>
      </c>
      <c r="P152" s="874">
        <v>3.231E16</v>
      </c>
      <c r="Q152" s="874">
        <v>3.231E16</v>
      </c>
      <c r="R152" s="874">
        <v>3.231E16</v>
      </c>
      <c r="S152" s="874">
        <v>3.231E16</v>
      </c>
      <c r="T152" s="878">
        <v>6.405E19</v>
      </c>
      <c r="U152" s="874">
        <v>3.231E16</v>
      </c>
      <c r="V152" s="878">
        <v>6.405E19</v>
      </c>
      <c r="W152" s="878">
        <v>6.405E19</v>
      </c>
      <c r="X152" s="875"/>
      <c r="Y152" s="874">
        <v>3.231E16</v>
      </c>
      <c r="Z152" s="875"/>
      <c r="AA152" s="875"/>
      <c r="AB152" s="875"/>
    </row>
    <row r="153">
      <c r="A153" s="73"/>
      <c r="B153" s="872">
        <v>2181.477</v>
      </c>
      <c r="C153" s="872">
        <v>66593.4572127387</v>
      </c>
      <c r="D153" s="872">
        <v>721.252937461853</v>
      </c>
      <c r="E153" s="872">
        <v>2905.03474343167</v>
      </c>
      <c r="F153" s="872">
        <v>49.20000076</v>
      </c>
      <c r="G153" s="872"/>
      <c r="H153" s="73"/>
      <c r="I153" s="874">
        <v>3.361E16</v>
      </c>
      <c r="J153" s="874">
        <v>3.361E16</v>
      </c>
      <c r="K153" s="874">
        <v>3.361E16</v>
      </c>
      <c r="L153" s="874">
        <v>3.361E16</v>
      </c>
      <c r="M153" s="874">
        <v>3.361E16</v>
      </c>
      <c r="N153" s="875"/>
      <c r="O153" s="874">
        <v>3.361E16</v>
      </c>
      <c r="P153" s="874">
        <v>3.361E16</v>
      </c>
      <c r="Q153" s="874">
        <v>3.361E16</v>
      </c>
      <c r="R153" s="874">
        <v>3.361E16</v>
      </c>
      <c r="S153" s="874">
        <v>3.361E16</v>
      </c>
      <c r="T153" s="878">
        <v>6.691E19</v>
      </c>
      <c r="U153" s="874">
        <v>3.361E16</v>
      </c>
      <c r="V153" s="878">
        <v>6.691E19</v>
      </c>
      <c r="W153" s="878">
        <v>6.691E19</v>
      </c>
      <c r="X153" s="875"/>
      <c r="Y153" s="874">
        <v>3.361E16</v>
      </c>
      <c r="Z153" s="875"/>
      <c r="AA153" s="875"/>
      <c r="AB153" s="875"/>
    </row>
    <row r="154">
      <c r="A154" s="73"/>
      <c r="B154" s="872">
        <v>2207.608</v>
      </c>
      <c r="C154" s="872">
        <v>67798.8307730071</v>
      </c>
      <c r="D154" s="872">
        <v>732.735867111206</v>
      </c>
      <c r="E154" s="872">
        <v>2954.49438051176</v>
      </c>
      <c r="F154" s="872">
        <v>49.40000153</v>
      </c>
      <c r="G154" s="872"/>
      <c r="H154" s="73"/>
      <c r="I154" s="874">
        <v>3.495E16</v>
      </c>
      <c r="J154" s="874">
        <v>3.495E16</v>
      </c>
      <c r="K154" s="874">
        <v>3.495E16</v>
      </c>
      <c r="L154" s="874">
        <v>3.495E16</v>
      </c>
      <c r="M154" s="874">
        <v>3.495E16</v>
      </c>
      <c r="N154" s="875"/>
      <c r="O154" s="874">
        <v>3.495E16</v>
      </c>
      <c r="P154" s="874">
        <v>3.495E16</v>
      </c>
      <c r="Q154" s="874">
        <v>3.495E16</v>
      </c>
      <c r="R154" s="874">
        <v>3.495E16</v>
      </c>
      <c r="S154" s="874">
        <v>3.495E16</v>
      </c>
      <c r="T154" s="878">
        <v>6.987E19</v>
      </c>
      <c r="U154" s="874">
        <v>3.495E16</v>
      </c>
      <c r="V154" s="878">
        <v>6.987E19</v>
      </c>
      <c r="W154" s="878">
        <v>6.987E19</v>
      </c>
      <c r="X154" s="875"/>
      <c r="Y154" s="874">
        <v>3.495E16</v>
      </c>
      <c r="Z154" s="875"/>
      <c r="AA154" s="875"/>
      <c r="AB154" s="875"/>
    </row>
    <row r="155">
      <c r="A155" s="73"/>
      <c r="B155" s="872">
        <v>2233.893</v>
      </c>
      <c r="C155" s="872">
        <v>69017.940348519</v>
      </c>
      <c r="D155" s="872">
        <v>744.324617073059</v>
      </c>
      <c r="E155" s="872">
        <v>3004.47958543848</v>
      </c>
      <c r="F155" s="872">
        <v>49.59999847</v>
      </c>
      <c r="G155" s="872"/>
      <c r="H155" s="73"/>
      <c r="I155" s="874">
        <v>3.634E16</v>
      </c>
      <c r="J155" s="874">
        <v>3.634E16</v>
      </c>
      <c r="K155" s="874">
        <v>3.634E16</v>
      </c>
      <c r="L155" s="874">
        <v>3.634E16</v>
      </c>
      <c r="M155" s="874">
        <v>3.634E16</v>
      </c>
      <c r="N155" s="875"/>
      <c r="O155" s="874">
        <v>3.634E16</v>
      </c>
      <c r="P155" s="874">
        <v>3.634E16</v>
      </c>
      <c r="Q155" s="874">
        <v>3.634E16</v>
      </c>
      <c r="R155" s="874">
        <v>3.634E16</v>
      </c>
      <c r="S155" s="874">
        <v>3.634E16</v>
      </c>
      <c r="T155" s="878">
        <v>7.293E19</v>
      </c>
      <c r="U155" s="874">
        <v>3.634E16</v>
      </c>
      <c r="V155" s="878">
        <v>7.293E19</v>
      </c>
      <c r="W155" s="878">
        <v>7.293E19</v>
      </c>
      <c r="X155" s="875"/>
      <c r="Y155" s="874">
        <v>3.634E16</v>
      </c>
      <c r="Z155" s="875"/>
      <c r="AA155" s="875"/>
      <c r="AB155" s="875"/>
    </row>
    <row r="156">
      <c r="A156" s="73"/>
      <c r="B156" s="872">
        <v>2260.332</v>
      </c>
      <c r="C156" s="872">
        <v>70250.8744548969</v>
      </c>
      <c r="D156" s="872">
        <v>756.019468597412</v>
      </c>
      <c r="E156" s="872">
        <v>3054.99198133674</v>
      </c>
      <c r="F156" s="872">
        <v>49.80000305</v>
      </c>
      <c r="G156" s="872"/>
      <c r="H156" s="73"/>
      <c r="I156" s="874">
        <v>3.776E16</v>
      </c>
      <c r="J156" s="874">
        <v>3.776E16</v>
      </c>
      <c r="K156" s="874">
        <v>3.776E16</v>
      </c>
      <c r="L156" s="874">
        <v>3.776E16</v>
      </c>
      <c r="M156" s="874">
        <v>3.776E16</v>
      </c>
      <c r="N156" s="875"/>
      <c r="O156" s="874">
        <v>3.776E16</v>
      </c>
      <c r="P156" s="874">
        <v>3.776E16</v>
      </c>
      <c r="Q156" s="874">
        <v>3.776E16</v>
      </c>
      <c r="R156" s="874">
        <v>3.776E16</v>
      </c>
      <c r="S156" s="874">
        <v>3.776E16</v>
      </c>
      <c r="T156" s="878">
        <v>7.611E19</v>
      </c>
      <c r="U156" s="874">
        <v>3.776E16</v>
      </c>
      <c r="V156" s="878">
        <v>7.611E19</v>
      </c>
      <c r="W156" s="878">
        <v>7.611E19</v>
      </c>
      <c r="X156" s="875"/>
      <c r="Y156" s="874">
        <v>3.776E16</v>
      </c>
      <c r="Z156" s="875"/>
      <c r="AA156" s="875"/>
      <c r="AB156" s="875"/>
    </row>
    <row r="157">
      <c r="A157" s="73"/>
      <c r="B157" s="872">
        <v>2286.925</v>
      </c>
      <c r="C157" s="872">
        <v>71497.697467139</v>
      </c>
      <c r="D157" s="872">
        <v>767.820562309265</v>
      </c>
      <c r="E157" s="872">
        <v>3106.03416520641</v>
      </c>
      <c r="F157" s="872">
        <v>50.0</v>
      </c>
      <c r="G157" s="872"/>
      <c r="H157" s="73"/>
      <c r="I157" s="874">
        <v>3.924E16</v>
      </c>
      <c r="J157" s="874">
        <v>3.924E16</v>
      </c>
      <c r="K157" s="874">
        <v>3.924E16</v>
      </c>
      <c r="L157" s="874">
        <v>3.924E16</v>
      </c>
      <c r="M157" s="874">
        <v>3.924E16</v>
      </c>
      <c r="N157" s="875"/>
      <c r="O157" s="874">
        <v>3.924E16</v>
      </c>
      <c r="P157" s="874">
        <v>3.924E16</v>
      </c>
      <c r="Q157" s="874">
        <v>3.924E16</v>
      </c>
      <c r="R157" s="874">
        <v>3.924E16</v>
      </c>
      <c r="S157" s="874">
        <v>3.924E16</v>
      </c>
      <c r="T157" s="878">
        <v>7.94E19</v>
      </c>
      <c r="U157" s="874">
        <v>3.924E16</v>
      </c>
      <c r="V157" s="878">
        <v>7.94E19</v>
      </c>
      <c r="W157" s="878">
        <v>7.94E19</v>
      </c>
      <c r="X157" s="875"/>
      <c r="Y157" s="874">
        <v>3.924E16</v>
      </c>
      <c r="Z157" s="875"/>
      <c r="AA157" s="875"/>
      <c r="AB157" s="875"/>
    </row>
    <row r="158">
      <c r="A158" s="73"/>
      <c r="B158" s="872">
        <v>2313.672</v>
      </c>
      <c r="C158" s="872">
        <v>72758.4496196192</v>
      </c>
      <c r="D158" s="872">
        <v>779.728320083618</v>
      </c>
      <c r="E158" s="872">
        <v>3157.60808479736</v>
      </c>
      <c r="F158" s="872">
        <v>50.20000076</v>
      </c>
      <c r="G158" s="872"/>
      <c r="H158" s="73"/>
      <c r="I158" s="874">
        <v>4.075E16</v>
      </c>
      <c r="J158" s="874">
        <v>4.075E16</v>
      </c>
      <c r="K158" s="874">
        <v>4.075E16</v>
      </c>
      <c r="L158" s="874">
        <v>4.075E16</v>
      </c>
      <c r="M158" s="874">
        <v>4.075E16</v>
      </c>
      <c r="N158" s="875"/>
      <c r="O158" s="874">
        <v>4.075E16</v>
      </c>
      <c r="P158" s="874">
        <v>4.075E16</v>
      </c>
      <c r="Q158" s="874">
        <v>4.075E16</v>
      </c>
      <c r="R158" s="874">
        <v>4.075E16</v>
      </c>
      <c r="S158" s="874">
        <v>4.075E16</v>
      </c>
      <c r="T158" s="878">
        <v>8.281E19</v>
      </c>
      <c r="U158" s="874">
        <v>4.075E16</v>
      </c>
      <c r="V158" s="878">
        <v>8.281E19</v>
      </c>
      <c r="W158" s="878">
        <v>8.281E19</v>
      </c>
      <c r="X158" s="875"/>
      <c r="Y158" s="874">
        <v>4.075E16</v>
      </c>
      <c r="Z158" s="875"/>
      <c r="AA158" s="875"/>
      <c r="AB158" s="875"/>
    </row>
    <row r="159">
      <c r="A159" s="73"/>
      <c r="B159" s="872">
        <v>2340.573</v>
      </c>
      <c r="C159" s="872">
        <v>74033.2274748348</v>
      </c>
      <c r="D159" s="872">
        <v>791.742952857971</v>
      </c>
      <c r="E159" s="872">
        <v>3209.71633710948</v>
      </c>
      <c r="F159" s="872">
        <v>50.40000153</v>
      </c>
      <c r="G159" s="872"/>
      <c r="H159" s="73"/>
      <c r="I159" s="874">
        <v>4.232E16</v>
      </c>
      <c r="J159" s="874">
        <v>4.232E16</v>
      </c>
      <c r="K159" s="874">
        <v>4.232E16</v>
      </c>
      <c r="L159" s="874">
        <v>4.232E16</v>
      </c>
      <c r="M159" s="874">
        <v>4.232E16</v>
      </c>
      <c r="N159" s="875"/>
      <c r="O159" s="874">
        <v>4.232E16</v>
      </c>
      <c r="P159" s="874">
        <v>4.232E16</v>
      </c>
      <c r="Q159" s="874">
        <v>4.232E16</v>
      </c>
      <c r="R159" s="874">
        <v>4.232E16</v>
      </c>
      <c r="S159" s="874">
        <v>4.232E16</v>
      </c>
      <c r="T159" s="878">
        <v>8.633E19</v>
      </c>
      <c r="U159" s="874">
        <v>4.232E16</v>
      </c>
      <c r="V159" s="878">
        <v>8.633E19</v>
      </c>
      <c r="W159" s="878">
        <v>8.633E19</v>
      </c>
      <c r="X159" s="875"/>
      <c r="Y159" s="874">
        <v>4.232E16</v>
      </c>
      <c r="Z159" s="875"/>
      <c r="AA159" s="875"/>
      <c r="AB159" s="875"/>
    </row>
    <row r="160">
      <c r="A160" s="73"/>
      <c r="B160" s="872">
        <v>2367.628</v>
      </c>
      <c r="C160" s="872">
        <v>75322.0712671597</v>
      </c>
      <c r="D160" s="872">
        <v>803.864671569824</v>
      </c>
      <c r="E160" s="872">
        <v>3262.36054526766</v>
      </c>
      <c r="F160" s="872">
        <v>50.59999847</v>
      </c>
      <c r="G160" s="872"/>
      <c r="H160" s="73"/>
      <c r="I160" s="874">
        <v>4.393E16</v>
      </c>
      <c r="J160" s="874">
        <v>4.393E16</v>
      </c>
      <c r="K160" s="874">
        <v>4.393E16</v>
      </c>
      <c r="L160" s="874">
        <v>4.393E16</v>
      </c>
      <c r="M160" s="874">
        <v>4.393E16</v>
      </c>
      <c r="N160" s="875"/>
      <c r="O160" s="874">
        <v>4.393E16</v>
      </c>
      <c r="P160" s="874">
        <v>4.393E16</v>
      </c>
      <c r="Q160" s="874">
        <v>4.393E16</v>
      </c>
      <c r="R160" s="874">
        <v>4.393E16</v>
      </c>
      <c r="S160" s="874">
        <v>4.393E16</v>
      </c>
      <c r="T160" s="878">
        <v>8.998E19</v>
      </c>
      <c r="U160" s="874">
        <v>4.393E16</v>
      </c>
      <c r="V160" s="878">
        <v>8.998E19</v>
      </c>
      <c r="W160" s="878">
        <v>8.998E19</v>
      </c>
      <c r="X160" s="875"/>
      <c r="Y160" s="874">
        <v>4.393E16</v>
      </c>
      <c r="Z160" s="875"/>
      <c r="AA160" s="875"/>
      <c r="AB160" s="875"/>
    </row>
    <row r="161">
      <c r="A161" s="73"/>
      <c r="B161" s="872">
        <v>2394.837</v>
      </c>
      <c r="C161" s="872">
        <v>76625.0614653416</v>
      </c>
      <c r="D161" s="872">
        <v>816.093827781677</v>
      </c>
      <c r="E161" s="872">
        <v>3315.54330627177</v>
      </c>
      <c r="F161" s="872">
        <v>50.80000305</v>
      </c>
      <c r="G161" s="872"/>
      <c r="H161" s="73"/>
      <c r="I161" s="874">
        <v>4.559E16</v>
      </c>
      <c r="J161" s="874">
        <v>4.559E16</v>
      </c>
      <c r="K161" s="874">
        <v>4.559E16</v>
      </c>
      <c r="L161" s="874">
        <v>4.559E16</v>
      </c>
      <c r="M161" s="874">
        <v>4.559E16</v>
      </c>
      <c r="N161" s="875"/>
      <c r="O161" s="874">
        <v>4.559E16</v>
      </c>
      <c r="P161" s="874">
        <v>4.559E16</v>
      </c>
      <c r="Q161" s="874">
        <v>4.559E16</v>
      </c>
      <c r="R161" s="874">
        <v>4.559E16</v>
      </c>
      <c r="S161" s="874">
        <v>4.559E16</v>
      </c>
      <c r="T161" s="878">
        <v>9.376E19</v>
      </c>
      <c r="U161" s="874">
        <v>4.559E16</v>
      </c>
      <c r="V161" s="878">
        <v>9.376E19</v>
      </c>
      <c r="W161" s="878">
        <v>9.376E19</v>
      </c>
      <c r="X161" s="875"/>
      <c r="Y161" s="874">
        <v>4.559E16</v>
      </c>
      <c r="Z161" s="875"/>
      <c r="AA161" s="875"/>
      <c r="AB161" s="875"/>
    </row>
    <row r="162">
      <c r="A162" s="73"/>
      <c r="B162" s="872">
        <v>2422.2</v>
      </c>
      <c r="C162" s="872">
        <v>77942.254397504</v>
      </c>
      <c r="D162" s="872">
        <v>828.43063243103</v>
      </c>
      <c r="E162" s="872">
        <v>3369.26624324673</v>
      </c>
      <c r="F162" s="872">
        <v>51.0</v>
      </c>
      <c r="G162" s="872"/>
      <c r="H162" s="73"/>
      <c r="I162" s="874">
        <v>4.731E16</v>
      </c>
      <c r="J162" s="874">
        <v>4.731E16</v>
      </c>
      <c r="K162" s="874">
        <v>4.731E16</v>
      </c>
      <c r="L162" s="874">
        <v>4.731E16</v>
      </c>
      <c r="M162" s="874">
        <v>4.731E16</v>
      </c>
      <c r="N162" s="875"/>
      <c r="O162" s="874">
        <v>4.731E16</v>
      </c>
      <c r="P162" s="874">
        <v>4.731E16</v>
      </c>
      <c r="Q162" s="874">
        <v>4.731E16</v>
      </c>
      <c r="R162" s="874">
        <v>4.731E16</v>
      </c>
      <c r="S162" s="874">
        <v>4.731E16</v>
      </c>
      <c r="T162" s="878">
        <v>9.766E19</v>
      </c>
      <c r="U162" s="874">
        <v>4.731E16</v>
      </c>
      <c r="V162" s="878">
        <v>9.766E19</v>
      </c>
      <c r="W162" s="878">
        <v>9.766E19</v>
      </c>
      <c r="X162" s="875"/>
      <c r="Y162" s="874">
        <v>4.731E16</v>
      </c>
      <c r="Z162" s="875"/>
      <c r="AA162" s="875"/>
      <c r="AB162" s="875"/>
    </row>
    <row r="163">
      <c r="A163" s="73"/>
      <c r="B163" s="872">
        <v>2449.717</v>
      </c>
      <c r="C163" s="872">
        <v>79273.7144386452</v>
      </c>
      <c r="D163" s="872">
        <v>840.87543755722</v>
      </c>
      <c r="E163" s="872">
        <v>3423.53195319238</v>
      </c>
      <c r="F163" s="872">
        <v>51.20000076</v>
      </c>
      <c r="G163" s="872"/>
      <c r="H163" s="73"/>
      <c r="I163" s="874">
        <v>4.907E16</v>
      </c>
      <c r="J163" s="874">
        <v>4.907E16</v>
      </c>
      <c r="K163" s="874">
        <v>4.907E16</v>
      </c>
      <c r="L163" s="874">
        <v>4.907E16</v>
      </c>
      <c r="M163" s="874">
        <v>4.907E16</v>
      </c>
      <c r="N163" s="875"/>
      <c r="O163" s="874">
        <v>4.907E16</v>
      </c>
      <c r="P163" s="874">
        <v>4.907E16</v>
      </c>
      <c r="Q163" s="874">
        <v>4.907E16</v>
      </c>
      <c r="R163" s="874">
        <v>4.907E16</v>
      </c>
      <c r="S163" s="874">
        <v>4.907E16</v>
      </c>
      <c r="T163" s="878">
        <v>1.017E20</v>
      </c>
      <c r="U163" s="874">
        <v>4.907E16</v>
      </c>
      <c r="V163" s="878">
        <v>1.017E20</v>
      </c>
      <c r="W163" s="878">
        <v>1.017E20</v>
      </c>
      <c r="X163" s="875"/>
      <c r="Y163" s="874">
        <v>4.907E16</v>
      </c>
      <c r="Z163" s="875"/>
      <c r="AA163" s="875"/>
      <c r="AB163" s="875"/>
    </row>
    <row r="164">
      <c r="A164" s="73"/>
      <c r="B164" s="872">
        <v>2477.388</v>
      </c>
      <c r="C164" s="872">
        <v>80619.514010638</v>
      </c>
      <c r="D164" s="872">
        <v>853.428382831573</v>
      </c>
      <c r="E164" s="872">
        <v>3478.34270848361</v>
      </c>
      <c r="F164" s="872">
        <v>51.40000153</v>
      </c>
      <c r="G164" s="872"/>
      <c r="H164" s="73"/>
      <c r="I164" s="874">
        <v>5.089E16</v>
      </c>
      <c r="J164" s="874">
        <v>5.089E16</v>
      </c>
      <c r="K164" s="874">
        <v>5.089E16</v>
      </c>
      <c r="L164" s="874">
        <v>5.089E16</v>
      </c>
      <c r="M164" s="874">
        <v>5.089E16</v>
      </c>
      <c r="N164" s="875"/>
      <c r="O164" s="874">
        <v>5.089E16</v>
      </c>
      <c r="P164" s="874">
        <v>5.089E16</v>
      </c>
      <c r="Q164" s="874">
        <v>5.089E16</v>
      </c>
      <c r="R164" s="874">
        <v>5.089E16</v>
      </c>
      <c r="S164" s="874">
        <v>5.089E16</v>
      </c>
      <c r="T164" s="878">
        <v>1.0587E20</v>
      </c>
      <c r="U164" s="874">
        <v>5.089E16</v>
      </c>
      <c r="V164" s="878">
        <v>1.0587E20</v>
      </c>
      <c r="W164" s="878">
        <v>1.0587E20</v>
      </c>
      <c r="X164" s="875"/>
      <c r="Y164" s="874">
        <v>5.089E16</v>
      </c>
      <c r="Z164" s="875"/>
      <c r="AA164" s="875"/>
      <c r="AB164" s="875"/>
    </row>
    <row r="165">
      <c r="A165" s="73"/>
      <c r="B165" s="872">
        <v>2505.213</v>
      </c>
      <c r="C165" s="872">
        <v>81979.7174884807</v>
      </c>
      <c r="D165" s="872">
        <v>866.089820293426</v>
      </c>
      <c r="E165" s="872">
        <v>3533.70013224533</v>
      </c>
      <c r="F165" s="872">
        <v>51.59999847</v>
      </c>
      <c r="G165" s="872"/>
      <c r="H165" s="73"/>
      <c r="I165" s="874">
        <v>5.276E16</v>
      </c>
      <c r="J165" s="874">
        <v>5.276E16</v>
      </c>
      <c r="K165" s="874">
        <v>5.276E16</v>
      </c>
      <c r="L165" s="874">
        <v>5.276E16</v>
      </c>
      <c r="M165" s="874">
        <v>5.276E16</v>
      </c>
      <c r="N165" s="875"/>
      <c r="O165" s="874">
        <v>5.276E16</v>
      </c>
      <c r="P165" s="874">
        <v>5.276E16</v>
      </c>
      <c r="Q165" s="874">
        <v>5.276E16</v>
      </c>
      <c r="R165" s="874">
        <v>5.276E16</v>
      </c>
      <c r="S165" s="874">
        <v>5.276E16</v>
      </c>
      <c r="T165" s="878">
        <v>1.1019E20</v>
      </c>
      <c r="U165" s="874">
        <v>5.276E16</v>
      </c>
      <c r="V165" s="878">
        <v>1.1019E20</v>
      </c>
      <c r="W165" s="878">
        <v>1.1019E20</v>
      </c>
      <c r="X165" s="875"/>
      <c r="Y165" s="874">
        <v>5.276E16</v>
      </c>
      <c r="Z165" s="875"/>
      <c r="AA165" s="875"/>
      <c r="AB165" s="875"/>
    </row>
    <row r="166">
      <c r="A166" s="73"/>
      <c r="B166" s="872">
        <v>2533.192</v>
      </c>
      <c r="C166" s="872">
        <v>83354.373153422</v>
      </c>
      <c r="D166" s="872">
        <v>878.85996088028</v>
      </c>
      <c r="E166" s="872">
        <v>3589.6068214774</v>
      </c>
      <c r="F166" s="872">
        <v>51.80000305</v>
      </c>
      <c r="G166" s="872"/>
      <c r="H166" s="73"/>
      <c r="I166" s="874">
        <v>5.468E16</v>
      </c>
      <c r="J166" s="874">
        <v>5.468E16</v>
      </c>
      <c r="K166" s="874">
        <v>5.468E16</v>
      </c>
      <c r="L166" s="874">
        <v>5.468E16</v>
      </c>
      <c r="M166" s="874">
        <v>5.468E16</v>
      </c>
      <c r="N166" s="875"/>
      <c r="O166" s="874">
        <v>5.468E16</v>
      </c>
      <c r="P166" s="874">
        <v>5.468E16</v>
      </c>
      <c r="Q166" s="874">
        <v>5.468E16</v>
      </c>
      <c r="R166" s="874">
        <v>5.468E16</v>
      </c>
      <c r="S166" s="874">
        <v>5.468E16</v>
      </c>
      <c r="T166" s="878">
        <v>1.1465E20</v>
      </c>
      <c r="U166" s="874">
        <v>5.468E16</v>
      </c>
      <c r="V166" s="878">
        <v>1.1465E20</v>
      </c>
      <c r="W166" s="878">
        <v>1.1465E20</v>
      </c>
      <c r="X166" s="875"/>
      <c r="Y166" s="874">
        <v>5.468E16</v>
      </c>
      <c r="Z166" s="875"/>
      <c r="AA166" s="875"/>
      <c r="AB166" s="875"/>
    </row>
    <row r="167">
      <c r="A167" s="73"/>
      <c r="B167" s="872">
        <v>2561.325</v>
      </c>
      <c r="C167" s="872">
        <v>84743.5614742097</v>
      </c>
      <c r="D167" s="872">
        <v>891.739156154633</v>
      </c>
      <c r="E167" s="872">
        <v>3646.06439930473</v>
      </c>
      <c r="F167" s="872">
        <v>52.0</v>
      </c>
      <c r="G167" s="872"/>
      <c r="H167" s="73"/>
      <c r="I167" s="874">
        <v>5.666E16</v>
      </c>
      <c r="J167" s="874">
        <v>5.666E16</v>
      </c>
      <c r="K167" s="874">
        <v>5.666E16</v>
      </c>
      <c r="L167" s="874">
        <v>5.666E16</v>
      </c>
      <c r="M167" s="874">
        <v>5.666E16</v>
      </c>
      <c r="N167" s="875"/>
      <c r="O167" s="874">
        <v>5.666E16</v>
      </c>
      <c r="P167" s="874">
        <v>5.666E16</v>
      </c>
      <c r="Q167" s="874">
        <v>5.666E16</v>
      </c>
      <c r="R167" s="874">
        <v>5.666E16</v>
      </c>
      <c r="S167" s="874">
        <v>5.666E16</v>
      </c>
      <c r="T167" s="878">
        <v>1.1926E20</v>
      </c>
      <c r="U167" s="874">
        <v>5.666E16</v>
      </c>
      <c r="V167" s="878">
        <v>1.1926E20</v>
      </c>
      <c r="W167" s="878">
        <v>1.1926E20</v>
      </c>
      <c r="X167" s="875"/>
      <c r="Y167" s="874">
        <v>5.666E16</v>
      </c>
      <c r="Z167" s="875"/>
      <c r="AA167" s="875"/>
      <c r="AB167" s="875"/>
    </row>
    <row r="168">
      <c r="A168" s="73"/>
      <c r="B168" s="872">
        <v>2589.612</v>
      </c>
      <c r="C168" s="872">
        <v>86147.3468258418</v>
      </c>
      <c r="D168" s="872">
        <v>904.727476428985</v>
      </c>
      <c r="E168" s="872">
        <v>3703.07578735216</v>
      </c>
      <c r="F168" s="872">
        <v>52.20000076</v>
      </c>
      <c r="G168" s="872"/>
      <c r="H168" s="73"/>
      <c r="I168" s="874">
        <v>5.87E16</v>
      </c>
      <c r="J168" s="874">
        <v>5.87E16</v>
      </c>
      <c r="K168" s="874">
        <v>5.87E16</v>
      </c>
      <c r="L168" s="874">
        <v>5.87E16</v>
      </c>
      <c r="M168" s="874">
        <v>5.87E16</v>
      </c>
      <c r="N168" s="875"/>
      <c r="O168" s="874">
        <v>5.87E16</v>
      </c>
      <c r="P168" s="874">
        <v>5.87E16</v>
      </c>
      <c r="Q168" s="874">
        <v>5.87E16</v>
      </c>
      <c r="R168" s="874">
        <v>5.87E16</v>
      </c>
      <c r="S168" s="874">
        <v>5.87E16</v>
      </c>
      <c r="T168" s="878">
        <v>1.2402E20</v>
      </c>
      <c r="U168" s="874">
        <v>5.87E16</v>
      </c>
      <c r="V168" s="878">
        <v>1.2402E20</v>
      </c>
      <c r="W168" s="878">
        <v>1.2402E20</v>
      </c>
      <c r="X168" s="875"/>
      <c r="Y168" s="874">
        <v>5.87E16</v>
      </c>
      <c r="Z168" s="875"/>
      <c r="AA168" s="875"/>
      <c r="AB168" s="875"/>
    </row>
    <row r="169">
      <c r="A169" s="73"/>
      <c r="B169" s="872">
        <v>2618.053</v>
      </c>
      <c r="C169" s="872">
        <v>87565.7774895672</v>
      </c>
      <c r="D169" s="872">
        <v>917.825413890838</v>
      </c>
      <c r="E169" s="872">
        <v>3760.64228411963</v>
      </c>
      <c r="F169" s="872">
        <v>52.40000153</v>
      </c>
      <c r="G169" s="872"/>
      <c r="H169" s="73"/>
      <c r="I169" s="874">
        <v>6.08E16</v>
      </c>
      <c r="J169" s="874">
        <v>6.08E16</v>
      </c>
      <c r="K169" s="874">
        <v>6.08E16</v>
      </c>
      <c r="L169" s="874">
        <v>6.08E16</v>
      </c>
      <c r="M169" s="874">
        <v>6.08E16</v>
      </c>
      <c r="N169" s="875"/>
      <c r="O169" s="874">
        <v>6.08E16</v>
      </c>
      <c r="P169" s="874">
        <v>6.08E16</v>
      </c>
      <c r="Q169" s="874">
        <v>6.08E16</v>
      </c>
      <c r="R169" s="874">
        <v>6.08E16</v>
      </c>
      <c r="S169" s="874">
        <v>6.08E16</v>
      </c>
      <c r="T169" s="878">
        <v>1.2893E20</v>
      </c>
      <c r="U169" s="874">
        <v>6.08E16</v>
      </c>
      <c r="V169" s="878">
        <v>1.2893E20</v>
      </c>
      <c r="W169" s="878">
        <v>1.2893E20</v>
      </c>
      <c r="X169" s="875"/>
      <c r="Y169" s="874">
        <v>6.08E16</v>
      </c>
      <c r="Z169" s="875"/>
      <c r="AA169" s="875"/>
      <c r="AB169" s="875"/>
    </row>
    <row r="170">
      <c r="A170" s="73"/>
      <c r="B170" s="872">
        <v>2646.648</v>
      </c>
      <c r="C170" s="872">
        <v>88998.9339341335</v>
      </c>
      <c r="D170" s="872">
        <v>931.033038852692</v>
      </c>
      <c r="E170" s="872">
        <v>3818.766486607</v>
      </c>
      <c r="F170" s="872">
        <v>52.59999847</v>
      </c>
      <c r="G170" s="872"/>
      <c r="H170" s="73"/>
      <c r="I170" s="874">
        <v>6.296E16</v>
      </c>
      <c r="J170" s="874">
        <v>6.296E16</v>
      </c>
      <c r="K170" s="874">
        <v>6.296E16</v>
      </c>
      <c r="L170" s="874">
        <v>6.296E16</v>
      </c>
      <c r="M170" s="874">
        <v>6.296E16</v>
      </c>
      <c r="N170" s="875"/>
      <c r="O170" s="874">
        <v>6.296E16</v>
      </c>
      <c r="P170" s="874">
        <v>6.296E16</v>
      </c>
      <c r="Q170" s="874">
        <v>6.296E16</v>
      </c>
      <c r="R170" s="874">
        <v>6.296E16</v>
      </c>
      <c r="S170" s="874">
        <v>6.296E16</v>
      </c>
      <c r="T170" s="878">
        <v>1.3401E20</v>
      </c>
      <c r="U170" s="874">
        <v>6.296E16</v>
      </c>
      <c r="V170" s="878">
        <v>1.3401E20</v>
      </c>
      <c r="W170" s="878">
        <v>1.3401E20</v>
      </c>
      <c r="X170" s="875"/>
      <c r="Y170" s="874">
        <v>6.296E16</v>
      </c>
      <c r="Z170" s="875"/>
      <c r="AA170" s="875"/>
      <c r="AB170" s="875"/>
    </row>
    <row r="171">
      <c r="A171" s="73"/>
      <c r="B171" s="872">
        <v>2675.397</v>
      </c>
      <c r="C171" s="872">
        <v>90446.8724876642</v>
      </c>
      <c r="D171" s="872">
        <v>944.350702877045</v>
      </c>
      <c r="E171" s="872">
        <v>3877.45034256415</v>
      </c>
      <c r="F171" s="872">
        <v>52.80000305</v>
      </c>
      <c r="G171" s="872"/>
      <c r="H171" s="73"/>
      <c r="I171" s="874">
        <v>6.518E16</v>
      </c>
      <c r="J171" s="874">
        <v>6.518E16</v>
      </c>
      <c r="K171" s="874">
        <v>6.518E16</v>
      </c>
      <c r="L171" s="874">
        <v>6.518E16</v>
      </c>
      <c r="M171" s="874">
        <v>6.518E16</v>
      </c>
      <c r="N171" s="875"/>
      <c r="O171" s="874">
        <v>6.518E16</v>
      </c>
      <c r="P171" s="874">
        <v>6.518E16</v>
      </c>
      <c r="Q171" s="874">
        <v>6.518E16</v>
      </c>
      <c r="R171" s="874">
        <v>6.518E16</v>
      </c>
      <c r="S171" s="874">
        <v>6.518E16</v>
      </c>
      <c r="T171" s="878">
        <v>1.3924E20</v>
      </c>
      <c r="U171" s="874">
        <v>6.518E16</v>
      </c>
      <c r="V171" s="878">
        <v>1.3924E20</v>
      </c>
      <c r="W171" s="878">
        <v>1.3924E20</v>
      </c>
      <c r="X171" s="875"/>
      <c r="Y171" s="874">
        <v>6.518E16</v>
      </c>
      <c r="Z171" s="875"/>
      <c r="AA171" s="875"/>
      <c r="AB171" s="875"/>
    </row>
    <row r="172">
      <c r="A172" s="73"/>
      <c r="B172" s="872">
        <v>2704.3</v>
      </c>
      <c r="C172" s="872">
        <v>91909.6575251576</v>
      </c>
      <c r="D172" s="872">
        <v>957.778687213898</v>
      </c>
      <c r="E172" s="872">
        <v>3936.69612436597</v>
      </c>
      <c r="F172" s="872">
        <v>53.0</v>
      </c>
      <c r="G172" s="872"/>
      <c r="H172" s="73"/>
      <c r="I172" s="874">
        <v>6.746E16</v>
      </c>
      <c r="J172" s="874">
        <v>6.746E16</v>
      </c>
      <c r="K172" s="874">
        <v>6.746E16</v>
      </c>
      <c r="L172" s="874">
        <v>6.746E16</v>
      </c>
      <c r="M172" s="874">
        <v>6.746E16</v>
      </c>
      <c r="N172" s="875"/>
      <c r="O172" s="874">
        <v>6.746E16</v>
      </c>
      <c r="P172" s="874">
        <v>6.746E16</v>
      </c>
      <c r="Q172" s="874">
        <v>6.746E16</v>
      </c>
      <c r="R172" s="874">
        <v>6.746E16</v>
      </c>
      <c r="S172" s="874">
        <v>6.746E16</v>
      </c>
      <c r="T172" s="878">
        <v>1.4465E20</v>
      </c>
      <c r="U172" s="874">
        <v>6.746E16</v>
      </c>
      <c r="V172" s="878">
        <v>1.4465E20</v>
      </c>
      <c r="W172" s="878">
        <v>1.4465E20</v>
      </c>
      <c r="X172" s="875"/>
      <c r="Y172" s="874">
        <v>6.746E16</v>
      </c>
      <c r="Z172" s="875"/>
      <c r="AA172" s="875"/>
      <c r="AB172" s="875"/>
    </row>
    <row r="173">
      <c r="A173" s="73"/>
      <c r="B173" s="872">
        <v>2733.357</v>
      </c>
      <c r="C173" s="872">
        <v>93387.3614684865</v>
      </c>
      <c r="D173" s="872">
        <v>971.317202800751</v>
      </c>
      <c r="E173" s="872">
        <v>3996.50577976235</v>
      </c>
      <c r="F173" s="872">
        <v>53.20000076</v>
      </c>
      <c r="G173" s="872"/>
      <c r="H173" s="73"/>
      <c r="I173" s="874">
        <v>6.98E16</v>
      </c>
      <c r="J173" s="874">
        <v>6.98E16</v>
      </c>
      <c r="K173" s="874">
        <v>6.98E16</v>
      </c>
      <c r="L173" s="874">
        <v>6.98E16</v>
      </c>
      <c r="M173" s="874">
        <v>6.98E16</v>
      </c>
      <c r="N173" s="875"/>
      <c r="O173" s="874">
        <v>6.98E16</v>
      </c>
      <c r="P173" s="874">
        <v>6.98E16</v>
      </c>
      <c r="Q173" s="874">
        <v>6.98E16</v>
      </c>
      <c r="R173" s="874">
        <v>6.98E16</v>
      </c>
      <c r="S173" s="874">
        <v>6.98E16</v>
      </c>
      <c r="T173" s="878">
        <v>1.5023E20</v>
      </c>
      <c r="U173" s="874">
        <v>6.98E16</v>
      </c>
      <c r="V173" s="878">
        <v>1.5023E20</v>
      </c>
      <c r="W173" s="878">
        <v>1.5023E20</v>
      </c>
      <c r="X173" s="875"/>
      <c r="Y173" s="874">
        <v>6.98E16</v>
      </c>
      <c r="Z173" s="875"/>
      <c r="AA173" s="875"/>
      <c r="AB173" s="875"/>
    </row>
    <row r="174">
      <c r="A174" s="73"/>
      <c r="B174" s="872">
        <v>2762.568</v>
      </c>
      <c r="C174" s="872">
        <v>94880.0406457745</v>
      </c>
      <c r="D174" s="872">
        <v>984.966530887604</v>
      </c>
      <c r="E174" s="872">
        <v>4056.88125650319</v>
      </c>
      <c r="F174" s="872">
        <v>53.40000153</v>
      </c>
      <c r="G174" s="872"/>
      <c r="H174" s="73"/>
      <c r="I174" s="874">
        <v>7.221E16</v>
      </c>
      <c r="J174" s="874">
        <v>7.221E16</v>
      </c>
      <c r="K174" s="874">
        <v>7.221E16</v>
      </c>
      <c r="L174" s="874">
        <v>7.221E16</v>
      </c>
      <c r="M174" s="874">
        <v>7.221E16</v>
      </c>
      <c r="N174" s="875"/>
      <c r="O174" s="874">
        <v>7.221E16</v>
      </c>
      <c r="P174" s="874">
        <v>7.221E16</v>
      </c>
      <c r="Q174" s="874">
        <v>7.221E16</v>
      </c>
      <c r="R174" s="874">
        <v>7.221E16</v>
      </c>
      <c r="S174" s="874">
        <v>7.221E16</v>
      </c>
      <c r="T174" s="878">
        <v>1.5598E20</v>
      </c>
      <c r="U174" s="874">
        <v>7.221E16</v>
      </c>
      <c r="V174" s="878">
        <v>1.5598E20</v>
      </c>
      <c r="W174" s="878">
        <v>1.5598E20</v>
      </c>
      <c r="X174" s="875"/>
      <c r="Y174" s="874">
        <v>7.221E16</v>
      </c>
      <c r="Z174" s="875"/>
      <c r="AA174" s="875"/>
      <c r="AB174" s="875"/>
    </row>
    <row r="175">
      <c r="A175" s="73"/>
      <c r="B175" s="872">
        <v>2791.933</v>
      </c>
      <c r="C175" s="872">
        <v>96387.7433382701</v>
      </c>
      <c r="D175" s="872">
        <v>998.726812576294</v>
      </c>
      <c r="E175" s="872">
        <v>4117.82515158834</v>
      </c>
      <c r="F175" s="872">
        <v>53.59999847</v>
      </c>
      <c r="G175" s="872"/>
      <c r="H175" s="73"/>
      <c r="I175" s="874">
        <v>7.469E16</v>
      </c>
      <c r="J175" s="874">
        <v>7.469E16</v>
      </c>
      <c r="K175" s="874">
        <v>7.469E16</v>
      </c>
      <c r="L175" s="874">
        <v>7.469E16</v>
      </c>
      <c r="M175" s="874">
        <v>7.469E16</v>
      </c>
      <c r="N175" s="875"/>
      <c r="O175" s="874">
        <v>7.469E16</v>
      </c>
      <c r="P175" s="874">
        <v>7.469E16</v>
      </c>
      <c r="Q175" s="874">
        <v>7.469E16</v>
      </c>
      <c r="R175" s="874">
        <v>7.469E16</v>
      </c>
      <c r="S175" s="874">
        <v>7.469E16</v>
      </c>
      <c r="T175" s="878">
        <v>1.6192E20</v>
      </c>
      <c r="U175" s="874">
        <v>7.469E16</v>
      </c>
      <c r="V175" s="878">
        <v>1.6192E20</v>
      </c>
      <c r="W175" s="878">
        <v>1.6192E20</v>
      </c>
      <c r="X175" s="875"/>
      <c r="Y175" s="874">
        <v>7.469E16</v>
      </c>
      <c r="Z175" s="875"/>
      <c r="AA175" s="875"/>
      <c r="AB175" s="875"/>
    </row>
    <row r="176">
      <c r="A176" s="73"/>
      <c r="B176" s="872">
        <v>2821.452</v>
      </c>
      <c r="C176" s="872">
        <v>97910.5500147212</v>
      </c>
      <c r="D176" s="872">
        <v>1012.59846878815</v>
      </c>
      <c r="E176" s="872">
        <v>4179.33908814272</v>
      </c>
      <c r="F176" s="872">
        <v>53.80000305</v>
      </c>
      <c r="G176" s="872"/>
      <c r="H176" s="73"/>
      <c r="I176" s="874">
        <v>7.723E16</v>
      </c>
      <c r="J176" s="874">
        <v>7.723E16</v>
      </c>
      <c r="K176" s="874">
        <v>7.723E16</v>
      </c>
      <c r="L176" s="874">
        <v>7.723E16</v>
      </c>
      <c r="M176" s="874">
        <v>7.723E16</v>
      </c>
      <c r="N176" s="875"/>
      <c r="O176" s="874">
        <v>7.723E16</v>
      </c>
      <c r="P176" s="874">
        <v>7.723E16</v>
      </c>
      <c r="Q176" s="874">
        <v>7.723E16</v>
      </c>
      <c r="R176" s="874">
        <v>7.723E16</v>
      </c>
      <c r="S176" s="874">
        <v>7.723E16</v>
      </c>
      <c r="T176" s="878">
        <v>1.6804E20</v>
      </c>
      <c r="U176" s="874">
        <v>7.723E16</v>
      </c>
      <c r="V176" s="878">
        <v>1.6804E20</v>
      </c>
      <c r="W176" s="878">
        <v>1.6804E20</v>
      </c>
      <c r="X176" s="875"/>
      <c r="Y176" s="874">
        <v>7.723E16</v>
      </c>
      <c r="Z176" s="875"/>
      <c r="AA176" s="875"/>
      <c r="AB176" s="875"/>
    </row>
    <row r="177">
      <c r="A177" s="73"/>
      <c r="B177" s="872">
        <v>2851.125</v>
      </c>
      <c r="C177" s="872">
        <v>99448.5330970008</v>
      </c>
      <c r="D177" s="872">
        <v>1026.581640625</v>
      </c>
      <c r="E177" s="872">
        <v>4241.42533854121</v>
      </c>
      <c r="F177" s="872">
        <v>54.0</v>
      </c>
      <c r="G177" s="872"/>
      <c r="H177" s="73"/>
      <c r="I177" s="874">
        <v>7.985E16</v>
      </c>
      <c r="J177" s="874">
        <v>7.985E16</v>
      </c>
      <c r="K177" s="874">
        <v>7.985E16</v>
      </c>
      <c r="L177" s="874">
        <v>7.985E16</v>
      </c>
      <c r="M177" s="874">
        <v>7.985E16</v>
      </c>
      <c r="N177" s="875"/>
      <c r="O177" s="874">
        <v>7.985E16</v>
      </c>
      <c r="P177" s="874">
        <v>7.985E16</v>
      </c>
      <c r="Q177" s="874">
        <v>7.985E16</v>
      </c>
      <c r="R177" s="874">
        <v>7.985E16</v>
      </c>
      <c r="S177" s="874">
        <v>7.985E16</v>
      </c>
      <c r="T177" s="878">
        <v>1.7435E20</v>
      </c>
      <c r="U177" s="874">
        <v>7.985E16</v>
      </c>
      <c r="V177" s="878">
        <v>1.7435E20</v>
      </c>
      <c r="W177" s="878">
        <v>1.7435E20</v>
      </c>
      <c r="X177" s="875"/>
      <c r="Y177" s="874">
        <v>7.985E16</v>
      </c>
      <c r="Z177" s="875"/>
      <c r="AA177" s="875"/>
      <c r="AB177" s="875"/>
    </row>
    <row r="178">
      <c r="A178" s="73"/>
      <c r="B178" s="872">
        <v>2880.952</v>
      </c>
      <c r="C178" s="872">
        <v>101001.740866357</v>
      </c>
      <c r="D178" s="872">
        <v>1040.67660933685</v>
      </c>
      <c r="E178" s="872">
        <v>4304.08617515868</v>
      </c>
      <c r="F178" s="872">
        <v>54.20000076</v>
      </c>
      <c r="G178" s="872"/>
      <c r="H178" s="73"/>
      <c r="I178" s="874">
        <v>8.253E16</v>
      </c>
      <c r="J178" s="874">
        <v>8.253E16</v>
      </c>
      <c r="K178" s="874">
        <v>8.253E16</v>
      </c>
      <c r="L178" s="874">
        <v>8.253E16</v>
      </c>
      <c r="M178" s="874">
        <v>8.253E16</v>
      </c>
      <c r="N178" s="875"/>
      <c r="O178" s="874">
        <v>8.253E16</v>
      </c>
      <c r="P178" s="874">
        <v>8.253E16</v>
      </c>
      <c r="Q178" s="874">
        <v>8.253E16</v>
      </c>
      <c r="R178" s="874">
        <v>8.253E16</v>
      </c>
      <c r="S178" s="874">
        <v>8.253E16</v>
      </c>
      <c r="T178" s="878">
        <v>1.8085E20</v>
      </c>
      <c r="U178" s="874">
        <v>8.253E16</v>
      </c>
      <c r="V178" s="878">
        <v>1.8085E20</v>
      </c>
      <c r="W178" s="878">
        <v>1.8085E20</v>
      </c>
      <c r="X178" s="875"/>
      <c r="Y178" s="874">
        <v>8.253E16</v>
      </c>
      <c r="Z178" s="875"/>
      <c r="AA178" s="875"/>
      <c r="AB178" s="875"/>
    </row>
    <row r="179">
      <c r="A179" s="73"/>
      <c r="B179" s="872">
        <v>2910.933</v>
      </c>
      <c r="C179" s="872">
        <v>102570.229650915</v>
      </c>
      <c r="D179" s="872">
        <v>1054.88365617371</v>
      </c>
      <c r="E179" s="872">
        <v>4367.32289649506</v>
      </c>
      <c r="F179" s="872">
        <v>54.40000153</v>
      </c>
      <c r="G179" s="872"/>
      <c r="H179" s="73"/>
      <c r="I179" s="874">
        <v>8.529E16</v>
      </c>
      <c r="J179" s="874">
        <v>8.529E16</v>
      </c>
      <c r="K179" s="874">
        <v>8.529E16</v>
      </c>
      <c r="L179" s="874">
        <v>8.529E16</v>
      </c>
      <c r="M179" s="874">
        <v>8.529E16</v>
      </c>
      <c r="N179" s="875"/>
      <c r="O179" s="874">
        <v>8.529E16</v>
      </c>
      <c r="P179" s="874">
        <v>8.529E16</v>
      </c>
      <c r="Q179" s="874">
        <v>8.529E16</v>
      </c>
      <c r="R179" s="874">
        <v>8.529E16</v>
      </c>
      <c r="S179" s="874">
        <v>8.529E16</v>
      </c>
      <c r="T179" s="878">
        <v>1.8756E20</v>
      </c>
      <c r="U179" s="874">
        <v>8.529E16</v>
      </c>
      <c r="V179" s="878">
        <v>1.8756E20</v>
      </c>
      <c r="W179" s="878">
        <v>1.8756E20</v>
      </c>
      <c r="X179" s="875"/>
      <c r="Y179" s="874">
        <v>8.529E16</v>
      </c>
      <c r="Z179" s="875"/>
      <c r="AA179" s="875"/>
      <c r="AB179" s="875"/>
    </row>
    <row r="180">
      <c r="A180" s="73"/>
      <c r="B180" s="872">
        <v>2941.068</v>
      </c>
      <c r="C180" s="872">
        <v>104154.071872545</v>
      </c>
      <c r="D180" s="872">
        <v>1069.20299207306</v>
      </c>
      <c r="E180" s="872">
        <v>4431.13874880018</v>
      </c>
      <c r="F180" s="872">
        <v>54.59999847</v>
      </c>
      <c r="G180" s="872"/>
      <c r="H180" s="73"/>
      <c r="I180" s="874">
        <v>8.812E16</v>
      </c>
      <c r="J180" s="874">
        <v>8.812E16</v>
      </c>
      <c r="K180" s="874">
        <v>8.812E16</v>
      </c>
      <c r="L180" s="874">
        <v>8.812E16</v>
      </c>
      <c r="M180" s="874">
        <v>8.812E16</v>
      </c>
      <c r="N180" s="875"/>
      <c r="O180" s="874">
        <v>8.812E16</v>
      </c>
      <c r="P180" s="874">
        <v>8.812E16</v>
      </c>
      <c r="Q180" s="874">
        <v>8.812E16</v>
      </c>
      <c r="R180" s="874">
        <v>8.812E16</v>
      </c>
      <c r="S180" s="874">
        <v>8.812E16</v>
      </c>
      <c r="T180" s="878">
        <v>1.9446E20</v>
      </c>
      <c r="U180" s="874">
        <v>8.812E16</v>
      </c>
      <c r="V180" s="878">
        <v>1.9446E20</v>
      </c>
      <c r="W180" s="878">
        <v>1.9446E20</v>
      </c>
      <c r="X180" s="875"/>
      <c r="Y180" s="874">
        <v>8.812E16</v>
      </c>
      <c r="Z180" s="875"/>
      <c r="AA180" s="875"/>
      <c r="AB180" s="875"/>
    </row>
    <row r="181">
      <c r="A181" s="73"/>
      <c r="B181" s="872">
        <v>2971.357</v>
      </c>
      <c r="C181" s="872">
        <v>105753.331906248</v>
      </c>
      <c r="D181" s="872">
        <v>1083.63489828491</v>
      </c>
      <c r="E181" s="872">
        <v>4495.53470594899</v>
      </c>
      <c r="F181" s="872">
        <v>54.80000305</v>
      </c>
      <c r="G181" s="872"/>
      <c r="H181" s="73"/>
      <c r="I181" s="874">
        <v>9.103E16</v>
      </c>
      <c r="J181" s="874">
        <v>9.103E16</v>
      </c>
      <c r="K181" s="874">
        <v>9.103E16</v>
      </c>
      <c r="L181" s="874">
        <v>9.103E16</v>
      </c>
      <c r="M181" s="874">
        <v>9.103E16</v>
      </c>
      <c r="N181" s="875"/>
      <c r="O181" s="874">
        <v>9.103E16</v>
      </c>
      <c r="P181" s="874">
        <v>9.103E16</v>
      </c>
      <c r="Q181" s="874">
        <v>9.103E16</v>
      </c>
      <c r="R181" s="874">
        <v>9.103E16</v>
      </c>
      <c r="S181" s="874">
        <v>9.103E16</v>
      </c>
      <c r="T181" s="878">
        <v>2.0158E20</v>
      </c>
      <c r="U181" s="874">
        <v>9.103E16</v>
      </c>
      <c r="V181" s="878">
        <v>2.0158E20</v>
      </c>
      <c r="W181" s="878">
        <v>2.0158E20</v>
      </c>
      <c r="X181" s="875"/>
      <c r="Y181" s="874">
        <v>9.103E16</v>
      </c>
      <c r="Z181" s="875"/>
      <c r="AA181" s="875"/>
      <c r="AB181" s="875"/>
    </row>
    <row r="182">
      <c r="A182" s="73"/>
      <c r="B182" s="872">
        <v>3001.8</v>
      </c>
      <c r="C182" s="872">
        <v>107368.082173895</v>
      </c>
      <c r="D182" s="872">
        <v>1098.17951543426</v>
      </c>
      <c r="E182" s="872">
        <v>4560.51368956632</v>
      </c>
      <c r="F182" s="872">
        <v>55.0</v>
      </c>
      <c r="G182" s="872"/>
      <c r="H182" s="73"/>
      <c r="I182" s="874">
        <v>9.401E16</v>
      </c>
      <c r="J182" s="874">
        <v>9.401E16</v>
      </c>
      <c r="K182" s="874">
        <v>9.401E16</v>
      </c>
      <c r="L182" s="874">
        <v>9.401E16</v>
      </c>
      <c r="M182" s="874">
        <v>9.401E16</v>
      </c>
      <c r="N182" s="875"/>
      <c r="O182" s="874">
        <v>9.401E16</v>
      </c>
      <c r="P182" s="874">
        <v>9.401E16</v>
      </c>
      <c r="Q182" s="874">
        <v>9.401E16</v>
      </c>
      <c r="R182" s="874">
        <v>9.401E16</v>
      </c>
      <c r="S182" s="874">
        <v>9.401E16</v>
      </c>
      <c r="T182" s="878">
        <v>2.0891E20</v>
      </c>
      <c r="U182" s="874">
        <v>9.401E16</v>
      </c>
      <c r="V182" s="878">
        <v>2.0891E20</v>
      </c>
      <c r="W182" s="878">
        <v>2.0891E20</v>
      </c>
      <c r="X182" s="875"/>
      <c r="Y182" s="874">
        <v>9.401E16</v>
      </c>
      <c r="Z182" s="875"/>
      <c r="AA182" s="875"/>
      <c r="AB182" s="875"/>
    </row>
    <row r="183">
      <c r="A183" s="73"/>
      <c r="B183" s="872">
        <v>3032.397</v>
      </c>
      <c r="C183" s="872">
        <v>108998.362909861</v>
      </c>
      <c r="D183" s="872">
        <v>1112.83726539612</v>
      </c>
      <c r="E183" s="872">
        <v>4626.07732277709</v>
      </c>
      <c r="F183" s="872">
        <v>55.20000076</v>
      </c>
      <c r="G183" s="872"/>
      <c r="H183" s="73"/>
      <c r="I183" s="874">
        <v>9.707E16</v>
      </c>
      <c r="J183" s="874">
        <v>9.707E16</v>
      </c>
      <c r="K183" s="874">
        <v>9.707E16</v>
      </c>
      <c r="L183" s="874">
        <v>9.707E16</v>
      </c>
      <c r="M183" s="874">
        <v>9.707E16</v>
      </c>
      <c r="N183" s="875"/>
      <c r="O183" s="874">
        <v>9.707E16</v>
      </c>
      <c r="P183" s="874">
        <v>9.707E16</v>
      </c>
      <c r="Q183" s="874">
        <v>9.707E16</v>
      </c>
      <c r="R183" s="874">
        <v>9.707E16</v>
      </c>
      <c r="S183" s="874">
        <v>9.707E16</v>
      </c>
      <c r="T183" s="878">
        <v>2.1646E20</v>
      </c>
      <c r="U183" s="874">
        <v>9.707E16</v>
      </c>
      <c r="V183" s="878">
        <v>2.1646E20</v>
      </c>
      <c r="W183" s="878">
        <v>2.1646E20</v>
      </c>
      <c r="X183" s="875"/>
      <c r="Y183" s="874">
        <v>9.707E16</v>
      </c>
      <c r="Z183" s="875"/>
      <c r="AA183" s="73"/>
      <c r="AB183" s="73"/>
    </row>
    <row r="184">
      <c r="A184" s="73"/>
      <c r="B184" s="872">
        <v>3063.148</v>
      </c>
      <c r="C184" s="872">
        <v>110644.238489144</v>
      </c>
      <c r="D184" s="872">
        <v>1127.60828879547</v>
      </c>
      <c r="E184" s="872">
        <v>4692.2275533312</v>
      </c>
      <c r="F184" s="872">
        <v>55.40000153</v>
      </c>
      <c r="G184" s="872"/>
      <c r="H184" s="73"/>
      <c r="I184" s="874">
        <v>1.0022E17</v>
      </c>
      <c r="J184" s="874">
        <v>1.0022E17</v>
      </c>
      <c r="K184" s="874">
        <v>1.0022E17</v>
      </c>
      <c r="L184" s="874">
        <v>1.0022E17</v>
      </c>
      <c r="M184" s="874">
        <v>1.0022E17</v>
      </c>
      <c r="N184" s="875"/>
      <c r="O184" s="874">
        <v>1.0022E17</v>
      </c>
      <c r="P184" s="874">
        <v>1.0022E17</v>
      </c>
      <c r="Q184" s="874">
        <v>1.0022E17</v>
      </c>
      <c r="R184" s="874">
        <v>1.0022E17</v>
      </c>
      <c r="S184" s="874">
        <v>1.0022E17</v>
      </c>
      <c r="T184" s="878">
        <v>2.2423E20</v>
      </c>
      <c r="U184" s="874">
        <v>1.0022E17</v>
      </c>
      <c r="V184" s="878">
        <v>2.2423E20</v>
      </c>
      <c r="W184" s="878">
        <v>2.2423E20</v>
      </c>
      <c r="X184" s="875"/>
      <c r="Y184" s="874">
        <v>1.0022E17</v>
      </c>
      <c r="Z184" s="875"/>
      <c r="AA184" s="73"/>
      <c r="AB184" s="73"/>
    </row>
    <row r="185">
      <c r="A185" s="73"/>
      <c r="B185" s="872">
        <v>3094.053</v>
      </c>
      <c r="C185" s="872">
        <v>112305.797427366</v>
      </c>
      <c r="D185" s="872">
        <v>1142.49279656982</v>
      </c>
      <c r="E185" s="872">
        <v>4758.96665360352</v>
      </c>
      <c r="F185" s="872">
        <v>55.59999847</v>
      </c>
      <c r="G185" s="872"/>
      <c r="H185" s="73"/>
      <c r="I185" s="874">
        <v>1.0344E17</v>
      </c>
      <c r="J185" s="874">
        <v>1.0344E17</v>
      </c>
      <c r="K185" s="874">
        <v>1.0344E17</v>
      </c>
      <c r="L185" s="874">
        <v>1.0344E17</v>
      </c>
      <c r="M185" s="874">
        <v>1.0344E17</v>
      </c>
      <c r="N185" s="875"/>
      <c r="O185" s="874">
        <v>1.0344E17</v>
      </c>
      <c r="P185" s="874">
        <v>1.0344E17</v>
      </c>
      <c r="Q185" s="874">
        <v>1.0344E17</v>
      </c>
      <c r="R185" s="874">
        <v>1.0344E17</v>
      </c>
      <c r="S185" s="874">
        <v>1.0344E17</v>
      </c>
      <c r="T185" s="878">
        <v>2.3223E20</v>
      </c>
      <c r="U185" s="874">
        <v>1.0344E17</v>
      </c>
      <c r="V185" s="878">
        <v>2.3223E20</v>
      </c>
      <c r="W185" s="878">
        <v>2.3223E20</v>
      </c>
      <c r="X185" s="875"/>
      <c r="Y185" s="874">
        <v>1.0344E17</v>
      </c>
      <c r="Z185" s="875"/>
      <c r="AA185" s="73"/>
      <c r="AB185" s="73"/>
    </row>
    <row r="186">
      <c r="A186" s="73"/>
      <c r="B186" s="872">
        <v>3125.112</v>
      </c>
      <c r="C186" s="872">
        <v>113983.071912026</v>
      </c>
      <c r="D186" s="872">
        <v>1157.49114028168</v>
      </c>
      <c r="E186" s="872">
        <v>4826.29657134394</v>
      </c>
      <c r="F186" s="872">
        <v>55.80000305</v>
      </c>
      <c r="G186" s="872"/>
      <c r="H186" s="73"/>
      <c r="I186" s="874">
        <v>1.0674E17</v>
      </c>
      <c r="J186" s="874">
        <v>1.0674E17</v>
      </c>
      <c r="K186" s="874">
        <v>1.0674E17</v>
      </c>
      <c r="L186" s="874">
        <v>1.0674E17</v>
      </c>
      <c r="M186" s="874">
        <v>1.0674E17</v>
      </c>
      <c r="N186" s="875"/>
      <c r="O186" s="874">
        <v>1.0674E17</v>
      </c>
      <c r="P186" s="874">
        <v>1.0674E17</v>
      </c>
      <c r="Q186" s="874">
        <v>1.0674E17</v>
      </c>
      <c r="R186" s="874">
        <v>1.0674E17</v>
      </c>
      <c r="S186" s="874">
        <v>1.0674E17</v>
      </c>
      <c r="T186" s="878">
        <v>2.4047E20</v>
      </c>
      <c r="U186" s="874">
        <v>1.0674E17</v>
      </c>
      <c r="V186" s="878">
        <v>2.4047E20</v>
      </c>
      <c r="W186" s="878">
        <v>2.4047E20</v>
      </c>
      <c r="X186" s="875"/>
      <c r="Y186" s="874">
        <v>1.0674E17</v>
      </c>
      <c r="Z186" s="875"/>
      <c r="AA186" s="73"/>
      <c r="AB186" s="73"/>
    </row>
    <row r="187">
      <c r="A187" s="73"/>
      <c r="B187" s="872">
        <v>3156.325</v>
      </c>
      <c r="C187" s="872">
        <v>115676.142411873</v>
      </c>
      <c r="D187" s="872">
        <v>1172.60346055603</v>
      </c>
      <c r="E187" s="872">
        <v>4894.21957892735</v>
      </c>
      <c r="F187" s="872">
        <v>56.0</v>
      </c>
      <c r="G187" s="872"/>
      <c r="H187" s="73"/>
      <c r="I187" s="874">
        <v>1.1013E17</v>
      </c>
      <c r="J187" s="874">
        <v>1.1013E17</v>
      </c>
      <c r="K187" s="874">
        <v>1.1013E17</v>
      </c>
      <c r="L187" s="874">
        <v>1.1013E17</v>
      </c>
      <c r="M187" s="874">
        <v>1.1013E17</v>
      </c>
      <c r="N187" s="875"/>
      <c r="O187" s="874">
        <v>1.1013E17</v>
      </c>
      <c r="P187" s="874">
        <v>1.1013E17</v>
      </c>
      <c r="Q187" s="874">
        <v>1.1013E17</v>
      </c>
      <c r="R187" s="874">
        <v>1.1013E17</v>
      </c>
      <c r="S187" s="874">
        <v>1.1013E17</v>
      </c>
      <c r="T187" s="878">
        <v>2.4894E20</v>
      </c>
      <c r="U187" s="874">
        <v>1.1013E17</v>
      </c>
      <c r="V187" s="878">
        <v>2.4894E20</v>
      </c>
      <c r="W187" s="878">
        <v>2.4894E20</v>
      </c>
      <c r="X187" s="875"/>
      <c r="Y187" s="874">
        <v>1.1013E17</v>
      </c>
      <c r="Z187" s="875"/>
      <c r="AA187" s="73"/>
      <c r="AB187" s="73"/>
    </row>
    <row r="188">
      <c r="A188" s="73"/>
      <c r="B188" s="872">
        <v>3187.692</v>
      </c>
      <c r="C188" s="872">
        <v>117385.057208154</v>
      </c>
      <c r="D188" s="872">
        <v>1187.82996880722</v>
      </c>
      <c r="E188" s="872">
        <v>4962.73729947866</v>
      </c>
      <c r="F188" s="872">
        <v>56.20000076</v>
      </c>
      <c r="G188" s="872"/>
      <c r="H188" s="73"/>
      <c r="I188" s="874">
        <v>1.1361E17</v>
      </c>
      <c r="J188" s="874">
        <v>1.1361E17</v>
      </c>
      <c r="K188" s="874">
        <v>1.1361E17</v>
      </c>
      <c r="L188" s="874">
        <v>1.1361E17</v>
      </c>
      <c r="M188" s="874">
        <v>1.1361E17</v>
      </c>
      <c r="N188" s="875"/>
      <c r="O188" s="874">
        <v>1.1361E17</v>
      </c>
      <c r="P188" s="874">
        <v>1.1361E17</v>
      </c>
      <c r="Q188" s="874">
        <v>1.1361E17</v>
      </c>
      <c r="R188" s="874">
        <v>1.1361E17</v>
      </c>
      <c r="S188" s="874">
        <v>1.1361E17</v>
      </c>
      <c r="T188" s="878">
        <v>2.5766E20</v>
      </c>
      <c r="U188" s="874">
        <v>1.1361E17</v>
      </c>
      <c r="V188" s="878">
        <v>2.5766E20</v>
      </c>
      <c r="W188" s="878">
        <v>2.5766E20</v>
      </c>
      <c r="X188" s="875"/>
      <c r="Y188" s="874">
        <v>1.1361E17</v>
      </c>
      <c r="Z188" s="875"/>
      <c r="AA188" s="73"/>
      <c r="AB188" s="73"/>
    </row>
    <row r="189">
      <c r="A189" s="73"/>
      <c r="B189" s="872">
        <v>3219.213</v>
      </c>
      <c r="C189" s="872">
        <v>119109.896769619</v>
      </c>
      <c r="D189" s="872">
        <v>1203.17115626907</v>
      </c>
      <c r="E189" s="872">
        <v>5031.85232999772</v>
      </c>
      <c r="F189" s="872">
        <v>56.40000153</v>
      </c>
      <c r="G189" s="872"/>
      <c r="H189" s="73"/>
      <c r="I189" s="874">
        <v>1.1718E17</v>
      </c>
      <c r="J189" s="874">
        <v>1.1718E17</v>
      </c>
      <c r="K189" s="874">
        <v>1.1718E17</v>
      </c>
      <c r="L189" s="874">
        <v>1.1718E17</v>
      </c>
      <c r="M189" s="874">
        <v>1.1718E17</v>
      </c>
      <c r="N189" s="875"/>
      <c r="O189" s="874">
        <v>1.1718E17</v>
      </c>
      <c r="P189" s="874">
        <v>1.1718E17</v>
      </c>
      <c r="Q189" s="874">
        <v>1.1718E17</v>
      </c>
      <c r="R189" s="874">
        <v>1.1718E17</v>
      </c>
      <c r="S189" s="874">
        <v>1.1718E17</v>
      </c>
      <c r="T189" s="878">
        <v>2.6663E20</v>
      </c>
      <c r="U189" s="874">
        <v>1.1718E17</v>
      </c>
      <c r="V189" s="878">
        <v>2.6663E20</v>
      </c>
      <c r="W189" s="878">
        <v>2.6663E20</v>
      </c>
      <c r="X189" s="875"/>
      <c r="Y189" s="874">
        <v>1.1718E17</v>
      </c>
      <c r="Z189" s="875"/>
      <c r="AA189" s="73"/>
      <c r="AB189" s="73"/>
    </row>
    <row r="190">
      <c r="A190" s="73"/>
      <c r="B190" s="872">
        <v>3250.888</v>
      </c>
      <c r="C190" s="872">
        <v>120850.709377514</v>
      </c>
      <c r="D190" s="872">
        <v>1218.62695310593</v>
      </c>
      <c r="E190" s="872">
        <v>5101.56629360945</v>
      </c>
      <c r="F190" s="872">
        <v>56.59999847</v>
      </c>
      <c r="G190" s="872"/>
      <c r="H190" s="73"/>
      <c r="I190" s="874">
        <v>1.2083E17</v>
      </c>
      <c r="J190" s="874">
        <v>1.2083E17</v>
      </c>
      <c r="K190" s="874">
        <v>1.2083E17</v>
      </c>
      <c r="L190" s="874">
        <v>1.2083E17</v>
      </c>
      <c r="M190" s="874">
        <v>1.2083E17</v>
      </c>
      <c r="N190" s="875"/>
      <c r="O190" s="874">
        <v>1.2083E17</v>
      </c>
      <c r="P190" s="874">
        <v>1.2083E17</v>
      </c>
      <c r="Q190" s="874">
        <v>1.2083E17</v>
      </c>
      <c r="R190" s="874">
        <v>1.2083E17</v>
      </c>
      <c r="S190" s="874">
        <v>1.2083E17</v>
      </c>
      <c r="T190" s="878">
        <v>2.7586E20</v>
      </c>
      <c r="U190" s="874">
        <v>1.2083E17</v>
      </c>
      <c r="V190" s="878">
        <v>2.7586E20</v>
      </c>
      <c r="W190" s="878">
        <v>2.7586E20</v>
      </c>
      <c r="X190" s="875"/>
      <c r="Y190" s="874">
        <v>1.2083E17</v>
      </c>
      <c r="Z190" s="875"/>
      <c r="AA190" s="73"/>
      <c r="AB190" s="73"/>
    </row>
    <row r="191">
      <c r="A191" s="73"/>
      <c r="B191" s="872">
        <v>3282.717</v>
      </c>
      <c r="C191" s="872">
        <v>122607.559406839</v>
      </c>
      <c r="D191" s="872">
        <v>1234.19778119278</v>
      </c>
      <c r="E191" s="872">
        <v>5171.88113806375</v>
      </c>
      <c r="F191" s="872">
        <v>56.80000305</v>
      </c>
      <c r="G191" s="872"/>
      <c r="H191" s="73"/>
      <c r="I191" s="874">
        <v>1.2458E17</v>
      </c>
      <c r="J191" s="874">
        <v>1.2458E17</v>
      </c>
      <c r="K191" s="874">
        <v>1.2458E17</v>
      </c>
      <c r="L191" s="874">
        <v>1.2458E17</v>
      </c>
      <c r="M191" s="874">
        <v>1.2458E17</v>
      </c>
      <c r="N191" s="875"/>
      <c r="O191" s="874">
        <v>1.2458E17</v>
      </c>
      <c r="P191" s="874">
        <v>1.2458E17</v>
      </c>
      <c r="Q191" s="874">
        <v>1.2458E17</v>
      </c>
      <c r="R191" s="874">
        <v>1.2458E17</v>
      </c>
      <c r="S191" s="874">
        <v>1.2458E17</v>
      </c>
      <c r="T191" s="878">
        <v>2.8535E20</v>
      </c>
      <c r="U191" s="874">
        <v>1.2458E17</v>
      </c>
      <c r="V191" s="878">
        <v>2.8535E20</v>
      </c>
      <c r="W191" s="878">
        <v>2.8535E20</v>
      </c>
      <c r="X191" s="875"/>
      <c r="Y191" s="874">
        <v>1.2458E17</v>
      </c>
      <c r="Z191" s="875"/>
      <c r="AA191" s="73"/>
      <c r="AB191" s="73"/>
    </row>
    <row r="192">
      <c r="A192" s="73"/>
      <c r="B192" s="872">
        <v>3314.7</v>
      </c>
      <c r="C192" s="872">
        <v>124380.511232592</v>
      </c>
      <c r="D192" s="872">
        <v>1249.88378115463</v>
      </c>
      <c r="E192" s="872">
        <v>5242.79913573548</v>
      </c>
      <c r="F192" s="872">
        <v>57.0</v>
      </c>
      <c r="G192" s="872"/>
      <c r="H192" s="73"/>
      <c r="I192" s="874">
        <v>1.2841E17</v>
      </c>
      <c r="J192" s="874">
        <v>1.2841E17</v>
      </c>
      <c r="K192" s="874">
        <v>1.2841E17</v>
      </c>
      <c r="L192" s="874">
        <v>1.2841E17</v>
      </c>
      <c r="M192" s="874">
        <v>1.2841E17</v>
      </c>
      <c r="N192" s="875"/>
      <c r="O192" s="874">
        <v>1.2841E17</v>
      </c>
      <c r="P192" s="874">
        <v>1.2841E17</v>
      </c>
      <c r="Q192" s="874">
        <v>1.2841E17</v>
      </c>
      <c r="R192" s="874">
        <v>1.2841E17</v>
      </c>
      <c r="S192" s="874">
        <v>1.2841E17</v>
      </c>
      <c r="T192" s="878">
        <v>2.9511E20</v>
      </c>
      <c r="U192" s="874">
        <v>1.2841E17</v>
      </c>
      <c r="V192" s="878">
        <v>2.9511E20</v>
      </c>
      <c r="W192" s="878">
        <v>2.9511E20</v>
      </c>
      <c r="X192" s="875"/>
      <c r="Y192" s="874">
        <v>1.2841E17</v>
      </c>
      <c r="Z192" s="875"/>
      <c r="AA192" s="73"/>
      <c r="AB192" s="73"/>
    </row>
    <row r="193">
      <c r="A193" s="73"/>
      <c r="B193" s="872">
        <v>3346.837</v>
      </c>
      <c r="C193" s="872">
        <v>126169.621182896</v>
      </c>
      <c r="D193" s="872">
        <v>1265.68537486649</v>
      </c>
      <c r="E193" s="872">
        <v>5314.32223437455</v>
      </c>
      <c r="F193" s="872">
        <v>57.20000076</v>
      </c>
      <c r="G193" s="872"/>
      <c r="H193" s="73"/>
      <c r="I193" s="874">
        <v>1.3235E17</v>
      </c>
      <c r="J193" s="874">
        <v>1.3235E17</v>
      </c>
      <c r="K193" s="874">
        <v>1.3235E17</v>
      </c>
      <c r="L193" s="874">
        <v>1.3235E17</v>
      </c>
      <c r="M193" s="874">
        <v>1.3235E17</v>
      </c>
      <c r="N193" s="875"/>
      <c r="O193" s="874">
        <v>1.3235E17</v>
      </c>
      <c r="P193" s="874">
        <v>1.3235E17</v>
      </c>
      <c r="Q193" s="874">
        <v>1.3235E17</v>
      </c>
      <c r="R193" s="874">
        <v>1.3235E17</v>
      </c>
      <c r="S193" s="874">
        <v>1.3235E17</v>
      </c>
      <c r="T193" s="878">
        <v>3.0514E20</v>
      </c>
      <c r="U193" s="874">
        <v>1.3235E17</v>
      </c>
      <c r="V193" s="878">
        <v>3.0514E20</v>
      </c>
      <c r="W193" s="878">
        <v>3.0514E20</v>
      </c>
      <c r="X193" s="875"/>
      <c r="Y193" s="874">
        <v>1.3235E17</v>
      </c>
      <c r="Z193" s="875"/>
      <c r="AA193" s="73"/>
      <c r="AB193" s="73"/>
    </row>
    <row r="194">
      <c r="A194" s="73"/>
      <c r="B194" s="872">
        <v>3379.128</v>
      </c>
      <c r="C194" s="872">
        <v>127974.95363275</v>
      </c>
      <c r="D194" s="872">
        <v>1281.60256232834</v>
      </c>
      <c r="E194" s="872">
        <v>5386.45238173085</v>
      </c>
      <c r="F194" s="872">
        <v>57.40000153</v>
      </c>
      <c r="G194" s="872"/>
      <c r="H194" s="73"/>
      <c r="I194" s="874">
        <v>1.3638E17</v>
      </c>
      <c r="J194" s="874">
        <v>1.3638E17</v>
      </c>
      <c r="K194" s="874">
        <v>1.3638E17</v>
      </c>
      <c r="L194" s="874">
        <v>1.3638E17</v>
      </c>
      <c r="M194" s="874">
        <v>1.3638E17</v>
      </c>
      <c r="N194" s="875"/>
      <c r="O194" s="874">
        <v>1.3638E17</v>
      </c>
      <c r="P194" s="874">
        <v>1.3638E17</v>
      </c>
      <c r="Q194" s="874">
        <v>1.3638E17</v>
      </c>
      <c r="R194" s="874">
        <v>1.3638E17</v>
      </c>
      <c r="S194" s="874">
        <v>1.3638E17</v>
      </c>
      <c r="T194" s="878">
        <v>3.1545E20</v>
      </c>
      <c r="U194" s="874">
        <v>1.3638E17</v>
      </c>
      <c r="V194" s="878">
        <v>3.1545E20</v>
      </c>
      <c r="W194" s="878">
        <v>3.1545E20</v>
      </c>
      <c r="X194" s="875"/>
      <c r="Y194" s="874">
        <v>1.3638E17</v>
      </c>
      <c r="Z194" s="875"/>
      <c r="AA194" s="73"/>
      <c r="AB194" s="73"/>
    </row>
    <row r="195">
      <c r="A195" s="73"/>
      <c r="B195" s="872">
        <v>3411.573</v>
      </c>
      <c r="C195" s="872">
        <v>129796.572957151</v>
      </c>
      <c r="D195" s="872">
        <v>1297.63576541519</v>
      </c>
      <c r="E195" s="872">
        <v>5459.19152555428</v>
      </c>
      <c r="F195" s="872">
        <v>57.59999847</v>
      </c>
      <c r="G195" s="872"/>
      <c r="H195" s="73"/>
      <c r="I195" s="874">
        <v>1.4051E17</v>
      </c>
      <c r="J195" s="874">
        <v>1.4051E17</v>
      </c>
      <c r="K195" s="874">
        <v>1.4051E17</v>
      </c>
      <c r="L195" s="874">
        <v>1.4051E17</v>
      </c>
      <c r="M195" s="874">
        <v>1.4051E17</v>
      </c>
      <c r="N195" s="875"/>
      <c r="O195" s="874">
        <v>1.4051E17</v>
      </c>
      <c r="P195" s="874">
        <v>1.4051E17</v>
      </c>
      <c r="Q195" s="874">
        <v>1.4051E17</v>
      </c>
      <c r="R195" s="874">
        <v>1.4051E17</v>
      </c>
      <c r="S195" s="874">
        <v>1.4051E17</v>
      </c>
      <c r="T195" s="878">
        <v>3.2604E20</v>
      </c>
      <c r="U195" s="874">
        <v>1.4051E17</v>
      </c>
      <c r="V195" s="878">
        <v>3.2604E20</v>
      </c>
      <c r="W195" s="878">
        <v>3.2604E20</v>
      </c>
      <c r="X195" s="875"/>
      <c r="Y195" s="874">
        <v>1.4051E17</v>
      </c>
      <c r="Z195" s="875"/>
      <c r="AA195" s="73"/>
      <c r="AB195" s="73"/>
    </row>
    <row r="196">
      <c r="A196" s="73"/>
      <c r="B196" s="872">
        <v>3444.172</v>
      </c>
      <c r="C196" s="872">
        <v>131634.535484223</v>
      </c>
      <c r="D196" s="872">
        <v>1313.78512475204</v>
      </c>
      <c r="E196" s="872">
        <v>5532.54193821971</v>
      </c>
      <c r="F196" s="872">
        <v>57.80000305</v>
      </c>
      <c r="G196" s="872"/>
      <c r="H196" s="73"/>
      <c r="I196" s="874">
        <v>1.4473E17</v>
      </c>
      <c r="J196" s="874">
        <v>1.4473E17</v>
      </c>
      <c r="K196" s="874">
        <v>1.4473E17</v>
      </c>
      <c r="L196" s="874">
        <v>1.4473E17</v>
      </c>
      <c r="M196" s="874">
        <v>1.4473E17</v>
      </c>
      <c r="N196" s="875"/>
      <c r="O196" s="874">
        <v>1.4473E17</v>
      </c>
      <c r="P196" s="874">
        <v>1.4473E17</v>
      </c>
      <c r="Q196" s="874">
        <v>1.4473E17</v>
      </c>
      <c r="R196" s="874">
        <v>1.4473E17</v>
      </c>
      <c r="S196" s="874">
        <v>1.4473E17</v>
      </c>
      <c r="T196" s="878">
        <v>3.3693E20</v>
      </c>
      <c r="U196" s="874">
        <v>1.4473E17</v>
      </c>
      <c r="V196" s="878">
        <v>3.3693E20</v>
      </c>
      <c r="W196" s="878">
        <v>3.3693E20</v>
      </c>
      <c r="X196" s="875"/>
      <c r="Y196" s="874">
        <v>1.4473E17</v>
      </c>
      <c r="Z196" s="875"/>
      <c r="AA196" s="73"/>
      <c r="AB196" s="73"/>
    </row>
    <row r="197">
      <c r="A197" s="73"/>
      <c r="B197" s="872">
        <v>3476.925</v>
      </c>
      <c r="C197" s="872">
        <v>133488.905588964</v>
      </c>
      <c r="D197" s="872">
        <v>1330.0507809639</v>
      </c>
      <c r="E197" s="872">
        <v>5606.50524285206</v>
      </c>
      <c r="F197" s="872">
        <v>58.0</v>
      </c>
      <c r="G197" s="872"/>
      <c r="H197" s="73"/>
      <c r="I197" s="874">
        <v>1.4906E17</v>
      </c>
      <c r="J197" s="874">
        <v>1.4906E17</v>
      </c>
      <c r="K197" s="874">
        <v>1.4906E17</v>
      </c>
      <c r="L197" s="874">
        <v>1.4906E17</v>
      </c>
      <c r="M197" s="874">
        <v>1.4906E17</v>
      </c>
      <c r="N197" s="875"/>
      <c r="O197" s="874">
        <v>1.4906E17</v>
      </c>
      <c r="P197" s="874">
        <v>1.4906E17</v>
      </c>
      <c r="Q197" s="874">
        <v>1.4906E17</v>
      </c>
      <c r="R197" s="874">
        <v>1.4906E17</v>
      </c>
      <c r="S197" s="874">
        <v>1.4906E17</v>
      </c>
      <c r="T197" s="878">
        <v>3.4812E20</v>
      </c>
      <c r="U197" s="874">
        <v>1.4906E17</v>
      </c>
      <c r="V197" s="878">
        <v>3.4812E20</v>
      </c>
      <c r="W197" s="878">
        <v>3.4812E20</v>
      </c>
      <c r="X197" s="875"/>
      <c r="Y197" s="874">
        <v>1.4906E17</v>
      </c>
      <c r="Z197" s="875"/>
      <c r="AA197" s="73"/>
      <c r="AB197" s="73"/>
    </row>
    <row r="198">
      <c r="A198" s="73"/>
      <c r="B198" s="872">
        <v>3509.832</v>
      </c>
      <c r="C198" s="872">
        <v>135359.747646373</v>
      </c>
      <c r="D198" s="872">
        <v>1346.43315592575</v>
      </c>
      <c r="E198" s="872">
        <v>5681.08371182619</v>
      </c>
      <c r="F198" s="872">
        <v>58.20000076</v>
      </c>
      <c r="G198" s="872"/>
      <c r="H198" s="73"/>
      <c r="I198" s="874">
        <v>1.535E17</v>
      </c>
      <c r="J198" s="874">
        <v>1.535E17</v>
      </c>
      <c r="K198" s="874">
        <v>1.535E17</v>
      </c>
      <c r="L198" s="874">
        <v>1.535E17</v>
      </c>
      <c r="M198" s="874">
        <v>1.535E17</v>
      </c>
      <c r="N198" s="875"/>
      <c r="O198" s="874">
        <v>1.535E17</v>
      </c>
      <c r="P198" s="874">
        <v>1.535E17</v>
      </c>
      <c r="Q198" s="874">
        <v>1.535E17</v>
      </c>
      <c r="R198" s="874">
        <v>1.535E17</v>
      </c>
      <c r="S198" s="874">
        <v>1.535E17</v>
      </c>
      <c r="T198" s="878">
        <v>3.5962E20</v>
      </c>
      <c r="U198" s="874">
        <v>1.535E17</v>
      </c>
      <c r="V198" s="878">
        <v>3.5962E20</v>
      </c>
      <c r="W198" s="878">
        <v>3.5962E20</v>
      </c>
      <c r="X198" s="875"/>
      <c r="Y198" s="874">
        <v>1.535E17</v>
      </c>
      <c r="Z198" s="875"/>
      <c r="AA198" s="73"/>
      <c r="AB198" s="73"/>
    </row>
    <row r="199">
      <c r="A199" s="73"/>
      <c r="B199" s="872">
        <v>3542.893</v>
      </c>
      <c r="C199" s="872">
        <v>137247.109937698</v>
      </c>
      <c r="D199" s="872">
        <v>1362.9325308876</v>
      </c>
      <c r="E199" s="872">
        <v>5756.279617517</v>
      </c>
      <c r="F199" s="872">
        <v>58.40000153</v>
      </c>
      <c r="G199" s="872"/>
      <c r="H199" s="73"/>
      <c r="I199" s="874">
        <v>1.5804E17</v>
      </c>
      <c r="J199" s="874">
        <v>1.5804E17</v>
      </c>
      <c r="K199" s="874">
        <v>1.5804E17</v>
      </c>
      <c r="L199" s="874">
        <v>1.5804E17</v>
      </c>
      <c r="M199" s="874">
        <v>1.5804E17</v>
      </c>
      <c r="N199" s="875"/>
      <c r="O199" s="874">
        <v>1.5804E17</v>
      </c>
      <c r="P199" s="874">
        <v>1.5804E17</v>
      </c>
      <c r="Q199" s="874">
        <v>1.5804E17</v>
      </c>
      <c r="R199" s="874">
        <v>1.5804E17</v>
      </c>
      <c r="S199" s="874">
        <v>1.5804E17</v>
      </c>
      <c r="T199" s="878">
        <v>3.7142E20</v>
      </c>
      <c r="U199" s="874">
        <v>1.5804E17</v>
      </c>
      <c r="V199" s="878">
        <v>3.7142E20</v>
      </c>
      <c r="W199" s="878">
        <v>3.7142E20</v>
      </c>
      <c r="X199" s="875"/>
      <c r="Y199" s="874">
        <v>1.5804E17</v>
      </c>
      <c r="Z199" s="875"/>
      <c r="AA199" s="73"/>
      <c r="AB199" s="73"/>
    </row>
    <row r="200">
      <c r="A200" s="73"/>
      <c r="B200" s="872">
        <v>3576.108</v>
      </c>
      <c r="C200" s="872">
        <v>139151.064884812</v>
      </c>
      <c r="D200" s="872">
        <v>1379.54890584946</v>
      </c>
      <c r="E200" s="872">
        <v>5832.09490767437</v>
      </c>
      <c r="F200" s="872">
        <v>58.59999847</v>
      </c>
      <c r="G200" s="872"/>
      <c r="H200" s="73"/>
      <c r="I200" s="874">
        <v>1.6269E17</v>
      </c>
      <c r="J200" s="874">
        <v>1.6269E17</v>
      </c>
      <c r="K200" s="874">
        <v>1.6269E17</v>
      </c>
      <c r="L200" s="874">
        <v>1.6269E17</v>
      </c>
      <c r="M200" s="874">
        <v>1.6269E17</v>
      </c>
      <c r="N200" s="875"/>
      <c r="O200" s="874">
        <v>1.6269E17</v>
      </c>
      <c r="P200" s="874">
        <v>1.6269E17</v>
      </c>
      <c r="Q200" s="874">
        <v>1.6269E17</v>
      </c>
      <c r="R200" s="874">
        <v>1.6269E17</v>
      </c>
      <c r="S200" s="874">
        <v>1.6269E17</v>
      </c>
      <c r="T200" s="878">
        <v>3.8354E20</v>
      </c>
      <c r="U200" s="874">
        <v>1.6269E17</v>
      </c>
      <c r="V200" s="878">
        <v>3.8354E20</v>
      </c>
      <c r="W200" s="878">
        <v>3.8354E20</v>
      </c>
      <c r="X200" s="875"/>
      <c r="Y200" s="874">
        <v>1.6269E17</v>
      </c>
      <c r="Z200" s="875"/>
      <c r="AA200" s="73"/>
      <c r="AB200" s="73"/>
    </row>
    <row r="201">
      <c r="A201" s="73"/>
      <c r="B201" s="872">
        <v>3609.477</v>
      </c>
      <c r="C201" s="872">
        <v>141071.692956463</v>
      </c>
      <c r="D201" s="872">
        <v>1396.28256253815</v>
      </c>
      <c r="E201" s="872">
        <v>5908.53023154827</v>
      </c>
      <c r="F201" s="872">
        <v>58.80000305</v>
      </c>
      <c r="G201" s="872"/>
      <c r="H201" s="73"/>
      <c r="I201" s="874">
        <v>1.6744E17</v>
      </c>
      <c r="J201" s="874">
        <v>1.6744E17</v>
      </c>
      <c r="K201" s="874">
        <v>1.6744E17</v>
      </c>
      <c r="L201" s="874">
        <v>1.6744E17</v>
      </c>
      <c r="M201" s="874">
        <v>1.6744E17</v>
      </c>
      <c r="N201" s="875"/>
      <c r="O201" s="874">
        <v>1.6744E17</v>
      </c>
      <c r="P201" s="874">
        <v>1.6744E17</v>
      </c>
      <c r="Q201" s="874">
        <v>1.6744E17</v>
      </c>
      <c r="R201" s="874">
        <v>1.6744E17</v>
      </c>
      <c r="S201" s="874">
        <v>1.6744E17</v>
      </c>
      <c r="T201" s="878">
        <v>3.9599E20</v>
      </c>
      <c r="U201" s="874">
        <v>1.6744E17</v>
      </c>
      <c r="V201" s="878">
        <v>3.9599E20</v>
      </c>
      <c r="W201" s="878">
        <v>3.9599E20</v>
      </c>
      <c r="X201" s="875"/>
      <c r="Y201" s="874">
        <v>1.6744E17</v>
      </c>
      <c r="Z201" s="875"/>
      <c r="AA201" s="73"/>
      <c r="AB201" s="73"/>
    </row>
    <row r="202">
      <c r="A202" s="73"/>
      <c r="B202" s="872">
        <v>3643.0</v>
      </c>
      <c r="C202" s="872">
        <v>143009.0102464</v>
      </c>
      <c r="D202" s="872">
        <v>1413.133921875</v>
      </c>
      <c r="E202" s="872">
        <v>5985.58948463849</v>
      </c>
      <c r="F202" s="872">
        <v>59.0</v>
      </c>
      <c r="G202" s="872"/>
      <c r="H202" s="73"/>
      <c r="I202" s="874">
        <v>1.7231E17</v>
      </c>
      <c r="J202" s="874">
        <v>1.7231E17</v>
      </c>
      <c r="K202" s="874">
        <v>1.7231E17</v>
      </c>
      <c r="L202" s="874">
        <v>1.7231E17</v>
      </c>
      <c r="M202" s="874">
        <v>1.7231E17</v>
      </c>
      <c r="N202" s="875"/>
      <c r="O202" s="874">
        <v>1.7231E17</v>
      </c>
      <c r="P202" s="874">
        <v>1.7231E17</v>
      </c>
      <c r="Q202" s="874">
        <v>1.7231E17</v>
      </c>
      <c r="R202" s="874">
        <v>1.7231E17</v>
      </c>
      <c r="S202" s="874">
        <v>1.7231E17</v>
      </c>
      <c r="T202" s="878">
        <v>4.0877E20</v>
      </c>
      <c r="U202" s="874">
        <v>1.7231E17</v>
      </c>
      <c r="V202" s="878">
        <v>4.0877E20</v>
      </c>
      <c r="W202" s="878">
        <v>4.0877E20</v>
      </c>
      <c r="X202" s="875"/>
      <c r="Y202" s="874">
        <v>1.7231E17</v>
      </c>
      <c r="Z202" s="875"/>
      <c r="AA202" s="73"/>
      <c r="AB202" s="73"/>
    </row>
    <row r="203">
      <c r="A203" s="73"/>
      <c r="B203" s="872">
        <v>3676.677</v>
      </c>
      <c r="C203" s="872">
        <v>144963.097223371</v>
      </c>
      <c r="D203" s="872">
        <v>1430.10298433685</v>
      </c>
      <c r="E203" s="872">
        <v>6063.27396544496</v>
      </c>
      <c r="F203" s="872"/>
      <c r="G203" s="872"/>
      <c r="H203" s="73"/>
      <c r="I203" s="874">
        <v>1.7729E17</v>
      </c>
      <c r="J203" s="874">
        <v>1.7729E17</v>
      </c>
      <c r="K203" s="874">
        <v>1.7729E17</v>
      </c>
      <c r="L203" s="874">
        <v>1.7729E17</v>
      </c>
      <c r="M203" s="874">
        <v>1.7729E17</v>
      </c>
      <c r="N203" s="875"/>
      <c r="O203" s="874">
        <v>1.7729E17</v>
      </c>
      <c r="P203" s="874">
        <v>1.7729E17</v>
      </c>
      <c r="Q203" s="874">
        <v>1.7729E17</v>
      </c>
      <c r="R203" s="874">
        <v>1.7729E17</v>
      </c>
      <c r="S203" s="874">
        <v>1.7729E17</v>
      </c>
      <c r="T203" s="875"/>
      <c r="U203" s="874">
        <v>1.7729E17</v>
      </c>
      <c r="V203" s="875"/>
      <c r="W203" s="875"/>
      <c r="X203" s="875"/>
      <c r="Y203" s="874">
        <v>1.7729E17</v>
      </c>
      <c r="Z203" s="875"/>
      <c r="AA203" s="73"/>
      <c r="AB203" s="73"/>
    </row>
    <row r="204">
      <c r="A204" s="73"/>
      <c r="B204" s="872">
        <v>3710.508</v>
      </c>
      <c r="C204" s="872">
        <v>146934.034356125</v>
      </c>
      <c r="D204" s="872">
        <v>1447.19017179871</v>
      </c>
      <c r="E204" s="872">
        <v>6141.58497246761</v>
      </c>
      <c r="F204" s="872"/>
      <c r="G204" s="872"/>
      <c r="H204" s="73"/>
      <c r="I204" s="874">
        <v>2.1887E17</v>
      </c>
      <c r="J204" s="874">
        <v>2.1887E17</v>
      </c>
      <c r="K204" s="874">
        <v>2.1887E17</v>
      </c>
      <c r="L204" s="874">
        <v>2.1887E17</v>
      </c>
      <c r="M204" s="874">
        <v>2.1887E17</v>
      </c>
      <c r="N204" s="875"/>
      <c r="O204" s="874">
        <v>2.1887E17</v>
      </c>
      <c r="P204" s="874">
        <v>2.1887E17</v>
      </c>
      <c r="Q204" s="874">
        <v>2.1887E17</v>
      </c>
      <c r="R204" s="874">
        <v>2.1887E17</v>
      </c>
      <c r="S204" s="874">
        <v>2.1887E17</v>
      </c>
      <c r="T204" s="875"/>
      <c r="U204" s="874">
        <v>2.1887E17</v>
      </c>
      <c r="V204" s="875"/>
      <c r="W204" s="875"/>
      <c r="X204" s="875"/>
      <c r="Y204" s="878">
        <v>2.1887E17</v>
      </c>
      <c r="Z204" s="875"/>
      <c r="AA204" s="73"/>
      <c r="AB204" s="73"/>
    </row>
    <row r="205">
      <c r="A205" s="73"/>
      <c r="B205" s="872">
        <v>3744.493</v>
      </c>
      <c r="C205" s="872">
        <v>148921.83773841</v>
      </c>
      <c r="D205" s="872">
        <v>1464.39562488556</v>
      </c>
      <c r="E205" s="872">
        <v>6220.5251027063</v>
      </c>
      <c r="F205" s="872"/>
      <c r="G205" s="872"/>
      <c r="H205" s="73"/>
      <c r="I205" s="874">
        <v>2.6265E17</v>
      </c>
      <c r="J205" s="874">
        <v>2.6265E17</v>
      </c>
      <c r="K205" s="874">
        <v>2.6265E17</v>
      </c>
      <c r="L205" s="874">
        <v>2.6265E17</v>
      </c>
      <c r="M205" s="874">
        <v>2.6265E17</v>
      </c>
      <c r="N205" s="875"/>
      <c r="O205" s="874">
        <v>2.6265E17</v>
      </c>
      <c r="P205" s="874">
        <v>2.6265E17</v>
      </c>
      <c r="Q205" s="874">
        <v>2.6265E17</v>
      </c>
      <c r="R205" s="874">
        <v>2.6265E17</v>
      </c>
      <c r="S205" s="874">
        <v>2.6265E17</v>
      </c>
      <c r="T205" s="875"/>
      <c r="U205" s="874">
        <v>2.6265E17</v>
      </c>
      <c r="V205" s="875"/>
      <c r="W205" s="875"/>
      <c r="X205" s="875"/>
      <c r="Y205" s="878">
        <v>2.6265E17</v>
      </c>
      <c r="Z205" s="875"/>
      <c r="AA205" s="73"/>
      <c r="AB205" s="73"/>
    </row>
    <row r="206">
      <c r="A206" s="73"/>
      <c r="B206" s="872">
        <v>3778.632</v>
      </c>
      <c r="C206" s="872">
        <v>150926.620026473</v>
      </c>
      <c r="D206" s="872">
        <v>1481.71948422241</v>
      </c>
      <c r="E206" s="872">
        <v>6300.09630391092</v>
      </c>
      <c r="F206" s="872"/>
      <c r="G206" s="872"/>
      <c r="H206" s="73"/>
      <c r="I206" s="874">
        <v>3.0871E17</v>
      </c>
      <c r="J206" s="874">
        <v>3.0871E17</v>
      </c>
      <c r="K206" s="874">
        <v>3.0871E17</v>
      </c>
      <c r="L206" s="874">
        <v>3.0871E17</v>
      </c>
      <c r="M206" s="874">
        <v>3.0871E17</v>
      </c>
      <c r="N206" s="875"/>
      <c r="O206" s="874">
        <v>3.0871E17</v>
      </c>
      <c r="P206" s="874">
        <v>3.0871E17</v>
      </c>
      <c r="Q206" s="874">
        <v>3.0871E17</v>
      </c>
      <c r="R206" s="874">
        <v>3.0871E17</v>
      </c>
      <c r="S206" s="874">
        <v>3.0871E17</v>
      </c>
      <c r="T206" s="875"/>
      <c r="U206" s="874">
        <v>3.0871E17</v>
      </c>
      <c r="V206" s="875"/>
      <c r="W206" s="875"/>
      <c r="X206" s="875"/>
      <c r="Y206" s="878">
        <v>3.0871E17</v>
      </c>
      <c r="Z206" s="875"/>
      <c r="AA206" s="73"/>
      <c r="AB206" s="73"/>
    </row>
    <row r="207">
      <c r="A207" s="73"/>
      <c r="B207" s="872">
        <v>3812.925</v>
      </c>
      <c r="C207" s="872">
        <v>152948.413407814</v>
      </c>
      <c r="D207" s="872">
        <v>1499.16217168427</v>
      </c>
      <c r="E207" s="872">
        <v>6380.29987458141</v>
      </c>
      <c r="F207" s="872"/>
      <c r="G207" s="872"/>
      <c r="H207" s="73"/>
      <c r="I207" s="874">
        <v>3.5712E17</v>
      </c>
      <c r="J207" s="874">
        <v>3.5712E17</v>
      </c>
      <c r="K207" s="874">
        <v>3.5712E17</v>
      </c>
      <c r="L207" s="874">
        <v>3.5712E17</v>
      </c>
      <c r="M207" s="874">
        <v>3.5712E17</v>
      </c>
      <c r="N207" s="875"/>
      <c r="O207" s="874">
        <v>3.5712E17</v>
      </c>
      <c r="P207" s="874">
        <v>3.5712E17</v>
      </c>
      <c r="Q207" s="874">
        <v>3.5712E17</v>
      </c>
      <c r="R207" s="874">
        <v>3.5712E17</v>
      </c>
      <c r="S207" s="874">
        <v>3.5712E17</v>
      </c>
      <c r="T207" s="875"/>
      <c r="U207" s="874">
        <v>3.5712E17</v>
      </c>
      <c r="V207" s="875"/>
      <c r="W207" s="875"/>
      <c r="X207" s="875"/>
      <c r="Y207" s="878">
        <v>3.5712E17</v>
      </c>
      <c r="Z207" s="875"/>
      <c r="AA207" s="73"/>
      <c r="AB207" s="73"/>
    </row>
    <row r="208">
      <c r="A208" s="73"/>
      <c r="B208" s="872">
        <v>3847.372</v>
      </c>
      <c r="C208" s="872">
        <v>154987.28225743</v>
      </c>
      <c r="D208" s="872">
        <v>1516.72368727112</v>
      </c>
      <c r="E208" s="872">
        <v>6461.13906096758</v>
      </c>
      <c r="F208" s="872"/>
      <c r="G208" s="872"/>
      <c r="H208" s="73"/>
      <c r="I208" s="874">
        <v>4.0795E17</v>
      </c>
      <c r="J208" s="874">
        <v>4.0795E17</v>
      </c>
      <c r="K208" s="874">
        <v>4.0795E17</v>
      </c>
      <c r="L208" s="874">
        <v>4.0795E17</v>
      </c>
      <c r="M208" s="874">
        <v>4.0795E17</v>
      </c>
      <c r="N208" s="875"/>
      <c r="O208" s="874">
        <v>4.0795E17</v>
      </c>
      <c r="P208" s="874">
        <v>4.0795E17</v>
      </c>
      <c r="Q208" s="874">
        <v>4.0795E17</v>
      </c>
      <c r="R208" s="874">
        <v>4.0795E17</v>
      </c>
      <c r="S208" s="874">
        <v>4.0795E17</v>
      </c>
      <c r="T208" s="875"/>
      <c r="U208" s="874">
        <v>4.0795E17</v>
      </c>
      <c r="V208" s="875"/>
      <c r="W208" s="875"/>
      <c r="X208" s="875"/>
      <c r="Y208" s="878">
        <v>4.0795E17</v>
      </c>
      <c r="Z208" s="875"/>
      <c r="AA208" s="73"/>
      <c r="AB208" s="73"/>
    </row>
    <row r="209">
      <c r="A209" s="73"/>
      <c r="B209" s="872">
        <v>3881.973</v>
      </c>
      <c r="C209" s="872">
        <v>157043.274856571</v>
      </c>
      <c r="D209" s="872">
        <v>1534.40459348297</v>
      </c>
      <c r="E209" s="872">
        <v>6542.61516156937</v>
      </c>
      <c r="F209" s="872"/>
      <c r="G209" s="872"/>
      <c r="H209" s="73"/>
      <c r="I209" s="874">
        <v>4.613E17</v>
      </c>
      <c r="J209" s="874">
        <v>4.613E17</v>
      </c>
      <c r="K209" s="874">
        <v>4.613E17</v>
      </c>
      <c r="L209" s="874">
        <v>4.613E17</v>
      </c>
      <c r="M209" s="874">
        <v>4.613E17</v>
      </c>
      <c r="N209" s="875"/>
      <c r="O209" s="874">
        <v>4.613E17</v>
      </c>
      <c r="P209" s="874">
        <v>4.613E17</v>
      </c>
      <c r="Q209" s="874">
        <v>4.613E17</v>
      </c>
      <c r="R209" s="874">
        <v>4.613E17</v>
      </c>
      <c r="S209" s="874">
        <v>4.613E17</v>
      </c>
      <c r="T209" s="875"/>
      <c r="U209" s="874">
        <v>4.613E17</v>
      </c>
      <c r="V209" s="875"/>
      <c r="W209" s="875"/>
      <c r="X209" s="875"/>
      <c r="Y209" s="878">
        <v>4.613E17</v>
      </c>
      <c r="Z209" s="875"/>
      <c r="AA209" s="73"/>
      <c r="AB209" s="73"/>
    </row>
    <row r="210">
      <c r="A210" s="73"/>
      <c r="B210" s="872">
        <v>3916.728</v>
      </c>
      <c r="C210" s="872">
        <v>159116.471673984</v>
      </c>
      <c r="D210" s="872">
        <v>1552.20474969482</v>
      </c>
      <c r="E210" s="872">
        <v>6624.72947488672</v>
      </c>
      <c r="F210" s="872"/>
      <c r="G210" s="872"/>
      <c r="H210" s="73"/>
      <c r="I210" s="874">
        <v>5.1724E17</v>
      </c>
      <c r="J210" s="874">
        <v>5.1724E17</v>
      </c>
      <c r="K210" s="874">
        <v>5.1724E17</v>
      </c>
      <c r="L210" s="874">
        <v>5.1724E17</v>
      </c>
      <c r="M210" s="874">
        <v>5.1724E17</v>
      </c>
      <c r="N210" s="875"/>
      <c r="O210" s="874">
        <v>5.1724E17</v>
      </c>
      <c r="P210" s="874">
        <v>5.1724E17</v>
      </c>
      <c r="Q210" s="874">
        <v>5.1724E17</v>
      </c>
      <c r="R210" s="874">
        <v>5.1724E17</v>
      </c>
      <c r="S210" s="874">
        <v>5.1724E17</v>
      </c>
      <c r="T210" s="875"/>
      <c r="U210" s="874">
        <v>5.1724E17</v>
      </c>
      <c r="V210" s="875"/>
      <c r="W210" s="875"/>
      <c r="X210" s="875"/>
      <c r="Y210" s="878">
        <v>5.1724E17</v>
      </c>
      <c r="Z210" s="875"/>
      <c r="AA210" s="73"/>
      <c r="AB210" s="73"/>
    </row>
    <row r="211">
      <c r="A211" s="73"/>
      <c r="B211" s="872">
        <v>3951.637</v>
      </c>
      <c r="C211" s="872">
        <v>161206.920990918</v>
      </c>
      <c r="D211" s="872">
        <v>1570.12443715668</v>
      </c>
      <c r="E211" s="872">
        <v>6707.48524716943</v>
      </c>
      <c r="F211" s="872"/>
      <c r="G211" s="872"/>
      <c r="H211" s="73"/>
      <c r="I211" s="874">
        <v>5.7585E17</v>
      </c>
      <c r="J211" s="874">
        <v>5.7585E17</v>
      </c>
      <c r="K211" s="874">
        <v>5.7585E17</v>
      </c>
      <c r="L211" s="874">
        <v>5.7585E17</v>
      </c>
      <c r="M211" s="874">
        <v>5.7585E17</v>
      </c>
      <c r="N211" s="875"/>
      <c r="O211" s="874">
        <v>5.7585E17</v>
      </c>
      <c r="P211" s="874">
        <v>5.7585E17</v>
      </c>
      <c r="Q211" s="874">
        <v>5.7585E17</v>
      </c>
      <c r="R211" s="874">
        <v>5.7585E17</v>
      </c>
      <c r="S211" s="874">
        <v>5.7585E17</v>
      </c>
      <c r="T211" s="875"/>
      <c r="U211" s="874">
        <v>5.7585E17</v>
      </c>
      <c r="V211" s="875"/>
      <c r="W211" s="875"/>
      <c r="X211" s="875"/>
      <c r="Y211" s="878">
        <v>5.7585E17</v>
      </c>
      <c r="Z211" s="875"/>
      <c r="AA211" s="73"/>
      <c r="AB211" s="73"/>
    </row>
    <row r="212">
      <c r="A212" s="73"/>
      <c r="B212" s="872">
        <v>3986.7</v>
      </c>
      <c r="C212" s="872">
        <v>163314.687182371</v>
      </c>
      <c r="D212" s="872">
        <v>1588.16421836853</v>
      </c>
      <c r="E212" s="872">
        <v>6790.88312766748</v>
      </c>
      <c r="F212" s="872"/>
      <c r="G212" s="872"/>
      <c r="H212" s="73"/>
      <c r="I212" s="874">
        <v>6.3722E17</v>
      </c>
      <c r="J212" s="874">
        <v>6.3722E17</v>
      </c>
      <c r="K212" s="874">
        <v>6.3722E17</v>
      </c>
      <c r="L212" s="874">
        <v>6.3722E17</v>
      </c>
      <c r="M212" s="874">
        <v>6.3722E17</v>
      </c>
      <c r="N212" s="875"/>
      <c r="O212" s="874">
        <v>6.3722E17</v>
      </c>
      <c r="P212" s="874">
        <v>6.3722E17</v>
      </c>
      <c r="Q212" s="874">
        <v>6.3722E17</v>
      </c>
      <c r="R212" s="874">
        <v>6.3722E17</v>
      </c>
      <c r="S212" s="874">
        <v>6.3722E17</v>
      </c>
      <c r="T212" s="875"/>
      <c r="U212" s="874">
        <v>6.3722E17</v>
      </c>
      <c r="V212" s="875"/>
      <c r="W212" s="875"/>
      <c r="X212" s="875"/>
      <c r="Y212" s="878">
        <v>6.3722E17</v>
      </c>
      <c r="Z212" s="875"/>
      <c r="AA212" s="73"/>
      <c r="AB212" s="73"/>
    </row>
    <row r="213">
      <c r="A213" s="73"/>
      <c r="B213" s="872">
        <v>4021.917</v>
      </c>
      <c r="C213" s="872">
        <v>165439.818529591</v>
      </c>
      <c r="D213" s="872">
        <v>1606.32395270538</v>
      </c>
      <c r="E213" s="872">
        <v>6874.92636263069</v>
      </c>
      <c r="F213" s="872"/>
      <c r="G213" s="872"/>
      <c r="H213" s="73"/>
      <c r="I213" s="874">
        <v>7.0143E17</v>
      </c>
      <c r="J213" s="874">
        <v>7.0143E17</v>
      </c>
      <c r="K213" s="874">
        <v>7.0143E17</v>
      </c>
      <c r="L213" s="874">
        <v>7.0143E17</v>
      </c>
      <c r="M213" s="874">
        <v>7.0143E17</v>
      </c>
      <c r="N213" s="875"/>
      <c r="O213" s="874">
        <v>7.0143E17</v>
      </c>
      <c r="P213" s="874">
        <v>7.0143E17</v>
      </c>
      <c r="Q213" s="874">
        <v>7.0143E17</v>
      </c>
      <c r="R213" s="874">
        <v>7.0143E17</v>
      </c>
      <c r="S213" s="874">
        <v>7.0143E17</v>
      </c>
      <c r="T213" s="875"/>
      <c r="U213" s="874">
        <v>7.0143E17</v>
      </c>
      <c r="V213" s="875"/>
      <c r="W213" s="875"/>
      <c r="X213" s="875"/>
      <c r="Y213" s="878">
        <v>7.0143E17</v>
      </c>
      <c r="Z213" s="875"/>
      <c r="AA213" s="73"/>
      <c r="AB213" s="73"/>
    </row>
    <row r="214">
      <c r="A214" s="73"/>
      <c r="B214" s="872">
        <v>4057.288</v>
      </c>
      <c r="C214" s="872">
        <v>167582.395501327</v>
      </c>
      <c r="D214" s="872">
        <v>1624.60406204224</v>
      </c>
      <c r="E214" s="872">
        <v>6959.61560130904</v>
      </c>
      <c r="F214" s="872"/>
      <c r="G214" s="872"/>
      <c r="H214" s="73"/>
      <c r="I214" s="874">
        <v>7.6857E17</v>
      </c>
      <c r="J214" s="874">
        <v>7.6857E17</v>
      </c>
      <c r="K214" s="874">
        <v>7.6857E17</v>
      </c>
      <c r="L214" s="874">
        <v>7.6857E17</v>
      </c>
      <c r="M214" s="874">
        <v>7.6857E17</v>
      </c>
      <c r="N214" s="875"/>
      <c r="O214" s="874">
        <v>7.6857E17</v>
      </c>
      <c r="P214" s="874">
        <v>7.6857E17</v>
      </c>
      <c r="Q214" s="874">
        <v>7.6857E17</v>
      </c>
      <c r="R214" s="874">
        <v>7.6857E17</v>
      </c>
      <c r="S214" s="874">
        <v>7.6857E17</v>
      </c>
      <c r="T214" s="875"/>
      <c r="U214" s="874">
        <v>7.6857E17</v>
      </c>
      <c r="V214" s="875"/>
      <c r="W214" s="875"/>
      <c r="X214" s="875"/>
      <c r="Y214" s="878">
        <v>7.6857E17</v>
      </c>
      <c r="Z214" s="875"/>
      <c r="AA214" s="73"/>
      <c r="AB214" s="73"/>
    </row>
    <row r="215">
      <c r="A215" s="73"/>
      <c r="B215" s="872">
        <v>4092.813</v>
      </c>
      <c r="C215" s="872">
        <v>169742.482472576</v>
      </c>
      <c r="D215" s="872">
        <v>1643.00468700409</v>
      </c>
      <c r="E215" s="872">
        <v>7044.95344070237</v>
      </c>
      <c r="F215" s="872"/>
      <c r="G215" s="872"/>
      <c r="H215" s="73"/>
      <c r="I215" s="874">
        <v>8.3873E17</v>
      </c>
      <c r="J215" s="874">
        <v>8.3873E17</v>
      </c>
      <c r="K215" s="874">
        <v>8.3873E17</v>
      </c>
      <c r="L215" s="874">
        <v>8.3873E17</v>
      </c>
      <c r="M215" s="874">
        <v>8.3873E17</v>
      </c>
      <c r="N215" s="875"/>
      <c r="O215" s="874">
        <v>8.3873E17</v>
      </c>
      <c r="P215" s="874">
        <v>8.3873E17</v>
      </c>
      <c r="Q215" s="874">
        <v>8.3873E17</v>
      </c>
      <c r="R215" s="874">
        <v>8.3873E17</v>
      </c>
      <c r="S215" s="874">
        <v>8.3873E17</v>
      </c>
      <c r="T215" s="875"/>
      <c r="U215" s="874">
        <v>8.3873E17</v>
      </c>
      <c r="V215" s="875"/>
      <c r="W215" s="875"/>
      <c r="X215" s="875"/>
      <c r="Y215" s="878">
        <v>8.3873E17</v>
      </c>
      <c r="Z215" s="875"/>
      <c r="AA215" s="73"/>
      <c r="AB215" s="73"/>
    </row>
    <row r="216">
      <c r="A216" s="73"/>
      <c r="B216" s="872">
        <v>4128.492</v>
      </c>
      <c r="C216" s="872">
        <v>171920.079443339</v>
      </c>
      <c r="D216" s="872">
        <v>1661.52596821594</v>
      </c>
      <c r="E216" s="872">
        <v>7130.94182856058</v>
      </c>
      <c r="F216" s="872"/>
      <c r="G216" s="872"/>
      <c r="H216" s="73"/>
      <c r="I216" s="874">
        <v>9.12E17</v>
      </c>
      <c r="J216" s="874">
        <v>9.12E17</v>
      </c>
      <c r="K216" s="874">
        <v>9.12E17</v>
      </c>
      <c r="L216" s="874">
        <v>9.12E17</v>
      </c>
      <c r="M216" s="874">
        <v>9.12E17</v>
      </c>
      <c r="N216" s="875"/>
      <c r="O216" s="874">
        <v>9.12E17</v>
      </c>
      <c r="P216" s="874">
        <v>9.12E17</v>
      </c>
      <c r="Q216" s="874">
        <v>9.12E17</v>
      </c>
      <c r="R216" s="874">
        <v>9.12E17</v>
      </c>
      <c r="S216" s="874">
        <v>9.12E17</v>
      </c>
      <c r="T216" s="875"/>
      <c r="U216" s="874">
        <v>9.12E17</v>
      </c>
      <c r="V216" s="875"/>
      <c r="W216" s="875"/>
      <c r="X216" s="875"/>
      <c r="Y216" s="878">
        <v>9.12E17</v>
      </c>
      <c r="Z216" s="875"/>
      <c r="AA216" s="73"/>
      <c r="AB216" s="73"/>
    </row>
    <row r="217">
      <c r="A217" s="73"/>
      <c r="B217" s="872">
        <v>4164.325</v>
      </c>
      <c r="C217" s="872">
        <v>174115.347351111</v>
      </c>
      <c r="D217" s="872">
        <v>1680.1683275528</v>
      </c>
      <c r="E217" s="872">
        <v>7217.58336188353</v>
      </c>
      <c r="F217" s="872"/>
      <c r="G217" s="872"/>
      <c r="H217" s="73"/>
      <c r="I217" s="874">
        <v>9.8848E17</v>
      </c>
      <c r="J217" s="874">
        <v>9.8848E17</v>
      </c>
      <c r="K217" s="874">
        <v>9.8848E17</v>
      </c>
      <c r="L217" s="874">
        <v>9.8848E17</v>
      </c>
      <c r="M217" s="874">
        <v>9.8848E17</v>
      </c>
      <c r="N217" s="875"/>
      <c r="O217" s="874">
        <v>9.8848E17</v>
      </c>
      <c r="P217" s="874">
        <v>9.8848E17</v>
      </c>
      <c r="Q217" s="874">
        <v>9.8848E17</v>
      </c>
      <c r="R217" s="874">
        <v>9.8848E17</v>
      </c>
      <c r="S217" s="874">
        <v>9.8848E17</v>
      </c>
      <c r="T217" s="875"/>
      <c r="U217" s="874">
        <v>9.8848E17</v>
      </c>
      <c r="V217" s="875"/>
      <c r="W217" s="875"/>
      <c r="X217" s="875"/>
      <c r="Y217" s="878">
        <v>9.8848E17</v>
      </c>
      <c r="Z217" s="875"/>
      <c r="AA217" s="73"/>
      <c r="AB217" s="73"/>
    </row>
    <row r="218">
      <c r="A218" s="73"/>
      <c r="B218" s="872">
        <v>4200.312</v>
      </c>
      <c r="C218" s="872">
        <v>176328.237914644</v>
      </c>
      <c r="D218" s="872">
        <v>1698.93190563965</v>
      </c>
      <c r="E218" s="872">
        <v>7304.87804067123</v>
      </c>
      <c r="F218" s="872"/>
      <c r="G218" s="872"/>
      <c r="H218" s="73"/>
      <c r="I218" s="874">
        <v>1.07E18</v>
      </c>
      <c r="J218" s="874">
        <v>1.07E18</v>
      </c>
      <c r="K218" s="874">
        <v>1.07E18</v>
      </c>
      <c r="L218" s="874">
        <v>1.07E18</v>
      </c>
      <c r="M218" s="874">
        <v>1.07E18</v>
      </c>
      <c r="N218" s="875"/>
      <c r="O218" s="874">
        <v>1.07E18</v>
      </c>
      <c r="P218" s="874">
        <v>1.07E18</v>
      </c>
      <c r="Q218" s="874">
        <v>1.07E18</v>
      </c>
      <c r="R218" s="874">
        <v>1.07E18</v>
      </c>
      <c r="S218" s="874">
        <v>1.07E18</v>
      </c>
      <c r="T218" s="875"/>
      <c r="U218" s="874">
        <v>1.07E18</v>
      </c>
      <c r="V218" s="875"/>
      <c r="W218" s="875"/>
      <c r="X218" s="875"/>
      <c r="Y218" s="878">
        <v>1.07E18</v>
      </c>
      <c r="Z218" s="875"/>
      <c r="AA218" s="73"/>
      <c r="AB218" s="73"/>
    </row>
    <row r="219">
      <c r="A219" s="73"/>
      <c r="B219" s="872">
        <v>4236.453</v>
      </c>
      <c r="C219" s="872">
        <v>178558.895977683</v>
      </c>
      <c r="D219" s="872">
        <v>1717.8168431015</v>
      </c>
      <c r="E219" s="872">
        <v>7392.82976042346</v>
      </c>
      <c r="F219" s="872"/>
      <c r="G219" s="872"/>
      <c r="H219" s="73"/>
      <c r="I219" s="874">
        <v>1.15E18</v>
      </c>
      <c r="J219" s="874">
        <v>1.15E18</v>
      </c>
      <c r="K219" s="874">
        <v>1.15E18</v>
      </c>
      <c r="L219" s="874">
        <v>1.15E18</v>
      </c>
      <c r="M219" s="874">
        <v>1.15E18</v>
      </c>
      <c r="N219" s="875"/>
      <c r="O219" s="874">
        <v>1.15E18</v>
      </c>
      <c r="P219" s="874">
        <v>1.15E18</v>
      </c>
      <c r="Q219" s="874">
        <v>1.15E18</v>
      </c>
      <c r="R219" s="874">
        <v>1.15E18</v>
      </c>
      <c r="S219" s="874">
        <v>1.15E18</v>
      </c>
      <c r="T219" s="875"/>
      <c r="U219" s="874">
        <v>1.15E18</v>
      </c>
      <c r="V219" s="875"/>
      <c r="W219" s="875"/>
      <c r="X219" s="875"/>
      <c r="Y219" s="878">
        <v>1.15E18</v>
      </c>
      <c r="Z219" s="875"/>
      <c r="AA219" s="73"/>
      <c r="AB219" s="73"/>
    </row>
    <row r="220">
      <c r="A220" s="73"/>
      <c r="B220" s="872">
        <v>4272.748</v>
      </c>
      <c r="C220" s="872">
        <v>180807.321540229</v>
      </c>
      <c r="D220" s="872">
        <v>1736.82328151703</v>
      </c>
      <c r="E220" s="872">
        <v>7481.43981964015</v>
      </c>
      <c r="F220" s="872"/>
      <c r="G220" s="872"/>
      <c r="H220" s="73"/>
      <c r="I220" s="874">
        <v>1.24E18</v>
      </c>
      <c r="J220" s="874">
        <v>1.24E18</v>
      </c>
      <c r="K220" s="874">
        <v>1.24E18</v>
      </c>
      <c r="L220" s="874">
        <v>1.24E18</v>
      </c>
      <c r="M220" s="874">
        <v>1.24E18</v>
      </c>
      <c r="N220" s="875"/>
      <c r="O220" s="874">
        <v>1.24E18</v>
      </c>
      <c r="P220" s="874">
        <v>1.24E18</v>
      </c>
      <c r="Q220" s="874">
        <v>1.24E18</v>
      </c>
      <c r="R220" s="874">
        <v>1.24E18</v>
      </c>
      <c r="S220" s="874">
        <v>1.24E18</v>
      </c>
      <c r="T220" s="875"/>
      <c r="U220" s="874">
        <v>1.24E18</v>
      </c>
      <c r="V220" s="875"/>
      <c r="W220" s="875"/>
      <c r="X220" s="875"/>
      <c r="Y220" s="878">
        <v>1.24E18</v>
      </c>
      <c r="Z220" s="875"/>
      <c r="AA220" s="73"/>
      <c r="AB220" s="73"/>
    </row>
    <row r="221">
      <c r="A221" s="73"/>
      <c r="B221" s="872">
        <v>4309.197</v>
      </c>
      <c r="C221" s="872">
        <v>183073.627258528</v>
      </c>
      <c r="D221" s="872">
        <v>1755.95178147888</v>
      </c>
      <c r="E221" s="872">
        <v>7570.70951682123</v>
      </c>
      <c r="F221" s="872"/>
      <c r="G221" s="872"/>
      <c r="H221" s="73"/>
      <c r="I221" s="874">
        <v>1.33E18</v>
      </c>
      <c r="J221" s="874">
        <v>1.33E18</v>
      </c>
      <c r="K221" s="874">
        <v>1.33E18</v>
      </c>
      <c r="L221" s="874">
        <v>1.33E18</v>
      </c>
      <c r="M221" s="874">
        <v>1.33E18</v>
      </c>
      <c r="N221" s="875"/>
      <c r="O221" s="874">
        <v>1.33E18</v>
      </c>
      <c r="P221" s="874">
        <v>1.33E18</v>
      </c>
      <c r="Q221" s="874">
        <v>1.33E18</v>
      </c>
      <c r="R221" s="874">
        <v>1.33E18</v>
      </c>
      <c r="S221" s="874">
        <v>1.33E18</v>
      </c>
      <c r="T221" s="875"/>
      <c r="U221" s="874">
        <v>1.33E18</v>
      </c>
      <c r="V221" s="875"/>
      <c r="W221" s="875"/>
      <c r="X221" s="875"/>
      <c r="Y221" s="878">
        <v>1.33E18</v>
      </c>
      <c r="Z221" s="875"/>
      <c r="AA221" s="73"/>
      <c r="AB221" s="73"/>
    </row>
    <row r="222">
      <c r="A222" s="73"/>
      <c r="B222" s="872">
        <v>4345.8</v>
      </c>
      <c r="C222" s="872">
        <v>185357.82922633</v>
      </c>
      <c r="D222" s="872">
        <v>1775.20234394073</v>
      </c>
      <c r="E222" s="872">
        <v>7660.64144896656</v>
      </c>
      <c r="F222" s="872"/>
      <c r="G222" s="872"/>
      <c r="H222" s="73"/>
      <c r="I222" s="874">
        <v>1.42E18</v>
      </c>
      <c r="J222" s="874">
        <v>1.42E18</v>
      </c>
      <c r="K222" s="874">
        <v>1.42E18</v>
      </c>
      <c r="L222" s="874">
        <v>1.42E18</v>
      </c>
      <c r="M222" s="874">
        <v>1.42E18</v>
      </c>
      <c r="N222" s="875"/>
      <c r="O222" s="874">
        <v>1.42E18</v>
      </c>
      <c r="P222" s="874">
        <v>1.42E18</v>
      </c>
      <c r="Q222" s="874">
        <v>1.42E18</v>
      </c>
      <c r="R222" s="874">
        <v>1.42E18</v>
      </c>
      <c r="S222" s="874">
        <v>1.42E18</v>
      </c>
      <c r="T222" s="875"/>
      <c r="U222" s="874">
        <v>1.42E18</v>
      </c>
      <c r="V222" s="875"/>
      <c r="W222" s="875"/>
      <c r="X222" s="875"/>
      <c r="Y222" s="878">
        <v>1.42E18</v>
      </c>
      <c r="Z222" s="875"/>
      <c r="AA222" s="73"/>
      <c r="AB222" s="73"/>
    </row>
    <row r="223">
      <c r="A223" s="73"/>
      <c r="B223" s="872">
        <v>4382.557</v>
      </c>
      <c r="C223" s="872">
        <v>187659.991818633</v>
      </c>
      <c r="D223" s="872">
        <v>1794.57510952759</v>
      </c>
      <c r="E223" s="872">
        <v>7751.23691457608</v>
      </c>
      <c r="F223" s="872"/>
      <c r="G223" s="872"/>
      <c r="H223" s="73"/>
      <c r="I223" s="874">
        <v>1.52E18</v>
      </c>
      <c r="J223" s="874">
        <v>1.52E18</v>
      </c>
      <c r="K223" s="874">
        <v>1.52E18</v>
      </c>
      <c r="L223" s="874">
        <v>1.52E18</v>
      </c>
      <c r="M223" s="874">
        <v>1.52E18</v>
      </c>
      <c r="N223" s="875"/>
      <c r="O223" s="874">
        <v>1.52E18</v>
      </c>
      <c r="P223" s="874">
        <v>1.52E18</v>
      </c>
      <c r="Q223" s="874">
        <v>1.52E18</v>
      </c>
      <c r="R223" s="874">
        <v>1.52E18</v>
      </c>
      <c r="S223" s="874">
        <v>1.52E18</v>
      </c>
      <c r="T223" s="875"/>
      <c r="U223" s="874">
        <v>1.52E18</v>
      </c>
      <c r="V223" s="875"/>
      <c r="W223" s="875"/>
      <c r="X223" s="875"/>
      <c r="Y223" s="878">
        <v>1.52E18</v>
      </c>
      <c r="Z223" s="875"/>
      <c r="AA223" s="73"/>
      <c r="AB223" s="73"/>
    </row>
    <row r="224">
      <c r="A224" s="73"/>
      <c r="B224" s="872">
        <v>4419.468</v>
      </c>
      <c r="C224" s="872">
        <v>189980.179410435</v>
      </c>
      <c r="D224" s="872">
        <v>1814.07050011444</v>
      </c>
      <c r="E224" s="872">
        <v>7842.49851064963</v>
      </c>
      <c r="F224" s="872"/>
      <c r="G224" s="872"/>
      <c r="H224" s="73"/>
      <c r="I224" s="874">
        <v>1.62E18</v>
      </c>
      <c r="J224" s="874">
        <v>1.62E18</v>
      </c>
      <c r="K224" s="874">
        <v>1.62E18</v>
      </c>
      <c r="L224" s="874">
        <v>1.62E18</v>
      </c>
      <c r="M224" s="874">
        <v>1.62E18</v>
      </c>
      <c r="N224" s="875"/>
      <c r="O224" s="874">
        <v>1.62E18</v>
      </c>
      <c r="P224" s="874">
        <v>1.62E18</v>
      </c>
      <c r="Q224" s="874">
        <v>1.62E18</v>
      </c>
      <c r="R224" s="874">
        <v>1.62E18</v>
      </c>
      <c r="S224" s="874">
        <v>1.62E18</v>
      </c>
      <c r="T224" s="875"/>
      <c r="U224" s="874">
        <v>1.62E18</v>
      </c>
      <c r="V224" s="875"/>
      <c r="W224" s="875"/>
      <c r="X224" s="875"/>
      <c r="Y224" s="878">
        <v>1.62E18</v>
      </c>
      <c r="Z224" s="875"/>
      <c r="AA224" s="73"/>
      <c r="AB224" s="73"/>
    </row>
    <row r="225">
      <c r="A225" s="73"/>
      <c r="B225" s="872">
        <v>4456.533</v>
      </c>
      <c r="C225" s="872">
        <v>192318.472470485</v>
      </c>
      <c r="D225" s="872">
        <v>1833.68837507629</v>
      </c>
      <c r="E225" s="872">
        <v>7934.42818493713</v>
      </c>
      <c r="F225" s="872"/>
      <c r="G225" s="872"/>
      <c r="H225" s="73"/>
      <c r="I225" s="874">
        <v>1.73E18</v>
      </c>
      <c r="J225" s="874">
        <v>1.73E18</v>
      </c>
      <c r="K225" s="874">
        <v>1.73E18</v>
      </c>
      <c r="L225" s="874">
        <v>1.73E18</v>
      </c>
      <c r="M225" s="874">
        <v>1.73E18</v>
      </c>
      <c r="N225" s="875"/>
      <c r="O225" s="874">
        <v>1.73E18</v>
      </c>
      <c r="P225" s="874">
        <v>1.73E18</v>
      </c>
      <c r="Q225" s="874">
        <v>1.73E18</v>
      </c>
      <c r="R225" s="874">
        <v>1.73E18</v>
      </c>
      <c r="S225" s="874">
        <v>1.73E18</v>
      </c>
      <c r="T225" s="875"/>
      <c r="U225" s="874">
        <v>1.73E18</v>
      </c>
      <c r="V225" s="875"/>
      <c r="W225" s="875"/>
      <c r="X225" s="875"/>
      <c r="Y225" s="878">
        <v>1.73E18</v>
      </c>
      <c r="Z225" s="875"/>
      <c r="AA225" s="73"/>
      <c r="AB225" s="73"/>
    </row>
    <row r="226">
      <c r="A226" s="73"/>
      <c r="B226" s="872">
        <v>4493.752</v>
      </c>
      <c r="C226" s="872">
        <v>194674.90318628</v>
      </c>
      <c r="D226" s="872">
        <v>1853.42943753815</v>
      </c>
      <c r="E226" s="872">
        <v>8027.02658668852</v>
      </c>
      <c r="F226" s="872"/>
      <c r="G226" s="872"/>
      <c r="H226" s="73"/>
      <c r="I226" s="874">
        <v>1.84E18</v>
      </c>
      <c r="J226" s="874">
        <v>1.84E18</v>
      </c>
      <c r="K226" s="874">
        <v>1.84E18</v>
      </c>
      <c r="L226" s="874">
        <v>1.84E18</v>
      </c>
      <c r="M226" s="874">
        <v>1.84E18</v>
      </c>
      <c r="N226" s="875"/>
      <c r="O226" s="874">
        <v>1.84E18</v>
      </c>
      <c r="P226" s="874">
        <v>1.84E18</v>
      </c>
      <c r="Q226" s="874">
        <v>1.84E18</v>
      </c>
      <c r="R226" s="874">
        <v>1.84E18</v>
      </c>
      <c r="S226" s="874">
        <v>1.84E18</v>
      </c>
      <c r="T226" s="875"/>
      <c r="U226" s="874">
        <v>1.84E18</v>
      </c>
      <c r="V226" s="875"/>
      <c r="W226" s="875"/>
      <c r="X226" s="875"/>
      <c r="Y226" s="878">
        <v>1.84E18</v>
      </c>
      <c r="Z226" s="875"/>
      <c r="AA226" s="73"/>
      <c r="AB226" s="73"/>
    </row>
    <row r="227">
      <c r="A227" s="73"/>
      <c r="B227" s="872">
        <v>4531.125</v>
      </c>
      <c r="C227" s="872">
        <v>197049.53593282</v>
      </c>
      <c r="D227" s="872">
        <v>1873.293546875</v>
      </c>
      <c r="E227" s="872">
        <v>8120.2976114036</v>
      </c>
      <c r="F227" s="872"/>
      <c r="G227" s="872"/>
      <c r="H227" s="73"/>
      <c r="I227" s="874">
        <v>1.95E18</v>
      </c>
      <c r="J227" s="874">
        <v>1.95E18</v>
      </c>
      <c r="K227" s="874">
        <v>1.95E18</v>
      </c>
      <c r="L227" s="874">
        <v>1.95E18</v>
      </c>
      <c r="M227" s="874">
        <v>1.95E18</v>
      </c>
      <c r="N227" s="875"/>
      <c r="O227" s="874">
        <v>1.95E18</v>
      </c>
      <c r="P227" s="874">
        <v>1.95E18</v>
      </c>
      <c r="Q227" s="874">
        <v>1.95E18</v>
      </c>
      <c r="R227" s="874">
        <v>1.95E18</v>
      </c>
      <c r="S227" s="874">
        <v>1.95E18</v>
      </c>
      <c r="T227" s="875"/>
      <c r="U227" s="874">
        <v>1.95E18</v>
      </c>
      <c r="V227" s="875"/>
      <c r="W227" s="875"/>
      <c r="X227" s="875"/>
      <c r="Y227" s="878">
        <v>1.95E18</v>
      </c>
      <c r="Z227" s="875"/>
      <c r="AA227" s="73"/>
      <c r="AB227" s="73"/>
    </row>
    <row r="228">
      <c r="A228" s="73"/>
      <c r="B228" s="872">
        <v>4568.652</v>
      </c>
      <c r="C228" s="872">
        <v>199442.451178852</v>
      </c>
      <c r="D228" s="872">
        <v>1893.28112496185</v>
      </c>
      <c r="E228" s="872">
        <v>8214.24125908238</v>
      </c>
      <c r="F228" s="872"/>
      <c r="G228" s="872"/>
      <c r="H228" s="73"/>
      <c r="I228" s="874">
        <v>2.07E18</v>
      </c>
      <c r="J228" s="874">
        <v>2.07E18</v>
      </c>
      <c r="K228" s="874">
        <v>2.07E18</v>
      </c>
      <c r="L228" s="874">
        <v>2.07E18</v>
      </c>
      <c r="M228" s="874">
        <v>2.07E18</v>
      </c>
      <c r="N228" s="875"/>
      <c r="O228" s="874">
        <v>2.07E18</v>
      </c>
      <c r="P228" s="874">
        <v>2.07E18</v>
      </c>
      <c r="Q228" s="874">
        <v>2.07E18</v>
      </c>
      <c r="R228" s="874">
        <v>2.07E18</v>
      </c>
      <c r="S228" s="874">
        <v>2.07E18</v>
      </c>
      <c r="T228" s="875"/>
      <c r="U228" s="874">
        <v>2.07E18</v>
      </c>
      <c r="V228" s="875"/>
      <c r="W228" s="875"/>
      <c r="X228" s="875"/>
      <c r="Y228" s="878">
        <v>2.07E18</v>
      </c>
      <c r="Z228" s="875"/>
      <c r="AA228" s="73"/>
      <c r="AB228" s="73"/>
    </row>
    <row r="229">
      <c r="A229" s="73"/>
      <c r="B229" s="872">
        <v>4606.333</v>
      </c>
      <c r="C229" s="872">
        <v>201853.681111876</v>
      </c>
      <c r="D229" s="872">
        <v>1913.39217179871</v>
      </c>
      <c r="E229" s="872">
        <v>8308.86077597467</v>
      </c>
      <c r="F229" s="872"/>
      <c r="G229" s="872"/>
      <c r="H229" s="73"/>
      <c r="I229" s="874">
        <v>2.19E18</v>
      </c>
      <c r="J229" s="874">
        <v>2.19E18</v>
      </c>
      <c r="K229" s="874">
        <v>2.19E18</v>
      </c>
      <c r="L229" s="874">
        <v>2.19E18</v>
      </c>
      <c r="M229" s="874">
        <v>2.19E18</v>
      </c>
      <c r="N229" s="875"/>
      <c r="O229" s="874">
        <v>2.19E18</v>
      </c>
      <c r="P229" s="874">
        <v>2.19E18</v>
      </c>
      <c r="Q229" s="874">
        <v>2.19E18</v>
      </c>
      <c r="R229" s="874">
        <v>2.19E18</v>
      </c>
      <c r="S229" s="874">
        <v>2.19E18</v>
      </c>
      <c r="T229" s="875"/>
      <c r="U229" s="874">
        <v>2.19E18</v>
      </c>
      <c r="V229" s="875"/>
      <c r="W229" s="875"/>
      <c r="X229" s="875"/>
      <c r="Y229" s="878">
        <v>2.19E18</v>
      </c>
      <c r="Z229" s="875"/>
      <c r="AA229" s="73"/>
      <c r="AB229" s="73"/>
    </row>
    <row r="230">
      <c r="A230" s="73"/>
      <c r="B230" s="872">
        <v>4644.168</v>
      </c>
      <c r="C230" s="872">
        <v>204283.290106889</v>
      </c>
      <c r="D230" s="872">
        <v>1933.62710926056</v>
      </c>
      <c r="E230" s="872">
        <v>8404.1574605804</v>
      </c>
      <c r="F230" s="872"/>
      <c r="G230" s="872"/>
      <c r="H230" s="73"/>
      <c r="I230" s="874">
        <v>2.32E18</v>
      </c>
      <c r="J230" s="874">
        <v>2.32E18</v>
      </c>
      <c r="K230" s="874">
        <v>2.32E18</v>
      </c>
      <c r="L230" s="874">
        <v>2.32E18</v>
      </c>
      <c r="M230" s="874">
        <v>2.32E18</v>
      </c>
      <c r="N230" s="875"/>
      <c r="O230" s="874">
        <v>2.32E18</v>
      </c>
      <c r="P230" s="874">
        <v>2.32E18</v>
      </c>
      <c r="Q230" s="874">
        <v>2.32E18</v>
      </c>
      <c r="R230" s="874">
        <v>2.32E18</v>
      </c>
      <c r="S230" s="874">
        <v>2.32E18</v>
      </c>
      <c r="T230" s="875"/>
      <c r="U230" s="874">
        <v>2.32E18</v>
      </c>
      <c r="V230" s="875"/>
      <c r="W230" s="875"/>
      <c r="X230" s="875"/>
      <c r="Y230" s="878">
        <v>2.32E18</v>
      </c>
      <c r="Z230" s="875"/>
      <c r="AA230" s="73"/>
      <c r="AB230" s="73"/>
    </row>
    <row r="231">
      <c r="A231" s="73"/>
      <c r="B231" s="872">
        <v>4682.157</v>
      </c>
      <c r="C231" s="872">
        <v>206731.32644514</v>
      </c>
      <c r="D231" s="872">
        <v>1953.98593734741</v>
      </c>
      <c r="E231" s="872">
        <v>8500.13326064948</v>
      </c>
      <c r="F231" s="872"/>
      <c r="G231" s="872"/>
      <c r="H231" s="73"/>
      <c r="I231" s="874">
        <v>2.45E18</v>
      </c>
      <c r="J231" s="874">
        <v>2.45E18</v>
      </c>
      <c r="K231" s="874">
        <v>2.45E18</v>
      </c>
      <c r="L231" s="874">
        <v>2.45E18</v>
      </c>
      <c r="M231" s="874">
        <v>2.45E18</v>
      </c>
      <c r="N231" s="875"/>
      <c r="O231" s="874">
        <v>2.45E18</v>
      </c>
      <c r="P231" s="874">
        <v>2.45E18</v>
      </c>
      <c r="Q231" s="874">
        <v>2.45E18</v>
      </c>
      <c r="R231" s="874">
        <v>2.45E18</v>
      </c>
      <c r="S231" s="874">
        <v>2.45E18</v>
      </c>
      <c r="T231" s="875"/>
      <c r="U231" s="874">
        <v>2.45E18</v>
      </c>
      <c r="V231" s="875"/>
      <c r="W231" s="875"/>
      <c r="X231" s="875"/>
      <c r="Y231" s="878">
        <v>2.45E18</v>
      </c>
      <c r="Z231" s="875"/>
      <c r="AA231" s="73"/>
      <c r="AB231" s="73"/>
    </row>
    <row r="232">
      <c r="A232" s="73"/>
      <c r="B232" s="872">
        <v>4720.3</v>
      </c>
      <c r="C232" s="872">
        <v>209197.886689126</v>
      </c>
      <c r="D232" s="872">
        <v>1974.46921855926</v>
      </c>
      <c r="E232" s="872">
        <v>8596.79012393179</v>
      </c>
      <c r="F232" s="872"/>
      <c r="G232" s="872"/>
      <c r="H232" s="73"/>
      <c r="I232" s="874">
        <v>2.59E18</v>
      </c>
      <c r="J232" s="874">
        <v>2.59E18</v>
      </c>
      <c r="K232" s="874">
        <v>2.59E18</v>
      </c>
      <c r="L232" s="874">
        <v>2.59E18</v>
      </c>
      <c r="M232" s="874">
        <v>2.59E18</v>
      </c>
      <c r="N232" s="875"/>
      <c r="O232" s="874">
        <v>2.59E18</v>
      </c>
      <c r="P232" s="874">
        <v>2.59E18</v>
      </c>
      <c r="Q232" s="874">
        <v>2.59E18</v>
      </c>
      <c r="R232" s="874">
        <v>2.59E18</v>
      </c>
      <c r="S232" s="874">
        <v>2.59E18</v>
      </c>
      <c r="T232" s="875"/>
      <c r="U232" s="874">
        <v>2.59E18</v>
      </c>
      <c r="V232" s="875"/>
      <c r="W232" s="875"/>
      <c r="X232" s="875"/>
      <c r="Y232" s="878">
        <v>2.59E18</v>
      </c>
      <c r="Z232" s="875"/>
      <c r="AA232" s="73"/>
      <c r="AB232" s="73"/>
    </row>
    <row r="233">
      <c r="A233" s="73"/>
      <c r="B233" s="872">
        <v>4758.597</v>
      </c>
      <c r="C233" s="872">
        <v>211682.970838849</v>
      </c>
      <c r="D233" s="872">
        <v>1995.07667164612</v>
      </c>
      <c r="E233" s="872">
        <v>8694.12934892726</v>
      </c>
      <c r="F233" s="872"/>
      <c r="G233" s="872"/>
      <c r="H233" s="73"/>
      <c r="I233" s="874">
        <v>2.73E18</v>
      </c>
      <c r="J233" s="874">
        <v>2.73E18</v>
      </c>
      <c r="K233" s="874">
        <v>2.73E18</v>
      </c>
      <c r="L233" s="874">
        <v>2.73E18</v>
      </c>
      <c r="M233" s="874">
        <v>2.73E18</v>
      </c>
      <c r="N233" s="875"/>
      <c r="O233" s="874">
        <v>2.73E18</v>
      </c>
      <c r="P233" s="874">
        <v>2.73E18</v>
      </c>
      <c r="Q233" s="874">
        <v>2.73E18</v>
      </c>
      <c r="R233" s="874">
        <v>2.73E18</v>
      </c>
      <c r="S233" s="874">
        <v>2.73E18</v>
      </c>
      <c r="T233" s="875"/>
      <c r="U233" s="874">
        <v>2.73E18</v>
      </c>
      <c r="V233" s="875"/>
      <c r="W233" s="875"/>
      <c r="X233" s="875"/>
      <c r="Y233" s="878">
        <v>2.73E18</v>
      </c>
      <c r="Z233" s="875"/>
      <c r="AA233" s="73"/>
      <c r="AB233" s="73"/>
    </row>
    <row r="234">
      <c r="A234" s="73"/>
      <c r="B234" s="872">
        <v>4797.048</v>
      </c>
      <c r="C234" s="872">
        <v>214186.707644302</v>
      </c>
      <c r="D234" s="872">
        <v>2015.80899973297</v>
      </c>
      <c r="E234" s="872">
        <v>8792.15353263577</v>
      </c>
      <c r="F234" s="872"/>
      <c r="G234" s="872"/>
      <c r="H234" s="73"/>
      <c r="I234" s="874">
        <v>2.88E18</v>
      </c>
      <c r="J234" s="874">
        <v>2.88E18</v>
      </c>
      <c r="K234" s="874">
        <v>2.88E18</v>
      </c>
      <c r="L234" s="874">
        <v>2.88E18</v>
      </c>
      <c r="M234" s="874">
        <v>2.88E18</v>
      </c>
      <c r="N234" s="875"/>
      <c r="O234" s="874">
        <v>2.88E18</v>
      </c>
      <c r="P234" s="874">
        <v>2.88E18</v>
      </c>
      <c r="Q234" s="874">
        <v>2.88E18</v>
      </c>
      <c r="R234" s="874">
        <v>2.88E18</v>
      </c>
      <c r="S234" s="874">
        <v>2.88E18</v>
      </c>
      <c r="T234" s="875"/>
      <c r="U234" s="874">
        <v>2.88E18</v>
      </c>
      <c r="V234" s="875"/>
      <c r="W234" s="875"/>
      <c r="X234" s="875"/>
      <c r="Y234" s="878">
        <v>2.88E18</v>
      </c>
      <c r="Z234" s="875"/>
      <c r="AA234" s="73"/>
      <c r="AB234" s="73"/>
    </row>
    <row r="235">
      <c r="A235" s="73"/>
      <c r="B235" s="872">
        <v>4835.653</v>
      </c>
      <c r="C235" s="872">
        <v>216709.097105488</v>
      </c>
      <c r="D235" s="872">
        <v>2036.66606219482</v>
      </c>
      <c r="E235" s="872">
        <v>8890.86462280719</v>
      </c>
      <c r="F235" s="872"/>
      <c r="G235" s="872"/>
      <c r="H235" s="73"/>
      <c r="I235" s="874">
        <v>3.03E18</v>
      </c>
      <c r="J235" s="874">
        <v>3.03E18</v>
      </c>
      <c r="K235" s="874">
        <v>3.03E18</v>
      </c>
      <c r="L235" s="874">
        <v>3.03E18</v>
      </c>
      <c r="M235" s="874">
        <v>3.03E18</v>
      </c>
      <c r="N235" s="875"/>
      <c r="O235" s="874">
        <v>3.03E18</v>
      </c>
      <c r="P235" s="874">
        <v>3.03E18</v>
      </c>
      <c r="Q235" s="874">
        <v>3.03E18</v>
      </c>
      <c r="R235" s="874">
        <v>3.03E18</v>
      </c>
      <c r="S235" s="874">
        <v>3.03E18</v>
      </c>
      <c r="T235" s="875"/>
      <c r="U235" s="874">
        <v>3.03E18</v>
      </c>
      <c r="V235" s="875"/>
      <c r="W235" s="875"/>
      <c r="X235" s="875"/>
      <c r="Y235" s="878">
        <v>3.03E18</v>
      </c>
      <c r="Z235" s="875"/>
      <c r="AA235" s="73"/>
      <c r="AB235" s="73"/>
    </row>
    <row r="236">
      <c r="A236" s="73"/>
      <c r="B236" s="872">
        <v>4874.412</v>
      </c>
      <c r="C236" s="872">
        <v>219250.203597404</v>
      </c>
      <c r="D236" s="872">
        <v>2057.64828090668</v>
      </c>
      <c r="E236" s="872">
        <v>8990.26391794146</v>
      </c>
      <c r="F236" s="872"/>
      <c r="G236" s="872"/>
      <c r="H236" s="73"/>
      <c r="I236" s="874">
        <v>3.19E18</v>
      </c>
      <c r="J236" s="874">
        <v>3.19E18</v>
      </c>
      <c r="K236" s="874">
        <v>3.19E18</v>
      </c>
      <c r="L236" s="874">
        <v>3.19E18</v>
      </c>
      <c r="M236" s="874">
        <v>3.19E18</v>
      </c>
      <c r="N236" s="875"/>
      <c r="O236" s="874">
        <v>3.19E18</v>
      </c>
      <c r="P236" s="874">
        <v>3.19E18</v>
      </c>
      <c r="Q236" s="874">
        <v>3.19E18</v>
      </c>
      <c r="R236" s="874">
        <v>3.19E18</v>
      </c>
      <c r="S236" s="874">
        <v>3.19E18</v>
      </c>
      <c r="T236" s="875"/>
      <c r="U236" s="874">
        <v>3.19E18</v>
      </c>
      <c r="V236" s="875"/>
      <c r="W236" s="875"/>
      <c r="X236" s="875"/>
      <c r="Y236" s="878">
        <v>3.19E18</v>
      </c>
      <c r="Z236" s="875"/>
      <c r="AA236" s="73"/>
      <c r="AB236" s="73"/>
    </row>
    <row r="237">
      <c r="A237" s="73"/>
      <c r="B237" s="872">
        <v>4913.325</v>
      </c>
      <c r="C237" s="872">
        <v>221810.123682547</v>
      </c>
      <c r="D237" s="872">
        <v>2078.75565586853</v>
      </c>
      <c r="E237" s="872">
        <v>9090.35401503844</v>
      </c>
      <c r="F237" s="872"/>
      <c r="G237" s="872"/>
      <c r="H237" s="73"/>
      <c r="I237" s="874">
        <v>3.35E18</v>
      </c>
      <c r="J237" s="874">
        <v>3.35E18</v>
      </c>
      <c r="K237" s="874">
        <v>3.35E18</v>
      </c>
      <c r="L237" s="874">
        <v>3.35E18</v>
      </c>
      <c r="M237" s="874">
        <v>3.35E18</v>
      </c>
      <c r="N237" s="875"/>
      <c r="O237" s="874">
        <v>3.35E18</v>
      </c>
      <c r="P237" s="874">
        <v>3.35E18</v>
      </c>
      <c r="Q237" s="874">
        <v>3.35E18</v>
      </c>
      <c r="R237" s="874">
        <v>3.35E18</v>
      </c>
      <c r="S237" s="874">
        <v>3.35E18</v>
      </c>
      <c r="T237" s="875"/>
      <c r="U237" s="874">
        <v>3.35E18</v>
      </c>
      <c r="V237" s="875"/>
      <c r="W237" s="875"/>
      <c r="X237" s="875"/>
      <c r="Y237" s="878">
        <v>3.35E18</v>
      </c>
      <c r="Z237" s="875"/>
      <c r="AA237" s="73"/>
      <c r="AB237" s="73"/>
    </row>
    <row r="238">
      <c r="A238" s="73"/>
      <c r="B238" s="872">
        <v>4952.392</v>
      </c>
      <c r="C238" s="872">
        <v>224388.889548417</v>
      </c>
      <c r="D238" s="872">
        <v>2099.98860895538</v>
      </c>
      <c r="E238" s="872">
        <v>9191.13621259806</v>
      </c>
      <c r="F238" s="872"/>
      <c r="G238" s="872"/>
      <c r="H238" s="73"/>
      <c r="I238" s="874">
        <v>3.52E18</v>
      </c>
      <c r="J238" s="874">
        <v>3.52E18</v>
      </c>
      <c r="K238" s="874">
        <v>3.52E18</v>
      </c>
      <c r="L238" s="874">
        <v>3.52E18</v>
      </c>
      <c r="M238" s="874">
        <v>3.52E18</v>
      </c>
      <c r="N238" s="875"/>
      <c r="O238" s="874">
        <v>3.52E18</v>
      </c>
      <c r="P238" s="874">
        <v>3.52E18</v>
      </c>
      <c r="Q238" s="874">
        <v>3.52E18</v>
      </c>
      <c r="R238" s="874">
        <v>3.52E18</v>
      </c>
      <c r="S238" s="874">
        <v>3.52E18</v>
      </c>
      <c r="T238" s="875"/>
      <c r="U238" s="874">
        <v>3.52E18</v>
      </c>
      <c r="V238" s="875"/>
      <c r="W238" s="875"/>
      <c r="X238" s="875"/>
      <c r="Y238" s="878">
        <v>3.52E18</v>
      </c>
      <c r="Z238" s="875"/>
      <c r="AA238" s="73"/>
      <c r="AB238" s="73"/>
    </row>
    <row r="239">
      <c r="A239" s="73"/>
      <c r="B239" s="872">
        <v>4991.613</v>
      </c>
      <c r="C239" s="872">
        <v>226986.565570012</v>
      </c>
      <c r="D239" s="872">
        <v>2121.34728079224</v>
      </c>
      <c r="E239" s="872">
        <v>9292.61245837021</v>
      </c>
      <c r="F239" s="872"/>
      <c r="G239" s="872"/>
      <c r="H239" s="73"/>
      <c r="I239" s="874">
        <v>3.7E18</v>
      </c>
      <c r="J239" s="874">
        <v>3.7E18</v>
      </c>
      <c r="K239" s="874">
        <v>3.7E18</v>
      </c>
      <c r="L239" s="874">
        <v>3.7E18</v>
      </c>
      <c r="M239" s="874">
        <v>3.7E18</v>
      </c>
      <c r="N239" s="875"/>
      <c r="O239" s="874">
        <v>3.7E18</v>
      </c>
      <c r="P239" s="874">
        <v>3.7E18</v>
      </c>
      <c r="Q239" s="874">
        <v>3.7E18</v>
      </c>
      <c r="R239" s="874">
        <v>3.7E18</v>
      </c>
      <c r="S239" s="874">
        <v>3.7E18</v>
      </c>
      <c r="T239" s="875"/>
      <c r="U239" s="874">
        <v>3.7E18</v>
      </c>
      <c r="V239" s="875"/>
      <c r="W239" s="875"/>
      <c r="X239" s="875"/>
      <c r="Y239" s="878">
        <v>3.7E18</v>
      </c>
      <c r="Z239" s="875"/>
      <c r="AA239" s="73"/>
      <c r="AB239" s="73"/>
    </row>
    <row r="240">
      <c r="A240" s="73"/>
      <c r="B240" s="872">
        <v>5030.988</v>
      </c>
      <c r="C240" s="872">
        <v>229603.20002858</v>
      </c>
      <c r="D240" s="872">
        <v>2142.83181200409</v>
      </c>
      <c r="E240" s="872">
        <v>9394.78405085483</v>
      </c>
      <c r="F240" s="872"/>
      <c r="G240" s="872"/>
      <c r="H240" s="73"/>
      <c r="I240" s="874">
        <v>3.88E18</v>
      </c>
      <c r="J240" s="874">
        <v>3.88E18</v>
      </c>
      <c r="K240" s="874">
        <v>3.88E18</v>
      </c>
      <c r="L240" s="874">
        <v>3.88E18</v>
      </c>
      <c r="M240" s="874">
        <v>3.88E18</v>
      </c>
      <c r="N240" s="875"/>
      <c r="O240" s="874">
        <v>3.88E18</v>
      </c>
      <c r="P240" s="874">
        <v>3.88E18</v>
      </c>
      <c r="Q240" s="874">
        <v>3.88E18</v>
      </c>
      <c r="R240" s="874">
        <v>3.88E18</v>
      </c>
      <c r="S240" s="874">
        <v>3.88E18</v>
      </c>
      <c r="T240" s="875"/>
      <c r="U240" s="874">
        <v>3.88E18</v>
      </c>
      <c r="V240" s="875"/>
      <c r="W240" s="875"/>
      <c r="X240" s="875"/>
      <c r="Y240" s="878">
        <v>3.88E18</v>
      </c>
      <c r="Z240" s="875"/>
      <c r="AA240" s="73"/>
      <c r="AB240" s="73"/>
    </row>
    <row r="241">
      <c r="A241" s="73"/>
      <c r="B241" s="872">
        <v>5070.517</v>
      </c>
      <c r="C241" s="872">
        <v>232238.84120537</v>
      </c>
      <c r="D241" s="872">
        <v>2164.44248384094</v>
      </c>
      <c r="E241" s="872">
        <v>9497.65423630173</v>
      </c>
      <c r="F241" s="872"/>
      <c r="G241" s="872"/>
      <c r="H241" s="73"/>
      <c r="I241" s="874">
        <v>4.07E18</v>
      </c>
      <c r="J241" s="874">
        <v>4.07E18</v>
      </c>
      <c r="K241" s="874">
        <v>4.07E18</v>
      </c>
      <c r="L241" s="874">
        <v>4.07E18</v>
      </c>
      <c r="M241" s="874">
        <v>4.07E18</v>
      </c>
      <c r="N241" s="875"/>
      <c r="O241" s="874">
        <v>4.07E18</v>
      </c>
      <c r="P241" s="874">
        <v>4.07E18</v>
      </c>
      <c r="Q241" s="874">
        <v>4.07E18</v>
      </c>
      <c r="R241" s="874">
        <v>4.07E18</v>
      </c>
      <c r="S241" s="874">
        <v>4.07E18</v>
      </c>
      <c r="T241" s="875"/>
      <c r="U241" s="874">
        <v>4.07E18</v>
      </c>
      <c r="V241" s="875"/>
      <c r="W241" s="875"/>
      <c r="X241" s="875"/>
      <c r="Y241" s="878">
        <v>4.07E18</v>
      </c>
      <c r="Z241" s="875"/>
      <c r="AA241" s="73"/>
      <c r="AB241" s="73"/>
    </row>
    <row r="242">
      <c r="A242" s="73"/>
      <c r="B242" s="872">
        <v>5110.2</v>
      </c>
      <c r="C242" s="872">
        <v>234893.56956913</v>
      </c>
      <c r="D242" s="872">
        <v>2186.1795775528</v>
      </c>
      <c r="E242" s="872">
        <v>9601.22366396089</v>
      </c>
      <c r="F242" s="872"/>
      <c r="G242" s="872"/>
      <c r="H242" s="73"/>
      <c r="I242" s="874">
        <v>4.26E18</v>
      </c>
      <c r="J242" s="874">
        <v>4.26E18</v>
      </c>
      <c r="K242" s="874">
        <v>4.26E18</v>
      </c>
      <c r="L242" s="874">
        <v>4.26E18</v>
      </c>
      <c r="M242" s="874">
        <v>4.26E18</v>
      </c>
      <c r="N242" s="875"/>
      <c r="O242" s="874">
        <v>4.26E18</v>
      </c>
      <c r="P242" s="874">
        <v>4.26E18</v>
      </c>
      <c r="Q242" s="874">
        <v>4.26E18</v>
      </c>
      <c r="R242" s="874">
        <v>4.26E18</v>
      </c>
      <c r="S242" s="874">
        <v>4.26E18</v>
      </c>
      <c r="T242" s="875"/>
      <c r="U242" s="874">
        <v>4.26E18</v>
      </c>
      <c r="V242" s="875"/>
      <c r="W242" s="875"/>
      <c r="X242" s="875"/>
      <c r="Y242" s="878">
        <v>4.26E18</v>
      </c>
      <c r="Z242" s="875"/>
      <c r="AA242" s="73"/>
      <c r="AB242" s="73"/>
    </row>
    <row r="243">
      <c r="A243" s="73"/>
      <c r="B243" s="872">
        <v>5150.037</v>
      </c>
      <c r="C243" s="872">
        <v>237567.449494857</v>
      </c>
      <c r="D243" s="872">
        <v>2208.04309313965</v>
      </c>
      <c r="E243" s="872">
        <v>9705.49493083216</v>
      </c>
      <c r="F243" s="872"/>
      <c r="G243" s="872"/>
      <c r="H243" s="73"/>
      <c r="I243" s="874">
        <v>4.46E18</v>
      </c>
      <c r="J243" s="874">
        <v>4.46E18</v>
      </c>
      <c r="K243" s="874">
        <v>4.46E18</v>
      </c>
      <c r="L243" s="874">
        <v>4.46E18</v>
      </c>
      <c r="M243" s="874">
        <v>4.46E18</v>
      </c>
      <c r="N243" s="875"/>
      <c r="O243" s="874">
        <v>4.46E18</v>
      </c>
      <c r="P243" s="874">
        <v>4.46E18</v>
      </c>
      <c r="Q243" s="874">
        <v>4.46E18</v>
      </c>
      <c r="R243" s="874">
        <v>4.46E18</v>
      </c>
      <c r="S243" s="874">
        <v>4.46E18</v>
      </c>
      <c r="T243" s="875"/>
      <c r="U243" s="874">
        <v>4.46E18</v>
      </c>
      <c r="V243" s="875"/>
      <c r="W243" s="875"/>
      <c r="X243" s="875"/>
      <c r="Y243" s="878">
        <v>4.46E18</v>
      </c>
      <c r="Z243" s="875"/>
      <c r="AA243" s="73"/>
      <c r="AB243" s="73"/>
    </row>
    <row r="244">
      <c r="A244" s="73"/>
      <c r="B244" s="872">
        <v>5190.028</v>
      </c>
      <c r="C244" s="872">
        <v>240260.497076303</v>
      </c>
      <c r="D244" s="872">
        <v>2230.0333118515</v>
      </c>
      <c r="E244" s="872">
        <v>9810.46933541548</v>
      </c>
      <c r="F244" s="872"/>
      <c r="G244" s="872"/>
      <c r="H244" s="73"/>
      <c r="I244" s="874">
        <v>4.67E18</v>
      </c>
      <c r="J244" s="874">
        <v>4.67E18</v>
      </c>
      <c r="K244" s="874">
        <v>4.67E18</v>
      </c>
      <c r="L244" s="874">
        <v>4.67E18</v>
      </c>
      <c r="M244" s="874">
        <v>4.67E18</v>
      </c>
      <c r="N244" s="875"/>
      <c r="O244" s="874">
        <v>4.67E18</v>
      </c>
      <c r="P244" s="874">
        <v>4.67E18</v>
      </c>
      <c r="Q244" s="874">
        <v>4.67E18</v>
      </c>
      <c r="R244" s="874">
        <v>4.67E18</v>
      </c>
      <c r="S244" s="874">
        <v>4.67E18</v>
      </c>
      <c r="T244" s="875"/>
      <c r="U244" s="874">
        <v>4.67E18</v>
      </c>
      <c r="V244" s="875"/>
      <c r="W244" s="875"/>
      <c r="X244" s="875"/>
      <c r="Y244" s="878">
        <v>4.67E18</v>
      </c>
      <c r="Z244" s="875"/>
      <c r="AA244" s="73"/>
      <c r="AB244" s="73"/>
    </row>
    <row r="245">
      <c r="A245" s="73"/>
      <c r="B245" s="872">
        <v>5230.173</v>
      </c>
      <c r="C245" s="872">
        <v>242972.808875963</v>
      </c>
      <c r="D245" s="872">
        <v>2252.15051493835</v>
      </c>
      <c r="E245" s="872">
        <v>9916.14882546074</v>
      </c>
      <c r="F245" s="872"/>
      <c r="G245" s="872"/>
      <c r="H245" s="73"/>
      <c r="I245" s="874">
        <v>4.88E18</v>
      </c>
      <c r="J245" s="874">
        <v>4.88E18</v>
      </c>
      <c r="K245" s="874">
        <v>4.88E18</v>
      </c>
      <c r="L245" s="874">
        <v>4.88E18</v>
      </c>
      <c r="M245" s="874">
        <v>4.88E18</v>
      </c>
      <c r="N245" s="875"/>
      <c r="O245" s="874">
        <v>4.88E18</v>
      </c>
      <c r="P245" s="874">
        <v>4.88E18</v>
      </c>
      <c r="Q245" s="874">
        <v>4.88E18</v>
      </c>
      <c r="R245" s="874">
        <v>4.88E18</v>
      </c>
      <c r="S245" s="874">
        <v>4.88E18</v>
      </c>
      <c r="T245" s="875"/>
      <c r="U245" s="874">
        <v>4.88E18</v>
      </c>
      <c r="V245" s="875"/>
      <c r="W245" s="875"/>
      <c r="X245" s="875"/>
      <c r="Y245" s="878">
        <v>4.88E18</v>
      </c>
      <c r="Z245" s="875"/>
      <c r="AA245" s="73"/>
      <c r="AB245" s="73"/>
    </row>
    <row r="246">
      <c r="A246" s="73"/>
      <c r="B246" s="872">
        <v>5270.472</v>
      </c>
      <c r="C246" s="872">
        <v>245704.433175087</v>
      </c>
      <c r="D246" s="872">
        <v>2274.39498460388</v>
      </c>
      <c r="E246" s="872">
        <v>10022.5353487178</v>
      </c>
      <c r="F246" s="872"/>
      <c r="G246" s="872"/>
      <c r="H246" s="73"/>
      <c r="I246" s="874">
        <v>5.1E18</v>
      </c>
      <c r="J246" s="874">
        <v>5.1E18</v>
      </c>
      <c r="K246" s="874">
        <v>5.1E18</v>
      </c>
      <c r="L246" s="874">
        <v>5.1E18</v>
      </c>
      <c r="M246" s="874">
        <v>5.1E18</v>
      </c>
      <c r="N246" s="875"/>
      <c r="O246" s="874">
        <v>5.1E18</v>
      </c>
      <c r="P246" s="874">
        <v>5.1E18</v>
      </c>
      <c r="Q246" s="874">
        <v>5.1E18</v>
      </c>
      <c r="R246" s="874">
        <v>5.1E18</v>
      </c>
      <c r="S246" s="874">
        <v>5.1E18</v>
      </c>
      <c r="T246" s="875"/>
      <c r="U246" s="874">
        <v>5.1E18</v>
      </c>
      <c r="V246" s="875"/>
      <c r="W246" s="875"/>
      <c r="X246" s="875"/>
      <c r="Y246" s="878">
        <v>5.1E18</v>
      </c>
      <c r="Z246" s="875"/>
      <c r="AA246" s="73"/>
      <c r="AB246" s="73"/>
    </row>
    <row r="247">
      <c r="A247" s="73"/>
      <c r="B247" s="872">
        <v>5310.925</v>
      </c>
      <c r="C247" s="872">
        <v>248455.434348673</v>
      </c>
      <c r="D247" s="872">
        <v>2296.76671894073</v>
      </c>
      <c r="E247" s="872">
        <v>10129.6308529366</v>
      </c>
      <c r="F247" s="872"/>
      <c r="G247" s="872"/>
      <c r="H247" s="73"/>
      <c r="I247" s="874">
        <v>5.33E18</v>
      </c>
      <c r="J247" s="874">
        <v>5.33E18</v>
      </c>
      <c r="K247" s="874">
        <v>5.33E18</v>
      </c>
      <c r="L247" s="874">
        <v>5.33E18</v>
      </c>
      <c r="M247" s="874">
        <v>5.33E18</v>
      </c>
      <c r="N247" s="875"/>
      <c r="O247" s="874">
        <v>5.33E18</v>
      </c>
      <c r="P247" s="874">
        <v>5.33E18</v>
      </c>
      <c r="Q247" s="874">
        <v>5.33E18</v>
      </c>
      <c r="R247" s="874">
        <v>5.33E18</v>
      </c>
      <c r="S247" s="874">
        <v>5.33E18</v>
      </c>
      <c r="T247" s="875"/>
      <c r="U247" s="874">
        <v>5.33E18</v>
      </c>
      <c r="V247" s="875"/>
      <c r="W247" s="875"/>
      <c r="X247" s="875"/>
      <c r="Y247" s="878">
        <v>5.33E18</v>
      </c>
      <c r="Z247" s="875"/>
      <c r="AA247" s="73"/>
      <c r="AB247" s="73"/>
    </row>
    <row r="248">
      <c r="A248" s="73"/>
      <c r="B248" s="872">
        <v>5351.532</v>
      </c>
      <c r="C248" s="872">
        <v>251225.860677969</v>
      </c>
      <c r="D248" s="872">
        <v>2319.26585952759</v>
      </c>
      <c r="E248" s="872">
        <v>10237.4372858671</v>
      </c>
      <c r="F248" s="872"/>
      <c r="G248" s="872"/>
      <c r="H248" s="73"/>
      <c r="I248" s="874">
        <v>5.56E18</v>
      </c>
      <c r="J248" s="874">
        <v>5.56E18</v>
      </c>
      <c r="K248" s="874">
        <v>5.56E18</v>
      </c>
      <c r="L248" s="874">
        <v>5.56E18</v>
      </c>
      <c r="M248" s="874">
        <v>5.56E18</v>
      </c>
      <c r="N248" s="875"/>
      <c r="O248" s="874">
        <v>5.56E18</v>
      </c>
      <c r="P248" s="874">
        <v>5.56E18</v>
      </c>
      <c r="Q248" s="874">
        <v>5.56E18</v>
      </c>
      <c r="R248" s="874">
        <v>5.56E18</v>
      </c>
      <c r="S248" s="874">
        <v>5.56E18</v>
      </c>
      <c r="T248" s="875"/>
      <c r="U248" s="874">
        <v>5.56E18</v>
      </c>
      <c r="V248" s="875"/>
      <c r="W248" s="875"/>
      <c r="X248" s="875"/>
      <c r="Y248" s="878">
        <v>5.56E18</v>
      </c>
      <c r="Z248" s="875"/>
      <c r="AA248" s="73"/>
      <c r="AB248" s="73"/>
    </row>
    <row r="249">
      <c r="A249" s="73"/>
      <c r="B249" s="872">
        <v>5392.293</v>
      </c>
      <c r="C249" s="872">
        <v>254015.760444224</v>
      </c>
      <c r="D249" s="872">
        <v>2341.89296886444</v>
      </c>
      <c r="E249" s="872">
        <v>10345.9559460091</v>
      </c>
      <c r="F249" s="872"/>
      <c r="G249" s="872"/>
      <c r="H249" s="73"/>
      <c r="I249" s="874">
        <v>5.8E18</v>
      </c>
      <c r="J249" s="874">
        <v>5.8E18</v>
      </c>
      <c r="K249" s="874">
        <v>5.8E18</v>
      </c>
      <c r="L249" s="874">
        <v>5.8E18</v>
      </c>
      <c r="M249" s="874">
        <v>5.8E18</v>
      </c>
      <c r="N249" s="875"/>
      <c r="O249" s="874">
        <v>5.8E18</v>
      </c>
      <c r="P249" s="874">
        <v>5.8E18</v>
      </c>
      <c r="Q249" s="874">
        <v>5.8E18</v>
      </c>
      <c r="R249" s="874">
        <v>5.8E18</v>
      </c>
      <c r="S249" s="874">
        <v>5.8E18</v>
      </c>
      <c r="T249" s="875"/>
      <c r="U249" s="874">
        <v>5.8E18</v>
      </c>
      <c r="V249" s="875"/>
      <c r="W249" s="875"/>
      <c r="X249" s="875"/>
      <c r="Y249" s="878">
        <v>5.8E18</v>
      </c>
      <c r="Z249" s="875"/>
      <c r="AA249" s="73"/>
      <c r="AB249" s="73"/>
    </row>
    <row r="250">
      <c r="A250" s="73"/>
      <c r="B250" s="872">
        <v>5433.208</v>
      </c>
      <c r="C250" s="872">
        <v>256825.181928687</v>
      </c>
      <c r="D250" s="872">
        <v>2364.64790632629</v>
      </c>
      <c r="E250" s="872">
        <v>10455.1894303625</v>
      </c>
      <c r="F250" s="872"/>
      <c r="G250" s="872"/>
      <c r="H250" s="73"/>
      <c r="I250" s="874">
        <v>6.05E18</v>
      </c>
      <c r="J250" s="874">
        <v>6.05E18</v>
      </c>
      <c r="K250" s="874">
        <v>6.05E18</v>
      </c>
      <c r="L250" s="874">
        <v>6.05E18</v>
      </c>
      <c r="M250" s="874">
        <v>6.05E18</v>
      </c>
      <c r="N250" s="875"/>
      <c r="O250" s="874">
        <v>6.05E18</v>
      </c>
      <c r="P250" s="874">
        <v>6.05E18</v>
      </c>
      <c r="Q250" s="874">
        <v>6.05E18</v>
      </c>
      <c r="R250" s="874">
        <v>6.05E18</v>
      </c>
      <c r="S250" s="874">
        <v>6.05E18</v>
      </c>
      <c r="T250" s="875"/>
      <c r="U250" s="874">
        <v>6.05E18</v>
      </c>
      <c r="V250" s="875"/>
      <c r="W250" s="875"/>
      <c r="X250" s="875"/>
      <c r="Y250" s="878">
        <v>6.05E18</v>
      </c>
      <c r="Z250" s="875"/>
      <c r="AA250" s="73"/>
      <c r="AB250" s="73"/>
    </row>
    <row r="251">
      <c r="A251" s="73"/>
      <c r="B251" s="872">
        <v>5474.277</v>
      </c>
      <c r="C251" s="872">
        <v>259654.205600105</v>
      </c>
      <c r="D251" s="872">
        <v>2387.53109378815</v>
      </c>
      <c r="E251" s="872">
        <v>10565.1390374272</v>
      </c>
      <c r="F251" s="872"/>
      <c r="G251" s="872"/>
      <c r="H251" s="73"/>
      <c r="I251" s="874">
        <v>6.31E18</v>
      </c>
      <c r="J251" s="874">
        <v>6.31E18</v>
      </c>
      <c r="K251" s="874">
        <v>6.31E18</v>
      </c>
      <c r="L251" s="874">
        <v>6.31E18</v>
      </c>
      <c r="M251" s="874">
        <v>6.31E18</v>
      </c>
      <c r="N251" s="875"/>
      <c r="O251" s="874">
        <v>6.31E18</v>
      </c>
      <c r="P251" s="874">
        <v>6.31E18</v>
      </c>
      <c r="Q251" s="874">
        <v>6.31E18</v>
      </c>
      <c r="R251" s="874">
        <v>6.31E18</v>
      </c>
      <c r="S251" s="874">
        <v>6.31E18</v>
      </c>
      <c r="T251" s="875"/>
      <c r="U251" s="874">
        <v>6.31E18</v>
      </c>
      <c r="V251" s="875"/>
      <c r="W251" s="875"/>
      <c r="X251" s="875"/>
      <c r="Y251" s="878">
        <v>6.31E18</v>
      </c>
      <c r="Z251" s="875"/>
      <c r="AA251" s="73"/>
      <c r="AB251" s="73"/>
    </row>
    <row r="252">
      <c r="A252" s="73"/>
      <c r="B252" s="872">
        <v>5515.5</v>
      </c>
      <c r="C252" s="872">
        <v>262502.895833477</v>
      </c>
      <c r="D252" s="872">
        <v>2410.5628125</v>
      </c>
      <c r="E252" s="872">
        <v>10675.8060657032</v>
      </c>
      <c r="F252" s="872"/>
      <c r="G252" s="872"/>
      <c r="H252" s="73"/>
      <c r="I252" s="874">
        <v>6.57E18</v>
      </c>
      <c r="J252" s="874">
        <v>6.57E18</v>
      </c>
      <c r="K252" s="874">
        <v>6.57E18</v>
      </c>
      <c r="L252" s="874">
        <v>6.57E18</v>
      </c>
      <c r="M252" s="874">
        <v>6.57E18</v>
      </c>
      <c r="N252" s="875"/>
      <c r="O252" s="874">
        <v>6.57E18</v>
      </c>
      <c r="P252" s="874">
        <v>6.57E18</v>
      </c>
      <c r="Q252" s="874">
        <v>6.57E18</v>
      </c>
      <c r="R252" s="874">
        <v>6.57E18</v>
      </c>
      <c r="S252" s="874">
        <v>6.57E18</v>
      </c>
      <c r="T252" s="875"/>
      <c r="U252" s="874">
        <v>6.57E18</v>
      </c>
      <c r="V252" s="875"/>
      <c r="W252" s="875"/>
      <c r="X252" s="875"/>
      <c r="Y252" s="878">
        <v>6.57E18</v>
      </c>
      <c r="Z252" s="875"/>
      <c r="AA252" s="73"/>
      <c r="AB252" s="73"/>
    </row>
    <row r="253">
      <c r="A253" s="73"/>
      <c r="B253" s="872">
        <v>5556.877</v>
      </c>
      <c r="C253" s="872">
        <v>265371.300910052</v>
      </c>
      <c r="D253" s="872">
        <v>2433.77791777801</v>
      </c>
      <c r="E253" s="872">
        <v>10787.1937614404</v>
      </c>
      <c r="F253" s="872"/>
      <c r="G253" s="872"/>
      <c r="H253" s="73"/>
      <c r="I253" s="874">
        <v>6.84E18</v>
      </c>
      <c r="J253" s="874">
        <v>6.84E18</v>
      </c>
      <c r="K253" s="874">
        <v>6.84E18</v>
      </c>
      <c r="L253" s="874">
        <v>6.84E18</v>
      </c>
      <c r="M253" s="874">
        <v>6.84E18</v>
      </c>
      <c r="N253" s="875"/>
      <c r="O253" s="874">
        <v>6.84E18</v>
      </c>
      <c r="P253" s="874">
        <v>6.84E18</v>
      </c>
      <c r="Q253" s="874">
        <v>6.84E18</v>
      </c>
      <c r="R253" s="874">
        <v>6.84E18</v>
      </c>
      <c r="S253" s="874">
        <v>6.84E18</v>
      </c>
      <c r="T253" s="875"/>
      <c r="U253" s="874">
        <v>6.84E18</v>
      </c>
      <c r="V253" s="875"/>
      <c r="W253" s="875"/>
      <c r="X253" s="875"/>
      <c r="Y253" s="878">
        <v>6.84E18</v>
      </c>
      <c r="Z253" s="875"/>
      <c r="AA253" s="73"/>
      <c r="AB253" s="73"/>
    </row>
    <row r="254">
      <c r="A254" s="73"/>
      <c r="B254" s="872">
        <v>5598.408</v>
      </c>
      <c r="C254" s="872">
        <v>268259.469111077</v>
      </c>
      <c r="D254" s="872">
        <v>2457.18845573425</v>
      </c>
      <c r="E254" s="872">
        <v>10899.3027738885</v>
      </c>
      <c r="F254" s="872"/>
      <c r="G254" s="872"/>
      <c r="H254" s="73"/>
      <c r="I254" s="874">
        <v>7.13E18</v>
      </c>
      <c r="J254" s="874">
        <v>7.13E18</v>
      </c>
      <c r="K254" s="874">
        <v>7.13E18</v>
      </c>
      <c r="L254" s="874">
        <v>7.13E18</v>
      </c>
      <c r="M254" s="874">
        <v>7.13E18</v>
      </c>
      <c r="N254" s="875"/>
      <c r="O254" s="874">
        <v>7.13E18</v>
      </c>
      <c r="P254" s="874">
        <v>7.13E18</v>
      </c>
      <c r="Q254" s="874">
        <v>7.13E18</v>
      </c>
      <c r="R254" s="874">
        <v>7.13E18</v>
      </c>
      <c r="S254" s="874">
        <v>7.13E18</v>
      </c>
      <c r="T254" s="875"/>
      <c r="U254" s="874">
        <v>7.13E18</v>
      </c>
      <c r="V254" s="875"/>
      <c r="W254" s="875"/>
      <c r="X254" s="875"/>
      <c r="Y254" s="878">
        <v>7.13E18</v>
      </c>
      <c r="Z254" s="875"/>
      <c r="AA254" s="73"/>
      <c r="AB254" s="73"/>
    </row>
    <row r="255">
      <c r="A255" s="73"/>
      <c r="B255" s="872">
        <v>5640.093</v>
      </c>
      <c r="C255" s="872">
        <v>271167.448717803</v>
      </c>
      <c r="D255" s="872">
        <v>2480.80198571777</v>
      </c>
      <c r="E255" s="872">
        <v>11012.1350507977</v>
      </c>
      <c r="F255" s="872"/>
      <c r="G255" s="872"/>
      <c r="H255" s="73"/>
      <c r="I255" s="874">
        <v>7.42E18</v>
      </c>
      <c r="J255" s="874">
        <v>7.42E18</v>
      </c>
      <c r="K255" s="874">
        <v>7.42E18</v>
      </c>
      <c r="L255" s="874">
        <v>7.42E18</v>
      </c>
      <c r="M255" s="874">
        <v>7.42E18</v>
      </c>
      <c r="N255" s="875"/>
      <c r="O255" s="874">
        <v>7.42E18</v>
      </c>
      <c r="P255" s="874">
        <v>7.42E18</v>
      </c>
      <c r="Q255" s="874">
        <v>7.42E18</v>
      </c>
      <c r="R255" s="874">
        <v>7.42E18</v>
      </c>
      <c r="S255" s="874">
        <v>7.42E18</v>
      </c>
      <c r="T255" s="875"/>
      <c r="U255" s="874">
        <v>7.42E18</v>
      </c>
      <c r="V255" s="875"/>
      <c r="W255" s="875"/>
      <c r="X255" s="875"/>
      <c r="Y255" s="878">
        <v>7.42E18</v>
      </c>
      <c r="Z255" s="875"/>
      <c r="AA255" s="73"/>
      <c r="AB255" s="73"/>
    </row>
    <row r="256">
      <c r="A256" s="73"/>
      <c r="B256" s="872">
        <v>5681.932</v>
      </c>
      <c r="C256" s="872">
        <v>274095.320198976</v>
      </c>
      <c r="D256" s="872">
        <v>2504.62436175537</v>
      </c>
      <c r="E256" s="872">
        <v>11125.6931891676</v>
      </c>
      <c r="F256" s="872"/>
      <c r="G256" s="872"/>
      <c r="H256" s="73"/>
      <c r="I256" s="874">
        <v>7.71E18</v>
      </c>
      <c r="J256" s="874">
        <v>7.71E18</v>
      </c>
      <c r="K256" s="874">
        <v>7.71E18</v>
      </c>
      <c r="L256" s="874">
        <v>7.71E18</v>
      </c>
      <c r="M256" s="874">
        <v>7.71E18</v>
      </c>
      <c r="N256" s="875"/>
      <c r="O256" s="874">
        <v>7.71E18</v>
      </c>
      <c r="P256" s="874">
        <v>7.71E18</v>
      </c>
      <c r="Q256" s="874">
        <v>7.71E18</v>
      </c>
      <c r="R256" s="874">
        <v>7.71E18</v>
      </c>
      <c r="S256" s="874">
        <v>7.71E18</v>
      </c>
      <c r="T256" s="875"/>
      <c r="U256" s="874">
        <v>7.71E18</v>
      </c>
      <c r="V256" s="875"/>
      <c r="W256" s="875"/>
      <c r="X256" s="875"/>
      <c r="Y256" s="878">
        <v>7.71E18</v>
      </c>
      <c r="Z256" s="875"/>
      <c r="AA256" s="73"/>
      <c r="AB256" s="73"/>
    </row>
    <row r="257">
      <c r="A257" s="73"/>
      <c r="B257" s="872">
        <v>5723.925</v>
      </c>
      <c r="C257" s="872">
        <v>277043.147929594</v>
      </c>
      <c r="D257" s="872">
        <v>2528.65989194489</v>
      </c>
      <c r="E257" s="872">
        <v>11239.9778382484</v>
      </c>
      <c r="F257" s="872"/>
      <c r="G257" s="872"/>
      <c r="H257" s="73"/>
      <c r="I257" s="874">
        <v>8.02E18</v>
      </c>
      <c r="J257" s="874">
        <v>8.02E18</v>
      </c>
      <c r="K257" s="874">
        <v>8.02E18</v>
      </c>
      <c r="L257" s="874">
        <v>8.02E18</v>
      </c>
      <c r="M257" s="874">
        <v>8.02E18</v>
      </c>
      <c r="N257" s="875"/>
      <c r="O257" s="874">
        <v>8.02E18</v>
      </c>
      <c r="P257" s="874">
        <v>8.02E18</v>
      </c>
      <c r="Q257" s="874">
        <v>8.02E18</v>
      </c>
      <c r="R257" s="874">
        <v>8.02E18</v>
      </c>
      <c r="S257" s="874">
        <v>8.02E18</v>
      </c>
      <c r="T257" s="875"/>
      <c r="U257" s="874">
        <v>8.02E18</v>
      </c>
      <c r="V257" s="875"/>
      <c r="W257" s="875"/>
      <c r="X257" s="875"/>
      <c r="Y257" s="878">
        <v>8.02E18</v>
      </c>
      <c r="Z257" s="875"/>
      <c r="AA257" s="73"/>
      <c r="AB257" s="73"/>
    </row>
    <row r="258">
      <c r="A258" s="73"/>
      <c r="B258" s="872">
        <v>5766.072</v>
      </c>
      <c r="C258" s="872">
        <v>280010.931909658</v>
      </c>
      <c r="D258" s="872">
        <v>2552.9130761261</v>
      </c>
      <c r="E258" s="872">
        <v>11354.9915950397</v>
      </c>
      <c r="F258" s="872"/>
      <c r="G258" s="872"/>
      <c r="H258" s="73"/>
      <c r="I258" s="874">
        <v>8.34E18</v>
      </c>
      <c r="J258" s="874">
        <v>8.34E18</v>
      </c>
      <c r="K258" s="874">
        <v>8.34E18</v>
      </c>
      <c r="L258" s="874">
        <v>8.34E18</v>
      </c>
      <c r="M258" s="874">
        <v>8.34E18</v>
      </c>
      <c r="N258" s="875"/>
      <c r="O258" s="874">
        <v>8.34E18</v>
      </c>
      <c r="P258" s="874">
        <v>8.34E18</v>
      </c>
      <c r="Q258" s="874">
        <v>8.34E18</v>
      </c>
      <c r="R258" s="874">
        <v>8.34E18</v>
      </c>
      <c r="S258" s="874">
        <v>8.34E18</v>
      </c>
      <c r="T258" s="875"/>
      <c r="U258" s="874">
        <v>8.34E18</v>
      </c>
      <c r="V258" s="875"/>
      <c r="W258" s="875"/>
      <c r="X258" s="875"/>
      <c r="Y258" s="878">
        <v>8.34E18</v>
      </c>
      <c r="Z258" s="875"/>
      <c r="AA258" s="73"/>
      <c r="AB258" s="73"/>
    </row>
    <row r="259">
      <c r="A259" s="73"/>
      <c r="B259" s="872">
        <v>5808.373</v>
      </c>
      <c r="C259" s="872">
        <v>282998.768701665</v>
      </c>
      <c r="D259" s="872">
        <v>2577.38738208771</v>
      </c>
      <c r="E259" s="872">
        <v>11470.7364072917</v>
      </c>
      <c r="F259" s="872"/>
      <c r="G259" s="872"/>
      <c r="H259" s="73"/>
      <c r="I259" s="874">
        <v>8.66E18</v>
      </c>
      <c r="J259" s="874">
        <v>8.66E18</v>
      </c>
      <c r="K259" s="874">
        <v>8.66E18</v>
      </c>
      <c r="L259" s="874">
        <v>8.66E18</v>
      </c>
      <c r="M259" s="874">
        <v>8.66E18</v>
      </c>
      <c r="N259" s="875"/>
      <c r="O259" s="874">
        <v>8.66E18</v>
      </c>
      <c r="P259" s="874">
        <v>8.66E18</v>
      </c>
      <c r="Q259" s="874">
        <v>8.66E18</v>
      </c>
      <c r="R259" s="874">
        <v>8.66E18</v>
      </c>
      <c r="S259" s="874">
        <v>8.66E18</v>
      </c>
      <c r="T259" s="875"/>
      <c r="U259" s="874">
        <v>8.66E18</v>
      </c>
      <c r="V259" s="875"/>
      <c r="W259" s="875"/>
      <c r="X259" s="875"/>
      <c r="Y259" s="878">
        <v>8.66E18</v>
      </c>
      <c r="Z259" s="875"/>
      <c r="AA259" s="73"/>
      <c r="AB259" s="73"/>
    </row>
    <row r="260">
      <c r="A260" s="73"/>
      <c r="B260" s="872">
        <v>5850.828</v>
      </c>
      <c r="C260" s="872">
        <v>286006.722680613</v>
      </c>
      <c r="D260" s="872">
        <v>2602.08648443603</v>
      </c>
      <c r="E260" s="872">
        <v>11587.213573504</v>
      </c>
      <c r="F260" s="872"/>
      <c r="G260" s="872"/>
      <c r="H260" s="73"/>
      <c r="I260" s="874">
        <v>9.0E18</v>
      </c>
      <c r="J260" s="874">
        <v>9.0E18</v>
      </c>
      <c r="K260" s="874">
        <v>9.0E18</v>
      </c>
      <c r="L260" s="874">
        <v>9.0E18</v>
      </c>
      <c r="M260" s="874">
        <v>9.0E18</v>
      </c>
      <c r="N260" s="875"/>
      <c r="O260" s="874">
        <v>9.0E18</v>
      </c>
      <c r="P260" s="874">
        <v>9.0E18</v>
      </c>
      <c r="Q260" s="874">
        <v>9.0E18</v>
      </c>
      <c r="R260" s="874">
        <v>9.0E18</v>
      </c>
      <c r="S260" s="874">
        <v>9.0E18</v>
      </c>
      <c r="T260" s="875"/>
      <c r="U260" s="874">
        <v>9.0E18</v>
      </c>
      <c r="V260" s="875"/>
      <c r="W260" s="875"/>
      <c r="X260" s="875"/>
      <c r="Y260" s="878">
        <v>9.0E18</v>
      </c>
      <c r="Z260" s="875"/>
      <c r="AA260" s="73"/>
      <c r="AB260" s="73"/>
    </row>
    <row r="261">
      <c r="A261" s="73"/>
      <c r="B261" s="872">
        <v>5893.437</v>
      </c>
      <c r="C261" s="872">
        <v>289034.858221501</v>
      </c>
      <c r="D261" s="872">
        <v>2627.01293349457</v>
      </c>
      <c r="E261" s="872">
        <v>11704.4256906767</v>
      </c>
      <c r="F261" s="872"/>
      <c r="G261" s="872"/>
      <c r="H261" s="73"/>
      <c r="I261" s="874">
        <v>9.34E18</v>
      </c>
      <c r="J261" s="874">
        <v>9.34E18</v>
      </c>
      <c r="K261" s="874">
        <v>9.34E18</v>
      </c>
      <c r="L261" s="874">
        <v>9.34E18</v>
      </c>
      <c r="M261" s="874">
        <v>9.34E18</v>
      </c>
      <c r="N261" s="875"/>
      <c r="O261" s="874">
        <v>9.34E18</v>
      </c>
      <c r="P261" s="874">
        <v>9.34E18</v>
      </c>
      <c r="Q261" s="874">
        <v>9.34E18</v>
      </c>
      <c r="R261" s="874">
        <v>9.34E18</v>
      </c>
      <c r="S261" s="874">
        <v>9.34E18</v>
      </c>
      <c r="T261" s="875"/>
      <c r="U261" s="874">
        <v>9.34E18</v>
      </c>
      <c r="V261" s="875"/>
      <c r="W261" s="875"/>
      <c r="X261" s="875"/>
      <c r="Y261" s="878">
        <v>9.34E18</v>
      </c>
      <c r="Z261" s="875"/>
      <c r="AA261" s="73"/>
      <c r="AB261" s="73"/>
    </row>
    <row r="262">
      <c r="A262" s="73"/>
      <c r="B262" s="872">
        <v>5936.2</v>
      </c>
      <c r="C262" s="872">
        <v>292083.207511827</v>
      </c>
      <c r="D262" s="872">
        <v>2652.16989506531</v>
      </c>
      <c r="E262" s="872">
        <v>11822.3727588098</v>
      </c>
      <c r="F262" s="872"/>
      <c r="G262" s="872"/>
      <c r="H262" s="73"/>
      <c r="I262" s="874">
        <v>9.7E18</v>
      </c>
      <c r="J262" s="874">
        <v>9.7E18</v>
      </c>
      <c r="K262" s="874">
        <v>9.7E18</v>
      </c>
      <c r="L262" s="874">
        <v>9.7E18</v>
      </c>
      <c r="M262" s="874">
        <v>9.7E18</v>
      </c>
      <c r="N262" s="875"/>
      <c r="O262" s="874">
        <v>9.7E18</v>
      </c>
      <c r="P262" s="874">
        <v>9.7E18</v>
      </c>
      <c r="Q262" s="874">
        <v>9.7E18</v>
      </c>
      <c r="R262" s="874">
        <v>9.7E18</v>
      </c>
      <c r="S262" s="874">
        <v>9.7E18</v>
      </c>
      <c r="T262" s="875"/>
      <c r="U262" s="874">
        <v>9.7E18</v>
      </c>
      <c r="V262" s="875"/>
      <c r="W262" s="875"/>
      <c r="X262" s="875"/>
      <c r="Y262" s="878">
        <v>9.7E18</v>
      </c>
      <c r="Z262" s="875"/>
      <c r="AA262" s="73"/>
      <c r="AB262" s="73"/>
    </row>
    <row r="263">
      <c r="A263" s="73"/>
      <c r="B263" s="872">
        <v>5979.117</v>
      </c>
      <c r="C263" s="872">
        <v>295151.802739091</v>
      </c>
      <c r="D263" s="872">
        <v>2677.55978339386</v>
      </c>
      <c r="E263" s="872">
        <v>11941.0586734029</v>
      </c>
      <c r="F263" s="872"/>
      <c r="G263" s="872"/>
      <c r="H263" s="73"/>
      <c r="I263" s="874">
        <v>1.006E19</v>
      </c>
      <c r="J263" s="874">
        <v>1.006E19</v>
      </c>
      <c r="K263" s="874">
        <v>1.006E19</v>
      </c>
      <c r="L263" s="874">
        <v>1.006E19</v>
      </c>
      <c r="M263" s="874">
        <v>1.006E19</v>
      </c>
      <c r="N263" s="875"/>
      <c r="O263" s="874">
        <v>1.006E19</v>
      </c>
      <c r="P263" s="874">
        <v>1.006E19</v>
      </c>
      <c r="Q263" s="874">
        <v>1.006E19</v>
      </c>
      <c r="R263" s="874">
        <v>1.006E19</v>
      </c>
      <c r="S263" s="874">
        <v>1.006E19</v>
      </c>
      <c r="T263" s="875"/>
      <c r="U263" s="874">
        <v>1.006E19</v>
      </c>
      <c r="V263" s="875"/>
      <c r="W263" s="875"/>
      <c r="X263" s="875"/>
      <c r="Y263" s="878">
        <v>1.006E19</v>
      </c>
      <c r="Z263" s="875"/>
      <c r="AA263" s="73"/>
      <c r="AB263" s="73"/>
    </row>
    <row r="264">
      <c r="A264" s="73"/>
      <c r="B264" s="872">
        <v>6022.188</v>
      </c>
      <c r="C264" s="872">
        <v>298240.772653289</v>
      </c>
      <c r="D264" s="872">
        <v>2703.18485403442</v>
      </c>
      <c r="E264" s="872">
        <v>12060.4847329561</v>
      </c>
      <c r="F264" s="872"/>
      <c r="G264" s="872"/>
      <c r="H264" s="73"/>
      <c r="I264" s="874">
        <v>1.044E19</v>
      </c>
      <c r="J264" s="874">
        <v>1.044E19</v>
      </c>
      <c r="K264" s="874">
        <v>1.044E19</v>
      </c>
      <c r="L264" s="874">
        <v>1.044E19</v>
      </c>
      <c r="M264" s="874">
        <v>1.044E19</v>
      </c>
      <c r="N264" s="875"/>
      <c r="O264" s="874">
        <v>1.044E19</v>
      </c>
      <c r="P264" s="874">
        <v>1.044E19</v>
      </c>
      <c r="Q264" s="874">
        <v>1.044E19</v>
      </c>
      <c r="R264" s="874">
        <v>1.044E19</v>
      </c>
      <c r="S264" s="874">
        <v>1.044E19</v>
      </c>
      <c r="T264" s="875"/>
      <c r="U264" s="874">
        <v>1.044E19</v>
      </c>
      <c r="V264" s="875"/>
      <c r="W264" s="875"/>
      <c r="X264" s="875"/>
      <c r="Y264" s="878">
        <v>1.044E19</v>
      </c>
      <c r="Z264" s="875"/>
      <c r="AA264" s="73"/>
      <c r="AB264" s="73"/>
    </row>
    <row r="265">
      <c r="A265" s="73"/>
      <c r="B265" s="872">
        <v>6065.413</v>
      </c>
      <c r="C265" s="872">
        <v>301350.117254421</v>
      </c>
      <c r="D265" s="872">
        <v>2729.04806713104</v>
      </c>
      <c r="E265" s="872">
        <v>12180.6509374694</v>
      </c>
      <c r="F265" s="872"/>
      <c r="G265" s="872"/>
      <c r="H265" s="73"/>
      <c r="I265" s="874">
        <v>1.082E19</v>
      </c>
      <c r="J265" s="874">
        <v>1.082E19</v>
      </c>
      <c r="K265" s="874">
        <v>1.082E19</v>
      </c>
      <c r="L265" s="874">
        <v>1.082E19</v>
      </c>
      <c r="M265" s="874">
        <v>1.082E19</v>
      </c>
      <c r="N265" s="875"/>
      <c r="O265" s="874">
        <v>1.082E19</v>
      </c>
      <c r="P265" s="874">
        <v>1.082E19</v>
      </c>
      <c r="Q265" s="874">
        <v>1.082E19</v>
      </c>
      <c r="R265" s="874">
        <v>1.082E19</v>
      </c>
      <c r="S265" s="874">
        <v>1.082E19</v>
      </c>
      <c r="T265" s="875"/>
      <c r="U265" s="874">
        <v>1.082E19</v>
      </c>
      <c r="V265" s="875"/>
      <c r="W265" s="875"/>
      <c r="X265" s="875"/>
      <c r="Y265" s="878">
        <v>1.082E19</v>
      </c>
      <c r="Z265" s="875"/>
      <c r="AA265" s="73"/>
      <c r="AB265" s="73"/>
    </row>
    <row r="266">
      <c r="A266" s="73"/>
      <c r="B266" s="872">
        <v>6108.792</v>
      </c>
      <c r="C266" s="872">
        <v>304479.900917485</v>
      </c>
      <c r="D266" s="872">
        <v>2755.15114033508</v>
      </c>
      <c r="E266" s="872">
        <v>12301.5611824424</v>
      </c>
      <c r="F266" s="872"/>
      <c r="G266" s="872"/>
      <c r="H266" s="73"/>
      <c r="I266" s="874">
        <v>1.122E19</v>
      </c>
      <c r="J266" s="874">
        <v>1.122E19</v>
      </c>
      <c r="K266" s="874">
        <v>1.122E19</v>
      </c>
      <c r="L266" s="874">
        <v>1.122E19</v>
      </c>
      <c r="M266" s="874">
        <v>1.122E19</v>
      </c>
      <c r="N266" s="875"/>
      <c r="O266" s="874">
        <v>1.122E19</v>
      </c>
      <c r="P266" s="874">
        <v>1.122E19</v>
      </c>
      <c r="Q266" s="874">
        <v>1.122E19</v>
      </c>
      <c r="R266" s="874">
        <v>1.122E19</v>
      </c>
      <c r="S266" s="874">
        <v>1.122E19</v>
      </c>
      <c r="T266" s="875"/>
      <c r="U266" s="874">
        <v>1.122E19</v>
      </c>
      <c r="V266" s="875"/>
      <c r="W266" s="875"/>
      <c r="X266" s="875"/>
      <c r="Y266" s="878">
        <v>1.122E19</v>
      </c>
      <c r="Z266" s="875"/>
      <c r="AA266" s="73"/>
      <c r="AB266" s="73"/>
    </row>
    <row r="267">
      <c r="A267" s="73"/>
      <c r="B267" s="872">
        <v>6152.325</v>
      </c>
      <c r="C267" s="872">
        <v>307630.18801748</v>
      </c>
      <c r="D267" s="872">
        <v>2781.4962494278</v>
      </c>
      <c r="E267" s="872">
        <v>12423.2167663753</v>
      </c>
      <c r="F267" s="872"/>
      <c r="G267" s="872"/>
      <c r="H267" s="73"/>
      <c r="I267" s="874">
        <v>1.163E19</v>
      </c>
      <c r="J267" s="874">
        <v>1.163E19</v>
      </c>
      <c r="K267" s="874">
        <v>1.163E19</v>
      </c>
      <c r="L267" s="874">
        <v>1.163E19</v>
      </c>
      <c r="M267" s="874">
        <v>1.163E19</v>
      </c>
      <c r="N267" s="875"/>
      <c r="O267" s="874">
        <v>1.163E19</v>
      </c>
      <c r="P267" s="874">
        <v>1.163E19</v>
      </c>
      <c r="Q267" s="874">
        <v>1.163E19</v>
      </c>
      <c r="R267" s="874">
        <v>1.163E19</v>
      </c>
      <c r="S267" s="874">
        <v>1.163E19</v>
      </c>
      <c r="T267" s="875"/>
      <c r="U267" s="874">
        <v>1.163E19</v>
      </c>
      <c r="V267" s="875"/>
      <c r="W267" s="875"/>
      <c r="X267" s="875"/>
      <c r="Y267" s="878">
        <v>1.163E19</v>
      </c>
      <c r="Z267" s="875"/>
      <c r="AA267" s="73"/>
      <c r="AB267" s="73"/>
    </row>
    <row r="268">
      <c r="A268" s="73"/>
      <c r="B268" s="872">
        <v>6196.012</v>
      </c>
      <c r="C268" s="872">
        <v>310801.042929403</v>
      </c>
      <c r="D268" s="872">
        <v>2808.08519494629</v>
      </c>
      <c r="E268" s="872">
        <v>12545.6189877678</v>
      </c>
      <c r="F268" s="872"/>
      <c r="G268" s="872"/>
      <c r="H268" s="73"/>
      <c r="I268" s="874">
        <v>1.205E19</v>
      </c>
      <c r="J268" s="874">
        <v>1.205E19</v>
      </c>
      <c r="K268" s="874">
        <v>1.205E19</v>
      </c>
      <c r="L268" s="874">
        <v>1.205E19</v>
      </c>
      <c r="M268" s="874">
        <v>1.205E19</v>
      </c>
      <c r="N268" s="875"/>
      <c r="O268" s="874">
        <v>1.205E19</v>
      </c>
      <c r="P268" s="874">
        <v>1.205E19</v>
      </c>
      <c r="Q268" s="874">
        <v>1.205E19</v>
      </c>
      <c r="R268" s="874">
        <v>1.205E19</v>
      </c>
      <c r="S268" s="874">
        <v>1.205E19</v>
      </c>
      <c r="T268" s="875"/>
      <c r="U268" s="874">
        <v>1.205E19</v>
      </c>
      <c r="V268" s="875"/>
      <c r="W268" s="875"/>
      <c r="X268" s="875"/>
      <c r="Y268" s="878">
        <v>1.205E19</v>
      </c>
      <c r="Z268" s="875"/>
      <c r="AA268" s="73"/>
      <c r="AB268" s="73"/>
    </row>
    <row r="269">
      <c r="A269" s="73"/>
      <c r="B269" s="872">
        <v>6239.853</v>
      </c>
      <c r="C269" s="872">
        <v>313992.497840755</v>
      </c>
      <c r="D269" s="872">
        <v>2834.92025936127</v>
      </c>
      <c r="E269" s="872">
        <v>12668.7704436199</v>
      </c>
      <c r="F269" s="872"/>
      <c r="G269" s="872"/>
      <c r="H269" s="73"/>
      <c r="I269" s="874">
        <v>1.248E19</v>
      </c>
      <c r="J269" s="874">
        <v>1.248E19</v>
      </c>
      <c r="K269" s="874">
        <v>1.248E19</v>
      </c>
      <c r="L269" s="874">
        <v>1.248E19</v>
      </c>
      <c r="M269" s="874">
        <v>1.248E19</v>
      </c>
      <c r="N269" s="875"/>
      <c r="O269" s="874">
        <v>1.248E19</v>
      </c>
      <c r="P269" s="874">
        <v>1.248E19</v>
      </c>
      <c r="Q269" s="874">
        <v>1.248E19</v>
      </c>
      <c r="R269" s="874">
        <v>1.248E19</v>
      </c>
      <c r="S269" s="874">
        <v>1.248E19</v>
      </c>
      <c r="T269" s="875"/>
      <c r="U269" s="874">
        <v>1.248E19</v>
      </c>
      <c r="V269" s="875"/>
      <c r="W269" s="875"/>
      <c r="X269" s="875"/>
      <c r="Y269" s="878">
        <v>1.248E19</v>
      </c>
      <c r="Z269" s="875"/>
      <c r="AA269" s="73"/>
      <c r="AB269" s="73"/>
    </row>
    <row r="270">
      <c r="A270" s="73"/>
      <c r="B270" s="872">
        <v>6283.848</v>
      </c>
      <c r="C270" s="872">
        <v>317204.617126532</v>
      </c>
      <c r="D270" s="872">
        <v>2862.00308573914</v>
      </c>
      <c r="E270" s="872">
        <v>12792.6711339316</v>
      </c>
      <c r="F270" s="872"/>
      <c r="G270" s="872"/>
      <c r="H270" s="73"/>
      <c r="I270" s="874">
        <v>1.292E19</v>
      </c>
      <c r="J270" s="874">
        <v>1.292E19</v>
      </c>
      <c r="K270" s="874">
        <v>1.292E19</v>
      </c>
      <c r="L270" s="874">
        <v>1.292E19</v>
      </c>
      <c r="M270" s="874">
        <v>1.292E19</v>
      </c>
      <c r="N270" s="875"/>
      <c r="O270" s="874">
        <v>1.292E19</v>
      </c>
      <c r="P270" s="874">
        <v>1.292E19</v>
      </c>
      <c r="Q270" s="874">
        <v>1.292E19</v>
      </c>
      <c r="R270" s="874">
        <v>1.292E19</v>
      </c>
      <c r="S270" s="874">
        <v>1.292E19</v>
      </c>
      <c r="T270" s="875"/>
      <c r="U270" s="874">
        <v>1.292E19</v>
      </c>
      <c r="V270" s="875"/>
      <c r="W270" s="875"/>
      <c r="X270" s="875"/>
      <c r="Y270" s="878">
        <v>1.292E19</v>
      </c>
      <c r="Z270" s="875"/>
      <c r="AA270" s="73"/>
      <c r="AB270" s="73"/>
    </row>
    <row r="271">
      <c r="A271" s="73"/>
      <c r="B271" s="872">
        <v>6327.997</v>
      </c>
      <c r="C271" s="872">
        <v>320437.497349232</v>
      </c>
      <c r="D271" s="872">
        <v>2889.33525218201</v>
      </c>
      <c r="E271" s="872">
        <v>12917.3249542025</v>
      </c>
      <c r="F271" s="872"/>
      <c r="G271" s="872"/>
      <c r="H271" s="73"/>
      <c r="I271" s="874">
        <v>1.337E19</v>
      </c>
      <c r="J271" s="874">
        <v>1.337E19</v>
      </c>
      <c r="K271" s="874">
        <v>1.337E19</v>
      </c>
      <c r="L271" s="874">
        <v>1.337E19</v>
      </c>
      <c r="M271" s="874">
        <v>1.337E19</v>
      </c>
      <c r="N271" s="875"/>
      <c r="O271" s="874">
        <v>1.337E19</v>
      </c>
      <c r="P271" s="874">
        <v>1.337E19</v>
      </c>
      <c r="Q271" s="874">
        <v>1.337E19</v>
      </c>
      <c r="R271" s="874">
        <v>1.337E19</v>
      </c>
      <c r="S271" s="874">
        <v>1.337E19</v>
      </c>
      <c r="T271" s="875"/>
      <c r="U271" s="874">
        <v>1.337E19</v>
      </c>
      <c r="V271" s="875"/>
      <c r="W271" s="875"/>
      <c r="X271" s="875"/>
      <c r="Y271" s="878">
        <v>1.337E19</v>
      </c>
      <c r="Z271" s="875"/>
      <c r="AA271" s="73"/>
      <c r="AB271" s="73"/>
    </row>
    <row r="272">
      <c r="A272" s="73"/>
      <c r="B272" s="872">
        <v>6372.3</v>
      </c>
      <c r="C272" s="872">
        <v>323691.106321357</v>
      </c>
      <c r="D272" s="872">
        <v>2916.91911908722</v>
      </c>
      <c r="E272" s="872">
        <v>13042.7332029328</v>
      </c>
      <c r="F272" s="872"/>
      <c r="G272" s="872"/>
      <c r="H272" s="73"/>
      <c r="I272" s="874">
        <v>1.384E19</v>
      </c>
      <c r="J272" s="874">
        <v>1.384E19</v>
      </c>
      <c r="K272" s="874">
        <v>1.384E19</v>
      </c>
      <c r="L272" s="874">
        <v>1.384E19</v>
      </c>
      <c r="M272" s="874">
        <v>1.384E19</v>
      </c>
      <c r="N272" s="875"/>
      <c r="O272" s="874">
        <v>1.384E19</v>
      </c>
      <c r="P272" s="874">
        <v>1.384E19</v>
      </c>
      <c r="Q272" s="874">
        <v>1.384E19</v>
      </c>
      <c r="R272" s="874">
        <v>1.384E19</v>
      </c>
      <c r="S272" s="874">
        <v>1.384E19</v>
      </c>
      <c r="T272" s="875"/>
      <c r="U272" s="874">
        <v>1.384E19</v>
      </c>
      <c r="V272" s="875"/>
      <c r="W272" s="875"/>
      <c r="X272" s="875"/>
      <c r="Y272" s="878">
        <v>1.384E19</v>
      </c>
      <c r="Z272" s="875"/>
      <c r="AA272" s="73"/>
      <c r="AB272" s="73"/>
    </row>
    <row r="273">
      <c r="A273" s="73"/>
      <c r="B273" s="872">
        <v>6416.757</v>
      </c>
      <c r="C273" s="872">
        <v>326965.604980402</v>
      </c>
      <c r="D273" s="872">
        <v>2944.75558120728</v>
      </c>
      <c r="E273" s="872">
        <v>13168.8958801224</v>
      </c>
      <c r="F273" s="872"/>
      <c r="G273" s="872"/>
      <c r="H273" s="73"/>
      <c r="I273" s="874">
        <v>1.432E19</v>
      </c>
      <c r="J273" s="874">
        <v>1.432E19</v>
      </c>
      <c r="K273" s="874">
        <v>1.432E19</v>
      </c>
      <c r="L273" s="874">
        <v>1.432E19</v>
      </c>
      <c r="M273" s="874">
        <v>1.432E19</v>
      </c>
      <c r="N273" s="875"/>
      <c r="O273" s="874">
        <v>1.432E19</v>
      </c>
      <c r="P273" s="874">
        <v>1.432E19</v>
      </c>
      <c r="Q273" s="874">
        <v>1.432E19</v>
      </c>
      <c r="R273" s="874">
        <v>1.432E19</v>
      </c>
      <c r="S273" s="874">
        <v>1.432E19</v>
      </c>
      <c r="T273" s="875"/>
      <c r="U273" s="874">
        <v>1.432E19</v>
      </c>
      <c r="V273" s="875"/>
      <c r="W273" s="875"/>
      <c r="X273" s="875"/>
      <c r="Y273" s="878">
        <v>1.432E19</v>
      </c>
      <c r="Z273" s="875"/>
      <c r="AA273" s="73"/>
      <c r="AB273" s="73"/>
    </row>
    <row r="274">
      <c r="A274" s="73"/>
      <c r="B274" s="872">
        <v>6461.368</v>
      </c>
      <c r="C274" s="872">
        <v>330260.961138867</v>
      </c>
      <c r="D274" s="872">
        <v>2972.84661339569</v>
      </c>
      <c r="E274" s="872">
        <v>13295.816881271</v>
      </c>
      <c r="F274" s="872"/>
      <c r="G274" s="872"/>
      <c r="H274" s="73"/>
      <c r="I274" s="874">
        <v>1.481E19</v>
      </c>
      <c r="J274" s="874">
        <v>1.481E19</v>
      </c>
      <c r="K274" s="874">
        <v>1.481E19</v>
      </c>
      <c r="L274" s="874">
        <v>1.481E19</v>
      </c>
      <c r="M274" s="874">
        <v>1.481E19</v>
      </c>
      <c r="N274" s="875"/>
      <c r="O274" s="874">
        <v>1.481E19</v>
      </c>
      <c r="P274" s="874">
        <v>1.481E19</v>
      </c>
      <c r="Q274" s="874">
        <v>1.481E19</v>
      </c>
      <c r="R274" s="874">
        <v>1.481E19</v>
      </c>
      <c r="S274" s="874">
        <v>1.481E19</v>
      </c>
      <c r="T274" s="875"/>
      <c r="U274" s="874">
        <v>1.481E19</v>
      </c>
      <c r="V274" s="875"/>
      <c r="W274" s="875"/>
      <c r="X274" s="875"/>
      <c r="Y274" s="878">
        <v>1.481E19</v>
      </c>
      <c r="Z274" s="875"/>
      <c r="AA274" s="73"/>
      <c r="AB274" s="73"/>
    </row>
    <row r="275">
      <c r="A275" s="73"/>
      <c r="B275" s="872">
        <v>6506.133</v>
      </c>
      <c r="C275" s="872">
        <v>333577.303546749</v>
      </c>
      <c r="D275" s="872">
        <v>3001.19357673645</v>
      </c>
      <c r="E275" s="872">
        <v>13423.4975048786</v>
      </c>
      <c r="F275" s="872"/>
      <c r="G275" s="872"/>
      <c r="H275" s="73"/>
      <c r="I275" s="874">
        <v>1.531E19</v>
      </c>
      <c r="J275" s="874">
        <v>1.531E19</v>
      </c>
      <c r="K275" s="874">
        <v>1.531E19</v>
      </c>
      <c r="L275" s="874">
        <v>1.531E19</v>
      </c>
      <c r="M275" s="874">
        <v>1.531E19</v>
      </c>
      <c r="N275" s="875"/>
      <c r="O275" s="874">
        <v>1.531E19</v>
      </c>
      <c r="P275" s="874">
        <v>1.531E19</v>
      </c>
      <c r="Q275" s="874">
        <v>1.531E19</v>
      </c>
      <c r="R275" s="874">
        <v>1.531E19</v>
      </c>
      <c r="S275" s="874">
        <v>1.531E19</v>
      </c>
      <c r="T275" s="875"/>
      <c r="U275" s="874">
        <v>1.531E19</v>
      </c>
      <c r="V275" s="875"/>
      <c r="W275" s="875"/>
      <c r="X275" s="875"/>
      <c r="Y275" s="878">
        <v>1.531E19</v>
      </c>
      <c r="Z275" s="875"/>
      <c r="AA275" s="73"/>
      <c r="AB275" s="73"/>
    </row>
    <row r="276">
      <c r="A276" s="73"/>
      <c r="B276" s="872">
        <v>6551.052</v>
      </c>
      <c r="C276" s="872">
        <v>336914.632204048</v>
      </c>
      <c r="D276" s="872">
        <v>3029.79834964752</v>
      </c>
      <c r="E276" s="872">
        <v>13551.9390494451</v>
      </c>
      <c r="F276" s="872"/>
      <c r="G276" s="872"/>
      <c r="H276" s="73"/>
      <c r="I276" s="874">
        <v>1.583E19</v>
      </c>
      <c r="J276" s="874">
        <v>1.583E19</v>
      </c>
      <c r="K276" s="874">
        <v>1.583E19</v>
      </c>
      <c r="L276" s="874">
        <v>1.583E19</v>
      </c>
      <c r="M276" s="874">
        <v>1.583E19</v>
      </c>
      <c r="N276" s="875"/>
      <c r="O276" s="874">
        <v>1.583E19</v>
      </c>
      <c r="P276" s="874">
        <v>1.583E19</v>
      </c>
      <c r="Q276" s="874">
        <v>1.583E19</v>
      </c>
      <c r="R276" s="874">
        <v>1.583E19</v>
      </c>
      <c r="S276" s="874">
        <v>1.583E19</v>
      </c>
      <c r="T276" s="875"/>
      <c r="U276" s="874">
        <v>1.583E19</v>
      </c>
      <c r="V276" s="875"/>
      <c r="W276" s="875"/>
      <c r="X276" s="875"/>
      <c r="Y276" s="878">
        <v>1.583E19</v>
      </c>
      <c r="Z276" s="875"/>
      <c r="AA276" s="73"/>
      <c r="AB276" s="73"/>
    </row>
    <row r="277">
      <c r="A277" s="73"/>
      <c r="B277" s="872">
        <v>6596.125</v>
      </c>
      <c r="C277" s="872">
        <v>340273.011485763</v>
      </c>
      <c r="D277" s="872">
        <v>3058.66221142578</v>
      </c>
      <c r="E277" s="872">
        <v>13681.1428134705</v>
      </c>
      <c r="F277" s="872"/>
      <c r="G277" s="872"/>
      <c r="H277" s="73"/>
      <c r="I277" s="874">
        <v>1.636E19</v>
      </c>
      <c r="J277" s="874">
        <v>1.636E19</v>
      </c>
      <c r="K277" s="874">
        <v>1.636E19</v>
      </c>
      <c r="L277" s="874">
        <v>1.636E19</v>
      </c>
      <c r="M277" s="874">
        <v>1.636E19</v>
      </c>
      <c r="N277" s="875"/>
      <c r="O277" s="874">
        <v>1.636E19</v>
      </c>
      <c r="P277" s="874">
        <v>1.636E19</v>
      </c>
      <c r="Q277" s="874">
        <v>1.636E19</v>
      </c>
      <c r="R277" s="874">
        <v>1.636E19</v>
      </c>
      <c r="S277" s="874">
        <v>1.636E19</v>
      </c>
      <c r="T277" s="875"/>
      <c r="U277" s="874">
        <v>1.636E19</v>
      </c>
      <c r="V277" s="875"/>
      <c r="W277" s="875"/>
      <c r="X277" s="875"/>
      <c r="Y277" s="878">
        <v>1.636E19</v>
      </c>
      <c r="Z277" s="875"/>
      <c r="AA277" s="73"/>
      <c r="AB277" s="73"/>
    </row>
    <row r="278">
      <c r="A278" s="73"/>
      <c r="B278" s="872">
        <v>6641.352</v>
      </c>
      <c r="C278" s="872">
        <v>343652.473579392</v>
      </c>
      <c r="D278" s="872">
        <v>3087.7863998642</v>
      </c>
      <c r="E278" s="872">
        <v>13811.1113939546</v>
      </c>
      <c r="F278" s="872"/>
      <c r="G278" s="872"/>
      <c r="H278" s="73"/>
      <c r="I278" s="874">
        <v>1.691E19</v>
      </c>
      <c r="J278" s="874">
        <v>1.691E19</v>
      </c>
      <c r="K278" s="874">
        <v>1.691E19</v>
      </c>
      <c r="L278" s="874">
        <v>1.691E19</v>
      </c>
      <c r="M278" s="874">
        <v>1.691E19</v>
      </c>
      <c r="N278" s="875"/>
      <c r="O278" s="874">
        <v>1.691E19</v>
      </c>
      <c r="P278" s="874">
        <v>1.691E19</v>
      </c>
      <c r="Q278" s="874">
        <v>1.691E19</v>
      </c>
      <c r="R278" s="874">
        <v>1.691E19</v>
      </c>
      <c r="S278" s="874">
        <v>1.691E19</v>
      </c>
      <c r="T278" s="875"/>
      <c r="U278" s="874">
        <v>1.691E19</v>
      </c>
      <c r="V278" s="875"/>
      <c r="W278" s="875"/>
      <c r="X278" s="875"/>
      <c r="Y278" s="878">
        <v>1.691E19</v>
      </c>
      <c r="Z278" s="875"/>
      <c r="AA278" s="73"/>
      <c r="AB278" s="73"/>
    </row>
    <row r="279">
      <c r="A279" s="73"/>
      <c r="B279" s="872">
        <v>6686.733</v>
      </c>
      <c r="C279" s="872">
        <v>347053.179422431</v>
      </c>
      <c r="D279" s="872">
        <v>3117.17240226746</v>
      </c>
      <c r="E279" s="872">
        <v>13941.8460893973</v>
      </c>
      <c r="F279" s="872"/>
      <c r="G279" s="872"/>
      <c r="H279" s="73"/>
      <c r="I279" s="874">
        <v>1.746E19</v>
      </c>
      <c r="J279" s="874">
        <v>1.746E19</v>
      </c>
      <c r="K279" s="874">
        <v>1.746E19</v>
      </c>
      <c r="L279" s="874">
        <v>1.746E19</v>
      </c>
      <c r="M279" s="874">
        <v>1.746E19</v>
      </c>
      <c r="N279" s="875"/>
      <c r="O279" s="874">
        <v>1.746E19</v>
      </c>
      <c r="P279" s="874">
        <v>1.746E19</v>
      </c>
      <c r="Q279" s="874">
        <v>1.746E19</v>
      </c>
      <c r="R279" s="874">
        <v>1.746E19</v>
      </c>
      <c r="S279" s="874">
        <v>1.746E19</v>
      </c>
      <c r="T279" s="875"/>
      <c r="U279" s="874">
        <v>1.746E19</v>
      </c>
      <c r="V279" s="875"/>
      <c r="W279" s="875"/>
      <c r="X279" s="875"/>
      <c r="Y279" s="878">
        <v>1.746E19</v>
      </c>
      <c r="Z279" s="875"/>
      <c r="AA279" s="73"/>
      <c r="AB279" s="73"/>
    </row>
    <row r="280">
      <c r="A280" s="73"/>
      <c r="B280" s="872">
        <v>6732.268</v>
      </c>
      <c r="C280" s="872">
        <v>350475.064639881</v>
      </c>
      <c r="D280" s="872">
        <v>3146.82167176056</v>
      </c>
      <c r="E280" s="872">
        <v>14073.3494967985</v>
      </c>
      <c r="F280" s="872"/>
      <c r="G280" s="872"/>
      <c r="H280" s="73"/>
      <c r="I280" s="874">
        <v>1.804E19</v>
      </c>
      <c r="J280" s="874">
        <v>1.804E19</v>
      </c>
      <c r="K280" s="874">
        <v>1.804E19</v>
      </c>
      <c r="L280" s="874">
        <v>1.804E19</v>
      </c>
      <c r="M280" s="874">
        <v>1.804E19</v>
      </c>
      <c r="N280" s="875"/>
      <c r="O280" s="874">
        <v>1.804E19</v>
      </c>
      <c r="P280" s="874">
        <v>1.804E19</v>
      </c>
      <c r="Q280" s="874">
        <v>1.804E19</v>
      </c>
      <c r="R280" s="874">
        <v>1.804E19</v>
      </c>
      <c r="S280" s="874">
        <v>1.804E19</v>
      </c>
      <c r="T280" s="875"/>
      <c r="U280" s="874">
        <v>1.804E19</v>
      </c>
      <c r="V280" s="875"/>
      <c r="W280" s="875"/>
      <c r="X280" s="875"/>
      <c r="Y280" s="878">
        <v>1.804E19</v>
      </c>
      <c r="Z280" s="875"/>
      <c r="AA280" s="73"/>
      <c r="AB280" s="73"/>
    </row>
    <row r="281">
      <c r="A281" s="73"/>
      <c r="B281" s="872">
        <v>6777.957</v>
      </c>
      <c r="C281" s="872">
        <v>353918.225794241</v>
      </c>
      <c r="D281" s="872">
        <v>3176.73562484741</v>
      </c>
      <c r="E281" s="872">
        <v>14205.6229146582</v>
      </c>
      <c r="F281" s="872"/>
      <c r="G281" s="872"/>
      <c r="H281" s="73"/>
      <c r="I281" s="874">
        <v>1.862E19</v>
      </c>
      <c r="J281" s="874">
        <v>1.862E19</v>
      </c>
      <c r="K281" s="874">
        <v>1.862E19</v>
      </c>
      <c r="L281" s="874">
        <v>1.862E19</v>
      </c>
      <c r="M281" s="874">
        <v>1.862E19</v>
      </c>
      <c r="N281" s="875"/>
      <c r="O281" s="874">
        <v>1.862E19</v>
      </c>
      <c r="P281" s="874">
        <v>1.862E19</v>
      </c>
      <c r="Q281" s="874">
        <v>1.862E19</v>
      </c>
      <c r="R281" s="874">
        <v>1.862E19</v>
      </c>
      <c r="S281" s="874">
        <v>1.862E19</v>
      </c>
      <c r="T281" s="875"/>
      <c r="U281" s="874">
        <v>1.862E19</v>
      </c>
      <c r="V281" s="875"/>
      <c r="W281" s="875"/>
      <c r="X281" s="875"/>
      <c r="Y281" s="878">
        <v>1.862E19</v>
      </c>
      <c r="Z281" s="875"/>
      <c r="AA281" s="73"/>
      <c r="AB281" s="73"/>
    </row>
    <row r="282">
      <c r="A282" s="73"/>
      <c r="B282" s="872">
        <v>6823.8</v>
      </c>
      <c r="C282" s="872">
        <v>357382.759448007</v>
      </c>
      <c r="D282" s="872">
        <v>3206.91537969208</v>
      </c>
      <c r="E282" s="872">
        <v>14338.6676414762</v>
      </c>
      <c r="F282" s="872"/>
      <c r="G282" s="872"/>
      <c r="H282" s="73"/>
      <c r="I282" s="874">
        <v>1.923E19</v>
      </c>
      <c r="J282" s="874">
        <v>1.923E19</v>
      </c>
      <c r="K282" s="874">
        <v>1.923E19</v>
      </c>
      <c r="L282" s="874">
        <v>1.923E19</v>
      </c>
      <c r="M282" s="874">
        <v>1.923E19</v>
      </c>
      <c r="N282" s="875"/>
      <c r="O282" s="874">
        <v>1.923E19</v>
      </c>
      <c r="P282" s="874">
        <v>1.923E19</v>
      </c>
      <c r="Q282" s="874">
        <v>1.923E19</v>
      </c>
      <c r="R282" s="874">
        <v>1.923E19</v>
      </c>
      <c r="S282" s="874">
        <v>1.923E19</v>
      </c>
      <c r="T282" s="875"/>
      <c r="U282" s="874">
        <v>1.923E19</v>
      </c>
      <c r="V282" s="875"/>
      <c r="W282" s="875"/>
      <c r="X282" s="875"/>
      <c r="Y282" s="878">
        <v>1.923E19</v>
      </c>
      <c r="Z282" s="875"/>
      <c r="AA282" s="73"/>
      <c r="AB282" s="73"/>
    </row>
    <row r="283">
      <c r="A283" s="73"/>
      <c r="B283" s="872">
        <v>6869.797</v>
      </c>
      <c r="C283" s="872">
        <v>360868.665601179</v>
      </c>
      <c r="D283" s="872">
        <v>3237.36229664612</v>
      </c>
      <c r="E283" s="872">
        <v>14472.4849757526</v>
      </c>
      <c r="F283" s="872"/>
      <c r="G283" s="872"/>
      <c r="H283" s="73"/>
      <c r="I283" s="874">
        <v>1.984E19</v>
      </c>
      <c r="J283" s="874">
        <v>1.984E19</v>
      </c>
      <c r="K283" s="874">
        <v>1.984E19</v>
      </c>
      <c r="L283" s="874">
        <v>1.984E19</v>
      </c>
      <c r="M283" s="874">
        <v>1.984E19</v>
      </c>
      <c r="N283" s="875"/>
      <c r="O283" s="874">
        <v>1.984E19</v>
      </c>
      <c r="P283" s="874">
        <v>1.984E19</v>
      </c>
      <c r="Q283" s="874">
        <v>1.984E19</v>
      </c>
      <c r="R283" s="874">
        <v>1.984E19</v>
      </c>
      <c r="S283" s="874">
        <v>1.984E19</v>
      </c>
      <c r="T283" s="875"/>
      <c r="U283" s="874">
        <v>1.984E19</v>
      </c>
      <c r="V283" s="875"/>
      <c r="W283" s="875"/>
      <c r="X283" s="875"/>
      <c r="Y283" s="878">
        <v>1.984E19</v>
      </c>
      <c r="Z283" s="875"/>
      <c r="AA283" s="73"/>
      <c r="AB283" s="73"/>
    </row>
    <row r="284">
      <c r="A284" s="73"/>
      <c r="B284" s="872">
        <v>6915.948</v>
      </c>
      <c r="C284" s="872">
        <v>364376.040816255</v>
      </c>
      <c r="D284" s="872">
        <v>3268.07743527985</v>
      </c>
      <c r="E284" s="872">
        <v>14607.0775144871</v>
      </c>
      <c r="F284" s="872"/>
      <c r="G284" s="872"/>
      <c r="H284" s="73"/>
      <c r="I284" s="874">
        <v>2.048E19</v>
      </c>
      <c r="J284" s="874">
        <v>2.048E19</v>
      </c>
      <c r="K284" s="874">
        <v>2.048E19</v>
      </c>
      <c r="L284" s="874">
        <v>2.048E19</v>
      </c>
      <c r="M284" s="874">
        <v>2.048E19</v>
      </c>
      <c r="N284" s="875"/>
      <c r="O284" s="874">
        <v>2.048E19</v>
      </c>
      <c r="P284" s="874">
        <v>2.048E19</v>
      </c>
      <c r="Q284" s="874">
        <v>2.048E19</v>
      </c>
      <c r="R284" s="874">
        <v>2.048E19</v>
      </c>
      <c r="S284" s="874">
        <v>2.048E19</v>
      </c>
      <c r="T284" s="875"/>
      <c r="U284" s="874">
        <v>2.048E19</v>
      </c>
      <c r="V284" s="875"/>
      <c r="W284" s="875"/>
      <c r="X284" s="875"/>
      <c r="Y284" s="878">
        <v>2.048E19</v>
      </c>
      <c r="Z284" s="875"/>
      <c r="AA284" s="73"/>
      <c r="AB284" s="73"/>
    </row>
    <row r="285">
      <c r="A285" s="73"/>
      <c r="B285" s="872">
        <v>6962.253</v>
      </c>
      <c r="C285" s="872">
        <v>367904.885093234</v>
      </c>
      <c r="D285" s="872">
        <v>3299.06239324951</v>
      </c>
      <c r="E285" s="872">
        <v>14742.4478546795</v>
      </c>
      <c r="F285" s="872"/>
      <c r="G285" s="872"/>
      <c r="H285" s="73"/>
      <c r="I285" s="874">
        <v>2.113E19</v>
      </c>
      <c r="J285" s="874">
        <v>2.113E19</v>
      </c>
      <c r="K285" s="874">
        <v>2.113E19</v>
      </c>
      <c r="L285" s="874">
        <v>2.113E19</v>
      </c>
      <c r="M285" s="874">
        <v>2.113E19</v>
      </c>
      <c r="N285" s="875"/>
      <c r="O285" s="874">
        <v>2.113E19</v>
      </c>
      <c r="P285" s="874">
        <v>2.113E19</v>
      </c>
      <c r="Q285" s="874">
        <v>2.113E19</v>
      </c>
      <c r="R285" s="874">
        <v>2.113E19</v>
      </c>
      <c r="S285" s="874">
        <v>2.113E19</v>
      </c>
      <c r="T285" s="875"/>
      <c r="U285" s="874">
        <v>2.113E19</v>
      </c>
      <c r="V285" s="875"/>
      <c r="W285" s="875"/>
      <c r="X285" s="875"/>
      <c r="Y285" s="878">
        <v>2.113E19</v>
      </c>
      <c r="Z285" s="875"/>
      <c r="AA285" s="73"/>
      <c r="AB285" s="73"/>
    </row>
    <row r="286">
      <c r="A286" s="73"/>
      <c r="B286" s="872">
        <v>7008.712</v>
      </c>
      <c r="C286" s="872">
        <v>371455.327182114</v>
      </c>
      <c r="D286" s="872">
        <v>3330.31789516449</v>
      </c>
      <c r="E286" s="872">
        <v>14878.59729483</v>
      </c>
      <c r="F286" s="872"/>
      <c r="G286" s="872"/>
      <c r="H286" s="73"/>
      <c r="I286" s="874">
        <v>2.179E19</v>
      </c>
      <c r="J286" s="874">
        <v>2.179E19</v>
      </c>
      <c r="K286" s="874">
        <v>2.179E19</v>
      </c>
      <c r="L286" s="874">
        <v>2.179E19</v>
      </c>
      <c r="M286" s="874">
        <v>2.179E19</v>
      </c>
      <c r="N286" s="875"/>
      <c r="O286" s="874">
        <v>2.179E19</v>
      </c>
      <c r="P286" s="874">
        <v>2.179E19</v>
      </c>
      <c r="Q286" s="874">
        <v>2.179E19</v>
      </c>
      <c r="R286" s="874">
        <v>2.179E19</v>
      </c>
      <c r="S286" s="874">
        <v>2.179E19</v>
      </c>
      <c r="T286" s="875"/>
      <c r="U286" s="874">
        <v>2.179E19</v>
      </c>
      <c r="V286" s="875"/>
      <c r="W286" s="875"/>
      <c r="X286" s="875"/>
      <c r="Y286" s="878">
        <v>2.179E19</v>
      </c>
      <c r="Z286" s="875"/>
      <c r="AA286" s="73"/>
      <c r="AB286" s="73"/>
    </row>
    <row r="287">
      <c r="A287" s="73"/>
      <c r="B287" s="872">
        <v>7055.325</v>
      </c>
      <c r="C287" s="872">
        <v>375027.334895395</v>
      </c>
      <c r="D287" s="872">
        <v>3361.8454898529</v>
      </c>
      <c r="E287" s="872">
        <v>15015.5258349384</v>
      </c>
      <c r="F287" s="872"/>
      <c r="G287" s="872"/>
      <c r="H287" s="73"/>
      <c r="I287" s="874">
        <v>2.247E19</v>
      </c>
      <c r="J287" s="874">
        <v>2.247E19</v>
      </c>
      <c r="K287" s="874">
        <v>2.247E19</v>
      </c>
      <c r="L287" s="874">
        <v>2.247E19</v>
      </c>
      <c r="M287" s="874">
        <v>2.247E19</v>
      </c>
      <c r="N287" s="875"/>
      <c r="O287" s="874">
        <v>2.247E19</v>
      </c>
      <c r="P287" s="874">
        <v>2.247E19</v>
      </c>
      <c r="Q287" s="874">
        <v>2.247E19</v>
      </c>
      <c r="R287" s="874">
        <v>2.247E19</v>
      </c>
      <c r="S287" s="874">
        <v>2.247E19</v>
      </c>
      <c r="T287" s="875"/>
      <c r="U287" s="874">
        <v>2.247E19</v>
      </c>
      <c r="V287" s="875"/>
      <c r="W287" s="875"/>
      <c r="X287" s="875"/>
      <c r="Y287" s="878">
        <v>2.247E19</v>
      </c>
      <c r="Z287" s="875"/>
      <c r="AA287" s="73"/>
      <c r="AB287" s="73"/>
    </row>
    <row r="288">
      <c r="A288" s="73"/>
      <c r="B288" s="872">
        <v>7102.092</v>
      </c>
      <c r="C288" s="872">
        <v>378621.036983073</v>
      </c>
      <c r="D288" s="872">
        <v>3393.64615387726</v>
      </c>
      <c r="E288" s="872">
        <v>15153.2360720046</v>
      </c>
      <c r="F288" s="872"/>
      <c r="G288" s="872"/>
      <c r="H288" s="73"/>
      <c r="I288" s="874">
        <v>2.317E19</v>
      </c>
      <c r="J288" s="874">
        <v>2.317E19</v>
      </c>
      <c r="K288" s="874">
        <v>2.317E19</v>
      </c>
      <c r="L288" s="874">
        <v>2.317E19</v>
      </c>
      <c r="M288" s="874">
        <v>2.317E19</v>
      </c>
      <c r="N288" s="875"/>
      <c r="O288" s="874">
        <v>2.317E19</v>
      </c>
      <c r="P288" s="874">
        <v>2.317E19</v>
      </c>
      <c r="Q288" s="874">
        <v>2.317E19</v>
      </c>
      <c r="R288" s="874">
        <v>2.317E19</v>
      </c>
      <c r="S288" s="874">
        <v>2.317E19</v>
      </c>
      <c r="T288" s="875"/>
      <c r="U288" s="874">
        <v>2.317E19</v>
      </c>
      <c r="V288" s="875"/>
      <c r="W288" s="875"/>
      <c r="X288" s="875"/>
      <c r="Y288" s="878">
        <v>2.317E19</v>
      </c>
      <c r="Z288" s="875"/>
      <c r="AA288" s="73"/>
      <c r="AB288" s="73"/>
    </row>
    <row r="289">
      <c r="A289" s="73"/>
      <c r="B289" s="872">
        <v>7149.013</v>
      </c>
      <c r="C289" s="872">
        <v>382236.465632647</v>
      </c>
      <c r="D289" s="872">
        <v>3425.72138723755</v>
      </c>
      <c r="E289" s="872">
        <v>15291.7306030284</v>
      </c>
      <c r="F289" s="872"/>
      <c r="G289" s="872"/>
      <c r="H289" s="73"/>
      <c r="I289" s="874">
        <v>2.389E19</v>
      </c>
      <c r="J289" s="874">
        <v>2.389E19</v>
      </c>
      <c r="K289" s="874">
        <v>2.389E19</v>
      </c>
      <c r="L289" s="874">
        <v>2.389E19</v>
      </c>
      <c r="M289" s="874">
        <v>2.389E19</v>
      </c>
      <c r="N289" s="875"/>
      <c r="O289" s="874">
        <v>2.389E19</v>
      </c>
      <c r="P289" s="874">
        <v>2.389E19</v>
      </c>
      <c r="Q289" s="874">
        <v>2.389E19</v>
      </c>
      <c r="R289" s="874">
        <v>2.389E19</v>
      </c>
      <c r="S289" s="874">
        <v>2.389E19</v>
      </c>
      <c r="T289" s="875"/>
      <c r="U289" s="874">
        <v>2.389E19</v>
      </c>
      <c r="V289" s="875"/>
      <c r="W289" s="875"/>
      <c r="X289" s="875"/>
      <c r="Y289" s="878">
        <v>2.389E19</v>
      </c>
      <c r="Z289" s="875"/>
      <c r="AA289" s="73"/>
      <c r="AB289" s="73"/>
    </row>
    <row r="290">
      <c r="A290" s="73"/>
      <c r="B290" s="872">
        <v>7196.088</v>
      </c>
      <c r="C290" s="872">
        <v>385873.653031617</v>
      </c>
      <c r="D290" s="872">
        <v>3458.07156005096</v>
      </c>
      <c r="E290" s="872">
        <v>15431.0107265098</v>
      </c>
      <c r="F290" s="872"/>
      <c r="G290" s="872"/>
      <c r="H290" s="73"/>
      <c r="I290" s="874">
        <v>2.462E19</v>
      </c>
      <c r="J290" s="874">
        <v>2.462E19</v>
      </c>
      <c r="K290" s="874">
        <v>2.462E19</v>
      </c>
      <c r="L290" s="874">
        <v>2.462E19</v>
      </c>
      <c r="M290" s="874">
        <v>2.462E19</v>
      </c>
      <c r="N290" s="875"/>
      <c r="O290" s="874">
        <v>2.462E19</v>
      </c>
      <c r="P290" s="874">
        <v>2.462E19</v>
      </c>
      <c r="Q290" s="874">
        <v>2.462E19</v>
      </c>
      <c r="R290" s="874">
        <v>2.462E19</v>
      </c>
      <c r="S290" s="874">
        <v>2.462E19</v>
      </c>
      <c r="T290" s="875"/>
      <c r="U290" s="874">
        <v>2.462E19</v>
      </c>
      <c r="V290" s="875"/>
      <c r="W290" s="875"/>
      <c r="X290" s="875"/>
      <c r="Y290" s="878">
        <v>2.462E19</v>
      </c>
      <c r="Z290" s="875"/>
      <c r="AA290" s="73"/>
      <c r="AB290" s="73"/>
    </row>
    <row r="291">
      <c r="A291" s="73"/>
      <c r="B291" s="872">
        <v>7243.317</v>
      </c>
      <c r="C291" s="872">
        <v>389532.69574248</v>
      </c>
      <c r="D291" s="872">
        <v>3490.69842427063</v>
      </c>
      <c r="E291" s="872">
        <v>15571.0790394487</v>
      </c>
      <c r="F291" s="872"/>
      <c r="G291" s="872"/>
      <c r="H291" s="73"/>
      <c r="I291" s="874">
        <v>2.537E19</v>
      </c>
      <c r="J291" s="874">
        <v>2.537E19</v>
      </c>
      <c r="K291" s="874">
        <v>2.537E19</v>
      </c>
      <c r="L291" s="874">
        <v>2.537E19</v>
      </c>
      <c r="M291" s="874">
        <v>2.537E19</v>
      </c>
      <c r="N291" s="875"/>
      <c r="O291" s="874">
        <v>2.537E19</v>
      </c>
      <c r="P291" s="874">
        <v>2.537E19</v>
      </c>
      <c r="Q291" s="874">
        <v>2.537E19</v>
      </c>
      <c r="R291" s="874">
        <v>2.537E19</v>
      </c>
      <c r="S291" s="874">
        <v>2.537E19</v>
      </c>
      <c r="T291" s="875"/>
      <c r="U291" s="874">
        <v>2.537E19</v>
      </c>
      <c r="V291" s="875"/>
      <c r="W291" s="875"/>
      <c r="X291" s="875"/>
      <c r="Y291" s="878">
        <v>2.537E19</v>
      </c>
      <c r="Z291" s="875"/>
      <c r="AA291" s="73"/>
      <c r="AB291" s="73"/>
    </row>
    <row r="292">
      <c r="A292" s="73"/>
      <c r="B292" s="872">
        <v>7290.7</v>
      </c>
      <c r="C292" s="872">
        <v>393213.593765236</v>
      </c>
      <c r="D292" s="872">
        <v>3523.60259708405</v>
      </c>
      <c r="E292" s="872">
        <v>15711.9355418451</v>
      </c>
      <c r="F292" s="872"/>
      <c r="G292" s="872"/>
      <c r="H292" s="73"/>
      <c r="I292" s="874">
        <v>2.614E19</v>
      </c>
      <c r="J292" s="874">
        <v>2.614E19</v>
      </c>
      <c r="K292" s="874">
        <v>2.614E19</v>
      </c>
      <c r="L292" s="874">
        <v>2.614E19</v>
      </c>
      <c r="M292" s="874">
        <v>2.614E19</v>
      </c>
      <c r="N292" s="875"/>
      <c r="O292" s="874">
        <v>2.614E19</v>
      </c>
      <c r="P292" s="874">
        <v>2.614E19</v>
      </c>
      <c r="Q292" s="874">
        <v>2.614E19</v>
      </c>
      <c r="R292" s="874">
        <v>2.614E19</v>
      </c>
      <c r="S292" s="874">
        <v>2.614E19</v>
      </c>
      <c r="T292" s="875"/>
      <c r="U292" s="874">
        <v>2.614E19</v>
      </c>
      <c r="V292" s="875"/>
      <c r="W292" s="875"/>
      <c r="X292" s="875"/>
      <c r="Y292" s="878">
        <v>2.614E19</v>
      </c>
      <c r="Z292" s="875"/>
      <c r="AA292" s="73"/>
      <c r="AB292" s="73"/>
    </row>
    <row r="293">
      <c r="A293" s="73"/>
      <c r="B293" s="872">
        <v>7338.237</v>
      </c>
      <c r="C293" s="872">
        <v>396916.443662383</v>
      </c>
      <c r="D293" s="872">
        <v>3556.78550524902</v>
      </c>
      <c r="E293" s="872">
        <v>15853.5815321988</v>
      </c>
      <c r="F293" s="872"/>
      <c r="G293" s="872"/>
      <c r="H293" s="73"/>
      <c r="I293" s="874">
        <v>2.692E19</v>
      </c>
      <c r="J293" s="874">
        <v>2.692E19</v>
      </c>
      <c r="K293" s="874">
        <v>2.692E19</v>
      </c>
      <c r="L293" s="874">
        <v>2.692E19</v>
      </c>
      <c r="M293" s="874">
        <v>2.692E19</v>
      </c>
      <c r="N293" s="875"/>
      <c r="O293" s="874">
        <v>2.692E19</v>
      </c>
      <c r="P293" s="874">
        <v>2.692E19</v>
      </c>
      <c r="Q293" s="874">
        <v>2.692E19</v>
      </c>
      <c r="R293" s="874">
        <v>2.692E19</v>
      </c>
      <c r="S293" s="874">
        <v>2.692E19</v>
      </c>
      <c r="T293" s="875"/>
      <c r="U293" s="874">
        <v>2.692E19</v>
      </c>
      <c r="V293" s="875"/>
      <c r="W293" s="875"/>
      <c r="X293" s="875"/>
      <c r="Y293" s="878">
        <v>2.692E19</v>
      </c>
      <c r="Z293" s="875"/>
      <c r="AA293" s="73"/>
      <c r="AB293" s="73"/>
    </row>
    <row r="294">
      <c r="A294" s="73"/>
      <c r="B294" s="872">
        <v>7385.928</v>
      </c>
      <c r="C294" s="872">
        <v>400641.309808917</v>
      </c>
      <c r="D294" s="872">
        <v>3590.248022789</v>
      </c>
      <c r="E294" s="872">
        <v>15996.0222045096</v>
      </c>
      <c r="F294" s="872"/>
      <c r="G294" s="872"/>
      <c r="H294" s="73"/>
      <c r="I294" s="874">
        <v>2.773E19</v>
      </c>
      <c r="J294" s="874">
        <v>2.773E19</v>
      </c>
      <c r="K294" s="874">
        <v>2.773E19</v>
      </c>
      <c r="L294" s="874">
        <v>2.773E19</v>
      </c>
      <c r="M294" s="874">
        <v>2.773E19</v>
      </c>
      <c r="N294" s="875"/>
      <c r="O294" s="874">
        <v>2.773E19</v>
      </c>
      <c r="P294" s="874">
        <v>2.773E19</v>
      </c>
      <c r="Q294" s="874">
        <v>2.773E19</v>
      </c>
      <c r="R294" s="874">
        <v>2.773E19</v>
      </c>
      <c r="S294" s="874">
        <v>2.773E19</v>
      </c>
      <c r="T294" s="875"/>
      <c r="U294" s="874">
        <v>2.773E19</v>
      </c>
      <c r="V294" s="875"/>
      <c r="W294" s="875"/>
      <c r="X294" s="875"/>
      <c r="Y294" s="878">
        <v>2.773E19</v>
      </c>
      <c r="Z294" s="875"/>
      <c r="AA294" s="73"/>
      <c r="AB294" s="73"/>
    </row>
    <row r="295">
      <c r="A295" s="73"/>
      <c r="B295" s="872">
        <v>7433.773</v>
      </c>
      <c r="C295" s="872">
        <v>404388.22439234</v>
      </c>
      <c r="D295" s="872">
        <v>3623.9915422821</v>
      </c>
      <c r="E295" s="872">
        <v>16139.2549617777</v>
      </c>
      <c r="F295" s="872"/>
      <c r="G295" s="872"/>
      <c r="H295" s="73"/>
      <c r="I295" s="874">
        <v>2.855E19</v>
      </c>
      <c r="J295" s="874">
        <v>2.855E19</v>
      </c>
      <c r="K295" s="874">
        <v>2.855E19</v>
      </c>
      <c r="L295" s="874">
        <v>2.855E19</v>
      </c>
      <c r="M295" s="874">
        <v>2.855E19</v>
      </c>
      <c r="N295" s="875"/>
      <c r="O295" s="874">
        <v>2.855E19</v>
      </c>
      <c r="P295" s="874">
        <v>2.855E19</v>
      </c>
      <c r="Q295" s="874">
        <v>2.855E19</v>
      </c>
      <c r="R295" s="874">
        <v>2.855E19</v>
      </c>
      <c r="S295" s="874">
        <v>2.855E19</v>
      </c>
      <c r="T295" s="875"/>
      <c r="U295" s="874">
        <v>2.855E19</v>
      </c>
      <c r="V295" s="875"/>
      <c r="W295" s="875"/>
      <c r="X295" s="875"/>
      <c r="Y295" s="878">
        <v>2.855E19</v>
      </c>
      <c r="Z295" s="875"/>
      <c r="AA295" s="73"/>
      <c r="AB295" s="73"/>
    </row>
    <row r="296">
      <c r="A296" s="73"/>
      <c r="B296" s="872">
        <v>7481.772</v>
      </c>
      <c r="C296" s="872">
        <v>408157.219600149</v>
      </c>
      <c r="D296" s="872">
        <v>3658.01634107208</v>
      </c>
      <c r="E296" s="872">
        <v>16283.2849980027</v>
      </c>
      <c r="F296" s="872"/>
      <c r="G296" s="872"/>
      <c r="H296" s="73"/>
      <c r="I296" s="874">
        <v>2.939E19</v>
      </c>
      <c r="J296" s="874">
        <v>2.939E19</v>
      </c>
      <c r="K296" s="874">
        <v>2.939E19</v>
      </c>
      <c r="L296" s="874">
        <v>2.939E19</v>
      </c>
      <c r="M296" s="874">
        <v>2.939E19</v>
      </c>
      <c r="N296" s="875"/>
      <c r="O296" s="874">
        <v>2.939E19</v>
      </c>
      <c r="P296" s="874">
        <v>2.939E19</v>
      </c>
      <c r="Q296" s="874">
        <v>2.939E19</v>
      </c>
      <c r="R296" s="874">
        <v>2.939E19</v>
      </c>
      <c r="S296" s="874">
        <v>2.939E19</v>
      </c>
      <c r="T296" s="875"/>
      <c r="U296" s="874">
        <v>2.939E19</v>
      </c>
      <c r="V296" s="875"/>
      <c r="W296" s="875"/>
      <c r="X296" s="875"/>
      <c r="Y296" s="878">
        <v>2.939E19</v>
      </c>
      <c r="Z296" s="875"/>
      <c r="AA296" s="73"/>
      <c r="AB296" s="73"/>
    </row>
    <row r="297">
      <c r="A297" s="73"/>
      <c r="B297" s="872">
        <v>7529.925</v>
      </c>
      <c r="C297" s="872">
        <v>411948.391994841</v>
      </c>
      <c r="D297" s="872">
        <v>3692.32408417511</v>
      </c>
      <c r="E297" s="872">
        <v>16428.1123131847</v>
      </c>
      <c r="F297" s="872"/>
      <c r="G297" s="872"/>
      <c r="H297" s="73"/>
      <c r="I297" s="874">
        <v>3.026E19</v>
      </c>
      <c r="J297" s="874">
        <v>3.026E19</v>
      </c>
      <c r="K297" s="874">
        <v>3.026E19</v>
      </c>
      <c r="L297" s="874">
        <v>3.026E19</v>
      </c>
      <c r="M297" s="874">
        <v>3.026E19</v>
      </c>
      <c r="N297" s="875"/>
      <c r="O297" s="874">
        <v>3.026E19</v>
      </c>
      <c r="P297" s="874">
        <v>3.026E19</v>
      </c>
      <c r="Q297" s="874">
        <v>3.026E19</v>
      </c>
      <c r="R297" s="874">
        <v>3.026E19</v>
      </c>
      <c r="S297" s="874">
        <v>3.026E19</v>
      </c>
      <c r="T297" s="875"/>
      <c r="U297" s="874">
        <v>3.026E19</v>
      </c>
      <c r="V297" s="875"/>
      <c r="W297" s="875"/>
      <c r="X297" s="875"/>
      <c r="Y297" s="878">
        <v>3.026E19</v>
      </c>
      <c r="Z297" s="875"/>
      <c r="AA297" s="73"/>
      <c r="AB297" s="73"/>
    </row>
    <row r="298">
      <c r="A298" s="73"/>
      <c r="B298" s="872">
        <v>7578.232</v>
      </c>
      <c r="C298" s="872">
        <v>415761.773763917</v>
      </c>
      <c r="D298" s="872">
        <v>3726.91527944946</v>
      </c>
      <c r="E298" s="872">
        <v>16573.7382058236</v>
      </c>
      <c r="F298" s="872"/>
      <c r="G298" s="872"/>
      <c r="H298" s="73"/>
      <c r="I298" s="874">
        <v>3.114E19</v>
      </c>
      <c r="J298" s="874">
        <v>3.114E19</v>
      </c>
      <c r="K298" s="874">
        <v>3.114E19</v>
      </c>
      <c r="L298" s="874">
        <v>3.114E19</v>
      </c>
      <c r="M298" s="874">
        <v>3.114E19</v>
      </c>
      <c r="N298" s="875"/>
      <c r="O298" s="874">
        <v>3.114E19</v>
      </c>
      <c r="P298" s="874">
        <v>3.114E19</v>
      </c>
      <c r="Q298" s="874">
        <v>3.114E19</v>
      </c>
      <c r="R298" s="874">
        <v>3.114E19</v>
      </c>
      <c r="S298" s="874">
        <v>3.114E19</v>
      </c>
      <c r="T298" s="875"/>
      <c r="U298" s="874">
        <v>3.114E19</v>
      </c>
      <c r="V298" s="875"/>
      <c r="W298" s="875"/>
      <c r="X298" s="875"/>
      <c r="Y298" s="878">
        <v>3.114E19</v>
      </c>
      <c r="Z298" s="875"/>
      <c r="AA298" s="73"/>
      <c r="AB298" s="73"/>
    </row>
    <row r="299">
      <c r="A299" s="73"/>
      <c r="B299" s="872">
        <v>7626.693</v>
      </c>
      <c r="C299" s="872">
        <v>419597.429282375</v>
      </c>
      <c r="D299" s="872">
        <v>3761.79100011444</v>
      </c>
      <c r="E299" s="872">
        <v>16720.1652729193</v>
      </c>
      <c r="F299" s="872"/>
      <c r="G299" s="872"/>
      <c r="H299" s="73"/>
      <c r="I299" s="874">
        <v>3.204E19</v>
      </c>
      <c r="J299" s="874">
        <v>3.204E19</v>
      </c>
      <c r="K299" s="874">
        <v>3.204E19</v>
      </c>
      <c r="L299" s="874">
        <v>3.204E19</v>
      </c>
      <c r="M299" s="874">
        <v>3.204E19</v>
      </c>
      <c r="N299" s="875"/>
      <c r="O299" s="874">
        <v>3.204E19</v>
      </c>
      <c r="P299" s="874">
        <v>3.204E19</v>
      </c>
      <c r="Q299" s="874">
        <v>3.204E19</v>
      </c>
      <c r="R299" s="874">
        <v>3.204E19</v>
      </c>
      <c r="S299" s="874">
        <v>3.204E19</v>
      </c>
      <c r="T299" s="875"/>
      <c r="U299" s="874">
        <v>3.204E19</v>
      </c>
      <c r="V299" s="875"/>
      <c r="W299" s="875"/>
      <c r="X299" s="875"/>
      <c r="Y299" s="878">
        <v>3.204E19</v>
      </c>
      <c r="Z299" s="875"/>
      <c r="AA299" s="73"/>
      <c r="AB299" s="73"/>
    </row>
    <row r="300">
      <c r="A300" s="73"/>
      <c r="B300" s="872">
        <v>7675.308</v>
      </c>
      <c r="C300" s="872">
        <v>423455.390737712</v>
      </c>
      <c r="D300" s="872">
        <v>3796.95259968567</v>
      </c>
      <c r="E300" s="872">
        <v>16867.3948129716</v>
      </c>
      <c r="F300" s="872"/>
      <c r="G300" s="872"/>
      <c r="H300" s="73"/>
      <c r="I300" s="874">
        <v>3.297E19</v>
      </c>
      <c r="J300" s="874">
        <v>3.297E19</v>
      </c>
      <c r="K300" s="874">
        <v>3.297E19</v>
      </c>
      <c r="L300" s="874">
        <v>3.297E19</v>
      </c>
      <c r="M300" s="874">
        <v>3.297E19</v>
      </c>
      <c r="N300" s="875"/>
      <c r="O300" s="874">
        <v>3.297E19</v>
      </c>
      <c r="P300" s="874">
        <v>3.297E19</v>
      </c>
      <c r="Q300" s="874">
        <v>3.297E19</v>
      </c>
      <c r="R300" s="874">
        <v>3.297E19</v>
      </c>
      <c r="S300" s="874">
        <v>3.297E19</v>
      </c>
      <c r="T300" s="875"/>
      <c r="U300" s="874">
        <v>3.297E19</v>
      </c>
      <c r="V300" s="875"/>
      <c r="W300" s="875"/>
      <c r="X300" s="875"/>
      <c r="Y300" s="878">
        <v>3.297E19</v>
      </c>
      <c r="Z300" s="875"/>
      <c r="AA300" s="73"/>
      <c r="AB300" s="73"/>
    </row>
    <row r="301">
      <c r="A301" s="73"/>
      <c r="B301" s="872">
        <v>7724.077</v>
      </c>
      <c r="C301" s="872">
        <v>427335.786879927</v>
      </c>
      <c r="D301" s="872">
        <v>3832.4005586319</v>
      </c>
      <c r="E301" s="872">
        <v>17015.4294229804</v>
      </c>
      <c r="F301" s="872"/>
      <c r="G301" s="872"/>
      <c r="H301" s="73"/>
      <c r="I301" s="874">
        <v>3.391E19</v>
      </c>
      <c r="J301" s="874">
        <v>3.391E19</v>
      </c>
      <c r="K301" s="874">
        <v>3.391E19</v>
      </c>
      <c r="L301" s="874">
        <v>3.391E19</v>
      </c>
      <c r="M301" s="874">
        <v>3.391E19</v>
      </c>
      <c r="N301" s="875"/>
      <c r="O301" s="874">
        <v>3.391E19</v>
      </c>
      <c r="P301" s="874">
        <v>3.391E19</v>
      </c>
      <c r="Q301" s="874">
        <v>3.391E19</v>
      </c>
      <c r="R301" s="874">
        <v>3.391E19</v>
      </c>
      <c r="S301" s="874">
        <v>3.391E19</v>
      </c>
      <c r="T301" s="875"/>
      <c r="U301" s="874">
        <v>3.391E19</v>
      </c>
      <c r="V301" s="875"/>
      <c r="W301" s="875"/>
      <c r="X301" s="875"/>
      <c r="Y301" s="878">
        <v>3.391E19</v>
      </c>
      <c r="Z301" s="875"/>
      <c r="AA301" s="73"/>
      <c r="AB301" s="73"/>
    </row>
    <row r="302">
      <c r="A302" s="73"/>
      <c r="B302" s="872">
        <v>7773.0</v>
      </c>
      <c r="C302" s="872">
        <v>431238.55333402</v>
      </c>
      <c r="D302" s="872">
        <v>3868.136171875</v>
      </c>
      <c r="E302" s="872">
        <v>17164.3552014412</v>
      </c>
      <c r="F302" s="872"/>
      <c r="G302" s="872"/>
      <c r="H302" s="73"/>
      <c r="I302" s="874">
        <v>3.488E19</v>
      </c>
      <c r="J302" s="874">
        <v>3.488E19</v>
      </c>
      <c r="K302" s="874">
        <v>3.488E19</v>
      </c>
      <c r="L302" s="874">
        <v>3.488E19</v>
      </c>
      <c r="M302" s="874">
        <v>3.488E19</v>
      </c>
      <c r="N302" s="875"/>
      <c r="O302" s="874">
        <v>3.488E19</v>
      </c>
      <c r="P302" s="874">
        <v>3.488E19</v>
      </c>
      <c r="Q302" s="874">
        <v>3.488E19</v>
      </c>
      <c r="R302" s="874">
        <v>3.488E19</v>
      </c>
      <c r="S302" s="874">
        <v>3.488E19</v>
      </c>
      <c r="T302" s="875"/>
      <c r="U302" s="874">
        <v>3.488E19</v>
      </c>
      <c r="V302" s="875"/>
      <c r="W302" s="875"/>
      <c r="X302" s="875"/>
      <c r="Y302" s="878">
        <v>3.488E19</v>
      </c>
      <c r="Z302" s="875"/>
      <c r="AA302" s="73"/>
      <c r="AB302" s="73"/>
    </row>
    <row r="303">
      <c r="A303" s="73"/>
      <c r="B303" s="872">
        <v>7822.077</v>
      </c>
      <c r="C303" s="872">
        <v>435163.818849988</v>
      </c>
      <c r="D303" s="872">
        <v>3904.16021089935</v>
      </c>
      <c r="E303" s="872">
        <v>17314.3033210678</v>
      </c>
      <c r="F303" s="872"/>
      <c r="G303" s="872"/>
      <c r="H303" s="73"/>
      <c r="I303" s="874">
        <v>3.587E19</v>
      </c>
      <c r="J303" s="874">
        <v>3.587E19</v>
      </c>
      <c r="K303" s="874">
        <v>3.587E19</v>
      </c>
      <c r="L303" s="874">
        <v>3.587E19</v>
      </c>
      <c r="M303" s="874">
        <v>3.587E19</v>
      </c>
      <c r="N303" s="875"/>
      <c r="O303" s="874">
        <v>3.587E19</v>
      </c>
      <c r="P303" s="874">
        <v>3.587E19</v>
      </c>
      <c r="Q303" s="874">
        <v>3.587E19</v>
      </c>
      <c r="R303" s="874">
        <v>3.587E19</v>
      </c>
      <c r="S303" s="874">
        <v>3.587E19</v>
      </c>
      <c r="T303" s="875"/>
      <c r="U303" s="874">
        <v>3.587E19</v>
      </c>
      <c r="V303" s="875"/>
      <c r="W303" s="875"/>
      <c r="X303" s="875"/>
      <c r="Y303" s="875"/>
      <c r="Z303" s="875"/>
      <c r="AA303" s="73"/>
      <c r="AB303" s="73"/>
    </row>
    <row r="304">
      <c r="A304" s="73"/>
      <c r="B304" s="73">
        <v>7871.308</v>
      </c>
      <c r="C304" s="73">
        <v>439111.64780283</v>
      </c>
      <c r="D304" s="73">
        <v>3940.47337882996</v>
      </c>
      <c r="E304" s="73">
        <v>17465.3067374988</v>
      </c>
      <c r="F304" s="73"/>
      <c r="G304" s="73"/>
      <c r="H304" s="73"/>
      <c r="I304" s="878">
        <v>3.688E19</v>
      </c>
      <c r="J304" s="878">
        <v>3.688E19</v>
      </c>
      <c r="K304" s="878">
        <v>3.688E19</v>
      </c>
      <c r="L304" s="878">
        <v>3.688E19</v>
      </c>
      <c r="M304" s="878">
        <v>3.688E19</v>
      </c>
      <c r="N304" s="73"/>
      <c r="O304" s="878">
        <v>3.688E19</v>
      </c>
      <c r="P304" s="878">
        <v>3.688E19</v>
      </c>
      <c r="Q304" s="878">
        <v>3.688E19</v>
      </c>
      <c r="R304" s="878">
        <v>3.688E19</v>
      </c>
      <c r="S304" s="878">
        <v>3.688E19</v>
      </c>
      <c r="T304" s="73"/>
      <c r="U304" s="878">
        <v>3.688E19</v>
      </c>
      <c r="V304" s="73"/>
      <c r="W304" s="73"/>
      <c r="X304" s="73"/>
      <c r="Y304" s="73"/>
      <c r="Z304" s="73"/>
      <c r="AA304" s="73"/>
      <c r="AB304" s="73"/>
    </row>
    <row r="305">
      <c r="A305" s="73"/>
      <c r="B305" s="73">
        <v>7920.693</v>
      </c>
      <c r="C305" s="73">
        <v>443082.040192544</v>
      </c>
      <c r="D305" s="73">
        <v>3977.07670886993</v>
      </c>
      <c r="E305" s="73">
        <v>17617.3871834455</v>
      </c>
      <c r="F305" s="73"/>
      <c r="G305" s="73"/>
      <c r="H305" s="73"/>
      <c r="I305" s="878">
        <v>3.791E19</v>
      </c>
      <c r="J305" s="878">
        <v>3.791E19</v>
      </c>
      <c r="K305" s="878">
        <v>3.791E19</v>
      </c>
      <c r="L305" s="878">
        <v>3.791E19</v>
      </c>
      <c r="M305" s="878">
        <v>3.791E19</v>
      </c>
      <c r="N305" s="73"/>
      <c r="O305" s="878">
        <v>3.791E19</v>
      </c>
      <c r="P305" s="878">
        <v>3.791E19</v>
      </c>
      <c r="Q305" s="878">
        <v>3.791E19</v>
      </c>
      <c r="R305" s="878">
        <v>3.791E19</v>
      </c>
      <c r="S305" s="878">
        <v>3.791E19</v>
      </c>
      <c r="T305" s="73"/>
      <c r="U305" s="878">
        <v>3.791E19</v>
      </c>
      <c r="V305" s="73"/>
      <c r="W305" s="73"/>
      <c r="X305" s="73"/>
      <c r="Y305" s="73"/>
      <c r="Z305" s="73"/>
      <c r="AA305" s="73"/>
      <c r="AB305" s="73"/>
    </row>
    <row r="306">
      <c r="A306" s="73"/>
      <c r="B306" s="73">
        <v>7970.232</v>
      </c>
      <c r="C306" s="73">
        <v>447075.124769129</v>
      </c>
      <c r="D306" s="73">
        <v>4013.97145687866</v>
      </c>
      <c r="E306" s="73">
        <v>17770.5602387219</v>
      </c>
      <c r="F306" s="73"/>
      <c r="G306" s="73"/>
      <c r="H306" s="73"/>
      <c r="I306" s="878">
        <v>3.897E19</v>
      </c>
      <c r="J306" s="878">
        <v>3.897E19</v>
      </c>
      <c r="K306" s="878">
        <v>3.897E19</v>
      </c>
      <c r="L306" s="878">
        <v>3.897E19</v>
      </c>
      <c r="M306" s="878">
        <v>3.897E19</v>
      </c>
      <c r="N306" s="73"/>
      <c r="O306" s="878">
        <v>3.897E19</v>
      </c>
      <c r="P306" s="878">
        <v>3.897E19</v>
      </c>
      <c r="Q306" s="878">
        <v>3.897E19</v>
      </c>
      <c r="R306" s="878">
        <v>3.897E19</v>
      </c>
      <c r="S306" s="878">
        <v>3.897E19</v>
      </c>
      <c r="T306" s="73"/>
      <c r="U306" s="878">
        <v>3.897E19</v>
      </c>
      <c r="V306" s="73"/>
      <c r="W306" s="73"/>
      <c r="X306" s="73"/>
      <c r="Y306" s="73"/>
      <c r="Z306" s="73"/>
      <c r="AA306" s="73"/>
      <c r="AB306" s="73"/>
    </row>
    <row r="307">
      <c r="A307" s="73"/>
      <c r="B307" s="73">
        <v>8019.925</v>
      </c>
      <c r="C307" s="73">
        <v>451090.837157585</v>
      </c>
      <c r="D307" s="73">
        <v>4051.15775371551</v>
      </c>
      <c r="E307" s="73">
        <v>17924.8400471717</v>
      </c>
      <c r="F307" s="73"/>
      <c r="G307" s="73"/>
      <c r="H307" s="73"/>
      <c r="I307" s="878">
        <v>4.005E19</v>
      </c>
      <c r="J307" s="878">
        <v>4.005E19</v>
      </c>
      <c r="K307" s="878">
        <v>4.005E19</v>
      </c>
      <c r="L307" s="878">
        <v>4.005E19</v>
      </c>
      <c r="M307" s="878">
        <v>4.005E19</v>
      </c>
      <c r="N307" s="73"/>
      <c r="O307" s="878">
        <v>4.005E19</v>
      </c>
      <c r="P307" s="878">
        <v>4.005E19</v>
      </c>
      <c r="Q307" s="878">
        <v>4.005E19</v>
      </c>
      <c r="R307" s="878">
        <v>4.005E19</v>
      </c>
      <c r="S307" s="878">
        <v>4.005E19</v>
      </c>
      <c r="T307" s="73"/>
      <c r="U307" s="878">
        <v>4.005E19</v>
      </c>
      <c r="V307" s="73"/>
      <c r="W307" s="73"/>
      <c r="X307" s="73"/>
      <c r="Y307" s="73"/>
      <c r="Z307" s="73"/>
      <c r="AA307" s="73"/>
      <c r="AB307" s="73"/>
    </row>
    <row r="308">
      <c r="A308" s="73"/>
      <c r="B308" s="73">
        <v>8069.772</v>
      </c>
      <c r="C308" s="73">
        <v>455129.402670406</v>
      </c>
      <c r="D308" s="73">
        <v>4088.63741773987</v>
      </c>
      <c r="E308" s="73">
        <v>18080.2363735527</v>
      </c>
      <c r="F308" s="73"/>
      <c r="G308" s="73"/>
      <c r="H308" s="73"/>
      <c r="I308" s="878">
        <v>4.115E19</v>
      </c>
      <c r="J308" s="878">
        <v>4.115E19</v>
      </c>
      <c r="K308" s="878">
        <v>4.115E19</v>
      </c>
      <c r="L308" s="878">
        <v>4.115E19</v>
      </c>
      <c r="M308" s="878">
        <v>4.115E19</v>
      </c>
      <c r="N308" s="73"/>
      <c r="O308" s="878">
        <v>4.115E19</v>
      </c>
      <c r="P308" s="878">
        <v>4.115E19</v>
      </c>
      <c r="Q308" s="878">
        <v>4.115E19</v>
      </c>
      <c r="R308" s="878">
        <v>4.115E19</v>
      </c>
      <c r="S308" s="878">
        <v>4.115E19</v>
      </c>
      <c r="T308" s="73"/>
      <c r="U308" s="878">
        <v>4.115E19</v>
      </c>
      <c r="V308" s="73"/>
      <c r="W308" s="73"/>
      <c r="X308" s="73"/>
      <c r="Y308" s="73"/>
      <c r="Z308" s="73"/>
      <c r="AA308" s="73"/>
      <c r="AB308" s="73"/>
    </row>
    <row r="309">
      <c r="A309" s="73"/>
      <c r="B309" s="73">
        <v>8119.773</v>
      </c>
      <c r="C309" s="73">
        <v>459190.692557596</v>
      </c>
      <c r="D309" s="73">
        <v>4126.41030832672</v>
      </c>
      <c r="E309" s="73">
        <v>18236.7603131736</v>
      </c>
      <c r="F309" s="73"/>
      <c r="G309" s="73"/>
      <c r="H309" s="73"/>
      <c r="I309" s="878">
        <v>4.228E19</v>
      </c>
      <c r="J309" s="878">
        <v>4.228E19</v>
      </c>
      <c r="K309" s="878">
        <v>4.228E19</v>
      </c>
      <c r="L309" s="878">
        <v>4.228E19</v>
      </c>
      <c r="M309" s="878">
        <v>4.228E19</v>
      </c>
      <c r="N309" s="73"/>
      <c r="O309" s="878">
        <v>4.228E19</v>
      </c>
      <c r="P309" s="878">
        <v>4.228E19</v>
      </c>
      <c r="Q309" s="878">
        <v>4.228E19</v>
      </c>
      <c r="R309" s="878">
        <v>4.228E19</v>
      </c>
      <c r="S309" s="878">
        <v>4.228E19</v>
      </c>
      <c r="T309" s="73"/>
      <c r="U309" s="878">
        <v>4.228E19</v>
      </c>
      <c r="V309" s="73"/>
      <c r="W309" s="73"/>
      <c r="X309" s="73"/>
      <c r="Y309" s="73"/>
      <c r="Z309" s="73"/>
      <c r="AA309" s="73"/>
      <c r="AB309" s="73"/>
    </row>
    <row r="310">
      <c r="A310" s="73"/>
      <c r="B310" s="73">
        <v>8169.928</v>
      </c>
      <c r="C310" s="73">
        <v>463274.899944149</v>
      </c>
      <c r="D310" s="73">
        <v>4164.47793328857</v>
      </c>
      <c r="E310" s="73">
        <v>18394.4207140579</v>
      </c>
      <c r="F310" s="73"/>
      <c r="G310" s="73"/>
      <c r="H310" s="73"/>
      <c r="I310" s="878">
        <v>4.343E19</v>
      </c>
      <c r="J310" s="878">
        <v>4.343E19</v>
      </c>
      <c r="K310" s="878">
        <v>4.343E19</v>
      </c>
      <c r="L310" s="878">
        <v>4.343E19</v>
      </c>
      <c r="M310" s="878">
        <v>4.343E19</v>
      </c>
      <c r="N310" s="73"/>
      <c r="O310" s="878">
        <v>4.343E19</v>
      </c>
      <c r="P310" s="878">
        <v>4.343E19</v>
      </c>
      <c r="Q310" s="878">
        <v>4.343E19</v>
      </c>
      <c r="R310" s="878">
        <v>4.343E19</v>
      </c>
      <c r="S310" s="878">
        <v>4.343E19</v>
      </c>
      <c r="T310" s="73"/>
      <c r="U310" s="878">
        <v>4.343E19</v>
      </c>
      <c r="V310" s="73"/>
      <c r="W310" s="73"/>
      <c r="X310" s="73"/>
      <c r="Y310" s="73"/>
      <c r="Z310" s="73"/>
      <c r="AA310" s="73"/>
      <c r="AB310" s="73"/>
    </row>
    <row r="311">
      <c r="A311" s="73"/>
      <c r="B311" s="73">
        <v>8220.237</v>
      </c>
      <c r="C311" s="73">
        <v>467381.960455067</v>
      </c>
      <c r="D311" s="73">
        <v>4202.84121840668</v>
      </c>
      <c r="E311" s="73">
        <v>18553.2269806513</v>
      </c>
      <c r="F311" s="73"/>
      <c r="G311" s="73"/>
      <c r="H311" s="73"/>
      <c r="I311" s="878">
        <v>4.461E19</v>
      </c>
      <c r="J311" s="878">
        <v>4.461E19</v>
      </c>
      <c r="K311" s="878">
        <v>4.461E19</v>
      </c>
      <c r="L311" s="878">
        <v>4.461E19</v>
      </c>
      <c r="M311" s="878">
        <v>4.461E19</v>
      </c>
      <c r="N311" s="73"/>
      <c r="O311" s="878">
        <v>4.461E19</v>
      </c>
      <c r="P311" s="878">
        <v>4.461E19</v>
      </c>
      <c r="Q311" s="878">
        <v>4.461E19</v>
      </c>
      <c r="R311" s="878">
        <v>4.461E19</v>
      </c>
      <c r="S311" s="878">
        <v>4.461E19</v>
      </c>
      <c r="T311" s="73"/>
      <c r="U311" s="878">
        <v>4.461E19</v>
      </c>
      <c r="V311" s="73"/>
      <c r="W311" s="73"/>
      <c r="X311" s="73"/>
      <c r="Y311" s="73"/>
      <c r="Z311" s="73"/>
      <c r="AA311" s="73"/>
      <c r="AB311" s="73"/>
    </row>
    <row r="312">
      <c r="A312" s="73"/>
      <c r="B312" s="73">
        <v>8270.7</v>
      </c>
      <c r="C312" s="73">
        <v>471512.067215346</v>
      </c>
      <c r="D312" s="73">
        <v>4241.50058555603</v>
      </c>
      <c r="E312" s="73">
        <v>18713.1866243319</v>
      </c>
      <c r="F312" s="73"/>
      <c r="G312" s="73"/>
      <c r="H312" s="73"/>
      <c r="I312" s="878">
        <v>4.582E19</v>
      </c>
      <c r="J312" s="878">
        <v>4.582E19</v>
      </c>
      <c r="K312" s="878">
        <v>4.582E19</v>
      </c>
      <c r="L312" s="878">
        <v>4.582E19</v>
      </c>
      <c r="M312" s="878">
        <v>4.582E19</v>
      </c>
      <c r="N312" s="73"/>
      <c r="O312" s="878">
        <v>4.582E19</v>
      </c>
      <c r="P312" s="878">
        <v>4.582E19</v>
      </c>
      <c r="Q312" s="878">
        <v>4.582E19</v>
      </c>
      <c r="R312" s="878">
        <v>4.582E19</v>
      </c>
      <c r="S312" s="878">
        <v>4.582E19</v>
      </c>
      <c r="T312" s="73"/>
      <c r="U312" s="878">
        <v>4.582E19</v>
      </c>
      <c r="V312" s="73"/>
      <c r="W312" s="73"/>
      <c r="X312" s="73"/>
      <c r="Y312" s="73"/>
      <c r="Z312" s="73"/>
      <c r="AA312" s="73"/>
      <c r="AB312" s="73"/>
    </row>
    <row r="313">
      <c r="A313" s="73"/>
      <c r="B313" s="73">
        <v>8321.317</v>
      </c>
      <c r="C313" s="73">
        <v>475665.188037485</v>
      </c>
      <c r="D313" s="73">
        <v>4280.45690192413</v>
      </c>
      <c r="E313" s="73">
        <v>18874.3066615435</v>
      </c>
      <c r="F313" s="73"/>
      <c r="G313" s="73"/>
      <c r="H313" s="73"/>
      <c r="I313" s="878">
        <v>4.705E19</v>
      </c>
      <c r="J313" s="878">
        <v>4.705E19</v>
      </c>
      <c r="K313" s="878">
        <v>4.705E19</v>
      </c>
      <c r="L313" s="878">
        <v>4.705E19</v>
      </c>
      <c r="M313" s="878">
        <v>4.705E19</v>
      </c>
      <c r="N313" s="73"/>
      <c r="O313" s="878">
        <v>4.705E19</v>
      </c>
      <c r="P313" s="878">
        <v>4.705E19</v>
      </c>
      <c r="Q313" s="878">
        <v>4.705E19</v>
      </c>
      <c r="R313" s="878">
        <v>4.705E19</v>
      </c>
      <c r="S313" s="878">
        <v>4.705E19</v>
      </c>
      <c r="T313" s="73"/>
      <c r="U313" s="878">
        <v>4.705E19</v>
      </c>
      <c r="V313" s="73"/>
      <c r="W313" s="73"/>
      <c r="X313" s="73"/>
      <c r="Y313" s="73"/>
      <c r="Z313" s="73"/>
      <c r="AA313" s="73"/>
      <c r="AB313" s="73"/>
    </row>
    <row r="314">
      <c r="A314" s="73"/>
      <c r="B314" s="73">
        <v>8372.088</v>
      </c>
      <c r="C314" s="73">
        <v>479841.322921485</v>
      </c>
      <c r="D314" s="73">
        <v>4319.71113235474</v>
      </c>
      <c r="E314" s="73">
        <v>19036.5936972557</v>
      </c>
      <c r="F314" s="73"/>
      <c r="G314" s="73"/>
      <c r="H314" s="73"/>
      <c r="I314" s="878">
        <v>4.83E19</v>
      </c>
      <c r="J314" s="878">
        <v>4.83E19</v>
      </c>
      <c r="K314" s="878">
        <v>4.83E19</v>
      </c>
      <c r="L314" s="878">
        <v>4.83E19</v>
      </c>
      <c r="M314" s="878">
        <v>4.83E19</v>
      </c>
      <c r="N314" s="73"/>
      <c r="O314" s="878">
        <v>4.83E19</v>
      </c>
      <c r="P314" s="878">
        <v>4.83E19</v>
      </c>
      <c r="Q314" s="878">
        <v>4.83E19</v>
      </c>
      <c r="R314" s="878">
        <v>4.83E19</v>
      </c>
      <c r="S314" s="878">
        <v>4.83E19</v>
      </c>
      <c r="T314" s="73"/>
      <c r="U314" s="878">
        <v>4.83E19</v>
      </c>
      <c r="V314" s="73"/>
      <c r="W314" s="73"/>
      <c r="X314" s="73"/>
      <c r="Y314" s="73"/>
      <c r="Z314" s="73"/>
      <c r="AA314" s="73"/>
      <c r="AB314" s="73"/>
    </row>
    <row r="315">
      <c r="A315" s="73"/>
      <c r="B315" s="73">
        <v>8423.013</v>
      </c>
      <c r="C315" s="73">
        <v>484040.66499234</v>
      </c>
      <c r="D315" s="73">
        <v>4359.26418309784</v>
      </c>
      <c r="E315" s="73">
        <v>19200.0552855724</v>
      </c>
      <c r="F315" s="73"/>
      <c r="G315" s="73"/>
      <c r="H315" s="73"/>
      <c r="I315" s="878">
        <v>4.959E19</v>
      </c>
      <c r="J315" s="878">
        <v>4.959E19</v>
      </c>
      <c r="K315" s="878">
        <v>4.959E19</v>
      </c>
      <c r="L315" s="878">
        <v>4.959E19</v>
      </c>
      <c r="M315" s="878">
        <v>4.959E19</v>
      </c>
      <c r="N315" s="73"/>
      <c r="O315" s="878">
        <v>4.959E19</v>
      </c>
      <c r="P315" s="878">
        <v>4.959E19</v>
      </c>
      <c r="Q315" s="878">
        <v>4.959E19</v>
      </c>
      <c r="R315" s="878">
        <v>4.959E19</v>
      </c>
      <c r="S315" s="878">
        <v>4.959E19</v>
      </c>
      <c r="T315" s="73"/>
      <c r="U315" s="878">
        <v>4.959E19</v>
      </c>
      <c r="V315" s="73"/>
      <c r="W315" s="73"/>
      <c r="X315" s="73"/>
      <c r="Y315" s="73"/>
      <c r="Z315" s="73"/>
      <c r="AA315" s="73"/>
      <c r="AB315" s="73"/>
    </row>
    <row r="316">
      <c r="A316" s="73"/>
      <c r="B316" s="73">
        <v>8474.092</v>
      </c>
      <c r="C316" s="73">
        <v>488263.149875052</v>
      </c>
      <c r="D316" s="73">
        <v>4399.11639790344</v>
      </c>
      <c r="E316" s="73">
        <v>19364.6973754328</v>
      </c>
      <c r="F316" s="73"/>
      <c r="G316" s="73"/>
      <c r="H316" s="73"/>
      <c r="I316" s="878">
        <v>5.09E19</v>
      </c>
      <c r="J316" s="878">
        <v>5.09E19</v>
      </c>
      <c r="K316" s="878">
        <v>5.09E19</v>
      </c>
      <c r="L316" s="878">
        <v>5.09E19</v>
      </c>
      <c r="M316" s="878">
        <v>5.09E19</v>
      </c>
      <c r="N316" s="73"/>
      <c r="O316" s="878">
        <v>5.09E19</v>
      </c>
      <c r="P316" s="878">
        <v>5.09E19</v>
      </c>
      <c r="Q316" s="878">
        <v>5.09E19</v>
      </c>
      <c r="R316" s="878">
        <v>5.09E19</v>
      </c>
      <c r="S316" s="878">
        <v>5.09E19</v>
      </c>
      <c r="T316" s="73"/>
      <c r="U316" s="878">
        <v>5.09E19</v>
      </c>
      <c r="V316" s="73"/>
      <c r="W316" s="73"/>
      <c r="X316" s="73"/>
      <c r="Y316" s="73"/>
      <c r="Z316" s="73"/>
      <c r="AA316" s="73"/>
      <c r="AB316" s="73"/>
    </row>
    <row r="317">
      <c r="A317" s="73"/>
      <c r="B317" s="73">
        <v>8525.325</v>
      </c>
      <c r="C317" s="73">
        <v>492508.84194462</v>
      </c>
      <c r="D317" s="73">
        <v>4439.2692259903</v>
      </c>
      <c r="E317" s="73">
        <v>19530.5256518112</v>
      </c>
      <c r="F317" s="73"/>
      <c r="G317" s="73"/>
      <c r="H317" s="73"/>
      <c r="I317" s="878">
        <v>5.223E19</v>
      </c>
      <c r="J317" s="878">
        <v>5.223E19</v>
      </c>
      <c r="K317" s="878">
        <v>5.223E19</v>
      </c>
      <c r="L317" s="878">
        <v>5.223E19</v>
      </c>
      <c r="M317" s="878">
        <v>5.223E19</v>
      </c>
      <c r="N317" s="73"/>
      <c r="O317" s="878">
        <v>5.223E19</v>
      </c>
      <c r="P317" s="878">
        <v>5.223E19</v>
      </c>
      <c r="Q317" s="878">
        <v>5.223E19</v>
      </c>
      <c r="R317" s="878">
        <v>5.223E19</v>
      </c>
      <c r="S317" s="878">
        <v>5.223E19</v>
      </c>
      <c r="T317" s="73"/>
      <c r="U317" s="878">
        <v>5.223E19</v>
      </c>
      <c r="V317" s="73"/>
      <c r="W317" s="73"/>
      <c r="X317" s="73"/>
      <c r="Y317" s="73"/>
      <c r="Z317" s="73"/>
      <c r="AA317" s="73"/>
      <c r="AB317" s="73"/>
    </row>
    <row r="318">
      <c r="A318" s="73"/>
      <c r="B318" s="73">
        <v>8576.712</v>
      </c>
      <c r="C318" s="73">
        <v>496777.902138539</v>
      </c>
      <c r="D318" s="73">
        <v>4479.7230111084</v>
      </c>
      <c r="E318" s="73">
        <v>19697.5468626838</v>
      </c>
      <c r="F318" s="73"/>
      <c r="G318" s="73"/>
      <c r="H318" s="73"/>
      <c r="I318" s="878">
        <v>5.36E19</v>
      </c>
      <c r="J318" s="878">
        <v>5.36E19</v>
      </c>
      <c r="K318" s="878">
        <v>5.36E19</v>
      </c>
      <c r="L318" s="878">
        <v>5.36E19</v>
      </c>
      <c r="M318" s="878">
        <v>5.36E19</v>
      </c>
      <c r="N318" s="73"/>
      <c r="O318" s="878">
        <v>5.36E19</v>
      </c>
      <c r="P318" s="878">
        <v>5.36E19</v>
      </c>
      <c r="Q318" s="878">
        <v>5.36E19</v>
      </c>
      <c r="R318" s="878">
        <v>5.36E19</v>
      </c>
      <c r="S318" s="878">
        <v>5.36E19</v>
      </c>
      <c r="T318" s="73"/>
      <c r="U318" s="878">
        <v>5.36E19</v>
      </c>
      <c r="V318" s="73"/>
      <c r="W318" s="73"/>
      <c r="X318" s="73"/>
      <c r="Y318" s="73"/>
      <c r="Z318" s="73"/>
      <c r="AA318" s="73"/>
      <c r="AB318" s="73"/>
    </row>
    <row r="319">
      <c r="A319" s="73"/>
      <c r="B319" s="73">
        <v>8628.253</v>
      </c>
      <c r="C319" s="73">
        <v>501070.26608181</v>
      </c>
      <c r="D319" s="73">
        <v>4520.4786399765</v>
      </c>
      <c r="E319" s="73">
        <v>19865.7662530835</v>
      </c>
      <c r="F319" s="73"/>
      <c r="G319" s="73"/>
      <c r="H319" s="73"/>
      <c r="I319" s="878">
        <v>5.5E19</v>
      </c>
      <c r="J319" s="878">
        <v>5.5E19</v>
      </c>
      <c r="K319" s="878">
        <v>5.5E19</v>
      </c>
      <c r="L319" s="878">
        <v>5.5E19</v>
      </c>
      <c r="M319" s="878">
        <v>5.5E19</v>
      </c>
      <c r="N319" s="73"/>
      <c r="O319" s="878">
        <v>5.5E19</v>
      </c>
      <c r="P319" s="878">
        <v>5.5E19</v>
      </c>
      <c r="Q319" s="878">
        <v>5.5E19</v>
      </c>
      <c r="R319" s="878">
        <v>5.5E19</v>
      </c>
      <c r="S319" s="878">
        <v>5.5E19</v>
      </c>
      <c r="T319" s="73"/>
      <c r="U319" s="878">
        <v>5.5E19</v>
      </c>
      <c r="V319" s="73"/>
      <c r="W319" s="73"/>
      <c r="X319" s="73"/>
      <c r="Y319" s="73"/>
      <c r="Z319" s="73"/>
      <c r="AA319" s="73"/>
      <c r="AB319" s="73"/>
    </row>
    <row r="320">
      <c r="A320" s="73"/>
      <c r="B320" s="73">
        <v>8679.948</v>
      </c>
      <c r="C320" s="73">
        <v>505386.06252443</v>
      </c>
      <c r="D320" s="73">
        <v>4561.5369797821</v>
      </c>
      <c r="E320" s="73">
        <v>20035.1888765394</v>
      </c>
      <c r="F320" s="73"/>
      <c r="G320" s="73"/>
      <c r="H320" s="73"/>
      <c r="I320" s="878">
        <v>5.642E19</v>
      </c>
      <c r="J320" s="878">
        <v>5.642E19</v>
      </c>
      <c r="K320" s="878">
        <v>5.642E19</v>
      </c>
      <c r="L320" s="878">
        <v>5.642E19</v>
      </c>
      <c r="M320" s="878">
        <v>5.642E19</v>
      </c>
      <c r="N320" s="73"/>
      <c r="O320" s="878">
        <v>5.642E19</v>
      </c>
      <c r="P320" s="878">
        <v>5.642E19</v>
      </c>
      <c r="Q320" s="878">
        <v>5.642E19</v>
      </c>
      <c r="R320" s="878">
        <v>5.642E19</v>
      </c>
      <c r="S320" s="878">
        <v>5.642E19</v>
      </c>
      <c r="T320" s="73"/>
      <c r="U320" s="878">
        <v>5.642E19</v>
      </c>
      <c r="V320" s="73"/>
      <c r="W320" s="73"/>
      <c r="X320" s="73"/>
      <c r="Y320" s="73"/>
      <c r="Z320" s="73"/>
      <c r="AA320" s="73"/>
      <c r="AB320" s="73"/>
    </row>
    <row r="321">
      <c r="A321" s="73"/>
      <c r="B321" s="73">
        <v>8731.797</v>
      </c>
      <c r="C321" s="73">
        <v>509725.2914664</v>
      </c>
      <c r="D321" s="73">
        <v>4602.89861646271</v>
      </c>
      <c r="E321" s="73">
        <v>20205.8209220433</v>
      </c>
      <c r="F321" s="73"/>
      <c r="G321" s="73"/>
      <c r="H321" s="73"/>
      <c r="I321" s="878">
        <v>5.787E19</v>
      </c>
      <c r="J321" s="878">
        <v>5.787E19</v>
      </c>
      <c r="K321" s="878">
        <v>5.787E19</v>
      </c>
      <c r="L321" s="878">
        <v>5.787E19</v>
      </c>
      <c r="M321" s="878">
        <v>5.787E19</v>
      </c>
      <c r="N321" s="73"/>
      <c r="O321" s="878">
        <v>5.787E19</v>
      </c>
      <c r="P321" s="878">
        <v>5.787E19</v>
      </c>
      <c r="Q321" s="878">
        <v>5.787E19</v>
      </c>
      <c r="R321" s="878">
        <v>5.787E19</v>
      </c>
      <c r="S321" s="878">
        <v>5.787E19</v>
      </c>
      <c r="T321" s="73"/>
      <c r="U321" s="878">
        <v>5.787E19</v>
      </c>
      <c r="V321" s="73"/>
      <c r="W321" s="73"/>
      <c r="X321" s="73"/>
      <c r="Y321" s="73"/>
      <c r="Z321" s="73"/>
      <c r="AA321" s="73"/>
      <c r="AB321" s="73"/>
    </row>
    <row r="322">
      <c r="A322" s="73"/>
      <c r="B322" s="73">
        <v>8783.8</v>
      </c>
      <c r="C322" s="73">
        <v>514088.017282717</v>
      </c>
      <c r="D322" s="73">
        <v>4644.56443673706</v>
      </c>
      <c r="E322" s="73">
        <v>20377.6658314895</v>
      </c>
      <c r="F322" s="73"/>
      <c r="G322" s="73"/>
      <c r="H322" s="73"/>
      <c r="I322" s="878">
        <v>5.936E19</v>
      </c>
      <c r="J322" s="878">
        <v>5.936E19</v>
      </c>
      <c r="K322" s="878">
        <v>5.936E19</v>
      </c>
      <c r="L322" s="878">
        <v>5.936E19</v>
      </c>
      <c r="M322" s="878">
        <v>5.936E19</v>
      </c>
      <c r="N322" s="73"/>
      <c r="O322" s="878">
        <v>5.936E19</v>
      </c>
      <c r="P322" s="878">
        <v>5.936E19</v>
      </c>
      <c r="Q322" s="878">
        <v>5.936E19</v>
      </c>
      <c r="R322" s="878">
        <v>5.936E19</v>
      </c>
      <c r="S322" s="878">
        <v>5.936E19</v>
      </c>
      <c r="T322" s="73"/>
      <c r="U322" s="878">
        <v>5.936E19</v>
      </c>
      <c r="V322" s="73"/>
      <c r="W322" s="73"/>
      <c r="X322" s="73"/>
      <c r="Y322" s="73"/>
      <c r="Z322" s="73"/>
      <c r="AA322" s="73"/>
      <c r="AB322" s="73"/>
    </row>
    <row r="323">
      <c r="A323" s="73"/>
      <c r="B323" s="73">
        <v>8835.957</v>
      </c>
      <c r="C323" s="73">
        <v>518474.27216088</v>
      </c>
      <c r="D323" s="73">
        <v>4686.53500796509</v>
      </c>
      <c r="E323" s="73">
        <v>20550.7294936746</v>
      </c>
      <c r="F323" s="73"/>
      <c r="G323" s="73"/>
      <c r="H323" s="73"/>
      <c r="I323" s="878">
        <v>6.087E19</v>
      </c>
      <c r="J323" s="878">
        <v>6.087E19</v>
      </c>
      <c r="K323" s="878">
        <v>6.087E19</v>
      </c>
      <c r="L323" s="878">
        <v>6.087E19</v>
      </c>
      <c r="M323" s="878">
        <v>6.087E19</v>
      </c>
      <c r="N323" s="73"/>
      <c r="O323" s="878">
        <v>6.087E19</v>
      </c>
      <c r="P323" s="878">
        <v>6.087E19</v>
      </c>
      <c r="Q323" s="878">
        <v>6.087E19</v>
      </c>
      <c r="R323" s="878">
        <v>6.087E19</v>
      </c>
      <c r="S323" s="878">
        <v>6.087E19</v>
      </c>
      <c r="T323" s="73"/>
      <c r="U323" s="878">
        <v>6.087E19</v>
      </c>
      <c r="V323" s="73"/>
      <c r="W323" s="73"/>
      <c r="X323" s="73"/>
      <c r="Y323" s="73"/>
      <c r="Z323" s="73"/>
      <c r="AA323" s="73"/>
      <c r="AB323" s="73"/>
    </row>
    <row r="324">
      <c r="A324" s="73"/>
      <c r="B324" s="73">
        <v>8888.268</v>
      </c>
      <c r="C324" s="73">
        <v>522884.184850886</v>
      </c>
      <c r="D324" s="73">
        <v>4728.81145714569</v>
      </c>
      <c r="E324" s="73">
        <v>20725.0176887037</v>
      </c>
      <c r="F324" s="73"/>
      <c r="G324" s="73"/>
      <c r="H324" s="73"/>
      <c r="I324" s="878">
        <v>6.242E19</v>
      </c>
      <c r="J324" s="878">
        <v>6.242E19</v>
      </c>
      <c r="K324" s="878">
        <v>6.242E19</v>
      </c>
      <c r="L324" s="878">
        <v>6.242E19</v>
      </c>
      <c r="M324" s="878">
        <v>6.242E19</v>
      </c>
      <c r="N324" s="73"/>
      <c r="O324" s="878">
        <v>6.242E19</v>
      </c>
      <c r="P324" s="878">
        <v>6.242E19</v>
      </c>
      <c r="Q324" s="878">
        <v>6.242E19</v>
      </c>
      <c r="R324" s="878">
        <v>6.242E19</v>
      </c>
      <c r="S324" s="878">
        <v>6.242E19</v>
      </c>
      <c r="T324" s="73"/>
      <c r="U324" s="878">
        <v>6.242E19</v>
      </c>
      <c r="V324" s="73"/>
      <c r="W324" s="73"/>
      <c r="X324" s="73"/>
      <c r="Y324" s="73"/>
      <c r="Z324" s="73"/>
      <c r="AA324" s="73"/>
      <c r="AB324" s="73"/>
    </row>
    <row r="325">
      <c r="A325" s="73"/>
      <c r="B325" s="73">
        <v>8940.733</v>
      </c>
      <c r="C325" s="73">
        <v>527317.787540235</v>
      </c>
      <c r="D325" s="73">
        <v>4771.39407038879</v>
      </c>
      <c r="E325" s="73">
        <v>20900.5334702877</v>
      </c>
      <c r="F325" s="73"/>
      <c r="G325" s="73"/>
      <c r="H325" s="73"/>
      <c r="I325" s="878">
        <v>6.4E19</v>
      </c>
      <c r="J325" s="878">
        <v>6.4E19</v>
      </c>
      <c r="K325" s="878">
        <v>6.4E19</v>
      </c>
      <c r="L325" s="878">
        <v>6.4E19</v>
      </c>
      <c r="M325" s="878">
        <v>6.4E19</v>
      </c>
      <c r="N325" s="73"/>
      <c r="O325" s="878">
        <v>6.4E19</v>
      </c>
      <c r="P325" s="878">
        <v>6.4E19</v>
      </c>
      <c r="Q325" s="878">
        <v>6.4E19</v>
      </c>
      <c r="R325" s="878">
        <v>6.4E19</v>
      </c>
      <c r="S325" s="878">
        <v>6.4E19</v>
      </c>
      <c r="T325" s="73"/>
      <c r="U325" s="878">
        <v>6.4E19</v>
      </c>
      <c r="V325" s="73"/>
      <c r="W325" s="73"/>
      <c r="X325" s="73"/>
      <c r="Y325" s="73"/>
      <c r="Z325" s="73"/>
      <c r="AA325" s="73"/>
      <c r="AB325" s="73"/>
    </row>
    <row r="326">
      <c r="A326" s="73"/>
      <c r="B326" s="73">
        <v>8993.352</v>
      </c>
      <c r="C326" s="73">
        <v>531775.015853927</v>
      </c>
      <c r="D326" s="73">
        <v>4814.28397660065</v>
      </c>
      <c r="E326" s="73">
        <v>21077.2823856215</v>
      </c>
      <c r="F326" s="73"/>
      <c r="G326" s="73"/>
      <c r="H326" s="73"/>
      <c r="I326" s="878">
        <v>6.56E19</v>
      </c>
      <c r="J326" s="878">
        <v>6.56E19</v>
      </c>
      <c r="K326" s="878">
        <v>6.56E19</v>
      </c>
      <c r="L326" s="878">
        <v>6.56E19</v>
      </c>
      <c r="M326" s="878">
        <v>6.56E19</v>
      </c>
      <c r="N326" s="73"/>
      <c r="O326" s="878">
        <v>6.56E19</v>
      </c>
      <c r="P326" s="878">
        <v>6.56E19</v>
      </c>
      <c r="Q326" s="878">
        <v>6.56E19</v>
      </c>
      <c r="R326" s="878">
        <v>6.56E19</v>
      </c>
      <c r="S326" s="878">
        <v>6.56E19</v>
      </c>
      <c r="T326" s="73"/>
      <c r="U326" s="878">
        <v>6.56E19</v>
      </c>
      <c r="V326" s="73"/>
      <c r="W326" s="73"/>
      <c r="X326" s="73"/>
      <c r="Y326" s="73"/>
      <c r="Z326" s="73"/>
      <c r="AA326" s="73"/>
      <c r="AB326" s="73"/>
    </row>
    <row r="327">
      <c r="A327" s="73"/>
      <c r="B327" s="73">
        <v>9046.125</v>
      </c>
      <c r="C327" s="73">
        <v>536256.127291955</v>
      </c>
      <c r="D327" s="73">
        <v>4857.4817421875</v>
      </c>
      <c r="E327" s="73">
        <v>21255.2685850604</v>
      </c>
      <c r="F327" s="73"/>
      <c r="G327" s="73"/>
      <c r="H327" s="73"/>
      <c r="I327" s="878">
        <v>6.725E19</v>
      </c>
      <c r="J327" s="878">
        <v>6.725E19</v>
      </c>
      <c r="K327" s="878">
        <v>6.725E19</v>
      </c>
      <c r="L327" s="878">
        <v>6.725E19</v>
      </c>
      <c r="M327" s="878">
        <v>6.725E19</v>
      </c>
      <c r="N327" s="73"/>
      <c r="O327" s="878">
        <v>6.725E19</v>
      </c>
      <c r="P327" s="878">
        <v>6.725E19</v>
      </c>
      <c r="Q327" s="878">
        <v>6.725E19</v>
      </c>
      <c r="R327" s="878">
        <v>6.725E19</v>
      </c>
      <c r="S327" s="878">
        <v>6.725E19</v>
      </c>
      <c r="T327" s="73"/>
      <c r="U327" s="878">
        <v>6.725E19</v>
      </c>
      <c r="V327" s="73"/>
      <c r="W327" s="73"/>
      <c r="X327" s="73"/>
      <c r="Y327" s="73"/>
      <c r="Z327" s="73"/>
      <c r="AA327" s="73"/>
      <c r="AB327" s="73"/>
    </row>
    <row r="328">
      <c r="A328" s="73"/>
      <c r="B328" s="73">
        <v>9099.052</v>
      </c>
      <c r="C328" s="73">
        <v>540760.993104324</v>
      </c>
      <c r="D328" s="73">
        <v>4900.98787496185</v>
      </c>
      <c r="E328" s="73">
        <v>21434.4974294713</v>
      </c>
      <c r="F328" s="73"/>
      <c r="G328" s="73"/>
      <c r="H328" s="73"/>
      <c r="I328" s="878">
        <v>6.892E19</v>
      </c>
      <c r="J328" s="878">
        <v>6.892E19</v>
      </c>
      <c r="K328" s="878">
        <v>6.892E19</v>
      </c>
      <c r="L328" s="878">
        <v>6.892E19</v>
      </c>
      <c r="M328" s="878">
        <v>6.892E19</v>
      </c>
      <c r="N328" s="73"/>
      <c r="O328" s="878">
        <v>6.892E19</v>
      </c>
      <c r="P328" s="878">
        <v>6.892E19</v>
      </c>
      <c r="Q328" s="878">
        <v>6.892E19</v>
      </c>
      <c r="R328" s="878">
        <v>6.892E19</v>
      </c>
      <c r="S328" s="878">
        <v>6.892E19</v>
      </c>
      <c r="T328" s="73"/>
      <c r="U328" s="878">
        <v>6.892E19</v>
      </c>
      <c r="V328" s="73"/>
      <c r="W328" s="73"/>
      <c r="X328" s="73"/>
      <c r="Y328" s="73"/>
      <c r="Z328" s="73"/>
      <c r="AA328" s="73"/>
      <c r="AB328" s="73"/>
    </row>
    <row r="329">
      <c r="A329" s="73"/>
      <c r="B329" s="73">
        <v>9152.133</v>
      </c>
      <c r="C329" s="73">
        <v>545289.774228528</v>
      </c>
      <c r="D329" s="73">
        <v>4944.80328117371</v>
      </c>
      <c r="E329" s="73">
        <v>21614.9715792056</v>
      </c>
      <c r="F329" s="73"/>
      <c r="G329" s="73"/>
      <c r="H329" s="73"/>
      <c r="I329" s="878">
        <v>7.063E19</v>
      </c>
      <c r="J329" s="878">
        <v>7.063E19</v>
      </c>
      <c r="K329" s="878">
        <v>7.063E19</v>
      </c>
      <c r="L329" s="878">
        <v>7.063E19</v>
      </c>
      <c r="M329" s="878">
        <v>7.063E19</v>
      </c>
      <c r="N329" s="73"/>
      <c r="O329" s="878">
        <v>7.063E19</v>
      </c>
      <c r="P329" s="878">
        <v>7.063E19</v>
      </c>
      <c r="Q329" s="878">
        <v>7.063E19</v>
      </c>
      <c r="R329" s="878">
        <v>7.063E19</v>
      </c>
      <c r="S329" s="878">
        <v>7.063E19</v>
      </c>
      <c r="T329" s="73"/>
      <c r="U329" s="878">
        <v>7.063E19</v>
      </c>
      <c r="V329" s="73"/>
      <c r="W329" s="73"/>
      <c r="X329" s="73"/>
      <c r="Y329" s="73"/>
      <c r="Z329" s="73"/>
      <c r="AA329" s="73"/>
      <c r="AB329" s="73"/>
    </row>
    <row r="330">
      <c r="A330" s="73"/>
      <c r="B330" s="73">
        <v>9205.368</v>
      </c>
      <c r="C330" s="73">
        <v>549842.438477069</v>
      </c>
      <c r="D330" s="73">
        <v>4988.92867176056</v>
      </c>
      <c r="E330" s="73">
        <v>21796.6962295052</v>
      </c>
      <c r="F330" s="73"/>
      <c r="G330" s="73"/>
      <c r="H330" s="73"/>
      <c r="I330" s="878">
        <v>7.237E19</v>
      </c>
      <c r="J330" s="878">
        <v>7.237E19</v>
      </c>
      <c r="K330" s="878">
        <v>7.237E19</v>
      </c>
      <c r="L330" s="878">
        <v>7.237E19</v>
      </c>
      <c r="M330" s="878">
        <v>7.237E19</v>
      </c>
      <c r="N330" s="73"/>
      <c r="O330" s="878">
        <v>7.237E19</v>
      </c>
      <c r="P330" s="878">
        <v>7.237E19</v>
      </c>
      <c r="Q330" s="878">
        <v>7.237E19</v>
      </c>
      <c r="R330" s="878">
        <v>7.237E19</v>
      </c>
      <c r="S330" s="878">
        <v>7.237E19</v>
      </c>
      <c r="T330" s="73"/>
      <c r="U330" s="878">
        <v>7.237E19</v>
      </c>
      <c r="V330" s="73"/>
      <c r="W330" s="73"/>
      <c r="X330" s="73"/>
      <c r="Y330" s="73"/>
      <c r="Z330" s="73"/>
      <c r="AA330" s="73"/>
      <c r="AB330" s="73"/>
    </row>
    <row r="331">
      <c r="A331" s="73"/>
      <c r="B331" s="73">
        <v>9258.757</v>
      </c>
      <c r="C331" s="73">
        <v>554419.114599943</v>
      </c>
      <c r="D331" s="73">
        <v>5033.36495297241</v>
      </c>
      <c r="E331" s="73">
        <v>21979.6765135026</v>
      </c>
      <c r="F331" s="73"/>
      <c r="G331" s="73"/>
      <c r="H331" s="73"/>
      <c r="I331" s="878">
        <v>7.415E19</v>
      </c>
      <c r="J331" s="878">
        <v>7.415E19</v>
      </c>
      <c r="K331" s="878">
        <v>7.415E19</v>
      </c>
      <c r="L331" s="878">
        <v>7.415E19</v>
      </c>
      <c r="M331" s="878">
        <v>7.415E19</v>
      </c>
      <c r="N331" s="73"/>
      <c r="O331" s="878">
        <v>7.415E19</v>
      </c>
      <c r="P331" s="878">
        <v>7.415E19</v>
      </c>
      <c r="Q331" s="878">
        <v>7.415E19</v>
      </c>
      <c r="R331" s="878">
        <v>7.415E19</v>
      </c>
      <c r="S331" s="878">
        <v>7.415E19</v>
      </c>
      <c r="T331" s="73"/>
      <c r="U331" s="878">
        <v>7.415E19</v>
      </c>
      <c r="V331" s="73"/>
      <c r="W331" s="73"/>
      <c r="X331" s="73"/>
      <c r="Y331" s="73"/>
      <c r="Z331" s="73"/>
      <c r="AA331" s="73"/>
      <c r="AB331" s="73"/>
    </row>
    <row r="332">
      <c r="A332" s="73"/>
      <c r="B332" s="73">
        <v>9312.3</v>
      </c>
      <c r="C332" s="73">
        <v>559019.80259715</v>
      </c>
      <c r="D332" s="73">
        <v>5078.11259355926</v>
      </c>
      <c r="E332" s="73">
        <v>22163.9148534634</v>
      </c>
      <c r="F332" s="73"/>
      <c r="G332" s="73"/>
      <c r="H332" s="73"/>
      <c r="I332" s="878">
        <v>7.597E19</v>
      </c>
      <c r="J332" s="878">
        <v>7.597E19</v>
      </c>
      <c r="K332" s="878">
        <v>7.597E19</v>
      </c>
      <c r="L332" s="878">
        <v>7.597E19</v>
      </c>
      <c r="M332" s="878">
        <v>7.597E19</v>
      </c>
      <c r="N332" s="73"/>
      <c r="O332" s="878">
        <v>7.597E19</v>
      </c>
      <c r="P332" s="878">
        <v>7.597E19</v>
      </c>
      <c r="Q332" s="878">
        <v>7.597E19</v>
      </c>
      <c r="R332" s="878">
        <v>7.597E19</v>
      </c>
      <c r="S332" s="878">
        <v>7.597E19</v>
      </c>
      <c r="T332" s="73"/>
      <c r="U332" s="878">
        <v>7.597E19</v>
      </c>
      <c r="V332" s="73"/>
      <c r="W332" s="73"/>
      <c r="X332" s="73"/>
      <c r="Y332" s="73"/>
      <c r="Z332" s="73"/>
      <c r="AA332" s="73"/>
      <c r="AB332" s="73"/>
    </row>
    <row r="333">
      <c r="A333" s="73"/>
      <c r="B333" s="73">
        <v>9365.997</v>
      </c>
      <c r="C333" s="73">
        <v>563644.631218687</v>
      </c>
      <c r="D333" s="73">
        <v>5123.17214039612</v>
      </c>
      <c r="E333" s="73">
        <v>22349.4149494498</v>
      </c>
      <c r="F333" s="73"/>
      <c r="G333" s="73"/>
      <c r="H333" s="73"/>
      <c r="I333" s="878">
        <v>7.781E19</v>
      </c>
      <c r="J333" s="878">
        <v>7.781E19</v>
      </c>
      <c r="K333" s="878">
        <v>7.781E19</v>
      </c>
      <c r="L333" s="878">
        <v>7.781E19</v>
      </c>
      <c r="M333" s="878">
        <v>7.781E19</v>
      </c>
      <c r="N333" s="73"/>
      <c r="O333" s="878">
        <v>7.781E19</v>
      </c>
      <c r="P333" s="878">
        <v>7.781E19</v>
      </c>
      <c r="Q333" s="878">
        <v>7.781E19</v>
      </c>
      <c r="R333" s="878">
        <v>7.781E19</v>
      </c>
      <c r="S333" s="878">
        <v>7.781E19</v>
      </c>
      <c r="T333" s="73"/>
      <c r="U333" s="878">
        <v>7.781E19</v>
      </c>
      <c r="V333" s="73"/>
      <c r="W333" s="73"/>
      <c r="X333" s="73"/>
      <c r="Y333" s="73"/>
      <c r="Z333" s="73"/>
      <c r="AA333" s="73"/>
      <c r="AB333" s="73"/>
    </row>
    <row r="334">
      <c r="A334" s="73"/>
      <c r="B334" s="73">
        <v>9419.848</v>
      </c>
      <c r="C334" s="73">
        <v>568293.536089554</v>
      </c>
      <c r="D334" s="73">
        <v>5168.54470285797</v>
      </c>
      <c r="E334" s="73">
        <v>22536.1843038599</v>
      </c>
      <c r="F334" s="73"/>
      <c r="G334" s="73"/>
      <c r="H334" s="73"/>
      <c r="I334" s="878">
        <v>7.97E19</v>
      </c>
      <c r="J334" s="878">
        <v>7.97E19</v>
      </c>
      <c r="K334" s="878">
        <v>7.97E19</v>
      </c>
      <c r="L334" s="878">
        <v>7.97E19</v>
      </c>
      <c r="M334" s="878">
        <v>7.97E19</v>
      </c>
      <c r="N334" s="73"/>
      <c r="O334" s="878">
        <v>7.97E19</v>
      </c>
      <c r="P334" s="878">
        <v>7.97E19</v>
      </c>
      <c r="Q334" s="878">
        <v>7.97E19</v>
      </c>
      <c r="R334" s="878">
        <v>7.97E19</v>
      </c>
      <c r="S334" s="878">
        <v>7.97E19</v>
      </c>
      <c r="T334" s="73"/>
      <c r="U334" s="878">
        <v>7.97E19</v>
      </c>
      <c r="V334" s="73"/>
      <c r="W334" s="73"/>
      <c r="X334" s="73"/>
      <c r="Y334" s="73"/>
      <c r="Z334" s="73"/>
      <c r="AA334" s="73"/>
      <c r="AB334" s="73"/>
    </row>
    <row r="335">
      <c r="A335" s="73"/>
      <c r="B335" s="73">
        <v>9473.853</v>
      </c>
      <c r="C335" s="73">
        <v>572966.64595975</v>
      </c>
      <c r="D335" s="73">
        <v>5214.23046844482</v>
      </c>
      <c r="E335" s="73">
        <v>22724.219989686</v>
      </c>
      <c r="F335" s="73"/>
      <c r="G335" s="73"/>
      <c r="H335" s="73"/>
      <c r="I335" s="878">
        <v>8.162E19</v>
      </c>
      <c r="J335" s="878">
        <v>8.162E19</v>
      </c>
      <c r="K335" s="878">
        <v>8.162E19</v>
      </c>
      <c r="L335" s="878">
        <v>8.162E19</v>
      </c>
      <c r="M335" s="878">
        <v>8.162E19</v>
      </c>
      <c r="N335" s="73"/>
      <c r="O335" s="878">
        <v>8.162E19</v>
      </c>
      <c r="P335" s="878">
        <v>8.162E19</v>
      </c>
      <c r="Q335" s="878">
        <v>8.162E19</v>
      </c>
      <c r="R335" s="878">
        <v>8.162E19</v>
      </c>
      <c r="S335" s="878">
        <v>8.162E19</v>
      </c>
      <c r="T335" s="73"/>
      <c r="U335" s="878">
        <v>8.162E19</v>
      </c>
      <c r="V335" s="73"/>
      <c r="W335" s="73"/>
      <c r="X335" s="73"/>
      <c r="Y335" s="73"/>
      <c r="Z335" s="73"/>
      <c r="AA335" s="73"/>
      <c r="AB335" s="73"/>
    </row>
    <row r="336">
      <c r="A336" s="73"/>
      <c r="B336" s="73">
        <v>9528.012</v>
      </c>
      <c r="C336" s="73">
        <v>577664.025204271</v>
      </c>
      <c r="D336" s="73">
        <v>5260.23050746918</v>
      </c>
      <c r="E336" s="73">
        <v>22913.5345791071</v>
      </c>
      <c r="F336" s="73"/>
      <c r="G336" s="73"/>
      <c r="H336" s="73"/>
      <c r="I336" s="878">
        <v>8.358E19</v>
      </c>
      <c r="J336" s="878">
        <v>8.358E19</v>
      </c>
      <c r="K336" s="878">
        <v>8.358E19</v>
      </c>
      <c r="L336" s="878">
        <v>8.358E19</v>
      </c>
      <c r="M336" s="878">
        <v>8.358E19</v>
      </c>
      <c r="N336" s="73"/>
      <c r="O336" s="878">
        <v>8.358E19</v>
      </c>
      <c r="P336" s="878">
        <v>8.358E19</v>
      </c>
      <c r="Q336" s="878">
        <v>8.358E19</v>
      </c>
      <c r="R336" s="878">
        <v>8.358E19</v>
      </c>
      <c r="S336" s="878">
        <v>8.358E19</v>
      </c>
      <c r="T336" s="73"/>
      <c r="U336" s="878">
        <v>8.358E19</v>
      </c>
      <c r="V336" s="73"/>
      <c r="W336" s="73"/>
      <c r="X336" s="73"/>
      <c r="Y336" s="73"/>
      <c r="Z336" s="73"/>
      <c r="AA336" s="73"/>
      <c r="AB336" s="73"/>
    </row>
    <row r="337">
      <c r="A337" s="73"/>
      <c r="B337" s="73">
        <v>9582.325</v>
      </c>
      <c r="C337" s="73">
        <v>582385.673823118</v>
      </c>
      <c r="D337" s="73">
        <v>5306.54476524353</v>
      </c>
      <c r="E337" s="73">
        <v>23104.1250623031</v>
      </c>
      <c r="F337" s="73"/>
      <c r="G337" s="73"/>
      <c r="H337" s="73"/>
      <c r="I337" s="878">
        <v>8.558E19</v>
      </c>
      <c r="J337" s="878">
        <v>8.558E19</v>
      </c>
      <c r="K337" s="878">
        <v>8.558E19</v>
      </c>
      <c r="L337" s="878">
        <v>8.558E19</v>
      </c>
      <c r="M337" s="878">
        <v>8.558E19</v>
      </c>
      <c r="N337" s="73"/>
      <c r="O337" s="878">
        <v>8.558E19</v>
      </c>
      <c r="P337" s="878">
        <v>8.558E19</v>
      </c>
      <c r="Q337" s="878">
        <v>8.558E19</v>
      </c>
      <c r="R337" s="878">
        <v>8.558E19</v>
      </c>
      <c r="S337" s="878">
        <v>8.558E19</v>
      </c>
      <c r="T337" s="73"/>
      <c r="U337" s="878">
        <v>8.558E19</v>
      </c>
      <c r="V337" s="73"/>
      <c r="W337" s="73"/>
      <c r="X337" s="73"/>
      <c r="Y337" s="73"/>
      <c r="Z337" s="73"/>
      <c r="AA337" s="73"/>
      <c r="AB337" s="73"/>
    </row>
    <row r="338">
      <c r="A338" s="73"/>
      <c r="B338" s="73">
        <v>9636.792</v>
      </c>
      <c r="C338" s="73">
        <v>587131.720566288</v>
      </c>
      <c r="D338" s="73">
        <v>5353.17551520538</v>
      </c>
      <c r="E338" s="73">
        <v>23295.9987449923</v>
      </c>
      <c r="F338" s="73"/>
      <c r="G338" s="73"/>
      <c r="H338" s="73"/>
      <c r="I338" s="878">
        <v>8.762E19</v>
      </c>
      <c r="J338" s="878">
        <v>8.762E19</v>
      </c>
      <c r="K338" s="878">
        <v>8.762E19</v>
      </c>
      <c r="L338" s="878">
        <v>8.762E19</v>
      </c>
      <c r="M338" s="878">
        <v>8.762E19</v>
      </c>
      <c r="N338" s="73"/>
      <c r="O338" s="878">
        <v>8.762E19</v>
      </c>
      <c r="P338" s="878">
        <v>8.762E19</v>
      </c>
      <c r="Q338" s="878">
        <v>8.762E19</v>
      </c>
      <c r="R338" s="878">
        <v>8.762E19</v>
      </c>
      <c r="S338" s="878">
        <v>8.762E19</v>
      </c>
      <c r="T338" s="73"/>
      <c r="U338" s="878">
        <v>8.762E19</v>
      </c>
      <c r="V338" s="73"/>
      <c r="W338" s="73"/>
      <c r="X338" s="73"/>
      <c r="Y338" s="73"/>
      <c r="Z338" s="73"/>
      <c r="AA338" s="73"/>
      <c r="AB338" s="73"/>
    </row>
    <row r="339">
      <c r="A339" s="73"/>
      <c r="B339" s="73">
        <v>9691.413</v>
      </c>
      <c r="C339" s="73">
        <v>591902.165433779</v>
      </c>
      <c r="D339" s="73">
        <v>5400.12142141724</v>
      </c>
      <c r="E339" s="73">
        <v>23489.155038378</v>
      </c>
      <c r="F339" s="73"/>
      <c r="G339" s="73"/>
      <c r="H339" s="73"/>
      <c r="I339" s="878">
        <v>8.969E19</v>
      </c>
      <c r="J339" s="878">
        <v>8.969E19</v>
      </c>
      <c r="K339" s="878">
        <v>8.969E19</v>
      </c>
      <c r="L339" s="878">
        <v>8.969E19</v>
      </c>
      <c r="M339" s="878">
        <v>8.969E19</v>
      </c>
      <c r="N339" s="73"/>
      <c r="O339" s="878">
        <v>8.969E19</v>
      </c>
      <c r="P339" s="878">
        <v>8.969E19</v>
      </c>
      <c r="Q339" s="878">
        <v>8.969E19</v>
      </c>
      <c r="R339" s="878">
        <v>8.969E19</v>
      </c>
      <c r="S339" s="878">
        <v>8.969E19</v>
      </c>
      <c r="T339" s="73"/>
      <c r="U339" s="878">
        <v>8.969E19</v>
      </c>
      <c r="V339" s="73"/>
      <c r="W339" s="73"/>
      <c r="X339" s="73"/>
      <c r="Y339" s="73"/>
      <c r="Z339" s="73"/>
      <c r="AA339" s="73"/>
      <c r="AB339" s="73"/>
    </row>
    <row r="340">
      <c r="A340" s="73"/>
      <c r="B340" s="73">
        <v>9746.188</v>
      </c>
      <c r="C340" s="73">
        <v>596697.072800592</v>
      </c>
      <c r="D340" s="73">
        <v>5447.38479637909</v>
      </c>
      <c r="E340" s="73">
        <v>23683.6037830688</v>
      </c>
      <c r="F340" s="73"/>
      <c r="G340" s="73"/>
      <c r="H340" s="73"/>
      <c r="I340" s="878">
        <v>9.181E19</v>
      </c>
      <c r="J340" s="878">
        <v>9.181E19</v>
      </c>
      <c r="K340" s="878">
        <v>9.181E19</v>
      </c>
      <c r="L340" s="878">
        <v>9.181E19</v>
      </c>
      <c r="M340" s="878">
        <v>9.181E19</v>
      </c>
      <c r="N340" s="73"/>
      <c r="O340" s="878">
        <v>9.181E19</v>
      </c>
      <c r="P340" s="878">
        <v>9.181E19</v>
      </c>
      <c r="Q340" s="878">
        <v>9.181E19</v>
      </c>
      <c r="R340" s="878">
        <v>9.181E19</v>
      </c>
      <c r="S340" s="878">
        <v>9.181E19</v>
      </c>
      <c r="T340" s="73"/>
      <c r="U340" s="878">
        <v>9.181E19</v>
      </c>
      <c r="V340" s="73"/>
      <c r="W340" s="73"/>
      <c r="X340" s="73"/>
      <c r="Y340" s="73"/>
      <c r="Z340" s="73"/>
      <c r="AA340" s="73"/>
      <c r="AB340" s="73"/>
    </row>
    <row r="341">
      <c r="A341" s="73"/>
      <c r="B341" s="73">
        <v>9801.117</v>
      </c>
      <c r="C341" s="73">
        <v>601516.442666724</v>
      </c>
      <c r="D341" s="73">
        <v>5494.96546821594</v>
      </c>
      <c r="E341" s="73">
        <v>23879.3443488618</v>
      </c>
      <c r="F341" s="73"/>
      <c r="G341" s="73"/>
      <c r="H341" s="73"/>
      <c r="I341" s="878">
        <v>9.397E19</v>
      </c>
      <c r="J341" s="878">
        <v>9.397E19</v>
      </c>
      <c r="K341" s="878">
        <v>9.397E19</v>
      </c>
      <c r="L341" s="878">
        <v>9.397E19</v>
      </c>
      <c r="M341" s="878">
        <v>9.397E19</v>
      </c>
      <c r="N341" s="73"/>
      <c r="O341" s="878">
        <v>9.397E19</v>
      </c>
      <c r="P341" s="878">
        <v>9.397E19</v>
      </c>
      <c r="Q341" s="878">
        <v>9.397E19</v>
      </c>
      <c r="R341" s="878">
        <v>9.397E19</v>
      </c>
      <c r="S341" s="878">
        <v>9.397E19</v>
      </c>
      <c r="T341" s="73"/>
      <c r="U341" s="878">
        <v>9.397E19</v>
      </c>
      <c r="V341" s="73"/>
      <c r="W341" s="73"/>
      <c r="X341" s="73"/>
      <c r="Y341" s="73"/>
      <c r="Z341" s="73"/>
      <c r="AA341" s="73"/>
      <c r="AB341" s="73"/>
    </row>
    <row r="342">
      <c r="A342" s="73"/>
      <c r="B342" s="73">
        <v>9856.2</v>
      </c>
      <c r="C342" s="73">
        <v>606360.339407176</v>
      </c>
      <c r="D342" s="73">
        <v>5542.86394474029</v>
      </c>
      <c r="E342" s="73">
        <v>24076.3812374442</v>
      </c>
      <c r="F342" s="73"/>
      <c r="G342" s="73"/>
      <c r="H342" s="73"/>
      <c r="I342" s="878">
        <v>9.616E19</v>
      </c>
      <c r="J342" s="878">
        <v>9.616E19</v>
      </c>
      <c r="K342" s="878">
        <v>9.616E19</v>
      </c>
      <c r="L342" s="878">
        <v>9.616E19</v>
      </c>
      <c r="M342" s="878">
        <v>9.616E19</v>
      </c>
      <c r="N342" s="73"/>
      <c r="O342" s="878">
        <v>9.616E19</v>
      </c>
      <c r="P342" s="878">
        <v>9.616E19</v>
      </c>
      <c r="Q342" s="878">
        <v>9.616E19</v>
      </c>
      <c r="R342" s="878">
        <v>9.616E19</v>
      </c>
      <c r="S342" s="878">
        <v>9.616E19</v>
      </c>
      <c r="T342" s="73"/>
      <c r="U342" s="878">
        <v>9.616E19</v>
      </c>
      <c r="V342" s="73"/>
      <c r="W342" s="73"/>
      <c r="X342" s="73"/>
      <c r="Y342" s="73"/>
      <c r="Z342" s="73"/>
      <c r="AA342" s="73"/>
      <c r="AB342" s="73"/>
    </row>
    <row r="343">
      <c r="A343" s="73"/>
      <c r="B343" s="73">
        <v>9911.437</v>
      </c>
      <c r="C343" s="73">
        <v>611228.956146941</v>
      </c>
      <c r="D343" s="73">
        <v>5591.08185876465</v>
      </c>
      <c r="E343" s="73">
        <v>24274.7189298001</v>
      </c>
      <c r="F343" s="73"/>
      <c r="G343" s="73"/>
      <c r="H343" s="73"/>
      <c r="I343" s="878">
        <v>9.84E19</v>
      </c>
      <c r="J343" s="878">
        <v>9.84E19</v>
      </c>
      <c r="K343" s="878">
        <v>9.84E19</v>
      </c>
      <c r="L343" s="878">
        <v>9.84E19</v>
      </c>
      <c r="M343" s="878">
        <v>9.84E19</v>
      </c>
      <c r="N343" s="73"/>
      <c r="O343" s="878">
        <v>9.84E19</v>
      </c>
      <c r="P343" s="878">
        <v>9.84E19</v>
      </c>
      <c r="Q343" s="878">
        <v>9.84E19</v>
      </c>
      <c r="R343" s="878">
        <v>9.84E19</v>
      </c>
      <c r="S343" s="878">
        <v>9.84E19</v>
      </c>
      <c r="T343" s="73"/>
      <c r="U343" s="878">
        <v>9.84E19</v>
      </c>
      <c r="V343" s="73"/>
      <c r="W343" s="73"/>
      <c r="X343" s="73"/>
      <c r="Y343" s="73"/>
      <c r="Z343" s="73"/>
      <c r="AA343" s="73"/>
      <c r="AB343" s="73"/>
    </row>
    <row r="344">
      <c r="A344" s="73"/>
      <c r="B344" s="73">
        <v>9966.828</v>
      </c>
      <c r="C344" s="73">
        <v>616122.164136022</v>
      </c>
      <c r="D344" s="73">
        <v>5639.6185149765</v>
      </c>
      <c r="E344" s="73">
        <v>24474.3593099138</v>
      </c>
      <c r="F344" s="73"/>
      <c r="G344" s="73"/>
      <c r="H344" s="73"/>
      <c r="I344" s="878">
        <v>1.0069E20</v>
      </c>
      <c r="J344" s="878">
        <v>1.0069E20</v>
      </c>
      <c r="K344" s="878">
        <v>1.0069E20</v>
      </c>
      <c r="L344" s="878">
        <v>1.0069E20</v>
      </c>
      <c r="M344" s="878">
        <v>1.0069E20</v>
      </c>
      <c r="N344" s="73"/>
      <c r="O344" s="878">
        <v>1.0069E20</v>
      </c>
      <c r="P344" s="878">
        <v>1.0069E20</v>
      </c>
      <c r="Q344" s="878">
        <v>1.0069E20</v>
      </c>
      <c r="R344" s="878">
        <v>1.0069E20</v>
      </c>
      <c r="S344" s="878">
        <v>1.0069E20</v>
      </c>
      <c r="T344" s="73"/>
      <c r="U344" s="878">
        <v>1.0069E20</v>
      </c>
      <c r="V344" s="73"/>
      <c r="W344" s="73"/>
      <c r="X344" s="73"/>
      <c r="Y344" s="73"/>
      <c r="Z344" s="73"/>
      <c r="AA344" s="73"/>
      <c r="AB344" s="73"/>
    </row>
    <row r="345">
      <c r="A345" s="73"/>
      <c r="B345" s="73">
        <v>10022.373</v>
      </c>
      <c r="C345" s="73">
        <v>621040.156499416</v>
      </c>
      <c r="D345" s="73">
        <v>5688.47502275085</v>
      </c>
      <c r="E345" s="73">
        <v>24675.306775957</v>
      </c>
      <c r="F345" s="73"/>
      <c r="G345" s="73"/>
      <c r="H345" s="73"/>
      <c r="I345" s="878">
        <v>1.0301E20</v>
      </c>
      <c r="J345" s="878">
        <v>1.0301E20</v>
      </c>
      <c r="K345" s="878">
        <v>1.0301E20</v>
      </c>
      <c r="L345" s="878">
        <v>1.0301E20</v>
      </c>
      <c r="M345" s="878">
        <v>1.0301E20</v>
      </c>
      <c r="N345" s="73"/>
      <c r="O345" s="878">
        <v>1.0301E20</v>
      </c>
      <c r="P345" s="878">
        <v>1.0301E20</v>
      </c>
      <c r="Q345" s="878">
        <v>1.0301E20</v>
      </c>
      <c r="R345" s="878">
        <v>1.0301E20</v>
      </c>
      <c r="S345" s="878">
        <v>1.0301E20</v>
      </c>
      <c r="T345" s="73"/>
      <c r="U345" s="878">
        <v>1.0301E20</v>
      </c>
      <c r="V345" s="73"/>
      <c r="W345" s="73"/>
      <c r="X345" s="73"/>
      <c r="Y345" s="73"/>
      <c r="Z345" s="73"/>
      <c r="AA345" s="73"/>
      <c r="AB345" s="73"/>
    </row>
    <row r="346">
      <c r="A346" s="73"/>
      <c r="B346" s="73">
        <v>10078.072</v>
      </c>
      <c r="C346" s="73">
        <v>625982.868862122</v>
      </c>
      <c r="D346" s="73">
        <v>5737.65289771271</v>
      </c>
      <c r="E346" s="73">
        <v>24877.5630876951</v>
      </c>
      <c r="F346" s="73"/>
      <c r="G346" s="73"/>
      <c r="H346" s="73"/>
      <c r="I346" s="878">
        <v>1.0538E20</v>
      </c>
      <c r="J346" s="878">
        <v>1.0538E20</v>
      </c>
      <c r="K346" s="878">
        <v>1.0538E20</v>
      </c>
      <c r="L346" s="878">
        <v>1.0538E20</v>
      </c>
      <c r="M346" s="878">
        <v>1.0538E20</v>
      </c>
      <c r="N346" s="73"/>
      <c r="O346" s="878">
        <v>1.0538E20</v>
      </c>
      <c r="P346" s="878">
        <v>1.0538E20</v>
      </c>
      <c r="Q346" s="878">
        <v>1.0538E20</v>
      </c>
      <c r="R346" s="878">
        <v>1.0538E20</v>
      </c>
      <c r="S346" s="878">
        <v>1.0538E20</v>
      </c>
      <c r="T346" s="73"/>
      <c r="U346" s="878">
        <v>1.0538E20</v>
      </c>
      <c r="V346" s="73"/>
      <c r="W346" s="73"/>
      <c r="X346" s="73"/>
      <c r="Y346" s="73"/>
      <c r="Z346" s="73"/>
      <c r="AA346" s="73"/>
      <c r="AB346" s="73"/>
    </row>
    <row r="347">
      <c r="A347" s="73"/>
      <c r="B347" s="73">
        <v>10133.925</v>
      </c>
      <c r="C347" s="73">
        <v>630950.429974139</v>
      </c>
      <c r="D347" s="73">
        <v>5787.15152267456</v>
      </c>
      <c r="E347" s="73">
        <v>25081.1351988935</v>
      </c>
      <c r="F347" s="73"/>
      <c r="G347" s="73"/>
      <c r="H347" s="73"/>
      <c r="I347" s="878">
        <v>1.0779E20</v>
      </c>
      <c r="J347" s="878">
        <v>1.0779E20</v>
      </c>
      <c r="K347" s="878">
        <v>1.0779E20</v>
      </c>
      <c r="L347" s="878">
        <v>1.0779E20</v>
      </c>
      <c r="M347" s="878">
        <v>1.0779E20</v>
      </c>
      <c r="N347" s="73"/>
      <c r="O347" s="878">
        <v>1.0779E20</v>
      </c>
      <c r="P347" s="878">
        <v>1.0779E20</v>
      </c>
      <c r="Q347" s="878">
        <v>1.0779E20</v>
      </c>
      <c r="R347" s="878">
        <v>1.0779E20</v>
      </c>
      <c r="S347" s="878">
        <v>1.0779E20</v>
      </c>
      <c r="T347" s="73"/>
      <c r="U347" s="878">
        <v>1.0779E20</v>
      </c>
      <c r="V347" s="73"/>
      <c r="W347" s="73"/>
      <c r="X347" s="73"/>
      <c r="Y347" s="73"/>
      <c r="Z347" s="73"/>
      <c r="AA347" s="73"/>
      <c r="AB347" s="73"/>
    </row>
    <row r="348">
      <c r="A348" s="73"/>
      <c r="B348" s="73">
        <v>10189.932</v>
      </c>
      <c r="C348" s="73">
        <v>635942.839835465</v>
      </c>
      <c r="D348" s="73">
        <v>5836.97245327759</v>
      </c>
      <c r="E348" s="73">
        <v>25286.0222516146</v>
      </c>
      <c r="F348" s="73"/>
      <c r="G348" s="73"/>
      <c r="H348" s="73"/>
      <c r="I348" s="878">
        <v>1.1025E20</v>
      </c>
      <c r="J348" s="878">
        <v>1.1025E20</v>
      </c>
      <c r="K348" s="878">
        <v>1.1025E20</v>
      </c>
      <c r="L348" s="878">
        <v>1.1025E20</v>
      </c>
      <c r="M348" s="878">
        <v>1.1025E20</v>
      </c>
      <c r="N348" s="73"/>
      <c r="O348" s="878">
        <v>1.1025E20</v>
      </c>
      <c r="P348" s="878">
        <v>1.1025E20</v>
      </c>
      <c r="Q348" s="878">
        <v>1.1025E20</v>
      </c>
      <c r="R348" s="878">
        <v>1.1025E20</v>
      </c>
      <c r="S348" s="878">
        <v>1.1025E20</v>
      </c>
      <c r="T348" s="73"/>
      <c r="U348" s="878">
        <v>1.1025E20</v>
      </c>
      <c r="V348" s="73"/>
      <c r="W348" s="73"/>
      <c r="X348" s="73"/>
      <c r="Y348" s="73"/>
      <c r="Z348" s="73"/>
      <c r="AA348" s="73"/>
      <c r="AB348" s="73"/>
    </row>
    <row r="349">
      <c r="A349" s="73"/>
      <c r="B349" s="73">
        <v>10246.093</v>
      </c>
      <c r="C349" s="73">
        <v>640960.162821099</v>
      </c>
      <c r="D349" s="73">
        <v>5887.11563292694</v>
      </c>
      <c r="E349" s="73">
        <v>25492.2310961081</v>
      </c>
      <c r="F349" s="73"/>
      <c r="G349" s="73"/>
      <c r="H349" s="73"/>
      <c r="I349" s="878">
        <v>1.1275E20</v>
      </c>
      <c r="J349" s="878">
        <v>1.1275E20</v>
      </c>
      <c r="K349" s="878">
        <v>1.1275E20</v>
      </c>
      <c r="L349" s="878">
        <v>1.1275E20</v>
      </c>
      <c r="M349" s="878">
        <v>1.1275E20</v>
      </c>
      <c r="N349" s="73"/>
      <c r="O349" s="878">
        <v>1.1275E20</v>
      </c>
      <c r="P349" s="878">
        <v>1.1275E20</v>
      </c>
      <c r="Q349" s="878">
        <v>1.1275E20</v>
      </c>
      <c r="R349" s="878">
        <v>1.1275E20</v>
      </c>
      <c r="S349" s="878">
        <v>1.1275E20</v>
      </c>
      <c r="T349" s="73"/>
      <c r="U349" s="878">
        <v>1.1275E20</v>
      </c>
      <c r="V349" s="73"/>
      <c r="W349" s="73"/>
      <c r="X349" s="73"/>
      <c r="Y349" s="73"/>
      <c r="Z349" s="73"/>
      <c r="AA349" s="73"/>
      <c r="AB349" s="73"/>
    </row>
    <row r="350">
      <c r="A350" s="73"/>
      <c r="B350" s="73">
        <v>10302.408</v>
      </c>
      <c r="C350" s="73">
        <v>646002.46330604</v>
      </c>
      <c r="D350" s="73">
        <v>5937.58201570129</v>
      </c>
      <c r="E350" s="73">
        <v>25699.763388624</v>
      </c>
      <c r="F350" s="73"/>
      <c r="G350" s="73"/>
      <c r="H350" s="73"/>
      <c r="I350" s="878">
        <v>1.153E20</v>
      </c>
      <c r="J350" s="878">
        <v>1.153E20</v>
      </c>
      <c r="K350" s="878">
        <v>1.153E20</v>
      </c>
      <c r="L350" s="878">
        <v>1.153E20</v>
      </c>
      <c r="M350" s="878">
        <v>1.153E20</v>
      </c>
      <c r="N350" s="73"/>
      <c r="O350" s="878">
        <v>1.153E20</v>
      </c>
      <c r="P350" s="878">
        <v>1.153E20</v>
      </c>
      <c r="Q350" s="878">
        <v>1.153E20</v>
      </c>
      <c r="R350" s="878">
        <v>1.153E20</v>
      </c>
      <c r="S350" s="878">
        <v>1.153E20</v>
      </c>
      <c r="T350" s="73"/>
      <c r="U350" s="878">
        <v>1.153E20</v>
      </c>
      <c r="V350" s="73"/>
      <c r="W350" s="73"/>
      <c r="X350" s="73"/>
      <c r="Y350" s="73"/>
      <c r="Z350" s="73"/>
      <c r="AA350" s="73"/>
      <c r="AB350" s="73"/>
    </row>
    <row r="351">
      <c r="A351" s="73"/>
      <c r="B351" s="73">
        <v>10358.877</v>
      </c>
      <c r="C351" s="73">
        <v>651069.805665284</v>
      </c>
      <c r="D351" s="73">
        <v>5988.37210941315</v>
      </c>
      <c r="E351" s="73">
        <v>25908.6233824119</v>
      </c>
      <c r="F351" s="73"/>
      <c r="G351" s="73"/>
      <c r="H351" s="73"/>
      <c r="I351" s="878">
        <v>1.179E20</v>
      </c>
      <c r="J351" s="878">
        <v>1.179E20</v>
      </c>
      <c r="K351" s="878">
        <v>1.179E20</v>
      </c>
      <c r="L351" s="878">
        <v>1.179E20</v>
      </c>
      <c r="M351" s="878">
        <v>1.179E20</v>
      </c>
      <c r="N351" s="73"/>
      <c r="O351" s="878">
        <v>1.179E20</v>
      </c>
      <c r="P351" s="878">
        <v>1.179E20</v>
      </c>
      <c r="Q351" s="878">
        <v>1.179E20</v>
      </c>
      <c r="R351" s="878">
        <v>1.179E20</v>
      </c>
      <c r="S351" s="878">
        <v>1.179E20</v>
      </c>
      <c r="T351" s="73"/>
      <c r="U351" s="878">
        <v>1.179E20</v>
      </c>
      <c r="V351" s="73"/>
      <c r="W351" s="73"/>
      <c r="X351" s="73"/>
      <c r="Y351" s="73"/>
      <c r="Z351" s="73"/>
      <c r="AA351" s="73"/>
      <c r="AB351" s="73"/>
    </row>
    <row r="352">
      <c r="A352" s="73"/>
      <c r="B352" s="73">
        <v>10415.5</v>
      </c>
      <c r="C352" s="73">
        <v>656162.254273832</v>
      </c>
      <c r="D352" s="73">
        <v>6039.4868671875</v>
      </c>
      <c r="E352" s="73">
        <v>26118.8100539094</v>
      </c>
      <c r="F352" s="73"/>
      <c r="G352" s="73"/>
      <c r="H352" s="73"/>
      <c r="I352" s="878">
        <v>1.2054E20</v>
      </c>
      <c r="J352" s="878">
        <v>1.2054E20</v>
      </c>
      <c r="K352" s="878">
        <v>1.2054E20</v>
      </c>
      <c r="L352" s="878">
        <v>1.2054E20</v>
      </c>
      <c r="M352" s="878">
        <v>1.2054E20</v>
      </c>
      <c r="N352" s="73"/>
      <c r="O352" s="878">
        <v>1.2054E20</v>
      </c>
      <c r="P352" s="878">
        <v>1.2054E20</v>
      </c>
      <c r="Q352" s="878">
        <v>1.2054E20</v>
      </c>
      <c r="R352" s="878">
        <v>1.2054E20</v>
      </c>
      <c r="S352" s="878">
        <v>1.2054E20</v>
      </c>
      <c r="T352" s="73"/>
      <c r="U352" s="878">
        <v>1.2054E20</v>
      </c>
      <c r="V352" s="73"/>
      <c r="W352" s="73"/>
      <c r="X352" s="73"/>
      <c r="Y352" s="73"/>
      <c r="Z352" s="73"/>
      <c r="AA352" s="73"/>
      <c r="AB352" s="73"/>
    </row>
    <row r="353">
      <c r="A353" s="73"/>
      <c r="B353" s="73">
        <v>10472.277</v>
      </c>
      <c r="C353" s="73">
        <v>661279.809131682</v>
      </c>
      <c r="D353" s="73">
        <v>6090.92615621185</v>
      </c>
      <c r="E353" s="73">
        <v>26330.3328089598</v>
      </c>
      <c r="F353" s="73"/>
      <c r="G353" s="73"/>
      <c r="H353" s="73"/>
      <c r="I353" s="878">
        <v>1.2323E20</v>
      </c>
      <c r="J353" s="878">
        <v>1.2323E20</v>
      </c>
      <c r="K353" s="878">
        <v>1.2323E20</v>
      </c>
      <c r="L353" s="878">
        <v>1.2323E20</v>
      </c>
      <c r="M353" s="878">
        <v>1.2323E20</v>
      </c>
      <c r="N353" s="73"/>
      <c r="O353" s="878">
        <v>1.2323E20</v>
      </c>
      <c r="P353" s="878">
        <v>1.2323E20</v>
      </c>
      <c r="Q353" s="878">
        <v>1.2323E20</v>
      </c>
      <c r="R353" s="878">
        <v>1.2323E20</v>
      </c>
      <c r="S353" s="878">
        <v>1.2323E20</v>
      </c>
      <c r="T353" s="73"/>
      <c r="U353" s="878">
        <v>1.2323E20</v>
      </c>
      <c r="V353" s="73"/>
      <c r="W353" s="73"/>
      <c r="X353" s="73"/>
      <c r="Y353" s="73"/>
      <c r="Z353" s="73"/>
      <c r="AA353" s="73"/>
      <c r="AB353" s="73"/>
    </row>
    <row r="354">
      <c r="A354" s="73"/>
      <c r="B354" s="73">
        <v>10529.208</v>
      </c>
      <c r="C354" s="73">
        <v>666422.598988831</v>
      </c>
      <c r="D354" s="73">
        <v>6142.69112492371</v>
      </c>
      <c r="E354" s="73">
        <v>26543.190499782</v>
      </c>
      <c r="F354" s="73"/>
      <c r="G354" s="73"/>
      <c r="H354" s="73"/>
      <c r="I354" s="878">
        <v>1.2597E20</v>
      </c>
      <c r="J354" s="878">
        <v>1.2597E20</v>
      </c>
      <c r="K354" s="878">
        <v>1.2597E20</v>
      </c>
      <c r="L354" s="878">
        <v>1.2597E20</v>
      </c>
      <c r="M354" s="878">
        <v>1.2597E20</v>
      </c>
      <c r="N354" s="73"/>
      <c r="O354" s="878">
        <v>1.2597E20</v>
      </c>
      <c r="P354" s="878">
        <v>1.2597E20</v>
      </c>
      <c r="Q354" s="878">
        <v>1.2597E20</v>
      </c>
      <c r="R354" s="878">
        <v>1.2597E20</v>
      </c>
      <c r="S354" s="878">
        <v>1.2597E20</v>
      </c>
      <c r="T354" s="73"/>
      <c r="U354" s="878">
        <v>1.2597E20</v>
      </c>
      <c r="V354" s="73"/>
      <c r="W354" s="73"/>
      <c r="X354" s="73"/>
      <c r="Y354" s="73"/>
      <c r="Z354" s="73"/>
      <c r="AA354" s="73"/>
      <c r="AB354" s="73"/>
    </row>
    <row r="355">
      <c r="A355" s="73"/>
      <c r="B355" s="73">
        <v>10586.293</v>
      </c>
      <c r="C355" s="73">
        <v>671590.559470281</v>
      </c>
      <c r="D355" s="73">
        <v>6194.78260926056</v>
      </c>
      <c r="E355" s="73">
        <v>26757.3873796255</v>
      </c>
      <c r="F355" s="73"/>
      <c r="G355" s="73"/>
      <c r="H355" s="73"/>
      <c r="I355" s="878">
        <v>1.2876E20</v>
      </c>
      <c r="J355" s="878">
        <v>1.2876E20</v>
      </c>
      <c r="K355" s="878">
        <v>1.2876E20</v>
      </c>
      <c r="L355" s="878">
        <v>1.2876E20</v>
      </c>
      <c r="M355" s="878">
        <v>1.2876E20</v>
      </c>
      <c r="N355" s="73"/>
      <c r="O355" s="878">
        <v>1.2876E20</v>
      </c>
      <c r="P355" s="878">
        <v>1.2876E20</v>
      </c>
      <c r="Q355" s="878">
        <v>1.2876E20</v>
      </c>
      <c r="R355" s="878">
        <v>1.2876E20</v>
      </c>
      <c r="S355" s="878">
        <v>1.2876E20</v>
      </c>
      <c r="T355" s="73"/>
      <c r="U355" s="878">
        <v>1.2876E20</v>
      </c>
      <c r="V355" s="73"/>
      <c r="W355" s="73"/>
      <c r="X355" s="73"/>
      <c r="Y355" s="73"/>
      <c r="Z355" s="73"/>
      <c r="AA355" s="73"/>
      <c r="AB355" s="73"/>
    </row>
    <row r="356">
      <c r="A356" s="73"/>
      <c r="B356" s="73">
        <v>10643.532</v>
      </c>
      <c r="C356" s="73">
        <v>676783.819326028</v>
      </c>
      <c r="D356" s="73">
        <v>6247.20107797241</v>
      </c>
      <c r="E356" s="73">
        <v>26972.9300503027</v>
      </c>
      <c r="F356" s="73"/>
      <c r="G356" s="73"/>
      <c r="H356" s="73"/>
      <c r="I356" s="878">
        <v>1.3161E20</v>
      </c>
      <c r="J356" s="878">
        <v>1.3161E20</v>
      </c>
      <c r="K356" s="878">
        <v>1.3161E20</v>
      </c>
      <c r="L356" s="878">
        <v>1.3161E20</v>
      </c>
      <c r="M356" s="878">
        <v>1.3161E20</v>
      </c>
      <c r="N356" s="73"/>
      <c r="O356" s="878">
        <v>1.3161E20</v>
      </c>
      <c r="P356" s="878">
        <v>1.3161E20</v>
      </c>
      <c r="Q356" s="878">
        <v>1.3161E20</v>
      </c>
      <c r="R356" s="878">
        <v>1.3161E20</v>
      </c>
      <c r="S356" s="878">
        <v>1.3161E20</v>
      </c>
      <c r="T356" s="73"/>
      <c r="U356" s="878">
        <v>1.3161E20</v>
      </c>
      <c r="V356" s="73"/>
      <c r="W356" s="73"/>
      <c r="X356" s="73"/>
      <c r="Y356" s="73"/>
      <c r="Z356" s="73"/>
      <c r="AA356" s="73"/>
      <c r="AB356" s="73"/>
    </row>
    <row r="357">
      <c r="A357" s="73"/>
      <c r="B357" s="73">
        <v>10700.925</v>
      </c>
      <c r="C357" s="73">
        <v>682002.442931071</v>
      </c>
      <c r="D357" s="73">
        <v>6299.94643730927</v>
      </c>
      <c r="E357" s="73">
        <v>27189.8148498449</v>
      </c>
      <c r="F357" s="73"/>
      <c r="G357" s="73"/>
      <c r="H357" s="73"/>
      <c r="I357" s="878">
        <v>1.345E20</v>
      </c>
      <c r="J357" s="878">
        <v>1.345E20</v>
      </c>
      <c r="K357" s="878">
        <v>1.345E20</v>
      </c>
      <c r="L357" s="878">
        <v>1.345E20</v>
      </c>
      <c r="M357" s="878">
        <v>1.345E20</v>
      </c>
      <c r="N357" s="73"/>
      <c r="O357" s="878">
        <v>1.345E20</v>
      </c>
      <c r="P357" s="878">
        <v>1.345E20</v>
      </c>
      <c r="Q357" s="878">
        <v>1.345E20</v>
      </c>
      <c r="R357" s="878">
        <v>1.345E20</v>
      </c>
      <c r="S357" s="878">
        <v>1.345E20</v>
      </c>
      <c r="T357" s="73"/>
      <c r="U357" s="878">
        <v>1.345E20</v>
      </c>
      <c r="V357" s="73"/>
      <c r="W357" s="73"/>
      <c r="X357" s="73"/>
      <c r="Y357" s="73"/>
      <c r="Z357" s="73"/>
      <c r="AA357" s="73"/>
      <c r="AB357" s="73"/>
    </row>
    <row r="358">
      <c r="A358" s="73"/>
      <c r="B358" s="73">
        <v>10758.472</v>
      </c>
      <c r="C358" s="73">
        <v>687246.494660407</v>
      </c>
      <c r="D358" s="73">
        <v>6353.01964039612</v>
      </c>
      <c r="E358" s="73">
        <v>27408.0510184704</v>
      </c>
      <c r="F358" s="73"/>
      <c r="G358" s="73"/>
      <c r="H358" s="73"/>
      <c r="I358" s="878">
        <v>1.3744E20</v>
      </c>
      <c r="J358" s="878">
        <v>1.3744E20</v>
      </c>
      <c r="K358" s="878">
        <v>1.3744E20</v>
      </c>
      <c r="L358" s="878">
        <v>1.3744E20</v>
      </c>
      <c r="M358" s="878">
        <v>1.3744E20</v>
      </c>
      <c r="N358" s="73"/>
      <c r="O358" s="878">
        <v>1.3744E20</v>
      </c>
      <c r="P358" s="878">
        <v>1.3744E20</v>
      </c>
      <c r="Q358" s="878">
        <v>1.3744E20</v>
      </c>
      <c r="R358" s="878">
        <v>1.3744E20</v>
      </c>
      <c r="S358" s="878">
        <v>1.3744E20</v>
      </c>
      <c r="T358" s="73"/>
      <c r="U358" s="878">
        <v>1.3744E20</v>
      </c>
      <c r="V358" s="73"/>
      <c r="W358" s="73"/>
      <c r="X358" s="73"/>
      <c r="Y358" s="73"/>
      <c r="Z358" s="73"/>
      <c r="AA358" s="73"/>
      <c r="AB358" s="73"/>
    </row>
    <row r="359">
      <c r="A359" s="73"/>
      <c r="B359" s="73">
        <v>10816.173</v>
      </c>
      <c r="C359" s="73">
        <v>692515.910139039</v>
      </c>
      <c r="D359" s="73">
        <v>6406.42171848297</v>
      </c>
      <c r="E359" s="73">
        <v>27627.634769992</v>
      </c>
      <c r="F359" s="73"/>
      <c r="G359" s="73"/>
      <c r="H359" s="73"/>
      <c r="I359" s="878">
        <v>1.4044E20</v>
      </c>
      <c r="J359" s="878">
        <v>1.4044E20</v>
      </c>
      <c r="K359" s="878">
        <v>1.4044E20</v>
      </c>
      <c r="L359" s="878">
        <v>1.4044E20</v>
      </c>
      <c r="M359" s="878">
        <v>1.4044E20</v>
      </c>
      <c r="N359" s="73"/>
      <c r="O359" s="878">
        <v>1.4044E20</v>
      </c>
      <c r="P359" s="878">
        <v>1.4044E20</v>
      </c>
      <c r="Q359" s="878">
        <v>1.4044E20</v>
      </c>
      <c r="R359" s="878">
        <v>1.4044E20</v>
      </c>
      <c r="S359" s="878">
        <v>1.4044E20</v>
      </c>
      <c r="T359" s="73"/>
      <c r="U359" s="878">
        <v>1.4044E20</v>
      </c>
      <c r="V359" s="73"/>
      <c r="W359" s="73"/>
      <c r="X359" s="73"/>
      <c r="Y359" s="73"/>
      <c r="Z359" s="73"/>
      <c r="AA359" s="73"/>
      <c r="AB359" s="73"/>
    </row>
    <row r="360">
      <c r="A360" s="73"/>
      <c r="B360" s="73">
        <v>10874.028</v>
      </c>
      <c r="C360" s="73">
        <v>697810.882491961</v>
      </c>
      <c r="D360" s="73">
        <v>6460.15306219482</v>
      </c>
      <c r="E360" s="73">
        <v>27848.5779416276</v>
      </c>
      <c r="F360" s="73"/>
      <c r="G360" s="73"/>
      <c r="H360" s="73"/>
      <c r="I360" s="878">
        <v>1.4349E20</v>
      </c>
      <c r="J360" s="878">
        <v>1.4349E20</v>
      </c>
      <c r="K360" s="878">
        <v>1.4349E20</v>
      </c>
      <c r="L360" s="878">
        <v>1.4349E20</v>
      </c>
      <c r="M360" s="878">
        <v>1.4349E20</v>
      </c>
      <c r="N360" s="73"/>
      <c r="O360" s="878">
        <v>1.4349E20</v>
      </c>
      <c r="P360" s="878">
        <v>1.4349E20</v>
      </c>
      <c r="Q360" s="878">
        <v>1.4349E20</v>
      </c>
      <c r="R360" s="878">
        <v>1.4349E20</v>
      </c>
      <c r="S360" s="878">
        <v>1.4349E20</v>
      </c>
      <c r="T360" s="73"/>
      <c r="U360" s="878">
        <v>1.4349E20</v>
      </c>
      <c r="V360" s="73"/>
      <c r="W360" s="73"/>
      <c r="X360" s="73"/>
      <c r="Y360" s="73"/>
      <c r="Z360" s="73"/>
      <c r="AA360" s="73"/>
      <c r="AB360" s="73"/>
    </row>
    <row r="361">
      <c r="A361" s="73"/>
      <c r="B361" s="73">
        <v>10932.037</v>
      </c>
      <c r="C361" s="73">
        <v>703131.411719173</v>
      </c>
      <c r="D361" s="73">
        <v>6514.21406215668</v>
      </c>
      <c r="E361" s="73">
        <v>28070.8767057838</v>
      </c>
      <c r="F361" s="73"/>
      <c r="G361" s="73"/>
      <c r="H361" s="73"/>
      <c r="I361" s="878">
        <v>1.4659E20</v>
      </c>
      <c r="J361" s="878">
        <v>1.4659E20</v>
      </c>
      <c r="K361" s="878">
        <v>1.4659E20</v>
      </c>
      <c r="L361" s="878">
        <v>1.4659E20</v>
      </c>
      <c r="M361" s="878">
        <v>1.4659E20</v>
      </c>
      <c r="N361" s="73"/>
      <c r="O361" s="878">
        <v>1.4659E20</v>
      </c>
      <c r="P361" s="878">
        <v>1.4659E20</v>
      </c>
      <c r="Q361" s="878">
        <v>1.4659E20</v>
      </c>
      <c r="R361" s="878">
        <v>1.4659E20</v>
      </c>
      <c r="S361" s="878">
        <v>1.4659E20</v>
      </c>
      <c r="T361" s="73"/>
      <c r="U361" s="878">
        <v>1.4659E20</v>
      </c>
      <c r="V361" s="73"/>
      <c r="W361" s="73"/>
      <c r="X361" s="73"/>
      <c r="Y361" s="73"/>
      <c r="Z361" s="73"/>
      <c r="AA361" s="73"/>
      <c r="AB361" s="73"/>
    </row>
    <row r="362">
      <c r="A362" s="73"/>
      <c r="B362" s="73">
        <v>10990.2</v>
      </c>
      <c r="C362" s="73">
        <v>708477.497820675</v>
      </c>
      <c r="D362" s="73">
        <v>6568.60518711853</v>
      </c>
      <c r="E362" s="73">
        <v>28294.5350672729</v>
      </c>
      <c r="F362" s="73"/>
      <c r="G362" s="73"/>
      <c r="H362" s="73"/>
      <c r="I362" s="878">
        <v>1.4975E20</v>
      </c>
      <c r="J362" s="878">
        <v>1.4975E20</v>
      </c>
      <c r="K362" s="878">
        <v>1.4975E20</v>
      </c>
      <c r="L362" s="878">
        <v>1.4975E20</v>
      </c>
      <c r="M362" s="878">
        <v>1.4975E20</v>
      </c>
      <c r="N362" s="73"/>
      <c r="O362" s="878">
        <v>1.4975E20</v>
      </c>
      <c r="P362" s="878">
        <v>1.4975E20</v>
      </c>
      <c r="Q362" s="878">
        <v>1.4975E20</v>
      </c>
      <c r="R362" s="878">
        <v>1.4975E20</v>
      </c>
      <c r="S362" s="878">
        <v>1.4975E20</v>
      </c>
      <c r="T362" s="73"/>
      <c r="U362" s="878">
        <v>1.4975E20</v>
      </c>
      <c r="V362" s="73"/>
      <c r="W362" s="73"/>
      <c r="X362" s="73"/>
      <c r="Y362" s="73"/>
      <c r="Z362" s="73"/>
      <c r="AA362" s="73"/>
      <c r="AB362" s="73"/>
    </row>
    <row r="363">
      <c r="A363" s="73"/>
      <c r="B363" s="73">
        <v>11048.517</v>
      </c>
      <c r="C363" s="73">
        <v>713849.269546464</v>
      </c>
      <c r="D363" s="73">
        <v>6623.32690583038</v>
      </c>
      <c r="E363" s="73">
        <v>28519.5595865007</v>
      </c>
      <c r="F363" s="73"/>
      <c r="G363" s="73"/>
      <c r="H363" s="73"/>
      <c r="I363" s="878">
        <v>1.5297E20</v>
      </c>
      <c r="J363" s="878">
        <v>1.5297E20</v>
      </c>
      <c r="K363" s="878">
        <v>1.5297E20</v>
      </c>
      <c r="L363" s="878">
        <v>1.5297E20</v>
      </c>
      <c r="M363" s="878">
        <v>1.5297E20</v>
      </c>
      <c r="N363" s="73"/>
      <c r="O363" s="878">
        <v>1.5297E20</v>
      </c>
      <c r="P363" s="878">
        <v>1.5297E20</v>
      </c>
      <c r="Q363" s="878">
        <v>1.5297E20</v>
      </c>
      <c r="R363" s="878">
        <v>1.5297E20</v>
      </c>
      <c r="S363" s="878">
        <v>1.5297E20</v>
      </c>
      <c r="T363" s="73"/>
      <c r="U363" s="878">
        <v>1.5297E20</v>
      </c>
      <c r="V363" s="73"/>
      <c r="W363" s="73"/>
      <c r="X363" s="73"/>
      <c r="Y363" s="73"/>
      <c r="Z363" s="73"/>
      <c r="AA363" s="73"/>
      <c r="AB363" s="73"/>
    </row>
    <row r="364">
      <c r="A364" s="73"/>
      <c r="B364" s="73">
        <v>11106.988</v>
      </c>
      <c r="C364" s="73">
        <v>719246.726896539</v>
      </c>
      <c r="D364" s="73">
        <v>6678.38057766724</v>
      </c>
      <c r="E364" s="73">
        <v>28745.9489500611</v>
      </c>
      <c r="F364" s="73"/>
      <c r="G364" s="73"/>
      <c r="H364" s="73"/>
      <c r="I364" s="878">
        <v>1.5624E20</v>
      </c>
      <c r="J364" s="878">
        <v>1.5624E20</v>
      </c>
      <c r="K364" s="878">
        <v>1.5624E20</v>
      </c>
      <c r="L364" s="878">
        <v>1.5624E20</v>
      </c>
      <c r="M364" s="878">
        <v>1.5624E20</v>
      </c>
      <c r="N364" s="73"/>
      <c r="O364" s="878">
        <v>1.5624E20</v>
      </c>
      <c r="P364" s="878">
        <v>1.5624E20</v>
      </c>
      <c r="Q364" s="878">
        <v>1.5624E20</v>
      </c>
      <c r="R364" s="878">
        <v>1.5624E20</v>
      </c>
      <c r="S364" s="878">
        <v>1.5624E20</v>
      </c>
      <c r="T364" s="73"/>
      <c r="U364" s="878">
        <v>1.5624E20</v>
      </c>
      <c r="V364" s="73"/>
      <c r="W364" s="73"/>
      <c r="X364" s="73"/>
      <c r="Y364" s="73"/>
      <c r="Z364" s="73"/>
      <c r="AA364" s="73"/>
      <c r="AB364" s="73"/>
    </row>
    <row r="365">
      <c r="A365" s="73"/>
      <c r="B365" s="73">
        <v>11165.613</v>
      </c>
      <c r="C365" s="73">
        <v>724669.934245899</v>
      </c>
      <c r="D365" s="73">
        <v>6733.76618700409</v>
      </c>
      <c r="E365" s="73">
        <v>28973.7070799539</v>
      </c>
      <c r="F365" s="73"/>
      <c r="G365" s="73"/>
      <c r="H365" s="73"/>
      <c r="I365" s="878">
        <v>1.5956E20</v>
      </c>
      <c r="J365" s="878">
        <v>1.5956E20</v>
      </c>
      <c r="K365" s="878">
        <v>1.5956E20</v>
      </c>
      <c r="L365" s="878">
        <v>1.5956E20</v>
      </c>
      <c r="M365" s="878">
        <v>1.5956E20</v>
      </c>
      <c r="N365" s="73"/>
      <c r="O365" s="878">
        <v>1.5956E20</v>
      </c>
      <c r="P365" s="878">
        <v>1.5956E20</v>
      </c>
      <c r="Q365" s="878">
        <v>1.5956E20</v>
      </c>
      <c r="R365" s="878">
        <v>1.5956E20</v>
      </c>
      <c r="S365" s="878">
        <v>1.5956E20</v>
      </c>
      <c r="T365" s="73"/>
      <c r="U365" s="878">
        <v>1.5956E20</v>
      </c>
      <c r="V365" s="73"/>
      <c r="W365" s="73"/>
      <c r="X365" s="73"/>
      <c r="Y365" s="73"/>
      <c r="Z365" s="73"/>
      <c r="AA365" s="73"/>
      <c r="AB365" s="73"/>
    </row>
    <row r="366">
      <c r="A366" s="73"/>
      <c r="B366" s="73">
        <v>11224.392</v>
      </c>
      <c r="C366" s="73">
        <v>730118.891594544</v>
      </c>
      <c r="D366" s="73">
        <v>6789.48412446594</v>
      </c>
      <c r="E366" s="73">
        <v>29202.8406193974</v>
      </c>
      <c r="F366" s="73"/>
      <c r="G366" s="73"/>
      <c r="H366" s="73"/>
      <c r="I366" s="878">
        <v>1.6295E20</v>
      </c>
      <c r="J366" s="878">
        <v>1.6295E20</v>
      </c>
      <c r="K366" s="878">
        <v>1.6295E20</v>
      </c>
      <c r="L366" s="878">
        <v>1.6295E20</v>
      </c>
      <c r="M366" s="878">
        <v>1.6295E20</v>
      </c>
      <c r="N366" s="73"/>
      <c r="O366" s="878">
        <v>1.6295E20</v>
      </c>
      <c r="P366" s="878">
        <v>1.6295E20</v>
      </c>
      <c r="Q366" s="878">
        <v>1.6295E20</v>
      </c>
      <c r="R366" s="878">
        <v>1.6295E20</v>
      </c>
      <c r="S366" s="878">
        <v>1.6295E20</v>
      </c>
      <c r="T366" s="73"/>
      <c r="U366" s="878">
        <v>1.6295E20</v>
      </c>
      <c r="V366" s="73"/>
      <c r="W366" s="73"/>
      <c r="X366" s="73"/>
      <c r="Y366" s="73"/>
      <c r="Z366" s="73"/>
      <c r="AA366" s="73"/>
      <c r="AB366" s="73"/>
    </row>
    <row r="367">
      <c r="A367" s="73"/>
      <c r="B367" s="73">
        <v>11283.325</v>
      </c>
      <c r="C367" s="73">
        <v>735593.72769247</v>
      </c>
      <c r="D367" s="73">
        <v>6845.53526505279</v>
      </c>
      <c r="E367" s="73">
        <v>29433.3454509544</v>
      </c>
      <c r="F367" s="73"/>
      <c r="G367" s="73"/>
      <c r="H367" s="73"/>
      <c r="I367" s="878">
        <v>1.664E20</v>
      </c>
      <c r="J367" s="878">
        <v>1.664E20</v>
      </c>
      <c r="K367" s="878">
        <v>1.664E20</v>
      </c>
      <c r="L367" s="878">
        <v>1.664E20</v>
      </c>
      <c r="M367" s="878">
        <v>1.664E20</v>
      </c>
      <c r="N367" s="73"/>
      <c r="O367" s="878">
        <v>1.664E20</v>
      </c>
      <c r="P367" s="878">
        <v>1.664E20</v>
      </c>
      <c r="Q367" s="878">
        <v>1.664E20</v>
      </c>
      <c r="R367" s="878">
        <v>1.664E20</v>
      </c>
      <c r="S367" s="878">
        <v>1.664E20</v>
      </c>
      <c r="T367" s="73"/>
      <c r="U367" s="878">
        <v>1.664E20</v>
      </c>
      <c r="V367" s="73"/>
      <c r="W367" s="73"/>
      <c r="X367" s="73"/>
      <c r="Y367" s="73"/>
      <c r="Z367" s="73"/>
      <c r="AA367" s="73"/>
      <c r="AB367" s="73"/>
    </row>
    <row r="368">
      <c r="A368" s="73"/>
      <c r="B368" s="73">
        <v>11342.412</v>
      </c>
      <c r="C368" s="73">
        <v>741094.506914675</v>
      </c>
      <c r="D368" s="73">
        <v>6901.92007751465</v>
      </c>
      <c r="E368" s="73">
        <v>29665.2307734368</v>
      </c>
      <c r="F368" s="73"/>
      <c r="G368" s="73"/>
      <c r="H368" s="73"/>
      <c r="I368" s="878">
        <v>1.699E20</v>
      </c>
      <c r="J368" s="878">
        <v>1.699E20</v>
      </c>
      <c r="K368" s="878">
        <v>1.699E20</v>
      </c>
      <c r="L368" s="878">
        <v>1.699E20</v>
      </c>
      <c r="M368" s="878">
        <v>1.699E20</v>
      </c>
      <c r="N368" s="73"/>
      <c r="O368" s="878">
        <v>1.699E20</v>
      </c>
      <c r="P368" s="878">
        <v>1.699E20</v>
      </c>
      <c r="Q368" s="878">
        <v>1.699E20</v>
      </c>
      <c r="R368" s="878">
        <v>1.699E20</v>
      </c>
      <c r="S368" s="878">
        <v>1.699E20</v>
      </c>
      <c r="T368" s="73"/>
      <c r="U368" s="878">
        <v>1.699E20</v>
      </c>
      <c r="V368" s="73"/>
      <c r="W368" s="73"/>
      <c r="X368" s="73"/>
      <c r="Y368" s="73"/>
      <c r="Z368" s="73"/>
      <c r="AA368" s="73"/>
      <c r="AB368" s="73"/>
    </row>
    <row r="369">
      <c r="A369" s="73"/>
      <c r="B369" s="73">
        <v>11401.653</v>
      </c>
      <c r="C369" s="73">
        <v>746621.293636158</v>
      </c>
      <c r="D369" s="73">
        <v>6958.6395149765</v>
      </c>
      <c r="E369" s="73">
        <v>29898.4978290322</v>
      </c>
      <c r="F369" s="73"/>
      <c r="G369" s="73"/>
      <c r="H369" s="73"/>
      <c r="I369" s="878">
        <v>1.7346E20</v>
      </c>
      <c r="J369" s="878">
        <v>1.7346E20</v>
      </c>
      <c r="K369" s="878">
        <v>1.7346E20</v>
      </c>
      <c r="L369" s="878">
        <v>1.7346E20</v>
      </c>
      <c r="M369" s="878">
        <v>1.7346E20</v>
      </c>
      <c r="N369" s="73"/>
      <c r="O369" s="878">
        <v>1.7346E20</v>
      </c>
      <c r="P369" s="878">
        <v>1.7346E20</v>
      </c>
      <c r="Q369" s="878">
        <v>1.7346E20</v>
      </c>
      <c r="R369" s="878">
        <v>1.7346E20</v>
      </c>
      <c r="S369" s="878">
        <v>1.7346E20</v>
      </c>
      <c r="T369" s="73"/>
      <c r="U369" s="878">
        <v>1.7346E20</v>
      </c>
      <c r="V369" s="73"/>
      <c r="W369" s="73"/>
      <c r="X369" s="73"/>
      <c r="Y369" s="73"/>
      <c r="Z369" s="73"/>
      <c r="AA369" s="73"/>
      <c r="AB369" s="73"/>
    </row>
    <row r="370">
      <c r="A370" s="73"/>
      <c r="B370" s="73">
        <v>11461.048</v>
      </c>
      <c r="C370" s="73">
        <v>752174.02348192</v>
      </c>
      <c r="D370" s="73">
        <v>7015.69284306335</v>
      </c>
      <c r="E370" s="73">
        <v>30133.1477771154</v>
      </c>
      <c r="F370" s="73"/>
      <c r="G370" s="73"/>
      <c r="H370" s="73"/>
      <c r="I370" s="878">
        <v>1.7709E20</v>
      </c>
      <c r="J370" s="878">
        <v>1.7709E20</v>
      </c>
      <c r="K370" s="878">
        <v>1.7709E20</v>
      </c>
      <c r="L370" s="878">
        <v>1.7709E20</v>
      </c>
      <c r="M370" s="878">
        <v>1.7709E20</v>
      </c>
      <c r="N370" s="73"/>
      <c r="O370" s="878">
        <v>1.7709E20</v>
      </c>
      <c r="P370" s="878">
        <v>1.7709E20</v>
      </c>
      <c r="Q370" s="878">
        <v>1.7709E20</v>
      </c>
      <c r="R370" s="878">
        <v>1.7709E20</v>
      </c>
      <c r="S370" s="878">
        <v>1.7709E20</v>
      </c>
      <c r="T370" s="73"/>
      <c r="U370" s="878">
        <v>1.7709E20</v>
      </c>
      <c r="V370" s="73"/>
      <c r="W370" s="73"/>
      <c r="X370" s="73"/>
      <c r="Y370" s="73"/>
      <c r="Z370" s="73"/>
      <c r="AA370" s="73"/>
      <c r="AB370" s="73"/>
    </row>
    <row r="371">
      <c r="A371" s="73"/>
      <c r="B371" s="73">
        <v>11520.597</v>
      </c>
      <c r="C371" s="73">
        <v>757752.76082696</v>
      </c>
      <c r="D371" s="73">
        <v>7073.08278052521</v>
      </c>
      <c r="E371" s="73">
        <v>30369.1819426864</v>
      </c>
      <c r="F371" s="73"/>
      <c r="G371" s="73"/>
      <c r="H371" s="73"/>
      <c r="I371" s="878">
        <v>1.8078E20</v>
      </c>
      <c r="J371" s="878">
        <v>1.8078E20</v>
      </c>
      <c r="K371" s="878">
        <v>1.8078E20</v>
      </c>
      <c r="L371" s="878">
        <v>1.8078E20</v>
      </c>
      <c r="M371" s="878">
        <v>1.8078E20</v>
      </c>
      <c r="N371" s="73"/>
      <c r="O371" s="878">
        <v>1.8078E20</v>
      </c>
      <c r="P371" s="878">
        <v>1.8078E20</v>
      </c>
      <c r="Q371" s="878">
        <v>1.8078E20</v>
      </c>
      <c r="R371" s="878">
        <v>1.8078E20</v>
      </c>
      <c r="S371" s="878">
        <v>1.8078E20</v>
      </c>
      <c r="T371" s="73"/>
      <c r="U371" s="878">
        <v>1.8078E20</v>
      </c>
      <c r="V371" s="73"/>
      <c r="W371" s="73"/>
      <c r="X371" s="73"/>
      <c r="Y371" s="73"/>
      <c r="Z371" s="73"/>
      <c r="AA371" s="73"/>
      <c r="AB371" s="73"/>
    </row>
    <row r="372">
      <c r="A372" s="73"/>
      <c r="B372" s="73">
        <v>11580.3</v>
      </c>
      <c r="C372" s="73">
        <v>763357.698796272</v>
      </c>
      <c r="D372" s="73">
        <v>7130.80787423706</v>
      </c>
      <c r="E372" s="73">
        <v>30606.6092761197</v>
      </c>
      <c r="F372" s="73"/>
      <c r="G372" s="73"/>
      <c r="H372" s="73"/>
      <c r="I372" s="878">
        <v>1.8453E20</v>
      </c>
      <c r="J372" s="878">
        <v>1.8453E20</v>
      </c>
      <c r="K372" s="878">
        <v>1.8453E20</v>
      </c>
      <c r="L372" s="878">
        <v>1.8453E20</v>
      </c>
      <c r="M372" s="878">
        <v>1.8453E20</v>
      </c>
      <c r="N372" s="73"/>
      <c r="O372" s="878">
        <v>1.8453E20</v>
      </c>
      <c r="P372" s="878">
        <v>1.8453E20</v>
      </c>
      <c r="Q372" s="878">
        <v>1.8453E20</v>
      </c>
      <c r="R372" s="878">
        <v>1.8453E20</v>
      </c>
      <c r="S372" s="878">
        <v>1.8453E20</v>
      </c>
      <c r="T372" s="73"/>
      <c r="U372" s="878">
        <v>1.8453E20</v>
      </c>
      <c r="V372" s="73"/>
      <c r="W372" s="73"/>
      <c r="X372" s="73"/>
      <c r="Y372" s="73"/>
      <c r="Z372" s="73"/>
      <c r="AA372" s="73"/>
      <c r="AB372" s="73"/>
    </row>
    <row r="373">
      <c r="A373" s="73"/>
      <c r="B373" s="73">
        <v>11640.157</v>
      </c>
      <c r="C373" s="73">
        <v>768988.773014858</v>
      </c>
      <c r="D373" s="73">
        <v>7188.86915544891</v>
      </c>
      <c r="E373" s="73">
        <v>30845.425825603</v>
      </c>
      <c r="F373" s="73"/>
      <c r="G373" s="73"/>
      <c r="H373" s="73"/>
      <c r="I373" s="878">
        <v>1.8834E20</v>
      </c>
      <c r="J373" s="878">
        <v>1.8834E20</v>
      </c>
      <c r="K373" s="878">
        <v>1.8834E20</v>
      </c>
      <c r="L373" s="878">
        <v>1.8834E20</v>
      </c>
      <c r="M373" s="878">
        <v>1.8834E20</v>
      </c>
      <c r="N373" s="73"/>
      <c r="O373" s="878">
        <v>1.8834E20</v>
      </c>
      <c r="P373" s="878">
        <v>1.8834E20</v>
      </c>
      <c r="Q373" s="878">
        <v>1.8834E20</v>
      </c>
      <c r="R373" s="878">
        <v>1.8834E20</v>
      </c>
      <c r="S373" s="878">
        <v>1.8834E20</v>
      </c>
      <c r="T373" s="73"/>
      <c r="U373" s="878">
        <v>1.8834E20</v>
      </c>
      <c r="V373" s="73"/>
      <c r="W373" s="73"/>
      <c r="X373" s="73"/>
      <c r="Y373" s="73"/>
      <c r="Z373" s="73"/>
      <c r="AA373" s="73"/>
      <c r="AB373" s="73"/>
    </row>
    <row r="374">
      <c r="A374" s="73"/>
      <c r="B374" s="73">
        <v>11700.168</v>
      </c>
      <c r="C374" s="73">
        <v>774646.112232715</v>
      </c>
      <c r="D374" s="73">
        <v>7247.26821886444</v>
      </c>
      <c r="E374" s="73">
        <v>31085.6405415109</v>
      </c>
      <c r="F374" s="73"/>
      <c r="G374" s="73"/>
      <c r="H374" s="73"/>
      <c r="I374" s="878">
        <v>1.9222E20</v>
      </c>
      <c r="J374" s="878">
        <v>1.9222E20</v>
      </c>
      <c r="K374" s="878">
        <v>1.9222E20</v>
      </c>
      <c r="L374" s="878">
        <v>1.9222E20</v>
      </c>
      <c r="M374" s="878">
        <v>1.9222E20</v>
      </c>
      <c r="N374" s="73"/>
      <c r="O374" s="878">
        <v>1.9222E20</v>
      </c>
      <c r="P374" s="878">
        <v>1.9222E20</v>
      </c>
      <c r="Q374" s="878">
        <v>1.9222E20</v>
      </c>
      <c r="R374" s="878">
        <v>1.9222E20</v>
      </c>
      <c r="S374" s="878">
        <v>1.9222E20</v>
      </c>
      <c r="T374" s="73"/>
      <c r="U374" s="878">
        <v>1.9222E20</v>
      </c>
      <c r="V374" s="73"/>
      <c r="W374" s="73"/>
      <c r="X374" s="73"/>
      <c r="Y374" s="73"/>
      <c r="Z374" s="73"/>
      <c r="AA374" s="73"/>
      <c r="AB374" s="73"/>
    </row>
    <row r="375">
      <c r="A375" s="73"/>
      <c r="B375" s="73">
        <v>11760.333</v>
      </c>
      <c r="C375" s="73">
        <v>780329.587699845</v>
      </c>
      <c r="D375" s="73">
        <v>7306.00409382629</v>
      </c>
      <c r="E375" s="73">
        <v>31327.2493892185</v>
      </c>
      <c r="F375" s="73"/>
      <c r="G375" s="73"/>
      <c r="H375" s="73"/>
      <c r="I375" s="878">
        <v>1.9617E20</v>
      </c>
      <c r="J375" s="878">
        <v>1.9617E20</v>
      </c>
      <c r="K375" s="878">
        <v>1.9617E20</v>
      </c>
      <c r="L375" s="878">
        <v>1.9617E20</v>
      </c>
      <c r="M375" s="878">
        <v>1.9617E20</v>
      </c>
      <c r="N375" s="73"/>
      <c r="O375" s="878">
        <v>1.9617E20</v>
      </c>
      <c r="P375" s="878">
        <v>1.9617E20</v>
      </c>
      <c r="Q375" s="878">
        <v>1.9617E20</v>
      </c>
      <c r="R375" s="878">
        <v>1.9617E20</v>
      </c>
      <c r="S375" s="878">
        <v>1.9617E20</v>
      </c>
      <c r="T375" s="73"/>
      <c r="U375" s="878">
        <v>1.9617E20</v>
      </c>
      <c r="V375" s="73"/>
      <c r="W375" s="73"/>
      <c r="X375" s="73"/>
      <c r="Y375" s="73"/>
      <c r="Z375" s="73"/>
      <c r="AA375" s="73"/>
      <c r="AB375" s="73"/>
    </row>
    <row r="376">
      <c r="A376" s="73"/>
      <c r="B376" s="73">
        <v>11820.652</v>
      </c>
      <c r="C376" s="73">
        <v>786039.521291241</v>
      </c>
      <c r="D376" s="73">
        <v>7365.07853128815</v>
      </c>
      <c r="E376" s="73">
        <v>31570.2613191003</v>
      </c>
      <c r="F376" s="73"/>
      <c r="G376" s="73"/>
      <c r="H376" s="73"/>
      <c r="I376" s="878">
        <v>2.0018E20</v>
      </c>
      <c r="J376" s="878">
        <v>2.0018E20</v>
      </c>
      <c r="K376" s="878">
        <v>2.0018E20</v>
      </c>
      <c r="L376" s="878">
        <v>2.0018E20</v>
      </c>
      <c r="M376" s="878">
        <v>2.0018E20</v>
      </c>
      <c r="N376" s="73"/>
      <c r="O376" s="878">
        <v>2.0018E20</v>
      </c>
      <c r="P376" s="878">
        <v>2.0018E20</v>
      </c>
      <c r="Q376" s="878">
        <v>2.0018E20</v>
      </c>
      <c r="R376" s="878">
        <v>2.0018E20</v>
      </c>
      <c r="S376" s="878">
        <v>2.0018E20</v>
      </c>
      <c r="T376" s="73"/>
      <c r="U376" s="878">
        <v>2.0018E20</v>
      </c>
      <c r="V376" s="73"/>
      <c r="W376" s="73"/>
      <c r="X376" s="73"/>
      <c r="Y376" s="73"/>
      <c r="Z376" s="73"/>
      <c r="AA376" s="73"/>
      <c r="AB376" s="73"/>
    </row>
    <row r="377">
      <c r="A377" s="73"/>
      <c r="B377" s="73">
        <v>11881.125</v>
      </c>
      <c r="C377" s="73">
        <v>791775.784256905</v>
      </c>
      <c r="D377" s="73">
        <v>7424.491203125</v>
      </c>
      <c r="E377" s="73">
        <v>31814.6748935315</v>
      </c>
      <c r="F377" s="73"/>
      <c r="G377" s="73"/>
      <c r="H377" s="73"/>
      <c r="I377" s="878">
        <v>2.0425E20</v>
      </c>
      <c r="J377" s="878">
        <v>2.0425E20</v>
      </c>
      <c r="K377" s="878">
        <v>2.0425E20</v>
      </c>
      <c r="L377" s="878">
        <v>2.0425E20</v>
      </c>
      <c r="M377" s="878">
        <v>2.0425E20</v>
      </c>
      <c r="N377" s="73"/>
      <c r="O377" s="878">
        <v>2.0425E20</v>
      </c>
      <c r="P377" s="878">
        <v>2.0425E20</v>
      </c>
      <c r="Q377" s="878">
        <v>2.0425E20</v>
      </c>
      <c r="R377" s="878">
        <v>2.0425E20</v>
      </c>
      <c r="S377" s="878">
        <v>2.0425E20</v>
      </c>
      <c r="T377" s="73"/>
      <c r="U377" s="878">
        <v>2.0425E20</v>
      </c>
      <c r="V377" s="73"/>
      <c r="W377" s="73"/>
      <c r="X377" s="73"/>
      <c r="Y377" s="73"/>
      <c r="Z377" s="73"/>
      <c r="AA377" s="73"/>
      <c r="AB377" s="73"/>
    </row>
    <row r="378">
      <c r="A378" s="73"/>
      <c r="B378" s="73">
        <v>11941.752</v>
      </c>
      <c r="C378" s="73">
        <v>797538.376596838</v>
      </c>
      <c r="D378" s="73">
        <v>7484.24306246185</v>
      </c>
      <c r="E378" s="73">
        <v>32060.4937860743</v>
      </c>
      <c r="F378" s="73"/>
      <c r="G378" s="73"/>
      <c r="H378" s="73"/>
      <c r="I378" s="878">
        <v>2.084E20</v>
      </c>
      <c r="J378" s="878">
        <v>2.084E20</v>
      </c>
      <c r="K378" s="878">
        <v>2.084E20</v>
      </c>
      <c r="L378" s="878">
        <v>2.084E20</v>
      </c>
      <c r="M378" s="878">
        <v>2.084E20</v>
      </c>
      <c r="N378" s="73"/>
      <c r="O378" s="878">
        <v>2.084E20</v>
      </c>
      <c r="P378" s="878">
        <v>2.084E20</v>
      </c>
      <c r="Q378" s="878">
        <v>2.084E20</v>
      </c>
      <c r="R378" s="878">
        <v>2.084E20</v>
      </c>
      <c r="S378" s="878">
        <v>2.084E20</v>
      </c>
      <c r="T378" s="73"/>
      <c r="U378" s="878">
        <v>2.084E20</v>
      </c>
      <c r="V378" s="73"/>
      <c r="W378" s="73"/>
      <c r="X378" s="73"/>
      <c r="Y378" s="73"/>
      <c r="Z378" s="73"/>
      <c r="AA378" s="73"/>
      <c r="AB378" s="73"/>
    </row>
    <row r="379">
      <c r="A379" s="73"/>
      <c r="B379" s="73">
        <v>12002.533</v>
      </c>
      <c r="C379" s="73">
        <v>803327.491436034</v>
      </c>
      <c r="D379" s="73">
        <v>7544.33514054871</v>
      </c>
      <c r="E379" s="73">
        <v>32307.721835916</v>
      </c>
      <c r="F379" s="73"/>
      <c r="G379" s="73"/>
      <c r="H379" s="73"/>
      <c r="I379" s="878">
        <v>2.1261E20</v>
      </c>
      <c r="J379" s="878">
        <v>2.1261E20</v>
      </c>
      <c r="K379" s="878">
        <v>2.1261E20</v>
      </c>
      <c r="L379" s="878">
        <v>2.1261E20</v>
      </c>
      <c r="M379" s="878">
        <v>2.1261E20</v>
      </c>
      <c r="N379" s="73"/>
      <c r="O379" s="878">
        <v>2.1261E20</v>
      </c>
      <c r="P379" s="878">
        <v>2.1261E20</v>
      </c>
      <c r="Q379" s="878">
        <v>2.1261E20</v>
      </c>
      <c r="R379" s="878">
        <v>2.1261E20</v>
      </c>
      <c r="S379" s="878">
        <v>2.1261E20</v>
      </c>
      <c r="T379" s="73"/>
      <c r="U379" s="878">
        <v>2.1261E20</v>
      </c>
      <c r="V379" s="73"/>
      <c r="W379" s="73"/>
      <c r="X379" s="73"/>
      <c r="Y379" s="73"/>
      <c r="Z379" s="73"/>
      <c r="AA379" s="73"/>
      <c r="AB379" s="73"/>
    </row>
    <row r="380">
      <c r="A380" s="73"/>
      <c r="B380" s="73">
        <v>12063.468</v>
      </c>
      <c r="C380" s="73">
        <v>809143.128774494</v>
      </c>
      <c r="D380" s="73">
        <v>7604.76654676056</v>
      </c>
      <c r="E380" s="73">
        <v>32556.3626338065</v>
      </c>
      <c r="F380" s="73"/>
      <c r="G380" s="73"/>
      <c r="H380" s="73"/>
      <c r="I380" s="878">
        <v>2.169E20</v>
      </c>
      <c r="J380" s="878">
        <v>2.169E20</v>
      </c>
      <c r="K380" s="878">
        <v>2.169E20</v>
      </c>
      <c r="L380" s="878">
        <v>2.169E20</v>
      </c>
      <c r="M380" s="878">
        <v>2.169E20</v>
      </c>
      <c r="N380" s="73"/>
      <c r="O380" s="878">
        <v>2.169E20</v>
      </c>
      <c r="P380" s="878">
        <v>2.169E20</v>
      </c>
      <c r="Q380" s="878">
        <v>2.169E20</v>
      </c>
      <c r="R380" s="878">
        <v>2.169E20</v>
      </c>
      <c r="S380" s="878">
        <v>2.169E20</v>
      </c>
      <c r="T380" s="73"/>
      <c r="U380" s="878">
        <v>2.169E20</v>
      </c>
      <c r="V380" s="73"/>
      <c r="W380" s="73"/>
      <c r="X380" s="73"/>
      <c r="Y380" s="73"/>
      <c r="Z380" s="73"/>
      <c r="AA380" s="73"/>
      <c r="AB380" s="73"/>
    </row>
    <row r="381">
      <c r="A381" s="73"/>
      <c r="B381" s="73">
        <v>12124.557</v>
      </c>
      <c r="C381" s="73">
        <v>814985.352987215</v>
      </c>
      <c r="D381" s="73">
        <v>7665.53943734741</v>
      </c>
      <c r="E381" s="73">
        <v>32806.4148249333</v>
      </c>
      <c r="F381" s="73"/>
      <c r="G381" s="73"/>
      <c r="H381" s="73"/>
      <c r="I381" s="878">
        <v>2.2125E20</v>
      </c>
      <c r="J381" s="878">
        <v>2.2125E20</v>
      </c>
      <c r="K381" s="878">
        <v>2.2125E20</v>
      </c>
      <c r="L381" s="878">
        <v>2.2125E20</v>
      </c>
      <c r="M381" s="878">
        <v>2.2125E20</v>
      </c>
      <c r="N381" s="73"/>
      <c r="O381" s="878">
        <v>2.2125E20</v>
      </c>
      <c r="P381" s="878">
        <v>2.2125E20</v>
      </c>
      <c r="Q381" s="878">
        <v>2.2125E20</v>
      </c>
      <c r="R381" s="878">
        <v>2.2125E20</v>
      </c>
      <c r="S381" s="878">
        <v>2.2125E20</v>
      </c>
      <c r="T381" s="73"/>
      <c r="U381" s="878">
        <v>2.2125E20</v>
      </c>
      <c r="V381" s="73"/>
      <c r="W381" s="73"/>
      <c r="X381" s="73"/>
      <c r="Y381" s="73"/>
      <c r="Z381" s="73"/>
      <c r="AA381" s="73"/>
      <c r="AB381" s="73"/>
    </row>
    <row r="382">
      <c r="A382" s="73"/>
      <c r="B382" s="73">
        <v>12185.8</v>
      </c>
      <c r="C382" s="73">
        <v>820854.228449196</v>
      </c>
      <c r="D382" s="73">
        <v>7726.65292168426</v>
      </c>
      <c r="E382" s="73">
        <v>33057.8844314211</v>
      </c>
      <c r="F382" s="73"/>
      <c r="G382" s="73"/>
      <c r="H382" s="73"/>
      <c r="I382" s="878">
        <v>2.2568E20</v>
      </c>
      <c r="J382" s="878">
        <v>2.2568E20</v>
      </c>
      <c r="K382" s="878">
        <v>2.2568E20</v>
      </c>
      <c r="L382" s="878">
        <v>2.2568E20</v>
      </c>
      <c r="M382" s="878">
        <v>2.2568E20</v>
      </c>
      <c r="N382" s="73"/>
      <c r="O382" s="878">
        <v>2.2568E20</v>
      </c>
      <c r="P382" s="878">
        <v>2.2568E20</v>
      </c>
      <c r="Q382" s="878">
        <v>2.2568E20</v>
      </c>
      <c r="R382" s="878">
        <v>2.2568E20</v>
      </c>
      <c r="S382" s="878">
        <v>2.2568E20</v>
      </c>
      <c r="T382" s="73"/>
      <c r="U382" s="878">
        <v>2.2568E20</v>
      </c>
      <c r="V382" s="73"/>
      <c r="W382" s="73"/>
      <c r="X382" s="73"/>
      <c r="Y382" s="73"/>
      <c r="Z382" s="73"/>
      <c r="AA382" s="73"/>
      <c r="AB382" s="73"/>
    </row>
    <row r="383">
      <c r="A383" s="73"/>
      <c r="B383" s="73">
        <v>12247.197</v>
      </c>
      <c r="C383" s="73">
        <v>826749.690785438</v>
      </c>
      <c r="D383" s="73">
        <v>7788.10867164612</v>
      </c>
      <c r="E383" s="73">
        <v>33310.7753752696</v>
      </c>
      <c r="F383" s="73"/>
      <c r="G383" s="73"/>
      <c r="H383" s="73"/>
      <c r="I383" s="878">
        <v>2.3018E20</v>
      </c>
      <c r="J383" s="878">
        <v>2.3018E20</v>
      </c>
      <c r="K383" s="878">
        <v>2.3018E20</v>
      </c>
      <c r="L383" s="878">
        <v>2.3018E20</v>
      </c>
      <c r="M383" s="878">
        <v>2.3018E20</v>
      </c>
      <c r="N383" s="73"/>
      <c r="O383" s="878">
        <v>2.3018E20</v>
      </c>
      <c r="P383" s="878">
        <v>2.3018E20</v>
      </c>
      <c r="Q383" s="878">
        <v>2.3018E20</v>
      </c>
      <c r="R383" s="878">
        <v>2.3018E20</v>
      </c>
      <c r="S383" s="878">
        <v>2.3018E20</v>
      </c>
      <c r="T383" s="73"/>
      <c r="U383" s="878">
        <v>2.3018E20</v>
      </c>
      <c r="V383" s="73"/>
      <c r="W383" s="73"/>
      <c r="X383" s="73"/>
      <c r="Y383" s="73"/>
      <c r="Z383" s="73"/>
      <c r="AA383" s="73"/>
      <c r="AB383" s="73"/>
    </row>
    <row r="384">
      <c r="A384" s="73"/>
      <c r="B384" s="73">
        <v>12308.748</v>
      </c>
      <c r="C384" s="73">
        <v>832671.933120936</v>
      </c>
      <c r="D384" s="73">
        <v>7849.90635910797</v>
      </c>
      <c r="E384" s="73">
        <v>33565.0834562292</v>
      </c>
      <c r="F384" s="73"/>
      <c r="G384" s="73"/>
      <c r="H384" s="73"/>
      <c r="I384" s="878">
        <v>2.3475E20</v>
      </c>
      <c r="J384" s="878">
        <v>2.3475E20</v>
      </c>
      <c r="K384" s="878">
        <v>2.3475E20</v>
      </c>
      <c r="L384" s="878">
        <v>2.3475E20</v>
      </c>
      <c r="M384" s="878">
        <v>2.3475E20</v>
      </c>
      <c r="N384" s="73"/>
      <c r="O384" s="878">
        <v>2.3475E20</v>
      </c>
      <c r="P384" s="878">
        <v>2.3475E20</v>
      </c>
      <c r="Q384" s="878">
        <v>2.3475E20</v>
      </c>
      <c r="R384" s="878">
        <v>2.3475E20</v>
      </c>
      <c r="S384" s="878">
        <v>2.3475E20</v>
      </c>
      <c r="T384" s="73"/>
      <c r="U384" s="878">
        <v>2.3475E20</v>
      </c>
      <c r="V384" s="73"/>
      <c r="W384" s="73"/>
      <c r="X384" s="73"/>
      <c r="Y384" s="73"/>
      <c r="Z384" s="73"/>
      <c r="AA384" s="73"/>
      <c r="AB384" s="73"/>
    </row>
    <row r="385">
      <c r="A385" s="73"/>
      <c r="B385" s="73">
        <v>12370.453</v>
      </c>
      <c r="C385" s="73">
        <v>838620.955455691</v>
      </c>
      <c r="D385" s="73">
        <v>7912.04693719482</v>
      </c>
      <c r="E385" s="73">
        <v>33820.8199732366</v>
      </c>
      <c r="F385" s="73"/>
      <c r="G385" s="73"/>
      <c r="H385" s="73"/>
      <c r="I385" s="878">
        <v>2.394E20</v>
      </c>
      <c r="J385" s="878">
        <v>2.394E20</v>
      </c>
      <c r="K385" s="878">
        <v>2.394E20</v>
      </c>
      <c r="L385" s="878">
        <v>2.394E20</v>
      </c>
      <c r="M385" s="878">
        <v>2.394E20</v>
      </c>
      <c r="N385" s="73"/>
      <c r="O385" s="878">
        <v>2.394E20</v>
      </c>
      <c r="P385" s="878">
        <v>2.394E20</v>
      </c>
      <c r="Q385" s="878">
        <v>2.394E20</v>
      </c>
      <c r="R385" s="878">
        <v>2.394E20</v>
      </c>
      <c r="S385" s="878">
        <v>2.394E20</v>
      </c>
      <c r="T385" s="73"/>
      <c r="U385" s="878">
        <v>2.394E20</v>
      </c>
      <c r="V385" s="73"/>
      <c r="W385" s="73"/>
      <c r="X385" s="73"/>
      <c r="Y385" s="73"/>
      <c r="Z385" s="73"/>
      <c r="AA385" s="73"/>
      <c r="AB385" s="73"/>
    </row>
    <row r="386">
      <c r="A386" s="73"/>
      <c r="B386" s="73">
        <v>12432.312</v>
      </c>
      <c r="C386" s="73">
        <v>844596.757789701</v>
      </c>
      <c r="D386" s="73">
        <v>7974.53079653168</v>
      </c>
      <c r="E386" s="73">
        <v>34077.9809744797</v>
      </c>
      <c r="F386" s="73"/>
      <c r="G386" s="73"/>
      <c r="H386" s="73"/>
      <c r="I386" s="878">
        <v>2.4413E20</v>
      </c>
      <c r="J386" s="878">
        <v>2.4413E20</v>
      </c>
      <c r="K386" s="878">
        <v>2.4413E20</v>
      </c>
      <c r="L386" s="878">
        <v>2.4413E20</v>
      </c>
      <c r="M386" s="878">
        <v>2.4413E20</v>
      </c>
      <c r="N386" s="73"/>
      <c r="O386" s="878">
        <v>2.4413E20</v>
      </c>
      <c r="P386" s="878">
        <v>2.4413E20</v>
      </c>
      <c r="Q386" s="878">
        <v>2.4413E20</v>
      </c>
      <c r="R386" s="878">
        <v>2.4413E20</v>
      </c>
      <c r="S386" s="878">
        <v>2.4413E20</v>
      </c>
      <c r="T386" s="73"/>
      <c r="U386" s="878">
        <v>2.4413E20</v>
      </c>
      <c r="V386" s="73"/>
      <c r="W386" s="73"/>
      <c r="X386" s="73"/>
      <c r="Y386" s="73"/>
      <c r="Z386" s="73"/>
      <c r="AA386" s="73"/>
      <c r="AB386" s="73"/>
    </row>
    <row r="387">
      <c r="A387" s="73"/>
      <c r="B387" s="73">
        <v>12494.325</v>
      </c>
      <c r="C387" s="73">
        <v>850599.468872964</v>
      </c>
      <c r="D387" s="73">
        <v>8037.35824961853</v>
      </c>
      <c r="E387" s="73">
        <v>34336.572647708</v>
      </c>
      <c r="F387" s="73"/>
      <c r="G387" s="73"/>
      <c r="H387" s="73"/>
      <c r="I387" s="878">
        <v>2.4893E20</v>
      </c>
      <c r="J387" s="878">
        <v>2.4893E20</v>
      </c>
      <c r="K387" s="878">
        <v>2.4893E20</v>
      </c>
      <c r="L387" s="878">
        <v>2.4893E20</v>
      </c>
      <c r="M387" s="878">
        <v>2.4893E20</v>
      </c>
      <c r="N387" s="73"/>
      <c r="O387" s="878">
        <v>2.4893E20</v>
      </c>
      <c r="P387" s="878">
        <v>2.4893E20</v>
      </c>
      <c r="Q387" s="878">
        <v>2.4893E20</v>
      </c>
      <c r="R387" s="878">
        <v>2.4893E20</v>
      </c>
      <c r="S387" s="878">
        <v>2.4893E20</v>
      </c>
      <c r="T387" s="73"/>
      <c r="U387" s="878">
        <v>2.4893E20</v>
      </c>
      <c r="V387" s="73"/>
      <c r="W387" s="73"/>
      <c r="X387" s="73"/>
      <c r="Y387" s="73"/>
      <c r="Z387" s="73"/>
      <c r="AA387" s="73"/>
      <c r="AB387" s="73"/>
    </row>
    <row r="388">
      <c r="A388" s="73"/>
      <c r="B388" s="73">
        <v>12556.492</v>
      </c>
      <c r="C388" s="73">
        <v>856629.08870548</v>
      </c>
      <c r="D388" s="73">
        <v>8100.53081208038</v>
      </c>
      <c r="E388" s="73">
        <v>34596.5958210465</v>
      </c>
      <c r="F388" s="73"/>
      <c r="G388" s="73"/>
      <c r="H388" s="73"/>
      <c r="I388" s="878">
        <v>2.538E20</v>
      </c>
      <c r="J388" s="878">
        <v>2.538E20</v>
      </c>
      <c r="K388" s="878">
        <v>2.538E20</v>
      </c>
      <c r="L388" s="878">
        <v>2.538E20</v>
      </c>
      <c r="M388" s="878">
        <v>2.538E20</v>
      </c>
      <c r="N388" s="73"/>
      <c r="O388" s="878">
        <v>2.538E20</v>
      </c>
      <c r="P388" s="878">
        <v>2.538E20</v>
      </c>
      <c r="Q388" s="878">
        <v>2.538E20</v>
      </c>
      <c r="R388" s="878">
        <v>2.538E20</v>
      </c>
      <c r="S388" s="878">
        <v>2.538E20</v>
      </c>
      <c r="T388" s="73"/>
      <c r="U388" s="878">
        <v>2.538E20</v>
      </c>
      <c r="V388" s="73"/>
      <c r="W388" s="73"/>
      <c r="X388" s="73"/>
      <c r="Y388" s="73"/>
      <c r="Z388" s="73"/>
      <c r="AA388" s="73"/>
      <c r="AB388" s="73"/>
    </row>
    <row r="389">
      <c r="A389" s="73"/>
      <c r="B389" s="73">
        <v>12618.813</v>
      </c>
      <c r="C389" s="73">
        <v>862685.681662247</v>
      </c>
      <c r="D389" s="73">
        <v>8164.04767141724</v>
      </c>
      <c r="E389" s="73">
        <v>34858.0517366827</v>
      </c>
      <c r="F389" s="73"/>
      <c r="G389" s="73"/>
      <c r="H389" s="73"/>
      <c r="I389" s="878">
        <v>2.5876E20</v>
      </c>
      <c r="J389" s="878">
        <v>2.5876E20</v>
      </c>
      <c r="K389" s="878">
        <v>2.5876E20</v>
      </c>
      <c r="L389" s="878">
        <v>2.5876E20</v>
      </c>
      <c r="M389" s="878">
        <v>2.5876E20</v>
      </c>
      <c r="N389" s="73"/>
      <c r="O389" s="878">
        <v>2.5876E20</v>
      </c>
      <c r="P389" s="878">
        <v>2.5876E20</v>
      </c>
      <c r="Q389" s="878">
        <v>2.5876E20</v>
      </c>
      <c r="R389" s="878">
        <v>2.5876E20</v>
      </c>
      <c r="S389" s="878">
        <v>2.5876E20</v>
      </c>
      <c r="T389" s="73"/>
      <c r="U389" s="878">
        <v>2.5876E20</v>
      </c>
      <c r="V389" s="73"/>
      <c r="W389" s="73"/>
      <c r="X389" s="73"/>
      <c r="Y389" s="73"/>
      <c r="Z389" s="73"/>
      <c r="AA389" s="73"/>
      <c r="AB389" s="73"/>
    </row>
    <row r="390">
      <c r="A390" s="73"/>
      <c r="B390" s="73">
        <v>12681.288</v>
      </c>
      <c r="C390" s="73">
        <v>868769.312118262</v>
      </c>
      <c r="D390" s="73">
        <v>8227.90978075409</v>
      </c>
      <c r="E390" s="73">
        <v>35120.9465823662</v>
      </c>
      <c r="F390" s="73"/>
      <c r="G390" s="73"/>
      <c r="H390" s="73"/>
      <c r="I390" s="878">
        <v>2.6379E20</v>
      </c>
      <c r="J390" s="878">
        <v>2.6379E20</v>
      </c>
      <c r="K390" s="878">
        <v>2.6379E20</v>
      </c>
      <c r="L390" s="878">
        <v>2.6379E20</v>
      </c>
      <c r="M390" s="878">
        <v>2.6379E20</v>
      </c>
      <c r="N390" s="73"/>
      <c r="O390" s="878">
        <v>2.6379E20</v>
      </c>
      <c r="P390" s="878">
        <v>2.6379E20</v>
      </c>
      <c r="Q390" s="878">
        <v>2.6379E20</v>
      </c>
      <c r="R390" s="878">
        <v>2.6379E20</v>
      </c>
      <c r="S390" s="878">
        <v>2.6379E20</v>
      </c>
      <c r="T390" s="73"/>
      <c r="U390" s="878">
        <v>2.6379E20</v>
      </c>
      <c r="V390" s="73"/>
      <c r="W390" s="73"/>
      <c r="X390" s="73"/>
      <c r="Y390" s="73"/>
      <c r="Z390" s="73"/>
      <c r="AA390" s="73"/>
      <c r="AB390" s="73"/>
    </row>
    <row r="391">
      <c r="A391" s="73"/>
      <c r="B391" s="73">
        <v>12743.917</v>
      </c>
      <c r="C391" s="73">
        <v>874879.980073527</v>
      </c>
      <c r="D391" s="73">
        <v>8292.11809321594</v>
      </c>
      <c r="E391" s="73">
        <v>35385.2837832219</v>
      </c>
      <c r="F391" s="73"/>
      <c r="G391" s="73"/>
      <c r="H391" s="73"/>
      <c r="I391" s="878">
        <v>2.6891E20</v>
      </c>
      <c r="J391" s="878">
        <v>2.6891E20</v>
      </c>
      <c r="K391" s="878">
        <v>2.6891E20</v>
      </c>
      <c r="L391" s="878">
        <v>2.6891E20</v>
      </c>
      <c r="M391" s="878">
        <v>2.6891E20</v>
      </c>
      <c r="N391" s="73"/>
      <c r="O391" s="878">
        <v>2.6891E20</v>
      </c>
      <c r="P391" s="878">
        <v>2.6891E20</v>
      </c>
      <c r="Q391" s="878">
        <v>2.6891E20</v>
      </c>
      <c r="R391" s="878">
        <v>2.6891E20</v>
      </c>
      <c r="S391" s="878">
        <v>2.6891E20</v>
      </c>
      <c r="T391" s="73"/>
      <c r="U391" s="878">
        <v>2.6891E20</v>
      </c>
      <c r="V391" s="73"/>
      <c r="W391" s="73"/>
      <c r="X391" s="73"/>
      <c r="Y391" s="73"/>
      <c r="Z391" s="73"/>
      <c r="AA391" s="73"/>
      <c r="AB391" s="73"/>
    </row>
    <row r="392">
      <c r="A392" s="73"/>
      <c r="B392" s="73">
        <v>12806.7</v>
      </c>
      <c r="C392" s="73">
        <v>881017.749903038</v>
      </c>
      <c r="D392" s="73">
        <v>8356.67228067779</v>
      </c>
      <c r="E392" s="73">
        <v>35651.0619016248</v>
      </c>
      <c r="F392" s="73"/>
      <c r="G392" s="73"/>
      <c r="H392" s="73"/>
      <c r="I392" s="878">
        <v>2.7411E20</v>
      </c>
      <c r="J392" s="878">
        <v>2.7411E20</v>
      </c>
      <c r="K392" s="878">
        <v>2.7411E20</v>
      </c>
      <c r="L392" s="878">
        <v>2.7411E20</v>
      </c>
      <c r="M392" s="878">
        <v>2.7411E20</v>
      </c>
      <c r="N392" s="73"/>
      <c r="O392" s="878">
        <v>2.7411E20</v>
      </c>
      <c r="P392" s="878">
        <v>2.7411E20</v>
      </c>
      <c r="Q392" s="878">
        <v>2.7411E20</v>
      </c>
      <c r="R392" s="878">
        <v>2.7411E20</v>
      </c>
      <c r="S392" s="878">
        <v>2.7411E20</v>
      </c>
      <c r="T392" s="73"/>
      <c r="U392" s="878">
        <v>2.7411E20</v>
      </c>
      <c r="V392" s="73"/>
      <c r="W392" s="73"/>
      <c r="X392" s="73"/>
      <c r="Y392" s="73"/>
      <c r="Z392" s="73"/>
      <c r="AA392" s="73"/>
      <c r="AB392" s="73"/>
    </row>
    <row r="393">
      <c r="A393" s="73"/>
      <c r="B393" s="73">
        <v>12869.637</v>
      </c>
      <c r="C393" s="73">
        <v>887182.750356793</v>
      </c>
      <c r="D393" s="73">
        <v>8421.57321813965</v>
      </c>
      <c r="E393" s="73">
        <v>35918.2819313248</v>
      </c>
      <c r="F393" s="73"/>
      <c r="G393" s="73"/>
      <c r="H393" s="73"/>
      <c r="I393" s="878">
        <v>2.7939E20</v>
      </c>
      <c r="J393" s="878">
        <v>2.7939E20</v>
      </c>
      <c r="K393" s="878">
        <v>2.7939E20</v>
      </c>
      <c r="L393" s="878">
        <v>2.7939E20</v>
      </c>
      <c r="M393" s="878">
        <v>2.7939E20</v>
      </c>
      <c r="N393" s="73"/>
      <c r="O393" s="878">
        <v>2.7939E20</v>
      </c>
      <c r="P393" s="878">
        <v>2.7939E20</v>
      </c>
      <c r="Q393" s="878">
        <v>2.7939E20</v>
      </c>
      <c r="R393" s="878">
        <v>2.7939E20</v>
      </c>
      <c r="S393" s="878">
        <v>2.7939E20</v>
      </c>
      <c r="T393" s="73"/>
      <c r="U393" s="878">
        <v>2.7939E20</v>
      </c>
      <c r="V393" s="73"/>
      <c r="W393" s="73"/>
      <c r="X393" s="73"/>
      <c r="Y393" s="73"/>
      <c r="Z393" s="73"/>
      <c r="AA393" s="73"/>
      <c r="AB393" s="73"/>
    </row>
    <row r="394">
      <c r="A394" s="73"/>
      <c r="B394" s="73">
        <v>12932.728</v>
      </c>
      <c r="C394" s="73">
        <v>893375.04580979</v>
      </c>
      <c r="D394" s="73">
        <v>8486.8219368515</v>
      </c>
      <c r="E394" s="73">
        <v>36186.9523258216</v>
      </c>
      <c r="F394" s="73"/>
      <c r="G394" s="73"/>
      <c r="H394" s="73"/>
      <c r="I394" s="878">
        <v>2.8475E20</v>
      </c>
      <c r="J394" s="878">
        <v>2.8475E20</v>
      </c>
      <c r="K394" s="878">
        <v>2.8475E20</v>
      </c>
      <c r="L394" s="878">
        <v>2.8475E20</v>
      </c>
      <c r="M394" s="878">
        <v>2.8475E20</v>
      </c>
      <c r="N394" s="73"/>
      <c r="O394" s="878">
        <v>2.8475E20</v>
      </c>
      <c r="P394" s="878">
        <v>2.8475E20</v>
      </c>
      <c r="Q394" s="878">
        <v>2.8475E20</v>
      </c>
      <c r="R394" s="878">
        <v>2.8475E20</v>
      </c>
      <c r="S394" s="878">
        <v>2.8475E20</v>
      </c>
      <c r="T394" s="73"/>
      <c r="U394" s="878">
        <v>2.8475E20</v>
      </c>
      <c r="V394" s="73"/>
      <c r="W394" s="73"/>
      <c r="X394" s="73"/>
      <c r="Y394" s="73"/>
      <c r="Z394" s="73"/>
      <c r="AA394" s="73"/>
      <c r="AB394" s="73"/>
    </row>
    <row r="395">
      <c r="A395" s="73"/>
      <c r="B395" s="73">
        <v>12995.973</v>
      </c>
      <c r="C395" s="73">
        <v>899594.507512033</v>
      </c>
      <c r="D395" s="73">
        <v>8552.41818681335</v>
      </c>
      <c r="E395" s="73">
        <v>36457.0718131151</v>
      </c>
      <c r="F395" s="73"/>
      <c r="G395" s="73"/>
      <c r="H395" s="73"/>
      <c r="I395" s="878">
        <v>2.902E20</v>
      </c>
      <c r="J395" s="878">
        <v>2.902E20</v>
      </c>
      <c r="K395" s="878">
        <v>2.902E20</v>
      </c>
      <c r="L395" s="878">
        <v>2.902E20</v>
      </c>
      <c r="M395" s="878">
        <v>2.902E20</v>
      </c>
      <c r="N395" s="73"/>
      <c r="O395" s="878">
        <v>2.902E20</v>
      </c>
      <c r="P395" s="878">
        <v>2.902E20</v>
      </c>
      <c r="Q395" s="878">
        <v>2.902E20</v>
      </c>
      <c r="R395" s="878">
        <v>2.902E20</v>
      </c>
      <c r="S395" s="878">
        <v>2.902E20</v>
      </c>
      <c r="T395" s="73"/>
      <c r="U395" s="878">
        <v>2.902E20</v>
      </c>
      <c r="V395" s="73"/>
      <c r="W395" s="73"/>
      <c r="X395" s="73"/>
      <c r="Y395" s="73"/>
      <c r="Z395" s="73"/>
      <c r="AA395" s="73"/>
      <c r="AB395" s="73"/>
    </row>
    <row r="396">
      <c r="A396" s="73"/>
      <c r="B396" s="73">
        <v>13059.372</v>
      </c>
      <c r="C396" s="73">
        <v>905841.328588516</v>
      </c>
      <c r="D396" s="73">
        <v>8618.36340552521</v>
      </c>
      <c r="E396" s="73">
        <v>36728.6436527052</v>
      </c>
      <c r="F396" s="73"/>
      <c r="G396" s="73"/>
      <c r="H396" s="73"/>
      <c r="I396" s="878">
        <v>2.9573E20</v>
      </c>
      <c r="J396" s="878">
        <v>2.9573E20</v>
      </c>
      <c r="K396" s="878">
        <v>2.9573E20</v>
      </c>
      <c r="L396" s="878">
        <v>2.9573E20</v>
      </c>
      <c r="M396" s="878">
        <v>2.9573E20</v>
      </c>
      <c r="N396" s="73"/>
      <c r="O396" s="878">
        <v>2.9573E20</v>
      </c>
      <c r="P396" s="878">
        <v>2.9573E20</v>
      </c>
      <c r="Q396" s="878">
        <v>2.9573E20</v>
      </c>
      <c r="R396" s="878">
        <v>2.9573E20</v>
      </c>
      <c r="S396" s="878">
        <v>2.9573E20</v>
      </c>
      <c r="T396" s="73"/>
      <c r="U396" s="878">
        <v>2.9573E20</v>
      </c>
      <c r="V396" s="73"/>
      <c r="W396" s="73"/>
      <c r="X396" s="73"/>
      <c r="Y396" s="73"/>
      <c r="Z396" s="73"/>
      <c r="AA396" s="73"/>
      <c r="AB396" s="73"/>
    </row>
    <row r="397">
      <c r="A397" s="73"/>
      <c r="B397" s="73">
        <v>13122.925</v>
      </c>
      <c r="C397" s="73">
        <v>912115.573414236</v>
      </c>
      <c r="D397" s="73">
        <v>8684.65693673706</v>
      </c>
      <c r="E397" s="73">
        <v>37001.6690039669</v>
      </c>
      <c r="F397" s="73"/>
      <c r="G397" s="73"/>
      <c r="H397" s="73"/>
      <c r="I397" s="878">
        <v>3.0135E20</v>
      </c>
      <c r="J397" s="878">
        <v>3.0135E20</v>
      </c>
      <c r="K397" s="878">
        <v>3.0135E20</v>
      </c>
      <c r="L397" s="878">
        <v>3.0135E20</v>
      </c>
      <c r="M397" s="878">
        <v>3.0135E20</v>
      </c>
      <c r="N397" s="73"/>
      <c r="O397" s="878">
        <v>3.0135E20</v>
      </c>
      <c r="P397" s="878">
        <v>3.0135E20</v>
      </c>
      <c r="Q397" s="878">
        <v>3.0135E20</v>
      </c>
      <c r="R397" s="878">
        <v>3.0135E20</v>
      </c>
      <c r="S397" s="878">
        <v>3.0135E20</v>
      </c>
      <c r="T397" s="73"/>
      <c r="U397" s="878">
        <v>3.0135E20</v>
      </c>
      <c r="V397" s="73"/>
      <c r="W397" s="73"/>
      <c r="X397" s="73"/>
      <c r="Y397" s="73"/>
      <c r="Z397" s="73"/>
      <c r="AA397" s="73"/>
      <c r="AB397" s="73"/>
    </row>
    <row r="398">
      <c r="A398" s="73"/>
      <c r="B398" s="73">
        <v>13186.632</v>
      </c>
      <c r="C398" s="73">
        <v>918417.177614197</v>
      </c>
      <c r="D398" s="73">
        <v>8751.30006169891</v>
      </c>
      <c r="E398" s="73">
        <v>37276.1512920249</v>
      </c>
      <c r="F398" s="73"/>
      <c r="G398" s="73"/>
      <c r="H398" s="73"/>
      <c r="I398" s="878">
        <v>3.0706E20</v>
      </c>
      <c r="J398" s="878">
        <v>3.0706E20</v>
      </c>
      <c r="K398" s="878">
        <v>3.0706E20</v>
      </c>
      <c r="L398" s="878">
        <v>3.0706E20</v>
      </c>
      <c r="M398" s="878">
        <v>3.0706E20</v>
      </c>
      <c r="N398" s="73"/>
      <c r="O398" s="878">
        <v>3.0706E20</v>
      </c>
      <c r="P398" s="878">
        <v>3.0706E20</v>
      </c>
      <c r="Q398" s="878">
        <v>3.0706E20</v>
      </c>
      <c r="R398" s="878">
        <v>3.0706E20</v>
      </c>
      <c r="S398" s="878">
        <v>3.0706E20</v>
      </c>
      <c r="T398" s="73"/>
      <c r="U398" s="878">
        <v>3.0706E20</v>
      </c>
      <c r="V398" s="73"/>
      <c r="W398" s="73"/>
      <c r="X398" s="73"/>
      <c r="Y398" s="73"/>
      <c r="Z398" s="73"/>
      <c r="AA398" s="73"/>
      <c r="AB398" s="73"/>
    </row>
    <row r="399">
      <c r="A399" s="73"/>
      <c r="B399" s="73">
        <v>13250.493</v>
      </c>
      <c r="C399" s="73">
        <v>924746.334313393</v>
      </c>
      <c r="D399" s="73">
        <v>8818.29253136444</v>
      </c>
      <c r="E399" s="73">
        <v>37552.0967046289</v>
      </c>
      <c r="F399" s="73"/>
      <c r="G399" s="73"/>
      <c r="H399" s="73"/>
      <c r="I399" s="878">
        <v>3.1286E20</v>
      </c>
      <c r="J399" s="878">
        <v>3.1286E20</v>
      </c>
      <c r="K399" s="878">
        <v>3.1286E20</v>
      </c>
      <c r="L399" s="878">
        <v>3.1286E20</v>
      </c>
      <c r="M399" s="878">
        <v>3.1286E20</v>
      </c>
      <c r="N399" s="73"/>
      <c r="O399" s="878">
        <v>3.1286E20</v>
      </c>
      <c r="P399" s="878">
        <v>3.1286E20</v>
      </c>
      <c r="Q399" s="878">
        <v>3.1286E20</v>
      </c>
      <c r="R399" s="878">
        <v>3.1286E20</v>
      </c>
      <c r="S399" s="878">
        <v>3.1286E20</v>
      </c>
      <c r="T399" s="73"/>
      <c r="U399" s="878">
        <v>3.1286E20</v>
      </c>
      <c r="V399" s="73"/>
      <c r="W399" s="73"/>
      <c r="X399" s="73"/>
      <c r="Y399" s="73"/>
      <c r="Z399" s="73"/>
      <c r="AA399" s="73"/>
      <c r="AB399" s="73"/>
    </row>
    <row r="400">
      <c r="A400" s="73"/>
      <c r="B400" s="73">
        <v>13314.508</v>
      </c>
      <c r="C400" s="73">
        <v>931102.914761826</v>
      </c>
      <c r="D400" s="73">
        <v>8885.63537507629</v>
      </c>
      <c r="E400" s="73">
        <v>37829.5008759042</v>
      </c>
      <c r="F400" s="73"/>
      <c r="G400" s="73"/>
      <c r="H400" s="73"/>
      <c r="I400" s="878">
        <v>3.1875E20</v>
      </c>
      <c r="J400" s="878">
        <v>3.1875E20</v>
      </c>
      <c r="K400" s="878">
        <v>3.1875E20</v>
      </c>
      <c r="L400" s="878">
        <v>3.1875E20</v>
      </c>
      <c r="M400" s="878">
        <v>3.1875E20</v>
      </c>
      <c r="N400" s="73"/>
      <c r="O400" s="878">
        <v>3.1875E20</v>
      </c>
      <c r="P400" s="878">
        <v>3.1875E20</v>
      </c>
      <c r="Q400" s="878">
        <v>3.1875E20</v>
      </c>
      <c r="R400" s="878">
        <v>3.1875E20</v>
      </c>
      <c r="S400" s="878">
        <v>3.1875E20</v>
      </c>
      <c r="T400" s="73"/>
      <c r="U400" s="878">
        <v>3.1875E20</v>
      </c>
      <c r="V400" s="73"/>
      <c r="W400" s="73"/>
      <c r="X400" s="73"/>
      <c r="Y400" s="73"/>
      <c r="Z400" s="73"/>
      <c r="AA400" s="73"/>
      <c r="AB400" s="73"/>
    </row>
    <row r="401">
      <c r="A401" s="73"/>
      <c r="B401" s="73">
        <v>13378.677</v>
      </c>
      <c r="C401" s="73">
        <v>937487.176459491</v>
      </c>
      <c r="D401" s="73">
        <v>8953.32875003814</v>
      </c>
      <c r="E401" s="73">
        <v>38108.3699936004</v>
      </c>
      <c r="F401" s="73"/>
      <c r="G401" s="73"/>
      <c r="H401" s="73"/>
      <c r="I401" s="878">
        <v>3.2473E20</v>
      </c>
      <c r="J401" s="878">
        <v>3.2473E20</v>
      </c>
      <c r="K401" s="878">
        <v>3.2473E20</v>
      </c>
      <c r="L401" s="878">
        <v>3.2473E20</v>
      </c>
      <c r="M401" s="878">
        <v>3.2473E20</v>
      </c>
      <c r="N401" s="73"/>
      <c r="O401" s="878">
        <v>3.2473E20</v>
      </c>
      <c r="P401" s="878">
        <v>3.2473E20</v>
      </c>
      <c r="Q401" s="878">
        <v>3.2473E20</v>
      </c>
      <c r="R401" s="878">
        <v>3.2473E20</v>
      </c>
      <c r="S401" s="878">
        <v>3.2473E20</v>
      </c>
      <c r="T401" s="73"/>
      <c r="U401" s="878">
        <v>3.2473E20</v>
      </c>
      <c r="V401" s="73"/>
      <c r="W401" s="73"/>
      <c r="X401" s="73"/>
      <c r="Y401" s="73"/>
      <c r="Z401" s="73"/>
      <c r="AA401" s="73"/>
      <c r="AB401" s="73"/>
    </row>
    <row r="402">
      <c r="A402" s="73"/>
      <c r="B402" s="73">
        <v>13443.0</v>
      </c>
      <c r="C402" s="73">
        <v>943898.990656391</v>
      </c>
      <c r="D402" s="73">
        <v>9021.37384375</v>
      </c>
      <c r="E402" s="73">
        <v>38388.7074828424</v>
      </c>
      <c r="F402" s="73"/>
      <c r="G402" s="73"/>
      <c r="H402" s="73"/>
      <c r="I402" s="878">
        <v>3.308E20</v>
      </c>
      <c r="J402" s="878">
        <v>3.308E20</v>
      </c>
      <c r="K402" s="878">
        <v>3.308E20</v>
      </c>
      <c r="L402" s="878">
        <v>3.308E20</v>
      </c>
      <c r="M402" s="878">
        <v>3.308E20</v>
      </c>
      <c r="N402" s="73"/>
      <c r="O402" s="878">
        <v>3.308E20</v>
      </c>
      <c r="P402" s="878">
        <v>3.308E20</v>
      </c>
      <c r="Q402" s="878">
        <v>3.308E20</v>
      </c>
      <c r="R402" s="878">
        <v>3.308E20</v>
      </c>
      <c r="S402" s="878">
        <v>3.308E20</v>
      </c>
      <c r="T402" s="73"/>
      <c r="U402" s="878">
        <v>3.308E20</v>
      </c>
      <c r="V402" s="73"/>
      <c r="W402" s="73"/>
      <c r="X402" s="73"/>
      <c r="Y402" s="73"/>
      <c r="Z402" s="73"/>
      <c r="AA402" s="73"/>
      <c r="AB402" s="73"/>
    </row>
    <row r="403">
      <c r="A403" s="73"/>
      <c r="B403" s="73">
        <v>13507.477</v>
      </c>
      <c r="C403" s="73">
        <v>950338.55047752</v>
      </c>
      <c r="D403" s="73">
        <v>9089.77009275818</v>
      </c>
      <c r="E403" s="73">
        <v>38670.51433738</v>
      </c>
      <c r="F403" s="73"/>
      <c r="G403" s="73"/>
      <c r="H403" s="73"/>
      <c r="I403" s="73"/>
      <c r="J403" s="73"/>
      <c r="K403" s="73"/>
      <c r="L403" s="73"/>
      <c r="M403" s="73"/>
      <c r="N403" s="73"/>
      <c r="O403" s="73"/>
      <c r="P403" s="73"/>
      <c r="Q403" s="73"/>
      <c r="R403" s="73"/>
      <c r="S403" s="73"/>
      <c r="T403" s="73"/>
      <c r="U403" s="73"/>
      <c r="V403" s="73"/>
      <c r="W403" s="73"/>
      <c r="X403" s="73"/>
      <c r="Y403" s="73"/>
      <c r="Z403" s="73"/>
      <c r="AA403" s="73"/>
      <c r="AB403" s="73"/>
    </row>
    <row r="404">
      <c r="A404" s="73"/>
      <c r="B404" s="73">
        <v>13572.108</v>
      </c>
      <c r="C404" s="73">
        <v>956805.727172881</v>
      </c>
      <c r="D404" s="73">
        <v>9158.51924992371</v>
      </c>
      <c r="E404" s="73">
        <v>38953.7912197133</v>
      </c>
      <c r="F404" s="73"/>
      <c r="G404" s="73"/>
      <c r="H404" s="73"/>
      <c r="I404" s="73"/>
      <c r="J404" s="73"/>
      <c r="K404" s="73"/>
      <c r="L404" s="73"/>
      <c r="M404" s="73"/>
      <c r="N404" s="73"/>
      <c r="O404" s="73"/>
      <c r="P404" s="73"/>
      <c r="Q404" s="73"/>
      <c r="R404" s="73"/>
      <c r="S404" s="73"/>
      <c r="T404" s="73"/>
      <c r="U404" s="73"/>
      <c r="V404" s="73"/>
      <c r="W404" s="73"/>
      <c r="X404" s="73"/>
      <c r="Y404" s="73"/>
      <c r="Z404" s="73"/>
      <c r="AA404" s="73"/>
      <c r="AB404" s="73"/>
    </row>
    <row r="405">
      <c r="A405" s="73"/>
      <c r="B405" s="73">
        <v>13636.893</v>
      </c>
      <c r="C405" s="73">
        <v>963300.778242469</v>
      </c>
      <c r="D405" s="73">
        <v>9227.62074893188</v>
      </c>
      <c r="E405" s="73">
        <v>39238.5446488418</v>
      </c>
      <c r="F405" s="73"/>
      <c r="G405" s="73"/>
      <c r="H405" s="73"/>
      <c r="I405" s="73"/>
      <c r="J405" s="73"/>
      <c r="K405" s="73"/>
      <c r="L405" s="73"/>
      <c r="M405" s="73"/>
      <c r="N405" s="73"/>
      <c r="O405" s="73"/>
      <c r="P405" s="73"/>
      <c r="Q405" s="73"/>
      <c r="R405" s="73"/>
      <c r="S405" s="73"/>
      <c r="T405" s="73"/>
      <c r="U405" s="73"/>
      <c r="V405" s="73"/>
      <c r="W405" s="73"/>
      <c r="X405" s="73"/>
      <c r="Y405" s="73"/>
      <c r="Z405" s="73"/>
      <c r="AA405" s="73"/>
      <c r="AB405" s="73"/>
    </row>
    <row r="406">
      <c r="A406" s="73"/>
      <c r="B406" s="73">
        <v>13701.832</v>
      </c>
      <c r="C406" s="73">
        <v>969823.639311284</v>
      </c>
      <c r="D406" s="73">
        <v>9297.07537484741</v>
      </c>
      <c r="E406" s="73">
        <v>39524.7749560157</v>
      </c>
      <c r="F406" s="73"/>
      <c r="G406" s="73"/>
      <c r="H406" s="73"/>
      <c r="I406" s="73"/>
      <c r="J406" s="73"/>
      <c r="K406" s="73"/>
      <c r="L406" s="73"/>
      <c r="M406" s="73"/>
      <c r="N406" s="73"/>
      <c r="O406" s="73"/>
      <c r="P406" s="73"/>
      <c r="Q406" s="73"/>
      <c r="R406" s="73"/>
      <c r="S406" s="73"/>
      <c r="T406" s="73"/>
      <c r="U406" s="73"/>
      <c r="V406" s="73"/>
      <c r="W406" s="73"/>
      <c r="X406" s="73"/>
      <c r="Y406" s="73"/>
      <c r="Z406" s="73"/>
      <c r="AA406" s="73"/>
      <c r="AB406" s="73"/>
    </row>
    <row r="407">
      <c r="A407" s="73"/>
      <c r="B407" s="73">
        <v>13766.925</v>
      </c>
      <c r="C407" s="73">
        <v>976374.310379326</v>
      </c>
      <c r="D407" s="73">
        <v>9366.88337385559</v>
      </c>
      <c r="E407" s="73">
        <v>39812.4834662347</v>
      </c>
      <c r="F407" s="73"/>
      <c r="G407" s="73"/>
      <c r="H407" s="73"/>
      <c r="I407" s="73"/>
      <c r="J407" s="73"/>
      <c r="K407" s="73"/>
      <c r="L407" s="73"/>
      <c r="M407" s="73"/>
      <c r="N407" s="73"/>
      <c r="O407" s="73"/>
      <c r="P407" s="73"/>
      <c r="Q407" s="73"/>
      <c r="R407" s="73"/>
      <c r="S407" s="73"/>
      <c r="T407" s="73"/>
      <c r="U407" s="73"/>
      <c r="V407" s="73"/>
      <c r="W407" s="73"/>
      <c r="X407" s="73"/>
      <c r="Y407" s="73"/>
      <c r="Z407" s="73"/>
      <c r="AA407" s="73"/>
      <c r="AB407" s="73"/>
    </row>
    <row r="408">
      <c r="A408" s="73"/>
      <c r="B408" s="73">
        <v>13832.172</v>
      </c>
      <c r="C408" s="73">
        <v>982952.984571591</v>
      </c>
      <c r="D408" s="73">
        <v>9437.04568727112</v>
      </c>
      <c r="E408" s="73">
        <v>40101.6732733738</v>
      </c>
      <c r="F408" s="73"/>
      <c r="G408" s="73"/>
      <c r="H408" s="73"/>
      <c r="I408" s="73"/>
      <c r="J408" s="73"/>
      <c r="K408" s="73"/>
      <c r="L408" s="73"/>
      <c r="M408" s="73"/>
      <c r="N408" s="73"/>
      <c r="O408" s="73"/>
      <c r="P408" s="73"/>
      <c r="Q408" s="73"/>
      <c r="R408" s="73"/>
      <c r="S408" s="73"/>
      <c r="T408" s="73"/>
      <c r="U408" s="73"/>
      <c r="V408" s="73"/>
      <c r="W408" s="73"/>
      <c r="X408" s="73"/>
      <c r="Y408" s="73"/>
      <c r="Z408" s="73"/>
      <c r="AA408" s="73"/>
      <c r="AB408" s="73"/>
    </row>
    <row r="409">
      <c r="A409" s="73"/>
      <c r="B409" s="73">
        <v>13897.573</v>
      </c>
      <c r="C409" s="73">
        <v>989559.661888078</v>
      </c>
      <c r="D409" s="73">
        <v>9507.5623112793</v>
      </c>
      <c r="E409" s="73">
        <v>40392.3481338077</v>
      </c>
      <c r="F409" s="73"/>
      <c r="G409" s="73"/>
      <c r="H409" s="73"/>
      <c r="I409" s="73"/>
      <c r="J409" s="73"/>
      <c r="K409" s="73"/>
      <c r="L409" s="73"/>
      <c r="M409" s="73"/>
      <c r="N409" s="73"/>
      <c r="O409" s="73"/>
      <c r="P409" s="73"/>
      <c r="Q409" s="73"/>
      <c r="R409" s="73"/>
      <c r="S409" s="73"/>
      <c r="T409" s="73"/>
      <c r="U409" s="73"/>
      <c r="V409" s="73"/>
      <c r="W409" s="73"/>
      <c r="X409" s="73"/>
      <c r="Y409" s="73"/>
      <c r="Z409" s="73"/>
      <c r="AA409" s="73"/>
      <c r="AB409" s="73"/>
    </row>
    <row r="410">
      <c r="A410" s="73"/>
      <c r="B410" s="73">
        <v>13963.128</v>
      </c>
      <c r="C410" s="73">
        <v>996194.277953789</v>
      </c>
      <c r="D410" s="73">
        <v>9578.43412469482</v>
      </c>
      <c r="E410" s="73">
        <v>40684.5087100364</v>
      </c>
      <c r="F410" s="73"/>
      <c r="G410" s="73"/>
      <c r="H410" s="73"/>
      <c r="I410" s="73"/>
      <c r="J410" s="73"/>
      <c r="K410" s="73"/>
      <c r="L410" s="73"/>
      <c r="M410" s="73"/>
      <c r="N410" s="73"/>
      <c r="O410" s="73"/>
      <c r="P410" s="73"/>
      <c r="Q410" s="73"/>
      <c r="R410" s="73"/>
      <c r="S410" s="73"/>
      <c r="T410" s="73"/>
      <c r="U410" s="73"/>
      <c r="V410" s="73"/>
      <c r="W410" s="73"/>
      <c r="X410" s="73"/>
      <c r="Y410" s="73"/>
      <c r="Z410" s="73"/>
      <c r="AA410" s="73"/>
      <c r="AB410" s="73"/>
    </row>
    <row r="411">
      <c r="A411" s="73"/>
      <c r="B411" s="73">
        <v>14028.837</v>
      </c>
      <c r="C411" s="73">
        <v>1002857.02589372</v>
      </c>
      <c r="D411" s="73">
        <v>9649.661436203</v>
      </c>
      <c r="E411" s="73">
        <v>40978.1558301849</v>
      </c>
      <c r="F411" s="73"/>
      <c r="G411" s="73"/>
      <c r="H411" s="73"/>
      <c r="I411" s="73"/>
      <c r="J411" s="73"/>
      <c r="K411" s="73"/>
      <c r="L411" s="73"/>
      <c r="M411" s="73"/>
      <c r="N411" s="73"/>
      <c r="O411" s="73"/>
      <c r="P411" s="73"/>
      <c r="Q411" s="73"/>
      <c r="R411" s="73"/>
      <c r="S411" s="73"/>
      <c r="T411" s="73"/>
      <c r="U411" s="73"/>
      <c r="V411" s="73"/>
      <c r="W411" s="73"/>
      <c r="X411" s="73"/>
      <c r="Y411" s="73"/>
      <c r="Z411" s="73"/>
      <c r="AA411" s="73"/>
      <c r="AB411" s="73"/>
    </row>
    <row r="412">
      <c r="A412" s="73"/>
      <c r="B412" s="73">
        <v>14094.7</v>
      </c>
      <c r="C412" s="73">
        <v>1009547.90570787</v>
      </c>
      <c r="D412" s="73">
        <v>9721.24471836853</v>
      </c>
      <c r="E412" s="73">
        <v>41273.2956820028</v>
      </c>
      <c r="F412" s="73"/>
      <c r="G412" s="73"/>
      <c r="H412" s="73"/>
      <c r="I412" s="73"/>
      <c r="J412" s="73"/>
      <c r="K412" s="73"/>
      <c r="L412" s="73"/>
      <c r="M412" s="73"/>
      <c r="N412" s="73"/>
      <c r="O412" s="73"/>
      <c r="P412" s="73"/>
      <c r="Q412" s="73"/>
      <c r="R412" s="73"/>
      <c r="S412" s="73"/>
      <c r="T412" s="73"/>
      <c r="U412" s="73"/>
      <c r="V412" s="73"/>
      <c r="W412" s="73"/>
      <c r="X412" s="73"/>
      <c r="Y412" s="73"/>
      <c r="Z412" s="73"/>
      <c r="AA412" s="73"/>
      <c r="AB412" s="73"/>
    </row>
    <row r="413">
      <c r="A413" s="73"/>
      <c r="B413" s="73">
        <v>14160.717</v>
      </c>
      <c r="C413" s="73">
        <v>1016266.91739623</v>
      </c>
      <c r="D413" s="73">
        <v>9793.18412553406</v>
      </c>
      <c r="E413" s="73">
        <v>41569.9290936151</v>
      </c>
      <c r="F413" s="73"/>
      <c r="G413" s="73"/>
      <c r="H413" s="73"/>
      <c r="I413" s="73"/>
      <c r="J413" s="73"/>
      <c r="K413" s="73"/>
      <c r="L413" s="73"/>
      <c r="M413" s="73"/>
      <c r="N413" s="73"/>
      <c r="O413" s="73"/>
      <c r="P413" s="73"/>
      <c r="Q413" s="73"/>
      <c r="R413" s="73"/>
      <c r="S413" s="73"/>
      <c r="T413" s="73"/>
      <c r="U413" s="73"/>
      <c r="V413" s="73"/>
      <c r="W413" s="73"/>
      <c r="X413" s="73"/>
      <c r="Y413" s="73"/>
      <c r="Z413" s="73"/>
      <c r="AA413" s="73"/>
      <c r="AB413" s="73"/>
    </row>
    <row r="414">
      <c r="A414" s="73"/>
      <c r="B414" s="73">
        <v>14226.888</v>
      </c>
      <c r="C414" s="73">
        <v>1023014.12533382</v>
      </c>
      <c r="D414" s="73">
        <v>9865.48053079224</v>
      </c>
      <c r="E414" s="73">
        <v>41868.0565618967</v>
      </c>
      <c r="F414" s="73"/>
      <c r="G414" s="73"/>
      <c r="H414" s="73"/>
      <c r="I414" s="73"/>
      <c r="J414" s="73"/>
      <c r="K414" s="73"/>
      <c r="L414" s="73"/>
      <c r="M414" s="73"/>
      <c r="N414" s="73"/>
      <c r="O414" s="73"/>
      <c r="P414" s="73"/>
      <c r="Q414" s="73"/>
      <c r="R414" s="73"/>
      <c r="S414" s="73"/>
      <c r="T414" s="73"/>
      <c r="U414" s="73"/>
      <c r="V414" s="73"/>
      <c r="W414" s="73"/>
      <c r="X414" s="73"/>
      <c r="Y414" s="73"/>
      <c r="Z414" s="73"/>
      <c r="AA414" s="73"/>
      <c r="AB414" s="73"/>
    </row>
    <row r="415">
      <c r="A415" s="73"/>
      <c r="B415" s="73">
        <v>14293.213</v>
      </c>
      <c r="C415" s="73">
        <v>1029789.72264561</v>
      </c>
      <c r="D415" s="73">
        <v>9938.13440670776</v>
      </c>
      <c r="E415" s="73">
        <v>42167.6846058473</v>
      </c>
      <c r="F415" s="73"/>
      <c r="G415" s="73"/>
      <c r="H415" s="73"/>
      <c r="I415" s="73"/>
      <c r="J415" s="73"/>
      <c r="K415" s="73"/>
      <c r="L415" s="73"/>
      <c r="M415" s="73"/>
      <c r="N415" s="73"/>
      <c r="O415" s="73"/>
      <c r="P415" s="73"/>
      <c r="Q415" s="73"/>
      <c r="R415" s="73"/>
      <c r="S415" s="73"/>
      <c r="T415" s="73"/>
      <c r="U415" s="73"/>
      <c r="V415" s="73"/>
      <c r="W415" s="73"/>
      <c r="X415" s="73"/>
      <c r="Y415" s="73"/>
      <c r="Z415" s="73"/>
      <c r="AA415" s="73"/>
      <c r="AB415" s="73"/>
    </row>
    <row r="416">
      <c r="A416" s="73"/>
      <c r="B416" s="73">
        <v>14359.692</v>
      </c>
      <c r="C416" s="73">
        <v>1036593.58058162</v>
      </c>
      <c r="D416" s="73">
        <v>10011.1459057159</v>
      </c>
      <c r="E416" s="73">
        <v>42468.810959717</v>
      </c>
      <c r="F416" s="73"/>
      <c r="G416" s="73"/>
      <c r="H416" s="73"/>
      <c r="I416" s="73"/>
      <c r="J416" s="73"/>
      <c r="K416" s="73"/>
      <c r="L416" s="73"/>
      <c r="M416" s="73"/>
      <c r="N416" s="73"/>
      <c r="O416" s="73"/>
      <c r="P416" s="73"/>
      <c r="Q416" s="73"/>
      <c r="R416" s="73"/>
      <c r="S416" s="73"/>
      <c r="T416" s="73"/>
      <c r="U416" s="73"/>
      <c r="V416" s="73"/>
      <c r="W416" s="73"/>
      <c r="X416" s="73"/>
      <c r="Y416" s="73"/>
      <c r="Z416" s="73"/>
      <c r="AA416" s="73"/>
      <c r="AB416" s="73"/>
    </row>
    <row r="417">
      <c r="A417" s="73"/>
      <c r="B417" s="73">
        <v>14426.325</v>
      </c>
      <c r="C417" s="73">
        <v>1043425.82789184</v>
      </c>
      <c r="D417" s="73">
        <v>10084.5153441315</v>
      </c>
      <c r="E417" s="73">
        <v>42771.4392142556</v>
      </c>
      <c r="F417" s="73"/>
      <c r="G417" s="73"/>
      <c r="H417" s="73"/>
      <c r="I417" s="73"/>
      <c r="J417" s="73"/>
      <c r="K417" s="73"/>
      <c r="L417" s="73"/>
      <c r="M417" s="73"/>
      <c r="N417" s="73"/>
      <c r="O417" s="73"/>
      <c r="P417" s="73"/>
      <c r="Q417" s="73"/>
      <c r="R417" s="73"/>
      <c r="S417" s="73"/>
      <c r="T417" s="73"/>
      <c r="U417" s="73"/>
      <c r="V417" s="73"/>
      <c r="W417" s="73"/>
      <c r="X417" s="73"/>
      <c r="Y417" s="73"/>
      <c r="Z417" s="73"/>
      <c r="AA417" s="73"/>
      <c r="AB417" s="73"/>
    </row>
    <row r="418">
      <c r="A418" s="73"/>
      <c r="B418" s="73">
        <v>14493.112</v>
      </c>
      <c r="C418" s="73">
        <v>1050286.40020128</v>
      </c>
      <c r="D418" s="73">
        <v>10158.2437493896</v>
      </c>
      <c r="E418" s="73">
        <v>43075.572960213</v>
      </c>
      <c r="F418" s="73"/>
      <c r="G418" s="73"/>
      <c r="H418" s="73"/>
      <c r="I418" s="73"/>
      <c r="J418" s="73"/>
      <c r="K418" s="73"/>
      <c r="L418" s="73"/>
      <c r="M418" s="73"/>
      <c r="N418" s="73"/>
      <c r="O418" s="73"/>
      <c r="P418" s="73"/>
      <c r="Q418" s="73"/>
      <c r="R418" s="73"/>
      <c r="S418" s="73"/>
      <c r="T418" s="73"/>
      <c r="U418" s="73"/>
      <c r="V418" s="73"/>
      <c r="W418" s="73"/>
      <c r="X418" s="73"/>
      <c r="Y418" s="73"/>
      <c r="Z418" s="73"/>
      <c r="AA418" s="73"/>
      <c r="AB418" s="73"/>
    </row>
    <row r="419">
      <c r="A419" s="73"/>
      <c r="B419" s="73">
        <v>14560.053</v>
      </c>
      <c r="C419" s="73">
        <v>1057175.55500992</v>
      </c>
      <c r="D419" s="73">
        <v>10232.3311253052</v>
      </c>
      <c r="E419" s="73">
        <v>43381.215291464</v>
      </c>
      <c r="F419" s="73"/>
      <c r="G419" s="73"/>
      <c r="H419" s="73"/>
      <c r="I419" s="73"/>
      <c r="J419" s="73"/>
      <c r="K419" s="73"/>
      <c r="L419" s="73"/>
      <c r="M419" s="73"/>
      <c r="N419" s="73"/>
      <c r="O419" s="73"/>
      <c r="P419" s="73"/>
      <c r="Q419" s="73"/>
      <c r="R419" s="73"/>
      <c r="S419" s="73"/>
      <c r="T419" s="73"/>
      <c r="U419" s="73"/>
      <c r="V419" s="73"/>
      <c r="W419" s="73"/>
      <c r="X419" s="73"/>
      <c r="Y419" s="73"/>
      <c r="Z419" s="73"/>
      <c r="AA419" s="73"/>
      <c r="AB419" s="73"/>
    </row>
    <row r="420">
      <c r="A420" s="73"/>
      <c r="B420" s="73">
        <v>14627.148</v>
      </c>
      <c r="C420" s="73">
        <v>1064093.16356777</v>
      </c>
      <c r="D420" s="73">
        <v>10306.7786555634</v>
      </c>
      <c r="E420" s="73">
        <v>43688.3670361334</v>
      </c>
      <c r="F420" s="73"/>
      <c r="G420" s="73"/>
      <c r="H420" s="73"/>
      <c r="I420" s="73"/>
      <c r="J420" s="73"/>
      <c r="K420" s="73"/>
      <c r="L420" s="73"/>
      <c r="M420" s="73"/>
      <c r="N420" s="73"/>
      <c r="O420" s="73"/>
      <c r="P420" s="73"/>
      <c r="Q420" s="73"/>
      <c r="R420" s="73"/>
      <c r="S420" s="73"/>
      <c r="T420" s="73"/>
      <c r="U420" s="73"/>
      <c r="V420" s="73"/>
      <c r="W420" s="73"/>
      <c r="X420" s="73"/>
      <c r="Y420" s="73"/>
      <c r="Z420" s="73"/>
      <c r="AA420" s="73"/>
      <c r="AB420" s="73"/>
    </row>
    <row r="421">
      <c r="A421" s="73"/>
      <c r="B421" s="73">
        <v>14694.397</v>
      </c>
      <c r="C421" s="73">
        <v>1071039.35462482</v>
      </c>
      <c r="D421" s="73">
        <v>10381.5859377289</v>
      </c>
      <c r="E421" s="73">
        <v>43997.0291879714</v>
      </c>
      <c r="F421" s="73"/>
      <c r="G421" s="73"/>
      <c r="H421" s="73"/>
      <c r="I421" s="73"/>
      <c r="J421" s="73"/>
      <c r="K421" s="73"/>
      <c r="L421" s="73"/>
      <c r="M421" s="73"/>
      <c r="N421" s="73"/>
      <c r="O421" s="73"/>
      <c r="P421" s="73"/>
      <c r="Q421" s="73"/>
      <c r="R421" s="73"/>
      <c r="S421" s="73"/>
      <c r="T421" s="73"/>
      <c r="U421" s="73"/>
      <c r="V421" s="73"/>
      <c r="W421" s="73"/>
      <c r="X421" s="73"/>
      <c r="Y421" s="73"/>
      <c r="Z421" s="73"/>
      <c r="AA421" s="73"/>
      <c r="AB421" s="73"/>
    </row>
    <row r="422">
      <c r="A422" s="73"/>
      <c r="B422" s="73">
        <v>14761.8</v>
      </c>
      <c r="C422" s="73">
        <v>1078014.32130608</v>
      </c>
      <c r="D422" s="73">
        <v>10456.7531242371</v>
      </c>
      <c r="E422" s="73">
        <v>44307.2050064776</v>
      </c>
      <c r="F422" s="73"/>
      <c r="G422" s="73"/>
      <c r="H422" s="73"/>
      <c r="I422" s="73"/>
      <c r="J422" s="73"/>
      <c r="K422" s="73"/>
      <c r="L422" s="73"/>
      <c r="M422" s="73"/>
      <c r="N422" s="73"/>
      <c r="O422" s="73"/>
      <c r="P422" s="73"/>
      <c r="Q422" s="73"/>
      <c r="R422" s="73"/>
      <c r="S422" s="73"/>
      <c r="T422" s="73"/>
      <c r="U422" s="73"/>
      <c r="V422" s="73"/>
      <c r="W422" s="73"/>
      <c r="X422" s="73"/>
      <c r="Y422" s="73"/>
      <c r="Z422" s="73"/>
      <c r="AA422" s="73"/>
      <c r="AB422" s="73"/>
    </row>
    <row r="423">
      <c r="A423" s="73"/>
      <c r="B423" s="73">
        <v>14829.357</v>
      </c>
      <c r="C423" s="73">
        <v>1085017.80611154</v>
      </c>
      <c r="D423" s="73">
        <v>10532.2819689026</v>
      </c>
      <c r="E423" s="73">
        <v>44618.9003481518</v>
      </c>
      <c r="F423" s="73"/>
      <c r="G423" s="73"/>
      <c r="H423" s="73"/>
      <c r="I423" s="73"/>
      <c r="J423" s="73"/>
      <c r="K423" s="73"/>
      <c r="L423" s="73"/>
      <c r="M423" s="73"/>
      <c r="N423" s="73"/>
      <c r="O423" s="73"/>
      <c r="P423" s="73"/>
      <c r="Q423" s="73"/>
      <c r="R423" s="73"/>
      <c r="S423" s="73"/>
      <c r="T423" s="73"/>
      <c r="U423" s="73"/>
      <c r="V423" s="73"/>
      <c r="W423" s="73"/>
      <c r="X423" s="73"/>
      <c r="Y423" s="73"/>
      <c r="Z423" s="73"/>
      <c r="AA423" s="73"/>
      <c r="AB423" s="73"/>
    </row>
    <row r="424">
      <c r="A424" s="73"/>
      <c r="B424" s="73">
        <v>14897.068</v>
      </c>
      <c r="C424" s="73">
        <v>1092050.00216621</v>
      </c>
      <c r="D424" s="73">
        <v>10608.1719054108</v>
      </c>
      <c r="E424" s="73">
        <v>44932.1110127442</v>
      </c>
      <c r="F424" s="73"/>
      <c r="G424" s="73"/>
      <c r="H424" s="73"/>
      <c r="I424" s="73"/>
      <c r="J424" s="73"/>
      <c r="K424" s="73"/>
      <c r="L424" s="73"/>
      <c r="M424" s="73"/>
      <c r="N424" s="73"/>
      <c r="O424" s="73"/>
      <c r="P424" s="73"/>
      <c r="Q424" s="73"/>
      <c r="R424" s="73"/>
      <c r="S424" s="73"/>
      <c r="T424" s="73"/>
      <c r="U424" s="73"/>
      <c r="V424" s="73"/>
      <c r="W424" s="73"/>
      <c r="X424" s="73"/>
      <c r="Y424" s="73"/>
      <c r="Z424" s="73"/>
      <c r="AA424" s="73"/>
      <c r="AB424" s="73"/>
    </row>
    <row r="425">
      <c r="A425" s="73"/>
      <c r="B425" s="73">
        <v>14964.933</v>
      </c>
      <c r="C425" s="73">
        <v>1099110.90947008</v>
      </c>
      <c r="D425" s="73">
        <v>10684.4234063263</v>
      </c>
      <c r="E425" s="73">
        <v>45246.8425255045</v>
      </c>
      <c r="F425" s="73"/>
      <c r="G425" s="73"/>
      <c r="H425" s="73"/>
      <c r="I425" s="73"/>
      <c r="J425" s="73"/>
      <c r="K425" s="73"/>
      <c r="L425" s="73"/>
      <c r="M425" s="73"/>
      <c r="N425" s="73"/>
      <c r="O425" s="73"/>
      <c r="P425" s="73"/>
      <c r="Q425" s="73"/>
      <c r="R425" s="73"/>
      <c r="S425" s="73"/>
      <c r="T425" s="73"/>
      <c r="U425" s="73"/>
      <c r="V425" s="73"/>
      <c r="W425" s="73"/>
      <c r="X425" s="73"/>
      <c r="Y425" s="73"/>
      <c r="Z425" s="73"/>
      <c r="AA425" s="73"/>
      <c r="AB425" s="73"/>
    </row>
    <row r="426">
      <c r="A426" s="73"/>
      <c r="B426" s="73">
        <v>15032.952</v>
      </c>
      <c r="C426" s="73">
        <v>1106200.78552315</v>
      </c>
      <c r="D426" s="73">
        <v>10761.0371865845</v>
      </c>
      <c r="E426" s="73">
        <v>45563.0988084325</v>
      </c>
      <c r="F426" s="73"/>
      <c r="G426" s="73"/>
      <c r="H426" s="73"/>
      <c r="I426" s="73"/>
      <c r="J426" s="73"/>
      <c r="K426" s="73"/>
      <c r="L426" s="73"/>
      <c r="M426" s="73"/>
      <c r="N426" s="73"/>
      <c r="O426" s="73"/>
      <c r="P426" s="73"/>
      <c r="Q426" s="73"/>
      <c r="R426" s="73"/>
      <c r="S426" s="73"/>
      <c r="T426" s="73"/>
      <c r="U426" s="73"/>
      <c r="V426" s="73"/>
      <c r="W426" s="73"/>
      <c r="X426" s="73"/>
      <c r="Y426" s="73"/>
      <c r="Z426" s="73"/>
      <c r="AA426" s="73"/>
      <c r="AB426" s="73"/>
    </row>
    <row r="427">
      <c r="A427" s="73"/>
      <c r="B427" s="73">
        <v>15101.125</v>
      </c>
      <c r="C427" s="73">
        <v>1113319.50157541</v>
      </c>
      <c r="D427" s="73">
        <v>10838.01371875</v>
      </c>
      <c r="E427" s="73">
        <v>45880.8801927781</v>
      </c>
      <c r="F427" s="73"/>
      <c r="G427" s="73"/>
      <c r="H427" s="73"/>
      <c r="I427" s="73"/>
      <c r="J427" s="73"/>
      <c r="K427" s="73"/>
      <c r="L427" s="73"/>
      <c r="M427" s="73"/>
      <c r="N427" s="73"/>
      <c r="O427" s="73"/>
      <c r="P427" s="73"/>
      <c r="Q427" s="73"/>
      <c r="R427" s="73"/>
      <c r="S427" s="73"/>
      <c r="T427" s="73"/>
      <c r="U427" s="73"/>
      <c r="V427" s="73"/>
      <c r="W427" s="73"/>
      <c r="X427" s="73"/>
      <c r="Y427" s="73"/>
      <c r="Z427" s="73"/>
      <c r="AA427" s="73"/>
      <c r="AB427" s="73"/>
    </row>
    <row r="428">
      <c r="A428" s="73"/>
      <c r="B428" s="73">
        <v>15169.452</v>
      </c>
      <c r="C428" s="73">
        <v>1120467.05762687</v>
      </c>
      <c r="D428" s="73">
        <v>10915.3537177582</v>
      </c>
      <c r="E428" s="73">
        <v>46200.1902692913</v>
      </c>
      <c r="F428" s="73"/>
      <c r="G428" s="73"/>
      <c r="H428" s="73"/>
      <c r="I428" s="73"/>
      <c r="J428" s="73"/>
      <c r="K428" s="73"/>
      <c r="L428" s="73"/>
      <c r="M428" s="73"/>
      <c r="N428" s="73"/>
      <c r="O428" s="73"/>
      <c r="P428" s="73"/>
      <c r="Q428" s="73"/>
      <c r="R428" s="73"/>
      <c r="S428" s="73"/>
      <c r="T428" s="73"/>
      <c r="U428" s="73"/>
      <c r="V428" s="73"/>
      <c r="W428" s="73"/>
      <c r="X428" s="73"/>
      <c r="Y428" s="73"/>
      <c r="Z428" s="73"/>
      <c r="AA428" s="73"/>
      <c r="AB428" s="73"/>
    </row>
    <row r="429">
      <c r="A429" s="73"/>
      <c r="B429" s="73">
        <v>15237.933</v>
      </c>
      <c r="C429" s="73">
        <v>1127643.58242753</v>
      </c>
      <c r="D429" s="73">
        <v>10993.0569374237</v>
      </c>
      <c r="E429" s="73">
        <v>46521.027103472</v>
      </c>
      <c r="F429" s="73"/>
      <c r="G429" s="73"/>
      <c r="H429" s="73"/>
      <c r="I429" s="73"/>
      <c r="J429" s="73"/>
      <c r="K429" s="73"/>
      <c r="L429" s="73"/>
      <c r="M429" s="73"/>
      <c r="N429" s="73"/>
      <c r="O429" s="73"/>
      <c r="P429" s="73"/>
      <c r="Q429" s="73"/>
      <c r="R429" s="73"/>
      <c r="S429" s="73"/>
      <c r="T429" s="73"/>
      <c r="U429" s="73"/>
      <c r="V429" s="73"/>
      <c r="W429" s="73"/>
      <c r="X429" s="73"/>
      <c r="Y429" s="73"/>
      <c r="Z429" s="73"/>
      <c r="AA429" s="73"/>
      <c r="AB429" s="73"/>
    </row>
    <row r="430">
      <c r="A430" s="73"/>
      <c r="B430" s="73">
        <v>15306.568</v>
      </c>
      <c r="C430" s="73">
        <v>1134849.20472738</v>
      </c>
      <c r="D430" s="73">
        <v>11071.1236864319</v>
      </c>
      <c r="E430" s="73">
        <v>46843.3991488199</v>
      </c>
      <c r="F430" s="73"/>
      <c r="G430" s="73"/>
      <c r="H430" s="73"/>
      <c r="I430" s="73"/>
      <c r="J430" s="73"/>
      <c r="K430" s="73"/>
      <c r="L430" s="73"/>
      <c r="M430" s="73"/>
      <c r="N430" s="73"/>
      <c r="O430" s="73"/>
      <c r="P430" s="73"/>
      <c r="Q430" s="73"/>
      <c r="R430" s="73"/>
      <c r="S430" s="73"/>
      <c r="T430" s="73"/>
      <c r="U430" s="73"/>
      <c r="V430" s="73"/>
      <c r="W430" s="73"/>
      <c r="X430" s="73"/>
      <c r="Y430" s="73"/>
      <c r="Z430" s="73"/>
      <c r="AA430" s="73"/>
      <c r="AB430" s="73"/>
    </row>
    <row r="431">
      <c r="A431" s="73"/>
      <c r="B431" s="73">
        <v>15375.357</v>
      </c>
      <c r="C431" s="73">
        <v>1142083.79577643</v>
      </c>
      <c r="D431" s="73">
        <v>11149.5552498474</v>
      </c>
      <c r="E431" s="73">
        <v>47167.3044708349</v>
      </c>
      <c r="F431" s="73"/>
      <c r="G431" s="73"/>
      <c r="H431" s="73"/>
      <c r="I431" s="73"/>
      <c r="J431" s="73"/>
      <c r="K431" s="73"/>
      <c r="L431" s="73"/>
      <c r="M431" s="73"/>
      <c r="N431" s="73"/>
      <c r="O431" s="73"/>
      <c r="P431" s="73"/>
      <c r="Q431" s="73"/>
      <c r="R431" s="73"/>
      <c r="S431" s="73"/>
      <c r="T431" s="73"/>
      <c r="U431" s="73"/>
      <c r="V431" s="73"/>
      <c r="W431" s="73"/>
      <c r="X431" s="73"/>
      <c r="Y431" s="73"/>
      <c r="Z431" s="73"/>
      <c r="AA431" s="73"/>
      <c r="AB431" s="73"/>
    </row>
    <row r="432">
      <c r="A432" s="73"/>
      <c r="B432" s="73">
        <v>15444.3</v>
      </c>
      <c r="C432" s="73">
        <v>1149347.61307466</v>
      </c>
      <c r="D432" s="73">
        <v>11228.3522488556</v>
      </c>
      <c r="E432" s="73">
        <v>47492.7466602671</v>
      </c>
      <c r="F432" s="73"/>
      <c r="G432" s="73"/>
      <c r="H432" s="73"/>
      <c r="I432" s="73"/>
      <c r="J432" s="73"/>
      <c r="K432" s="73"/>
      <c r="L432" s="73"/>
      <c r="M432" s="73"/>
      <c r="N432" s="73"/>
      <c r="O432" s="73"/>
      <c r="P432" s="73"/>
      <c r="Q432" s="73"/>
      <c r="R432" s="73"/>
      <c r="S432" s="73"/>
      <c r="T432" s="73"/>
      <c r="U432" s="73"/>
      <c r="V432" s="73"/>
      <c r="W432" s="73"/>
      <c r="X432" s="73"/>
      <c r="Y432" s="73"/>
      <c r="Z432" s="73"/>
      <c r="AA432" s="73"/>
      <c r="AB432" s="73"/>
    </row>
    <row r="433">
      <c r="A433" s="73"/>
      <c r="B433" s="73">
        <v>15513.397</v>
      </c>
      <c r="C433" s="73">
        <v>1156640.52787209</v>
      </c>
      <c r="D433" s="73">
        <v>11307.5139685211</v>
      </c>
      <c r="E433" s="73">
        <v>47819.7237826163</v>
      </c>
      <c r="F433" s="73"/>
      <c r="G433" s="73"/>
      <c r="H433" s="73"/>
      <c r="I433" s="73"/>
      <c r="J433" s="73"/>
      <c r="K433" s="73"/>
      <c r="L433" s="73"/>
      <c r="M433" s="73"/>
      <c r="N433" s="73"/>
      <c r="O433" s="73"/>
      <c r="P433" s="73"/>
      <c r="Q433" s="73"/>
      <c r="R433" s="73"/>
      <c r="S433" s="73"/>
      <c r="T433" s="73"/>
      <c r="U433" s="73"/>
      <c r="V433" s="73"/>
      <c r="W433" s="73"/>
      <c r="X433" s="73"/>
      <c r="Y433" s="73"/>
      <c r="Z433" s="73"/>
      <c r="AA433" s="73"/>
      <c r="AB433" s="73"/>
    </row>
    <row r="434">
      <c r="A434" s="73"/>
      <c r="B434" s="73">
        <v>15582.648</v>
      </c>
      <c r="C434" s="73">
        <v>1163962.5401687</v>
      </c>
      <c r="D434" s="73">
        <v>11387.0410300293</v>
      </c>
      <c r="E434" s="73">
        <v>48148.249154132</v>
      </c>
      <c r="F434" s="73"/>
      <c r="G434" s="73"/>
      <c r="H434" s="73"/>
      <c r="I434" s="73"/>
      <c r="J434" s="73"/>
      <c r="K434" s="73"/>
      <c r="L434" s="73"/>
      <c r="M434" s="73"/>
      <c r="N434" s="73"/>
      <c r="O434" s="73"/>
      <c r="P434" s="73"/>
      <c r="Q434" s="73"/>
      <c r="R434" s="73"/>
      <c r="S434" s="73"/>
      <c r="T434" s="73"/>
      <c r="U434" s="73"/>
      <c r="V434" s="73"/>
      <c r="W434" s="73"/>
      <c r="X434" s="73"/>
      <c r="Y434" s="73"/>
      <c r="Z434" s="73"/>
      <c r="AA434" s="73"/>
      <c r="AB434" s="73"/>
    </row>
    <row r="435">
      <c r="A435" s="73"/>
      <c r="B435" s="73">
        <v>15652.053</v>
      </c>
      <c r="C435" s="73">
        <v>1171313.9074645</v>
      </c>
      <c r="D435" s="73">
        <v>11466.9348746948</v>
      </c>
      <c r="E435" s="73">
        <v>48478.3137118146</v>
      </c>
      <c r="F435" s="73"/>
      <c r="G435" s="73"/>
      <c r="H435" s="73"/>
      <c r="I435" s="73"/>
      <c r="J435" s="73"/>
      <c r="K435" s="73"/>
      <c r="L435" s="73"/>
      <c r="M435" s="73"/>
      <c r="N435" s="73"/>
      <c r="O435" s="73"/>
      <c r="P435" s="73"/>
      <c r="Q435" s="73"/>
      <c r="R435" s="73"/>
      <c r="S435" s="73"/>
      <c r="T435" s="73"/>
      <c r="U435" s="73"/>
      <c r="V435" s="73"/>
      <c r="W435" s="73"/>
      <c r="X435" s="73"/>
      <c r="Y435" s="73"/>
      <c r="Z435" s="73"/>
      <c r="AA435" s="73"/>
      <c r="AB435" s="73"/>
    </row>
    <row r="436">
      <c r="A436" s="73"/>
      <c r="B436" s="73">
        <v>15721.612</v>
      </c>
      <c r="C436" s="73">
        <v>1178694.62975949</v>
      </c>
      <c r="D436" s="73">
        <v>11547.194936203</v>
      </c>
      <c r="E436" s="73">
        <v>48809.9229809138</v>
      </c>
      <c r="F436" s="73"/>
      <c r="G436" s="73"/>
      <c r="H436" s="73"/>
      <c r="I436" s="73"/>
      <c r="J436" s="73"/>
      <c r="K436" s="73"/>
      <c r="L436" s="73"/>
      <c r="M436" s="73"/>
      <c r="N436" s="73"/>
      <c r="O436" s="73"/>
      <c r="P436" s="73"/>
      <c r="Q436" s="73"/>
      <c r="R436" s="73"/>
      <c r="S436" s="73"/>
      <c r="T436" s="73"/>
      <c r="U436" s="73"/>
      <c r="V436" s="73"/>
      <c r="W436" s="73"/>
      <c r="X436" s="73"/>
      <c r="Y436" s="73"/>
      <c r="Z436" s="73"/>
      <c r="AA436" s="73"/>
      <c r="AB436" s="73"/>
    </row>
    <row r="437">
      <c r="A437" s="73"/>
      <c r="B437" s="73">
        <v>15791.325</v>
      </c>
      <c r="C437" s="73">
        <v>1186104.57830366</v>
      </c>
      <c r="D437" s="73">
        <v>11627.8220933685</v>
      </c>
      <c r="E437" s="73">
        <v>49143.0776239296</v>
      </c>
      <c r="F437" s="73"/>
      <c r="G437" s="73"/>
      <c r="H437" s="73"/>
      <c r="I437" s="73"/>
      <c r="J437" s="73"/>
      <c r="K437" s="73"/>
      <c r="L437" s="73"/>
      <c r="M437" s="73"/>
      <c r="N437" s="73"/>
      <c r="O437" s="73"/>
      <c r="P437" s="73"/>
      <c r="Q437" s="73"/>
      <c r="R437" s="73"/>
      <c r="S437" s="73"/>
      <c r="T437" s="73"/>
      <c r="U437" s="73"/>
      <c r="V437" s="73"/>
      <c r="W437" s="73"/>
      <c r="X437" s="73"/>
      <c r="Y437" s="73"/>
      <c r="Z437" s="73"/>
      <c r="AA437" s="73"/>
      <c r="AB437" s="73"/>
    </row>
    <row r="438">
      <c r="A438" s="73"/>
      <c r="B438" s="73">
        <v>15861.192</v>
      </c>
      <c r="C438" s="73">
        <v>1193544.13934702</v>
      </c>
      <c r="D438" s="73">
        <v>11708.8168130341</v>
      </c>
      <c r="E438" s="73">
        <v>49477.7838286116</v>
      </c>
      <c r="F438" s="73"/>
      <c r="G438" s="73"/>
      <c r="H438" s="73"/>
      <c r="I438" s="73"/>
      <c r="J438" s="73"/>
      <c r="K438" s="73"/>
      <c r="L438" s="73"/>
      <c r="M438" s="73"/>
      <c r="N438" s="73"/>
      <c r="O438" s="73"/>
      <c r="P438" s="73"/>
      <c r="Q438" s="73"/>
      <c r="R438" s="73"/>
      <c r="S438" s="73"/>
      <c r="T438" s="73"/>
      <c r="U438" s="73"/>
      <c r="V438" s="73"/>
      <c r="W438" s="73"/>
      <c r="X438" s="73"/>
      <c r="Y438" s="73"/>
      <c r="Z438" s="73"/>
      <c r="AA438" s="73"/>
      <c r="AB438" s="73"/>
    </row>
    <row r="439">
      <c r="A439" s="73"/>
      <c r="B439" s="73">
        <v>15931.213</v>
      </c>
      <c r="C439" s="73">
        <v>1201012.92663956</v>
      </c>
      <c r="D439" s="73">
        <v>11790.1794057922</v>
      </c>
      <c r="E439" s="73">
        <v>49814.0471202096</v>
      </c>
      <c r="F439" s="73"/>
      <c r="G439" s="73"/>
      <c r="H439" s="73"/>
      <c r="I439" s="73"/>
      <c r="J439" s="73"/>
      <c r="K439" s="73"/>
      <c r="L439" s="73"/>
      <c r="M439" s="73"/>
      <c r="N439" s="73"/>
      <c r="O439" s="73"/>
      <c r="P439" s="73"/>
      <c r="Q439" s="73"/>
      <c r="R439" s="73"/>
      <c r="S439" s="73"/>
      <c r="T439" s="73"/>
      <c r="U439" s="73"/>
      <c r="V439" s="73"/>
      <c r="W439" s="73"/>
      <c r="X439" s="73"/>
      <c r="Y439" s="73"/>
      <c r="Z439" s="73"/>
      <c r="AA439" s="73"/>
      <c r="AB439" s="73"/>
    </row>
    <row r="440">
      <c r="A440" s="73"/>
      <c r="B440" s="73">
        <v>16001.388</v>
      </c>
      <c r="C440" s="73">
        <v>1208511.32643127</v>
      </c>
      <c r="D440" s="73">
        <v>11871.9098754578</v>
      </c>
      <c r="E440" s="73">
        <v>50151.8581044741</v>
      </c>
      <c r="F440" s="73"/>
      <c r="G440" s="73"/>
      <c r="H440" s="73"/>
      <c r="I440" s="73"/>
      <c r="J440" s="73"/>
      <c r="K440" s="73"/>
      <c r="L440" s="73"/>
      <c r="M440" s="73"/>
      <c r="N440" s="73"/>
      <c r="O440" s="73"/>
      <c r="P440" s="73"/>
      <c r="Q440" s="73"/>
      <c r="R440" s="73"/>
      <c r="S440" s="73"/>
      <c r="T440" s="73"/>
      <c r="U440" s="73"/>
      <c r="V440" s="73"/>
      <c r="W440" s="73"/>
      <c r="X440" s="73"/>
      <c r="Y440" s="73"/>
      <c r="Z440" s="73"/>
      <c r="AA440" s="73"/>
      <c r="AB440" s="73"/>
    </row>
    <row r="441">
      <c r="A441" s="73"/>
      <c r="B441" s="73">
        <v>16071.717</v>
      </c>
      <c r="C441" s="73">
        <v>1216039.33872217</v>
      </c>
      <c r="D441" s="73">
        <v>11954.0092494659</v>
      </c>
      <c r="E441" s="73">
        <v>50491.2278319044</v>
      </c>
      <c r="F441" s="73"/>
      <c r="G441" s="73"/>
      <c r="H441" s="73"/>
      <c r="I441" s="73"/>
      <c r="J441" s="73"/>
      <c r="K441" s="73"/>
      <c r="L441" s="73"/>
      <c r="M441" s="73"/>
      <c r="N441" s="73"/>
      <c r="O441" s="73"/>
      <c r="P441" s="73"/>
      <c r="Q441" s="73"/>
      <c r="R441" s="73"/>
      <c r="S441" s="73"/>
      <c r="T441" s="73"/>
      <c r="U441" s="73"/>
      <c r="V441" s="73"/>
      <c r="W441" s="73"/>
      <c r="X441" s="73"/>
      <c r="Y441" s="73"/>
      <c r="Z441" s="73"/>
      <c r="AA441" s="73"/>
      <c r="AB441" s="73"/>
    </row>
    <row r="442">
      <c r="A442" s="73"/>
      <c r="B442" s="73">
        <v>16142.2</v>
      </c>
      <c r="C442" s="73">
        <v>1223596.83476225</v>
      </c>
      <c r="D442" s="73">
        <v>12036.4774378815</v>
      </c>
      <c r="E442" s="73">
        <v>50832.1566337505</v>
      </c>
      <c r="F442" s="73"/>
      <c r="G442" s="73"/>
      <c r="H442" s="73"/>
      <c r="I442" s="73"/>
      <c r="J442" s="73"/>
      <c r="K442" s="73"/>
      <c r="L442" s="73"/>
      <c r="M442" s="73"/>
      <c r="N442" s="73"/>
      <c r="O442" s="73"/>
      <c r="P442" s="73"/>
      <c r="Q442" s="73"/>
      <c r="R442" s="73"/>
      <c r="S442" s="73"/>
      <c r="T442" s="73"/>
      <c r="U442" s="73"/>
      <c r="V442" s="73"/>
      <c r="W442" s="73"/>
      <c r="X442" s="73"/>
      <c r="Y442" s="73"/>
      <c r="Z442" s="73"/>
      <c r="AA442" s="73"/>
      <c r="AB442" s="73"/>
    </row>
    <row r="443">
      <c r="A443" s="73"/>
      <c r="B443" s="73">
        <v>16212.837</v>
      </c>
      <c r="C443" s="73">
        <v>1231184.0720515</v>
      </c>
      <c r="D443" s="73">
        <v>12119.3152493896</v>
      </c>
      <c r="E443" s="73">
        <v>51174.6458350124</v>
      </c>
      <c r="F443" s="73"/>
      <c r="G443" s="73"/>
      <c r="H443" s="73"/>
      <c r="I443" s="73"/>
      <c r="J443" s="73"/>
      <c r="K443" s="73"/>
      <c r="L443" s="73"/>
      <c r="M443" s="73"/>
      <c r="N443" s="73"/>
      <c r="O443" s="73"/>
      <c r="P443" s="73"/>
      <c r="Q443" s="73"/>
      <c r="R443" s="73"/>
      <c r="S443" s="73"/>
      <c r="T443" s="73"/>
      <c r="U443" s="73"/>
      <c r="V443" s="73"/>
      <c r="W443" s="73"/>
      <c r="X443" s="73"/>
      <c r="Y443" s="73"/>
      <c r="Z443" s="73"/>
      <c r="AA443" s="73"/>
      <c r="AB443" s="73"/>
    </row>
    <row r="444">
      <c r="A444" s="73"/>
      <c r="B444" s="73">
        <v>16283.628</v>
      </c>
      <c r="C444" s="73">
        <v>1238800.92183992</v>
      </c>
      <c r="D444" s="73">
        <v>12202.5236253052</v>
      </c>
      <c r="E444" s="73">
        <v>51518.6951044401</v>
      </c>
      <c r="F444" s="73"/>
      <c r="G444" s="73"/>
      <c r="H444" s="73"/>
      <c r="I444" s="73"/>
      <c r="J444" s="73"/>
      <c r="K444" s="73"/>
      <c r="L444" s="73"/>
      <c r="M444" s="73"/>
      <c r="N444" s="73"/>
      <c r="O444" s="73"/>
      <c r="P444" s="73"/>
      <c r="Q444" s="73"/>
      <c r="R444" s="73"/>
      <c r="S444" s="73"/>
      <c r="T444" s="73"/>
      <c r="U444" s="73"/>
      <c r="V444" s="73"/>
      <c r="W444" s="73"/>
      <c r="X444" s="73"/>
      <c r="Y444" s="73"/>
      <c r="Z444" s="73"/>
      <c r="AA444" s="73"/>
      <c r="AB444" s="73"/>
    </row>
    <row r="445">
      <c r="A445" s="73"/>
      <c r="B445" s="73">
        <v>16354.573</v>
      </c>
      <c r="C445" s="73">
        <v>1246447.64162752</v>
      </c>
      <c r="D445" s="73">
        <v>12286.1016868134</v>
      </c>
      <c r="E445" s="73">
        <v>51864.3116235331</v>
      </c>
      <c r="F445" s="73"/>
      <c r="G445" s="73"/>
      <c r="H445" s="73"/>
      <c r="I445" s="73"/>
      <c r="J445" s="73"/>
      <c r="K445" s="73"/>
      <c r="L445" s="73"/>
      <c r="M445" s="73"/>
      <c r="N445" s="73"/>
      <c r="O445" s="73"/>
      <c r="P445" s="73"/>
      <c r="Q445" s="73"/>
      <c r="R445" s="73"/>
      <c r="S445" s="73"/>
      <c r="T445" s="73"/>
      <c r="U445" s="73"/>
      <c r="V445" s="73"/>
      <c r="W445" s="73"/>
      <c r="X445" s="73"/>
      <c r="Y445" s="73"/>
      <c r="Z445" s="73"/>
      <c r="AA445" s="73"/>
      <c r="AB445" s="73"/>
    </row>
    <row r="446">
      <c r="A446" s="73"/>
      <c r="B446" s="73">
        <v>16425.672</v>
      </c>
      <c r="C446" s="73">
        <v>1254123.9739143</v>
      </c>
      <c r="D446" s="73">
        <v>12370.0509377289</v>
      </c>
      <c r="E446" s="73">
        <v>52211.4950610416</v>
      </c>
      <c r="F446" s="73"/>
      <c r="G446" s="73"/>
      <c r="H446" s="73"/>
      <c r="I446" s="73"/>
      <c r="J446" s="73"/>
      <c r="K446" s="73"/>
      <c r="L446" s="73"/>
      <c r="M446" s="73"/>
      <c r="N446" s="73"/>
      <c r="O446" s="73"/>
      <c r="P446" s="73"/>
      <c r="Q446" s="73"/>
      <c r="R446" s="73"/>
      <c r="S446" s="73"/>
      <c r="T446" s="73"/>
      <c r="U446" s="73"/>
      <c r="V446" s="73"/>
      <c r="W446" s="73"/>
      <c r="X446" s="73"/>
      <c r="Y446" s="73"/>
      <c r="Z446" s="73"/>
      <c r="AA446" s="73"/>
      <c r="AB446" s="73"/>
    </row>
    <row r="447">
      <c r="A447" s="73"/>
      <c r="B447" s="73">
        <v>16496.925</v>
      </c>
      <c r="C447" s="73">
        <v>1261830.30495024</v>
      </c>
      <c r="D447" s="73">
        <v>12454.3710617371</v>
      </c>
      <c r="E447" s="73">
        <v>52560.2464107155</v>
      </c>
      <c r="F447" s="73"/>
      <c r="G447" s="73"/>
      <c r="H447" s="73"/>
      <c r="I447" s="73"/>
      <c r="J447" s="73"/>
      <c r="K447" s="73"/>
      <c r="L447" s="73"/>
      <c r="M447" s="73"/>
      <c r="N447" s="73"/>
      <c r="O447" s="73"/>
      <c r="P447" s="73"/>
      <c r="Q447" s="73"/>
      <c r="R447" s="73"/>
      <c r="S447" s="73"/>
      <c r="T447" s="73"/>
      <c r="U447" s="73"/>
      <c r="V447" s="73"/>
      <c r="W447" s="73"/>
      <c r="X447" s="73"/>
      <c r="Y447" s="73"/>
      <c r="Z447" s="73"/>
      <c r="AA447" s="73"/>
      <c r="AB447" s="73"/>
    </row>
    <row r="448">
      <c r="A448" s="73"/>
      <c r="B448" s="73">
        <v>16568.332</v>
      </c>
      <c r="C448" s="73">
        <v>1269566.37723535</v>
      </c>
      <c r="D448" s="73">
        <v>12539.0623751526</v>
      </c>
      <c r="E448" s="73">
        <v>52910.5663350547</v>
      </c>
      <c r="F448" s="73"/>
      <c r="G448" s="73"/>
      <c r="H448" s="73"/>
      <c r="I448" s="73"/>
      <c r="J448" s="73"/>
      <c r="K448" s="73"/>
      <c r="L448" s="73"/>
      <c r="M448" s="73"/>
      <c r="N448" s="73"/>
      <c r="O448" s="73"/>
      <c r="P448" s="73"/>
      <c r="Q448" s="73"/>
      <c r="R448" s="73"/>
      <c r="S448" s="73"/>
      <c r="T448" s="73"/>
      <c r="U448" s="73"/>
      <c r="V448" s="73"/>
      <c r="W448" s="73"/>
      <c r="X448" s="73"/>
      <c r="Y448" s="73"/>
      <c r="Z448" s="73"/>
      <c r="AA448" s="73"/>
      <c r="AB448" s="73"/>
    </row>
    <row r="449">
      <c r="A449" s="73"/>
      <c r="B449" s="73">
        <v>16639.893</v>
      </c>
      <c r="C449" s="73">
        <v>1277332.57701963</v>
      </c>
      <c r="D449" s="73">
        <v>12624.1254991608</v>
      </c>
      <c r="E449" s="73">
        <v>53262.4658845586</v>
      </c>
      <c r="F449" s="73"/>
      <c r="G449" s="73"/>
      <c r="H449" s="73"/>
      <c r="I449" s="73"/>
      <c r="J449" s="73"/>
      <c r="K449" s="73"/>
      <c r="L449" s="73"/>
      <c r="M449" s="73"/>
      <c r="N449" s="73"/>
      <c r="O449" s="73"/>
      <c r="P449" s="73"/>
      <c r="Q449" s="73"/>
      <c r="R449" s="73"/>
      <c r="S449" s="73"/>
      <c r="T449" s="73"/>
      <c r="U449" s="73"/>
      <c r="V449" s="73"/>
      <c r="W449" s="73"/>
      <c r="X449" s="73"/>
      <c r="Y449" s="73"/>
      <c r="Z449" s="73"/>
      <c r="AA449" s="73"/>
      <c r="AB449" s="73"/>
    </row>
    <row r="450">
      <c r="A450" s="73"/>
      <c r="B450" s="73">
        <v>16711.608</v>
      </c>
      <c r="C450" s="73">
        <v>1285128.64680308</v>
      </c>
      <c r="D450" s="73">
        <v>12709.5615625763</v>
      </c>
      <c r="E450" s="73">
        <v>53615.9353337277</v>
      </c>
      <c r="F450" s="73"/>
      <c r="G450" s="73"/>
      <c r="H450" s="73"/>
      <c r="I450" s="73"/>
      <c r="J450" s="73"/>
      <c r="K450" s="73"/>
      <c r="L450" s="73"/>
      <c r="M450" s="73"/>
      <c r="N450" s="73"/>
      <c r="O450" s="73"/>
      <c r="P450" s="73"/>
      <c r="Q450" s="73"/>
      <c r="R450" s="73"/>
      <c r="S450" s="73"/>
      <c r="T450" s="73"/>
      <c r="U450" s="73"/>
      <c r="V450" s="73"/>
      <c r="W450" s="73"/>
      <c r="X450" s="73"/>
      <c r="Y450" s="73"/>
      <c r="Z450" s="73"/>
      <c r="AA450" s="73"/>
      <c r="AB450" s="73"/>
    </row>
    <row r="451">
      <c r="A451" s="73"/>
      <c r="B451" s="73">
        <v>16783.477</v>
      </c>
      <c r="C451" s="73">
        <v>1292954.84408569</v>
      </c>
      <c r="D451" s="73">
        <v>12795.3708740845</v>
      </c>
      <c r="E451" s="73">
        <v>53970.9857330616</v>
      </c>
      <c r="F451" s="73"/>
      <c r="G451" s="73"/>
      <c r="H451" s="73"/>
      <c r="I451" s="73"/>
      <c r="J451" s="73"/>
      <c r="K451" s="73"/>
      <c r="L451" s="73"/>
      <c r="M451" s="73"/>
      <c r="N451" s="73"/>
      <c r="O451" s="73"/>
      <c r="P451" s="73"/>
      <c r="Q451" s="73"/>
      <c r="R451" s="73"/>
      <c r="S451" s="73"/>
      <c r="T451" s="73"/>
      <c r="U451" s="73"/>
      <c r="V451" s="73"/>
      <c r="W451" s="73"/>
      <c r="X451" s="73"/>
      <c r="Y451" s="73"/>
      <c r="Z451" s="73"/>
      <c r="AA451" s="73"/>
      <c r="AB451" s="73"/>
    </row>
    <row r="452">
      <c r="A452" s="73"/>
      <c r="B452" s="73">
        <v>16855.5</v>
      </c>
      <c r="C452" s="73">
        <v>1300811.04011747</v>
      </c>
      <c r="D452" s="73">
        <v>12881.552625</v>
      </c>
      <c r="E452" s="73">
        <v>54327.61741381</v>
      </c>
      <c r="F452" s="73"/>
      <c r="G452" s="73"/>
      <c r="H452" s="73"/>
      <c r="I452" s="73"/>
      <c r="J452" s="73"/>
      <c r="K452" s="73"/>
      <c r="L452" s="73"/>
      <c r="M452" s="73"/>
      <c r="N452" s="73"/>
      <c r="O452" s="73"/>
      <c r="P452" s="73"/>
      <c r="Q452" s="73"/>
      <c r="R452" s="73"/>
      <c r="S452" s="73"/>
      <c r="T452" s="73"/>
      <c r="U452" s="73"/>
      <c r="V452" s="73"/>
      <c r="W452" s="73"/>
      <c r="X452" s="73"/>
      <c r="Y452" s="73"/>
      <c r="Z452" s="73"/>
      <c r="AA452" s="73"/>
      <c r="AB452" s="73"/>
    </row>
    <row r="453">
      <c r="A453" s="73"/>
      <c r="B453" s="73">
        <v>16927.677</v>
      </c>
      <c r="C453" s="73">
        <v>1308697.36364841</v>
      </c>
      <c r="D453" s="73">
        <v>12968.1082490082</v>
      </c>
      <c r="E453" s="73">
        <v>54685.8265069733</v>
      </c>
      <c r="F453" s="73"/>
      <c r="G453" s="73"/>
      <c r="H453" s="73"/>
      <c r="I453" s="73"/>
      <c r="J453" s="73"/>
      <c r="K453" s="73"/>
      <c r="L453" s="73"/>
      <c r="M453" s="73"/>
      <c r="N453" s="73"/>
      <c r="O453" s="73"/>
      <c r="P453" s="73"/>
      <c r="Q453" s="73"/>
      <c r="R453" s="73"/>
      <c r="S453" s="73"/>
      <c r="T453" s="73"/>
      <c r="U453" s="73"/>
      <c r="V453" s="73"/>
      <c r="W453" s="73"/>
      <c r="X453" s="73"/>
      <c r="Y453" s="73"/>
      <c r="Z453" s="73"/>
      <c r="AA453" s="73"/>
      <c r="AB453" s="73"/>
    </row>
    <row r="454">
      <c r="A454" s="73"/>
      <c r="B454" s="73">
        <v>17000.008</v>
      </c>
      <c r="C454" s="73">
        <v>1316613.94342852</v>
      </c>
      <c r="D454" s="73">
        <v>13055.0377499237</v>
      </c>
      <c r="E454" s="73">
        <v>55045.6234005509</v>
      </c>
      <c r="F454" s="73"/>
      <c r="G454" s="73"/>
      <c r="H454" s="73"/>
      <c r="I454" s="73"/>
      <c r="J454" s="73"/>
      <c r="K454" s="73"/>
      <c r="L454" s="73"/>
      <c r="M454" s="73"/>
      <c r="N454" s="73"/>
      <c r="O454" s="73"/>
      <c r="P454" s="73"/>
      <c r="Q454" s="73"/>
      <c r="R454" s="73"/>
      <c r="S454" s="73"/>
      <c r="T454" s="73"/>
      <c r="U454" s="73"/>
      <c r="V454" s="73"/>
      <c r="W454" s="73"/>
      <c r="X454" s="73"/>
      <c r="Y454" s="73"/>
      <c r="Z454" s="73"/>
      <c r="AA454" s="73"/>
      <c r="AB454" s="73"/>
    </row>
    <row r="455">
      <c r="A455" s="73"/>
      <c r="B455" s="73">
        <v>17072.493</v>
      </c>
      <c r="C455" s="73">
        <v>1324560.65070778</v>
      </c>
      <c r="D455" s="73">
        <v>13142.3417489319</v>
      </c>
      <c r="E455" s="73">
        <v>55407.003894293</v>
      </c>
      <c r="F455" s="73"/>
      <c r="G455" s="73"/>
      <c r="H455" s="73"/>
      <c r="I455" s="73"/>
      <c r="J455" s="73"/>
      <c r="K455" s="73"/>
      <c r="L455" s="73"/>
      <c r="M455" s="73"/>
      <c r="N455" s="73"/>
      <c r="O455" s="73"/>
      <c r="P455" s="73"/>
      <c r="Q455" s="73"/>
      <c r="R455" s="73"/>
      <c r="S455" s="73"/>
      <c r="T455" s="73"/>
      <c r="U455" s="73"/>
      <c r="V455" s="73"/>
      <c r="W455" s="73"/>
      <c r="X455" s="73"/>
      <c r="Y455" s="73"/>
      <c r="Z455" s="73"/>
      <c r="AA455" s="73"/>
      <c r="AB455" s="73"/>
    </row>
    <row r="456">
      <c r="A456" s="73"/>
      <c r="B456" s="73">
        <v>17145.132</v>
      </c>
      <c r="C456" s="73">
        <v>1332537.61423621</v>
      </c>
      <c r="D456" s="73">
        <v>13230.0213748474</v>
      </c>
      <c r="E456" s="73">
        <v>55769.9735134494</v>
      </c>
      <c r="F456" s="73"/>
      <c r="G456" s="73"/>
      <c r="H456" s="73"/>
      <c r="I456" s="73"/>
      <c r="J456" s="73"/>
      <c r="K456" s="73"/>
      <c r="L456" s="73"/>
      <c r="M456" s="73"/>
      <c r="N456" s="73"/>
      <c r="O456" s="73"/>
      <c r="P456" s="73"/>
      <c r="Q456" s="73"/>
      <c r="R456" s="73"/>
      <c r="S456" s="73"/>
      <c r="T456" s="73"/>
      <c r="U456" s="73"/>
      <c r="V456" s="73"/>
      <c r="W456" s="73"/>
      <c r="X456" s="73"/>
      <c r="Y456" s="73"/>
      <c r="Z456" s="73"/>
      <c r="AA456" s="73"/>
      <c r="AB456" s="73"/>
    </row>
    <row r="457">
      <c r="A457" s="73"/>
      <c r="B457" s="73">
        <v>17217.925</v>
      </c>
      <c r="C457" s="73">
        <v>1340545.09151378</v>
      </c>
      <c r="D457" s="73">
        <v>13318.0746863556</v>
      </c>
      <c r="E457" s="73">
        <v>56134.5384457696</v>
      </c>
      <c r="F457" s="73"/>
      <c r="G457" s="73"/>
      <c r="H457" s="73"/>
      <c r="I457" s="73"/>
      <c r="J457" s="73"/>
      <c r="K457" s="73"/>
      <c r="L457" s="73"/>
      <c r="M457" s="73"/>
      <c r="N457" s="73"/>
      <c r="O457" s="73"/>
      <c r="P457" s="73"/>
      <c r="Q457" s="73"/>
      <c r="R457" s="73"/>
      <c r="S457" s="73"/>
      <c r="T457" s="73"/>
      <c r="U457" s="73"/>
      <c r="V457" s="73"/>
      <c r="W457" s="73"/>
      <c r="X457" s="73"/>
      <c r="Y457" s="73"/>
      <c r="Z457" s="73"/>
      <c r="AA457" s="73"/>
      <c r="AB457" s="73"/>
    </row>
    <row r="458">
      <c r="A458" s="73"/>
      <c r="B458" s="73">
        <v>17290.872</v>
      </c>
      <c r="C458" s="73">
        <v>1348582.69629052</v>
      </c>
      <c r="D458" s="73">
        <v>13406.5042497711</v>
      </c>
      <c r="E458" s="73">
        <v>56500.6886345042</v>
      </c>
      <c r="F458" s="73"/>
      <c r="G458" s="73"/>
      <c r="H458" s="73"/>
      <c r="I458" s="73"/>
      <c r="J458" s="73"/>
      <c r="K458" s="73"/>
      <c r="L458" s="73"/>
      <c r="M458" s="73"/>
      <c r="N458" s="73"/>
      <c r="O458" s="73"/>
      <c r="P458" s="73"/>
      <c r="Q458" s="73"/>
      <c r="R458" s="73"/>
      <c r="S458" s="73"/>
      <c r="T458" s="73"/>
      <c r="U458" s="73"/>
      <c r="V458" s="73"/>
      <c r="W458" s="73"/>
      <c r="X458" s="73"/>
      <c r="Y458" s="73"/>
      <c r="Z458" s="73"/>
      <c r="AA458" s="73"/>
      <c r="AB458" s="73"/>
    </row>
    <row r="459">
      <c r="A459" s="73"/>
      <c r="B459" s="73">
        <v>17363.973</v>
      </c>
      <c r="C459" s="73">
        <v>1356650.94356641</v>
      </c>
      <c r="D459" s="73">
        <v>13495.3103737793</v>
      </c>
      <c r="E459" s="73">
        <v>56868.4351301527</v>
      </c>
      <c r="F459" s="73"/>
      <c r="G459" s="73"/>
      <c r="H459" s="73"/>
      <c r="I459" s="73"/>
      <c r="J459" s="73"/>
      <c r="K459" s="73"/>
      <c r="L459" s="73"/>
      <c r="M459" s="73"/>
      <c r="N459" s="73"/>
      <c r="O459" s="73"/>
      <c r="P459" s="73"/>
      <c r="Q459" s="73"/>
      <c r="R459" s="73"/>
      <c r="S459" s="73"/>
      <c r="T459" s="73"/>
      <c r="U459" s="73"/>
      <c r="V459" s="73"/>
      <c r="W459" s="73"/>
      <c r="X459" s="73"/>
      <c r="Y459" s="73"/>
      <c r="Z459" s="73"/>
      <c r="AA459" s="73"/>
      <c r="AB459" s="73"/>
    </row>
    <row r="460">
      <c r="A460" s="73"/>
      <c r="B460" s="73">
        <v>17437.228</v>
      </c>
      <c r="C460" s="73">
        <v>1364749.57584146</v>
      </c>
      <c r="D460" s="73">
        <v>13584.4930621948</v>
      </c>
      <c r="E460" s="73">
        <v>57237.7789264649</v>
      </c>
      <c r="F460" s="73"/>
      <c r="G460" s="73"/>
      <c r="H460" s="73"/>
      <c r="I460" s="73"/>
      <c r="J460" s="73"/>
      <c r="K460" s="73"/>
      <c r="L460" s="73"/>
      <c r="M460" s="73"/>
      <c r="N460" s="73"/>
      <c r="O460" s="73"/>
      <c r="P460" s="73"/>
      <c r="Q460" s="73"/>
      <c r="R460" s="73"/>
      <c r="S460" s="73"/>
      <c r="T460" s="73"/>
      <c r="U460" s="73"/>
      <c r="V460" s="73"/>
      <c r="W460" s="73"/>
      <c r="X460" s="73"/>
      <c r="Y460" s="73"/>
      <c r="Z460" s="73"/>
      <c r="AA460" s="73"/>
      <c r="AB460" s="73"/>
    </row>
    <row r="461">
      <c r="A461" s="73"/>
      <c r="B461" s="73">
        <v>17510.637</v>
      </c>
      <c r="C461" s="73">
        <v>1372878.72186565</v>
      </c>
      <c r="D461" s="73">
        <v>13674.051811203</v>
      </c>
      <c r="E461" s="73">
        <v>57608.720023441</v>
      </c>
      <c r="F461" s="73"/>
      <c r="G461" s="73"/>
      <c r="H461" s="73"/>
      <c r="I461" s="73"/>
      <c r="J461" s="73"/>
      <c r="K461" s="73"/>
      <c r="L461" s="73"/>
      <c r="M461" s="73"/>
      <c r="N461" s="73"/>
      <c r="O461" s="73"/>
      <c r="P461" s="73"/>
      <c r="Q461" s="73"/>
      <c r="R461" s="73"/>
      <c r="S461" s="73"/>
      <c r="T461" s="73"/>
      <c r="U461" s="73"/>
      <c r="V461" s="73"/>
      <c r="W461" s="73"/>
      <c r="X461" s="73"/>
      <c r="Y461" s="73"/>
      <c r="Z461" s="73"/>
      <c r="AA461" s="73"/>
      <c r="AB461" s="73"/>
    </row>
    <row r="462">
      <c r="A462" s="73"/>
      <c r="B462" s="73">
        <v>17584.2</v>
      </c>
      <c r="C462" s="73">
        <v>1381038.381639</v>
      </c>
      <c r="D462" s="73">
        <v>13763.9877496185</v>
      </c>
      <c r="E462" s="73">
        <v>57981.2646088304</v>
      </c>
      <c r="F462" s="73"/>
      <c r="G462" s="73"/>
      <c r="H462" s="73"/>
      <c r="I462" s="73"/>
      <c r="J462" s="73"/>
      <c r="K462" s="73"/>
      <c r="L462" s="73"/>
      <c r="M462" s="73"/>
      <c r="N462" s="73"/>
      <c r="O462" s="73"/>
      <c r="P462" s="73"/>
      <c r="Q462" s="73"/>
      <c r="R462" s="73"/>
      <c r="S462" s="73"/>
      <c r="T462" s="73"/>
      <c r="U462" s="73"/>
      <c r="V462" s="73"/>
      <c r="W462" s="73"/>
      <c r="X462" s="73"/>
      <c r="Y462" s="73"/>
      <c r="Z462" s="73"/>
      <c r="AA462" s="73"/>
      <c r="AB462" s="73"/>
    </row>
    <row r="463">
      <c r="A463" s="73"/>
      <c r="B463" s="73">
        <v>17657.917</v>
      </c>
      <c r="C463" s="73">
        <v>1389228.8126615</v>
      </c>
      <c r="D463" s="73">
        <v>13854.3011880341</v>
      </c>
      <c r="E463" s="73">
        <v>58355.4084823836</v>
      </c>
      <c r="F463" s="73"/>
      <c r="G463" s="73"/>
      <c r="H463" s="73"/>
      <c r="I463" s="73"/>
      <c r="J463" s="73"/>
      <c r="K463" s="73"/>
      <c r="L463" s="73"/>
      <c r="M463" s="73"/>
      <c r="N463" s="73"/>
      <c r="O463" s="73"/>
      <c r="P463" s="73"/>
      <c r="Q463" s="73"/>
      <c r="R463" s="73"/>
      <c r="S463" s="73"/>
      <c r="T463" s="73"/>
      <c r="U463" s="73"/>
      <c r="V463" s="73"/>
      <c r="W463" s="73"/>
      <c r="X463" s="73"/>
      <c r="Y463" s="73"/>
      <c r="Z463" s="73"/>
      <c r="AA463" s="73"/>
      <c r="AB463" s="73"/>
    </row>
    <row r="464">
      <c r="A464" s="73"/>
      <c r="B464" s="73">
        <v>17731.788</v>
      </c>
      <c r="C464" s="73">
        <v>1397449.62868315</v>
      </c>
      <c r="D464" s="73">
        <v>13944.9921245422</v>
      </c>
      <c r="E464" s="73">
        <v>58731.1561756001</v>
      </c>
      <c r="F464" s="73"/>
      <c r="G464" s="73"/>
      <c r="H464" s="73"/>
      <c r="I464" s="73"/>
      <c r="J464" s="73"/>
      <c r="K464" s="73"/>
      <c r="L464" s="73"/>
      <c r="M464" s="73"/>
      <c r="N464" s="73"/>
      <c r="O464" s="73"/>
      <c r="P464" s="73"/>
      <c r="Q464" s="73"/>
      <c r="R464" s="73"/>
      <c r="S464" s="73"/>
      <c r="T464" s="73"/>
      <c r="U464" s="73"/>
      <c r="V464" s="73"/>
      <c r="W464" s="73"/>
      <c r="X464" s="73"/>
      <c r="Y464" s="73"/>
      <c r="Z464" s="73"/>
      <c r="AA464" s="73"/>
      <c r="AB464" s="73"/>
    </row>
    <row r="465">
      <c r="A465" s="73"/>
      <c r="B465" s="73">
        <v>17805.813</v>
      </c>
      <c r="C465" s="73">
        <v>1405701.47345394</v>
      </c>
      <c r="D465" s="73">
        <v>14036.0626254578</v>
      </c>
      <c r="E465" s="73">
        <v>59108.5145387297</v>
      </c>
      <c r="F465" s="73"/>
      <c r="G465" s="73"/>
      <c r="H465" s="73"/>
      <c r="I465" s="73"/>
      <c r="J465" s="73"/>
      <c r="K465" s="73"/>
      <c r="L465" s="73"/>
      <c r="M465" s="73"/>
      <c r="N465" s="73"/>
      <c r="O465" s="73"/>
      <c r="P465" s="73"/>
      <c r="Q465" s="73"/>
      <c r="R465" s="73"/>
      <c r="S465" s="73"/>
      <c r="T465" s="73"/>
      <c r="U465" s="73"/>
      <c r="V465" s="73"/>
      <c r="W465" s="73"/>
      <c r="X465" s="73"/>
      <c r="Y465" s="73"/>
      <c r="Z465" s="73"/>
      <c r="AA465" s="73"/>
      <c r="AB465" s="73"/>
    </row>
    <row r="466">
      <c r="A466" s="73"/>
      <c r="B466" s="73">
        <v>17879.992</v>
      </c>
      <c r="C466" s="73">
        <v>1413983.96072388</v>
      </c>
      <c r="D466" s="73">
        <v>14127.5112494659</v>
      </c>
      <c r="E466" s="73">
        <v>59487.4790402726</v>
      </c>
      <c r="F466" s="73"/>
      <c r="G466" s="73"/>
      <c r="H466" s="73"/>
      <c r="I466" s="73"/>
      <c r="J466" s="73"/>
      <c r="K466" s="73"/>
      <c r="L466" s="73"/>
      <c r="M466" s="73"/>
      <c r="N466" s="73"/>
      <c r="O466" s="73"/>
      <c r="P466" s="73"/>
      <c r="Q466" s="73"/>
      <c r="R466" s="73"/>
      <c r="S466" s="73"/>
      <c r="T466" s="73"/>
      <c r="U466" s="73"/>
      <c r="V466" s="73"/>
      <c r="W466" s="73"/>
      <c r="X466" s="73"/>
      <c r="Y466" s="73"/>
      <c r="Z466" s="73"/>
      <c r="AA466" s="73"/>
      <c r="AB466" s="73"/>
    </row>
    <row r="467">
      <c r="A467" s="73"/>
      <c r="B467" s="73">
        <v>17954.325</v>
      </c>
      <c r="C467" s="73">
        <v>1422297.09049296</v>
      </c>
      <c r="D467" s="73">
        <v>14219.3394378815</v>
      </c>
      <c r="E467" s="73">
        <v>59868.0555367285</v>
      </c>
      <c r="F467" s="73"/>
      <c r="G467" s="73"/>
      <c r="H467" s="73"/>
      <c r="I467" s="73"/>
      <c r="J467" s="73"/>
      <c r="K467" s="73"/>
      <c r="L467" s="73"/>
      <c r="M467" s="73"/>
      <c r="N467" s="73"/>
      <c r="O467" s="73"/>
      <c r="P467" s="73"/>
      <c r="Q467" s="73"/>
      <c r="R467" s="73"/>
      <c r="S467" s="73"/>
      <c r="T467" s="73"/>
      <c r="U467" s="73"/>
      <c r="V467" s="73"/>
      <c r="W467" s="73"/>
      <c r="X467" s="73"/>
      <c r="Y467" s="73"/>
      <c r="Z467" s="73"/>
      <c r="AA467" s="73"/>
      <c r="AB467" s="73"/>
    </row>
    <row r="468">
      <c r="A468" s="73"/>
      <c r="B468" s="73">
        <v>18028.812</v>
      </c>
      <c r="C468" s="73">
        <v>1430641.24901119</v>
      </c>
      <c r="D468" s="73">
        <v>14311.5474993896</v>
      </c>
      <c r="E468" s="73">
        <v>60250.2485595971</v>
      </c>
      <c r="F468" s="73"/>
      <c r="G468" s="73"/>
      <c r="H468" s="73"/>
      <c r="I468" s="73"/>
      <c r="J468" s="73"/>
      <c r="K468" s="73"/>
      <c r="L468" s="73"/>
      <c r="M468" s="73"/>
      <c r="N468" s="73"/>
      <c r="O468" s="73"/>
      <c r="P468" s="73"/>
      <c r="Q468" s="73"/>
      <c r="R468" s="73"/>
      <c r="S468" s="73"/>
      <c r="T468" s="73"/>
      <c r="U468" s="73"/>
      <c r="V468" s="73"/>
      <c r="W468" s="73"/>
      <c r="X468" s="73"/>
      <c r="Y468" s="73"/>
      <c r="Z468" s="73"/>
      <c r="AA468" s="73"/>
      <c r="AB468" s="73"/>
    </row>
    <row r="469">
      <c r="A469" s="73"/>
      <c r="B469" s="73">
        <v>18103.453</v>
      </c>
      <c r="C469" s="73">
        <v>1439016.30752856</v>
      </c>
      <c r="D469" s="73">
        <v>14404.1349378052</v>
      </c>
      <c r="E469" s="73">
        <v>60634.0497083789</v>
      </c>
      <c r="F469" s="73"/>
      <c r="G469" s="73"/>
      <c r="H469" s="73"/>
      <c r="I469" s="73"/>
      <c r="J469" s="73"/>
      <c r="K469" s="73"/>
      <c r="L469" s="73"/>
      <c r="M469" s="73"/>
      <c r="N469" s="73"/>
      <c r="O469" s="73"/>
      <c r="P469" s="73"/>
      <c r="Q469" s="73"/>
      <c r="R469" s="73"/>
      <c r="S469" s="73"/>
      <c r="T469" s="73"/>
      <c r="U469" s="73"/>
      <c r="V469" s="73"/>
      <c r="W469" s="73"/>
      <c r="X469" s="73"/>
      <c r="Y469" s="73"/>
      <c r="Z469" s="73"/>
      <c r="AA469" s="73"/>
      <c r="AB469" s="73"/>
    </row>
    <row r="470">
      <c r="A470" s="73"/>
      <c r="B470" s="73">
        <v>18178.248</v>
      </c>
      <c r="C470" s="73">
        <v>1447422.26604506</v>
      </c>
      <c r="D470" s="73">
        <v>14497.1022493134</v>
      </c>
      <c r="E470" s="73">
        <v>61019.4745650731</v>
      </c>
      <c r="F470" s="73"/>
      <c r="G470" s="73"/>
      <c r="H470" s="73"/>
      <c r="I470" s="73"/>
      <c r="J470" s="73"/>
      <c r="K470" s="73"/>
      <c r="L470" s="73"/>
      <c r="M470" s="73"/>
      <c r="N470" s="73"/>
      <c r="O470" s="73"/>
      <c r="P470" s="73"/>
      <c r="Q470" s="73"/>
      <c r="R470" s="73"/>
      <c r="S470" s="73"/>
      <c r="T470" s="73"/>
      <c r="U470" s="73"/>
      <c r="V470" s="73"/>
      <c r="W470" s="73"/>
      <c r="X470" s="73"/>
      <c r="Y470" s="73"/>
      <c r="Z470" s="73"/>
      <c r="AA470" s="73"/>
      <c r="AB470" s="73"/>
    </row>
    <row r="471">
      <c r="A471" s="73"/>
      <c r="B471" s="73">
        <v>18253.197</v>
      </c>
      <c r="C471" s="73">
        <v>1455859.38206071</v>
      </c>
      <c r="D471" s="73">
        <v>14590.4506877289</v>
      </c>
      <c r="E471" s="73">
        <v>61406.5134041801</v>
      </c>
      <c r="F471" s="73"/>
      <c r="G471" s="73"/>
      <c r="H471" s="73"/>
      <c r="I471" s="73"/>
      <c r="J471" s="73"/>
      <c r="K471" s="73"/>
      <c r="L471" s="73"/>
      <c r="M471" s="73"/>
      <c r="N471" s="73"/>
      <c r="O471" s="73"/>
      <c r="P471" s="73"/>
      <c r="Q471" s="73"/>
      <c r="R471" s="73"/>
      <c r="S471" s="73"/>
      <c r="T471" s="73"/>
      <c r="U471" s="73"/>
      <c r="V471" s="73"/>
      <c r="W471" s="73"/>
      <c r="X471" s="73"/>
      <c r="Y471" s="73"/>
      <c r="Z471" s="73"/>
      <c r="AA471" s="73"/>
      <c r="AB471" s="73"/>
    </row>
    <row r="472">
      <c r="A472" s="73"/>
      <c r="B472" s="73">
        <v>18328.3</v>
      </c>
      <c r="C472" s="73">
        <v>1464327.26932549</v>
      </c>
      <c r="D472" s="73">
        <v>14684.1807492371</v>
      </c>
      <c r="E472" s="73">
        <v>61795.1772761994</v>
      </c>
      <c r="F472" s="73"/>
      <c r="G472" s="73"/>
      <c r="H472" s="73"/>
      <c r="I472" s="73"/>
      <c r="J472" s="73"/>
      <c r="K472" s="73"/>
      <c r="L472" s="73"/>
      <c r="M472" s="73"/>
      <c r="N472" s="73"/>
      <c r="O472" s="73"/>
      <c r="P472" s="73"/>
      <c r="Q472" s="73"/>
      <c r="R472" s="73"/>
      <c r="S472" s="73"/>
      <c r="T472" s="73"/>
      <c r="U472" s="73"/>
      <c r="V472" s="73"/>
      <c r="W472" s="73"/>
      <c r="X472" s="73"/>
      <c r="Y472" s="73"/>
      <c r="Z472" s="73"/>
      <c r="AA472" s="73"/>
      <c r="AB472" s="73"/>
    </row>
    <row r="473">
      <c r="A473" s="73"/>
      <c r="B473" s="73">
        <v>18403.557</v>
      </c>
      <c r="C473" s="73">
        <v>1472826.44283941</v>
      </c>
      <c r="D473" s="73">
        <v>14778.2911251526</v>
      </c>
      <c r="E473" s="73">
        <v>62185.4616496313</v>
      </c>
      <c r="F473" s="73"/>
      <c r="G473" s="73"/>
      <c r="H473" s="73"/>
      <c r="I473" s="73"/>
      <c r="J473" s="73"/>
      <c r="K473" s="73"/>
      <c r="L473" s="73"/>
      <c r="M473" s="73"/>
      <c r="N473" s="73"/>
      <c r="O473" s="73"/>
      <c r="P473" s="73"/>
      <c r="Q473" s="73"/>
      <c r="R473" s="73"/>
      <c r="S473" s="73"/>
      <c r="T473" s="73"/>
      <c r="U473" s="73"/>
      <c r="V473" s="73"/>
      <c r="W473" s="73"/>
      <c r="X473" s="73"/>
      <c r="Y473" s="73"/>
      <c r="Z473" s="73"/>
      <c r="AA473" s="73"/>
      <c r="AB473" s="73"/>
    </row>
    <row r="474">
      <c r="A474" s="73"/>
      <c r="B474" s="73">
        <v>18478.968</v>
      </c>
      <c r="C474" s="73">
        <v>1481356.64510247</v>
      </c>
      <c r="D474" s="73">
        <v>14872.7837491608</v>
      </c>
      <c r="E474" s="73">
        <v>62577.3665244756</v>
      </c>
      <c r="F474" s="73"/>
      <c r="G474" s="73"/>
      <c r="H474" s="73"/>
      <c r="I474" s="73"/>
      <c r="J474" s="73"/>
      <c r="K474" s="73"/>
      <c r="L474" s="73"/>
      <c r="M474" s="73"/>
      <c r="N474" s="73"/>
      <c r="O474" s="73"/>
      <c r="P474" s="73"/>
      <c r="Q474" s="73"/>
      <c r="R474" s="73"/>
      <c r="S474" s="73"/>
      <c r="T474" s="73"/>
      <c r="U474" s="73"/>
      <c r="V474" s="73"/>
      <c r="W474" s="73"/>
      <c r="X474" s="73"/>
      <c r="Y474" s="73"/>
      <c r="Z474" s="73"/>
      <c r="AA474" s="73"/>
      <c r="AB474" s="73"/>
    </row>
    <row r="475">
      <c r="A475" s="73"/>
      <c r="B475" s="73">
        <v>18554.533</v>
      </c>
      <c r="C475" s="73">
        <v>1489918.00486466</v>
      </c>
      <c r="D475" s="73">
        <v>14967.6592500763</v>
      </c>
      <c r="E475" s="73">
        <v>62970.9036137319</v>
      </c>
      <c r="F475" s="73"/>
      <c r="G475" s="73"/>
      <c r="H475" s="73"/>
      <c r="I475" s="73"/>
      <c r="J475" s="73"/>
      <c r="K475" s="73"/>
      <c r="L475" s="73"/>
      <c r="M475" s="73"/>
      <c r="N475" s="73"/>
      <c r="O475" s="73"/>
      <c r="P475" s="73"/>
      <c r="Q475" s="73"/>
      <c r="R475" s="73"/>
      <c r="S475" s="73"/>
      <c r="T475" s="73"/>
      <c r="U475" s="73"/>
      <c r="V475" s="73"/>
      <c r="W475" s="73"/>
      <c r="X475" s="73"/>
      <c r="Y475" s="73"/>
      <c r="Z475" s="73"/>
      <c r="AA475" s="73"/>
      <c r="AB475" s="73"/>
    </row>
    <row r="476">
      <c r="A476" s="73"/>
      <c r="B476" s="73">
        <v>18630.252</v>
      </c>
      <c r="C476" s="73">
        <v>1498510.65087599</v>
      </c>
      <c r="D476" s="73">
        <v>15062.9164990845</v>
      </c>
      <c r="E476" s="73">
        <v>63366.0735799</v>
      </c>
      <c r="F476" s="73"/>
      <c r="G476" s="73"/>
      <c r="H476" s="73"/>
      <c r="I476" s="73"/>
      <c r="J476" s="73"/>
      <c r="K476" s="73"/>
      <c r="L476" s="73"/>
      <c r="M476" s="73"/>
      <c r="N476" s="73"/>
      <c r="O476" s="73"/>
      <c r="P476" s="73"/>
      <c r="Q476" s="73"/>
      <c r="R476" s="73"/>
      <c r="S476" s="73"/>
      <c r="T476" s="73"/>
      <c r="U476" s="73"/>
      <c r="V476" s="73"/>
      <c r="W476" s="73"/>
      <c r="X476" s="73"/>
      <c r="Y476" s="73"/>
      <c r="Z476" s="73"/>
      <c r="AA476" s="73"/>
      <c r="AB476" s="73"/>
    </row>
    <row r="477">
      <c r="A477" s="73"/>
      <c r="B477" s="73">
        <v>18706.125</v>
      </c>
      <c r="C477" s="73">
        <v>1507134.58313644</v>
      </c>
      <c r="D477" s="73">
        <v>15158.55725</v>
      </c>
      <c r="E477" s="73">
        <v>63762.8705664803</v>
      </c>
      <c r="F477" s="73"/>
      <c r="G477" s="73"/>
      <c r="H477" s="73"/>
      <c r="I477" s="73"/>
      <c r="J477" s="73"/>
      <c r="K477" s="73"/>
      <c r="L477" s="73"/>
      <c r="M477" s="73"/>
      <c r="N477" s="73"/>
      <c r="O477" s="73"/>
      <c r="P477" s="73"/>
      <c r="Q477" s="73"/>
      <c r="R477" s="73"/>
      <c r="S477" s="73"/>
      <c r="T477" s="73"/>
      <c r="U477" s="73"/>
      <c r="V477" s="73"/>
      <c r="W477" s="73"/>
      <c r="X477" s="73"/>
      <c r="Y477" s="73"/>
      <c r="Z477" s="73"/>
      <c r="AA477" s="73"/>
      <c r="AB477" s="73"/>
    </row>
    <row r="478">
      <c r="A478" s="73"/>
      <c r="B478" s="73">
        <v>18782.152</v>
      </c>
      <c r="C478" s="73">
        <v>1515789.93039602</v>
      </c>
      <c r="D478" s="73">
        <v>15254.5811865082</v>
      </c>
      <c r="E478" s="73">
        <v>64161.3017549723</v>
      </c>
      <c r="F478" s="73"/>
      <c r="G478" s="73"/>
      <c r="H478" s="73"/>
      <c r="I478" s="73"/>
      <c r="J478" s="73"/>
      <c r="K478" s="73"/>
      <c r="L478" s="73"/>
      <c r="M478" s="73"/>
      <c r="N478" s="73"/>
      <c r="O478" s="73"/>
      <c r="P478" s="73"/>
      <c r="Q478" s="73"/>
      <c r="R478" s="73"/>
      <c r="S478" s="73"/>
      <c r="T478" s="73"/>
      <c r="U478" s="73"/>
      <c r="V478" s="73"/>
      <c r="W478" s="73"/>
      <c r="X478" s="73"/>
      <c r="Y478" s="73"/>
      <c r="Z478" s="73"/>
      <c r="AA478" s="73"/>
      <c r="AB478" s="73"/>
    </row>
    <row r="479">
      <c r="A479" s="73"/>
      <c r="B479" s="73">
        <v>18858.333</v>
      </c>
      <c r="C479" s="73">
        <v>1524476.69265473</v>
      </c>
      <c r="D479" s="73">
        <v>15350.9889374237</v>
      </c>
      <c r="E479" s="73">
        <v>64561.3664828762</v>
      </c>
      <c r="F479" s="73"/>
      <c r="G479" s="73"/>
      <c r="H479" s="73"/>
      <c r="I479" s="73"/>
      <c r="J479" s="73"/>
      <c r="K479" s="73"/>
      <c r="L479" s="73"/>
      <c r="M479" s="73"/>
      <c r="N479" s="73"/>
      <c r="O479" s="73"/>
      <c r="P479" s="73"/>
      <c r="Q479" s="73"/>
      <c r="R479" s="73"/>
      <c r="S479" s="73"/>
      <c r="T479" s="73"/>
      <c r="U479" s="73"/>
      <c r="V479" s="73"/>
      <c r="W479" s="73"/>
      <c r="X479" s="73"/>
      <c r="Y479" s="73"/>
      <c r="Z479" s="73"/>
      <c r="AA479" s="73"/>
      <c r="AB479" s="73"/>
    </row>
    <row r="480">
      <c r="A480" s="73"/>
      <c r="B480" s="73">
        <v>18934.668</v>
      </c>
      <c r="C480" s="73">
        <v>1533194.86991256</v>
      </c>
      <c r="D480" s="73">
        <v>15447.7804989319</v>
      </c>
      <c r="E480" s="73">
        <v>64963.0667376918</v>
      </c>
      <c r="F480" s="73"/>
      <c r="G480" s="73"/>
      <c r="H480" s="73"/>
      <c r="I480" s="73"/>
      <c r="J480" s="73"/>
      <c r="K480" s="73"/>
      <c r="L480" s="73"/>
      <c r="M480" s="73"/>
      <c r="N480" s="73"/>
      <c r="O480" s="73"/>
      <c r="P480" s="73"/>
      <c r="Q480" s="73"/>
      <c r="R480" s="73"/>
      <c r="S480" s="73"/>
      <c r="T480" s="73"/>
      <c r="U480" s="73"/>
      <c r="V480" s="73"/>
      <c r="W480" s="73"/>
      <c r="X480" s="73"/>
      <c r="Y480" s="73"/>
      <c r="Z480" s="73"/>
      <c r="AA480" s="73"/>
      <c r="AB480" s="73"/>
    </row>
    <row r="481">
      <c r="A481" s="73"/>
      <c r="B481" s="73">
        <v>19011.157</v>
      </c>
      <c r="C481" s="73">
        <v>1541944.46216953</v>
      </c>
      <c r="D481" s="73">
        <v>15544.9576248474</v>
      </c>
      <c r="E481" s="73">
        <v>65366.4122449186</v>
      </c>
      <c r="F481" s="73"/>
      <c r="G481" s="73"/>
      <c r="H481" s="73"/>
      <c r="I481" s="73"/>
      <c r="J481" s="73"/>
      <c r="K481" s="73"/>
      <c r="L481" s="73"/>
      <c r="M481" s="73"/>
      <c r="N481" s="73"/>
      <c r="O481" s="73"/>
      <c r="P481" s="73"/>
      <c r="Q481" s="73"/>
      <c r="R481" s="73"/>
      <c r="S481" s="73"/>
      <c r="T481" s="73"/>
      <c r="U481" s="73"/>
      <c r="V481" s="73"/>
      <c r="W481" s="73"/>
      <c r="X481" s="73"/>
      <c r="Y481" s="73"/>
      <c r="Z481" s="73"/>
      <c r="AA481" s="73"/>
      <c r="AB481" s="73"/>
    </row>
    <row r="482">
      <c r="A482" s="73"/>
      <c r="B482" s="73">
        <v>19087.8</v>
      </c>
      <c r="C482" s="73">
        <v>1550725.34067562</v>
      </c>
      <c r="D482" s="73">
        <v>15642.5188738556</v>
      </c>
      <c r="E482" s="73">
        <v>65771.393941557</v>
      </c>
      <c r="F482" s="73"/>
      <c r="G482" s="73"/>
      <c r="H482" s="73"/>
      <c r="I482" s="73"/>
      <c r="J482" s="73"/>
      <c r="K482" s="73"/>
      <c r="L482" s="73"/>
      <c r="M482" s="73"/>
      <c r="N482" s="73"/>
      <c r="O482" s="73"/>
      <c r="P482" s="73"/>
      <c r="Q482" s="73"/>
      <c r="R482" s="73"/>
      <c r="S482" s="73"/>
      <c r="T482" s="73"/>
      <c r="U482" s="73"/>
      <c r="V482" s="73"/>
      <c r="W482" s="73"/>
      <c r="X482" s="73"/>
      <c r="Y482" s="73"/>
      <c r="Z482" s="73"/>
      <c r="AA482" s="73"/>
      <c r="AB482" s="73"/>
    </row>
    <row r="483">
      <c r="A483" s="73"/>
      <c r="B483" s="73">
        <v>19164.597</v>
      </c>
      <c r="C483" s="73">
        <v>1559538.02043083</v>
      </c>
      <c r="D483" s="73">
        <v>15740.4648747711</v>
      </c>
      <c r="E483" s="73">
        <v>66178.0222156066</v>
      </c>
      <c r="F483" s="73"/>
      <c r="G483" s="73"/>
      <c r="H483" s="73"/>
      <c r="I483" s="73"/>
      <c r="J483" s="73"/>
      <c r="K483" s="73"/>
      <c r="L483" s="73"/>
      <c r="M483" s="73"/>
      <c r="N483" s="73"/>
      <c r="O483" s="73"/>
      <c r="P483" s="73"/>
      <c r="Q483" s="73"/>
      <c r="R483" s="73"/>
      <c r="S483" s="73"/>
      <c r="T483" s="73"/>
      <c r="U483" s="73"/>
      <c r="V483" s="73"/>
      <c r="W483" s="73"/>
      <c r="X483" s="73"/>
      <c r="Y483" s="73"/>
      <c r="Z483" s="73"/>
      <c r="AA483" s="73"/>
      <c r="AB483" s="73"/>
    </row>
    <row r="484">
      <c r="A484" s="73"/>
      <c r="B484" s="73">
        <v>19241.548</v>
      </c>
      <c r="C484" s="73">
        <v>1568382.50143516</v>
      </c>
      <c r="D484" s="73">
        <v>15838.7973737793</v>
      </c>
      <c r="E484" s="73">
        <v>66586.2925355675</v>
      </c>
      <c r="F484" s="73"/>
      <c r="G484" s="73"/>
      <c r="H484" s="73"/>
      <c r="I484" s="73"/>
      <c r="J484" s="73"/>
      <c r="K484" s="73"/>
      <c r="L484" s="73"/>
      <c r="M484" s="73"/>
      <c r="N484" s="73"/>
      <c r="O484" s="73"/>
      <c r="P484" s="73"/>
      <c r="Q484" s="73"/>
      <c r="R484" s="73"/>
      <c r="S484" s="73"/>
      <c r="T484" s="73"/>
      <c r="U484" s="73"/>
      <c r="V484" s="73"/>
      <c r="W484" s="73"/>
      <c r="X484" s="73"/>
      <c r="Y484" s="73"/>
      <c r="Z484" s="73"/>
      <c r="AA484" s="73"/>
      <c r="AB484" s="73"/>
    </row>
    <row r="485">
      <c r="A485" s="73"/>
      <c r="B485" s="73">
        <v>19318.653</v>
      </c>
      <c r="C485" s="73">
        <v>1577258.26868862</v>
      </c>
      <c r="D485" s="73">
        <v>15937.5157496948</v>
      </c>
      <c r="E485" s="73">
        <v>66996.2107579395</v>
      </c>
      <c r="F485" s="73"/>
      <c r="G485" s="73"/>
      <c r="H485" s="73"/>
      <c r="I485" s="73"/>
      <c r="J485" s="73"/>
      <c r="K485" s="73"/>
      <c r="L485" s="73"/>
      <c r="M485" s="73"/>
      <c r="N485" s="73"/>
      <c r="O485" s="73"/>
      <c r="P485" s="73"/>
      <c r="Q485" s="73"/>
      <c r="R485" s="73"/>
      <c r="S485" s="73"/>
      <c r="T485" s="73"/>
      <c r="U485" s="73"/>
      <c r="V485" s="73"/>
      <c r="W485" s="73"/>
      <c r="X485" s="73"/>
      <c r="Y485" s="73"/>
      <c r="Z485" s="73"/>
      <c r="AA485" s="73"/>
      <c r="AB485" s="73"/>
    </row>
    <row r="486">
      <c r="A486" s="73"/>
      <c r="B486" s="73">
        <v>19395.912</v>
      </c>
      <c r="C486" s="73">
        <v>1586165.96594119</v>
      </c>
      <c r="D486" s="73">
        <v>16036.619498703</v>
      </c>
      <c r="E486" s="73">
        <v>67407.7775452225</v>
      </c>
      <c r="F486" s="73"/>
      <c r="G486" s="73"/>
      <c r="H486" s="73"/>
      <c r="I486" s="73"/>
      <c r="J486" s="73"/>
      <c r="K486" s="73"/>
      <c r="L486" s="73"/>
      <c r="M486" s="73"/>
      <c r="N486" s="73"/>
      <c r="O486" s="73"/>
      <c r="P486" s="73"/>
      <c r="Q486" s="73"/>
      <c r="R486" s="73"/>
      <c r="S486" s="73"/>
      <c r="T486" s="73"/>
      <c r="U486" s="73"/>
      <c r="V486" s="73"/>
      <c r="W486" s="73"/>
      <c r="X486" s="73"/>
      <c r="Y486" s="73"/>
      <c r="Z486" s="73"/>
      <c r="AA486" s="73"/>
      <c r="AB486" s="73"/>
    </row>
    <row r="487">
      <c r="A487" s="73"/>
      <c r="B487" s="73">
        <v>19473.325</v>
      </c>
      <c r="C487" s="73">
        <v>1595105.33569288</v>
      </c>
      <c r="D487" s="73">
        <v>16136.1097496185</v>
      </c>
      <c r="E487" s="73">
        <v>67820.9980914162</v>
      </c>
      <c r="F487" s="73"/>
      <c r="G487" s="73"/>
      <c r="H487" s="73"/>
      <c r="I487" s="73"/>
      <c r="J487" s="73"/>
      <c r="K487" s="73"/>
      <c r="L487" s="73"/>
      <c r="M487" s="73"/>
      <c r="N487" s="73"/>
      <c r="O487" s="73"/>
      <c r="P487" s="73"/>
      <c r="Q487" s="73"/>
      <c r="R487" s="73"/>
      <c r="S487" s="73"/>
      <c r="T487" s="73"/>
      <c r="U487" s="73"/>
      <c r="V487" s="73"/>
      <c r="W487" s="73"/>
      <c r="X487" s="73"/>
      <c r="Y487" s="73"/>
      <c r="Z487" s="73"/>
      <c r="AA487" s="73"/>
      <c r="AB487" s="73"/>
    </row>
    <row r="488">
      <c r="A488" s="73"/>
      <c r="B488" s="73">
        <v>19550.892</v>
      </c>
      <c r="C488" s="73">
        <v>1604076.63544369</v>
      </c>
      <c r="D488" s="73">
        <v>16235.9885611267</v>
      </c>
      <c r="E488" s="73">
        <v>68235.8685275208</v>
      </c>
      <c r="F488" s="73"/>
      <c r="G488" s="73"/>
      <c r="H488" s="73"/>
      <c r="I488" s="73"/>
      <c r="J488" s="73"/>
      <c r="K488" s="73"/>
      <c r="L488" s="73"/>
      <c r="M488" s="73"/>
      <c r="N488" s="73"/>
      <c r="O488" s="73"/>
      <c r="P488" s="73"/>
      <c r="Q488" s="73"/>
      <c r="R488" s="73"/>
      <c r="S488" s="73"/>
      <c r="T488" s="73"/>
      <c r="U488" s="73"/>
      <c r="V488" s="73"/>
      <c r="W488" s="73"/>
      <c r="X488" s="73"/>
      <c r="Y488" s="73"/>
      <c r="Z488" s="73"/>
      <c r="AA488" s="73"/>
      <c r="AB488" s="73"/>
    </row>
    <row r="489">
      <c r="A489" s="73"/>
      <c r="B489" s="73">
        <v>19628.613</v>
      </c>
      <c r="C489" s="73">
        <v>1613079.73644361</v>
      </c>
      <c r="D489" s="73">
        <v>16336.2541870422</v>
      </c>
      <c r="E489" s="73">
        <v>68652.3940475361</v>
      </c>
      <c r="F489" s="73"/>
      <c r="G489" s="73"/>
      <c r="H489" s="73"/>
      <c r="I489" s="73"/>
      <c r="J489" s="73"/>
      <c r="K489" s="73"/>
      <c r="L489" s="73"/>
      <c r="M489" s="73"/>
      <c r="N489" s="73"/>
      <c r="O489" s="73"/>
      <c r="P489" s="73"/>
      <c r="Q489" s="73"/>
      <c r="R489" s="73"/>
      <c r="S489" s="73"/>
      <c r="T489" s="73"/>
      <c r="U489" s="73"/>
      <c r="V489" s="73"/>
      <c r="W489" s="73"/>
      <c r="X489" s="73"/>
      <c r="Y489" s="73"/>
      <c r="Z489" s="73"/>
      <c r="AA489" s="73"/>
      <c r="AB489" s="73"/>
    </row>
    <row r="490">
      <c r="A490" s="73"/>
      <c r="B490" s="73">
        <v>19706.488</v>
      </c>
      <c r="C490" s="73">
        <v>1622114.63869265</v>
      </c>
      <c r="D490" s="73">
        <v>16436.9075629578</v>
      </c>
      <c r="E490" s="73">
        <v>69070.575976462</v>
      </c>
      <c r="F490" s="73"/>
      <c r="G490" s="73"/>
      <c r="H490" s="73"/>
      <c r="I490" s="73"/>
      <c r="J490" s="73"/>
      <c r="K490" s="73"/>
      <c r="L490" s="73"/>
      <c r="M490" s="73"/>
      <c r="N490" s="73"/>
      <c r="O490" s="73"/>
      <c r="P490" s="73"/>
      <c r="Q490" s="73"/>
      <c r="R490" s="73"/>
      <c r="S490" s="73"/>
      <c r="T490" s="73"/>
      <c r="U490" s="73"/>
      <c r="V490" s="73"/>
      <c r="W490" s="73"/>
      <c r="X490" s="73"/>
      <c r="Y490" s="73"/>
      <c r="Z490" s="73"/>
      <c r="AA490" s="73"/>
      <c r="AB490" s="73"/>
    </row>
    <row r="491">
      <c r="A491" s="73"/>
      <c r="B491" s="73">
        <v>19784.517</v>
      </c>
      <c r="C491" s="73">
        <v>1631181.59969079</v>
      </c>
      <c r="D491" s="73">
        <v>16537.9494994659</v>
      </c>
      <c r="E491" s="73">
        <v>69490.4240397979</v>
      </c>
      <c r="F491" s="73"/>
      <c r="G491" s="73"/>
      <c r="H491" s="73"/>
      <c r="I491" s="73"/>
      <c r="J491" s="73"/>
      <c r="K491" s="73"/>
      <c r="L491" s="73"/>
      <c r="M491" s="73"/>
      <c r="N491" s="73"/>
      <c r="O491" s="73"/>
      <c r="P491" s="73"/>
      <c r="Q491" s="73"/>
      <c r="R491" s="73"/>
      <c r="S491" s="73"/>
      <c r="T491" s="73"/>
      <c r="U491" s="73"/>
      <c r="V491" s="73"/>
      <c r="W491" s="73"/>
      <c r="X491" s="73"/>
      <c r="Y491" s="73"/>
      <c r="Z491" s="73"/>
      <c r="AA491" s="73"/>
      <c r="AB491" s="73"/>
    </row>
    <row r="492">
      <c r="A492" s="73"/>
      <c r="B492" s="73">
        <v>19862.7</v>
      </c>
      <c r="C492" s="73">
        <v>1640280.61943805</v>
      </c>
      <c r="D492" s="73">
        <v>16639.3795003815</v>
      </c>
      <c r="E492" s="73">
        <v>69911.9233180447</v>
      </c>
      <c r="F492" s="73"/>
      <c r="G492" s="73"/>
      <c r="H492" s="73"/>
      <c r="I492" s="73"/>
      <c r="J492" s="73"/>
      <c r="K492" s="73"/>
      <c r="L492" s="73"/>
      <c r="M492" s="73"/>
      <c r="N492" s="73"/>
      <c r="O492" s="73"/>
      <c r="P492" s="73"/>
      <c r="Q492" s="73"/>
      <c r="R492" s="73"/>
      <c r="S492" s="73"/>
      <c r="T492" s="73"/>
      <c r="U492" s="73"/>
      <c r="V492" s="73"/>
      <c r="W492" s="73"/>
      <c r="X492" s="73"/>
      <c r="Y492" s="73"/>
      <c r="Z492" s="73"/>
      <c r="AA492" s="73"/>
      <c r="AB492" s="73"/>
    </row>
    <row r="493">
      <c r="A493" s="73"/>
      <c r="B493" s="73">
        <v>19941.037</v>
      </c>
      <c r="C493" s="73">
        <v>1649411.44043443</v>
      </c>
      <c r="D493" s="73">
        <v>16741.1986868896</v>
      </c>
      <c r="E493" s="73">
        <v>70335.0913807015</v>
      </c>
      <c r="F493" s="73"/>
      <c r="G493" s="73"/>
      <c r="H493" s="73"/>
      <c r="I493" s="73"/>
      <c r="J493" s="73"/>
      <c r="K493" s="73"/>
      <c r="L493" s="73"/>
      <c r="M493" s="73"/>
      <c r="N493" s="73"/>
      <c r="O493" s="73"/>
      <c r="P493" s="73"/>
      <c r="Q493" s="73"/>
      <c r="R493" s="73"/>
      <c r="S493" s="73"/>
      <c r="T493" s="73"/>
      <c r="U493" s="73"/>
      <c r="V493" s="73"/>
      <c r="W493" s="73"/>
      <c r="X493" s="73"/>
      <c r="Y493" s="73"/>
      <c r="Z493" s="73"/>
      <c r="AA493" s="73"/>
      <c r="AB493" s="73"/>
    </row>
    <row r="494">
      <c r="A494" s="73"/>
      <c r="B494" s="73">
        <v>20019.528</v>
      </c>
      <c r="C494" s="73">
        <v>1658574.5776799</v>
      </c>
      <c r="D494" s="73">
        <v>16843.4062503052</v>
      </c>
      <c r="E494" s="73">
        <v>70759.9223712684</v>
      </c>
      <c r="F494" s="73"/>
      <c r="G494" s="73"/>
      <c r="H494" s="73"/>
      <c r="I494" s="73"/>
      <c r="J494" s="73"/>
      <c r="K494" s="73"/>
      <c r="L494" s="73"/>
      <c r="M494" s="73"/>
      <c r="N494" s="73"/>
      <c r="O494" s="73"/>
      <c r="P494" s="73"/>
      <c r="Q494" s="73"/>
      <c r="R494" s="73"/>
      <c r="S494" s="73"/>
      <c r="T494" s="73"/>
      <c r="U494" s="73"/>
      <c r="V494" s="73"/>
      <c r="W494" s="73"/>
      <c r="X494" s="73"/>
      <c r="Y494" s="73"/>
      <c r="Z494" s="73"/>
      <c r="AA494" s="73"/>
      <c r="AB494" s="73"/>
    </row>
    <row r="495">
      <c r="A495" s="73"/>
      <c r="B495" s="73">
        <v>20098.173</v>
      </c>
      <c r="C495" s="73">
        <v>1667769.77367449</v>
      </c>
      <c r="D495" s="73">
        <v>16946.0047493134</v>
      </c>
      <c r="E495" s="73">
        <v>71186.4221462453</v>
      </c>
      <c r="F495" s="73"/>
      <c r="G495" s="73"/>
      <c r="H495" s="73"/>
      <c r="I495" s="73"/>
      <c r="J495" s="73"/>
      <c r="K495" s="73"/>
      <c r="L495" s="73"/>
      <c r="M495" s="73"/>
      <c r="N495" s="73"/>
      <c r="O495" s="73"/>
      <c r="P495" s="73"/>
      <c r="Q495" s="73"/>
      <c r="R495" s="73"/>
      <c r="S495" s="73"/>
      <c r="T495" s="73"/>
      <c r="U495" s="73"/>
      <c r="V495" s="73"/>
      <c r="W495" s="73"/>
      <c r="X495" s="73"/>
      <c r="Y495" s="73"/>
      <c r="Z495" s="73"/>
      <c r="AA495" s="73"/>
      <c r="AB495" s="73"/>
    </row>
    <row r="496">
      <c r="A496" s="73"/>
      <c r="B496" s="73">
        <v>20176.972</v>
      </c>
      <c r="C496" s="73">
        <v>1676997.15716818</v>
      </c>
      <c r="D496" s="73">
        <v>17048.9930627289</v>
      </c>
      <c r="E496" s="73">
        <v>71614.5855116324</v>
      </c>
      <c r="F496" s="73"/>
      <c r="G496" s="73"/>
      <c r="H496" s="73"/>
      <c r="I496" s="73"/>
      <c r="J496" s="73"/>
      <c r="K496" s="73"/>
      <c r="L496" s="73"/>
      <c r="M496" s="73"/>
      <c r="N496" s="73"/>
      <c r="O496" s="73"/>
      <c r="P496" s="73"/>
      <c r="Q496" s="73"/>
      <c r="R496" s="73"/>
      <c r="S496" s="73"/>
      <c r="T496" s="73"/>
      <c r="U496" s="73"/>
      <c r="V496" s="73"/>
      <c r="W496" s="73"/>
      <c r="X496" s="73"/>
      <c r="Y496" s="73"/>
      <c r="Z496" s="73"/>
      <c r="AA496" s="73"/>
      <c r="AB496" s="73"/>
    </row>
    <row r="497">
      <c r="A497" s="73"/>
      <c r="B497" s="73">
        <v>20255.925</v>
      </c>
      <c r="C497" s="73">
        <v>1686256.72816098</v>
      </c>
      <c r="D497" s="73">
        <v>17152.3714992371</v>
      </c>
      <c r="E497" s="73">
        <v>72044.4189864293</v>
      </c>
      <c r="F497" s="73"/>
      <c r="G497" s="73"/>
      <c r="H497" s="73"/>
      <c r="I497" s="73"/>
      <c r="J497" s="73"/>
      <c r="K497" s="73"/>
      <c r="L497" s="73"/>
      <c r="M497" s="73"/>
      <c r="N497" s="73"/>
      <c r="O497" s="73"/>
      <c r="P497" s="73"/>
      <c r="Q497" s="73"/>
      <c r="R497" s="73"/>
      <c r="S497" s="73"/>
      <c r="T497" s="73"/>
      <c r="U497" s="73"/>
      <c r="V497" s="73"/>
      <c r="W497" s="73"/>
      <c r="X497" s="73"/>
      <c r="Y497" s="73"/>
      <c r="Z497" s="73"/>
      <c r="AA497" s="73"/>
      <c r="AB497" s="73"/>
    </row>
    <row r="498">
      <c r="A498" s="73"/>
      <c r="B498" s="73">
        <v>20335.032</v>
      </c>
      <c r="C498" s="73">
        <v>1695548.61540288</v>
      </c>
      <c r="D498" s="73">
        <v>17256.1403751526</v>
      </c>
      <c r="E498" s="73">
        <v>72475.9284271357</v>
      </c>
      <c r="F498" s="73"/>
      <c r="G498" s="73"/>
      <c r="H498" s="73"/>
      <c r="I498" s="73"/>
      <c r="J498" s="73"/>
      <c r="K498" s="73"/>
      <c r="L498" s="73"/>
      <c r="M498" s="73"/>
      <c r="N498" s="73"/>
      <c r="O498" s="73"/>
      <c r="P498" s="73"/>
      <c r="Q498" s="73"/>
      <c r="R498" s="73"/>
      <c r="S498" s="73"/>
      <c r="T498" s="73"/>
      <c r="U498" s="73"/>
      <c r="V498" s="73"/>
      <c r="W498" s="73"/>
      <c r="X498" s="73"/>
      <c r="Y498" s="73"/>
      <c r="Z498" s="73"/>
      <c r="AA498" s="73"/>
      <c r="AB498" s="73"/>
    </row>
    <row r="499">
      <c r="A499" s="73"/>
      <c r="B499" s="73">
        <v>20414.293</v>
      </c>
      <c r="C499" s="73">
        <v>1704872.94764388</v>
      </c>
      <c r="D499" s="73">
        <v>17360.2999991608</v>
      </c>
      <c r="E499" s="73">
        <v>72909.1138337517</v>
      </c>
      <c r="F499" s="73"/>
      <c r="G499" s="73"/>
      <c r="H499" s="73"/>
      <c r="I499" s="73"/>
      <c r="J499" s="73"/>
      <c r="K499" s="73"/>
      <c r="L499" s="73"/>
      <c r="M499" s="73"/>
      <c r="N499" s="73"/>
      <c r="O499" s="73"/>
      <c r="P499" s="73"/>
      <c r="Q499" s="73"/>
      <c r="R499" s="73"/>
      <c r="S499" s="73"/>
      <c r="T499" s="73"/>
      <c r="U499" s="73"/>
      <c r="V499" s="73"/>
      <c r="W499" s="73"/>
      <c r="X499" s="73"/>
      <c r="Y499" s="73"/>
      <c r="Z499" s="73"/>
      <c r="AA499" s="73"/>
      <c r="AB499" s="73"/>
    </row>
    <row r="500">
      <c r="A500" s="73"/>
      <c r="B500" s="73">
        <v>20493.708</v>
      </c>
      <c r="C500" s="73">
        <v>1714229.33863398</v>
      </c>
      <c r="D500" s="73">
        <v>17464.8526250763</v>
      </c>
      <c r="E500" s="73">
        <v>73343.9758687772</v>
      </c>
      <c r="F500" s="73"/>
      <c r="G500" s="73"/>
      <c r="H500" s="73"/>
      <c r="I500" s="73"/>
      <c r="J500" s="73"/>
      <c r="K500" s="73"/>
      <c r="L500" s="73"/>
      <c r="M500" s="73"/>
      <c r="N500" s="73"/>
      <c r="O500" s="73"/>
      <c r="P500" s="73"/>
      <c r="Q500" s="73"/>
      <c r="R500" s="73"/>
      <c r="S500" s="73"/>
      <c r="T500" s="73"/>
      <c r="U500" s="73"/>
      <c r="V500" s="73"/>
      <c r="W500" s="73"/>
      <c r="X500" s="73"/>
      <c r="Y500" s="73"/>
      <c r="Z500" s="73"/>
      <c r="AA500" s="73"/>
      <c r="AB500" s="73"/>
    </row>
    <row r="501">
      <c r="A501" s="73"/>
      <c r="B501" s="73">
        <v>20573.277</v>
      </c>
      <c r="C501" s="73">
        <v>1723618.43212318</v>
      </c>
      <c r="D501" s="73">
        <v>17569.7951865845</v>
      </c>
      <c r="E501" s="73">
        <v>73780.5093382124</v>
      </c>
      <c r="F501" s="73"/>
      <c r="G501" s="73"/>
      <c r="H501" s="73"/>
      <c r="I501" s="73"/>
      <c r="J501" s="73"/>
      <c r="K501" s="73"/>
      <c r="L501" s="73"/>
      <c r="M501" s="73"/>
      <c r="N501" s="73"/>
      <c r="O501" s="73"/>
      <c r="P501" s="73"/>
      <c r="Q501" s="73"/>
      <c r="R501" s="73"/>
      <c r="S501" s="73"/>
      <c r="T501" s="73"/>
      <c r="U501" s="73"/>
      <c r="V501" s="73"/>
      <c r="W501" s="73"/>
      <c r="X501" s="73"/>
      <c r="Y501" s="73"/>
      <c r="Z501" s="73"/>
      <c r="AA501" s="73"/>
      <c r="AB501" s="73"/>
    </row>
    <row r="502">
      <c r="A502" s="73"/>
      <c r="B502" s="73">
        <v>20653.0</v>
      </c>
      <c r="C502" s="73">
        <v>1733039.97061148</v>
      </c>
      <c r="D502" s="73">
        <v>17675.1510625</v>
      </c>
      <c r="E502" s="73">
        <v>74218.7318115565</v>
      </c>
      <c r="F502" s="73"/>
      <c r="G502" s="73"/>
      <c r="H502" s="73"/>
      <c r="I502" s="73"/>
      <c r="J502" s="73"/>
      <c r="K502" s="73"/>
      <c r="L502" s="73"/>
      <c r="M502" s="73"/>
      <c r="N502" s="73"/>
      <c r="O502" s="73"/>
      <c r="P502" s="73"/>
      <c r="Q502" s="73"/>
      <c r="R502" s="73"/>
      <c r="S502" s="73"/>
      <c r="T502" s="73"/>
      <c r="U502" s="73"/>
      <c r="V502" s="73"/>
      <c r="W502" s="73"/>
      <c r="X502" s="73"/>
      <c r="Y502" s="73"/>
      <c r="Z502" s="73"/>
      <c r="AA502" s="73"/>
      <c r="AB502" s="73"/>
    </row>
    <row r="503">
      <c r="A503" s="73"/>
      <c r="B503" s="73">
        <v>20732.877</v>
      </c>
      <c r="C503" s="73">
        <v>1742493.95409888</v>
      </c>
      <c r="D503" s="73">
        <v>17781.0039490757</v>
      </c>
      <c r="E503" s="73">
        <v>74658.63157581</v>
      </c>
      <c r="F503" s="73"/>
      <c r="G503" s="73"/>
      <c r="H503" s="73"/>
      <c r="I503" s="73"/>
      <c r="J503" s="73"/>
      <c r="K503" s="73"/>
      <c r="L503" s="73"/>
      <c r="M503" s="73"/>
      <c r="N503" s="73"/>
      <c r="O503" s="73"/>
      <c r="P503" s="73"/>
      <c r="Q503" s="73"/>
      <c r="R503" s="73"/>
      <c r="S503" s="73"/>
      <c r="T503" s="73"/>
      <c r="U503" s="73"/>
      <c r="V503" s="73"/>
      <c r="W503" s="73"/>
      <c r="X503" s="73"/>
      <c r="Y503" s="73"/>
      <c r="Z503" s="73"/>
      <c r="AA503" s="73"/>
      <c r="AB503" s="73"/>
    </row>
    <row r="504">
      <c r="A504" s="73"/>
      <c r="B504" s="73">
        <v>20812.908</v>
      </c>
      <c r="C504" s="73">
        <v>1751980.38258538</v>
      </c>
      <c r="D504" s="73">
        <v>17887.4383953018</v>
      </c>
      <c r="E504" s="73">
        <v>75100.2106184729</v>
      </c>
      <c r="F504" s="73"/>
      <c r="G504" s="73"/>
      <c r="H504" s="73"/>
      <c r="I504" s="73"/>
      <c r="J504" s="73"/>
      <c r="K504" s="73"/>
      <c r="L504" s="73"/>
      <c r="M504" s="73"/>
      <c r="N504" s="73"/>
      <c r="O504" s="73"/>
      <c r="P504" s="73"/>
      <c r="Q504" s="73"/>
      <c r="R504" s="73"/>
      <c r="S504" s="73"/>
      <c r="T504" s="73"/>
      <c r="U504" s="73"/>
      <c r="V504" s="73"/>
      <c r="W504" s="73"/>
      <c r="X504" s="73"/>
      <c r="Y504" s="73"/>
      <c r="Z504" s="73"/>
      <c r="AA504" s="73"/>
      <c r="AB504" s="73"/>
    </row>
    <row r="505">
      <c r="A505" s="73"/>
      <c r="B505" s="73">
        <v>20893.093</v>
      </c>
      <c r="C505" s="73">
        <v>1761499.51357096</v>
      </c>
      <c r="D505" s="73">
        <v>17994.5336193542</v>
      </c>
      <c r="E505" s="73">
        <v>75543.4838590443</v>
      </c>
      <c r="F505" s="73"/>
      <c r="G505" s="73"/>
      <c r="H505" s="73"/>
      <c r="I505" s="73"/>
      <c r="J505" s="73"/>
      <c r="K505" s="73"/>
      <c r="L505" s="73"/>
      <c r="M505" s="73"/>
      <c r="N505" s="73"/>
      <c r="O505" s="73"/>
      <c r="P505" s="73"/>
      <c r="Q505" s="73"/>
      <c r="R505" s="73"/>
      <c r="S505" s="73"/>
      <c r="T505" s="73"/>
      <c r="U505" s="73"/>
      <c r="V505" s="73"/>
      <c r="W505" s="73"/>
      <c r="X505" s="73"/>
      <c r="Y505" s="73"/>
      <c r="Z505" s="73"/>
      <c r="AA505" s="73"/>
      <c r="AB505" s="73"/>
    </row>
    <row r="506">
      <c r="A506" s="73"/>
      <c r="B506" s="73">
        <v>20973.432</v>
      </c>
      <c r="C506" s="73">
        <v>1771051.21830565</v>
      </c>
      <c r="D506" s="73">
        <v>18102.3657870789</v>
      </c>
      <c r="E506" s="73">
        <v>75988.4422345247</v>
      </c>
      <c r="F506" s="73"/>
      <c r="G506" s="73"/>
      <c r="H506" s="73"/>
      <c r="I506" s="73"/>
      <c r="J506" s="73"/>
      <c r="K506" s="73"/>
      <c r="L506" s="73"/>
      <c r="M506" s="73"/>
      <c r="N506" s="73"/>
      <c r="O506" s="73"/>
      <c r="P506" s="73"/>
      <c r="Q506" s="73"/>
      <c r="R506" s="73"/>
      <c r="S506" s="73"/>
      <c r="T506" s="73"/>
      <c r="U506" s="73"/>
      <c r="V506" s="73"/>
      <c r="W506" s="73"/>
      <c r="X506" s="73"/>
      <c r="Y506" s="73"/>
      <c r="Z506" s="73"/>
      <c r="AA506" s="73"/>
      <c r="AB506" s="73"/>
    </row>
    <row r="507">
      <c r="A507" s="73"/>
      <c r="B507" s="73">
        <v>21053.925</v>
      </c>
      <c r="C507" s="73">
        <v>1780635.75428942</v>
      </c>
      <c r="D507" s="73">
        <v>18211.0053766022</v>
      </c>
      <c r="E507" s="73">
        <v>76435.0864074142</v>
      </c>
      <c r="F507" s="73"/>
      <c r="G507" s="73"/>
      <c r="H507" s="73"/>
      <c r="I507" s="73"/>
      <c r="J507" s="73"/>
      <c r="K507" s="73"/>
      <c r="L507" s="73"/>
      <c r="M507" s="73"/>
      <c r="N507" s="73"/>
      <c r="O507" s="73"/>
      <c r="P507" s="73"/>
      <c r="Q507" s="73"/>
      <c r="R507" s="73"/>
      <c r="S507" s="73"/>
      <c r="T507" s="73"/>
      <c r="U507" s="73"/>
      <c r="V507" s="73"/>
      <c r="W507" s="73"/>
      <c r="X507" s="73"/>
      <c r="Y507" s="73"/>
      <c r="Z507" s="73"/>
      <c r="AA507" s="73"/>
      <c r="AB507" s="73"/>
    </row>
    <row r="508">
      <c r="A508" s="73"/>
      <c r="B508" s="73">
        <v>21134.572</v>
      </c>
      <c r="C508" s="73">
        <v>1790252.99277228</v>
      </c>
      <c r="D508" s="73">
        <v>18320.5221622467</v>
      </c>
      <c r="E508" s="73">
        <v>76883.4261032121</v>
      </c>
      <c r="F508" s="73"/>
      <c r="G508" s="73"/>
      <c r="H508" s="73"/>
      <c r="I508" s="73"/>
      <c r="J508" s="73"/>
      <c r="K508" s="73"/>
      <c r="L508" s="73"/>
      <c r="M508" s="73"/>
      <c r="N508" s="73"/>
      <c r="O508" s="73"/>
      <c r="P508" s="73"/>
      <c r="Q508" s="73"/>
      <c r="R508" s="73"/>
      <c r="S508" s="73"/>
      <c r="T508" s="73"/>
      <c r="U508" s="73"/>
      <c r="V508" s="73"/>
      <c r="W508" s="73"/>
      <c r="X508" s="73"/>
      <c r="Y508" s="73"/>
      <c r="Z508" s="73"/>
      <c r="AA508" s="73"/>
      <c r="AB508" s="73"/>
    </row>
    <row r="509">
      <c r="A509" s="73"/>
      <c r="B509" s="73">
        <v>21215.373</v>
      </c>
      <c r="C509" s="73">
        <v>1799903.19125423</v>
      </c>
      <c r="D509" s="73">
        <v>18430.9861157227</v>
      </c>
      <c r="E509" s="73">
        <v>77333.4581154187</v>
      </c>
      <c r="F509" s="73"/>
      <c r="G509" s="73"/>
      <c r="H509" s="73"/>
      <c r="I509" s="73"/>
      <c r="J509" s="73"/>
      <c r="K509" s="73"/>
      <c r="L509" s="73"/>
      <c r="M509" s="73"/>
      <c r="N509" s="73"/>
      <c r="O509" s="73"/>
      <c r="P509" s="73"/>
      <c r="Q509" s="73"/>
      <c r="R509" s="73"/>
      <c r="S509" s="73"/>
      <c r="T509" s="73"/>
      <c r="U509" s="73"/>
      <c r="V509" s="73"/>
      <c r="W509" s="73"/>
      <c r="X509" s="73"/>
      <c r="Y509" s="73"/>
      <c r="Z509" s="73"/>
      <c r="AA509" s="73"/>
      <c r="AB509" s="73"/>
    </row>
    <row r="510">
      <c r="A510" s="73"/>
      <c r="B510" s="73">
        <v>21296.328</v>
      </c>
      <c r="C510" s="73">
        <v>1809586.09223527</v>
      </c>
      <c r="D510" s="73">
        <v>18542.4613954468</v>
      </c>
      <c r="E510" s="73">
        <v>77785.1915070334</v>
      </c>
      <c r="F510" s="73"/>
      <c r="G510" s="73"/>
      <c r="H510" s="73"/>
      <c r="I510" s="73"/>
      <c r="J510" s="73"/>
      <c r="K510" s="73"/>
      <c r="L510" s="73"/>
      <c r="M510" s="73"/>
      <c r="N510" s="73"/>
      <c r="O510" s="73"/>
      <c r="P510" s="73"/>
      <c r="Q510" s="73"/>
      <c r="R510" s="73"/>
      <c r="S510" s="73"/>
      <c r="T510" s="73"/>
      <c r="U510" s="73"/>
      <c r="V510" s="73"/>
      <c r="W510" s="73"/>
      <c r="X510" s="73"/>
      <c r="Y510" s="73"/>
      <c r="Z510" s="73"/>
      <c r="AA510" s="73"/>
      <c r="AB510" s="73"/>
    </row>
    <row r="511">
      <c r="A511" s="73"/>
      <c r="B511" s="73">
        <v>21377.437</v>
      </c>
      <c r="C511" s="73">
        <v>1819301.82446539</v>
      </c>
      <c r="D511" s="73">
        <v>18655.0151610565</v>
      </c>
      <c r="E511" s="73">
        <v>78238.613346057</v>
      </c>
      <c r="F511" s="73"/>
      <c r="G511" s="73"/>
      <c r="H511" s="73"/>
      <c r="I511" s="73"/>
      <c r="J511" s="73"/>
      <c r="K511" s="73"/>
      <c r="L511" s="73"/>
      <c r="M511" s="73"/>
      <c r="N511" s="73"/>
      <c r="O511" s="73"/>
      <c r="P511" s="73"/>
      <c r="Q511" s="73"/>
      <c r="R511" s="73"/>
      <c r="S511" s="73"/>
      <c r="T511" s="73"/>
      <c r="U511" s="73"/>
      <c r="V511" s="73"/>
      <c r="W511" s="73"/>
      <c r="X511" s="73"/>
      <c r="Y511" s="73"/>
      <c r="Z511" s="73"/>
      <c r="AA511" s="73"/>
      <c r="AB511" s="73"/>
    </row>
    <row r="512">
      <c r="A512" s="73"/>
      <c r="B512" s="73">
        <v>21458.7</v>
      </c>
      <c r="C512" s="73">
        <v>1829050.51669461</v>
      </c>
      <c r="D512" s="73">
        <v>18768.7108787689</v>
      </c>
      <c r="E512" s="73">
        <v>78693.7378894886</v>
      </c>
      <c r="F512" s="73"/>
      <c r="G512" s="73"/>
      <c r="H512" s="73"/>
      <c r="I512" s="73"/>
      <c r="J512" s="73"/>
      <c r="K512" s="73"/>
      <c r="L512" s="73"/>
      <c r="M512" s="73"/>
      <c r="N512" s="73"/>
      <c r="O512" s="73"/>
      <c r="P512" s="73"/>
      <c r="Q512" s="73"/>
      <c r="R512" s="73"/>
      <c r="S512" s="73"/>
      <c r="T512" s="73"/>
      <c r="U512" s="73"/>
      <c r="V512" s="73"/>
      <c r="W512" s="73"/>
      <c r="X512" s="73"/>
      <c r="Y512" s="73"/>
      <c r="Z512" s="73"/>
      <c r="AA512" s="73"/>
      <c r="AB512" s="73"/>
    </row>
    <row r="513">
      <c r="A513" s="73"/>
      <c r="B513" s="73">
        <v>21540.117</v>
      </c>
      <c r="C513" s="73">
        <v>1838832.1689229</v>
      </c>
      <c r="D513" s="73">
        <v>18883.6116714783</v>
      </c>
      <c r="E513" s="73">
        <v>79150.5612683286</v>
      </c>
      <c r="F513" s="73"/>
      <c r="G513" s="73"/>
      <c r="H513" s="73"/>
      <c r="I513" s="73"/>
      <c r="J513" s="73"/>
      <c r="K513" s="73"/>
      <c r="L513" s="73"/>
      <c r="M513" s="73"/>
      <c r="N513" s="73"/>
      <c r="O513" s="73"/>
      <c r="P513" s="73"/>
      <c r="Q513" s="73"/>
      <c r="R513" s="73"/>
      <c r="S513" s="73"/>
      <c r="T513" s="73"/>
      <c r="U513" s="73"/>
      <c r="V513" s="73"/>
      <c r="W513" s="73"/>
      <c r="X513" s="73"/>
      <c r="Y513" s="73"/>
      <c r="Z513" s="73"/>
      <c r="AA513" s="73"/>
      <c r="AB513" s="73"/>
    </row>
    <row r="514">
      <c r="A514" s="73"/>
      <c r="B514" s="73">
        <v>21621.688</v>
      </c>
      <c r="C514" s="73">
        <v>1848646.90990028</v>
      </c>
      <c r="D514" s="73">
        <v>18999.7806963196</v>
      </c>
      <c r="E514" s="73">
        <v>79609.0945330762</v>
      </c>
      <c r="F514" s="73"/>
      <c r="G514" s="73"/>
      <c r="H514" s="73"/>
      <c r="I514" s="73"/>
      <c r="J514" s="73"/>
      <c r="K514" s="73"/>
      <c r="L514" s="73"/>
      <c r="M514" s="73"/>
      <c r="N514" s="73"/>
      <c r="O514" s="73"/>
      <c r="P514" s="73"/>
      <c r="Q514" s="73"/>
      <c r="R514" s="73"/>
      <c r="S514" s="73"/>
      <c r="T514" s="73"/>
      <c r="U514" s="73"/>
      <c r="V514" s="73"/>
      <c r="W514" s="73"/>
      <c r="X514" s="73"/>
      <c r="Y514" s="73"/>
      <c r="Z514" s="73"/>
      <c r="AA514" s="73"/>
      <c r="AB514" s="73"/>
    </row>
    <row r="515">
      <c r="A515" s="73"/>
      <c r="B515" s="73">
        <v>21703.413</v>
      </c>
      <c r="C515" s="73">
        <v>1858494.73962674</v>
      </c>
      <c r="D515" s="73">
        <v>19117.2783222351</v>
      </c>
      <c r="E515" s="73">
        <v>80069.3272957322</v>
      </c>
      <c r="F515" s="73"/>
      <c r="G515" s="73"/>
      <c r="H515" s="73"/>
      <c r="I515" s="73"/>
      <c r="J515" s="73"/>
      <c r="K515" s="73"/>
      <c r="L515" s="73"/>
      <c r="M515" s="73"/>
      <c r="N515" s="73"/>
      <c r="O515" s="73"/>
      <c r="P515" s="73"/>
      <c r="Q515" s="73"/>
      <c r="R515" s="73"/>
      <c r="S515" s="73"/>
      <c r="T515" s="73"/>
      <c r="U515" s="73"/>
      <c r="V515" s="73"/>
      <c r="W515" s="73"/>
      <c r="X515" s="73"/>
      <c r="Y515" s="73"/>
      <c r="Z515" s="73"/>
      <c r="AA515" s="73"/>
      <c r="AB515" s="73"/>
    </row>
    <row r="516">
      <c r="A516" s="73"/>
      <c r="B516" s="73">
        <v>21785.292</v>
      </c>
      <c r="C516" s="73">
        <v>1868375.52935228</v>
      </c>
      <c r="D516" s="73">
        <v>19236.1679662628</v>
      </c>
      <c r="E516" s="73">
        <v>80531.2706067957</v>
      </c>
      <c r="F516" s="73"/>
      <c r="G516" s="73"/>
      <c r="H516" s="73"/>
      <c r="I516" s="73"/>
      <c r="J516" s="73"/>
      <c r="K516" s="73"/>
      <c r="L516" s="73"/>
      <c r="M516" s="73"/>
      <c r="N516" s="73"/>
      <c r="O516" s="73"/>
      <c r="P516" s="73"/>
      <c r="Q516" s="73"/>
      <c r="R516" s="73"/>
      <c r="S516" s="73"/>
      <c r="T516" s="73"/>
      <c r="U516" s="73"/>
      <c r="V516" s="73"/>
      <c r="W516" s="73"/>
      <c r="X516" s="73"/>
      <c r="Y516" s="73"/>
      <c r="Z516" s="73"/>
      <c r="AA516" s="73"/>
      <c r="AB516" s="73"/>
    </row>
    <row r="517">
      <c r="A517" s="73"/>
      <c r="B517" s="73">
        <v>21867.325</v>
      </c>
      <c r="C517" s="73">
        <v>1878289.66532689</v>
      </c>
      <c r="D517" s="73">
        <v>19356.5086566315</v>
      </c>
      <c r="E517" s="73">
        <v>80994.9147407675</v>
      </c>
      <c r="F517" s="73"/>
      <c r="G517" s="73"/>
      <c r="H517" s="73"/>
      <c r="I517" s="73"/>
      <c r="J517" s="73"/>
      <c r="K517" s="73"/>
      <c r="L517" s="73"/>
      <c r="M517" s="73"/>
      <c r="N517" s="73"/>
      <c r="O517" s="73"/>
      <c r="P517" s="73"/>
      <c r="Q517" s="73"/>
      <c r="R517" s="73"/>
      <c r="S517" s="73"/>
      <c r="T517" s="73"/>
      <c r="U517" s="73"/>
      <c r="V517" s="73"/>
      <c r="W517" s="73"/>
      <c r="X517" s="73"/>
      <c r="Y517" s="73"/>
      <c r="Z517" s="73"/>
      <c r="AA517" s="73"/>
      <c r="AB517" s="73"/>
    </row>
    <row r="518">
      <c r="A518" s="73"/>
      <c r="B518" s="73">
        <v>21949.512</v>
      </c>
      <c r="C518" s="73">
        <v>1888237.01880059</v>
      </c>
      <c r="D518" s="73">
        <v>19478.3591810303</v>
      </c>
      <c r="E518" s="73">
        <v>81460.2752796466</v>
      </c>
      <c r="F518" s="73"/>
      <c r="G518" s="73"/>
      <c r="H518" s="73"/>
      <c r="I518" s="73"/>
      <c r="J518" s="73"/>
      <c r="K518" s="73"/>
      <c r="L518" s="73"/>
      <c r="M518" s="73"/>
      <c r="N518" s="73"/>
      <c r="O518" s="73"/>
      <c r="P518" s="73"/>
      <c r="Q518" s="73"/>
      <c r="R518" s="73"/>
      <c r="S518" s="73"/>
      <c r="T518" s="73"/>
      <c r="U518" s="73"/>
      <c r="V518" s="73"/>
      <c r="W518" s="73"/>
      <c r="X518" s="73"/>
      <c r="Y518" s="73"/>
      <c r="Z518" s="73"/>
      <c r="AA518" s="73"/>
      <c r="AB518" s="73"/>
    </row>
    <row r="519">
      <c r="A519" s="73"/>
      <c r="B519" s="73">
        <v>22031.853</v>
      </c>
      <c r="C519" s="73">
        <v>1898217.58977336</v>
      </c>
      <c r="D519" s="73">
        <v>19601.7812952271</v>
      </c>
      <c r="E519" s="73">
        <v>81927.3483544333</v>
      </c>
      <c r="F519" s="73"/>
      <c r="G519" s="73"/>
      <c r="H519" s="73"/>
      <c r="I519" s="73"/>
      <c r="J519" s="73"/>
      <c r="K519" s="73"/>
      <c r="L519" s="73"/>
      <c r="M519" s="73"/>
      <c r="N519" s="73"/>
      <c r="O519" s="73"/>
      <c r="P519" s="73"/>
      <c r="Q519" s="73"/>
      <c r="R519" s="73"/>
      <c r="S519" s="73"/>
      <c r="T519" s="73"/>
      <c r="U519" s="73"/>
      <c r="V519" s="73"/>
      <c r="W519" s="73"/>
      <c r="X519" s="73"/>
      <c r="Y519" s="73"/>
      <c r="Z519" s="73"/>
      <c r="AA519" s="73"/>
      <c r="AB519" s="73"/>
    </row>
    <row r="520">
      <c r="A520" s="73"/>
      <c r="B520" s="73">
        <v>22114.348</v>
      </c>
      <c r="C520" s="73">
        <v>1908231.3782452</v>
      </c>
      <c r="D520" s="73">
        <v>19726.8305852509</v>
      </c>
      <c r="E520" s="73">
        <v>82396.1333026275</v>
      </c>
      <c r="F520" s="73"/>
      <c r="G520" s="73"/>
      <c r="H520" s="73"/>
      <c r="I520" s="73"/>
      <c r="J520" s="73"/>
      <c r="K520" s="73"/>
      <c r="L520" s="73"/>
      <c r="M520" s="73"/>
      <c r="N520" s="73"/>
      <c r="O520" s="73"/>
      <c r="P520" s="73"/>
      <c r="Q520" s="73"/>
      <c r="R520" s="73"/>
      <c r="S520" s="73"/>
      <c r="T520" s="73"/>
      <c r="U520" s="73"/>
      <c r="V520" s="73"/>
      <c r="W520" s="73"/>
      <c r="X520" s="73"/>
      <c r="Y520" s="73"/>
      <c r="Z520" s="73"/>
      <c r="AA520" s="73"/>
      <c r="AB520" s="73"/>
    </row>
    <row r="521">
      <c r="A521" s="73"/>
      <c r="B521" s="73">
        <v>22196.997</v>
      </c>
      <c r="C521" s="73">
        <v>1918278.51296613</v>
      </c>
      <c r="D521" s="73">
        <v>19853.5681760101</v>
      </c>
      <c r="E521" s="73">
        <v>82866.636643229</v>
      </c>
      <c r="F521" s="73"/>
      <c r="G521" s="73"/>
      <c r="H521" s="73"/>
      <c r="I521" s="73"/>
      <c r="J521" s="73"/>
      <c r="K521" s="73"/>
      <c r="L521" s="73"/>
      <c r="M521" s="73"/>
      <c r="N521" s="73"/>
      <c r="O521" s="73"/>
      <c r="P521" s="73"/>
      <c r="Q521" s="73"/>
      <c r="R521" s="73"/>
      <c r="S521" s="73"/>
      <c r="T521" s="73"/>
      <c r="U521" s="73"/>
      <c r="V521" s="73"/>
      <c r="W521" s="73"/>
      <c r="X521" s="73"/>
      <c r="Y521" s="73"/>
      <c r="Z521" s="73"/>
      <c r="AA521" s="73"/>
      <c r="AB521" s="73"/>
    </row>
    <row r="522">
      <c r="A522" s="73"/>
      <c r="B522" s="73">
        <v>22279.8</v>
      </c>
      <c r="C522" s="73">
        <v>1928359.12268612</v>
      </c>
      <c r="D522" s="73">
        <v>19982.0499757996</v>
      </c>
      <c r="E522" s="73">
        <v>83338.853182238</v>
      </c>
      <c r="F522" s="73"/>
      <c r="G522" s="73"/>
      <c r="H522" s="73"/>
      <c r="I522" s="73"/>
      <c r="J522" s="73"/>
      <c r="K522" s="73"/>
      <c r="L522" s="73"/>
      <c r="M522" s="73"/>
      <c r="N522" s="73"/>
      <c r="O522" s="73"/>
      <c r="P522" s="73"/>
      <c r="Q522" s="73"/>
      <c r="R522" s="73"/>
      <c r="S522" s="73"/>
      <c r="T522" s="73"/>
      <c r="U522" s="73"/>
      <c r="V522" s="73"/>
      <c r="W522" s="73"/>
      <c r="X522" s="73"/>
      <c r="Y522" s="73"/>
      <c r="Z522" s="73"/>
      <c r="AA522" s="73"/>
      <c r="AB522" s="73"/>
    </row>
    <row r="523">
      <c r="A523" s="73"/>
      <c r="B523" s="73">
        <v>22362.757</v>
      </c>
      <c r="C523" s="73">
        <v>1938473.20740518</v>
      </c>
      <c r="D523" s="73">
        <v>20112.3328458557</v>
      </c>
      <c r="E523" s="73">
        <v>83812.7946326539</v>
      </c>
      <c r="F523" s="73"/>
      <c r="G523" s="73"/>
      <c r="H523" s="73"/>
      <c r="I523" s="73"/>
      <c r="J523" s="73"/>
      <c r="K523" s="73"/>
      <c r="L523" s="73"/>
      <c r="M523" s="73"/>
      <c r="N523" s="73"/>
      <c r="O523" s="73"/>
      <c r="P523" s="73"/>
      <c r="Q523" s="73"/>
      <c r="R523" s="73"/>
      <c r="S523" s="73"/>
      <c r="T523" s="73"/>
      <c r="U523" s="73"/>
      <c r="V523" s="73"/>
      <c r="W523" s="73"/>
      <c r="X523" s="73"/>
      <c r="Y523" s="73"/>
      <c r="Z523" s="73"/>
      <c r="AA523" s="73"/>
      <c r="AB523" s="73"/>
    </row>
    <row r="524">
      <c r="A524" s="73"/>
      <c r="B524" s="73">
        <v>22445.868</v>
      </c>
      <c r="C524" s="73">
        <v>1948620.76712331</v>
      </c>
      <c r="D524" s="73">
        <v>20244.4757198639</v>
      </c>
      <c r="E524" s="73">
        <v>84288.455137977</v>
      </c>
      <c r="F524" s="73"/>
      <c r="G524" s="73"/>
      <c r="H524" s="73"/>
      <c r="I524" s="73"/>
      <c r="J524" s="73"/>
      <c r="K524" s="73"/>
      <c r="L524" s="73"/>
      <c r="M524" s="73"/>
      <c r="N524" s="73"/>
      <c r="O524" s="73"/>
      <c r="P524" s="73"/>
      <c r="Q524" s="73"/>
      <c r="R524" s="73"/>
      <c r="S524" s="73"/>
      <c r="T524" s="73"/>
      <c r="U524" s="73"/>
      <c r="V524" s="73"/>
      <c r="W524" s="73"/>
      <c r="X524" s="73"/>
      <c r="Y524" s="73"/>
      <c r="Z524" s="73"/>
      <c r="AA524" s="73"/>
      <c r="AB524" s="73"/>
    </row>
    <row r="525">
      <c r="A525" s="73"/>
      <c r="B525" s="73">
        <v>22529.133</v>
      </c>
      <c r="C525" s="73">
        <v>1958801.93059051</v>
      </c>
      <c r="D525" s="73">
        <v>20378.533668045</v>
      </c>
      <c r="E525" s="73">
        <v>84765.8464112067</v>
      </c>
      <c r="F525" s="73"/>
      <c r="G525" s="73"/>
      <c r="H525" s="73"/>
      <c r="I525" s="73"/>
      <c r="J525" s="73"/>
      <c r="K525" s="73"/>
      <c r="L525" s="73"/>
      <c r="M525" s="73"/>
      <c r="N525" s="73"/>
      <c r="O525" s="73"/>
      <c r="P525" s="73"/>
      <c r="Q525" s="73"/>
      <c r="R525" s="73"/>
      <c r="S525" s="73"/>
      <c r="T525" s="73"/>
      <c r="U525" s="73"/>
      <c r="V525" s="73"/>
      <c r="W525" s="73"/>
      <c r="X525" s="73"/>
      <c r="Y525" s="73"/>
      <c r="Z525" s="73"/>
      <c r="AA525" s="73"/>
      <c r="AB525" s="73"/>
    </row>
    <row r="526">
      <c r="A526" s="73"/>
      <c r="B526" s="73">
        <v>22612.552</v>
      </c>
      <c r="C526" s="73">
        <v>1969016.56905678</v>
      </c>
      <c r="D526" s="73">
        <v>20514.5625264282</v>
      </c>
      <c r="E526" s="73">
        <v>85244.9515453438</v>
      </c>
      <c r="F526" s="73"/>
      <c r="G526" s="73"/>
      <c r="H526" s="73"/>
      <c r="I526" s="73"/>
      <c r="J526" s="73"/>
      <c r="K526" s="73"/>
      <c r="L526" s="73"/>
      <c r="M526" s="73"/>
      <c r="N526" s="73"/>
      <c r="O526" s="73"/>
      <c r="P526" s="73"/>
      <c r="Q526" s="73"/>
      <c r="R526" s="73"/>
      <c r="S526" s="73"/>
      <c r="T526" s="73"/>
      <c r="U526" s="73"/>
      <c r="V526" s="73"/>
      <c r="W526" s="73"/>
      <c r="X526" s="73"/>
      <c r="Y526" s="73"/>
      <c r="Z526" s="73"/>
      <c r="AA526" s="73"/>
      <c r="AB526" s="73"/>
    </row>
    <row r="527">
      <c r="A527" s="73"/>
      <c r="B527" s="73">
        <v>22696.125</v>
      </c>
      <c r="C527" s="73">
        <v>1979264.94002211</v>
      </c>
      <c r="D527" s="73">
        <v>20652.6206328125</v>
      </c>
      <c r="E527" s="73">
        <v>85725.7900973874</v>
      </c>
      <c r="F527" s="73"/>
      <c r="G527" s="73"/>
      <c r="H527" s="73"/>
      <c r="I527" s="73"/>
      <c r="J527" s="73"/>
      <c r="K527" s="73"/>
      <c r="L527" s="73"/>
      <c r="M527" s="73"/>
      <c r="N527" s="73"/>
      <c r="O527" s="73"/>
      <c r="P527" s="73"/>
      <c r="Q527" s="73"/>
      <c r="R527" s="73"/>
      <c r="S527" s="73"/>
      <c r="T527" s="73"/>
      <c r="U527" s="73"/>
      <c r="V527" s="73"/>
      <c r="W527" s="73"/>
      <c r="X527" s="73"/>
      <c r="Y527" s="73"/>
      <c r="Z527" s="73"/>
      <c r="AA527" s="73"/>
      <c r="AB527" s="73"/>
    </row>
    <row r="528">
      <c r="A528" s="73"/>
      <c r="B528" s="73">
        <v>22779.852</v>
      </c>
      <c r="C528" s="73">
        <v>1989546.91473651</v>
      </c>
      <c r="D528" s="73">
        <v>20792.7602646332</v>
      </c>
      <c r="E528" s="73">
        <v>86208.3594173376</v>
      </c>
      <c r="F528" s="73"/>
      <c r="G528" s="73"/>
      <c r="H528" s="73"/>
      <c r="I528" s="73"/>
      <c r="J528" s="73"/>
      <c r="K528" s="73"/>
      <c r="L528" s="73"/>
      <c r="M528" s="73"/>
      <c r="N528" s="73"/>
      <c r="O528" s="73"/>
      <c r="P528" s="73"/>
      <c r="Q528" s="73"/>
      <c r="R528" s="73"/>
      <c r="S528" s="73"/>
      <c r="T528" s="73"/>
      <c r="U528" s="73"/>
      <c r="V528" s="73"/>
      <c r="W528" s="73"/>
      <c r="X528" s="73"/>
      <c r="Y528" s="73"/>
      <c r="Z528" s="73"/>
      <c r="AA528" s="73"/>
      <c r="AB528" s="73"/>
    </row>
    <row r="529">
      <c r="A529" s="73"/>
      <c r="B529" s="73">
        <v>22863.733</v>
      </c>
      <c r="C529" s="73">
        <v>1999862.62194997</v>
      </c>
      <c r="D529" s="73">
        <v>20935.0374803925</v>
      </c>
      <c r="E529" s="73">
        <v>86692.6556361945</v>
      </c>
      <c r="F529" s="73"/>
      <c r="G529" s="73"/>
      <c r="H529" s="73"/>
      <c r="I529" s="73"/>
      <c r="J529" s="73"/>
      <c r="K529" s="73"/>
      <c r="L529" s="73"/>
      <c r="M529" s="73"/>
      <c r="N529" s="73"/>
      <c r="O529" s="73"/>
      <c r="P529" s="73"/>
      <c r="Q529" s="73"/>
      <c r="R529" s="73"/>
      <c r="S529" s="73"/>
      <c r="T529" s="73"/>
      <c r="U529" s="73"/>
      <c r="V529" s="73"/>
      <c r="W529" s="73"/>
      <c r="X529" s="73"/>
      <c r="Y529" s="73"/>
      <c r="Z529" s="73"/>
      <c r="AA529" s="73"/>
      <c r="AB529" s="73"/>
    </row>
    <row r="530">
      <c r="A530" s="73"/>
      <c r="B530" s="73">
        <v>22947.768</v>
      </c>
      <c r="C530" s="73">
        <v>2010212.0616625</v>
      </c>
      <c r="D530" s="73">
        <v>21079.5084520569</v>
      </c>
      <c r="E530" s="73">
        <v>87178.6839479579</v>
      </c>
      <c r="F530" s="73"/>
      <c r="G530" s="73"/>
      <c r="H530" s="73"/>
      <c r="I530" s="73"/>
      <c r="J530" s="73"/>
      <c r="K530" s="73"/>
      <c r="L530" s="73"/>
      <c r="M530" s="73"/>
      <c r="N530" s="73"/>
      <c r="O530" s="73"/>
      <c r="P530" s="73"/>
      <c r="Q530" s="73"/>
      <c r="R530" s="73"/>
      <c r="S530" s="73"/>
      <c r="T530" s="73"/>
      <c r="U530" s="73"/>
      <c r="V530" s="73"/>
      <c r="W530" s="73"/>
      <c r="X530" s="73"/>
      <c r="Y530" s="73"/>
      <c r="Z530" s="73"/>
      <c r="AA530" s="73"/>
      <c r="AB530" s="73"/>
    </row>
    <row r="531">
      <c r="A531" s="73"/>
      <c r="B531" s="73">
        <v>23031.957</v>
      </c>
      <c r="C531" s="73">
        <v>2020595.36262408</v>
      </c>
      <c r="D531" s="73">
        <v>21226.2269021912</v>
      </c>
      <c r="E531" s="73">
        <v>87666.4521966274</v>
      </c>
      <c r="F531" s="73"/>
      <c r="G531" s="73"/>
      <c r="H531" s="73"/>
      <c r="I531" s="73"/>
      <c r="J531" s="73"/>
      <c r="K531" s="73"/>
      <c r="L531" s="73"/>
      <c r="M531" s="73"/>
      <c r="N531" s="73"/>
      <c r="O531" s="73"/>
      <c r="P531" s="73"/>
      <c r="Q531" s="73"/>
      <c r="R531" s="73"/>
      <c r="S531" s="73"/>
      <c r="T531" s="73"/>
      <c r="U531" s="73"/>
      <c r="V531" s="73"/>
      <c r="W531" s="73"/>
      <c r="X531" s="73"/>
      <c r="Y531" s="73"/>
      <c r="Z531" s="73"/>
      <c r="AA531" s="73"/>
      <c r="AB531" s="73"/>
    </row>
    <row r="532">
      <c r="A532" s="73"/>
      <c r="B532" s="73">
        <v>23116.3</v>
      </c>
      <c r="C532" s="73">
        <v>2031012.52483472</v>
      </c>
      <c r="D532" s="73">
        <v>21375.2467722931</v>
      </c>
      <c r="E532" s="73">
        <v>88155.9538632034</v>
      </c>
      <c r="F532" s="73"/>
      <c r="G532" s="73"/>
      <c r="H532" s="73"/>
      <c r="I532" s="73"/>
      <c r="J532" s="73"/>
      <c r="K532" s="73"/>
      <c r="L532" s="73"/>
      <c r="M532" s="73"/>
      <c r="N532" s="73"/>
      <c r="O532" s="73"/>
      <c r="P532" s="73"/>
      <c r="Q532" s="73"/>
      <c r="R532" s="73"/>
      <c r="S532" s="73"/>
      <c r="T532" s="73"/>
      <c r="U532" s="73"/>
      <c r="V532" s="73"/>
      <c r="W532" s="73"/>
      <c r="X532" s="73"/>
      <c r="Y532" s="73"/>
      <c r="Z532" s="73"/>
      <c r="AA532" s="73"/>
      <c r="AB532" s="73"/>
    </row>
    <row r="533">
      <c r="A533" s="73"/>
      <c r="B533" s="73">
        <v>23200.797</v>
      </c>
      <c r="C533" s="73">
        <v>2041463.54829443</v>
      </c>
      <c r="D533" s="73">
        <v>21526.6235075836</v>
      </c>
      <c r="E533" s="73">
        <v>88647.1941416855</v>
      </c>
      <c r="F533" s="73"/>
      <c r="G533" s="73"/>
      <c r="H533" s="73"/>
      <c r="I533" s="73"/>
      <c r="J533" s="73"/>
      <c r="K533" s="73"/>
      <c r="L533" s="73"/>
      <c r="M533" s="73"/>
      <c r="N533" s="73"/>
      <c r="O533" s="73"/>
      <c r="P533" s="73"/>
      <c r="Q533" s="73"/>
      <c r="R533" s="73"/>
      <c r="S533" s="73"/>
      <c r="T533" s="73"/>
      <c r="U533" s="73"/>
      <c r="V533" s="73"/>
      <c r="W533" s="73"/>
      <c r="X533" s="73"/>
      <c r="Y533" s="73"/>
      <c r="Z533" s="73"/>
      <c r="AA533" s="73"/>
      <c r="AB533" s="73"/>
    </row>
    <row r="534">
      <c r="A534" s="73"/>
      <c r="B534" s="73">
        <v>23285.448</v>
      </c>
      <c r="C534" s="73">
        <v>2051948.56175318</v>
      </c>
      <c r="D534" s="73">
        <v>21680.4087722168</v>
      </c>
      <c r="E534" s="73">
        <v>89140.1743570736</v>
      </c>
      <c r="F534" s="73"/>
      <c r="G534" s="73"/>
      <c r="H534" s="73"/>
      <c r="I534" s="73"/>
      <c r="J534" s="73"/>
      <c r="K534" s="73"/>
      <c r="L534" s="73"/>
      <c r="M534" s="73"/>
      <c r="N534" s="73"/>
      <c r="O534" s="73"/>
      <c r="P534" s="73"/>
      <c r="Q534" s="73"/>
      <c r="R534" s="73"/>
      <c r="S534" s="73"/>
      <c r="T534" s="73"/>
      <c r="U534" s="73"/>
      <c r="V534" s="73"/>
      <c r="W534" s="73"/>
      <c r="X534" s="73"/>
      <c r="Y534" s="73"/>
      <c r="Z534" s="73"/>
      <c r="AA534" s="73"/>
      <c r="AB534" s="73"/>
    </row>
    <row r="535">
      <c r="A535" s="73"/>
      <c r="B535" s="73">
        <v>23370.253</v>
      </c>
      <c r="C535" s="73">
        <v>2062467.565211</v>
      </c>
      <c r="D535" s="73">
        <v>21836.6569840698</v>
      </c>
      <c r="E535" s="73">
        <v>89634.8945093678</v>
      </c>
      <c r="F535" s="73"/>
      <c r="G535" s="73"/>
      <c r="H535" s="73"/>
      <c r="I535" s="73"/>
      <c r="J535" s="73"/>
      <c r="K535" s="73"/>
      <c r="L535" s="73"/>
      <c r="M535" s="73"/>
      <c r="N535" s="73"/>
      <c r="O535" s="73"/>
      <c r="P535" s="73"/>
      <c r="Q535" s="73"/>
      <c r="R535" s="73"/>
      <c r="S535" s="73"/>
      <c r="T535" s="73"/>
      <c r="U535" s="73"/>
      <c r="V535" s="73"/>
      <c r="W535" s="73"/>
      <c r="X535" s="73"/>
      <c r="Y535" s="73"/>
      <c r="Z535" s="73"/>
      <c r="AA535" s="73"/>
      <c r="AB535" s="73"/>
    </row>
    <row r="536">
      <c r="A536" s="73"/>
      <c r="B536" s="73">
        <v>23455.212</v>
      </c>
      <c r="C536" s="73">
        <v>2073020.55866787</v>
      </c>
      <c r="D536" s="73">
        <v>21995.421608078</v>
      </c>
      <c r="E536" s="73">
        <v>90131.3597925679</v>
      </c>
      <c r="F536" s="73"/>
      <c r="G536" s="73"/>
      <c r="H536" s="73"/>
      <c r="I536" s="73"/>
      <c r="J536" s="73"/>
      <c r="K536" s="73"/>
      <c r="L536" s="73"/>
      <c r="M536" s="73"/>
      <c r="N536" s="73"/>
      <c r="O536" s="73"/>
      <c r="P536" s="73"/>
      <c r="Q536" s="73"/>
      <c r="R536" s="73"/>
      <c r="S536" s="73"/>
      <c r="T536" s="73"/>
      <c r="U536" s="73"/>
      <c r="V536" s="73"/>
      <c r="W536" s="73"/>
      <c r="X536" s="73"/>
      <c r="Y536" s="73"/>
      <c r="Z536" s="73"/>
      <c r="AA536" s="73"/>
      <c r="AB536" s="73"/>
    </row>
    <row r="537">
      <c r="A537" s="73"/>
      <c r="B537" s="73">
        <v>23540.325</v>
      </c>
      <c r="C537" s="73">
        <v>2083607.79962379</v>
      </c>
      <c r="D537" s="73">
        <v>22156.7553433685</v>
      </c>
      <c r="E537" s="73">
        <v>90629.5728566735</v>
      </c>
      <c r="F537" s="73"/>
      <c r="G537" s="73"/>
      <c r="H537" s="73"/>
      <c r="I537" s="73"/>
      <c r="J537" s="73"/>
      <c r="K537" s="73"/>
      <c r="L537" s="73"/>
      <c r="M537" s="73"/>
      <c r="N537" s="73"/>
      <c r="O537" s="73"/>
      <c r="P537" s="73"/>
      <c r="Q537" s="73"/>
      <c r="R537" s="73"/>
      <c r="S537" s="73"/>
      <c r="T537" s="73"/>
      <c r="U537" s="73"/>
      <c r="V537" s="73"/>
      <c r="W537" s="73"/>
      <c r="X537" s="73"/>
      <c r="Y537" s="73"/>
      <c r="Z537" s="73"/>
      <c r="AA537" s="73"/>
      <c r="AB537" s="73"/>
    </row>
    <row r="538">
      <c r="A538" s="73"/>
      <c r="B538" s="73">
        <v>23625.592</v>
      </c>
      <c r="C538" s="73">
        <v>2094229.15932876</v>
      </c>
      <c r="D538" s="73">
        <v>22320.7124439392</v>
      </c>
      <c r="E538" s="73">
        <v>91129.5271826852</v>
      </c>
      <c r="F538" s="73"/>
      <c r="G538" s="73"/>
      <c r="H538" s="73"/>
      <c r="I538" s="73"/>
      <c r="J538" s="73"/>
      <c r="K538" s="73"/>
      <c r="L538" s="73"/>
      <c r="M538" s="73"/>
      <c r="N538" s="73"/>
      <c r="O538" s="73"/>
      <c r="P538" s="73"/>
      <c r="Q538" s="73"/>
      <c r="R538" s="73"/>
      <c r="S538" s="73"/>
      <c r="T538" s="73"/>
      <c r="U538" s="73"/>
      <c r="V538" s="73"/>
      <c r="W538" s="73"/>
      <c r="X538" s="73"/>
      <c r="Y538" s="73"/>
      <c r="Z538" s="73"/>
      <c r="AA538" s="73"/>
      <c r="AB538" s="73"/>
    </row>
    <row r="539">
      <c r="A539" s="73"/>
      <c r="B539" s="73">
        <v>23711.013</v>
      </c>
      <c r="C539" s="73">
        <v>2104884.50903279</v>
      </c>
      <c r="D539" s="73">
        <v>22487.3434214172</v>
      </c>
      <c r="E539" s="73">
        <v>91631.2383526021</v>
      </c>
      <c r="F539" s="73"/>
      <c r="G539" s="73"/>
      <c r="H539" s="73"/>
      <c r="I539" s="73"/>
      <c r="J539" s="73"/>
      <c r="K539" s="73"/>
      <c r="L539" s="73"/>
      <c r="M539" s="73"/>
      <c r="N539" s="73"/>
      <c r="O539" s="73"/>
      <c r="P539" s="73"/>
      <c r="Q539" s="73"/>
      <c r="R539" s="73"/>
      <c r="S539" s="73"/>
      <c r="T539" s="73"/>
      <c r="U539" s="73"/>
      <c r="V539" s="73"/>
      <c r="W539" s="73"/>
      <c r="X539" s="73"/>
      <c r="Y539" s="73"/>
      <c r="Z539" s="73"/>
      <c r="AA539" s="73"/>
      <c r="AB539" s="73"/>
    </row>
    <row r="540">
      <c r="A540" s="73"/>
      <c r="B540" s="73">
        <v>23796.588</v>
      </c>
      <c r="C540" s="73">
        <v>2115574.36373585</v>
      </c>
      <c r="D540" s="73">
        <v>22656.7014379578</v>
      </c>
      <c r="E540" s="73">
        <v>92134.6921094248</v>
      </c>
      <c r="F540" s="73"/>
      <c r="G540" s="73"/>
      <c r="H540" s="73"/>
      <c r="I540" s="73"/>
      <c r="J540" s="73"/>
      <c r="K540" s="73"/>
      <c r="L540" s="73"/>
      <c r="M540" s="73"/>
      <c r="N540" s="73"/>
      <c r="O540" s="73"/>
      <c r="P540" s="73"/>
      <c r="Q540" s="73"/>
      <c r="R540" s="73"/>
      <c r="S540" s="73"/>
      <c r="T540" s="73"/>
      <c r="U540" s="73"/>
      <c r="V540" s="73"/>
      <c r="W540" s="73"/>
      <c r="X540" s="73"/>
      <c r="Y540" s="73"/>
      <c r="Z540" s="73"/>
      <c r="AA540" s="73"/>
      <c r="AB540" s="73"/>
    </row>
    <row r="541">
      <c r="A541" s="73"/>
      <c r="B541" s="73">
        <v>23882.317</v>
      </c>
      <c r="C541" s="73">
        <v>2126298.20843798</v>
      </c>
      <c r="D541" s="73">
        <v>22828.8384838409</v>
      </c>
      <c r="E541" s="73">
        <v>92639.9040351527</v>
      </c>
      <c r="F541" s="73"/>
      <c r="G541" s="73"/>
      <c r="H541" s="73"/>
      <c r="I541" s="73"/>
      <c r="J541" s="73"/>
      <c r="K541" s="73"/>
      <c r="L541" s="73"/>
      <c r="M541" s="73"/>
      <c r="N541" s="73"/>
      <c r="O541" s="73"/>
      <c r="P541" s="73"/>
      <c r="Q541" s="73"/>
      <c r="R541" s="73"/>
      <c r="S541" s="73"/>
      <c r="T541" s="73"/>
      <c r="U541" s="73"/>
      <c r="V541" s="73"/>
      <c r="W541" s="73"/>
      <c r="X541" s="73"/>
      <c r="Y541" s="73"/>
      <c r="Z541" s="73"/>
      <c r="AA541" s="73"/>
      <c r="AB541" s="73"/>
    </row>
    <row r="542">
      <c r="A542" s="73"/>
      <c r="B542" s="73">
        <v>23968.2</v>
      </c>
      <c r="C542" s="73">
        <v>2137056.55813915</v>
      </c>
      <c r="D542" s="73">
        <v>23003.8067503815</v>
      </c>
      <c r="E542" s="73">
        <v>93146.8702607859</v>
      </c>
      <c r="F542" s="73"/>
      <c r="G542" s="73"/>
      <c r="H542" s="73"/>
      <c r="I542" s="73"/>
      <c r="J542" s="73"/>
      <c r="K542" s="73"/>
      <c r="L542" s="73"/>
      <c r="M542" s="73"/>
      <c r="N542" s="73"/>
      <c r="O542" s="73"/>
      <c r="P542" s="73"/>
      <c r="Q542" s="73"/>
      <c r="R542" s="73"/>
      <c r="S542" s="73"/>
      <c r="T542" s="73"/>
      <c r="U542" s="73"/>
      <c r="V542" s="73"/>
      <c r="W542" s="73"/>
      <c r="X542" s="73"/>
      <c r="Y542" s="73"/>
      <c r="Z542" s="73"/>
      <c r="AA542" s="73"/>
      <c r="AB542" s="73"/>
    </row>
    <row r="543">
      <c r="A543" s="73"/>
      <c r="B543" s="73">
        <v>24054.237</v>
      </c>
      <c r="C543" s="73">
        <v>2147849.28408936</v>
      </c>
      <c r="D543" s="73">
        <v>23181.6580618896</v>
      </c>
      <c r="E543" s="73">
        <v>93655.5959803241</v>
      </c>
      <c r="F543" s="73"/>
      <c r="G543" s="73"/>
      <c r="H543" s="73"/>
      <c r="I543" s="73"/>
      <c r="J543" s="73"/>
      <c r="K543" s="73"/>
      <c r="L543" s="73"/>
      <c r="M543" s="73"/>
      <c r="N543" s="73"/>
      <c r="O543" s="73"/>
      <c r="P543" s="73"/>
      <c r="Q543" s="73"/>
      <c r="R543" s="73"/>
      <c r="S543" s="73"/>
      <c r="T543" s="73"/>
      <c r="U543" s="73"/>
      <c r="V543" s="73"/>
      <c r="W543" s="73"/>
      <c r="X543" s="73"/>
      <c r="Y543" s="73"/>
      <c r="Z543" s="73"/>
      <c r="AA543" s="73"/>
      <c r="AB543" s="73"/>
    </row>
    <row r="544">
      <c r="A544" s="73"/>
      <c r="B544" s="73">
        <v>24140.428</v>
      </c>
      <c r="C544" s="73">
        <v>2158676.51503861</v>
      </c>
      <c r="D544" s="73">
        <v>23362.4445315552</v>
      </c>
      <c r="E544" s="73">
        <v>94166.0746747676</v>
      </c>
      <c r="F544" s="73"/>
      <c r="G544" s="73"/>
      <c r="H544" s="73"/>
      <c r="I544" s="73"/>
      <c r="J544" s="73"/>
      <c r="K544" s="73"/>
      <c r="L544" s="73"/>
      <c r="M544" s="73"/>
      <c r="N544" s="73"/>
      <c r="O544" s="73"/>
      <c r="P544" s="73"/>
      <c r="Q544" s="73"/>
      <c r="R544" s="73"/>
      <c r="S544" s="73"/>
      <c r="T544" s="73"/>
      <c r="U544" s="73"/>
      <c r="V544" s="73"/>
      <c r="W544" s="73"/>
      <c r="X544" s="73"/>
      <c r="Y544" s="73"/>
      <c r="Z544" s="73"/>
      <c r="AA544" s="73"/>
      <c r="AB544" s="73"/>
    </row>
    <row r="545">
      <c r="A545" s="73"/>
      <c r="B545" s="73">
        <v>24226.773</v>
      </c>
      <c r="C545" s="73">
        <v>2169538.12223691</v>
      </c>
      <c r="D545" s="73">
        <v>23546.2165930634</v>
      </c>
      <c r="E545" s="73">
        <v>94678.3155131161</v>
      </c>
      <c r="F545" s="73"/>
      <c r="G545" s="73"/>
      <c r="H545" s="73"/>
      <c r="I545" s="73"/>
      <c r="J545" s="73"/>
      <c r="K545" s="73"/>
      <c r="L545" s="73"/>
      <c r="M545" s="73"/>
      <c r="N545" s="73"/>
      <c r="O545" s="73"/>
      <c r="P545" s="73"/>
      <c r="Q545" s="73"/>
      <c r="R545" s="73"/>
      <c r="S545" s="73"/>
      <c r="T545" s="73"/>
      <c r="U545" s="73"/>
      <c r="V545" s="73"/>
      <c r="W545" s="73"/>
      <c r="X545" s="73"/>
      <c r="Y545" s="73"/>
      <c r="Z545" s="73"/>
      <c r="AA545" s="73"/>
      <c r="AB545" s="73"/>
    </row>
    <row r="546">
      <c r="A546" s="73"/>
      <c r="B546" s="73">
        <v>24313.272</v>
      </c>
      <c r="C546" s="73">
        <v>2180433.97693425</v>
      </c>
      <c r="D546" s="73">
        <v>23733.0262346039</v>
      </c>
      <c r="E546" s="73">
        <v>95192.3158453695</v>
      </c>
      <c r="F546" s="73"/>
      <c r="G546" s="73"/>
      <c r="H546" s="73"/>
      <c r="I546" s="73"/>
      <c r="J546" s="73"/>
      <c r="K546" s="73"/>
      <c r="L546" s="73"/>
      <c r="M546" s="73"/>
      <c r="N546" s="73"/>
      <c r="O546" s="73"/>
      <c r="P546" s="73"/>
      <c r="Q546" s="73"/>
      <c r="R546" s="73"/>
      <c r="S546" s="73"/>
      <c r="T546" s="73"/>
      <c r="U546" s="73"/>
      <c r="V546" s="73"/>
      <c r="W546" s="73"/>
      <c r="X546" s="73"/>
      <c r="Y546" s="73"/>
      <c r="Z546" s="73"/>
      <c r="AA546" s="73"/>
      <c r="AB546" s="73"/>
    </row>
    <row r="547">
      <c r="A547" s="73"/>
      <c r="B547" s="73">
        <v>24399.925</v>
      </c>
      <c r="C547" s="73">
        <v>2191364.59413064</v>
      </c>
      <c r="D547" s="73">
        <v>23922.9236867371</v>
      </c>
      <c r="E547" s="73">
        <v>95708.0821905277</v>
      </c>
      <c r="F547" s="73"/>
      <c r="G547" s="73"/>
      <c r="H547" s="73"/>
      <c r="I547" s="73"/>
      <c r="J547" s="73"/>
      <c r="K547" s="73"/>
      <c r="L547" s="73"/>
      <c r="M547" s="73"/>
      <c r="N547" s="73"/>
      <c r="O547" s="73"/>
      <c r="P547" s="73"/>
      <c r="Q547" s="73"/>
      <c r="R547" s="73"/>
      <c r="S547" s="73"/>
      <c r="T547" s="73"/>
      <c r="U547" s="73"/>
      <c r="V547" s="73"/>
      <c r="W547" s="73"/>
      <c r="X547" s="73"/>
      <c r="Y547" s="73"/>
      <c r="Z547" s="73"/>
      <c r="AA547" s="73"/>
      <c r="AB547" s="73"/>
    </row>
    <row r="548">
      <c r="A548" s="73"/>
      <c r="B548" s="73">
        <v>24486.732</v>
      </c>
      <c r="C548" s="73">
        <v>2202329.97382605</v>
      </c>
      <c r="D548" s="73">
        <v>24115.9594689026</v>
      </c>
      <c r="E548" s="73">
        <v>96225.6158735904</v>
      </c>
      <c r="F548" s="73"/>
      <c r="G548" s="73"/>
      <c r="H548" s="73"/>
      <c r="I548" s="73"/>
      <c r="J548" s="73"/>
      <c r="K548" s="73"/>
      <c r="L548" s="73"/>
      <c r="M548" s="73"/>
      <c r="N548" s="73"/>
      <c r="O548" s="73"/>
      <c r="P548" s="73"/>
      <c r="Q548" s="73"/>
      <c r="R548" s="73"/>
      <c r="S548" s="73"/>
      <c r="T548" s="73"/>
      <c r="U548" s="73"/>
      <c r="V548" s="73"/>
      <c r="W548" s="73"/>
      <c r="X548" s="73"/>
      <c r="Y548" s="73"/>
      <c r="Z548" s="73"/>
      <c r="AA548" s="73"/>
      <c r="AB548" s="73"/>
    </row>
    <row r="549">
      <c r="A549" s="73"/>
      <c r="B549" s="73">
        <v>24573.693</v>
      </c>
      <c r="C549" s="73">
        <v>2213329.85852051</v>
      </c>
      <c r="D549" s="73">
        <v>24312.1857491608</v>
      </c>
      <c r="E549" s="73">
        <v>96744.9168945577</v>
      </c>
      <c r="F549" s="73"/>
      <c r="G549" s="73"/>
      <c r="H549" s="73"/>
      <c r="I549" s="73"/>
      <c r="J549" s="73"/>
      <c r="K549" s="73"/>
      <c r="L549" s="73"/>
      <c r="M549" s="73"/>
      <c r="N549" s="73"/>
      <c r="O549" s="73"/>
      <c r="P549" s="73"/>
      <c r="Q549" s="73"/>
      <c r="R549" s="73"/>
      <c r="S549" s="73"/>
      <c r="T549" s="73"/>
      <c r="U549" s="73"/>
      <c r="V549" s="73"/>
      <c r="W549" s="73"/>
      <c r="X549" s="73"/>
      <c r="Y549" s="73"/>
      <c r="Z549" s="73"/>
      <c r="AA549" s="73"/>
      <c r="AB549" s="73"/>
    </row>
    <row r="550">
      <c r="A550" s="73"/>
      <c r="B550" s="73">
        <v>24660.808</v>
      </c>
      <c r="C550" s="73">
        <v>2224364.24821401</v>
      </c>
      <c r="D550" s="73">
        <v>24511.6533125763</v>
      </c>
      <c r="E550" s="73">
        <v>97265.9800594299</v>
      </c>
      <c r="F550" s="73"/>
      <c r="G550" s="73"/>
      <c r="H550" s="73"/>
      <c r="I550" s="73"/>
      <c r="J550" s="73"/>
      <c r="K550" s="73"/>
      <c r="L550" s="73"/>
      <c r="M550" s="73"/>
      <c r="N550" s="73"/>
      <c r="O550" s="73"/>
      <c r="P550" s="73"/>
      <c r="Q550" s="73"/>
      <c r="R550" s="73"/>
      <c r="S550" s="73"/>
      <c r="T550" s="73"/>
      <c r="U550" s="73"/>
      <c r="V550" s="73"/>
      <c r="W550" s="73"/>
      <c r="X550" s="73"/>
      <c r="Y550" s="73"/>
      <c r="Z550" s="73"/>
      <c r="AA550" s="73"/>
      <c r="AB550" s="73"/>
    </row>
    <row r="551">
      <c r="A551" s="73"/>
      <c r="B551" s="73">
        <v>24748.077</v>
      </c>
      <c r="C551" s="73">
        <v>2235433.65790653</v>
      </c>
      <c r="D551" s="73">
        <v>24714.4106865845</v>
      </c>
      <c r="E551" s="73">
        <v>97788.8209502061</v>
      </c>
      <c r="F551" s="73"/>
      <c r="G551" s="73"/>
      <c r="H551" s="73"/>
      <c r="I551" s="73"/>
      <c r="J551" s="73"/>
      <c r="K551" s="73"/>
      <c r="L551" s="73"/>
      <c r="M551" s="73"/>
      <c r="N551" s="73"/>
      <c r="O551" s="73"/>
      <c r="P551" s="73"/>
      <c r="Q551" s="73"/>
      <c r="R551" s="73"/>
      <c r="S551" s="73"/>
      <c r="T551" s="73"/>
      <c r="U551" s="73"/>
      <c r="V551" s="73"/>
      <c r="W551" s="73"/>
      <c r="X551" s="73"/>
      <c r="Y551" s="73"/>
      <c r="Z551" s="73"/>
      <c r="AA551" s="73"/>
      <c r="AB551" s="73"/>
    </row>
    <row r="552">
      <c r="A552" s="73"/>
      <c r="B552" s="73">
        <v>24835.5</v>
      </c>
      <c r="C552" s="73">
        <v>2246537.5725981</v>
      </c>
      <c r="D552" s="73">
        <v>24920.5091875</v>
      </c>
      <c r="E552" s="73">
        <v>98313.4305038869</v>
      </c>
      <c r="F552" s="73"/>
      <c r="G552" s="73"/>
      <c r="H552" s="73"/>
      <c r="I552" s="73"/>
      <c r="J552" s="73"/>
      <c r="K552" s="73"/>
      <c r="L552" s="73"/>
      <c r="M552" s="73"/>
      <c r="N552" s="73"/>
      <c r="O552" s="73"/>
      <c r="P552" s="73"/>
      <c r="Q552" s="73"/>
      <c r="R552" s="73"/>
      <c r="S552" s="73"/>
      <c r="T552" s="73"/>
      <c r="U552" s="73"/>
      <c r="V552" s="73"/>
      <c r="W552" s="73"/>
      <c r="X552" s="73"/>
      <c r="Y552" s="73"/>
      <c r="Z552" s="73"/>
      <c r="AA552" s="73"/>
      <c r="AB552" s="73"/>
    </row>
    <row r="553">
      <c r="A553" s="73"/>
      <c r="B553" s="73">
        <v>24923.077</v>
      </c>
      <c r="C553" s="73">
        <v>2257676.50728869</v>
      </c>
      <c r="D553" s="73">
        <v>25129.9988115082</v>
      </c>
      <c r="E553" s="73">
        <v>98839.8191084716</v>
      </c>
      <c r="F553" s="73"/>
      <c r="G553" s="73"/>
      <c r="H553" s="73"/>
      <c r="I553" s="73"/>
      <c r="J553" s="73"/>
      <c r="K553" s="73"/>
      <c r="L553" s="73"/>
      <c r="M553" s="73"/>
      <c r="N553" s="73"/>
      <c r="O553" s="73"/>
      <c r="P553" s="73"/>
      <c r="Q553" s="73"/>
      <c r="R553" s="73"/>
      <c r="S553" s="73"/>
      <c r="T553" s="73"/>
      <c r="U553" s="73"/>
      <c r="V553" s="73"/>
      <c r="W553" s="73"/>
      <c r="X553" s="73"/>
      <c r="Y553" s="73"/>
      <c r="Z553" s="73"/>
      <c r="AA553" s="73"/>
      <c r="AB553" s="73"/>
    </row>
    <row r="554">
      <c r="A554" s="73"/>
      <c r="B554" s="73">
        <v>25010.808</v>
      </c>
      <c r="C554" s="73">
        <v>2268850.46197832</v>
      </c>
      <c r="D554" s="73">
        <v>25342.9293749237</v>
      </c>
      <c r="E554" s="73">
        <v>99367.9777009608</v>
      </c>
      <c r="F554" s="73"/>
      <c r="G554" s="73"/>
      <c r="H554" s="73"/>
      <c r="I554" s="73"/>
      <c r="J554" s="73"/>
      <c r="K554" s="73"/>
      <c r="L554" s="73"/>
      <c r="M554" s="73"/>
      <c r="N554" s="73"/>
      <c r="O554" s="73"/>
      <c r="P554" s="73"/>
      <c r="Q554" s="73"/>
      <c r="R554" s="73"/>
      <c r="S554" s="73"/>
      <c r="T554" s="73"/>
      <c r="U554" s="73"/>
      <c r="V554" s="73"/>
      <c r="W554" s="73"/>
      <c r="X554" s="73"/>
      <c r="Y554" s="73"/>
      <c r="Z554" s="73"/>
      <c r="AA554" s="73"/>
      <c r="AB554" s="73"/>
    </row>
    <row r="555">
      <c r="A555" s="73"/>
      <c r="B555" s="73">
        <v>25098.693</v>
      </c>
      <c r="C555" s="73">
        <v>2280058.92166698</v>
      </c>
      <c r="D555" s="73">
        <v>25559.3510614319</v>
      </c>
      <c r="E555" s="73">
        <v>99897.9205383536</v>
      </c>
      <c r="F555" s="73"/>
      <c r="G555" s="73"/>
      <c r="H555" s="73"/>
      <c r="I555" s="73"/>
      <c r="J555" s="73"/>
      <c r="K555" s="73"/>
      <c r="L555" s="73"/>
      <c r="M555" s="73"/>
      <c r="N555" s="73"/>
      <c r="O555" s="73"/>
      <c r="P555" s="73"/>
      <c r="Q555" s="73"/>
      <c r="R555" s="73"/>
      <c r="S555" s="73"/>
      <c r="T555" s="73"/>
      <c r="U555" s="73"/>
      <c r="V555" s="73"/>
      <c r="W555" s="73"/>
      <c r="X555" s="73"/>
      <c r="Y555" s="73"/>
      <c r="Z555" s="73"/>
      <c r="AA555" s="73"/>
      <c r="AB555" s="73"/>
    </row>
    <row r="556">
      <c r="A556" s="73"/>
      <c r="B556" s="73">
        <v>25186.732</v>
      </c>
      <c r="C556" s="73">
        <v>2291302.65885466</v>
      </c>
      <c r="D556" s="73">
        <v>25779.3137185974</v>
      </c>
      <c r="E556" s="73">
        <v>100429.639882651</v>
      </c>
      <c r="F556" s="73"/>
      <c r="G556" s="73"/>
      <c r="H556" s="73"/>
      <c r="I556" s="73"/>
      <c r="J556" s="73"/>
      <c r="K556" s="73"/>
      <c r="L556" s="73"/>
      <c r="M556" s="73"/>
      <c r="N556" s="73"/>
      <c r="O556" s="73"/>
      <c r="P556" s="73"/>
      <c r="Q556" s="73"/>
      <c r="R556" s="73"/>
      <c r="S556" s="73"/>
      <c r="T556" s="73"/>
      <c r="U556" s="73"/>
      <c r="V556" s="73"/>
      <c r="W556" s="73"/>
      <c r="X556" s="73"/>
      <c r="Y556" s="73"/>
      <c r="Z556" s="73"/>
      <c r="AA556" s="73"/>
      <c r="AB556" s="73"/>
    </row>
    <row r="557">
      <c r="A557" s="73"/>
      <c r="B557" s="73">
        <v>25274.925</v>
      </c>
      <c r="C557" s="73">
        <v>2302581.41604137</v>
      </c>
      <c r="D557" s="73">
        <v>26002.8656238556</v>
      </c>
      <c r="E557" s="73">
        <v>100963.138277851</v>
      </c>
      <c r="F557" s="73"/>
      <c r="G557" s="73"/>
      <c r="H557" s="73"/>
      <c r="I557" s="73"/>
      <c r="J557" s="73"/>
      <c r="K557" s="73"/>
      <c r="L557" s="73"/>
      <c r="M557" s="73"/>
      <c r="N557" s="73"/>
      <c r="O557" s="73"/>
      <c r="P557" s="73"/>
      <c r="Q557" s="73"/>
      <c r="R557" s="73"/>
      <c r="S557" s="73"/>
      <c r="T557" s="73"/>
      <c r="U557" s="73"/>
      <c r="V557" s="73"/>
      <c r="W557" s="73"/>
      <c r="X557" s="73"/>
      <c r="Y557" s="73"/>
      <c r="Z557" s="73"/>
      <c r="AA557" s="73"/>
      <c r="AB557" s="73"/>
    </row>
    <row r="558">
      <c r="A558" s="73"/>
      <c r="B558" s="73">
        <v>25363.272</v>
      </c>
      <c r="C558" s="73">
        <v>2313895.19322711</v>
      </c>
      <c r="D558" s="73">
        <v>26230.0572497711</v>
      </c>
      <c r="E558" s="73">
        <v>101498.424892956</v>
      </c>
      <c r="F558" s="73"/>
      <c r="G558" s="73"/>
      <c r="H558" s="73"/>
      <c r="I558" s="73"/>
      <c r="J558" s="73"/>
      <c r="K558" s="73"/>
      <c r="L558" s="73"/>
      <c r="M558" s="73"/>
      <c r="N558" s="73"/>
      <c r="O558" s="73"/>
      <c r="P558" s="73"/>
      <c r="Q558" s="73"/>
      <c r="R558" s="73"/>
      <c r="S558" s="73"/>
      <c r="T558" s="73"/>
      <c r="U558" s="73"/>
      <c r="V558" s="73"/>
      <c r="W558" s="73"/>
      <c r="X558" s="73"/>
      <c r="Y558" s="73"/>
      <c r="Z558" s="73"/>
      <c r="AA558" s="73"/>
      <c r="AB558" s="73"/>
    </row>
    <row r="559">
      <c r="A559" s="73"/>
      <c r="B559" s="73">
        <v>25451.773</v>
      </c>
      <c r="C559" s="73">
        <v>2325243.99041188</v>
      </c>
      <c r="D559" s="73">
        <v>26460.9374987793</v>
      </c>
      <c r="E559" s="73">
        <v>102035.491883964</v>
      </c>
      <c r="F559" s="73"/>
      <c r="G559" s="73"/>
      <c r="H559" s="73"/>
      <c r="I559" s="73"/>
      <c r="J559" s="73"/>
      <c r="K559" s="73"/>
      <c r="L559" s="73"/>
      <c r="M559" s="73"/>
      <c r="N559" s="73"/>
      <c r="O559" s="73"/>
      <c r="P559" s="73"/>
      <c r="Q559" s="73"/>
      <c r="R559" s="73"/>
      <c r="S559" s="73"/>
      <c r="T559" s="73"/>
      <c r="U559" s="73"/>
      <c r="V559" s="73"/>
      <c r="W559" s="73"/>
      <c r="X559" s="73"/>
      <c r="Y559" s="73"/>
      <c r="Z559" s="73"/>
      <c r="AA559" s="73"/>
      <c r="AB559" s="73"/>
    </row>
    <row r="560">
      <c r="A560" s="73"/>
      <c r="B560" s="73">
        <v>25540.428</v>
      </c>
      <c r="C560" s="73">
        <v>2336627.80759567</v>
      </c>
      <c r="D560" s="73">
        <v>26695.5556246948</v>
      </c>
      <c r="E560" s="73">
        <v>102574.347094876</v>
      </c>
      <c r="F560" s="73"/>
      <c r="G560" s="73"/>
      <c r="H560" s="73"/>
      <c r="I560" s="73"/>
      <c r="J560" s="73"/>
      <c r="K560" s="73"/>
      <c r="L560" s="73"/>
      <c r="M560" s="73"/>
      <c r="N560" s="73"/>
      <c r="O560" s="73"/>
      <c r="P560" s="73"/>
      <c r="Q560" s="73"/>
      <c r="R560" s="73"/>
      <c r="S560" s="73"/>
      <c r="T560" s="73"/>
      <c r="U560" s="73"/>
      <c r="V560" s="73"/>
      <c r="W560" s="73"/>
      <c r="X560" s="73"/>
      <c r="Y560" s="73"/>
      <c r="Z560" s="73"/>
      <c r="AA560" s="73"/>
      <c r="AB560" s="73"/>
    </row>
    <row r="561">
      <c r="A561" s="73"/>
      <c r="B561" s="73">
        <v>25629.237</v>
      </c>
      <c r="C561" s="73">
        <v>2348046.90227848</v>
      </c>
      <c r="D561" s="73">
        <v>26933.960342453</v>
      </c>
      <c r="E561" s="73">
        <v>103114.994394691</v>
      </c>
      <c r="F561" s="73"/>
      <c r="G561" s="73"/>
      <c r="H561" s="73"/>
      <c r="I561" s="73"/>
      <c r="J561" s="73"/>
      <c r="K561" s="73"/>
      <c r="L561" s="73"/>
      <c r="M561" s="73"/>
      <c r="N561" s="73"/>
      <c r="O561" s="73"/>
      <c r="P561" s="73"/>
      <c r="Q561" s="73"/>
      <c r="R561" s="73"/>
      <c r="S561" s="73"/>
      <c r="T561" s="73"/>
      <c r="U561" s="73"/>
      <c r="V561" s="73"/>
      <c r="W561" s="73"/>
      <c r="X561" s="73"/>
      <c r="Y561" s="73"/>
      <c r="Z561" s="73"/>
      <c r="AA561" s="73"/>
      <c r="AB561" s="73"/>
    </row>
    <row r="562">
      <c r="A562" s="73"/>
      <c r="B562" s="73">
        <v>25718.2</v>
      </c>
      <c r="C562" s="73">
        <v>2359501.27446032</v>
      </c>
      <c r="D562" s="73">
        <v>27176.2005621185</v>
      </c>
      <c r="E562" s="73">
        <v>103657.42472041</v>
      </c>
      <c r="F562" s="73"/>
      <c r="G562" s="73"/>
      <c r="H562" s="73"/>
      <c r="I562" s="73"/>
      <c r="J562" s="73"/>
      <c r="K562" s="73"/>
      <c r="L562" s="73"/>
      <c r="M562" s="73"/>
      <c r="N562" s="73"/>
      <c r="O562" s="73"/>
      <c r="P562" s="73"/>
      <c r="Q562" s="73"/>
      <c r="R562" s="73"/>
      <c r="S562" s="73"/>
      <c r="T562" s="73"/>
      <c r="U562" s="73"/>
      <c r="V562" s="73"/>
      <c r="W562" s="73"/>
      <c r="X562" s="73"/>
      <c r="Y562" s="73"/>
      <c r="Z562" s="73"/>
      <c r="AA562" s="73"/>
      <c r="AB562" s="73"/>
    </row>
    <row r="563">
      <c r="A563" s="73"/>
      <c r="B563" s="73">
        <v>25807.317</v>
      </c>
      <c r="C563" s="73">
        <v>2370990.92414117</v>
      </c>
      <c r="D563" s="73">
        <v>27422.3258736267</v>
      </c>
      <c r="E563" s="73">
        <v>104201.649785032</v>
      </c>
      <c r="F563" s="73"/>
      <c r="G563" s="73"/>
      <c r="H563" s="73"/>
      <c r="I563" s="73"/>
      <c r="J563" s="73"/>
      <c r="K563" s="73"/>
      <c r="L563" s="73"/>
      <c r="M563" s="73"/>
      <c r="N563" s="73"/>
      <c r="O563" s="73"/>
      <c r="P563" s="73"/>
      <c r="Q563" s="73"/>
      <c r="R563" s="73"/>
      <c r="S563" s="73"/>
      <c r="T563" s="73"/>
      <c r="U563" s="73"/>
      <c r="V563" s="73"/>
      <c r="W563" s="73"/>
      <c r="X563" s="73"/>
      <c r="Y563" s="73"/>
      <c r="Z563" s="73"/>
      <c r="AA563" s="73"/>
      <c r="AB563" s="73"/>
    </row>
    <row r="564">
      <c r="A564" s="73"/>
      <c r="B564" s="73">
        <v>25896.588</v>
      </c>
      <c r="C564" s="73">
        <v>2382516.10882103</v>
      </c>
      <c r="D564" s="73">
        <v>27672.3838745422</v>
      </c>
      <c r="E564" s="73">
        <v>104747.673457556</v>
      </c>
      <c r="F564" s="73"/>
      <c r="G564" s="73"/>
      <c r="H564" s="73"/>
      <c r="I564" s="73"/>
      <c r="J564" s="73"/>
      <c r="K564" s="73"/>
      <c r="L564" s="73"/>
      <c r="M564" s="73"/>
      <c r="N564" s="73"/>
      <c r="O564" s="73"/>
      <c r="P564" s="73"/>
      <c r="Q564" s="73"/>
      <c r="R564" s="73"/>
      <c r="S564" s="73"/>
      <c r="T564" s="73"/>
      <c r="U564" s="73"/>
      <c r="V564" s="73"/>
      <c r="W564" s="73"/>
      <c r="X564" s="73"/>
      <c r="Y564" s="73"/>
      <c r="Z564" s="73"/>
      <c r="AA564" s="73"/>
      <c r="AB564" s="73"/>
    </row>
    <row r="565">
      <c r="A565" s="73"/>
      <c r="B565" s="73">
        <v>25986.013</v>
      </c>
      <c r="C565" s="73">
        <v>2394076.31349993</v>
      </c>
      <c r="D565" s="73">
        <v>27926.4241235504</v>
      </c>
      <c r="E565" s="73">
        <v>105295.486674985</v>
      </c>
      <c r="F565" s="73"/>
      <c r="G565" s="73"/>
      <c r="H565" s="73"/>
      <c r="I565" s="73"/>
      <c r="J565" s="73"/>
      <c r="K565" s="73"/>
      <c r="L565" s="73"/>
      <c r="M565" s="73"/>
      <c r="N565" s="73"/>
      <c r="O565" s="73"/>
      <c r="P565" s="73"/>
      <c r="Q565" s="73"/>
      <c r="R565" s="73"/>
      <c r="S565" s="73"/>
      <c r="T565" s="73"/>
      <c r="U565" s="73"/>
      <c r="V565" s="73"/>
      <c r="W565" s="73"/>
      <c r="X565" s="73"/>
      <c r="Y565" s="73"/>
      <c r="Z565" s="73"/>
      <c r="AA565" s="73"/>
      <c r="AB565" s="73"/>
    </row>
    <row r="566">
      <c r="A566" s="73"/>
      <c r="B566" s="73">
        <v>26075.592</v>
      </c>
      <c r="C566" s="73">
        <v>2405672.31067783</v>
      </c>
      <c r="D566" s="73">
        <v>28184.4934994659</v>
      </c>
      <c r="E566" s="73">
        <v>105845.099825316</v>
      </c>
      <c r="F566" s="73"/>
      <c r="G566" s="73"/>
      <c r="H566" s="73"/>
      <c r="I566" s="73"/>
      <c r="J566" s="73"/>
      <c r="K566" s="73"/>
      <c r="L566" s="73"/>
      <c r="M566" s="73"/>
      <c r="N566" s="73"/>
      <c r="O566" s="73"/>
      <c r="P566" s="73"/>
      <c r="Q566" s="73"/>
      <c r="R566" s="73"/>
      <c r="S566" s="73"/>
      <c r="T566" s="73"/>
      <c r="U566" s="73"/>
      <c r="V566" s="73"/>
      <c r="W566" s="73"/>
      <c r="X566" s="73"/>
      <c r="Y566" s="73"/>
      <c r="Z566" s="73"/>
      <c r="AA566" s="73"/>
      <c r="AB566" s="73"/>
    </row>
    <row r="567">
      <c r="A567" s="73"/>
      <c r="B567" s="73">
        <v>26165.325</v>
      </c>
      <c r="C567" s="73">
        <v>2417303.58535475</v>
      </c>
      <c r="D567" s="73">
        <v>28446.6413753815</v>
      </c>
      <c r="E567" s="73">
        <v>106396.514233549</v>
      </c>
      <c r="F567" s="73"/>
      <c r="G567" s="73"/>
      <c r="H567" s="73"/>
      <c r="I567" s="73"/>
      <c r="J567" s="73"/>
      <c r="K567" s="73"/>
      <c r="L567" s="73"/>
      <c r="M567" s="73"/>
      <c r="N567" s="73"/>
      <c r="O567" s="73"/>
      <c r="P567" s="73"/>
      <c r="Q567" s="73"/>
      <c r="R567" s="73"/>
      <c r="S567" s="73"/>
      <c r="T567" s="73"/>
      <c r="U567" s="73"/>
      <c r="V567" s="73"/>
      <c r="W567" s="73"/>
      <c r="X567" s="73"/>
      <c r="Y567" s="73"/>
      <c r="Z567" s="73"/>
      <c r="AA567" s="73"/>
      <c r="AB567" s="73"/>
    </row>
    <row r="568">
      <c r="A568" s="73"/>
      <c r="B568" s="73">
        <v>26255.212</v>
      </c>
      <c r="C568" s="73">
        <v>2428970.39503068</v>
      </c>
      <c r="D568" s="73">
        <v>28712.9152493896</v>
      </c>
      <c r="E568" s="73">
        <v>106949.728574686</v>
      </c>
      <c r="F568" s="73"/>
      <c r="G568" s="73"/>
      <c r="H568" s="73"/>
      <c r="I568" s="73"/>
      <c r="J568" s="73"/>
      <c r="K568" s="73"/>
      <c r="L568" s="73"/>
      <c r="M568" s="73"/>
      <c r="N568" s="73"/>
      <c r="O568" s="73"/>
      <c r="P568" s="73"/>
      <c r="Q568" s="73"/>
      <c r="R568" s="73"/>
      <c r="S568" s="73"/>
      <c r="T568" s="73"/>
      <c r="U568" s="73"/>
      <c r="V568" s="73"/>
      <c r="W568" s="73"/>
      <c r="X568" s="73"/>
      <c r="Y568" s="73"/>
      <c r="Z568" s="73"/>
      <c r="AA568" s="73"/>
      <c r="AB568" s="73"/>
    </row>
    <row r="569">
      <c r="A569" s="73"/>
      <c r="B569" s="73">
        <v>26345.253</v>
      </c>
      <c r="C569" s="73">
        <v>2440672.73970562</v>
      </c>
      <c r="D569" s="73">
        <v>28983.3638753052</v>
      </c>
      <c r="E569" s="73">
        <v>107504.745498725</v>
      </c>
      <c r="F569" s="73"/>
      <c r="G569" s="73"/>
      <c r="H569" s="73"/>
      <c r="I569" s="73"/>
      <c r="J569" s="73"/>
      <c r="K569" s="73"/>
      <c r="L569" s="73"/>
      <c r="M569" s="73"/>
      <c r="N569" s="73"/>
      <c r="O569" s="73"/>
      <c r="P569" s="73"/>
      <c r="Q569" s="73"/>
      <c r="R569" s="73"/>
      <c r="S569" s="73"/>
      <c r="T569" s="73"/>
      <c r="U569" s="73"/>
      <c r="V569" s="73"/>
      <c r="W569" s="73"/>
      <c r="X569" s="73"/>
      <c r="Y569" s="73"/>
      <c r="Z569" s="73"/>
      <c r="AA569" s="73"/>
      <c r="AB569" s="73"/>
    </row>
    <row r="570">
      <c r="A570" s="73"/>
      <c r="B570" s="73">
        <v>26435.448</v>
      </c>
      <c r="C570" s="73">
        <v>2452410.61937958</v>
      </c>
      <c r="D570" s="73">
        <v>29258.0352493134</v>
      </c>
      <c r="E570" s="73">
        <v>108061.562355667</v>
      </c>
      <c r="F570" s="73"/>
      <c r="G570" s="73"/>
      <c r="H570" s="73"/>
      <c r="I570" s="73"/>
      <c r="J570" s="73"/>
      <c r="K570" s="73"/>
      <c r="L570" s="73"/>
      <c r="M570" s="73"/>
      <c r="N570" s="73"/>
      <c r="O570" s="73"/>
      <c r="P570" s="73"/>
      <c r="Q570" s="73"/>
      <c r="R570" s="73"/>
      <c r="S570" s="73"/>
      <c r="T570" s="73"/>
      <c r="U570" s="73"/>
      <c r="V570" s="73"/>
      <c r="W570" s="73"/>
      <c r="X570" s="73"/>
      <c r="Y570" s="73"/>
      <c r="Z570" s="73"/>
      <c r="AA570" s="73"/>
      <c r="AB570" s="73"/>
    </row>
    <row r="571">
      <c r="A571" s="73"/>
      <c r="B571" s="73">
        <v>26525.797</v>
      </c>
      <c r="C571" s="73">
        <v>2464184.03405255</v>
      </c>
      <c r="D571" s="73">
        <v>29536.9768752289</v>
      </c>
      <c r="E571" s="73">
        <v>108620.193508512</v>
      </c>
      <c r="F571" s="73"/>
      <c r="G571" s="73"/>
      <c r="H571" s="73"/>
      <c r="I571" s="73"/>
      <c r="J571" s="73"/>
      <c r="K571" s="73"/>
      <c r="L571" s="73"/>
      <c r="M571" s="73"/>
      <c r="N571" s="73"/>
      <c r="O571" s="73"/>
      <c r="P571" s="73"/>
      <c r="Q571" s="73"/>
      <c r="R571" s="73"/>
      <c r="S571" s="73"/>
      <c r="T571" s="73"/>
      <c r="U571" s="73"/>
      <c r="V571" s="73"/>
      <c r="W571" s="73"/>
      <c r="X571" s="73"/>
      <c r="Y571" s="73"/>
      <c r="Z571" s="73"/>
      <c r="AA571" s="73"/>
      <c r="AB571" s="73"/>
    </row>
    <row r="572">
      <c r="A572" s="73"/>
      <c r="B572" s="73">
        <v>26616.3</v>
      </c>
      <c r="C572" s="73">
        <v>2475993.49872452</v>
      </c>
      <c r="D572" s="73">
        <v>29820.2366867371</v>
      </c>
      <c r="E572" s="73">
        <v>109180.627244259</v>
      </c>
      <c r="F572" s="73"/>
      <c r="G572" s="73"/>
      <c r="H572" s="73"/>
      <c r="I572" s="73"/>
      <c r="J572" s="73"/>
      <c r="K572" s="73"/>
      <c r="L572" s="73"/>
      <c r="M572" s="73"/>
      <c r="N572" s="73"/>
      <c r="O572" s="73"/>
      <c r="P572" s="73"/>
      <c r="Q572" s="73"/>
      <c r="R572" s="73"/>
      <c r="S572" s="73"/>
      <c r="T572" s="73"/>
      <c r="U572" s="73"/>
      <c r="V572" s="73"/>
      <c r="W572" s="73"/>
      <c r="X572" s="73"/>
      <c r="Y572" s="73"/>
      <c r="Z572" s="73"/>
      <c r="AA572" s="73"/>
      <c r="AB572" s="73"/>
    </row>
    <row r="573">
      <c r="A573" s="73"/>
      <c r="B573" s="73">
        <v>26706.957</v>
      </c>
      <c r="C573" s="73">
        <v>2487838.4983955</v>
      </c>
      <c r="D573" s="73">
        <v>30107.8623751526</v>
      </c>
      <c r="E573" s="73">
        <v>109742.872625908</v>
      </c>
      <c r="F573" s="73"/>
      <c r="G573" s="73"/>
      <c r="H573" s="73"/>
      <c r="I573" s="73"/>
      <c r="J573" s="73"/>
      <c r="K573" s="73"/>
      <c r="L573" s="73"/>
      <c r="M573" s="73"/>
      <c r="N573" s="73"/>
      <c r="O573" s="73"/>
      <c r="P573" s="73"/>
      <c r="Q573" s="73"/>
      <c r="R573" s="73"/>
      <c r="S573" s="73"/>
      <c r="T573" s="73"/>
      <c r="U573" s="73"/>
      <c r="V573" s="73"/>
      <c r="W573" s="73"/>
      <c r="X573" s="73"/>
      <c r="Y573" s="73"/>
      <c r="Z573" s="73"/>
      <c r="AA573" s="73"/>
      <c r="AB573" s="73"/>
    </row>
    <row r="574">
      <c r="A574" s="73"/>
      <c r="B574" s="73">
        <v>26797.768</v>
      </c>
      <c r="C574" s="73">
        <v>2499719.0330655</v>
      </c>
      <c r="D574" s="73">
        <v>30399.9003116608</v>
      </c>
      <c r="E574" s="73">
        <v>110306.932303459</v>
      </c>
      <c r="F574" s="73"/>
      <c r="G574" s="73"/>
      <c r="H574" s="73"/>
      <c r="I574" s="73"/>
      <c r="J574" s="73"/>
      <c r="K574" s="73"/>
      <c r="L574" s="73"/>
      <c r="M574" s="73"/>
      <c r="N574" s="73"/>
      <c r="O574" s="73"/>
      <c r="P574" s="73"/>
      <c r="Q574" s="73"/>
      <c r="R574" s="73"/>
      <c r="S574" s="73"/>
      <c r="T574" s="73"/>
      <c r="U574" s="73"/>
      <c r="V574" s="73"/>
      <c r="W574" s="73"/>
      <c r="X574" s="73"/>
      <c r="Y574" s="73"/>
      <c r="Z574" s="73"/>
      <c r="AA574" s="73"/>
      <c r="AB574" s="73"/>
    </row>
    <row r="575">
      <c r="A575" s="73"/>
      <c r="B575" s="73">
        <v>26888.733</v>
      </c>
      <c r="C575" s="73">
        <v>2511635.87523448</v>
      </c>
      <c r="D575" s="73">
        <v>30696.3999375763</v>
      </c>
      <c r="E575" s="73">
        <v>110872.797213913</v>
      </c>
      <c r="F575" s="73"/>
      <c r="G575" s="73"/>
      <c r="H575" s="73"/>
      <c r="I575" s="73"/>
      <c r="J575" s="73"/>
      <c r="K575" s="73"/>
      <c r="L575" s="73"/>
      <c r="M575" s="73"/>
      <c r="N575" s="73"/>
      <c r="O575" s="73"/>
      <c r="P575" s="73"/>
      <c r="Q575" s="73"/>
      <c r="R575" s="73"/>
      <c r="S575" s="73"/>
      <c r="T575" s="73"/>
      <c r="U575" s="73"/>
      <c r="V575" s="73"/>
      <c r="W575" s="73"/>
      <c r="X575" s="73"/>
      <c r="Y575" s="73"/>
      <c r="Z575" s="73"/>
      <c r="AA575" s="73"/>
      <c r="AB575" s="73"/>
    </row>
    <row r="576">
      <c r="A576" s="73"/>
      <c r="B576" s="73">
        <v>26979.852</v>
      </c>
      <c r="C576" s="73">
        <v>2523588.25240248</v>
      </c>
      <c r="D576" s="73">
        <v>30997.4079365845</v>
      </c>
      <c r="E576" s="73">
        <v>111440.475095268</v>
      </c>
      <c r="F576" s="73"/>
      <c r="G576" s="73"/>
      <c r="H576" s="73"/>
      <c r="I576" s="73"/>
      <c r="J576" s="73"/>
      <c r="K576" s="73"/>
      <c r="L576" s="73"/>
      <c r="M576" s="73"/>
      <c r="N576" s="73"/>
      <c r="O576" s="73"/>
      <c r="P576" s="73"/>
      <c r="Q576" s="73"/>
      <c r="R576" s="73"/>
      <c r="S576" s="73"/>
      <c r="T576" s="73"/>
      <c r="U576" s="73"/>
      <c r="V576" s="73"/>
      <c r="W576" s="73"/>
      <c r="X576" s="73"/>
      <c r="Y576" s="73"/>
      <c r="Z576" s="73"/>
      <c r="AA576" s="73"/>
      <c r="AB576" s="73"/>
    </row>
    <row r="577">
      <c r="A577" s="73"/>
      <c r="B577" s="73">
        <v>27071.125</v>
      </c>
      <c r="C577" s="73">
        <v>2535576.67956948</v>
      </c>
      <c r="D577" s="73">
        <v>31302.9705625</v>
      </c>
      <c r="E577" s="73">
        <v>112009.978985526</v>
      </c>
      <c r="F577" s="73"/>
      <c r="G577" s="73"/>
      <c r="H577" s="73"/>
      <c r="I577" s="73"/>
      <c r="J577" s="73"/>
      <c r="K577" s="73"/>
      <c r="L577" s="73"/>
      <c r="M577" s="73"/>
      <c r="N577" s="73"/>
      <c r="O577" s="73"/>
      <c r="P577" s="73"/>
      <c r="Q577" s="73"/>
      <c r="R577" s="73"/>
      <c r="S577" s="73"/>
      <c r="T577" s="73"/>
      <c r="U577" s="73"/>
      <c r="V577" s="73"/>
      <c r="W577" s="73"/>
      <c r="X577" s="73"/>
      <c r="Y577" s="73"/>
      <c r="Z577" s="73"/>
      <c r="AA577" s="73"/>
      <c r="AB577" s="73"/>
    </row>
    <row r="578">
      <c r="A578" s="73"/>
      <c r="B578" s="73">
        <v>27162.552</v>
      </c>
      <c r="C578" s="73">
        <v>2547601.15673548</v>
      </c>
      <c r="D578" s="73">
        <v>31613.1356240082</v>
      </c>
      <c r="E578" s="73">
        <v>112581.298496685</v>
      </c>
      <c r="F578" s="73"/>
      <c r="G578" s="73"/>
      <c r="H578" s="73"/>
      <c r="I578" s="73"/>
      <c r="J578" s="73"/>
      <c r="K578" s="73"/>
      <c r="L578" s="73"/>
      <c r="M578" s="73"/>
      <c r="N578" s="73"/>
      <c r="O578" s="73"/>
      <c r="P578" s="73"/>
      <c r="Q578" s="73"/>
      <c r="R578" s="73"/>
      <c r="S578" s="73"/>
      <c r="T578" s="73"/>
      <c r="U578" s="73"/>
      <c r="V578" s="73"/>
      <c r="W578" s="73"/>
      <c r="X578" s="73"/>
      <c r="Y578" s="73"/>
      <c r="Z578" s="73"/>
      <c r="AA578" s="73"/>
      <c r="AB578" s="73"/>
    </row>
    <row r="579">
      <c r="A579" s="73"/>
      <c r="B579" s="73">
        <v>27254.133</v>
      </c>
      <c r="C579" s="73">
        <v>2559661.42640048</v>
      </c>
      <c r="D579" s="73">
        <v>31927.9514374237</v>
      </c>
      <c r="E579" s="73">
        <v>113154.433628746</v>
      </c>
      <c r="F579" s="73"/>
      <c r="G579" s="73"/>
      <c r="H579" s="73"/>
      <c r="I579" s="73"/>
      <c r="J579" s="73"/>
      <c r="K579" s="73"/>
      <c r="L579" s="73"/>
      <c r="M579" s="73"/>
      <c r="N579" s="73"/>
      <c r="O579" s="73"/>
      <c r="P579" s="73"/>
      <c r="Q579" s="73"/>
      <c r="R579" s="73"/>
      <c r="S579" s="73"/>
      <c r="T579" s="73"/>
      <c r="U579" s="73"/>
      <c r="V579" s="73"/>
      <c r="W579" s="73"/>
      <c r="X579" s="73"/>
      <c r="Y579" s="73"/>
      <c r="Z579" s="73"/>
      <c r="AA579" s="73"/>
      <c r="AB579" s="73"/>
    </row>
    <row r="580">
      <c r="A580" s="73"/>
      <c r="B580" s="73">
        <v>27345.868</v>
      </c>
      <c r="C580" s="73">
        <v>2571757.74606448</v>
      </c>
      <c r="D580" s="73">
        <v>32247.4621864319</v>
      </c>
      <c r="E580" s="73">
        <v>113729.394769709</v>
      </c>
      <c r="F580" s="73"/>
      <c r="G580" s="73"/>
      <c r="H580" s="73"/>
      <c r="I580" s="73"/>
      <c r="J580" s="73"/>
      <c r="K580" s="73"/>
      <c r="L580" s="73"/>
      <c r="M580" s="73"/>
      <c r="N580" s="73"/>
      <c r="O580" s="73"/>
      <c r="P580" s="73"/>
      <c r="Q580" s="73"/>
      <c r="R580" s="73"/>
      <c r="S580" s="73"/>
      <c r="T580" s="73"/>
      <c r="U580" s="73"/>
      <c r="V580" s="73"/>
      <c r="W580" s="73"/>
      <c r="X580" s="73"/>
      <c r="Y580" s="73"/>
      <c r="Z580" s="73"/>
      <c r="AA580" s="73"/>
      <c r="AB580" s="73"/>
    </row>
    <row r="581">
      <c r="A581" s="73"/>
      <c r="B581" s="73">
        <v>27437.757</v>
      </c>
      <c r="C581" s="73">
        <v>2583890.11572748</v>
      </c>
      <c r="D581" s="73">
        <v>32571.7177498474</v>
      </c>
      <c r="E581" s="73">
        <v>114306.183244573</v>
      </c>
      <c r="F581" s="73"/>
      <c r="G581" s="73"/>
      <c r="H581" s="73"/>
      <c r="I581" s="73"/>
      <c r="J581" s="73"/>
      <c r="K581" s="73"/>
      <c r="L581" s="73"/>
      <c r="M581" s="73"/>
      <c r="N581" s="73"/>
      <c r="O581" s="73"/>
      <c r="P581" s="73"/>
      <c r="Q581" s="73"/>
      <c r="R581" s="73"/>
      <c r="S581" s="73"/>
      <c r="T581" s="73"/>
      <c r="U581" s="73"/>
      <c r="V581" s="73"/>
      <c r="W581" s="73"/>
      <c r="X581" s="73"/>
      <c r="Y581" s="73"/>
      <c r="Z581" s="73"/>
      <c r="AA581" s="73"/>
      <c r="AB581" s="73"/>
    </row>
    <row r="582">
      <c r="A582" s="73"/>
      <c r="B582" s="73">
        <v>27529.8</v>
      </c>
      <c r="C582" s="73">
        <v>2596059.05038947</v>
      </c>
      <c r="D582" s="73">
        <v>32900.7619988556</v>
      </c>
      <c r="E582" s="73">
        <v>114884.787340339</v>
      </c>
      <c r="F582" s="73"/>
      <c r="G582" s="73"/>
      <c r="H582" s="73"/>
      <c r="I582" s="73"/>
      <c r="J582" s="73"/>
      <c r="K582" s="73"/>
      <c r="L582" s="73"/>
      <c r="M582" s="73"/>
      <c r="N582" s="73"/>
      <c r="O582" s="73"/>
      <c r="P582" s="73"/>
      <c r="Q582" s="73"/>
      <c r="R582" s="73"/>
      <c r="S582" s="73"/>
      <c r="T582" s="73"/>
      <c r="U582" s="73"/>
      <c r="V582" s="73"/>
      <c r="W582" s="73"/>
      <c r="X582" s="73"/>
      <c r="Y582" s="73"/>
      <c r="Z582" s="73"/>
      <c r="AA582" s="73"/>
      <c r="AB582" s="73"/>
    </row>
    <row r="583">
      <c r="A583" s="73"/>
      <c r="B583" s="73">
        <v>27621.997</v>
      </c>
      <c r="C583" s="73">
        <v>2608263.77755046</v>
      </c>
      <c r="D583" s="73">
        <v>33234.6438747711</v>
      </c>
      <c r="E583" s="73">
        <v>115465.220095006</v>
      </c>
      <c r="F583" s="73"/>
      <c r="G583" s="73"/>
      <c r="H583" s="73"/>
      <c r="I583" s="73"/>
      <c r="J583" s="73"/>
      <c r="K583" s="73"/>
      <c r="L583" s="73"/>
      <c r="M583" s="73"/>
      <c r="N583" s="73"/>
      <c r="O583" s="73"/>
      <c r="P583" s="73"/>
      <c r="Q583" s="73"/>
      <c r="R583" s="73"/>
      <c r="S583" s="73"/>
      <c r="T583" s="73"/>
      <c r="U583" s="73"/>
      <c r="V583" s="73"/>
      <c r="W583" s="73"/>
      <c r="X583" s="73"/>
      <c r="Y583" s="73"/>
      <c r="Z583" s="73"/>
      <c r="AA583" s="73"/>
      <c r="AB583" s="73"/>
    </row>
    <row r="584">
      <c r="A584" s="73"/>
      <c r="B584" s="73">
        <v>27714.348</v>
      </c>
      <c r="C584" s="73">
        <v>2620504.81221044</v>
      </c>
      <c r="D584" s="73">
        <v>33573.4101237793</v>
      </c>
      <c r="E584" s="73">
        <v>116047.481508575</v>
      </c>
      <c r="F584" s="73"/>
      <c r="G584" s="73"/>
      <c r="H584" s="73"/>
      <c r="I584" s="73"/>
      <c r="J584" s="73"/>
      <c r="K584" s="73"/>
      <c r="L584" s="73"/>
      <c r="M584" s="73"/>
      <c r="N584" s="73"/>
      <c r="O584" s="73"/>
      <c r="P584" s="73"/>
      <c r="Q584" s="73"/>
      <c r="R584" s="73"/>
      <c r="S584" s="73"/>
      <c r="T584" s="73"/>
      <c r="U584" s="73"/>
      <c r="V584" s="73"/>
      <c r="W584" s="73"/>
      <c r="X584" s="73"/>
      <c r="Y584" s="73"/>
      <c r="Z584" s="73"/>
      <c r="AA584" s="73"/>
      <c r="AB584" s="73"/>
    </row>
    <row r="585">
      <c r="A585" s="73"/>
      <c r="B585" s="73">
        <v>27806.853</v>
      </c>
      <c r="C585" s="73">
        <v>2632782.41186941</v>
      </c>
      <c r="D585" s="73">
        <v>33917.1053746948</v>
      </c>
      <c r="E585" s="73">
        <v>116631.580644044</v>
      </c>
      <c r="F585" s="73"/>
      <c r="G585" s="73"/>
      <c r="H585" s="73"/>
      <c r="I585" s="73"/>
      <c r="J585" s="73"/>
      <c r="K585" s="73"/>
      <c r="L585" s="73"/>
      <c r="M585" s="73"/>
      <c r="N585" s="73"/>
      <c r="O585" s="73"/>
      <c r="P585" s="73"/>
      <c r="Q585" s="73"/>
      <c r="R585" s="73"/>
      <c r="S585" s="73"/>
      <c r="T585" s="73"/>
      <c r="U585" s="73"/>
      <c r="V585" s="73"/>
      <c r="W585" s="73"/>
      <c r="X585" s="73"/>
      <c r="Y585" s="73"/>
      <c r="Z585" s="73"/>
      <c r="AA585" s="73"/>
      <c r="AB585" s="73"/>
    </row>
    <row r="586">
      <c r="A586" s="73"/>
      <c r="B586" s="73">
        <v>27899.512</v>
      </c>
      <c r="C586" s="73">
        <v>2645095.80402738</v>
      </c>
      <c r="D586" s="73">
        <v>34265.776998703</v>
      </c>
      <c r="E586" s="73">
        <v>117217.509763415</v>
      </c>
      <c r="F586" s="73"/>
      <c r="G586" s="73"/>
      <c r="H586" s="73"/>
      <c r="I586" s="73"/>
      <c r="J586" s="73"/>
      <c r="K586" s="73"/>
      <c r="L586" s="73"/>
      <c r="M586" s="73"/>
      <c r="N586" s="73"/>
      <c r="O586" s="73"/>
      <c r="P586" s="73"/>
      <c r="Q586" s="73"/>
      <c r="R586" s="73"/>
      <c r="S586" s="73"/>
      <c r="T586" s="73"/>
      <c r="U586" s="73"/>
      <c r="V586" s="73"/>
      <c r="W586" s="73"/>
      <c r="X586" s="73"/>
      <c r="Y586" s="73"/>
      <c r="Z586" s="73"/>
      <c r="AA586" s="73"/>
      <c r="AB586" s="73"/>
    </row>
    <row r="587">
      <c r="A587" s="73"/>
      <c r="B587" s="73">
        <v>27992.325</v>
      </c>
      <c r="C587" s="73">
        <v>2657446.01868433</v>
      </c>
      <c r="D587" s="73">
        <v>34619.4729996185</v>
      </c>
      <c r="E587" s="73">
        <v>117805.266216687</v>
      </c>
      <c r="F587" s="73"/>
      <c r="G587" s="73"/>
      <c r="H587" s="73"/>
      <c r="I587" s="73"/>
      <c r="J587" s="73"/>
      <c r="K587" s="73"/>
      <c r="L587" s="73"/>
      <c r="M587" s="73"/>
      <c r="N587" s="73"/>
      <c r="O587" s="73"/>
      <c r="P587" s="73"/>
      <c r="Q587" s="73"/>
      <c r="R587" s="73"/>
      <c r="S587" s="73"/>
      <c r="T587" s="73"/>
      <c r="U587" s="73"/>
      <c r="V587" s="73"/>
      <c r="W587" s="73"/>
      <c r="X587" s="73"/>
      <c r="Y587" s="73"/>
      <c r="Z587" s="73"/>
      <c r="AA587" s="73"/>
      <c r="AB587" s="73"/>
    </row>
    <row r="588">
      <c r="A588" s="73"/>
      <c r="B588" s="73">
        <v>28085.292</v>
      </c>
      <c r="C588" s="73">
        <v>2669832.54084027</v>
      </c>
      <c r="D588" s="73">
        <v>34978.2372486267</v>
      </c>
      <c r="E588" s="73">
        <v>118394.86436686</v>
      </c>
      <c r="F588" s="73"/>
      <c r="G588" s="73"/>
      <c r="H588" s="73"/>
      <c r="I588" s="73"/>
      <c r="J588" s="73"/>
      <c r="K588" s="73"/>
      <c r="L588" s="73"/>
      <c r="M588" s="73"/>
      <c r="N588" s="73"/>
      <c r="O588" s="73"/>
      <c r="P588" s="73"/>
      <c r="Q588" s="73"/>
      <c r="R588" s="73"/>
      <c r="S588" s="73"/>
      <c r="T588" s="73"/>
      <c r="U588" s="73"/>
      <c r="V588" s="73"/>
      <c r="W588" s="73"/>
      <c r="X588" s="73"/>
      <c r="Y588" s="73"/>
      <c r="Z588" s="73"/>
      <c r="AA588" s="73"/>
      <c r="AB588" s="73"/>
    </row>
    <row r="589">
      <c r="A589" s="73"/>
      <c r="B589" s="73">
        <v>28178.413</v>
      </c>
      <c r="C589" s="73">
        <v>2682255.3704952</v>
      </c>
      <c r="D589" s="73">
        <v>35342.1166245422</v>
      </c>
      <c r="E589" s="73">
        <v>118986.292500933</v>
      </c>
      <c r="F589" s="73"/>
      <c r="G589" s="73"/>
      <c r="H589" s="73"/>
      <c r="I589" s="73"/>
      <c r="J589" s="73"/>
      <c r="K589" s="73"/>
      <c r="L589" s="73"/>
      <c r="M589" s="73"/>
      <c r="N589" s="73"/>
      <c r="O589" s="73"/>
      <c r="P589" s="73"/>
      <c r="Q589" s="73"/>
      <c r="R589" s="73"/>
      <c r="S589" s="73"/>
      <c r="T589" s="73"/>
      <c r="U589" s="73"/>
      <c r="V589" s="73"/>
      <c r="W589" s="73"/>
      <c r="X589" s="73"/>
      <c r="Y589" s="73"/>
      <c r="Z589" s="73"/>
      <c r="AA589" s="73"/>
      <c r="AB589" s="73"/>
    </row>
    <row r="590">
      <c r="A590" s="73"/>
      <c r="B590" s="73">
        <v>28271.688</v>
      </c>
      <c r="C590" s="73">
        <v>2694714.76514912</v>
      </c>
      <c r="D590" s="73">
        <v>35711.1572485504</v>
      </c>
      <c r="E590" s="73">
        <v>119579.559681908</v>
      </c>
      <c r="F590" s="73"/>
      <c r="G590" s="73"/>
      <c r="H590" s="73"/>
      <c r="I590" s="73"/>
      <c r="J590" s="73"/>
      <c r="K590" s="73"/>
      <c r="L590" s="73"/>
      <c r="M590" s="73"/>
      <c r="N590" s="73"/>
      <c r="O590" s="73"/>
      <c r="P590" s="73"/>
      <c r="Q590" s="73"/>
      <c r="R590" s="73"/>
      <c r="S590" s="73"/>
      <c r="T590" s="73"/>
      <c r="U590" s="73"/>
      <c r="V590" s="73"/>
      <c r="W590" s="73"/>
      <c r="X590" s="73"/>
      <c r="Y590" s="73"/>
      <c r="Z590" s="73"/>
      <c r="AA590" s="73"/>
      <c r="AB590" s="73"/>
    </row>
    <row r="591">
      <c r="A591" s="73"/>
      <c r="B591" s="73">
        <v>28365.117</v>
      </c>
      <c r="C591" s="73">
        <v>2707210.46730202</v>
      </c>
      <c r="D591" s="73">
        <v>36085.4066244659</v>
      </c>
      <c r="E591" s="73">
        <v>120174.680272782</v>
      </c>
      <c r="F591" s="73"/>
      <c r="G591" s="73"/>
      <c r="H591" s="73"/>
      <c r="I591" s="73"/>
      <c r="J591" s="73"/>
      <c r="K591" s="73"/>
      <c r="L591" s="73"/>
      <c r="M591" s="73"/>
      <c r="N591" s="73"/>
      <c r="O591" s="73"/>
      <c r="P591" s="73"/>
      <c r="Q591" s="73"/>
      <c r="R591" s="73"/>
      <c r="S591" s="73"/>
      <c r="T591" s="73"/>
      <c r="U591" s="73"/>
      <c r="V591" s="73"/>
      <c r="W591" s="73"/>
      <c r="X591" s="73"/>
      <c r="Y591" s="73"/>
      <c r="Z591" s="73"/>
      <c r="AA591" s="73"/>
      <c r="AB591" s="73"/>
    </row>
    <row r="592">
      <c r="A592" s="73"/>
      <c r="B592" s="73">
        <v>28458.7</v>
      </c>
      <c r="C592" s="73">
        <v>2719743.2494539</v>
      </c>
      <c r="D592" s="73">
        <v>36464.9097503815</v>
      </c>
      <c r="E592" s="73">
        <v>120771.630847558</v>
      </c>
      <c r="F592" s="73"/>
      <c r="G592" s="73"/>
      <c r="H592" s="73"/>
      <c r="I592" s="73"/>
      <c r="J592" s="73"/>
      <c r="K592" s="73"/>
      <c r="L592" s="73"/>
      <c r="M592" s="73"/>
      <c r="N592" s="73"/>
      <c r="O592" s="73"/>
      <c r="P592" s="73"/>
      <c r="Q592" s="73"/>
      <c r="R592" s="73"/>
      <c r="S592" s="73"/>
      <c r="T592" s="73"/>
      <c r="U592" s="73"/>
      <c r="V592" s="73"/>
      <c r="W592" s="73"/>
      <c r="X592" s="73"/>
      <c r="Y592" s="73"/>
      <c r="Z592" s="73"/>
      <c r="AA592" s="73"/>
      <c r="AB592" s="73"/>
    </row>
    <row r="593">
      <c r="A593" s="73"/>
      <c r="B593" s="73">
        <v>28552.437</v>
      </c>
      <c r="C593" s="73">
        <v>2732312.33910477</v>
      </c>
      <c r="D593" s="73">
        <v>36849.7111243897</v>
      </c>
      <c r="E593" s="73">
        <v>121370.423119234</v>
      </c>
      <c r="F593" s="73"/>
      <c r="G593" s="73"/>
      <c r="H593" s="73"/>
      <c r="I593" s="73"/>
      <c r="J593" s="73"/>
      <c r="K593" s="73"/>
      <c r="L593" s="73"/>
      <c r="M593" s="73"/>
      <c r="N593" s="73"/>
      <c r="O593" s="73"/>
      <c r="P593" s="73"/>
      <c r="Q593" s="73"/>
      <c r="R593" s="73"/>
      <c r="S593" s="73"/>
      <c r="T593" s="73"/>
      <c r="U593" s="73"/>
      <c r="V593" s="73"/>
      <c r="W593" s="73"/>
      <c r="X593" s="73"/>
      <c r="Y593" s="73"/>
      <c r="Z593" s="73"/>
      <c r="AA593" s="73"/>
      <c r="AB593" s="73"/>
    </row>
    <row r="594">
      <c r="A594" s="73"/>
      <c r="B594" s="73">
        <v>28646.328</v>
      </c>
      <c r="C594" s="73">
        <v>2744918.25125462</v>
      </c>
      <c r="D594" s="73">
        <v>37239.8581253052</v>
      </c>
      <c r="E594" s="73">
        <v>121971.067475811</v>
      </c>
      <c r="F594" s="73"/>
      <c r="G594" s="73"/>
      <c r="H594" s="73"/>
      <c r="I594" s="73"/>
      <c r="J594" s="73"/>
      <c r="K594" s="73"/>
      <c r="L594" s="73"/>
      <c r="M594" s="73"/>
      <c r="N594" s="73"/>
      <c r="O594" s="73"/>
      <c r="P594" s="73"/>
      <c r="Q594" s="73"/>
      <c r="R594" s="73"/>
      <c r="S594" s="73"/>
      <c r="T594" s="73"/>
      <c r="U594" s="73"/>
      <c r="V594" s="73"/>
      <c r="W594" s="73"/>
      <c r="X594" s="73"/>
      <c r="Y594" s="73"/>
      <c r="Z594" s="73"/>
      <c r="AA594" s="73"/>
      <c r="AB594" s="73"/>
    </row>
    <row r="595">
      <c r="A595" s="73"/>
      <c r="B595" s="73">
        <v>28740.373</v>
      </c>
      <c r="C595" s="73">
        <v>2757560.98590344</v>
      </c>
      <c r="D595" s="73">
        <v>37635.3968743134</v>
      </c>
      <c r="E595" s="73">
        <v>122573.556179287</v>
      </c>
      <c r="F595" s="73"/>
      <c r="G595" s="73"/>
      <c r="H595" s="73"/>
      <c r="I595" s="73"/>
      <c r="J595" s="73"/>
      <c r="K595" s="73"/>
      <c r="L595" s="73"/>
      <c r="M595" s="73"/>
      <c r="N595" s="73"/>
      <c r="O595" s="73"/>
      <c r="P595" s="73"/>
      <c r="Q595" s="73"/>
      <c r="R595" s="73"/>
      <c r="S595" s="73"/>
      <c r="T595" s="73"/>
      <c r="U595" s="73"/>
      <c r="V595" s="73"/>
      <c r="W595" s="73"/>
      <c r="X595" s="73"/>
      <c r="Y595" s="73"/>
      <c r="Z595" s="73"/>
      <c r="AA595" s="73"/>
      <c r="AB595" s="73"/>
    </row>
    <row r="596">
      <c r="A596" s="73"/>
      <c r="B596" s="73">
        <v>28834.572</v>
      </c>
      <c r="C596" s="73">
        <v>2770240.28555125</v>
      </c>
      <c r="D596" s="73">
        <v>38036.3725002289</v>
      </c>
      <c r="E596" s="73">
        <v>123177.896967664</v>
      </c>
      <c r="F596" s="73"/>
      <c r="G596" s="73"/>
      <c r="H596" s="73"/>
      <c r="I596" s="73"/>
      <c r="J596" s="73"/>
      <c r="K596" s="73"/>
      <c r="L596" s="73"/>
      <c r="M596" s="73"/>
      <c r="N596" s="73"/>
      <c r="O596" s="73"/>
      <c r="P596" s="73"/>
      <c r="Q596" s="73"/>
      <c r="R596" s="73"/>
      <c r="S596" s="73"/>
      <c r="T596" s="73"/>
      <c r="U596" s="73"/>
      <c r="V596" s="73"/>
      <c r="W596" s="73"/>
      <c r="X596" s="73"/>
      <c r="Y596" s="73"/>
      <c r="Z596" s="73"/>
      <c r="AA596" s="73"/>
      <c r="AB596" s="73"/>
    </row>
    <row r="597">
      <c r="A597" s="73"/>
      <c r="B597" s="73">
        <v>28928.925</v>
      </c>
      <c r="C597" s="73">
        <v>2782956.40769804</v>
      </c>
      <c r="D597" s="73">
        <v>38442.8299992371</v>
      </c>
      <c r="E597" s="73">
        <v>123784.092490941</v>
      </c>
      <c r="F597" s="73"/>
      <c r="G597" s="73"/>
      <c r="H597" s="73"/>
      <c r="I597" s="73"/>
      <c r="J597" s="73"/>
      <c r="K597" s="73"/>
      <c r="L597" s="73"/>
      <c r="M597" s="73"/>
      <c r="N597" s="73"/>
      <c r="O597" s="73"/>
      <c r="P597" s="73"/>
      <c r="Q597" s="73"/>
      <c r="R597" s="73"/>
      <c r="S597" s="73"/>
      <c r="T597" s="73"/>
      <c r="U597" s="73"/>
      <c r="V597" s="73"/>
      <c r="W597" s="73"/>
      <c r="X597" s="73"/>
      <c r="Y597" s="73"/>
      <c r="Z597" s="73"/>
      <c r="AA597" s="73"/>
      <c r="AB597" s="73"/>
    </row>
    <row r="598">
      <c r="A598" s="73"/>
      <c r="B598" s="73">
        <v>29023.432</v>
      </c>
      <c r="C598" s="73">
        <v>2795709.3523438</v>
      </c>
      <c r="D598" s="73">
        <v>38854.8143751526</v>
      </c>
      <c r="E598" s="73">
        <v>124392.141424117</v>
      </c>
      <c r="F598" s="73"/>
      <c r="G598" s="73"/>
      <c r="H598" s="73"/>
      <c r="I598" s="73"/>
      <c r="J598" s="73"/>
      <c r="K598" s="73"/>
      <c r="L598" s="73"/>
      <c r="M598" s="73"/>
      <c r="N598" s="73"/>
      <c r="O598" s="73"/>
      <c r="P598" s="73"/>
      <c r="Q598" s="73"/>
      <c r="R598" s="73"/>
      <c r="S598" s="73"/>
      <c r="T598" s="73"/>
      <c r="U598" s="73"/>
      <c r="V598" s="73"/>
      <c r="W598" s="73"/>
      <c r="X598" s="73"/>
      <c r="Y598" s="73"/>
      <c r="Z598" s="73"/>
      <c r="AA598" s="73"/>
      <c r="AB598" s="73"/>
    </row>
    <row r="599">
      <c r="A599" s="73"/>
      <c r="B599" s="73">
        <v>29118.093</v>
      </c>
      <c r="C599" s="73">
        <v>2808499.63448852</v>
      </c>
      <c r="D599" s="73">
        <v>39272.3718741608</v>
      </c>
      <c r="E599" s="73">
        <v>125002.033379194</v>
      </c>
      <c r="F599" s="73"/>
      <c r="G599" s="73"/>
      <c r="H599" s="73"/>
      <c r="I599" s="73"/>
      <c r="J599" s="73"/>
      <c r="K599" s="73"/>
      <c r="L599" s="73"/>
      <c r="M599" s="73"/>
      <c r="N599" s="73"/>
      <c r="O599" s="73"/>
      <c r="P599" s="73"/>
      <c r="Q599" s="73"/>
      <c r="R599" s="73"/>
      <c r="S599" s="73"/>
      <c r="T599" s="73"/>
      <c r="U599" s="73"/>
      <c r="V599" s="73"/>
      <c r="W599" s="73"/>
      <c r="X599" s="73"/>
      <c r="Y599" s="73"/>
      <c r="Z599" s="73"/>
      <c r="AA599" s="73"/>
      <c r="AB599" s="73"/>
    </row>
    <row r="600">
      <c r="A600" s="73"/>
      <c r="B600" s="73">
        <v>29212.908</v>
      </c>
      <c r="C600" s="73">
        <v>2821326.22413224</v>
      </c>
      <c r="D600" s="73">
        <v>39695.5497500763</v>
      </c>
      <c r="E600" s="73">
        <v>125613.781394171</v>
      </c>
      <c r="F600" s="73"/>
      <c r="G600" s="73"/>
      <c r="H600" s="73"/>
      <c r="I600" s="73"/>
      <c r="J600" s="73"/>
      <c r="K600" s="73"/>
      <c r="L600" s="73"/>
      <c r="M600" s="73"/>
      <c r="N600" s="73"/>
      <c r="O600" s="73"/>
      <c r="P600" s="73"/>
      <c r="Q600" s="73"/>
      <c r="R600" s="73"/>
      <c r="S600" s="73"/>
      <c r="T600" s="73"/>
      <c r="U600" s="73"/>
      <c r="V600" s="73"/>
      <c r="W600" s="73"/>
      <c r="X600" s="73"/>
      <c r="Y600" s="73"/>
      <c r="Z600" s="73"/>
      <c r="AA600" s="73"/>
      <c r="AB600" s="73"/>
    </row>
    <row r="601">
      <c r="A601" s="73"/>
      <c r="B601" s="73">
        <v>29307.877</v>
      </c>
      <c r="C601" s="73">
        <v>2834190.15127492</v>
      </c>
      <c r="D601" s="73">
        <v>40124.3894990845</v>
      </c>
      <c r="E601" s="73">
        <v>126227.394532047</v>
      </c>
      <c r="F601" s="73"/>
      <c r="G601" s="73"/>
      <c r="H601" s="73"/>
      <c r="I601" s="73"/>
      <c r="J601" s="73"/>
      <c r="K601" s="73"/>
      <c r="L601" s="73"/>
      <c r="M601" s="73"/>
      <c r="N601" s="73"/>
      <c r="O601" s="73"/>
      <c r="P601" s="73"/>
      <c r="Q601" s="73"/>
      <c r="R601" s="73"/>
      <c r="S601" s="73"/>
      <c r="T601" s="73"/>
      <c r="U601" s="73"/>
      <c r="V601" s="73"/>
      <c r="W601" s="73"/>
      <c r="X601" s="73"/>
      <c r="Y601" s="73"/>
      <c r="Z601" s="73"/>
      <c r="AA601" s="73"/>
      <c r="AB601" s="73"/>
    </row>
    <row r="602">
      <c r="A602" s="73"/>
      <c r="B602" s="73">
        <v>29403.0</v>
      </c>
      <c r="C602" s="73">
        <v>2847091.15841657</v>
      </c>
      <c r="D602" s="73">
        <v>40558.940875</v>
      </c>
      <c r="E602" s="73">
        <v>126842.863729823</v>
      </c>
      <c r="F602" s="73"/>
      <c r="G602" s="73"/>
      <c r="H602" s="73"/>
      <c r="I602" s="73"/>
      <c r="J602" s="73"/>
      <c r="K602" s="73"/>
      <c r="L602" s="73"/>
      <c r="M602" s="73"/>
      <c r="N602" s="73"/>
      <c r="O602" s="73"/>
      <c r="P602" s="73"/>
      <c r="Q602" s="73"/>
      <c r="R602" s="73"/>
      <c r="S602" s="73"/>
      <c r="T602" s="73"/>
      <c r="U602" s="73"/>
      <c r="V602" s="73"/>
      <c r="W602" s="73"/>
      <c r="X602" s="73"/>
      <c r="Y602" s="73"/>
      <c r="Z602" s="73"/>
      <c r="AA602" s="73"/>
      <c r="AB602" s="73"/>
    </row>
    <row r="603">
      <c r="A603" s="73"/>
      <c r="B603" s="73">
        <v>29498.277</v>
      </c>
      <c r="C603" s="73">
        <v>2860029.24555719</v>
      </c>
      <c r="D603" s="73">
        <v>40999.2459990082</v>
      </c>
      <c r="E603" s="73">
        <v>127460.199375499</v>
      </c>
      <c r="F603" s="73"/>
      <c r="G603" s="73"/>
      <c r="H603" s="73"/>
      <c r="I603" s="73"/>
      <c r="J603" s="73"/>
      <c r="K603" s="73"/>
      <c r="L603" s="73"/>
      <c r="M603" s="73"/>
      <c r="N603" s="73"/>
      <c r="O603" s="73"/>
      <c r="P603" s="73"/>
      <c r="Q603" s="73"/>
      <c r="R603" s="73"/>
      <c r="S603" s="73"/>
      <c r="T603" s="73"/>
      <c r="U603" s="73"/>
      <c r="V603" s="73"/>
      <c r="W603" s="73"/>
      <c r="X603" s="73"/>
      <c r="Y603" s="73"/>
      <c r="Z603" s="73"/>
      <c r="AA603" s="73"/>
      <c r="AB603" s="73"/>
    </row>
    <row r="604">
      <c r="A604" s="73"/>
      <c r="B604" s="73">
        <v>29593.708</v>
      </c>
      <c r="C604" s="73">
        <v>2873004.41269678</v>
      </c>
      <c r="D604" s="73">
        <v>41445.3514999237</v>
      </c>
      <c r="E604" s="73">
        <v>128079.391081074</v>
      </c>
      <c r="F604" s="73"/>
      <c r="G604" s="73"/>
      <c r="H604" s="73"/>
      <c r="I604" s="73"/>
      <c r="J604" s="73"/>
      <c r="K604" s="73"/>
      <c r="L604" s="73"/>
      <c r="M604" s="73"/>
      <c r="N604" s="73"/>
      <c r="O604" s="73"/>
      <c r="P604" s="73"/>
      <c r="Q604" s="73"/>
      <c r="R604" s="73"/>
      <c r="S604" s="73"/>
      <c r="T604" s="73"/>
      <c r="U604" s="73"/>
      <c r="V604" s="73"/>
      <c r="W604" s="73"/>
      <c r="X604" s="73"/>
      <c r="Y604" s="73"/>
      <c r="Z604" s="73"/>
      <c r="AA604" s="73"/>
      <c r="AB604" s="73"/>
    </row>
    <row r="605">
      <c r="A605" s="73"/>
      <c r="B605" s="73">
        <v>29689.293</v>
      </c>
      <c r="C605" s="73">
        <v>2886016.65983534</v>
      </c>
      <c r="D605" s="73">
        <v>41897.2994989319</v>
      </c>
      <c r="E605" s="73">
        <v>128700.449234548</v>
      </c>
      <c r="F605" s="73"/>
      <c r="G605" s="73"/>
      <c r="H605" s="73"/>
      <c r="I605" s="73"/>
      <c r="J605" s="73"/>
      <c r="K605" s="73"/>
      <c r="L605" s="73"/>
      <c r="M605" s="73"/>
      <c r="N605" s="73"/>
      <c r="O605" s="73"/>
      <c r="P605" s="73"/>
      <c r="Q605" s="73"/>
      <c r="R605" s="73"/>
      <c r="S605" s="73"/>
      <c r="T605" s="73"/>
      <c r="U605" s="73"/>
      <c r="V605" s="73"/>
      <c r="W605" s="73"/>
      <c r="X605" s="73"/>
      <c r="Y605" s="73"/>
      <c r="Z605" s="73"/>
      <c r="AA605" s="73"/>
      <c r="AB605" s="73"/>
    </row>
    <row r="606">
      <c r="A606" s="73"/>
      <c r="B606" s="73">
        <v>29785.032</v>
      </c>
      <c r="C606" s="73">
        <v>2899065.98697287</v>
      </c>
      <c r="D606" s="73">
        <v>42355.1362498474</v>
      </c>
      <c r="E606" s="73">
        <v>129323.364772922</v>
      </c>
      <c r="F606" s="73"/>
      <c r="G606" s="73"/>
      <c r="H606" s="73"/>
      <c r="I606" s="73"/>
      <c r="J606" s="73"/>
      <c r="K606" s="73"/>
      <c r="L606" s="73"/>
      <c r="M606" s="73"/>
      <c r="N606" s="73"/>
      <c r="O606" s="73"/>
      <c r="P606" s="73"/>
      <c r="Q606" s="73"/>
      <c r="R606" s="73"/>
      <c r="S606" s="73"/>
      <c r="T606" s="73"/>
      <c r="U606" s="73"/>
      <c r="V606" s="73"/>
      <c r="W606" s="73"/>
      <c r="X606" s="73"/>
      <c r="Y606" s="73"/>
      <c r="Z606" s="73"/>
      <c r="AA606" s="73"/>
      <c r="AB606" s="73"/>
    </row>
    <row r="607">
      <c r="A607" s="73"/>
      <c r="B607" s="73">
        <v>29880.925</v>
      </c>
      <c r="C607" s="73">
        <v>2912152.90910935</v>
      </c>
      <c r="D607" s="73">
        <v>42818.9112488556</v>
      </c>
      <c r="E607" s="73">
        <v>129948.159797195</v>
      </c>
      <c r="F607" s="73"/>
      <c r="G607" s="73"/>
      <c r="H607" s="73"/>
      <c r="I607" s="73"/>
      <c r="J607" s="73"/>
      <c r="K607" s="73"/>
      <c r="L607" s="73"/>
      <c r="M607" s="73"/>
      <c r="N607" s="73"/>
      <c r="O607" s="73"/>
      <c r="P607" s="73"/>
      <c r="Q607" s="73"/>
      <c r="R607" s="73"/>
      <c r="S607" s="73"/>
      <c r="T607" s="73"/>
      <c r="U607" s="73"/>
      <c r="V607" s="73"/>
      <c r="W607" s="73"/>
      <c r="X607" s="73"/>
      <c r="Y607" s="73"/>
      <c r="Z607" s="73"/>
      <c r="AA607" s="73"/>
      <c r="AB607" s="73"/>
    </row>
    <row r="608">
      <c r="A608" s="73"/>
      <c r="B608" s="73">
        <v>29976.972</v>
      </c>
      <c r="C608" s="73">
        <v>2925276.91124481</v>
      </c>
      <c r="D608" s="73">
        <v>43288.6637497711</v>
      </c>
      <c r="E608" s="73">
        <v>130574.821269366</v>
      </c>
      <c r="F608" s="73"/>
      <c r="G608" s="73"/>
      <c r="H608" s="73"/>
      <c r="I608" s="73"/>
      <c r="J608" s="73"/>
      <c r="K608" s="73"/>
      <c r="L608" s="73"/>
      <c r="M608" s="73"/>
      <c r="N608" s="73"/>
      <c r="O608" s="73"/>
      <c r="P608" s="73"/>
      <c r="Q608" s="73"/>
      <c r="R608" s="73"/>
      <c r="S608" s="73"/>
      <c r="T608" s="73"/>
      <c r="U608" s="73"/>
      <c r="V608" s="73"/>
      <c r="W608" s="73"/>
      <c r="X608" s="73"/>
      <c r="Y608" s="73"/>
      <c r="Z608" s="73"/>
      <c r="AA608" s="73"/>
      <c r="AB608" s="73"/>
    </row>
    <row r="609">
      <c r="A609" s="73"/>
      <c r="B609" s="73">
        <v>30073.173</v>
      </c>
      <c r="C609" s="73">
        <v>2938438.25087923</v>
      </c>
      <c r="D609" s="73">
        <v>43764.4384987793</v>
      </c>
      <c r="E609" s="73">
        <v>131203.351839437</v>
      </c>
      <c r="F609" s="73"/>
      <c r="G609" s="73"/>
      <c r="H609" s="73"/>
      <c r="I609" s="73"/>
      <c r="J609" s="73"/>
      <c r="K609" s="73"/>
      <c r="L609" s="73"/>
      <c r="M609" s="73"/>
      <c r="N609" s="73"/>
      <c r="O609" s="73"/>
      <c r="P609" s="73"/>
      <c r="Q609" s="73"/>
      <c r="R609" s="73"/>
      <c r="S609" s="73"/>
      <c r="T609" s="73"/>
      <c r="U609" s="73"/>
      <c r="V609" s="73"/>
      <c r="W609" s="73"/>
      <c r="X609" s="73"/>
      <c r="Y609" s="73"/>
      <c r="Z609" s="73"/>
      <c r="AA609" s="73"/>
      <c r="AB609" s="73"/>
    </row>
    <row r="610">
      <c r="A610" s="73"/>
      <c r="B610" s="73">
        <v>30169.528</v>
      </c>
      <c r="C610" s="73">
        <v>2951637.1855126</v>
      </c>
      <c r="D610" s="73">
        <v>44246.2854996948</v>
      </c>
      <c r="E610" s="73">
        <v>131833.751507407</v>
      </c>
      <c r="F610" s="73"/>
      <c r="G610" s="73"/>
      <c r="H610" s="73"/>
      <c r="I610" s="73"/>
      <c r="J610" s="73"/>
      <c r="K610" s="73"/>
      <c r="L610" s="73"/>
      <c r="M610" s="73"/>
      <c r="N610" s="73"/>
      <c r="O610" s="73"/>
      <c r="P610" s="73"/>
      <c r="Q610" s="73"/>
      <c r="R610" s="73"/>
      <c r="S610" s="73"/>
      <c r="T610" s="73"/>
      <c r="U610" s="73"/>
      <c r="V610" s="73"/>
      <c r="W610" s="73"/>
      <c r="X610" s="73"/>
      <c r="Y610" s="73"/>
      <c r="Z610" s="73"/>
      <c r="AA610" s="73"/>
      <c r="AB610" s="73"/>
    </row>
    <row r="611">
      <c r="A611" s="73"/>
      <c r="B611" s="73">
        <v>30266.037</v>
      </c>
      <c r="C611" s="73">
        <v>2964873.45764494</v>
      </c>
      <c r="D611" s="73">
        <v>44734.244748703</v>
      </c>
      <c r="E611" s="73">
        <v>132466.028011276</v>
      </c>
      <c r="F611" s="73"/>
      <c r="G611" s="73"/>
      <c r="H611" s="73"/>
      <c r="I611" s="73"/>
      <c r="J611" s="73"/>
      <c r="K611" s="73"/>
      <c r="L611" s="73"/>
      <c r="M611" s="73"/>
      <c r="N611" s="73"/>
      <c r="O611" s="73"/>
      <c r="P611" s="73"/>
      <c r="Q611" s="73"/>
      <c r="R611" s="73"/>
      <c r="S611" s="73"/>
      <c r="T611" s="73"/>
      <c r="U611" s="73"/>
      <c r="V611" s="73"/>
      <c r="W611" s="73"/>
      <c r="X611" s="73"/>
      <c r="Y611" s="73"/>
      <c r="Z611" s="73"/>
      <c r="AA611" s="73"/>
      <c r="AB611" s="73"/>
    </row>
    <row r="612">
      <c r="A612" s="73"/>
      <c r="B612" s="73">
        <v>30362.7</v>
      </c>
      <c r="C612" s="73">
        <v>2978147.06727624</v>
      </c>
      <c r="D612" s="73">
        <v>45228.3602496185</v>
      </c>
      <c r="E612" s="73">
        <v>133100.186651043</v>
      </c>
      <c r="F612" s="73"/>
      <c r="G612" s="73"/>
      <c r="H612" s="73"/>
      <c r="I612" s="73"/>
      <c r="J612" s="73"/>
      <c r="K612" s="73"/>
      <c r="L612" s="73"/>
      <c r="M612" s="73"/>
      <c r="N612" s="73"/>
      <c r="O612" s="73"/>
      <c r="P612" s="73"/>
      <c r="Q612" s="73"/>
      <c r="R612" s="73"/>
      <c r="S612" s="73"/>
      <c r="T612" s="73"/>
      <c r="U612" s="73"/>
      <c r="V612" s="73"/>
      <c r="W612" s="73"/>
      <c r="X612" s="73"/>
      <c r="Y612" s="73"/>
      <c r="Z612" s="73"/>
      <c r="AA612" s="73"/>
      <c r="AB612" s="73"/>
    </row>
    <row r="613">
      <c r="A613" s="73"/>
      <c r="B613" s="73">
        <v>30459.517</v>
      </c>
      <c r="C613" s="73">
        <v>2991458.52940649</v>
      </c>
      <c r="D613" s="73">
        <v>45728.6802486267</v>
      </c>
      <c r="E613" s="73">
        <v>133736.217038709</v>
      </c>
      <c r="F613" s="73"/>
      <c r="G613" s="73"/>
      <c r="H613" s="73"/>
      <c r="I613" s="73"/>
      <c r="J613" s="73"/>
      <c r="K613" s="73"/>
      <c r="L613" s="73"/>
      <c r="M613" s="73"/>
      <c r="N613" s="73"/>
      <c r="O613" s="73"/>
      <c r="P613" s="73"/>
      <c r="Q613" s="73"/>
      <c r="R613" s="73"/>
      <c r="S613" s="73"/>
      <c r="T613" s="73"/>
      <c r="U613" s="73"/>
      <c r="V613" s="73"/>
      <c r="W613" s="73"/>
      <c r="X613" s="73"/>
      <c r="Y613" s="73"/>
      <c r="Z613" s="73"/>
      <c r="AA613" s="73"/>
      <c r="AB613" s="73"/>
    </row>
    <row r="614">
      <c r="A614" s="73"/>
      <c r="B614" s="73">
        <v>30556.488</v>
      </c>
      <c r="C614" s="73">
        <v>3004807.58653569</v>
      </c>
      <c r="D614" s="73">
        <v>46235.2487495422</v>
      </c>
      <c r="E614" s="73">
        <v>134374.126912274</v>
      </c>
      <c r="F614" s="73"/>
      <c r="G614" s="73"/>
      <c r="H614" s="73"/>
      <c r="I614" s="73"/>
      <c r="J614" s="73"/>
      <c r="K614" s="73"/>
      <c r="L614" s="73"/>
      <c r="M614" s="73"/>
      <c r="N614" s="73"/>
      <c r="O614" s="73"/>
      <c r="P614" s="73"/>
      <c r="Q614" s="73"/>
      <c r="R614" s="73"/>
      <c r="S614" s="73"/>
      <c r="T614" s="73"/>
      <c r="U614" s="73"/>
      <c r="V614" s="73"/>
      <c r="W614" s="73"/>
      <c r="X614" s="73"/>
      <c r="Y614" s="73"/>
      <c r="Z614" s="73"/>
      <c r="AA614" s="73"/>
      <c r="AB614" s="73"/>
    </row>
    <row r="615">
      <c r="A615" s="73"/>
      <c r="B615" s="73">
        <v>30653.613</v>
      </c>
      <c r="C615" s="73">
        <v>3018193.72366387</v>
      </c>
      <c r="D615" s="73">
        <v>46748.1059985504</v>
      </c>
      <c r="E615" s="73">
        <v>135013.916271737</v>
      </c>
      <c r="F615" s="73"/>
      <c r="G615" s="73"/>
      <c r="H615" s="73"/>
      <c r="I615" s="73"/>
      <c r="J615" s="73"/>
      <c r="K615" s="73"/>
      <c r="L615" s="73"/>
      <c r="M615" s="73"/>
      <c r="N615" s="73"/>
      <c r="O615" s="73"/>
      <c r="P615" s="73"/>
      <c r="Q615" s="73"/>
      <c r="R615" s="73"/>
      <c r="S615" s="73"/>
      <c r="T615" s="73"/>
      <c r="U615" s="73"/>
      <c r="V615" s="73"/>
      <c r="W615" s="73"/>
      <c r="X615" s="73"/>
      <c r="Y615" s="73"/>
      <c r="Z615" s="73"/>
      <c r="AA615" s="73"/>
      <c r="AB615" s="73"/>
    </row>
    <row r="616">
      <c r="A616" s="73"/>
      <c r="B616" s="73">
        <v>30750.892</v>
      </c>
      <c r="C616" s="73">
        <v>3031617.97079098</v>
      </c>
      <c r="D616" s="73">
        <v>47267.3002494659</v>
      </c>
      <c r="E616" s="73">
        <v>135655.587767099</v>
      </c>
      <c r="F616" s="73"/>
      <c r="G616" s="73"/>
      <c r="H616" s="73"/>
      <c r="I616" s="73"/>
      <c r="J616" s="73"/>
      <c r="K616" s="73"/>
      <c r="L616" s="73"/>
      <c r="M616" s="73"/>
      <c r="N616" s="73"/>
      <c r="O616" s="73"/>
      <c r="P616" s="73"/>
      <c r="Q616" s="73"/>
      <c r="R616" s="73"/>
      <c r="S616" s="73"/>
      <c r="T616" s="73"/>
      <c r="U616" s="73"/>
      <c r="V616" s="73"/>
      <c r="W616" s="73"/>
      <c r="X616" s="73"/>
      <c r="Y616" s="73"/>
      <c r="Z616" s="73"/>
      <c r="AA616" s="73"/>
      <c r="AB616" s="73"/>
    </row>
    <row r="617">
      <c r="A617" s="73"/>
      <c r="B617" s="73">
        <v>30848.325</v>
      </c>
      <c r="C617" s="73">
        <v>3045079.81291705</v>
      </c>
      <c r="D617" s="73">
        <v>47792.8742503815</v>
      </c>
      <c r="E617" s="73">
        <v>136299.141398359</v>
      </c>
      <c r="F617" s="73"/>
      <c r="G617" s="73"/>
      <c r="H617" s="73"/>
      <c r="I617" s="73"/>
      <c r="J617" s="73"/>
      <c r="K617" s="73"/>
      <c r="L617" s="73"/>
      <c r="M617" s="73"/>
      <c r="N617" s="73"/>
      <c r="O617" s="73"/>
      <c r="P617" s="73"/>
      <c r="Q617" s="73"/>
      <c r="R617" s="73"/>
      <c r="S617" s="73"/>
      <c r="T617" s="73"/>
      <c r="U617" s="73"/>
      <c r="V617" s="73"/>
      <c r="W617" s="73"/>
      <c r="X617" s="73"/>
      <c r="Y617" s="73"/>
      <c r="Z617" s="73"/>
      <c r="AA617" s="73"/>
      <c r="AB617" s="73"/>
    </row>
    <row r="618">
      <c r="A618" s="73"/>
      <c r="B618" s="73">
        <v>30945.912</v>
      </c>
      <c r="C618" s="73">
        <v>3058579.25004208</v>
      </c>
      <c r="D618" s="73">
        <v>48324.8739993896</v>
      </c>
      <c r="E618" s="73">
        <v>136944.597941516</v>
      </c>
      <c r="F618" s="73"/>
      <c r="G618" s="73"/>
      <c r="H618" s="73"/>
      <c r="I618" s="73"/>
      <c r="J618" s="73"/>
      <c r="K618" s="73"/>
      <c r="L618" s="73"/>
      <c r="M618" s="73"/>
      <c r="N618" s="73"/>
      <c r="O618" s="73"/>
      <c r="P618" s="73"/>
      <c r="Q618" s="73"/>
      <c r="R618" s="73"/>
      <c r="S618" s="73"/>
      <c r="T618" s="73"/>
      <c r="U618" s="73"/>
      <c r="V618" s="73"/>
      <c r="W618" s="73"/>
      <c r="X618" s="73"/>
      <c r="Y618" s="73"/>
      <c r="Z618" s="73"/>
      <c r="AA618" s="73"/>
      <c r="AB618" s="73"/>
    </row>
    <row r="619">
      <c r="A619" s="73"/>
      <c r="B619" s="73">
        <v>31043.653</v>
      </c>
      <c r="C619" s="73">
        <v>3072116.79716605</v>
      </c>
      <c r="D619" s="73">
        <v>48863.3400003052</v>
      </c>
      <c r="E619" s="73">
        <v>137591.926232572</v>
      </c>
      <c r="F619" s="73"/>
      <c r="G619" s="73"/>
      <c r="H619" s="73"/>
      <c r="I619" s="73"/>
      <c r="J619" s="73"/>
      <c r="K619" s="73"/>
      <c r="L619" s="73"/>
      <c r="M619" s="73"/>
      <c r="N619" s="73"/>
      <c r="O619" s="73"/>
      <c r="P619" s="73"/>
      <c r="Q619" s="73"/>
      <c r="R619" s="73"/>
      <c r="S619" s="73"/>
      <c r="T619" s="73"/>
      <c r="U619" s="73"/>
      <c r="V619" s="73"/>
      <c r="W619" s="73"/>
      <c r="X619" s="73"/>
      <c r="Y619" s="73"/>
      <c r="Z619" s="73"/>
      <c r="AA619" s="73"/>
      <c r="AB619" s="73"/>
    </row>
    <row r="620">
      <c r="A620" s="73"/>
      <c r="B620" s="73">
        <v>31141.548</v>
      </c>
      <c r="C620" s="73">
        <v>3085692.19678897</v>
      </c>
      <c r="D620" s="73">
        <v>49408.3217493134</v>
      </c>
      <c r="E620" s="73">
        <v>138241.136659527</v>
      </c>
      <c r="F620" s="73"/>
      <c r="G620" s="73"/>
      <c r="H620" s="73"/>
      <c r="I620" s="73"/>
      <c r="J620" s="73"/>
      <c r="K620" s="73"/>
      <c r="L620" s="73"/>
      <c r="M620" s="73"/>
      <c r="N620" s="73"/>
      <c r="O620" s="73"/>
      <c r="P620" s="73"/>
      <c r="Q620" s="73"/>
      <c r="R620" s="73"/>
      <c r="S620" s="73"/>
      <c r="T620" s="73"/>
      <c r="U620" s="73"/>
      <c r="V620" s="73"/>
      <c r="W620" s="73"/>
      <c r="X620" s="73"/>
      <c r="Y620" s="73"/>
      <c r="Z620" s="73"/>
      <c r="AA620" s="73"/>
      <c r="AB620" s="73"/>
    </row>
    <row r="621">
      <c r="A621" s="73"/>
      <c r="B621" s="73">
        <v>31239.597</v>
      </c>
      <c r="C621" s="73">
        <v>3099304.93391085</v>
      </c>
      <c r="D621" s="73">
        <v>49959.8605002289</v>
      </c>
      <c r="E621" s="73">
        <v>138892.249998379</v>
      </c>
      <c r="F621" s="73"/>
      <c r="G621" s="73"/>
      <c r="H621" s="73"/>
      <c r="I621" s="73"/>
      <c r="J621" s="73"/>
      <c r="K621" s="73"/>
      <c r="L621" s="73"/>
      <c r="M621" s="73"/>
      <c r="N621" s="73"/>
      <c r="O621" s="73"/>
      <c r="P621" s="73"/>
      <c r="Q621" s="73"/>
      <c r="R621" s="73"/>
      <c r="S621" s="73"/>
      <c r="T621" s="73"/>
      <c r="U621" s="73"/>
      <c r="V621" s="73"/>
      <c r="W621" s="73"/>
      <c r="X621" s="73"/>
      <c r="Y621" s="73"/>
      <c r="Z621" s="73"/>
      <c r="AA621" s="73"/>
      <c r="AB621" s="73"/>
    </row>
    <row r="622">
      <c r="A622" s="73"/>
      <c r="B622" s="73">
        <v>31337.8</v>
      </c>
      <c r="C622" s="73">
        <v>3112956.03853166</v>
      </c>
      <c r="D622" s="73">
        <v>50517.9989992371</v>
      </c>
      <c r="E622" s="73">
        <v>139545.258511128</v>
      </c>
      <c r="F622" s="73"/>
      <c r="G622" s="73"/>
      <c r="H622" s="73"/>
      <c r="I622" s="73"/>
      <c r="J622" s="73"/>
      <c r="K622" s="73"/>
      <c r="L622" s="73"/>
      <c r="M622" s="73"/>
      <c r="N622" s="73"/>
      <c r="O622" s="73"/>
      <c r="P622" s="73"/>
      <c r="Q622" s="73"/>
      <c r="R622" s="73"/>
      <c r="S622" s="73"/>
      <c r="T622" s="73"/>
      <c r="U622" s="73"/>
      <c r="V622" s="73"/>
      <c r="W622" s="73"/>
      <c r="X622" s="73"/>
      <c r="Y622" s="73"/>
      <c r="Z622" s="73"/>
      <c r="AA622" s="73"/>
      <c r="AB622" s="73"/>
    </row>
    <row r="623">
      <c r="A623" s="73"/>
      <c r="B623" s="73">
        <v>31436.157</v>
      </c>
      <c r="C623" s="73">
        <v>3126645.25315142</v>
      </c>
      <c r="D623" s="73">
        <v>51082.7810001526</v>
      </c>
      <c r="E623" s="73">
        <v>140200.151809776</v>
      </c>
      <c r="F623" s="73"/>
      <c r="G623" s="73"/>
      <c r="H623" s="73"/>
      <c r="I623" s="73"/>
      <c r="J623" s="73"/>
      <c r="K623" s="73"/>
      <c r="L623" s="73"/>
      <c r="M623" s="73"/>
      <c r="N623" s="73"/>
      <c r="O623" s="73"/>
      <c r="P623" s="73"/>
      <c r="Q623" s="73"/>
      <c r="R623" s="73"/>
      <c r="S623" s="73"/>
      <c r="T623" s="73"/>
      <c r="U623" s="73"/>
      <c r="V623" s="73"/>
      <c r="W623" s="73"/>
      <c r="X623" s="73"/>
      <c r="Y623" s="73"/>
      <c r="Z623" s="73"/>
      <c r="AA623" s="73"/>
      <c r="AB623" s="73"/>
    </row>
    <row r="624">
      <c r="A624" s="73"/>
      <c r="B624" s="73">
        <v>31534.668</v>
      </c>
      <c r="C624" s="73">
        <v>3140372.06277013</v>
      </c>
      <c r="D624" s="73">
        <v>51654.2537491608</v>
      </c>
      <c r="E624" s="73">
        <v>140856.950670321</v>
      </c>
      <c r="F624" s="73"/>
      <c r="G624" s="73"/>
      <c r="H624" s="73"/>
      <c r="I624" s="73"/>
      <c r="J624" s="73"/>
      <c r="K624" s="73"/>
      <c r="L624" s="73"/>
      <c r="M624" s="73"/>
      <c r="N624" s="73"/>
      <c r="O624" s="73"/>
      <c r="P624" s="73"/>
      <c r="Q624" s="73"/>
      <c r="R624" s="73"/>
      <c r="S624" s="73"/>
      <c r="T624" s="73"/>
      <c r="U624" s="73"/>
      <c r="V624" s="73"/>
      <c r="W624" s="73"/>
      <c r="X624" s="73"/>
      <c r="Y624" s="73"/>
      <c r="Z624" s="73"/>
      <c r="AA624" s="73"/>
      <c r="AB624" s="73"/>
    </row>
    <row r="625">
      <c r="A625" s="73"/>
      <c r="B625" s="73">
        <v>31633.333</v>
      </c>
      <c r="C625" s="73">
        <v>3154136.98238778</v>
      </c>
      <c r="D625" s="73">
        <v>52232.4562500763</v>
      </c>
      <c r="E625" s="73">
        <v>141515.642054764</v>
      </c>
      <c r="F625" s="73"/>
      <c r="G625" s="73"/>
      <c r="H625" s="73"/>
      <c r="I625" s="73"/>
      <c r="J625" s="73"/>
      <c r="K625" s="73"/>
      <c r="L625" s="73"/>
      <c r="M625" s="73"/>
      <c r="N625" s="73"/>
      <c r="O625" s="73"/>
      <c r="P625" s="73"/>
      <c r="Q625" s="73"/>
      <c r="R625" s="73"/>
      <c r="S625" s="73"/>
      <c r="T625" s="73"/>
      <c r="U625" s="73"/>
      <c r="V625" s="73"/>
      <c r="W625" s="73"/>
      <c r="X625" s="73"/>
      <c r="Y625" s="73"/>
      <c r="Z625" s="73"/>
      <c r="AA625" s="73"/>
      <c r="AB625" s="73"/>
    </row>
    <row r="626">
      <c r="A626" s="73"/>
      <c r="B626" s="73">
        <v>31732.152</v>
      </c>
      <c r="C626" s="73">
        <v>3167940.26950437</v>
      </c>
      <c r="D626" s="73">
        <v>52817.4392490845</v>
      </c>
      <c r="E626" s="73">
        <v>142176.228613104</v>
      </c>
      <c r="F626" s="73"/>
      <c r="G626" s="73"/>
      <c r="H626" s="73"/>
      <c r="I626" s="73"/>
      <c r="J626" s="73"/>
      <c r="K626" s="73"/>
      <c r="L626" s="73"/>
      <c r="M626" s="73"/>
      <c r="N626" s="73"/>
      <c r="O626" s="73"/>
      <c r="P626" s="73"/>
      <c r="Q626" s="73"/>
      <c r="R626" s="73"/>
      <c r="S626" s="73"/>
      <c r="T626" s="73"/>
      <c r="U626" s="73"/>
      <c r="V626" s="73"/>
      <c r="W626" s="73"/>
      <c r="X626" s="73"/>
      <c r="Y626" s="73"/>
      <c r="Z626" s="73"/>
      <c r="AA626" s="73"/>
      <c r="AB626" s="73"/>
    </row>
    <row r="627">
      <c r="A627" s="73"/>
      <c r="B627" s="73">
        <v>31831.125</v>
      </c>
      <c r="C627" s="73">
        <v>3181781.4091199</v>
      </c>
      <c r="D627" s="73">
        <v>53409.24075</v>
      </c>
      <c r="E627" s="73">
        <v>142838.723383342</v>
      </c>
      <c r="F627" s="73"/>
      <c r="G627" s="73"/>
      <c r="H627" s="73"/>
      <c r="I627" s="73"/>
      <c r="J627" s="73"/>
      <c r="K627" s="73"/>
      <c r="L627" s="73"/>
      <c r="M627" s="73"/>
      <c r="N627" s="73"/>
      <c r="O627" s="73"/>
      <c r="P627" s="73"/>
      <c r="Q627" s="73"/>
      <c r="R627" s="73"/>
      <c r="S627" s="73"/>
      <c r="T627" s="73"/>
      <c r="U627" s="73"/>
      <c r="V627" s="73"/>
      <c r="W627" s="73"/>
      <c r="X627" s="73"/>
      <c r="Y627" s="73"/>
      <c r="Z627" s="73"/>
      <c r="AA627" s="73"/>
      <c r="AB627" s="73"/>
    </row>
    <row r="628">
      <c r="A628" s="73"/>
      <c r="B628" s="73">
        <v>31930.252</v>
      </c>
      <c r="C628" s="73">
        <v>3195661.17373437</v>
      </c>
      <c r="D628" s="73">
        <v>54007.9032490082</v>
      </c>
      <c r="E628" s="73">
        <v>143503.110677477</v>
      </c>
      <c r="F628" s="73"/>
      <c r="G628" s="73"/>
      <c r="H628" s="73"/>
      <c r="I628" s="73"/>
      <c r="J628" s="73"/>
      <c r="K628" s="73"/>
      <c r="L628" s="73"/>
      <c r="M628" s="73"/>
      <c r="N628" s="73"/>
      <c r="O628" s="73"/>
      <c r="P628" s="73"/>
      <c r="Q628" s="73"/>
      <c r="R628" s="73"/>
      <c r="S628" s="73"/>
      <c r="T628" s="73"/>
      <c r="U628" s="73"/>
      <c r="V628" s="73"/>
      <c r="W628" s="73"/>
      <c r="X628" s="73"/>
      <c r="Y628" s="73"/>
      <c r="Z628" s="73"/>
      <c r="AA628" s="73"/>
      <c r="AB628" s="73"/>
    </row>
    <row r="629">
      <c r="A629" s="73"/>
      <c r="B629" s="73">
        <v>32029.533</v>
      </c>
      <c r="C629" s="73">
        <v>3209578.79084778</v>
      </c>
      <c r="D629" s="73">
        <v>54613.4774999237</v>
      </c>
      <c r="E629" s="73">
        <v>144169.408833509</v>
      </c>
      <c r="F629" s="73"/>
      <c r="G629" s="73"/>
      <c r="H629" s="73"/>
      <c r="I629" s="73"/>
      <c r="J629" s="73"/>
      <c r="K629" s="73"/>
      <c r="L629" s="73"/>
      <c r="M629" s="73"/>
      <c r="N629" s="73"/>
      <c r="O629" s="73"/>
      <c r="P629" s="73"/>
      <c r="Q629" s="73"/>
      <c r="R629" s="73"/>
      <c r="S629" s="73"/>
      <c r="T629" s="73"/>
      <c r="U629" s="73"/>
      <c r="V629" s="73"/>
      <c r="W629" s="73"/>
      <c r="X629" s="73"/>
      <c r="Y629" s="73"/>
      <c r="Z629" s="73"/>
      <c r="AA629" s="73"/>
      <c r="AB629" s="73"/>
    </row>
    <row r="630">
      <c r="A630" s="73"/>
      <c r="B630" s="73">
        <v>32128.968</v>
      </c>
      <c r="C630" s="73">
        <v>3223534.77546012</v>
      </c>
      <c r="D630" s="73">
        <v>55226.0014989319</v>
      </c>
      <c r="E630" s="73">
        <v>144837.609901439</v>
      </c>
      <c r="F630" s="73"/>
      <c r="G630" s="73"/>
      <c r="H630" s="73"/>
      <c r="I630" s="73"/>
      <c r="J630" s="73"/>
      <c r="K630" s="73"/>
      <c r="L630" s="73"/>
      <c r="M630" s="73"/>
      <c r="N630" s="73"/>
      <c r="O630" s="73"/>
      <c r="P630" s="73"/>
      <c r="Q630" s="73"/>
      <c r="R630" s="73"/>
      <c r="S630" s="73"/>
      <c r="T630" s="73"/>
      <c r="U630" s="73"/>
      <c r="V630" s="73"/>
      <c r="W630" s="73"/>
      <c r="X630" s="73"/>
      <c r="Y630" s="73"/>
      <c r="Z630" s="73"/>
      <c r="AA630" s="73"/>
      <c r="AB630" s="73"/>
    </row>
    <row r="631">
      <c r="A631" s="73"/>
      <c r="B631" s="73">
        <v>32228.557</v>
      </c>
      <c r="C631" s="73">
        <v>3237529.1275714</v>
      </c>
      <c r="D631" s="73">
        <v>55845.5187498474</v>
      </c>
      <c r="E631" s="73">
        <v>145507.721831265</v>
      </c>
      <c r="F631" s="73"/>
      <c r="G631" s="73"/>
      <c r="H631" s="73"/>
      <c r="I631" s="73"/>
      <c r="J631" s="73"/>
      <c r="K631" s="73"/>
      <c r="L631" s="73"/>
      <c r="M631" s="73"/>
      <c r="N631" s="73"/>
      <c r="O631" s="73"/>
      <c r="P631" s="73"/>
      <c r="Q631" s="73"/>
      <c r="R631" s="73"/>
      <c r="S631" s="73"/>
      <c r="T631" s="73"/>
      <c r="U631" s="73"/>
      <c r="V631" s="73"/>
      <c r="W631" s="73"/>
      <c r="X631" s="73"/>
      <c r="Y631" s="73"/>
      <c r="Z631" s="73"/>
      <c r="AA631" s="73"/>
      <c r="AB631" s="73"/>
    </row>
    <row r="632">
      <c r="A632" s="73"/>
      <c r="B632" s="73">
        <v>32328.3</v>
      </c>
      <c r="C632" s="73">
        <v>3251561.84718162</v>
      </c>
      <c r="D632" s="73">
        <v>56472.0777488556</v>
      </c>
      <c r="E632" s="73">
        <v>146179.739322988</v>
      </c>
      <c r="F632" s="73"/>
      <c r="G632" s="73"/>
      <c r="H632" s="73"/>
      <c r="I632" s="73"/>
      <c r="J632" s="73"/>
      <c r="K632" s="73"/>
      <c r="L632" s="73"/>
      <c r="M632" s="73"/>
      <c r="N632" s="73"/>
      <c r="O632" s="73"/>
      <c r="P632" s="73"/>
      <c r="Q632" s="73"/>
      <c r="R632" s="73"/>
      <c r="S632" s="73"/>
      <c r="T632" s="73"/>
      <c r="U632" s="73"/>
      <c r="V632" s="73"/>
      <c r="W632" s="73"/>
      <c r="X632" s="73"/>
      <c r="Y632" s="73"/>
      <c r="Z632" s="73"/>
      <c r="AA632" s="73"/>
      <c r="AB632" s="73"/>
    </row>
    <row r="633">
      <c r="A633" s="73"/>
      <c r="B633" s="73">
        <v>32428.197</v>
      </c>
      <c r="C633" s="73">
        <v>3265633.19179076</v>
      </c>
      <c r="D633" s="73">
        <v>57105.7139997711</v>
      </c>
      <c r="E633" s="73">
        <v>146853.665026609</v>
      </c>
      <c r="F633" s="73"/>
      <c r="G633" s="73"/>
      <c r="H633" s="73"/>
      <c r="I633" s="73"/>
      <c r="J633" s="73"/>
      <c r="K633" s="73"/>
      <c r="L633" s="73"/>
      <c r="M633" s="73"/>
      <c r="N633" s="73"/>
      <c r="O633" s="73"/>
      <c r="P633" s="73"/>
      <c r="Q633" s="73"/>
      <c r="R633" s="73"/>
      <c r="S633" s="73"/>
      <c r="T633" s="73"/>
      <c r="U633" s="73"/>
      <c r="V633" s="73"/>
      <c r="W633" s="73"/>
      <c r="X633" s="73"/>
      <c r="Y633" s="73"/>
      <c r="Z633" s="73"/>
      <c r="AA633" s="73"/>
      <c r="AB633" s="73"/>
    </row>
    <row r="634">
      <c r="A634" s="73"/>
      <c r="B634" s="73">
        <v>32528.248</v>
      </c>
      <c r="C634" s="73">
        <v>3279742.38889885</v>
      </c>
      <c r="D634" s="73">
        <v>57746.4782487793</v>
      </c>
      <c r="E634" s="73">
        <v>147529.509330126</v>
      </c>
      <c r="F634" s="73"/>
      <c r="G634" s="73"/>
      <c r="H634" s="73"/>
      <c r="I634" s="73"/>
      <c r="J634" s="73"/>
      <c r="K634" s="73"/>
      <c r="L634" s="73"/>
      <c r="M634" s="73"/>
      <c r="N634" s="73"/>
      <c r="O634" s="73"/>
      <c r="P634" s="73"/>
      <c r="Q634" s="73"/>
      <c r="R634" s="73"/>
      <c r="S634" s="73"/>
      <c r="T634" s="73"/>
      <c r="U634" s="73"/>
      <c r="V634" s="73"/>
      <c r="W634" s="73"/>
      <c r="X634" s="73"/>
      <c r="Y634" s="73"/>
      <c r="Z634" s="73"/>
      <c r="AA634" s="73"/>
      <c r="AB634" s="73"/>
    </row>
    <row r="635">
      <c r="A635" s="73"/>
      <c r="B635" s="73">
        <v>32628.453</v>
      </c>
      <c r="C635" s="73">
        <v>3293890.72600585</v>
      </c>
      <c r="D635" s="73">
        <v>58394.4097496948</v>
      </c>
      <c r="E635" s="73">
        <v>148207.26184554</v>
      </c>
      <c r="F635" s="73"/>
      <c r="G635" s="73"/>
      <c r="H635" s="73"/>
      <c r="I635" s="73"/>
      <c r="J635" s="73"/>
      <c r="K635" s="73"/>
      <c r="L635" s="73"/>
      <c r="M635" s="73"/>
      <c r="N635" s="73"/>
      <c r="O635" s="73"/>
      <c r="P635" s="73"/>
      <c r="Q635" s="73"/>
      <c r="R635" s="73"/>
      <c r="S635" s="73"/>
      <c r="T635" s="73"/>
      <c r="U635" s="73"/>
      <c r="V635" s="73"/>
      <c r="W635" s="73"/>
      <c r="X635" s="73"/>
      <c r="Y635" s="73"/>
      <c r="Z635" s="73"/>
      <c r="AA635" s="73"/>
      <c r="AB635" s="73"/>
    </row>
    <row r="636">
      <c r="A636" s="73"/>
      <c r="B636" s="73">
        <v>32728.812</v>
      </c>
      <c r="C636" s="73">
        <v>3308077.1731118</v>
      </c>
      <c r="D636" s="73">
        <v>59049.554248703</v>
      </c>
      <c r="E636" s="73">
        <v>148886.93561085</v>
      </c>
      <c r="F636" s="73"/>
      <c r="G636" s="73"/>
      <c r="H636" s="73"/>
      <c r="I636" s="73"/>
      <c r="J636" s="73"/>
      <c r="K636" s="73"/>
      <c r="L636" s="73"/>
      <c r="M636" s="73"/>
      <c r="N636" s="73"/>
      <c r="O636" s="73"/>
      <c r="P636" s="73"/>
      <c r="Q636" s="73"/>
      <c r="R636" s="73"/>
      <c r="S636" s="73"/>
      <c r="T636" s="73"/>
      <c r="U636" s="73"/>
      <c r="V636" s="73"/>
      <c r="W636" s="73"/>
      <c r="X636" s="73"/>
      <c r="Y636" s="73"/>
      <c r="Z636" s="73"/>
      <c r="AA636" s="73"/>
      <c r="AB636" s="73"/>
    </row>
    <row r="637">
      <c r="A637" s="73"/>
      <c r="B637" s="73">
        <v>32829.325</v>
      </c>
      <c r="C637" s="73">
        <v>3322302.24521667</v>
      </c>
      <c r="D637" s="73">
        <v>59711.9519996185</v>
      </c>
      <c r="E637" s="73">
        <v>149568.517588057</v>
      </c>
      <c r="F637" s="73"/>
      <c r="G637" s="73"/>
      <c r="H637" s="73"/>
      <c r="I637" s="73"/>
      <c r="J637" s="73"/>
      <c r="K637" s="73"/>
      <c r="L637" s="73"/>
      <c r="M637" s="73"/>
      <c r="N637" s="73"/>
      <c r="O637" s="73"/>
      <c r="P637" s="73"/>
      <c r="Q637" s="73"/>
      <c r="R637" s="73"/>
      <c r="S637" s="73"/>
      <c r="T637" s="73"/>
      <c r="U637" s="73"/>
      <c r="V637" s="73"/>
      <c r="W637" s="73"/>
      <c r="X637" s="73"/>
      <c r="Y637" s="73"/>
      <c r="Z637" s="73"/>
      <c r="AA637" s="73"/>
      <c r="AB637" s="73"/>
    </row>
    <row r="638">
      <c r="A638" s="73"/>
      <c r="B638" s="73">
        <v>32929.992</v>
      </c>
      <c r="C638" s="73">
        <v>3336566.19982046</v>
      </c>
      <c r="D638" s="73">
        <v>60381.6479986267</v>
      </c>
      <c r="E638" s="73">
        <v>150252.02855316</v>
      </c>
      <c r="F638" s="73"/>
      <c r="G638" s="73"/>
      <c r="H638" s="73"/>
      <c r="I638" s="73"/>
      <c r="J638" s="73"/>
      <c r="K638" s="73"/>
      <c r="L638" s="73"/>
      <c r="M638" s="73"/>
      <c r="N638" s="73"/>
      <c r="O638" s="73"/>
      <c r="P638" s="73"/>
      <c r="Q638" s="73"/>
      <c r="R638" s="73"/>
      <c r="S638" s="73"/>
      <c r="T638" s="73"/>
      <c r="U638" s="73"/>
      <c r="V638" s="73"/>
      <c r="W638" s="73"/>
      <c r="X638" s="73"/>
      <c r="Y638" s="73"/>
      <c r="Z638" s="73"/>
      <c r="AA638" s="73"/>
      <c r="AB638" s="73"/>
    </row>
    <row r="639">
      <c r="A639" s="73"/>
      <c r="B639" s="73">
        <v>33030.813</v>
      </c>
      <c r="C639" s="73">
        <v>3350868.77942318</v>
      </c>
      <c r="D639" s="73">
        <v>61058.6834995422</v>
      </c>
      <c r="E639" s="73">
        <v>150937.45303016</v>
      </c>
      <c r="F639" s="73"/>
      <c r="G639" s="73"/>
      <c r="H639" s="73"/>
      <c r="I639" s="73"/>
      <c r="J639" s="73"/>
      <c r="K639" s="73"/>
      <c r="L639" s="73"/>
      <c r="M639" s="73"/>
      <c r="N639" s="73"/>
      <c r="O639" s="73"/>
      <c r="P639" s="73"/>
      <c r="Q639" s="73"/>
      <c r="R639" s="73"/>
      <c r="S639" s="73"/>
      <c r="T639" s="73"/>
      <c r="U639" s="73"/>
      <c r="V639" s="73"/>
      <c r="W639" s="73"/>
      <c r="X639" s="73"/>
      <c r="Y639" s="73"/>
      <c r="Z639" s="73"/>
      <c r="AA639" s="73"/>
      <c r="AB639" s="73"/>
    </row>
    <row r="640">
      <c r="A640" s="73"/>
      <c r="B640" s="73">
        <v>33131.788</v>
      </c>
      <c r="C640" s="73">
        <v>3365209.98402482</v>
      </c>
      <c r="D640" s="73">
        <v>61743.1057485504</v>
      </c>
      <c r="E640" s="73">
        <v>151624.796107056</v>
      </c>
      <c r="F640" s="73"/>
      <c r="G640" s="73"/>
      <c r="H640" s="73"/>
      <c r="I640" s="73"/>
      <c r="J640" s="73"/>
      <c r="K640" s="73"/>
      <c r="L640" s="73"/>
      <c r="M640" s="73"/>
      <c r="N640" s="73"/>
      <c r="O640" s="73"/>
      <c r="P640" s="73"/>
      <c r="Q640" s="73"/>
      <c r="R640" s="73"/>
      <c r="S640" s="73"/>
      <c r="T640" s="73"/>
      <c r="U640" s="73"/>
      <c r="V640" s="73"/>
      <c r="W640" s="73"/>
      <c r="X640" s="73"/>
      <c r="Y640" s="73"/>
      <c r="Z640" s="73"/>
      <c r="AA640" s="73"/>
      <c r="AB640" s="73"/>
    </row>
    <row r="641">
      <c r="A641" s="73"/>
      <c r="B641" s="73">
        <v>33232.917</v>
      </c>
      <c r="C641" s="73">
        <v>3379589.8136254</v>
      </c>
      <c r="D641" s="73">
        <v>62434.9549994659</v>
      </c>
      <c r="E641" s="73">
        <v>152314.070821848</v>
      </c>
      <c r="F641" s="73"/>
      <c r="G641" s="73"/>
      <c r="H641" s="73"/>
      <c r="I641" s="73"/>
      <c r="J641" s="73"/>
      <c r="K641" s="73"/>
      <c r="L641" s="73"/>
      <c r="M641" s="73"/>
      <c r="N641" s="73"/>
      <c r="O641" s="73"/>
      <c r="P641" s="73"/>
      <c r="Q641" s="73"/>
      <c r="R641" s="73"/>
      <c r="S641" s="73"/>
      <c r="T641" s="73"/>
      <c r="U641" s="73"/>
      <c r="V641" s="73"/>
      <c r="W641" s="73"/>
      <c r="X641" s="73"/>
      <c r="Y641" s="73"/>
      <c r="Z641" s="73"/>
      <c r="AA641" s="73"/>
      <c r="AB641" s="73"/>
    </row>
    <row r="642">
      <c r="A642" s="73"/>
      <c r="B642" s="73">
        <v>33334.2</v>
      </c>
      <c r="C642" s="73">
        <v>3394008.78322488</v>
      </c>
      <c r="D642" s="73">
        <v>63134.2747484741</v>
      </c>
      <c r="E642" s="73">
        <v>153005.274524535</v>
      </c>
      <c r="F642" s="73"/>
      <c r="G642" s="73"/>
      <c r="H642" s="73"/>
      <c r="I642" s="73"/>
      <c r="J642" s="73"/>
      <c r="K642" s="73"/>
      <c r="L642" s="73"/>
      <c r="M642" s="73"/>
      <c r="N642" s="73"/>
      <c r="O642" s="73"/>
      <c r="P642" s="73"/>
      <c r="Q642" s="73"/>
      <c r="R642" s="73"/>
      <c r="S642" s="73"/>
      <c r="T642" s="73"/>
      <c r="U642" s="73"/>
      <c r="V642" s="73"/>
      <c r="W642" s="73"/>
      <c r="X642" s="73"/>
      <c r="Y642" s="73"/>
      <c r="Z642" s="73"/>
      <c r="AA642" s="73"/>
      <c r="AB642" s="73"/>
    </row>
    <row r="643">
      <c r="A643" s="73"/>
      <c r="B643" s="73">
        <v>33435.637</v>
      </c>
      <c r="C643" s="73">
        <v>3408466.37782329</v>
      </c>
      <c r="D643" s="73">
        <v>63841.1052493897</v>
      </c>
      <c r="E643" s="73">
        <v>153698.39438912</v>
      </c>
      <c r="F643" s="73"/>
      <c r="G643" s="73"/>
      <c r="H643" s="73"/>
      <c r="I643" s="73"/>
      <c r="J643" s="73"/>
      <c r="K643" s="73"/>
      <c r="L643" s="73"/>
      <c r="M643" s="73"/>
      <c r="N643" s="73"/>
      <c r="O643" s="73"/>
      <c r="P643" s="73"/>
      <c r="Q643" s="73"/>
      <c r="R643" s="73"/>
      <c r="S643" s="73"/>
      <c r="T643" s="73"/>
      <c r="U643" s="73"/>
      <c r="V643" s="73"/>
      <c r="W643" s="73"/>
      <c r="X643" s="73"/>
      <c r="Y643" s="73"/>
      <c r="Z643" s="73"/>
      <c r="AA643" s="73"/>
      <c r="AB643" s="73"/>
    </row>
    <row r="644">
      <c r="A644" s="73"/>
      <c r="B644" s="73">
        <v>33537.228</v>
      </c>
      <c r="C644" s="73">
        <v>3422963.11242062</v>
      </c>
      <c r="D644" s="73">
        <v>64555.4950003052</v>
      </c>
      <c r="E644" s="73">
        <v>154393.4432416</v>
      </c>
      <c r="F644" s="73"/>
      <c r="G644" s="73"/>
      <c r="H644" s="73"/>
      <c r="I644" s="73"/>
      <c r="J644" s="73"/>
      <c r="K644" s="73"/>
      <c r="L644" s="73"/>
      <c r="M644" s="73"/>
      <c r="N644" s="73"/>
      <c r="O644" s="73"/>
      <c r="P644" s="73"/>
      <c r="Q644" s="73"/>
      <c r="R644" s="73"/>
      <c r="S644" s="73"/>
      <c r="T644" s="73"/>
      <c r="U644" s="73"/>
      <c r="V644" s="73"/>
      <c r="W644" s="73"/>
      <c r="X644" s="73"/>
      <c r="Y644" s="73"/>
      <c r="Z644" s="73"/>
      <c r="AA644" s="73"/>
      <c r="AB644" s="73"/>
    </row>
    <row r="645">
      <c r="A645" s="73"/>
      <c r="B645" s="73">
        <v>33638.973</v>
      </c>
      <c r="C645" s="73">
        <v>3437498.47201687</v>
      </c>
      <c r="D645" s="73">
        <v>65277.4842493134</v>
      </c>
      <c r="E645" s="73">
        <v>155090.426381976</v>
      </c>
      <c r="F645" s="73"/>
      <c r="G645" s="73"/>
      <c r="H645" s="73"/>
      <c r="I645" s="73"/>
      <c r="J645" s="73"/>
      <c r="K645" s="73"/>
      <c r="L645" s="73"/>
      <c r="M645" s="73"/>
      <c r="N645" s="73"/>
      <c r="O645" s="73"/>
      <c r="P645" s="73"/>
      <c r="Q645" s="73"/>
      <c r="R645" s="73"/>
      <c r="S645" s="73"/>
      <c r="T645" s="73"/>
      <c r="U645" s="73"/>
      <c r="V645" s="73"/>
      <c r="W645" s="73"/>
      <c r="X645" s="73"/>
      <c r="Y645" s="73"/>
      <c r="Z645" s="73"/>
      <c r="AA645" s="73"/>
      <c r="AB645" s="73"/>
    </row>
    <row r="646">
      <c r="A646" s="73"/>
      <c r="B646" s="73">
        <v>33740.872</v>
      </c>
      <c r="C646" s="73">
        <v>3452072.97161204</v>
      </c>
      <c r="D646" s="73">
        <v>66007.1137502289</v>
      </c>
      <c r="E646" s="73">
        <v>155789.341160247</v>
      </c>
      <c r="F646" s="73"/>
      <c r="G646" s="73"/>
      <c r="H646" s="73"/>
      <c r="I646" s="73"/>
      <c r="J646" s="73"/>
      <c r="K646" s="73"/>
      <c r="L646" s="73"/>
      <c r="M646" s="73"/>
      <c r="N646" s="73"/>
      <c r="O646" s="73"/>
      <c r="P646" s="73"/>
      <c r="Q646" s="73"/>
      <c r="R646" s="73"/>
      <c r="S646" s="73"/>
      <c r="T646" s="73"/>
      <c r="U646" s="73"/>
      <c r="V646" s="73"/>
      <c r="W646" s="73"/>
      <c r="X646" s="73"/>
      <c r="Y646" s="73"/>
      <c r="Z646" s="73"/>
      <c r="AA646" s="73"/>
      <c r="AB646" s="73"/>
    </row>
    <row r="647">
      <c r="A647" s="73"/>
      <c r="B647" s="73">
        <v>33842.925</v>
      </c>
      <c r="C647" s="73">
        <v>3466686.35370612</v>
      </c>
      <c r="D647" s="73">
        <v>66744.4314992371</v>
      </c>
      <c r="E647" s="73">
        <v>156490.192876414</v>
      </c>
      <c r="F647" s="73"/>
      <c r="G647" s="73"/>
      <c r="H647" s="73"/>
      <c r="I647" s="73"/>
      <c r="J647" s="73"/>
      <c r="K647" s="73"/>
      <c r="L647" s="73"/>
      <c r="M647" s="73"/>
      <c r="N647" s="73"/>
      <c r="O647" s="73"/>
      <c r="P647" s="73"/>
      <c r="Q647" s="73"/>
      <c r="R647" s="73"/>
      <c r="S647" s="73"/>
      <c r="T647" s="73"/>
      <c r="U647" s="73"/>
      <c r="V647" s="73"/>
      <c r="W647" s="73"/>
      <c r="X647" s="73"/>
      <c r="Y647" s="73"/>
      <c r="Z647" s="73"/>
      <c r="AA647" s="73"/>
      <c r="AB647" s="73"/>
    </row>
    <row r="648">
      <c r="A648" s="73"/>
      <c r="B648" s="73">
        <v>33945.132</v>
      </c>
      <c r="C648" s="73">
        <v>3481339.13329911</v>
      </c>
      <c r="D648" s="73">
        <v>67489.4712501526</v>
      </c>
      <c r="E648" s="73">
        <v>157192.963192477</v>
      </c>
      <c r="F648" s="73"/>
      <c r="G648" s="73"/>
      <c r="H648" s="73"/>
      <c r="I648" s="73"/>
      <c r="J648" s="73"/>
      <c r="K648" s="73"/>
      <c r="L648" s="73"/>
      <c r="M648" s="73"/>
      <c r="N648" s="73"/>
      <c r="O648" s="73"/>
      <c r="P648" s="73"/>
      <c r="Q648" s="73"/>
      <c r="R648" s="73"/>
      <c r="S648" s="73"/>
      <c r="T648" s="73"/>
      <c r="U648" s="73"/>
      <c r="V648" s="73"/>
      <c r="W648" s="73"/>
      <c r="X648" s="73"/>
      <c r="Y648" s="73"/>
      <c r="Z648" s="73"/>
      <c r="AA648" s="73"/>
      <c r="AB648" s="73"/>
    </row>
    <row r="649">
      <c r="A649" s="73"/>
      <c r="B649" s="73">
        <v>34047.493</v>
      </c>
      <c r="C649" s="73">
        <v>3496030.53789103</v>
      </c>
      <c r="D649" s="73">
        <v>68242.2862491608</v>
      </c>
      <c r="E649" s="73">
        <v>157897.680834436</v>
      </c>
      <c r="F649" s="73"/>
      <c r="G649" s="73"/>
      <c r="H649" s="73"/>
      <c r="I649" s="73"/>
      <c r="J649" s="73"/>
      <c r="K649" s="73"/>
      <c r="L649" s="73"/>
      <c r="M649" s="73"/>
      <c r="N649" s="73"/>
      <c r="O649" s="73"/>
      <c r="P649" s="73"/>
      <c r="Q649" s="73"/>
      <c r="R649" s="73"/>
      <c r="S649" s="73"/>
      <c r="T649" s="73"/>
      <c r="U649" s="73"/>
      <c r="V649" s="73"/>
      <c r="W649" s="73"/>
      <c r="X649" s="73"/>
      <c r="Y649" s="73"/>
      <c r="Z649" s="73"/>
      <c r="AA649" s="73"/>
      <c r="AB649" s="73"/>
    </row>
    <row r="650">
      <c r="A650" s="73"/>
      <c r="B650" s="73">
        <v>34150.008</v>
      </c>
      <c r="C650" s="73">
        <v>3510761.59748185</v>
      </c>
      <c r="D650" s="73">
        <v>69002.9095000763</v>
      </c>
      <c r="E650" s="73">
        <v>158604.343152289</v>
      </c>
      <c r="F650" s="73"/>
      <c r="G650" s="73"/>
      <c r="H650" s="73"/>
      <c r="I650" s="73"/>
      <c r="J650" s="73"/>
      <c r="K650" s="73"/>
      <c r="L650" s="73"/>
      <c r="M650" s="73"/>
      <c r="N650" s="73"/>
      <c r="O650" s="73"/>
      <c r="P650" s="73"/>
      <c r="Q650" s="73"/>
      <c r="R650" s="73"/>
      <c r="S650" s="73"/>
      <c r="T650" s="73"/>
      <c r="U650" s="73"/>
      <c r="V650" s="73"/>
      <c r="W650" s="73"/>
      <c r="X650" s="73"/>
      <c r="Y650" s="73"/>
      <c r="Z650" s="73"/>
      <c r="AA650" s="73"/>
      <c r="AB650" s="73"/>
    </row>
    <row r="651">
      <c r="A651" s="73"/>
      <c r="B651" s="73">
        <v>34252.677</v>
      </c>
      <c r="C651" s="73">
        <v>3525531.53957158</v>
      </c>
      <c r="D651" s="73">
        <v>69771.3907490845</v>
      </c>
      <c r="E651" s="73">
        <v>159312.929370038</v>
      </c>
      <c r="F651" s="73"/>
      <c r="G651" s="73"/>
      <c r="H651" s="73"/>
      <c r="I651" s="73"/>
      <c r="J651" s="73"/>
      <c r="K651" s="73"/>
      <c r="L651" s="73"/>
      <c r="M651" s="73"/>
      <c r="N651" s="73"/>
      <c r="O651" s="73"/>
      <c r="P651" s="73"/>
      <c r="Q651" s="73"/>
      <c r="R651" s="73"/>
      <c r="S651" s="73"/>
      <c r="T651" s="73"/>
      <c r="U651" s="73"/>
      <c r="V651" s="73"/>
      <c r="W651" s="73"/>
      <c r="X651" s="73"/>
      <c r="Y651" s="73"/>
      <c r="Z651" s="73"/>
      <c r="AA651" s="73"/>
      <c r="AB651" s="73"/>
    </row>
    <row r="652">
      <c r="A652" s="73"/>
      <c r="B652" s="73">
        <v>34355.5</v>
      </c>
      <c r="C652" s="73">
        <v>3540340.62166023</v>
      </c>
      <c r="D652" s="73">
        <v>70547.771</v>
      </c>
      <c r="E652" s="73">
        <v>160023.470651682</v>
      </c>
      <c r="F652" s="73"/>
      <c r="G652" s="73"/>
      <c r="H652" s="73"/>
      <c r="I652" s="73"/>
      <c r="J652" s="73"/>
      <c r="K652" s="73"/>
      <c r="L652" s="73"/>
      <c r="M652" s="73"/>
      <c r="N652" s="73"/>
      <c r="O652" s="73"/>
      <c r="P652" s="73"/>
      <c r="Q652" s="73"/>
      <c r="R652" s="73"/>
      <c r="S652" s="73"/>
      <c r="T652" s="73"/>
      <c r="U652" s="73"/>
      <c r="V652" s="73"/>
      <c r="W652" s="73"/>
      <c r="X652" s="73"/>
      <c r="Y652" s="73"/>
      <c r="Z652" s="73"/>
      <c r="AA652" s="73"/>
      <c r="AB652" s="73"/>
    </row>
    <row r="653">
      <c r="A653" s="73"/>
      <c r="B653" s="73">
        <v>34458.477</v>
      </c>
      <c r="C653" s="73">
        <v>3555189.35874778</v>
      </c>
      <c r="D653" s="73">
        <v>71332.0882490082</v>
      </c>
      <c r="E653" s="73">
        <v>160735.948871221</v>
      </c>
      <c r="F653" s="73"/>
      <c r="G653" s="73"/>
      <c r="H653" s="73"/>
      <c r="I653" s="73"/>
      <c r="J653" s="73"/>
      <c r="K653" s="73"/>
      <c r="L653" s="73"/>
      <c r="M653" s="73"/>
      <c r="N653" s="73"/>
      <c r="O653" s="73"/>
      <c r="P653" s="73"/>
      <c r="Q653" s="73"/>
      <c r="R653" s="73"/>
      <c r="S653" s="73"/>
      <c r="T653" s="73"/>
      <c r="U653" s="73"/>
      <c r="V653" s="73"/>
      <c r="W653" s="73"/>
      <c r="X653" s="73"/>
      <c r="Y653" s="73"/>
      <c r="Z653" s="73"/>
      <c r="AA653" s="73"/>
      <c r="AB653" s="73"/>
    </row>
    <row r="654">
      <c r="A654" s="73"/>
      <c r="B654" s="73">
        <v>34561.608</v>
      </c>
      <c r="C654" s="73">
        <v>3570076.97833425</v>
      </c>
      <c r="D654" s="73">
        <v>72124.3897499237</v>
      </c>
      <c r="E654" s="73">
        <v>161450.371766656</v>
      </c>
      <c r="F654" s="73"/>
      <c r="G654" s="73"/>
      <c r="H654" s="73"/>
      <c r="I654" s="73"/>
      <c r="J654" s="73"/>
      <c r="K654" s="73"/>
      <c r="L654" s="73"/>
      <c r="M654" s="73"/>
      <c r="N654" s="73"/>
      <c r="O654" s="73"/>
      <c r="P654" s="73"/>
      <c r="Q654" s="73"/>
      <c r="R654" s="73"/>
      <c r="S654" s="73"/>
      <c r="T654" s="73"/>
      <c r="U654" s="73"/>
      <c r="V654" s="73"/>
      <c r="W654" s="73"/>
      <c r="X654" s="73"/>
      <c r="Y654" s="73"/>
      <c r="Z654" s="73"/>
      <c r="AA654" s="73"/>
      <c r="AB654" s="73"/>
    </row>
    <row r="655">
      <c r="A655" s="73"/>
      <c r="B655" s="73">
        <v>34664.893</v>
      </c>
      <c r="C655" s="73">
        <v>3585004.51041961</v>
      </c>
      <c r="D655" s="73">
        <v>72924.7202489319</v>
      </c>
      <c r="E655" s="73">
        <v>162166.739337985</v>
      </c>
      <c r="F655" s="73"/>
      <c r="G655" s="73"/>
      <c r="H655" s="73"/>
      <c r="I655" s="73"/>
      <c r="J655" s="73"/>
      <c r="K655" s="73"/>
      <c r="L655" s="73"/>
      <c r="M655" s="73"/>
      <c r="N655" s="73"/>
      <c r="O655" s="73"/>
      <c r="P655" s="73"/>
      <c r="Q655" s="73"/>
      <c r="R655" s="73"/>
      <c r="S655" s="73"/>
      <c r="T655" s="73"/>
      <c r="U655" s="73"/>
      <c r="V655" s="73"/>
      <c r="W655" s="73"/>
      <c r="X655" s="73"/>
      <c r="Y655" s="73"/>
      <c r="Z655" s="73"/>
      <c r="AA655" s="73"/>
      <c r="AB655" s="73"/>
    </row>
    <row r="656">
      <c r="A656" s="73"/>
      <c r="B656" s="73">
        <v>34768.332</v>
      </c>
      <c r="C656" s="73">
        <v>3599970.92500389</v>
      </c>
      <c r="D656" s="73">
        <v>73733.1152498474</v>
      </c>
      <c r="E656" s="73">
        <v>162885.056885209</v>
      </c>
      <c r="F656" s="73"/>
      <c r="G656" s="73"/>
      <c r="H656" s="73"/>
      <c r="I656" s="73"/>
      <c r="J656" s="73"/>
      <c r="K656" s="73"/>
      <c r="L656" s="73"/>
      <c r="M656" s="73"/>
      <c r="N656" s="73"/>
      <c r="O656" s="73"/>
      <c r="P656" s="73"/>
      <c r="Q656" s="73"/>
      <c r="R656" s="73"/>
      <c r="S656" s="73"/>
      <c r="T656" s="73"/>
      <c r="U656" s="73"/>
      <c r="V656" s="73"/>
      <c r="W656" s="73"/>
      <c r="X656" s="73"/>
      <c r="Y656" s="73"/>
      <c r="Z656" s="73"/>
      <c r="AA656" s="73"/>
      <c r="AB656" s="73"/>
    </row>
    <row r="657">
      <c r="A657" s="73"/>
      <c r="B657" s="73">
        <v>34871.925</v>
      </c>
      <c r="C657" s="73">
        <v>3614976.99458706</v>
      </c>
      <c r="D657" s="73">
        <v>74549.6217488556</v>
      </c>
      <c r="E657" s="73">
        <v>163605.319108328</v>
      </c>
      <c r="F657" s="73"/>
      <c r="G657" s="73"/>
      <c r="H657" s="73"/>
      <c r="I657" s="73"/>
      <c r="J657" s="73"/>
      <c r="K657" s="73"/>
      <c r="L657" s="73"/>
      <c r="M657" s="73"/>
      <c r="N657" s="73"/>
      <c r="O657" s="73"/>
      <c r="P657" s="73"/>
      <c r="Q657" s="73"/>
      <c r="R657" s="73"/>
      <c r="S657" s="73"/>
      <c r="T657" s="73"/>
      <c r="U657" s="73"/>
      <c r="V657" s="73"/>
      <c r="W657" s="73"/>
      <c r="X657" s="73"/>
      <c r="Y657" s="73"/>
      <c r="Z657" s="73"/>
      <c r="AA657" s="73"/>
      <c r="AB657" s="73"/>
    </row>
    <row r="658">
      <c r="A658" s="73"/>
      <c r="B658" s="73">
        <v>34975.672</v>
      </c>
      <c r="C658" s="73">
        <v>3630022.97666913</v>
      </c>
      <c r="D658" s="73">
        <v>75374.2787497711</v>
      </c>
      <c r="E658" s="73">
        <v>164327.541695342</v>
      </c>
      <c r="F658" s="73"/>
      <c r="G658" s="73"/>
      <c r="H658" s="73"/>
      <c r="I658" s="73"/>
      <c r="J658" s="73"/>
      <c r="K658" s="73"/>
      <c r="L658" s="73"/>
      <c r="M658" s="73"/>
      <c r="N658" s="73"/>
      <c r="O658" s="73"/>
      <c r="P658" s="73"/>
      <c r="Q658" s="73"/>
      <c r="R658" s="73"/>
      <c r="S658" s="73"/>
      <c r="T658" s="73"/>
      <c r="U658" s="73"/>
      <c r="V658" s="73"/>
      <c r="W658" s="73"/>
      <c r="X658" s="73"/>
      <c r="Y658" s="73"/>
      <c r="Z658" s="73"/>
      <c r="AA658" s="73"/>
      <c r="AB658" s="73"/>
    </row>
    <row r="659">
      <c r="A659" s="73"/>
      <c r="B659" s="73">
        <v>35079.573</v>
      </c>
      <c r="C659" s="73">
        <v>3645108.09875011</v>
      </c>
      <c r="D659" s="73">
        <v>76207.1322487793</v>
      </c>
      <c r="E659" s="73">
        <v>165051.70895825</v>
      </c>
      <c r="F659" s="73"/>
      <c r="G659" s="73"/>
      <c r="H659" s="73"/>
      <c r="I659" s="73"/>
      <c r="J659" s="73"/>
      <c r="K659" s="73"/>
      <c r="L659" s="73"/>
      <c r="M659" s="73"/>
      <c r="N659" s="73"/>
      <c r="O659" s="73"/>
      <c r="P659" s="73"/>
      <c r="Q659" s="73"/>
      <c r="R659" s="73"/>
      <c r="S659" s="73"/>
      <c r="T659" s="73"/>
      <c r="U659" s="73"/>
      <c r="V659" s="73"/>
      <c r="W659" s="73"/>
      <c r="X659" s="73"/>
      <c r="Y659" s="73"/>
      <c r="Z659" s="73"/>
      <c r="AA659" s="73"/>
      <c r="AB659" s="73"/>
    </row>
    <row r="660">
      <c r="A660" s="73"/>
      <c r="B660" s="73">
        <v>35183.628</v>
      </c>
      <c r="C660" s="73">
        <v>3660232.61833</v>
      </c>
      <c r="D660" s="73">
        <v>77048.2212496948</v>
      </c>
      <c r="E660" s="73">
        <v>165777.828847053</v>
      </c>
      <c r="F660" s="73"/>
      <c r="G660" s="73"/>
      <c r="H660" s="73"/>
      <c r="I660" s="73"/>
      <c r="J660" s="73"/>
      <c r="K660" s="73"/>
      <c r="L660" s="73"/>
      <c r="M660" s="73"/>
      <c r="N660" s="73"/>
      <c r="O660" s="73"/>
      <c r="P660" s="73"/>
      <c r="Q660" s="73"/>
      <c r="R660" s="73"/>
      <c r="S660" s="73"/>
      <c r="T660" s="73"/>
      <c r="U660" s="73"/>
      <c r="V660" s="73"/>
      <c r="W660" s="73"/>
      <c r="X660" s="73"/>
      <c r="Y660" s="73"/>
      <c r="Z660" s="73"/>
      <c r="AA660" s="73"/>
      <c r="AB660" s="73"/>
    </row>
    <row r="661">
      <c r="A661" s="73"/>
      <c r="B661" s="73">
        <v>35287.837</v>
      </c>
      <c r="C661" s="73">
        <v>3675397.05040878</v>
      </c>
      <c r="D661" s="73">
        <v>77897.590748703</v>
      </c>
      <c r="E661" s="73">
        <v>166505.91418775</v>
      </c>
      <c r="F661" s="73"/>
      <c r="G661" s="73"/>
      <c r="H661" s="73"/>
      <c r="I661" s="73"/>
      <c r="J661" s="73"/>
      <c r="K661" s="73"/>
      <c r="L661" s="73"/>
      <c r="M661" s="73"/>
      <c r="N661" s="73"/>
      <c r="O661" s="73"/>
      <c r="P661" s="73"/>
      <c r="Q661" s="73"/>
      <c r="R661" s="73"/>
      <c r="S661" s="73"/>
      <c r="T661" s="73"/>
      <c r="U661" s="73"/>
      <c r="V661" s="73"/>
      <c r="W661" s="73"/>
      <c r="X661" s="73"/>
      <c r="Y661" s="73"/>
      <c r="Z661" s="73"/>
      <c r="AA661" s="73"/>
      <c r="AB661" s="73"/>
    </row>
    <row r="662">
      <c r="A662" s="73"/>
      <c r="B662" s="73">
        <v>35392.2</v>
      </c>
      <c r="C662" s="73">
        <v>3690601.13748646</v>
      </c>
      <c r="D662" s="73">
        <v>78755.2842496185</v>
      </c>
      <c r="E662" s="73">
        <v>167235.946854341</v>
      </c>
      <c r="F662" s="73"/>
      <c r="G662" s="73"/>
      <c r="H662" s="73"/>
      <c r="I662" s="73"/>
      <c r="J662" s="73"/>
      <c r="K662" s="73"/>
      <c r="L662" s="73"/>
      <c r="M662" s="73"/>
      <c r="N662" s="73"/>
      <c r="O662" s="73"/>
      <c r="P662" s="73"/>
      <c r="Q662" s="73"/>
      <c r="R662" s="73"/>
      <c r="S662" s="73"/>
      <c r="T662" s="73"/>
      <c r="U662" s="73"/>
      <c r="V662" s="73"/>
      <c r="W662" s="73"/>
      <c r="X662" s="73"/>
      <c r="Y662" s="73"/>
      <c r="Z662" s="73"/>
      <c r="AA662" s="73"/>
      <c r="AB662" s="73"/>
    </row>
    <row r="663">
      <c r="A663" s="73"/>
      <c r="B663" s="73">
        <v>35496.717</v>
      </c>
      <c r="C663" s="73">
        <v>3705844.87956303</v>
      </c>
      <c r="D663" s="73">
        <v>79621.3369986267</v>
      </c>
      <c r="E663" s="73">
        <v>167967.939884827</v>
      </c>
      <c r="F663" s="73"/>
      <c r="G663" s="73"/>
      <c r="H663" s="73"/>
      <c r="I663" s="73"/>
      <c r="J663" s="73"/>
      <c r="K663" s="73"/>
      <c r="L663" s="73"/>
      <c r="M663" s="73"/>
      <c r="N663" s="73"/>
      <c r="O663" s="73"/>
      <c r="P663" s="73"/>
      <c r="Q663" s="73"/>
      <c r="R663" s="73"/>
      <c r="S663" s="73"/>
      <c r="T663" s="73"/>
      <c r="U663" s="73"/>
      <c r="V663" s="73"/>
      <c r="W663" s="73"/>
      <c r="X663" s="73"/>
      <c r="Y663" s="73"/>
      <c r="Z663" s="73"/>
      <c r="AA663" s="73"/>
      <c r="AB663" s="73"/>
    </row>
    <row r="664">
      <c r="A664" s="73"/>
      <c r="B664" s="73">
        <v>35601.388</v>
      </c>
      <c r="C664" s="73">
        <v>3721128.27663851</v>
      </c>
      <c r="D664" s="73">
        <v>80495.7949995422</v>
      </c>
      <c r="E664" s="73">
        <v>168701.895929207</v>
      </c>
      <c r="F664" s="73"/>
      <c r="G664" s="73"/>
      <c r="H664" s="73"/>
      <c r="I664" s="73"/>
      <c r="J664" s="73"/>
      <c r="K664" s="73"/>
      <c r="L664" s="73"/>
      <c r="M664" s="73"/>
      <c r="N664" s="73"/>
      <c r="O664" s="73"/>
      <c r="P664" s="73"/>
      <c r="Q664" s="73"/>
      <c r="R664" s="73"/>
      <c r="S664" s="73"/>
      <c r="T664" s="73"/>
      <c r="U664" s="73"/>
      <c r="V664" s="73"/>
      <c r="W664" s="73"/>
      <c r="X664" s="73"/>
      <c r="Y664" s="73"/>
      <c r="Z664" s="73"/>
      <c r="AA664" s="73"/>
      <c r="AB664" s="73"/>
    </row>
    <row r="665">
      <c r="A665" s="73"/>
      <c r="B665" s="73">
        <v>35706.213</v>
      </c>
      <c r="C665" s="73">
        <v>3736451.58621287</v>
      </c>
      <c r="D665" s="73">
        <v>81378.7009985504</v>
      </c>
      <c r="E665" s="73">
        <v>169437.807037482</v>
      </c>
      <c r="F665" s="73"/>
      <c r="G665" s="73"/>
      <c r="H665" s="73"/>
      <c r="I665" s="73"/>
      <c r="J665" s="73"/>
      <c r="K665" s="73"/>
      <c r="L665" s="73"/>
      <c r="M665" s="73"/>
      <c r="N665" s="73"/>
      <c r="O665" s="73"/>
      <c r="P665" s="73"/>
      <c r="Q665" s="73"/>
      <c r="R665" s="73"/>
      <c r="S665" s="73"/>
      <c r="T665" s="73"/>
      <c r="U665" s="73"/>
      <c r="V665" s="73"/>
      <c r="W665" s="73"/>
      <c r="X665" s="73"/>
      <c r="Y665" s="73"/>
      <c r="Z665" s="73"/>
      <c r="AA665" s="73"/>
      <c r="AB665" s="73"/>
    </row>
    <row r="666">
      <c r="A666" s="73"/>
      <c r="B666" s="73">
        <v>35811.192</v>
      </c>
      <c r="C666" s="73">
        <v>3751815.06578612</v>
      </c>
      <c r="D666" s="73">
        <v>82270.0994994659</v>
      </c>
      <c r="E666" s="73">
        <v>170175.691547649</v>
      </c>
      <c r="F666" s="73"/>
      <c r="G666" s="73"/>
      <c r="H666" s="73"/>
      <c r="I666" s="73"/>
      <c r="J666" s="73"/>
      <c r="K666" s="73"/>
      <c r="L666" s="73"/>
      <c r="M666" s="73"/>
      <c r="N666" s="73"/>
      <c r="O666" s="73"/>
      <c r="P666" s="73"/>
      <c r="Q666" s="73"/>
      <c r="R666" s="73"/>
      <c r="S666" s="73"/>
      <c r="T666" s="73"/>
      <c r="U666" s="73"/>
      <c r="V666" s="73"/>
      <c r="W666" s="73"/>
      <c r="X666" s="73"/>
      <c r="Y666" s="73"/>
      <c r="Z666" s="73"/>
      <c r="AA666" s="73"/>
      <c r="AB666" s="73"/>
    </row>
    <row r="667">
      <c r="A667" s="73"/>
      <c r="B667" s="73">
        <v>35916.325</v>
      </c>
      <c r="C667" s="73">
        <v>3767218.45785826</v>
      </c>
      <c r="D667" s="73">
        <v>83170.0262484741</v>
      </c>
      <c r="E667" s="73">
        <v>170915.536421711</v>
      </c>
      <c r="F667" s="73"/>
      <c r="G667" s="73"/>
      <c r="H667" s="73"/>
      <c r="I667" s="73"/>
      <c r="J667" s="73"/>
      <c r="K667" s="73"/>
      <c r="L667" s="73"/>
      <c r="M667" s="73"/>
      <c r="N667" s="73"/>
      <c r="O667" s="73"/>
      <c r="P667" s="73"/>
      <c r="Q667" s="73"/>
      <c r="R667" s="73"/>
      <c r="S667" s="73"/>
      <c r="T667" s="73"/>
      <c r="U667" s="73"/>
      <c r="V667" s="73"/>
      <c r="W667" s="73"/>
      <c r="X667" s="73"/>
      <c r="Y667" s="73"/>
      <c r="Z667" s="73"/>
      <c r="AA667" s="73"/>
      <c r="AB667" s="73"/>
    </row>
    <row r="668">
      <c r="A668" s="73"/>
      <c r="B668" s="73">
        <v>36021.612</v>
      </c>
      <c r="C668" s="73">
        <v>3782660.98992932</v>
      </c>
      <c r="D668" s="73">
        <v>84078.5279993897</v>
      </c>
      <c r="E668" s="73">
        <v>171657.339009668</v>
      </c>
      <c r="F668" s="73"/>
      <c r="G668" s="73"/>
      <c r="H668" s="73"/>
      <c r="I668" s="73"/>
      <c r="J668" s="73"/>
      <c r="K668" s="73"/>
      <c r="L668" s="73"/>
      <c r="M668" s="73"/>
      <c r="N668" s="73"/>
      <c r="O668" s="73"/>
      <c r="P668" s="73"/>
      <c r="Q668" s="73"/>
      <c r="R668" s="73"/>
      <c r="S668" s="73"/>
      <c r="T668" s="73"/>
      <c r="U668" s="73"/>
      <c r="V668" s="73"/>
      <c r="W668" s="73"/>
      <c r="X668" s="73"/>
      <c r="Y668" s="73"/>
      <c r="Z668" s="73"/>
      <c r="AA668" s="73"/>
      <c r="AB668" s="73"/>
    </row>
    <row r="669">
      <c r="A669" s="73"/>
      <c r="B669" s="73">
        <v>36127.053</v>
      </c>
      <c r="C669" s="73">
        <v>3798144.46449924</v>
      </c>
      <c r="D669" s="73">
        <v>84995.6487503052</v>
      </c>
      <c r="E669" s="73">
        <v>172401.128037517</v>
      </c>
      <c r="F669" s="73"/>
      <c r="G669" s="73"/>
      <c r="H669" s="73"/>
      <c r="I669" s="73"/>
      <c r="J669" s="73"/>
      <c r="K669" s="73"/>
      <c r="L669" s="73"/>
      <c r="M669" s="73"/>
      <c r="N669" s="73"/>
      <c r="O669" s="73"/>
      <c r="P669" s="73"/>
      <c r="Q669" s="73"/>
      <c r="R669" s="73"/>
      <c r="S669" s="73"/>
      <c r="T669" s="73"/>
      <c r="U669" s="73"/>
      <c r="V669" s="73"/>
      <c r="W669" s="73"/>
      <c r="X669" s="73"/>
      <c r="Y669" s="73"/>
      <c r="Z669" s="73"/>
      <c r="AA669" s="73"/>
      <c r="AB669" s="73"/>
    </row>
    <row r="670">
      <c r="A670" s="73"/>
      <c r="B670" s="73">
        <v>36232.648</v>
      </c>
      <c r="C670" s="73">
        <v>3813667.33656806</v>
      </c>
      <c r="D670" s="73">
        <v>85921.4199993134</v>
      </c>
      <c r="E670" s="73">
        <v>173146.867041261</v>
      </c>
      <c r="F670" s="73"/>
      <c r="G670" s="73"/>
      <c r="H670" s="73"/>
      <c r="I670" s="73"/>
      <c r="J670" s="73"/>
      <c r="K670" s="73"/>
      <c r="L670" s="73"/>
      <c r="M670" s="73"/>
      <c r="N670" s="73"/>
      <c r="O670" s="73"/>
      <c r="P670" s="73"/>
      <c r="Q670" s="73"/>
      <c r="R670" s="73"/>
      <c r="S670" s="73"/>
      <c r="T670" s="73"/>
      <c r="U670" s="73"/>
      <c r="V670" s="73"/>
      <c r="W670" s="73"/>
      <c r="X670" s="73"/>
      <c r="Y670" s="73"/>
      <c r="Z670" s="73"/>
      <c r="AA670" s="73"/>
      <c r="AB670" s="73"/>
    </row>
    <row r="671">
      <c r="A671" s="73"/>
      <c r="B671" s="73">
        <v>36338.397</v>
      </c>
      <c r="C671" s="73">
        <v>3829230.63613576</v>
      </c>
      <c r="D671" s="73">
        <v>86855.8890002289</v>
      </c>
      <c r="E671" s="73">
        <v>173894.587184898</v>
      </c>
      <c r="F671" s="73"/>
      <c r="G671" s="73"/>
      <c r="H671" s="73"/>
      <c r="I671" s="73"/>
      <c r="J671" s="73"/>
      <c r="K671" s="73"/>
      <c r="L671" s="73"/>
      <c r="M671" s="73"/>
      <c r="N671" s="73"/>
      <c r="O671" s="73"/>
      <c r="P671" s="73"/>
      <c r="Q671" s="73"/>
      <c r="R671" s="73"/>
      <c r="S671" s="73"/>
      <c r="T671" s="73"/>
      <c r="U671" s="73"/>
      <c r="V671" s="73"/>
      <c r="W671" s="73"/>
      <c r="X671" s="73"/>
      <c r="Y671" s="73"/>
      <c r="Z671" s="73"/>
      <c r="AA671" s="73"/>
      <c r="AB671" s="73"/>
    </row>
    <row r="672">
      <c r="A672" s="73"/>
      <c r="B672" s="73">
        <v>36444.3</v>
      </c>
      <c r="C672" s="73">
        <v>3844833.84820235</v>
      </c>
      <c r="D672" s="73">
        <v>87799.1032492371</v>
      </c>
      <c r="E672" s="73">
        <v>174644.291118427</v>
      </c>
      <c r="F672" s="73"/>
      <c r="G672" s="73"/>
      <c r="H672" s="73"/>
      <c r="I672" s="73"/>
      <c r="J672" s="73"/>
      <c r="K672" s="73"/>
      <c r="L672" s="73"/>
      <c r="M672" s="73"/>
      <c r="N672" s="73"/>
      <c r="O672" s="73"/>
      <c r="P672" s="73"/>
      <c r="Q672" s="73"/>
      <c r="R672" s="73"/>
      <c r="S672" s="73"/>
      <c r="T672" s="73"/>
      <c r="U672" s="73"/>
      <c r="V672" s="73"/>
      <c r="W672" s="73"/>
      <c r="X672" s="73"/>
      <c r="Y672" s="73"/>
      <c r="Z672" s="73"/>
      <c r="AA672" s="73"/>
      <c r="AB672" s="73"/>
    </row>
    <row r="673">
      <c r="A673" s="73"/>
      <c r="B673" s="73">
        <v>36550.357</v>
      </c>
      <c r="C673" s="73">
        <v>3860477.23026782</v>
      </c>
      <c r="D673" s="73">
        <v>88751.1025001526</v>
      </c>
      <c r="E673" s="73">
        <v>175395.955415851</v>
      </c>
      <c r="F673" s="73"/>
      <c r="G673" s="73"/>
      <c r="H673" s="73"/>
      <c r="I673" s="73"/>
      <c r="J673" s="73"/>
      <c r="K673" s="73"/>
      <c r="L673" s="73"/>
      <c r="M673" s="73"/>
      <c r="N673" s="73"/>
      <c r="O673" s="73"/>
      <c r="P673" s="73"/>
      <c r="Q673" s="73"/>
      <c r="R673" s="73"/>
      <c r="S673" s="73"/>
      <c r="T673" s="73"/>
      <c r="U673" s="73"/>
      <c r="V673" s="73"/>
      <c r="W673" s="73"/>
      <c r="X673" s="73"/>
      <c r="Y673" s="73"/>
      <c r="Z673" s="73"/>
      <c r="AA673" s="73"/>
      <c r="AB673" s="73"/>
    </row>
    <row r="674">
      <c r="A674" s="73"/>
      <c r="B674" s="73">
        <v>36656.568</v>
      </c>
      <c r="C674" s="73">
        <v>3876160.78233218</v>
      </c>
      <c r="D674" s="73">
        <v>89711.9247491608</v>
      </c>
      <c r="E674" s="73">
        <v>176149.595765169</v>
      </c>
      <c r="F674" s="73"/>
      <c r="G674" s="73"/>
      <c r="H674" s="73"/>
      <c r="I674" s="73"/>
      <c r="J674" s="73"/>
      <c r="K674" s="73"/>
      <c r="L674" s="73"/>
      <c r="M674" s="73"/>
      <c r="N674" s="73"/>
      <c r="O674" s="73"/>
      <c r="P674" s="73"/>
      <c r="Q674" s="73"/>
      <c r="R674" s="73"/>
      <c r="S674" s="73"/>
      <c r="T674" s="73"/>
      <c r="U674" s="73"/>
      <c r="V674" s="73"/>
      <c r="W674" s="73"/>
      <c r="X674" s="73"/>
      <c r="Y674" s="73"/>
      <c r="Z674" s="73"/>
      <c r="AA674" s="73"/>
      <c r="AB674" s="73"/>
    </row>
    <row r="675">
      <c r="A675" s="73"/>
      <c r="B675" s="73">
        <v>36762.933</v>
      </c>
      <c r="C675" s="73">
        <v>3891884.50439543</v>
      </c>
      <c r="D675" s="73">
        <v>90681.6097500763</v>
      </c>
      <c r="E675" s="73">
        <v>176905.217254379</v>
      </c>
      <c r="F675" s="73"/>
      <c r="G675" s="73"/>
      <c r="H675" s="73"/>
      <c r="I675" s="73"/>
      <c r="J675" s="73"/>
      <c r="K675" s="73"/>
      <c r="L675" s="73"/>
      <c r="M675" s="73"/>
      <c r="N675" s="73"/>
      <c r="O675" s="73"/>
      <c r="P675" s="73"/>
      <c r="Q675" s="73"/>
      <c r="R675" s="73"/>
      <c r="S675" s="73"/>
      <c r="T675" s="73"/>
      <c r="U675" s="73"/>
      <c r="V675" s="73"/>
      <c r="W675" s="73"/>
      <c r="X675" s="73"/>
      <c r="Y675" s="73"/>
      <c r="Z675" s="73"/>
      <c r="AA675" s="73"/>
      <c r="AB675" s="73"/>
    </row>
    <row r="676">
      <c r="A676" s="73"/>
      <c r="B676" s="73">
        <v>36869.452</v>
      </c>
      <c r="C676" s="73">
        <v>3907648.65395755</v>
      </c>
      <c r="D676" s="73">
        <v>91660.2009990845</v>
      </c>
      <c r="E676" s="73">
        <v>177662.814795483</v>
      </c>
      <c r="F676" s="73"/>
      <c r="G676" s="73"/>
      <c r="H676" s="73"/>
      <c r="I676" s="73"/>
      <c r="J676" s="73"/>
      <c r="K676" s="73"/>
      <c r="L676" s="73"/>
      <c r="M676" s="73"/>
      <c r="N676" s="73"/>
      <c r="O676" s="73"/>
      <c r="P676" s="73"/>
      <c r="Q676" s="73"/>
      <c r="R676" s="73"/>
      <c r="S676" s="73"/>
      <c r="T676" s="73"/>
      <c r="U676" s="73"/>
      <c r="V676" s="73"/>
      <c r="W676" s="73"/>
      <c r="X676" s="73"/>
      <c r="Y676" s="73"/>
      <c r="Z676" s="73"/>
      <c r="AA676" s="73"/>
      <c r="AB676" s="73"/>
    </row>
    <row r="677">
      <c r="A677" s="73"/>
      <c r="B677" s="73">
        <v>36976.125</v>
      </c>
      <c r="C677" s="73">
        <v>3923452.97351855</v>
      </c>
      <c r="D677" s="73">
        <v>92647.7425</v>
      </c>
      <c r="E677" s="73">
        <v>178422.396126479</v>
      </c>
      <c r="F677" s="73"/>
      <c r="G677" s="73"/>
      <c r="H677" s="73"/>
      <c r="I677" s="73"/>
      <c r="J677" s="73"/>
      <c r="K677" s="73"/>
      <c r="L677" s="73"/>
      <c r="M677" s="73"/>
      <c r="N677" s="73"/>
      <c r="O677" s="73"/>
      <c r="P677" s="73"/>
      <c r="Q677" s="73"/>
      <c r="R677" s="73"/>
      <c r="S677" s="73"/>
      <c r="T677" s="73"/>
      <c r="U677" s="73"/>
      <c r="V677" s="73"/>
      <c r="W677" s="73"/>
      <c r="X677" s="73"/>
      <c r="Y677" s="73"/>
      <c r="Z677" s="73"/>
      <c r="AA677" s="73"/>
      <c r="AB677" s="73"/>
    </row>
    <row r="678">
      <c r="A678" s="73"/>
      <c r="B678" s="73">
        <v>37082.952</v>
      </c>
      <c r="C678" s="73">
        <v>3939297.72057843</v>
      </c>
      <c r="D678" s="73">
        <v>93644.2779990082</v>
      </c>
      <c r="E678" s="73">
        <v>179183.961247369</v>
      </c>
      <c r="F678" s="73"/>
      <c r="G678" s="73"/>
      <c r="H678" s="73"/>
      <c r="I678" s="73"/>
      <c r="J678" s="73"/>
      <c r="K678" s="73"/>
      <c r="L678" s="73"/>
      <c r="M678" s="73"/>
      <c r="N678" s="73"/>
      <c r="O678" s="73"/>
      <c r="P678" s="73"/>
      <c r="Q678" s="73"/>
      <c r="R678" s="73"/>
      <c r="S678" s="73"/>
      <c r="T678" s="73"/>
      <c r="U678" s="73"/>
      <c r="V678" s="73"/>
      <c r="W678" s="73"/>
      <c r="X678" s="73"/>
      <c r="Y678" s="73"/>
      <c r="Z678" s="73"/>
      <c r="AA678" s="73"/>
      <c r="AB678" s="73"/>
    </row>
    <row r="679">
      <c r="A679" s="73"/>
      <c r="B679" s="73">
        <v>37189.933</v>
      </c>
      <c r="C679" s="73">
        <v>3955183.15263718</v>
      </c>
      <c r="D679" s="73">
        <v>94649.8387499237</v>
      </c>
      <c r="E679" s="73">
        <v>179947.512808151</v>
      </c>
      <c r="F679" s="73"/>
      <c r="G679" s="73"/>
      <c r="H679" s="73"/>
      <c r="I679" s="73"/>
      <c r="J679" s="73"/>
      <c r="K679" s="73"/>
      <c r="L679" s="73"/>
      <c r="M679" s="73"/>
      <c r="N679" s="73"/>
      <c r="O679" s="73"/>
      <c r="P679" s="73"/>
      <c r="Q679" s="73"/>
      <c r="R679" s="73"/>
      <c r="S679" s="73"/>
      <c r="T679" s="73"/>
      <c r="U679" s="73"/>
      <c r="V679" s="73"/>
      <c r="W679" s="73"/>
      <c r="X679" s="73"/>
      <c r="Y679" s="73"/>
      <c r="Z679" s="73"/>
      <c r="AA679" s="73"/>
      <c r="AB679" s="73"/>
    </row>
    <row r="680">
      <c r="A680" s="73"/>
      <c r="B680" s="73">
        <v>37297.068</v>
      </c>
      <c r="C680" s="73">
        <v>3971109.01219481</v>
      </c>
      <c r="D680" s="73">
        <v>95664.4807489319</v>
      </c>
      <c r="E680" s="73">
        <v>180713.048158826</v>
      </c>
      <c r="F680" s="73"/>
      <c r="G680" s="73"/>
      <c r="H680" s="73"/>
      <c r="I680" s="73"/>
      <c r="J680" s="73"/>
      <c r="K680" s="73"/>
      <c r="L680" s="73"/>
      <c r="M680" s="73"/>
      <c r="N680" s="73"/>
      <c r="O680" s="73"/>
      <c r="P680" s="73"/>
      <c r="Q680" s="73"/>
      <c r="R680" s="73"/>
      <c r="S680" s="73"/>
      <c r="T680" s="73"/>
      <c r="U680" s="73"/>
      <c r="V680" s="73"/>
      <c r="W680" s="73"/>
      <c r="X680" s="73"/>
      <c r="Y680" s="73"/>
      <c r="Z680" s="73"/>
      <c r="AA680" s="73"/>
      <c r="AB680" s="73"/>
    </row>
    <row r="681">
      <c r="A681" s="73"/>
      <c r="B681" s="73">
        <v>37404.357</v>
      </c>
      <c r="C681" s="73">
        <v>3987075.04175133</v>
      </c>
      <c r="D681" s="73">
        <v>96688.2342498474</v>
      </c>
      <c r="E681" s="73">
        <v>181480.569949394</v>
      </c>
      <c r="F681" s="73"/>
      <c r="G681" s="73"/>
      <c r="H681" s="73"/>
      <c r="I681" s="73"/>
      <c r="J681" s="73"/>
      <c r="K681" s="73"/>
      <c r="L681" s="73"/>
      <c r="M681" s="73"/>
      <c r="N681" s="73"/>
      <c r="O681" s="73"/>
      <c r="P681" s="73"/>
      <c r="Q681" s="73"/>
      <c r="R681" s="73"/>
      <c r="S681" s="73"/>
      <c r="T681" s="73"/>
      <c r="U681" s="73"/>
      <c r="V681" s="73"/>
      <c r="W681" s="73"/>
      <c r="X681" s="73"/>
      <c r="Y681" s="73"/>
      <c r="Z681" s="73"/>
      <c r="AA681" s="73"/>
      <c r="AB681" s="73"/>
    </row>
    <row r="682">
      <c r="A682" s="73"/>
      <c r="B682" s="73">
        <v>37511.8</v>
      </c>
      <c r="C682" s="73">
        <v>4003081.75630671</v>
      </c>
      <c r="D682" s="73">
        <v>97721.1439988556</v>
      </c>
      <c r="E682" s="73">
        <v>182250.078179855</v>
      </c>
      <c r="F682" s="73"/>
      <c r="G682" s="73"/>
      <c r="H682" s="73"/>
      <c r="I682" s="73"/>
      <c r="J682" s="73"/>
      <c r="K682" s="73"/>
      <c r="L682" s="73"/>
      <c r="M682" s="73"/>
      <c r="N682" s="73"/>
      <c r="O682" s="73"/>
      <c r="P682" s="73"/>
      <c r="Q682" s="73"/>
      <c r="R682" s="73"/>
      <c r="S682" s="73"/>
      <c r="T682" s="73"/>
      <c r="U682" s="73"/>
      <c r="V682" s="73"/>
      <c r="W682" s="73"/>
      <c r="X682" s="73"/>
      <c r="Y682" s="73"/>
      <c r="Z682" s="73"/>
      <c r="AA682" s="73"/>
      <c r="AB682" s="73"/>
    </row>
    <row r="683">
      <c r="A683" s="73"/>
      <c r="B683" s="73">
        <v>37619.397</v>
      </c>
      <c r="C683" s="73">
        <v>4019129.15586096</v>
      </c>
      <c r="D683" s="73">
        <v>98763.2467497711</v>
      </c>
      <c r="E683" s="73">
        <v>183021.570200209</v>
      </c>
      <c r="F683" s="73"/>
      <c r="G683" s="73"/>
      <c r="H683" s="73"/>
      <c r="I683" s="73"/>
      <c r="J683" s="73"/>
      <c r="K683" s="73"/>
      <c r="L683" s="73"/>
      <c r="M683" s="73"/>
      <c r="N683" s="73"/>
      <c r="O683" s="73"/>
      <c r="P683" s="73"/>
      <c r="Q683" s="73"/>
      <c r="R683" s="73"/>
      <c r="S683" s="73"/>
      <c r="T683" s="73"/>
      <c r="U683" s="73"/>
      <c r="V683" s="73"/>
      <c r="W683" s="73"/>
      <c r="X683" s="73"/>
      <c r="Y683" s="73"/>
      <c r="Z683" s="73"/>
      <c r="AA683" s="73"/>
      <c r="AB683" s="73"/>
    </row>
    <row r="684">
      <c r="A684" s="73"/>
      <c r="B684" s="73">
        <v>37727.148</v>
      </c>
      <c r="C684" s="73">
        <v>4035216.98291409</v>
      </c>
      <c r="D684" s="73">
        <v>99814.5954987793</v>
      </c>
      <c r="E684" s="73">
        <v>183795.061698454</v>
      </c>
      <c r="F684" s="73"/>
      <c r="G684" s="73"/>
      <c r="H684" s="73"/>
      <c r="I684" s="73"/>
      <c r="J684" s="73"/>
      <c r="K684" s="73"/>
      <c r="L684" s="73"/>
      <c r="M684" s="73"/>
      <c r="N684" s="73"/>
      <c r="O684" s="73"/>
      <c r="P684" s="73"/>
      <c r="Q684" s="73"/>
      <c r="R684" s="73"/>
      <c r="S684" s="73"/>
      <c r="T684" s="73"/>
      <c r="U684" s="73"/>
      <c r="V684" s="73"/>
      <c r="W684" s="73"/>
      <c r="X684" s="73"/>
      <c r="Y684" s="73"/>
      <c r="Z684" s="73"/>
      <c r="AA684" s="73"/>
      <c r="AB684" s="73"/>
    </row>
    <row r="685">
      <c r="A685" s="73"/>
      <c r="B685" s="73">
        <v>37835.053</v>
      </c>
      <c r="C685" s="73">
        <v>4051345.49496609</v>
      </c>
      <c r="D685" s="73">
        <v>100875.218249695</v>
      </c>
      <c r="E685" s="73">
        <v>184570.539636593</v>
      </c>
      <c r="F685" s="73"/>
      <c r="G685" s="73"/>
      <c r="H685" s="73"/>
      <c r="I685" s="73"/>
      <c r="J685" s="73"/>
      <c r="K685" s="73"/>
      <c r="L685" s="73"/>
      <c r="M685" s="73"/>
      <c r="N685" s="73"/>
      <c r="O685" s="73"/>
      <c r="P685" s="73"/>
      <c r="Q685" s="73"/>
      <c r="R685" s="73"/>
      <c r="S685" s="73"/>
      <c r="T685" s="73"/>
      <c r="U685" s="73"/>
      <c r="V685" s="73"/>
      <c r="W685" s="73"/>
      <c r="X685" s="73"/>
      <c r="Y685" s="73"/>
      <c r="Z685" s="73"/>
      <c r="AA685" s="73"/>
      <c r="AB685" s="73"/>
    </row>
    <row r="686">
      <c r="A686" s="73"/>
      <c r="B686" s="73">
        <v>37943.112</v>
      </c>
      <c r="C686" s="73">
        <v>4067514.69201696</v>
      </c>
      <c r="D686" s="73">
        <v>101945.169748703</v>
      </c>
      <c r="E686" s="73">
        <v>185348.024790623</v>
      </c>
      <c r="F686" s="73"/>
      <c r="G686" s="73"/>
      <c r="H686" s="73"/>
      <c r="I686" s="73"/>
      <c r="J686" s="73"/>
      <c r="K686" s="73"/>
      <c r="L686" s="73"/>
      <c r="M686" s="73"/>
      <c r="N686" s="73"/>
      <c r="O686" s="73"/>
      <c r="P686" s="73"/>
      <c r="Q686" s="73"/>
      <c r="R686" s="73"/>
      <c r="S686" s="73"/>
      <c r="T686" s="73"/>
      <c r="U686" s="73"/>
      <c r="V686" s="73"/>
      <c r="W686" s="73"/>
      <c r="X686" s="73"/>
      <c r="Y686" s="73"/>
      <c r="Z686" s="73"/>
      <c r="AA686" s="73"/>
      <c r="AB686" s="73"/>
    </row>
    <row r="687">
      <c r="A687" s="73"/>
      <c r="B687" s="73">
        <v>38051.325</v>
      </c>
      <c r="C687" s="73">
        <v>4083725.08906668</v>
      </c>
      <c r="D687" s="73">
        <v>103024.479999619</v>
      </c>
      <c r="E687" s="73">
        <v>186127.496384546</v>
      </c>
      <c r="F687" s="73"/>
      <c r="G687" s="73"/>
      <c r="H687" s="73"/>
      <c r="I687" s="73"/>
      <c r="J687" s="73"/>
      <c r="K687" s="73"/>
      <c r="L687" s="73"/>
      <c r="M687" s="73"/>
      <c r="N687" s="73"/>
      <c r="O687" s="73"/>
      <c r="P687" s="73"/>
      <c r="Q687" s="73"/>
      <c r="R687" s="73"/>
      <c r="S687" s="73"/>
      <c r="T687" s="73"/>
      <c r="U687" s="73"/>
      <c r="V687" s="73"/>
      <c r="W687" s="73"/>
      <c r="X687" s="73"/>
      <c r="Y687" s="73"/>
      <c r="Z687" s="73"/>
      <c r="AA687" s="73"/>
      <c r="AB687" s="73"/>
    </row>
    <row r="688">
      <c r="A688" s="73"/>
      <c r="B688" s="73">
        <v>38159.692</v>
      </c>
      <c r="C688" s="73">
        <v>4099975.91361529</v>
      </c>
      <c r="D688" s="73">
        <v>104113.200498627</v>
      </c>
      <c r="E688" s="73">
        <v>186908.970106361</v>
      </c>
      <c r="F688" s="73"/>
      <c r="G688" s="73"/>
      <c r="H688" s="73"/>
      <c r="I688" s="73"/>
      <c r="J688" s="73"/>
      <c r="K688" s="73"/>
      <c r="L688" s="73"/>
      <c r="M688" s="73"/>
      <c r="N688" s="73"/>
      <c r="O688" s="73"/>
      <c r="P688" s="73"/>
      <c r="Q688" s="73"/>
      <c r="R688" s="73"/>
      <c r="S688" s="73"/>
      <c r="T688" s="73"/>
      <c r="U688" s="73"/>
      <c r="V688" s="73"/>
      <c r="W688" s="73"/>
      <c r="X688" s="73"/>
      <c r="Y688" s="73"/>
      <c r="Z688" s="73"/>
      <c r="AA688" s="73"/>
      <c r="AB688" s="73"/>
    </row>
    <row r="689">
      <c r="A689" s="73"/>
      <c r="B689" s="73">
        <v>38268.213</v>
      </c>
      <c r="C689" s="73">
        <v>4116267.68066275</v>
      </c>
      <c r="D689" s="73">
        <v>105211.359749542</v>
      </c>
      <c r="E689" s="73">
        <v>187692.448394067</v>
      </c>
      <c r="F689" s="73"/>
      <c r="G689" s="73"/>
      <c r="H689" s="73"/>
      <c r="I689" s="73"/>
      <c r="J689" s="73"/>
      <c r="K689" s="73"/>
      <c r="L689" s="73"/>
      <c r="M689" s="73"/>
      <c r="N689" s="73"/>
      <c r="O689" s="73"/>
      <c r="P689" s="73"/>
      <c r="Q689" s="73"/>
      <c r="R689" s="73"/>
      <c r="S689" s="73"/>
      <c r="T689" s="73"/>
      <c r="U689" s="73"/>
      <c r="V689" s="73"/>
      <c r="W689" s="73"/>
      <c r="X689" s="73"/>
      <c r="Y689" s="73"/>
      <c r="Z689" s="73"/>
      <c r="AA689" s="73"/>
      <c r="AB689" s="73"/>
    </row>
    <row r="690">
      <c r="A690" s="73"/>
      <c r="B690" s="73">
        <v>38376.888</v>
      </c>
      <c r="C690" s="73">
        <v>4132600.39020908</v>
      </c>
      <c r="D690" s="73">
        <v>106319.00774855</v>
      </c>
      <c r="E690" s="73">
        <v>188477.915771667</v>
      </c>
      <c r="F690" s="73"/>
      <c r="G690" s="73"/>
      <c r="H690" s="73"/>
      <c r="I690" s="73"/>
      <c r="J690" s="73"/>
      <c r="K690" s="73"/>
      <c r="L690" s="73"/>
      <c r="M690" s="73"/>
      <c r="N690" s="73"/>
      <c r="O690" s="73"/>
      <c r="P690" s="73"/>
      <c r="Q690" s="73"/>
      <c r="R690" s="73"/>
      <c r="S690" s="73"/>
      <c r="T690" s="73"/>
      <c r="U690" s="73"/>
      <c r="V690" s="73"/>
      <c r="W690" s="73"/>
      <c r="X690" s="73"/>
      <c r="Y690" s="73"/>
      <c r="Z690" s="73"/>
      <c r="AA690" s="73"/>
      <c r="AB690" s="73"/>
    </row>
    <row r="691">
      <c r="A691" s="73"/>
      <c r="B691" s="73">
        <v>38485.717</v>
      </c>
      <c r="C691" s="73">
        <v>4148973.78475428</v>
      </c>
      <c r="D691" s="73">
        <v>107436.178249466</v>
      </c>
      <c r="E691" s="73">
        <v>189265.393015157</v>
      </c>
      <c r="F691" s="73"/>
      <c r="G691" s="73"/>
      <c r="H691" s="73"/>
      <c r="I691" s="73"/>
      <c r="J691" s="73"/>
      <c r="K691" s="73"/>
      <c r="L691" s="73"/>
      <c r="M691" s="73"/>
      <c r="N691" s="73"/>
      <c r="O691" s="73"/>
      <c r="P691" s="73"/>
      <c r="Q691" s="73"/>
      <c r="R691" s="73"/>
      <c r="S691" s="73"/>
      <c r="T691" s="73"/>
      <c r="U691" s="73"/>
      <c r="V691" s="73"/>
      <c r="W691" s="73"/>
      <c r="X691" s="73"/>
      <c r="Y691" s="73"/>
      <c r="Z691" s="73"/>
      <c r="AA691" s="73"/>
      <c r="AB691" s="73"/>
    </row>
    <row r="692">
      <c r="A692" s="73"/>
      <c r="B692" s="73">
        <v>38594.7</v>
      </c>
      <c r="C692" s="73">
        <v>4165388.12179834</v>
      </c>
      <c r="D692" s="73">
        <v>108562.923748474</v>
      </c>
      <c r="E692" s="73">
        <v>190054.86973654</v>
      </c>
      <c r="F692" s="73"/>
      <c r="G692" s="73"/>
      <c r="H692" s="73"/>
      <c r="I692" s="73"/>
      <c r="J692" s="73"/>
      <c r="K692" s="73"/>
      <c r="L692" s="73"/>
      <c r="M692" s="73"/>
      <c r="N692" s="73"/>
      <c r="O692" s="73"/>
      <c r="P692" s="73"/>
      <c r="Q692" s="73"/>
      <c r="R692" s="73"/>
      <c r="S692" s="73"/>
      <c r="T692" s="73"/>
      <c r="U692" s="73"/>
      <c r="V692" s="73"/>
      <c r="W692" s="73"/>
      <c r="X692" s="73"/>
      <c r="Y692" s="73"/>
      <c r="Z692" s="73"/>
      <c r="AA692" s="73"/>
      <c r="AB692" s="73"/>
    </row>
    <row r="693">
      <c r="A693" s="73"/>
      <c r="B693" s="73">
        <v>38703.837</v>
      </c>
      <c r="C693" s="73">
        <v>4181843.91634125</v>
      </c>
      <c r="D693" s="73">
        <v>109699.27299939</v>
      </c>
      <c r="E693" s="73">
        <v>190846.356323814</v>
      </c>
      <c r="F693" s="73"/>
      <c r="G693" s="73"/>
      <c r="H693" s="73"/>
      <c r="I693" s="73"/>
      <c r="J693" s="73"/>
      <c r="K693" s="73"/>
      <c r="L693" s="73"/>
      <c r="M693" s="73"/>
      <c r="N693" s="73"/>
      <c r="O693" s="73"/>
      <c r="P693" s="73"/>
      <c r="Q693" s="73"/>
      <c r="R693" s="73"/>
      <c r="S693" s="73"/>
      <c r="T693" s="73"/>
      <c r="U693" s="73"/>
      <c r="V693" s="73"/>
      <c r="W693" s="73"/>
      <c r="X693" s="73"/>
      <c r="Y693" s="73"/>
      <c r="Z693" s="73"/>
      <c r="AA693" s="73"/>
      <c r="AB693" s="73"/>
    </row>
    <row r="694">
      <c r="A694" s="73"/>
      <c r="B694" s="73">
        <v>38813.128</v>
      </c>
      <c r="C694" s="73">
        <v>4198340.39588302</v>
      </c>
      <c r="D694" s="73">
        <v>110845.282250305</v>
      </c>
      <c r="E694" s="73">
        <v>191639.842388981</v>
      </c>
      <c r="F694" s="73"/>
      <c r="G694" s="73"/>
      <c r="H694" s="73"/>
      <c r="I694" s="73"/>
      <c r="J694" s="73"/>
      <c r="K694" s="73"/>
      <c r="L694" s="73"/>
      <c r="M694" s="73"/>
      <c r="N694" s="73"/>
      <c r="O694" s="73"/>
      <c r="P694" s="73"/>
      <c r="Q694" s="73"/>
      <c r="R694" s="73"/>
      <c r="S694" s="73"/>
      <c r="T694" s="73"/>
      <c r="U694" s="73"/>
      <c r="V694" s="73"/>
      <c r="W694" s="73"/>
      <c r="X694" s="73"/>
      <c r="Y694" s="73"/>
      <c r="Z694" s="73"/>
      <c r="AA694" s="73"/>
      <c r="AB694" s="73"/>
    </row>
    <row r="695">
      <c r="A695" s="73"/>
      <c r="B695" s="73">
        <v>38922.573</v>
      </c>
      <c r="C695" s="73">
        <v>4214878.07542366</v>
      </c>
      <c r="D695" s="73">
        <v>112000.972999313</v>
      </c>
      <c r="E695" s="73">
        <v>192435.348708038</v>
      </c>
      <c r="F695" s="73"/>
      <c r="G695" s="73"/>
      <c r="H695" s="73"/>
      <c r="I695" s="73"/>
      <c r="J695" s="73"/>
      <c r="K695" s="73"/>
      <c r="L695" s="73"/>
      <c r="M695" s="73"/>
      <c r="N695" s="73"/>
      <c r="O695" s="73"/>
      <c r="P695" s="73"/>
      <c r="Q695" s="73"/>
      <c r="R695" s="73"/>
      <c r="S695" s="73"/>
      <c r="T695" s="73"/>
      <c r="U695" s="73"/>
      <c r="V695" s="73"/>
      <c r="W695" s="73"/>
      <c r="X695" s="73"/>
      <c r="Y695" s="73"/>
      <c r="Z695" s="73"/>
      <c r="AA695" s="73"/>
      <c r="AB695" s="73"/>
    </row>
    <row r="696">
      <c r="A696" s="73"/>
      <c r="B696" s="73">
        <v>39032.172</v>
      </c>
      <c r="C696" s="73">
        <v>4231456.95496315</v>
      </c>
      <c r="D696" s="73">
        <v>113166.399750229</v>
      </c>
      <c r="E696" s="73">
        <v>193232.857154987</v>
      </c>
      <c r="F696" s="73"/>
      <c r="G696" s="73"/>
      <c r="H696" s="73"/>
      <c r="I696" s="73"/>
      <c r="J696" s="73"/>
      <c r="K696" s="73"/>
      <c r="L696" s="73"/>
      <c r="M696" s="73"/>
      <c r="N696" s="73"/>
      <c r="O696" s="73"/>
      <c r="P696" s="73"/>
      <c r="Q696" s="73"/>
      <c r="R696" s="73"/>
      <c r="S696" s="73"/>
      <c r="T696" s="73"/>
      <c r="U696" s="73"/>
      <c r="V696" s="73"/>
      <c r="W696" s="73"/>
      <c r="X696" s="73"/>
      <c r="Y696" s="73"/>
      <c r="Z696" s="73"/>
      <c r="AA696" s="73"/>
      <c r="AB696" s="73"/>
    </row>
    <row r="697">
      <c r="A697" s="73"/>
      <c r="B697" s="73">
        <v>39141.925</v>
      </c>
      <c r="C697" s="73">
        <v>4248076.7770015</v>
      </c>
      <c r="D697" s="73">
        <v>114341.604999237</v>
      </c>
      <c r="E697" s="73">
        <v>194032.378117828</v>
      </c>
      <c r="F697" s="73"/>
      <c r="G697" s="73"/>
      <c r="H697" s="73"/>
      <c r="I697" s="73"/>
      <c r="J697" s="73"/>
      <c r="K697" s="73"/>
      <c r="L697" s="73"/>
      <c r="M697" s="73"/>
      <c r="N697" s="73"/>
      <c r="O697" s="73"/>
      <c r="P697" s="73"/>
      <c r="Q697" s="73"/>
      <c r="R697" s="73"/>
      <c r="S697" s="73"/>
      <c r="T697" s="73"/>
      <c r="U697" s="73"/>
      <c r="V697" s="73"/>
      <c r="W697" s="73"/>
      <c r="X697" s="73"/>
      <c r="Y697" s="73"/>
      <c r="Z697" s="73"/>
      <c r="AA697" s="73"/>
      <c r="AB697" s="73"/>
    </row>
    <row r="698">
      <c r="A698" s="73"/>
      <c r="B698" s="73">
        <v>39251.832</v>
      </c>
      <c r="C698" s="73">
        <v>4264738.0565387</v>
      </c>
      <c r="D698" s="73">
        <v>115526.615500153</v>
      </c>
      <c r="E698" s="73">
        <v>194833.91668456</v>
      </c>
      <c r="F698" s="73"/>
      <c r="G698" s="73"/>
      <c r="H698" s="73"/>
      <c r="I698" s="73"/>
      <c r="J698" s="73"/>
      <c r="K698" s="73"/>
      <c r="L698" s="73"/>
      <c r="M698" s="73"/>
      <c r="N698" s="73"/>
      <c r="O698" s="73"/>
      <c r="P698" s="73"/>
      <c r="Q698" s="73"/>
      <c r="R698" s="73"/>
      <c r="S698" s="73"/>
      <c r="T698" s="73"/>
      <c r="U698" s="73"/>
      <c r="V698" s="73"/>
      <c r="W698" s="73"/>
      <c r="X698" s="73"/>
      <c r="Y698" s="73"/>
      <c r="Z698" s="73"/>
      <c r="AA698" s="73"/>
      <c r="AB698" s="73"/>
    </row>
    <row r="699">
      <c r="A699" s="73"/>
      <c r="B699" s="73">
        <v>39361.893</v>
      </c>
      <c r="C699" s="73">
        <v>4281440.79357475</v>
      </c>
      <c r="D699" s="73">
        <v>116721.489499161</v>
      </c>
      <c r="E699" s="73">
        <v>195637.470417183</v>
      </c>
      <c r="F699" s="73"/>
      <c r="G699" s="73"/>
      <c r="H699" s="73"/>
      <c r="I699" s="73"/>
      <c r="J699" s="73"/>
      <c r="K699" s="73"/>
      <c r="L699" s="73"/>
      <c r="M699" s="73"/>
      <c r="N699" s="73"/>
      <c r="O699" s="73"/>
      <c r="P699" s="73"/>
      <c r="Q699" s="73"/>
      <c r="R699" s="73"/>
      <c r="S699" s="73"/>
      <c r="T699" s="73"/>
      <c r="U699" s="73"/>
      <c r="V699" s="73"/>
      <c r="W699" s="73"/>
      <c r="X699" s="73"/>
      <c r="Y699" s="73"/>
      <c r="Z699" s="73"/>
      <c r="AA699" s="73"/>
      <c r="AB699" s="73"/>
    </row>
    <row r="700">
      <c r="A700" s="73"/>
      <c r="B700" s="73">
        <v>39472.108</v>
      </c>
      <c r="C700" s="73">
        <v>4298184.47310966</v>
      </c>
      <c r="D700" s="73">
        <v>117926.251250076</v>
      </c>
      <c r="E700" s="73">
        <v>196443.034015697</v>
      </c>
      <c r="F700" s="73"/>
      <c r="G700" s="73"/>
      <c r="H700" s="73"/>
      <c r="I700" s="73"/>
      <c r="J700" s="73"/>
      <c r="K700" s="73"/>
      <c r="L700" s="73"/>
      <c r="M700" s="73"/>
      <c r="N700" s="73"/>
      <c r="O700" s="73"/>
      <c r="P700" s="73"/>
      <c r="Q700" s="73"/>
      <c r="R700" s="73"/>
      <c r="S700" s="73"/>
      <c r="T700" s="73"/>
      <c r="U700" s="73"/>
      <c r="V700" s="73"/>
      <c r="W700" s="73"/>
      <c r="X700" s="73"/>
      <c r="Y700" s="73"/>
      <c r="Z700" s="73"/>
      <c r="AA700" s="73"/>
      <c r="AB700" s="73"/>
    </row>
    <row r="701">
      <c r="A701" s="73"/>
      <c r="B701" s="73">
        <v>39582.477</v>
      </c>
      <c r="C701" s="73">
        <v>4314969.86764342</v>
      </c>
      <c r="D701" s="73">
        <v>119140.957499084</v>
      </c>
      <c r="E701" s="73">
        <v>197250.623168102</v>
      </c>
      <c r="F701" s="73"/>
      <c r="G701" s="73"/>
      <c r="H701" s="73"/>
      <c r="I701" s="73"/>
      <c r="J701" s="73"/>
      <c r="K701" s="73"/>
      <c r="L701" s="73"/>
      <c r="M701" s="73"/>
      <c r="N701" s="73"/>
      <c r="O701" s="73"/>
      <c r="P701" s="73"/>
      <c r="Q701" s="73"/>
      <c r="R701" s="73"/>
      <c r="S701" s="73"/>
      <c r="T701" s="73"/>
      <c r="U701" s="73"/>
      <c r="V701" s="73"/>
      <c r="W701" s="73"/>
      <c r="X701" s="73"/>
      <c r="Y701" s="73"/>
      <c r="Z701" s="73"/>
      <c r="AA701" s="73"/>
      <c r="AB701" s="73"/>
    </row>
    <row r="702">
      <c r="A702" s="73"/>
      <c r="B702" s="73">
        <v>39693.0</v>
      </c>
      <c r="C702" s="73">
        <v>4331796.71967602</v>
      </c>
      <c r="D702" s="73">
        <v>120365.63875</v>
      </c>
      <c r="E702" s="73">
        <v>198060.222186399</v>
      </c>
      <c r="F702" s="73"/>
      <c r="G702" s="73"/>
      <c r="H702" s="73"/>
      <c r="I702" s="73"/>
      <c r="J702" s="73"/>
      <c r="K702" s="73"/>
      <c r="L702" s="73"/>
      <c r="M702" s="73"/>
      <c r="N702" s="73"/>
      <c r="O702" s="73"/>
      <c r="P702" s="73"/>
      <c r="Q702" s="73"/>
      <c r="R702" s="73"/>
      <c r="S702" s="73"/>
      <c r="T702" s="73"/>
      <c r="U702" s="73"/>
      <c r="V702" s="73"/>
      <c r="W702" s="73"/>
      <c r="X702" s="73"/>
      <c r="Y702" s="73"/>
      <c r="Z702" s="73"/>
      <c r="AA702" s="73"/>
      <c r="AB702" s="73"/>
    </row>
    <row r="703">
      <c r="A703" s="73"/>
      <c r="B703" s="73">
        <v>39803.677</v>
      </c>
      <c r="C703" s="73">
        <v>4348664.51420748</v>
      </c>
      <c r="D703" s="73">
        <v>121600.336249008</v>
      </c>
      <c r="E703" s="73">
        <v>198871.854496585</v>
      </c>
      <c r="F703" s="73"/>
      <c r="G703" s="73"/>
      <c r="H703" s="73"/>
      <c r="I703" s="73"/>
      <c r="J703" s="73"/>
      <c r="K703" s="73"/>
      <c r="L703" s="73"/>
      <c r="M703" s="73"/>
      <c r="N703" s="73"/>
      <c r="O703" s="73"/>
      <c r="P703" s="73"/>
      <c r="Q703" s="73"/>
      <c r="R703" s="73"/>
      <c r="S703" s="73"/>
      <c r="T703" s="73"/>
      <c r="U703" s="73"/>
      <c r="V703" s="73"/>
      <c r="W703" s="73"/>
      <c r="X703" s="73"/>
      <c r="Y703" s="73"/>
      <c r="Z703" s="73"/>
      <c r="AA703" s="73"/>
      <c r="AB703" s="73"/>
    </row>
    <row r="704">
      <c r="A704" s="73"/>
      <c r="B704" s="73">
        <v>39914.508</v>
      </c>
      <c r="C704" s="73">
        <v>4365574.02373779</v>
      </c>
      <c r="D704" s="73">
        <v>122845.095999924</v>
      </c>
      <c r="E704" s="73">
        <v>199685.501972663</v>
      </c>
      <c r="F704" s="73"/>
      <c r="G704" s="73"/>
      <c r="H704" s="73"/>
      <c r="I704" s="73"/>
      <c r="J704" s="73"/>
      <c r="K704" s="73"/>
      <c r="L704" s="73"/>
      <c r="M704" s="73"/>
      <c r="N704" s="73"/>
      <c r="O704" s="73"/>
      <c r="P704" s="73"/>
      <c r="Q704" s="73"/>
      <c r="R704" s="73"/>
      <c r="S704" s="73"/>
      <c r="T704" s="73"/>
      <c r="U704" s="73"/>
      <c r="V704" s="73"/>
      <c r="W704" s="73"/>
      <c r="X704" s="73"/>
      <c r="Y704" s="73"/>
      <c r="Z704" s="73"/>
      <c r="AA704" s="73"/>
      <c r="AB704" s="73"/>
    </row>
    <row r="705">
      <c r="A705" s="73"/>
      <c r="B705" s="73">
        <v>40025.493</v>
      </c>
      <c r="C705" s="73">
        <v>4382525.24826694</v>
      </c>
      <c r="D705" s="73">
        <v>124099.951998932</v>
      </c>
      <c r="E705" s="73">
        <v>200501.172352632</v>
      </c>
      <c r="F705" s="73"/>
      <c r="G705" s="73"/>
      <c r="H705" s="73"/>
      <c r="I705" s="73"/>
      <c r="J705" s="73"/>
      <c r="K705" s="73"/>
      <c r="L705" s="73"/>
      <c r="M705" s="73"/>
      <c r="N705" s="73"/>
      <c r="O705" s="73"/>
      <c r="P705" s="73"/>
      <c r="Q705" s="73"/>
      <c r="R705" s="73"/>
      <c r="S705" s="73"/>
      <c r="T705" s="73"/>
      <c r="U705" s="73"/>
      <c r="V705" s="73"/>
      <c r="W705" s="73"/>
      <c r="X705" s="73"/>
      <c r="Y705" s="73"/>
      <c r="Z705" s="73"/>
      <c r="AA705" s="73"/>
      <c r="AB705" s="73"/>
    </row>
    <row r="706">
      <c r="A706" s="73"/>
      <c r="B706" s="73">
        <v>40136.632</v>
      </c>
      <c r="C706" s="73">
        <v>4399517.67279494</v>
      </c>
      <c r="D706" s="73">
        <v>125364.950249847</v>
      </c>
      <c r="E706" s="73">
        <v>201318.865636492</v>
      </c>
      <c r="F706" s="73"/>
      <c r="G706" s="73"/>
      <c r="H706" s="73"/>
      <c r="I706" s="73"/>
      <c r="J706" s="73"/>
      <c r="K706" s="73"/>
      <c r="L706" s="73"/>
      <c r="M706" s="73"/>
      <c r="N706" s="73"/>
      <c r="O706" s="73"/>
      <c r="P706" s="73"/>
      <c r="Q706" s="73"/>
      <c r="R706" s="73"/>
      <c r="S706" s="73"/>
      <c r="T706" s="73"/>
      <c r="U706" s="73"/>
      <c r="V706" s="73"/>
      <c r="W706" s="73"/>
      <c r="X706" s="73"/>
      <c r="Y706" s="73"/>
      <c r="Z706" s="73"/>
      <c r="AA706" s="73"/>
      <c r="AB706" s="73"/>
    </row>
    <row r="707">
      <c r="A707" s="73"/>
      <c r="B707" s="73">
        <v>40247.925</v>
      </c>
      <c r="C707" s="73">
        <v>4416551.81232178</v>
      </c>
      <c r="D707" s="73">
        <v>126640.128248856</v>
      </c>
      <c r="E707" s="73">
        <v>202138.594862242</v>
      </c>
      <c r="F707" s="73"/>
      <c r="G707" s="73"/>
      <c r="H707" s="73"/>
      <c r="I707" s="73"/>
      <c r="J707" s="73"/>
      <c r="K707" s="73"/>
      <c r="L707" s="73"/>
      <c r="M707" s="73"/>
      <c r="N707" s="73"/>
      <c r="O707" s="73"/>
      <c r="P707" s="73"/>
      <c r="Q707" s="73"/>
      <c r="R707" s="73"/>
      <c r="S707" s="73"/>
      <c r="T707" s="73"/>
      <c r="U707" s="73"/>
      <c r="V707" s="73"/>
      <c r="W707" s="73"/>
      <c r="X707" s="73"/>
      <c r="Y707" s="73"/>
      <c r="Z707" s="73"/>
      <c r="AA707" s="73"/>
      <c r="AB707" s="73"/>
    </row>
    <row r="708">
      <c r="A708" s="73"/>
      <c r="B708" s="73">
        <v>40359.372</v>
      </c>
      <c r="C708" s="73">
        <v>4433627.66684747</v>
      </c>
      <c r="D708" s="73">
        <v>127925.526249771</v>
      </c>
      <c r="E708" s="73">
        <v>202960.349641882</v>
      </c>
      <c r="F708" s="73"/>
      <c r="G708" s="73"/>
      <c r="H708" s="73"/>
      <c r="I708" s="73"/>
      <c r="J708" s="73"/>
      <c r="K708" s="73"/>
      <c r="L708" s="73"/>
      <c r="M708" s="73"/>
      <c r="N708" s="73"/>
      <c r="O708" s="73"/>
      <c r="P708" s="73"/>
      <c r="Q708" s="73"/>
      <c r="R708" s="73"/>
      <c r="S708" s="73"/>
      <c r="T708" s="73"/>
      <c r="U708" s="73"/>
      <c r="V708" s="73"/>
      <c r="W708" s="73"/>
      <c r="X708" s="73"/>
      <c r="Y708" s="73"/>
      <c r="Z708" s="73"/>
      <c r="AA708" s="73"/>
      <c r="AB708" s="73"/>
    </row>
    <row r="709">
      <c r="A709" s="73"/>
      <c r="B709" s="73">
        <v>40470.973</v>
      </c>
      <c r="C709" s="73">
        <v>4450745.23637199</v>
      </c>
      <c r="D709" s="73">
        <v>129221.187748779</v>
      </c>
      <c r="E709" s="73">
        <v>203784.127325413</v>
      </c>
      <c r="F709" s="73"/>
      <c r="G709" s="73"/>
      <c r="H709" s="73"/>
      <c r="I709" s="73"/>
      <c r="J709" s="73"/>
      <c r="K709" s="73"/>
      <c r="L709" s="73"/>
      <c r="M709" s="73"/>
      <c r="N709" s="73"/>
      <c r="O709" s="73"/>
      <c r="P709" s="73"/>
      <c r="Q709" s="73"/>
      <c r="R709" s="73"/>
      <c r="S709" s="73"/>
      <c r="T709" s="73"/>
      <c r="U709" s="73"/>
      <c r="V709" s="73"/>
      <c r="W709" s="73"/>
      <c r="X709" s="73"/>
      <c r="Y709" s="73"/>
      <c r="Z709" s="73"/>
      <c r="AA709" s="73"/>
      <c r="AB709" s="73"/>
    </row>
    <row r="710">
      <c r="A710" s="73"/>
      <c r="B710" s="73">
        <v>40582.728</v>
      </c>
      <c r="C710" s="73">
        <v>4467904.52089536</v>
      </c>
      <c r="D710" s="73">
        <v>130527.153999695</v>
      </c>
      <c r="E710" s="73">
        <v>204609.943600834</v>
      </c>
      <c r="F710" s="73"/>
      <c r="G710" s="73"/>
      <c r="H710" s="73"/>
      <c r="I710" s="73"/>
      <c r="J710" s="73"/>
      <c r="K710" s="73"/>
      <c r="L710" s="73"/>
      <c r="M710" s="73"/>
      <c r="N710" s="73"/>
      <c r="O710" s="73"/>
      <c r="P710" s="73"/>
      <c r="Q710" s="73"/>
      <c r="R710" s="73"/>
      <c r="S710" s="73"/>
      <c r="T710" s="73"/>
      <c r="U710" s="73"/>
      <c r="V710" s="73"/>
      <c r="W710" s="73"/>
      <c r="X710" s="73"/>
      <c r="Y710" s="73"/>
      <c r="Z710" s="73"/>
      <c r="AA710" s="73"/>
      <c r="AB710" s="73"/>
    </row>
    <row r="711">
      <c r="A711" s="73"/>
      <c r="B711" s="73">
        <v>40694.637</v>
      </c>
      <c r="C711" s="73">
        <v>4485105.52041757</v>
      </c>
      <c r="D711" s="73">
        <v>131843.463748703</v>
      </c>
      <c r="E711" s="73">
        <v>205437.793168146</v>
      </c>
      <c r="F711" s="73"/>
      <c r="G711" s="73"/>
      <c r="H711" s="73"/>
      <c r="I711" s="73"/>
      <c r="J711" s="73"/>
      <c r="K711" s="73"/>
      <c r="L711" s="73"/>
      <c r="M711" s="73"/>
      <c r="N711" s="73"/>
      <c r="O711" s="73"/>
      <c r="P711" s="73"/>
      <c r="Q711" s="73"/>
      <c r="R711" s="73"/>
      <c r="S711" s="73"/>
      <c r="T711" s="73"/>
      <c r="U711" s="73"/>
      <c r="V711" s="73"/>
      <c r="W711" s="73"/>
      <c r="X711" s="73"/>
      <c r="Y711" s="73"/>
      <c r="Z711" s="73"/>
      <c r="AA711" s="73"/>
      <c r="AB711" s="73"/>
    </row>
    <row r="712">
      <c r="A712" s="73"/>
      <c r="B712" s="73">
        <v>40806.7</v>
      </c>
      <c r="C712" s="73">
        <v>4502348.74993861</v>
      </c>
      <c r="D712" s="73">
        <v>133170.149749619</v>
      </c>
      <c r="E712" s="73">
        <v>206267.678677347</v>
      </c>
      <c r="F712" s="73"/>
      <c r="G712" s="73"/>
      <c r="H712" s="73"/>
      <c r="I712" s="73"/>
      <c r="J712" s="73"/>
      <c r="K712" s="73"/>
      <c r="L712" s="73"/>
      <c r="M712" s="73"/>
      <c r="N712" s="73"/>
      <c r="O712" s="73"/>
      <c r="P712" s="73"/>
      <c r="Q712" s="73"/>
      <c r="R712" s="73"/>
      <c r="S712" s="73"/>
      <c r="T712" s="73"/>
      <c r="U712" s="73"/>
      <c r="V712" s="73"/>
      <c r="W712" s="73"/>
      <c r="X712" s="73"/>
      <c r="Y712" s="73"/>
      <c r="Z712" s="73"/>
      <c r="AA712" s="73"/>
      <c r="AB712" s="73"/>
    </row>
    <row r="713">
      <c r="A713" s="73"/>
      <c r="B713" s="73">
        <v>40918.917</v>
      </c>
      <c r="C713" s="73">
        <v>4519633.1794585</v>
      </c>
      <c r="D713" s="73">
        <v>134507.266498627</v>
      </c>
      <c r="E713" s="73">
        <v>207099.592390439</v>
      </c>
      <c r="F713" s="73"/>
      <c r="G713" s="73"/>
      <c r="H713" s="73"/>
      <c r="I713" s="73"/>
      <c r="J713" s="73"/>
      <c r="K713" s="73"/>
      <c r="L713" s="73"/>
      <c r="M713" s="73"/>
      <c r="N713" s="73"/>
      <c r="O713" s="73"/>
      <c r="P713" s="73"/>
      <c r="Q713" s="73"/>
      <c r="R713" s="73"/>
      <c r="S713" s="73"/>
      <c r="T713" s="73"/>
      <c r="U713" s="73"/>
      <c r="V713" s="73"/>
      <c r="W713" s="73"/>
      <c r="X713" s="73"/>
      <c r="Y713" s="73"/>
      <c r="Z713" s="73"/>
      <c r="AA713" s="73"/>
      <c r="AB713" s="73"/>
    </row>
    <row r="714">
      <c r="A714" s="73"/>
      <c r="B714" s="73">
        <v>41031.288</v>
      </c>
      <c r="C714" s="73">
        <v>4536960.3539772</v>
      </c>
      <c r="D714" s="73">
        <v>135854.846999542</v>
      </c>
      <c r="E714" s="73">
        <v>207933.552433421</v>
      </c>
      <c r="F714" s="73"/>
      <c r="G714" s="73"/>
      <c r="H714" s="73"/>
      <c r="I714" s="73"/>
      <c r="J714" s="73"/>
      <c r="K714" s="73"/>
      <c r="L714" s="73"/>
      <c r="M714" s="73"/>
      <c r="N714" s="73"/>
      <c r="O714" s="73"/>
      <c r="P714" s="73"/>
      <c r="Q714" s="73"/>
      <c r="R714" s="73"/>
      <c r="S714" s="73"/>
      <c r="T714" s="73"/>
      <c r="U714" s="73"/>
      <c r="V714" s="73"/>
      <c r="W714" s="73"/>
      <c r="X714" s="73"/>
      <c r="Y714" s="73"/>
      <c r="Z714" s="73"/>
      <c r="AA714" s="73"/>
      <c r="AB714" s="73"/>
    </row>
    <row r="715">
      <c r="A715" s="73"/>
      <c r="B715" s="73">
        <v>41143.813</v>
      </c>
      <c r="C715" s="73">
        <v>4554328.72849476</v>
      </c>
      <c r="D715" s="73">
        <v>137212.92324855</v>
      </c>
      <c r="E715" s="73">
        <v>208769.548418292</v>
      </c>
      <c r="F715" s="73"/>
      <c r="G715" s="73"/>
      <c r="H715" s="73"/>
      <c r="I715" s="73"/>
      <c r="J715" s="73"/>
      <c r="K715" s="73"/>
      <c r="L715" s="73"/>
      <c r="M715" s="73"/>
      <c r="N715" s="73"/>
      <c r="O715" s="73"/>
      <c r="P715" s="73"/>
      <c r="Q715" s="73"/>
      <c r="R715" s="73"/>
      <c r="S715" s="73"/>
      <c r="T715" s="73"/>
      <c r="U715" s="73"/>
      <c r="V715" s="73"/>
      <c r="W715" s="73"/>
      <c r="X715" s="73"/>
      <c r="Y715" s="73"/>
      <c r="Z715" s="73"/>
      <c r="AA715" s="73"/>
      <c r="AB715" s="73"/>
    </row>
    <row r="716">
      <c r="A716" s="73"/>
      <c r="B716" s="73">
        <v>41256.492</v>
      </c>
      <c r="C716" s="73">
        <v>4571739.33301115</v>
      </c>
      <c r="D716" s="73">
        <v>138581.554249466</v>
      </c>
      <c r="E716" s="73">
        <v>209607.582995054</v>
      </c>
      <c r="F716" s="73"/>
      <c r="G716" s="73"/>
      <c r="H716" s="73"/>
      <c r="I716" s="73"/>
      <c r="J716" s="73"/>
      <c r="K716" s="73"/>
      <c r="L716" s="73"/>
      <c r="M716" s="73"/>
      <c r="N716" s="73"/>
      <c r="O716" s="73"/>
      <c r="P716" s="73"/>
      <c r="Q716" s="73"/>
      <c r="R716" s="73"/>
      <c r="S716" s="73"/>
      <c r="T716" s="73"/>
      <c r="U716" s="73"/>
      <c r="V716" s="73"/>
      <c r="W716" s="73"/>
      <c r="X716" s="73"/>
      <c r="Y716" s="73"/>
      <c r="Z716" s="73"/>
      <c r="AA716" s="73"/>
      <c r="AB716" s="73"/>
    </row>
    <row r="717">
      <c r="A717" s="73"/>
      <c r="B717" s="73">
        <v>41369.325</v>
      </c>
      <c r="C717" s="73">
        <v>4589192.16752636</v>
      </c>
      <c r="D717" s="73">
        <v>139960.766498474</v>
      </c>
      <c r="E717" s="73">
        <v>210447.666551705</v>
      </c>
      <c r="F717" s="73"/>
      <c r="G717" s="73"/>
      <c r="H717" s="73"/>
      <c r="I717" s="73"/>
      <c r="J717" s="73"/>
      <c r="K717" s="73"/>
      <c r="L717" s="73"/>
      <c r="M717" s="73"/>
      <c r="N717" s="73"/>
      <c r="O717" s="73"/>
      <c r="P717" s="73"/>
      <c r="Q717" s="73"/>
      <c r="R717" s="73"/>
      <c r="S717" s="73"/>
      <c r="T717" s="73"/>
      <c r="U717" s="73"/>
      <c r="V717" s="73"/>
      <c r="W717" s="73"/>
      <c r="X717" s="73"/>
      <c r="Y717" s="73"/>
      <c r="Z717" s="73"/>
      <c r="AA717" s="73"/>
      <c r="AB717" s="73"/>
    </row>
    <row r="718">
      <c r="A718" s="73"/>
      <c r="B718" s="73">
        <v>41482.312</v>
      </c>
      <c r="C718" s="73">
        <v>4606686.71704042</v>
      </c>
      <c r="D718" s="73">
        <v>141350.60699939</v>
      </c>
      <c r="E718" s="73">
        <v>211289.786050246</v>
      </c>
      <c r="F718" s="73"/>
      <c r="G718" s="73"/>
      <c r="H718" s="73"/>
      <c r="I718" s="73"/>
      <c r="J718" s="73"/>
      <c r="K718" s="73"/>
      <c r="L718" s="73"/>
      <c r="M718" s="73"/>
      <c r="N718" s="73"/>
      <c r="O718" s="73"/>
      <c r="P718" s="73"/>
      <c r="Q718" s="73"/>
      <c r="R718" s="73"/>
      <c r="S718" s="73"/>
      <c r="T718" s="73"/>
      <c r="U718" s="73"/>
      <c r="V718" s="73"/>
      <c r="W718" s="73"/>
      <c r="X718" s="73"/>
      <c r="Y718" s="73"/>
      <c r="Z718" s="73"/>
      <c r="AA718" s="73"/>
      <c r="AB718" s="73"/>
    </row>
    <row r="719">
      <c r="A719" s="73"/>
      <c r="B719" s="73">
        <v>41595.453</v>
      </c>
      <c r="C719" s="73">
        <v>4624224.01155329</v>
      </c>
      <c r="D719" s="73">
        <v>142751.113500305</v>
      </c>
      <c r="E719" s="73">
        <v>212133.954528677</v>
      </c>
      <c r="F719" s="73"/>
      <c r="G719" s="73"/>
      <c r="H719" s="73"/>
      <c r="I719" s="73"/>
      <c r="J719" s="73"/>
      <c r="K719" s="73"/>
      <c r="L719" s="73"/>
      <c r="M719" s="73"/>
      <c r="N719" s="73"/>
      <c r="O719" s="73"/>
      <c r="P719" s="73"/>
      <c r="Q719" s="73"/>
      <c r="R719" s="73"/>
      <c r="S719" s="73"/>
      <c r="T719" s="73"/>
      <c r="U719" s="73"/>
      <c r="V719" s="73"/>
      <c r="W719" s="73"/>
      <c r="X719" s="73"/>
      <c r="Y719" s="73"/>
      <c r="Z719" s="73"/>
      <c r="AA719" s="73"/>
      <c r="AB719" s="73"/>
    </row>
    <row r="720">
      <c r="A720" s="73"/>
      <c r="B720" s="73">
        <v>41708.748</v>
      </c>
      <c r="C720" s="73">
        <v>4641803.021065</v>
      </c>
      <c r="D720" s="73">
        <v>144162.325749313</v>
      </c>
      <c r="E720" s="73">
        <v>212980.174636996</v>
      </c>
      <c r="F720" s="73"/>
      <c r="G720" s="73"/>
      <c r="H720" s="73"/>
      <c r="I720" s="73"/>
      <c r="J720" s="73"/>
      <c r="K720" s="73"/>
      <c r="L720" s="73"/>
      <c r="M720" s="73"/>
      <c r="N720" s="73"/>
      <c r="O720" s="73"/>
      <c r="P720" s="73"/>
      <c r="Q720" s="73"/>
      <c r="R720" s="73"/>
      <c r="S720" s="73"/>
      <c r="T720" s="73"/>
      <c r="U720" s="73"/>
      <c r="V720" s="73"/>
      <c r="W720" s="73"/>
      <c r="X720" s="73"/>
      <c r="Y720" s="73"/>
      <c r="Z720" s="73"/>
      <c r="AA720" s="73"/>
      <c r="AB720" s="73"/>
    </row>
    <row r="721">
      <c r="A721" s="73"/>
      <c r="B721" s="73">
        <v>41822.197</v>
      </c>
      <c r="C721" s="73">
        <v>4659424.26057553</v>
      </c>
      <c r="D721" s="73">
        <v>145584.274000229</v>
      </c>
      <c r="E721" s="73">
        <v>213828.441075205</v>
      </c>
      <c r="F721" s="73"/>
      <c r="G721" s="73"/>
      <c r="H721" s="73"/>
      <c r="I721" s="73"/>
      <c r="J721" s="73"/>
      <c r="K721" s="73"/>
      <c r="L721" s="73"/>
      <c r="M721" s="73"/>
      <c r="N721" s="73"/>
      <c r="O721" s="73"/>
      <c r="P721" s="73"/>
      <c r="Q721" s="73"/>
      <c r="R721" s="73"/>
      <c r="S721" s="73"/>
      <c r="T721" s="73"/>
      <c r="U721" s="73"/>
      <c r="V721" s="73"/>
      <c r="W721" s="73"/>
      <c r="X721" s="73"/>
      <c r="Y721" s="73"/>
      <c r="Z721" s="73"/>
      <c r="AA721" s="73"/>
      <c r="AB721" s="73"/>
    </row>
    <row r="722">
      <c r="A722" s="73"/>
      <c r="B722" s="73">
        <v>41935.8</v>
      </c>
      <c r="C722" s="73">
        <v>4677087.7300849</v>
      </c>
      <c r="D722" s="73">
        <v>147017.016999237</v>
      </c>
      <c r="E722" s="73">
        <v>214678.748755305</v>
      </c>
      <c r="F722" s="73"/>
      <c r="G722" s="73"/>
      <c r="H722" s="73"/>
      <c r="I722" s="73"/>
      <c r="J722" s="73"/>
      <c r="K722" s="73"/>
      <c r="L722" s="73"/>
      <c r="M722" s="73"/>
      <c r="N722" s="73"/>
      <c r="O722" s="73"/>
      <c r="P722" s="73"/>
      <c r="Q722" s="73"/>
      <c r="R722" s="73"/>
      <c r="S722" s="73"/>
      <c r="T722" s="73"/>
      <c r="U722" s="73"/>
      <c r="V722" s="73"/>
      <c r="W722" s="73"/>
      <c r="X722" s="73"/>
      <c r="Y722" s="73"/>
      <c r="Z722" s="73"/>
      <c r="AA722" s="73"/>
      <c r="AB722" s="73"/>
    </row>
    <row r="723">
      <c r="A723" s="73"/>
      <c r="B723" s="73">
        <v>42049.557</v>
      </c>
      <c r="C723" s="73">
        <v>4694793.42959309</v>
      </c>
      <c r="D723" s="73">
        <v>148460.586000153</v>
      </c>
      <c r="E723" s="73">
        <v>215531.113153293</v>
      </c>
      <c r="F723" s="73"/>
      <c r="G723" s="73"/>
      <c r="H723" s="73"/>
      <c r="I723" s="73"/>
      <c r="J723" s="73"/>
      <c r="K723" s="73"/>
      <c r="L723" s="73"/>
      <c r="M723" s="73"/>
      <c r="N723" s="73"/>
      <c r="O723" s="73"/>
      <c r="P723" s="73"/>
      <c r="Q723" s="73"/>
      <c r="R723" s="73"/>
      <c r="S723" s="73"/>
      <c r="T723" s="73"/>
      <c r="U723" s="73"/>
      <c r="V723" s="73"/>
      <c r="W723" s="73"/>
      <c r="X723" s="73"/>
      <c r="Y723" s="73"/>
      <c r="Z723" s="73"/>
      <c r="AA723" s="73"/>
      <c r="AB723" s="73"/>
    </row>
    <row r="724">
      <c r="A724" s="73"/>
      <c r="B724" s="73">
        <v>42163.468</v>
      </c>
      <c r="C724" s="73">
        <v>4712541.87410009</v>
      </c>
      <c r="D724" s="73">
        <v>149915.023249161</v>
      </c>
      <c r="E724" s="73">
        <v>216385.536919169</v>
      </c>
      <c r="F724" s="73"/>
      <c r="G724" s="73"/>
      <c r="H724" s="73"/>
      <c r="I724" s="73"/>
      <c r="J724" s="73"/>
      <c r="K724" s="73"/>
      <c r="L724" s="73"/>
      <c r="M724" s="73"/>
      <c r="N724" s="73"/>
      <c r="O724" s="73"/>
      <c r="P724" s="73"/>
      <c r="Q724" s="73"/>
      <c r="R724" s="73"/>
      <c r="S724" s="73"/>
      <c r="T724" s="73"/>
      <c r="U724" s="73"/>
      <c r="V724" s="73"/>
      <c r="W724" s="73"/>
      <c r="X724" s="73"/>
      <c r="Y724" s="73"/>
      <c r="Z724" s="73"/>
      <c r="AA724" s="73"/>
      <c r="AB724" s="73"/>
    </row>
    <row r="725">
      <c r="A725" s="73"/>
      <c r="B725" s="73">
        <v>42277.533</v>
      </c>
      <c r="C725" s="73">
        <v>4730332.03360593</v>
      </c>
      <c r="D725" s="73">
        <v>151380.366500076</v>
      </c>
      <c r="E725" s="73">
        <v>217242.004576936</v>
      </c>
      <c r="F725" s="73"/>
      <c r="G725" s="73"/>
      <c r="H725" s="73"/>
      <c r="I725" s="73"/>
      <c r="J725" s="73"/>
      <c r="K725" s="73"/>
      <c r="L725" s="73"/>
      <c r="M725" s="73"/>
      <c r="N725" s="73"/>
      <c r="O725" s="73"/>
      <c r="P725" s="73"/>
      <c r="Q725" s="73"/>
      <c r="R725" s="73"/>
      <c r="S725" s="73"/>
      <c r="T725" s="73"/>
      <c r="U725" s="73"/>
      <c r="V725" s="73"/>
      <c r="W725" s="73"/>
      <c r="X725" s="73"/>
      <c r="Y725" s="73"/>
      <c r="Z725" s="73"/>
      <c r="AA725" s="73"/>
      <c r="AB725" s="73"/>
    </row>
    <row r="726">
      <c r="A726" s="73"/>
      <c r="B726" s="73">
        <v>42391.752</v>
      </c>
      <c r="C726" s="73">
        <v>4748165.45311058</v>
      </c>
      <c r="D726" s="73">
        <v>152856.657999084</v>
      </c>
      <c r="E726" s="73">
        <v>218100.531602591</v>
      </c>
      <c r="F726" s="73"/>
      <c r="G726" s="73"/>
      <c r="H726" s="73"/>
      <c r="I726" s="73"/>
      <c r="J726" s="73"/>
      <c r="K726" s="73"/>
      <c r="L726" s="73"/>
      <c r="M726" s="73"/>
      <c r="N726" s="73"/>
      <c r="O726" s="73"/>
      <c r="P726" s="73"/>
      <c r="Q726" s="73"/>
      <c r="R726" s="73"/>
      <c r="S726" s="73"/>
      <c r="T726" s="73"/>
      <c r="U726" s="73"/>
      <c r="V726" s="73"/>
      <c r="W726" s="73"/>
      <c r="X726" s="73"/>
      <c r="Y726" s="73"/>
      <c r="Z726" s="73"/>
      <c r="AA726" s="73"/>
      <c r="AB726" s="73"/>
    </row>
    <row r="727">
      <c r="A727" s="73"/>
      <c r="B727" s="73">
        <v>42506.125</v>
      </c>
      <c r="C727" s="73">
        <v>4766040.58761406</v>
      </c>
      <c r="D727" s="73">
        <v>154343.93525</v>
      </c>
      <c r="E727" s="73">
        <v>218961.117996136</v>
      </c>
      <c r="F727" s="73"/>
      <c r="G727" s="73"/>
      <c r="H727" s="73"/>
      <c r="I727" s="73"/>
      <c r="J727" s="73"/>
      <c r="K727" s="73"/>
      <c r="L727" s="73"/>
      <c r="M727" s="73"/>
      <c r="N727" s="73"/>
      <c r="O727" s="73"/>
      <c r="P727" s="73"/>
      <c r="Q727" s="73"/>
      <c r="R727" s="73"/>
      <c r="S727" s="73"/>
      <c r="T727" s="73"/>
      <c r="U727" s="73"/>
      <c r="V727" s="73"/>
      <c r="W727" s="73"/>
      <c r="X727" s="73"/>
      <c r="Y727" s="73"/>
      <c r="Z727" s="73"/>
      <c r="AA727" s="73"/>
      <c r="AB727" s="73"/>
    </row>
    <row r="728">
      <c r="A728" s="73"/>
      <c r="B728" s="73">
        <v>42620.652</v>
      </c>
      <c r="C728" s="73">
        <v>4783958.46711636</v>
      </c>
      <c r="D728" s="73">
        <v>155842.230999008</v>
      </c>
      <c r="E728" s="73">
        <v>219823.758669569</v>
      </c>
      <c r="F728" s="73"/>
      <c r="G728" s="73"/>
      <c r="H728" s="73"/>
      <c r="I728" s="73"/>
      <c r="J728" s="73"/>
      <c r="K728" s="73"/>
      <c r="L728" s="73"/>
      <c r="M728" s="73"/>
      <c r="N728" s="73"/>
      <c r="O728" s="73"/>
      <c r="P728" s="73"/>
      <c r="Q728" s="73"/>
      <c r="R728" s="73"/>
      <c r="S728" s="73"/>
      <c r="T728" s="73"/>
      <c r="U728" s="73"/>
      <c r="V728" s="73"/>
      <c r="W728" s="73"/>
      <c r="X728" s="73"/>
      <c r="Y728" s="73"/>
      <c r="Z728" s="73"/>
      <c r="AA728" s="73"/>
      <c r="AB728" s="73"/>
    </row>
    <row r="729">
      <c r="A729" s="73"/>
      <c r="B729" s="73">
        <v>42735.333</v>
      </c>
      <c r="C729" s="73">
        <v>4801919.09161747</v>
      </c>
      <c r="D729" s="73">
        <v>157351.607499924</v>
      </c>
      <c r="E729" s="73">
        <v>220688.46909889</v>
      </c>
      <c r="F729" s="73"/>
      <c r="G729" s="73"/>
      <c r="H729" s="73"/>
      <c r="I729" s="73"/>
      <c r="J729" s="73"/>
      <c r="K729" s="73"/>
      <c r="L729" s="73"/>
      <c r="M729" s="73"/>
      <c r="N729" s="73"/>
      <c r="O729" s="73"/>
      <c r="P729" s="73"/>
      <c r="Q729" s="73"/>
      <c r="R729" s="73"/>
      <c r="S729" s="73"/>
      <c r="T729" s="73"/>
      <c r="U729" s="73"/>
      <c r="V729" s="73"/>
      <c r="W729" s="73"/>
      <c r="X729" s="73"/>
      <c r="Y729" s="73"/>
      <c r="Z729" s="73"/>
      <c r="AA729" s="73"/>
      <c r="AB729" s="73"/>
    </row>
    <row r="730">
      <c r="A730" s="73"/>
      <c r="B730" s="73">
        <v>42850.168</v>
      </c>
      <c r="C730" s="73">
        <v>4819921.9461174</v>
      </c>
      <c r="D730" s="73">
        <v>158872.079748932</v>
      </c>
      <c r="E730" s="73">
        <v>221555.233808101</v>
      </c>
      <c r="F730" s="73"/>
      <c r="G730" s="73"/>
      <c r="H730" s="73"/>
      <c r="I730" s="73"/>
      <c r="J730" s="73"/>
      <c r="K730" s="73"/>
      <c r="L730" s="73"/>
      <c r="M730" s="73"/>
      <c r="N730" s="73"/>
      <c r="O730" s="73"/>
      <c r="P730" s="73"/>
      <c r="Q730" s="73"/>
      <c r="R730" s="73"/>
      <c r="S730" s="73"/>
      <c r="T730" s="73"/>
      <c r="U730" s="73"/>
      <c r="V730" s="73"/>
      <c r="W730" s="73"/>
      <c r="X730" s="73"/>
      <c r="Y730" s="73"/>
      <c r="Z730" s="73"/>
      <c r="AA730" s="73"/>
      <c r="AB730" s="73"/>
    </row>
    <row r="731">
      <c r="A731" s="73"/>
      <c r="B731" s="73">
        <v>42965.157</v>
      </c>
      <c r="C731" s="73">
        <v>4837967.54561615</v>
      </c>
      <c r="D731" s="73">
        <v>160403.700249847</v>
      </c>
      <c r="E731" s="73">
        <v>222424.0682732</v>
      </c>
      <c r="F731" s="73"/>
      <c r="G731" s="73"/>
      <c r="H731" s="73"/>
      <c r="I731" s="73"/>
      <c r="J731" s="73"/>
      <c r="K731" s="73"/>
      <c r="L731" s="73"/>
      <c r="M731" s="73"/>
      <c r="N731" s="73"/>
      <c r="O731" s="73"/>
      <c r="P731" s="73"/>
      <c r="Q731" s="73"/>
      <c r="R731" s="73"/>
      <c r="S731" s="73"/>
      <c r="T731" s="73"/>
      <c r="U731" s="73"/>
      <c r="V731" s="73"/>
      <c r="W731" s="73"/>
      <c r="X731" s="73"/>
      <c r="Y731" s="73"/>
      <c r="Z731" s="73"/>
      <c r="AA731" s="73"/>
      <c r="AB731" s="73"/>
    </row>
    <row r="732">
      <c r="A732" s="73"/>
      <c r="B732" s="73">
        <v>43080.3</v>
      </c>
      <c r="C732" s="73">
        <v>4856056.4051137</v>
      </c>
      <c r="D732" s="73">
        <v>161946.519248856</v>
      </c>
      <c r="E732" s="73">
        <v>223294.967406188</v>
      </c>
      <c r="F732" s="73"/>
      <c r="G732" s="73"/>
      <c r="H732" s="73"/>
      <c r="I732" s="73"/>
      <c r="J732" s="73"/>
      <c r="K732" s="73"/>
      <c r="L732" s="73"/>
      <c r="M732" s="73"/>
      <c r="N732" s="73"/>
      <c r="O732" s="73"/>
      <c r="P732" s="73"/>
      <c r="Q732" s="73"/>
      <c r="R732" s="73"/>
      <c r="S732" s="73"/>
      <c r="T732" s="73"/>
      <c r="U732" s="73"/>
      <c r="V732" s="73"/>
      <c r="W732" s="73"/>
      <c r="X732" s="73"/>
      <c r="Y732" s="73"/>
      <c r="Z732" s="73"/>
      <c r="AA732" s="73"/>
      <c r="AB732" s="73"/>
    </row>
    <row r="733">
      <c r="A733" s="73"/>
      <c r="B733" s="73">
        <v>43195.597</v>
      </c>
      <c r="C733" s="73">
        <v>4874186.97961009</v>
      </c>
      <c r="D733" s="73">
        <v>163500.556499771</v>
      </c>
      <c r="E733" s="73">
        <v>224167.925907064</v>
      </c>
      <c r="F733" s="73"/>
      <c r="G733" s="73"/>
      <c r="H733" s="73"/>
      <c r="I733" s="73"/>
      <c r="J733" s="73"/>
      <c r="K733" s="73"/>
      <c r="L733" s="73"/>
      <c r="M733" s="73"/>
      <c r="N733" s="73"/>
      <c r="O733" s="73"/>
      <c r="P733" s="73"/>
      <c r="Q733" s="73"/>
      <c r="R733" s="73"/>
      <c r="S733" s="73"/>
      <c r="T733" s="73"/>
      <c r="U733" s="73"/>
      <c r="V733" s="73"/>
      <c r="W733" s="73"/>
      <c r="X733" s="73"/>
      <c r="Y733" s="73"/>
      <c r="Z733" s="73"/>
      <c r="AA733" s="73"/>
      <c r="AB733" s="73"/>
    </row>
    <row r="734">
      <c r="A734" s="73"/>
      <c r="B734" s="73">
        <v>43311.048</v>
      </c>
      <c r="C734" s="73">
        <v>4892361.32910526</v>
      </c>
      <c r="D734" s="73">
        <v>165065.854498779</v>
      </c>
      <c r="E734" s="73">
        <v>225042.949075829</v>
      </c>
      <c r="F734" s="73"/>
      <c r="G734" s="73"/>
      <c r="H734" s="73"/>
      <c r="I734" s="73"/>
      <c r="J734" s="73"/>
      <c r="K734" s="73"/>
      <c r="L734" s="73"/>
      <c r="M734" s="73"/>
      <c r="N734" s="73"/>
      <c r="O734" s="73"/>
      <c r="P734" s="73"/>
      <c r="Q734" s="73"/>
      <c r="R734" s="73"/>
      <c r="S734" s="73"/>
      <c r="T734" s="73"/>
      <c r="U734" s="73"/>
      <c r="V734" s="73"/>
      <c r="W734" s="73"/>
      <c r="X734" s="73"/>
      <c r="Y734" s="73"/>
      <c r="Z734" s="73"/>
      <c r="AA734" s="73"/>
      <c r="AB734" s="73"/>
    </row>
    <row r="735">
      <c r="A735" s="73"/>
      <c r="B735" s="73">
        <v>43426.653</v>
      </c>
      <c r="C735" s="73">
        <v>4910577.90859926</v>
      </c>
      <c r="D735" s="73">
        <v>166642.462999695</v>
      </c>
      <c r="E735" s="73">
        <v>225920.036912482</v>
      </c>
      <c r="F735" s="73"/>
      <c r="G735" s="73"/>
      <c r="H735" s="73"/>
      <c r="I735" s="73"/>
      <c r="J735" s="73"/>
      <c r="K735" s="73"/>
      <c r="L735" s="73"/>
      <c r="M735" s="73"/>
      <c r="N735" s="73"/>
      <c r="O735" s="73"/>
      <c r="P735" s="73"/>
      <c r="Q735" s="73"/>
      <c r="R735" s="73"/>
      <c r="S735" s="73"/>
      <c r="T735" s="73"/>
      <c r="U735" s="73"/>
      <c r="V735" s="73"/>
      <c r="W735" s="73"/>
      <c r="X735" s="73"/>
      <c r="Y735" s="73"/>
      <c r="Z735" s="73"/>
      <c r="AA735" s="73"/>
      <c r="AB735" s="73"/>
    </row>
    <row r="736">
      <c r="A736" s="73"/>
      <c r="B736" s="73">
        <v>43542.412</v>
      </c>
      <c r="C736" s="73">
        <v>4928837.23309207</v>
      </c>
      <c r="D736" s="73">
        <v>168230.419998703</v>
      </c>
      <c r="E736" s="73">
        <v>226799.210193023</v>
      </c>
      <c r="F736" s="73"/>
      <c r="G736" s="73"/>
      <c r="H736" s="73"/>
      <c r="I736" s="73"/>
      <c r="J736" s="73"/>
      <c r="K736" s="73"/>
      <c r="L736" s="73"/>
      <c r="M736" s="73"/>
      <c r="N736" s="73"/>
      <c r="O736" s="73"/>
      <c r="P736" s="73"/>
      <c r="Q736" s="73"/>
      <c r="R736" s="73"/>
      <c r="S736" s="73"/>
      <c r="T736" s="73"/>
      <c r="U736" s="73"/>
      <c r="V736" s="73"/>
      <c r="W736" s="73"/>
      <c r="X736" s="73"/>
      <c r="Y736" s="73"/>
      <c r="Z736" s="73"/>
      <c r="AA736" s="73"/>
      <c r="AB736" s="73"/>
    </row>
    <row r="737">
      <c r="A737" s="73"/>
      <c r="B737" s="73">
        <v>43658.325</v>
      </c>
      <c r="C737" s="73">
        <v>4947139.81758368</v>
      </c>
      <c r="D737" s="73">
        <v>169829.755249619</v>
      </c>
      <c r="E737" s="73">
        <v>227680.468917451</v>
      </c>
      <c r="F737" s="73"/>
      <c r="G737" s="73"/>
      <c r="H737" s="73"/>
      <c r="I737" s="73"/>
      <c r="J737" s="73"/>
      <c r="K737" s="73"/>
      <c r="L737" s="73"/>
      <c r="M737" s="73"/>
      <c r="N737" s="73"/>
      <c r="O737" s="73"/>
      <c r="P737" s="73"/>
      <c r="Q737" s="73"/>
      <c r="R737" s="73"/>
      <c r="S737" s="73"/>
      <c r="T737" s="73"/>
      <c r="U737" s="73"/>
      <c r="V737" s="73"/>
      <c r="W737" s="73"/>
      <c r="X737" s="73"/>
      <c r="Y737" s="73"/>
      <c r="Z737" s="73"/>
      <c r="AA737" s="73"/>
      <c r="AB737" s="73"/>
    </row>
    <row r="738">
      <c r="A738" s="73"/>
      <c r="B738" s="73">
        <v>43774.392</v>
      </c>
      <c r="C738" s="73">
        <v>4965485.1470741</v>
      </c>
      <c r="D738" s="73">
        <v>171440.521248627</v>
      </c>
      <c r="E738" s="73">
        <v>228563.76623377</v>
      </c>
      <c r="F738" s="73"/>
      <c r="G738" s="73"/>
      <c r="H738" s="73"/>
      <c r="I738" s="73"/>
      <c r="J738" s="73"/>
      <c r="K738" s="73"/>
      <c r="L738" s="73"/>
      <c r="M738" s="73"/>
      <c r="N738" s="73"/>
      <c r="O738" s="73"/>
      <c r="P738" s="73"/>
      <c r="Q738" s="73"/>
      <c r="R738" s="73"/>
      <c r="S738" s="73"/>
      <c r="T738" s="73"/>
      <c r="U738" s="73"/>
      <c r="V738" s="73"/>
      <c r="W738" s="73"/>
      <c r="X738" s="73"/>
      <c r="Y738" s="73"/>
      <c r="Z738" s="73"/>
      <c r="AA738" s="73"/>
      <c r="AB738" s="73"/>
    </row>
    <row r="739">
      <c r="A739" s="73"/>
      <c r="B739" s="73">
        <v>43890.613</v>
      </c>
      <c r="C739" s="73">
        <v>4983873.22156334</v>
      </c>
      <c r="D739" s="73">
        <v>173062.757999542</v>
      </c>
      <c r="E739" s="73">
        <v>229449.175069974</v>
      </c>
      <c r="F739" s="73"/>
      <c r="G739" s="73"/>
      <c r="H739" s="73"/>
      <c r="I739" s="73"/>
      <c r="J739" s="73"/>
      <c r="K739" s="73"/>
      <c r="L739" s="73"/>
      <c r="M739" s="73"/>
      <c r="N739" s="73"/>
      <c r="O739" s="73"/>
      <c r="P739" s="73"/>
      <c r="Q739" s="73"/>
      <c r="R739" s="73"/>
      <c r="S739" s="73"/>
      <c r="T739" s="73"/>
      <c r="U739" s="73"/>
      <c r="V739" s="73"/>
      <c r="W739" s="73"/>
      <c r="X739" s="73"/>
      <c r="Y739" s="73"/>
      <c r="Z739" s="73"/>
      <c r="AA739" s="73"/>
      <c r="AB739" s="73"/>
    </row>
    <row r="740">
      <c r="A740" s="73"/>
      <c r="B740" s="73">
        <v>44006.988</v>
      </c>
      <c r="C740" s="73">
        <v>5002304.55605137</v>
      </c>
      <c r="D740" s="73">
        <v>174696.49524855</v>
      </c>
      <c r="E740" s="73">
        <v>230336.622498068</v>
      </c>
      <c r="F740" s="73"/>
      <c r="G740" s="73"/>
      <c r="H740" s="73"/>
      <c r="I740" s="73"/>
      <c r="J740" s="73"/>
      <c r="K740" s="73"/>
      <c r="L740" s="73"/>
      <c r="M740" s="73"/>
      <c r="N740" s="73"/>
      <c r="O740" s="73"/>
      <c r="P740" s="73"/>
      <c r="Q740" s="73"/>
      <c r="R740" s="73"/>
      <c r="S740" s="73"/>
      <c r="T740" s="73"/>
      <c r="U740" s="73"/>
      <c r="V740" s="73"/>
      <c r="W740" s="73"/>
      <c r="X740" s="73"/>
      <c r="Y740" s="73"/>
      <c r="Z740" s="73"/>
      <c r="AA740" s="73"/>
      <c r="AB740" s="73"/>
    </row>
    <row r="741">
      <c r="A741" s="73"/>
      <c r="B741" s="73">
        <v>44123.517</v>
      </c>
      <c r="C741" s="73">
        <v>5020779.15053821</v>
      </c>
      <c r="D741" s="73">
        <v>176341.773249466</v>
      </c>
      <c r="E741" s="73">
        <v>231226.181446048</v>
      </c>
      <c r="F741" s="73"/>
      <c r="G741" s="73"/>
      <c r="H741" s="73"/>
      <c r="I741" s="73"/>
      <c r="J741" s="73"/>
      <c r="K741" s="73"/>
      <c r="L741" s="73"/>
      <c r="M741" s="73"/>
      <c r="N741" s="73"/>
      <c r="O741" s="73"/>
      <c r="P741" s="73"/>
      <c r="Q741" s="73"/>
      <c r="R741" s="73"/>
      <c r="S741" s="73"/>
      <c r="T741" s="73"/>
      <c r="U741" s="73"/>
      <c r="V741" s="73"/>
      <c r="W741" s="73"/>
      <c r="X741" s="73"/>
      <c r="Y741" s="73"/>
      <c r="Z741" s="73"/>
      <c r="AA741" s="73"/>
      <c r="AB741" s="73"/>
    </row>
    <row r="742">
      <c r="A742" s="73"/>
      <c r="B742" s="73">
        <v>44240.2</v>
      </c>
      <c r="C742" s="73">
        <v>5039296.49002385</v>
      </c>
      <c r="D742" s="73">
        <v>177998.631998474</v>
      </c>
      <c r="E742" s="73">
        <v>232117.799761917</v>
      </c>
      <c r="F742" s="73"/>
      <c r="G742" s="73"/>
      <c r="H742" s="73"/>
      <c r="I742" s="73"/>
      <c r="J742" s="73"/>
      <c r="K742" s="73"/>
      <c r="L742" s="73"/>
      <c r="M742" s="73"/>
      <c r="N742" s="73"/>
      <c r="O742" s="73"/>
      <c r="P742" s="73"/>
      <c r="Q742" s="73"/>
      <c r="R742" s="73"/>
      <c r="S742" s="73"/>
      <c r="T742" s="73"/>
      <c r="U742" s="73"/>
      <c r="V742" s="73"/>
      <c r="W742" s="73"/>
      <c r="X742" s="73"/>
      <c r="Y742" s="73"/>
      <c r="Z742" s="73"/>
      <c r="AA742" s="73"/>
      <c r="AB742" s="73"/>
    </row>
    <row r="743">
      <c r="A743" s="73"/>
      <c r="B743" s="73">
        <v>44357.037</v>
      </c>
      <c r="C743" s="73">
        <v>5057857.0895083</v>
      </c>
      <c r="D743" s="73">
        <v>179667.12374939</v>
      </c>
      <c r="E743" s="73">
        <v>233011.508821673</v>
      </c>
      <c r="F743" s="73"/>
      <c r="G743" s="73"/>
      <c r="H743" s="73"/>
      <c r="I743" s="73"/>
      <c r="J743" s="73"/>
      <c r="K743" s="73"/>
      <c r="L743" s="73"/>
      <c r="M743" s="73"/>
      <c r="N743" s="73"/>
      <c r="O743" s="73"/>
      <c r="P743" s="73"/>
      <c r="Q743" s="73"/>
      <c r="R743" s="73"/>
      <c r="S743" s="73"/>
      <c r="T743" s="73"/>
      <c r="U743" s="73"/>
      <c r="V743" s="73"/>
      <c r="W743" s="73"/>
      <c r="X743" s="73"/>
      <c r="Y743" s="73"/>
      <c r="Z743" s="73"/>
      <c r="AA743" s="73"/>
      <c r="AB743" s="73"/>
    </row>
    <row r="744">
      <c r="A744" s="73"/>
      <c r="B744" s="73">
        <v>44474.028</v>
      </c>
      <c r="C744" s="73">
        <v>5076460.43399155</v>
      </c>
      <c r="D744" s="73">
        <v>181347.273998398</v>
      </c>
      <c r="E744" s="73">
        <v>233907.303325317</v>
      </c>
      <c r="F744" s="73"/>
      <c r="G744" s="73"/>
      <c r="H744" s="73"/>
      <c r="I744" s="73"/>
      <c r="J744" s="73"/>
      <c r="K744" s="73"/>
      <c r="L744" s="73"/>
      <c r="M744" s="73"/>
      <c r="N744" s="73"/>
      <c r="O744" s="73"/>
      <c r="P744" s="73"/>
      <c r="Q744" s="73"/>
      <c r="R744" s="73"/>
      <c r="S744" s="73"/>
      <c r="T744" s="73"/>
      <c r="U744" s="73"/>
      <c r="V744" s="73"/>
      <c r="W744" s="73"/>
      <c r="X744" s="73"/>
      <c r="Y744" s="73"/>
      <c r="Z744" s="73"/>
      <c r="AA744" s="73"/>
      <c r="AB744" s="73"/>
    </row>
    <row r="745">
      <c r="A745" s="73"/>
      <c r="B745" s="73">
        <v>44591.173</v>
      </c>
      <c r="C745" s="73">
        <v>5095107.55347359</v>
      </c>
      <c r="D745" s="73">
        <v>183039.129499313</v>
      </c>
      <c r="E745" s="73">
        <v>234805.183272848</v>
      </c>
      <c r="F745" s="73"/>
      <c r="G745" s="73"/>
      <c r="H745" s="73"/>
      <c r="I745" s="73"/>
      <c r="J745" s="73"/>
      <c r="K745" s="73"/>
      <c r="L745" s="73"/>
      <c r="M745" s="73"/>
      <c r="N745" s="73"/>
      <c r="O745" s="73"/>
      <c r="P745" s="73"/>
      <c r="Q745" s="73"/>
      <c r="R745" s="73"/>
      <c r="S745" s="73"/>
      <c r="T745" s="73"/>
      <c r="U745" s="73"/>
      <c r="V745" s="73"/>
      <c r="W745" s="73"/>
      <c r="X745" s="73"/>
      <c r="Y745" s="73"/>
      <c r="Z745" s="73"/>
      <c r="AA745" s="73"/>
      <c r="AB745" s="73"/>
    </row>
    <row r="746">
      <c r="A746" s="73"/>
      <c r="B746" s="73">
        <v>44708.472</v>
      </c>
      <c r="C746" s="73">
        <v>5113797.41795444</v>
      </c>
      <c r="D746" s="73">
        <v>184742.725750229</v>
      </c>
      <c r="E746" s="73">
        <v>235705.133188267</v>
      </c>
      <c r="F746" s="73"/>
      <c r="G746" s="73"/>
      <c r="H746" s="73"/>
      <c r="I746" s="73"/>
      <c r="J746" s="73"/>
      <c r="K746" s="73"/>
      <c r="L746" s="73"/>
      <c r="M746" s="73"/>
      <c r="N746" s="73"/>
      <c r="O746" s="73"/>
      <c r="P746" s="73"/>
      <c r="Q746" s="73"/>
      <c r="R746" s="73"/>
      <c r="S746" s="73"/>
      <c r="T746" s="73"/>
      <c r="U746" s="73"/>
      <c r="V746" s="73"/>
      <c r="W746" s="73"/>
      <c r="X746" s="73"/>
      <c r="Y746" s="73"/>
      <c r="Z746" s="73"/>
      <c r="AA746" s="73"/>
      <c r="AB746" s="73"/>
    </row>
    <row r="747">
      <c r="A747" s="73"/>
      <c r="B747" s="73">
        <v>44825.925</v>
      </c>
      <c r="C747" s="73">
        <v>5132531.57243407</v>
      </c>
      <c r="D747" s="73">
        <v>186458.102749237</v>
      </c>
      <c r="E747" s="73">
        <v>236607.184023573</v>
      </c>
      <c r="F747" s="73"/>
      <c r="G747" s="73"/>
      <c r="H747" s="73"/>
      <c r="I747" s="73"/>
      <c r="J747" s="73"/>
      <c r="K747" s="73"/>
      <c r="L747" s="73"/>
      <c r="M747" s="73"/>
      <c r="N747" s="73"/>
      <c r="O747" s="73"/>
      <c r="P747" s="73"/>
      <c r="Q747" s="73"/>
      <c r="R747" s="73"/>
      <c r="S747" s="73"/>
      <c r="T747" s="73"/>
      <c r="U747" s="73"/>
      <c r="V747" s="73"/>
      <c r="W747" s="73"/>
      <c r="X747" s="73"/>
      <c r="Y747" s="73"/>
      <c r="Z747" s="73"/>
      <c r="AA747" s="73"/>
      <c r="AB747" s="73"/>
    </row>
    <row r="748">
      <c r="A748" s="73"/>
      <c r="B748" s="73">
        <v>44943.532</v>
      </c>
      <c r="C748" s="73">
        <v>5151308.4719125</v>
      </c>
      <c r="D748" s="73">
        <v>188185.305250153</v>
      </c>
      <c r="E748" s="73">
        <v>237511.310126767</v>
      </c>
      <c r="F748" s="73"/>
      <c r="G748" s="73"/>
      <c r="H748" s="73"/>
      <c r="I748" s="73"/>
      <c r="J748" s="73"/>
      <c r="K748" s="73"/>
      <c r="L748" s="73"/>
      <c r="M748" s="73"/>
      <c r="N748" s="73"/>
      <c r="O748" s="73"/>
      <c r="P748" s="73"/>
      <c r="Q748" s="73"/>
      <c r="R748" s="73"/>
      <c r="S748" s="73"/>
      <c r="T748" s="73"/>
      <c r="U748" s="73"/>
      <c r="V748" s="73"/>
      <c r="W748" s="73"/>
      <c r="X748" s="73"/>
      <c r="Y748" s="73"/>
      <c r="Z748" s="73"/>
      <c r="AA748" s="73"/>
      <c r="AB748" s="73"/>
    </row>
    <row r="749">
      <c r="A749" s="73"/>
      <c r="B749" s="73">
        <v>45061.293</v>
      </c>
      <c r="C749" s="73">
        <v>5170128.63138974</v>
      </c>
      <c r="D749" s="73">
        <v>189924.365999161</v>
      </c>
      <c r="E749" s="73">
        <v>238417.537149848</v>
      </c>
      <c r="F749" s="73"/>
      <c r="G749" s="73"/>
      <c r="H749" s="73"/>
      <c r="I749" s="73"/>
      <c r="J749" s="73"/>
      <c r="K749" s="73"/>
      <c r="L749" s="73"/>
      <c r="M749" s="73"/>
      <c r="N749" s="73"/>
      <c r="O749" s="73"/>
      <c r="P749" s="73"/>
      <c r="Q749" s="73"/>
      <c r="R749" s="73"/>
      <c r="S749" s="73"/>
      <c r="T749" s="73"/>
      <c r="U749" s="73"/>
      <c r="V749" s="73"/>
      <c r="W749" s="73"/>
      <c r="X749" s="73"/>
      <c r="Y749" s="73"/>
      <c r="Z749" s="73"/>
      <c r="AA749" s="73"/>
      <c r="AB749" s="73"/>
    </row>
    <row r="750">
      <c r="A750" s="73"/>
      <c r="B750" s="73">
        <v>45179.208</v>
      </c>
      <c r="C750" s="73">
        <v>5188992.05086577</v>
      </c>
      <c r="D750" s="73">
        <v>191675.334500076</v>
      </c>
      <c r="E750" s="73">
        <v>239325.860216815</v>
      </c>
      <c r="F750" s="73"/>
      <c r="G750" s="73"/>
      <c r="H750" s="73"/>
      <c r="I750" s="73"/>
      <c r="J750" s="73"/>
      <c r="K750" s="73"/>
      <c r="L750" s="73"/>
      <c r="M750" s="73"/>
      <c r="N750" s="73"/>
      <c r="O750" s="73"/>
      <c r="P750" s="73"/>
      <c r="Q750" s="73"/>
      <c r="R750" s="73"/>
      <c r="S750" s="73"/>
      <c r="T750" s="73"/>
      <c r="U750" s="73"/>
      <c r="V750" s="73"/>
      <c r="W750" s="73"/>
      <c r="X750" s="73"/>
      <c r="Y750" s="73"/>
      <c r="Z750" s="73"/>
      <c r="AA750" s="73"/>
      <c r="AB750" s="73"/>
    </row>
    <row r="751">
      <c r="A751" s="73"/>
      <c r="B751" s="73">
        <v>45297.277</v>
      </c>
      <c r="C751" s="73">
        <v>5207899.24534059</v>
      </c>
      <c r="D751" s="73">
        <v>193438.233749084</v>
      </c>
      <c r="E751" s="73">
        <v>240236.26872767</v>
      </c>
      <c r="F751" s="73"/>
      <c r="G751" s="73"/>
      <c r="H751" s="73"/>
      <c r="I751" s="73"/>
      <c r="J751" s="73"/>
      <c r="K751" s="73"/>
      <c r="L751" s="73"/>
      <c r="M751" s="73"/>
      <c r="N751" s="73"/>
      <c r="O751" s="73"/>
      <c r="P751" s="73"/>
      <c r="Q751" s="73"/>
      <c r="R751" s="73"/>
      <c r="S751" s="73"/>
      <c r="T751" s="73"/>
      <c r="U751" s="73"/>
      <c r="V751" s="73"/>
      <c r="W751" s="73"/>
      <c r="X751" s="73"/>
      <c r="Y751" s="73"/>
      <c r="Z751" s="73"/>
      <c r="AA751" s="73"/>
      <c r="AB751" s="73"/>
    </row>
    <row r="752">
      <c r="A752" s="73"/>
      <c r="B752" s="73">
        <v>45415.5</v>
      </c>
      <c r="C752" s="73">
        <v>5226850.21481419</v>
      </c>
      <c r="D752" s="73">
        <v>195213.11625</v>
      </c>
      <c r="E752" s="73">
        <v>241148.783458411</v>
      </c>
      <c r="F752" s="73"/>
      <c r="G752" s="73"/>
      <c r="H752" s="73"/>
      <c r="I752" s="73"/>
      <c r="J752" s="73"/>
      <c r="K752" s="73"/>
      <c r="L752" s="73"/>
      <c r="M752" s="73"/>
      <c r="N752" s="73"/>
      <c r="O752" s="73"/>
      <c r="P752" s="73"/>
      <c r="Q752" s="73"/>
      <c r="R752" s="73"/>
      <c r="S752" s="73"/>
      <c r="T752" s="73"/>
      <c r="U752" s="73"/>
      <c r="V752" s="73"/>
      <c r="W752" s="73"/>
      <c r="X752" s="73"/>
      <c r="Y752" s="73"/>
      <c r="Z752" s="73"/>
      <c r="AA752" s="73"/>
      <c r="AB752" s="73"/>
    </row>
    <row r="753">
      <c r="A753" s="73"/>
      <c r="B753" s="73">
        <v>45533.877</v>
      </c>
      <c r="C753" s="73">
        <v>5245844.44428658</v>
      </c>
      <c r="D753" s="73">
        <v>197000.013999008</v>
      </c>
      <c r="E753" s="73">
        <v>242063.36815704</v>
      </c>
      <c r="F753" s="73"/>
      <c r="G753" s="73"/>
      <c r="H753" s="73"/>
      <c r="I753" s="73"/>
      <c r="J753" s="73"/>
      <c r="K753" s="73"/>
      <c r="L753" s="73"/>
      <c r="M753" s="73"/>
      <c r="N753" s="73"/>
      <c r="O753" s="73"/>
      <c r="P753" s="73"/>
      <c r="Q753" s="73"/>
      <c r="R753" s="73"/>
      <c r="S753" s="73"/>
      <c r="T753" s="73"/>
      <c r="U753" s="73"/>
      <c r="V753" s="73"/>
      <c r="W753" s="73"/>
      <c r="X753" s="73"/>
      <c r="Y753" s="73"/>
      <c r="Z753" s="73"/>
      <c r="AA753" s="73"/>
      <c r="AB753" s="73"/>
    </row>
    <row r="754">
      <c r="A754" s="73"/>
      <c r="B754" s="73">
        <v>45652.408</v>
      </c>
      <c r="C754" s="73">
        <v>5264882.44875777</v>
      </c>
      <c r="D754" s="73">
        <v>198798.972499924</v>
      </c>
      <c r="E754" s="73">
        <v>242980.085151554</v>
      </c>
      <c r="F754" s="73"/>
      <c r="G754" s="73"/>
      <c r="H754" s="73"/>
      <c r="I754" s="73"/>
      <c r="J754" s="73"/>
      <c r="K754" s="73"/>
      <c r="L754" s="73"/>
      <c r="M754" s="73"/>
      <c r="N754" s="73"/>
      <c r="O754" s="73"/>
      <c r="P754" s="73"/>
      <c r="Q754" s="73"/>
      <c r="R754" s="73"/>
      <c r="S754" s="73"/>
      <c r="T754" s="73"/>
      <c r="U754" s="73"/>
      <c r="V754" s="73"/>
      <c r="W754" s="73"/>
      <c r="X754" s="73"/>
      <c r="Y754" s="73"/>
      <c r="Z754" s="73"/>
      <c r="AA754" s="73"/>
      <c r="AB754" s="73"/>
    </row>
    <row r="755">
      <c r="A755" s="73"/>
      <c r="B755" s="73">
        <v>45771.093</v>
      </c>
      <c r="C755" s="73">
        <v>5283963.71322775</v>
      </c>
      <c r="D755" s="73">
        <v>200610.026498932</v>
      </c>
      <c r="E755" s="73">
        <v>243898.866813957</v>
      </c>
      <c r="F755" s="73"/>
      <c r="G755" s="73"/>
      <c r="H755" s="73"/>
      <c r="I755" s="73"/>
      <c r="J755" s="73"/>
      <c r="K755" s="73"/>
      <c r="L755" s="73"/>
      <c r="M755" s="73"/>
      <c r="N755" s="73"/>
      <c r="O755" s="73"/>
      <c r="P755" s="73"/>
      <c r="Q755" s="73"/>
      <c r="R755" s="73"/>
      <c r="S755" s="73"/>
      <c r="T755" s="73"/>
      <c r="U755" s="73"/>
      <c r="V755" s="73"/>
      <c r="W755" s="73"/>
      <c r="X755" s="73"/>
      <c r="Y755" s="73"/>
      <c r="Z755" s="73"/>
      <c r="AA755" s="73"/>
      <c r="AB755" s="73"/>
    </row>
    <row r="756">
      <c r="A756" s="73"/>
      <c r="B756" s="73">
        <v>45889.932</v>
      </c>
      <c r="C756" s="73">
        <v>5303088.75269651</v>
      </c>
      <c r="D756" s="73">
        <v>202433.215999847</v>
      </c>
      <c r="E756" s="73">
        <v>244819.765296245</v>
      </c>
      <c r="F756" s="73"/>
      <c r="G756" s="73"/>
      <c r="H756" s="73"/>
      <c r="I756" s="73"/>
      <c r="J756" s="73"/>
      <c r="K756" s="73"/>
      <c r="L756" s="73"/>
      <c r="M756" s="73"/>
      <c r="N756" s="73"/>
      <c r="O756" s="73"/>
      <c r="P756" s="73"/>
      <c r="Q756" s="73"/>
      <c r="R756" s="73"/>
      <c r="S756" s="73"/>
      <c r="T756" s="73"/>
      <c r="U756" s="73"/>
      <c r="V756" s="73"/>
      <c r="W756" s="73"/>
      <c r="X756" s="73"/>
      <c r="Y756" s="73"/>
      <c r="Z756" s="73"/>
      <c r="AA756" s="73"/>
      <c r="AB756" s="73"/>
    </row>
    <row r="757">
      <c r="A757" s="73"/>
      <c r="B757" s="73">
        <v>46008.925</v>
      </c>
      <c r="C757" s="73">
        <v>5322257.56716406</v>
      </c>
      <c r="D757" s="73">
        <v>204268.578498856</v>
      </c>
      <c r="E757" s="73">
        <v>245742.76999842</v>
      </c>
      <c r="F757" s="73"/>
      <c r="G757" s="73"/>
      <c r="H757" s="73"/>
      <c r="I757" s="73"/>
      <c r="J757" s="73"/>
      <c r="K757" s="73"/>
      <c r="L757" s="73"/>
      <c r="M757" s="73"/>
      <c r="N757" s="73"/>
      <c r="O757" s="73"/>
      <c r="P757" s="73"/>
      <c r="Q757" s="73"/>
      <c r="R757" s="73"/>
      <c r="S757" s="73"/>
      <c r="T757" s="73"/>
      <c r="U757" s="73"/>
      <c r="V757" s="73"/>
      <c r="W757" s="73"/>
      <c r="X757" s="73"/>
      <c r="Y757" s="73"/>
      <c r="Z757" s="73"/>
      <c r="AA757" s="73"/>
      <c r="AB757" s="73"/>
    </row>
    <row r="758">
      <c r="A758" s="73"/>
      <c r="B758" s="73">
        <v>46128.072</v>
      </c>
      <c r="C758" s="73">
        <v>5341470.1566304</v>
      </c>
      <c r="D758" s="73">
        <v>206116.156499771</v>
      </c>
      <c r="E758" s="73">
        <v>246667.865444482</v>
      </c>
      <c r="F758" s="73"/>
      <c r="G758" s="73"/>
      <c r="H758" s="73"/>
      <c r="I758" s="73"/>
      <c r="J758" s="73"/>
      <c r="K758" s="73"/>
      <c r="L758" s="73"/>
      <c r="M758" s="73"/>
      <c r="N758" s="73"/>
      <c r="O758" s="73"/>
      <c r="P758" s="73"/>
      <c r="Q758" s="73"/>
      <c r="R758" s="73"/>
      <c r="S758" s="73"/>
      <c r="T758" s="73"/>
      <c r="U758" s="73"/>
      <c r="V758" s="73"/>
      <c r="W758" s="73"/>
      <c r="X758" s="73"/>
      <c r="Y758" s="73"/>
      <c r="Z758" s="73"/>
      <c r="AA758" s="73"/>
      <c r="AB758" s="73"/>
    </row>
    <row r="759">
      <c r="A759" s="73"/>
      <c r="B759" s="73">
        <v>46247.373</v>
      </c>
      <c r="C759" s="73">
        <v>5360727.0360955</v>
      </c>
      <c r="D759" s="73">
        <v>207976.002248779</v>
      </c>
      <c r="E759" s="73">
        <v>247595.07241043</v>
      </c>
      <c r="F759" s="73"/>
      <c r="G759" s="73"/>
      <c r="H759" s="73"/>
      <c r="I759" s="73"/>
      <c r="J759" s="73"/>
      <c r="K759" s="73"/>
      <c r="L759" s="73"/>
      <c r="M759" s="73"/>
      <c r="N759" s="73"/>
      <c r="O759" s="73"/>
      <c r="P759" s="73"/>
      <c r="Q759" s="73"/>
      <c r="R759" s="73"/>
      <c r="S759" s="73"/>
      <c r="T759" s="73"/>
      <c r="U759" s="73"/>
      <c r="V759" s="73"/>
      <c r="W759" s="73"/>
      <c r="X759" s="73"/>
      <c r="Y759" s="73"/>
      <c r="Z759" s="73"/>
      <c r="AA759" s="73"/>
      <c r="AB759" s="73"/>
    </row>
    <row r="760">
      <c r="A760" s="73"/>
      <c r="B760" s="73">
        <v>46366.828</v>
      </c>
      <c r="C760" s="73">
        <v>5380027.1755594</v>
      </c>
      <c r="D760" s="73">
        <v>209848.131249695</v>
      </c>
      <c r="E760" s="73">
        <v>248524.390896264</v>
      </c>
      <c r="F760" s="73"/>
      <c r="G760" s="73"/>
      <c r="H760" s="73"/>
      <c r="I760" s="73"/>
      <c r="J760" s="73"/>
      <c r="K760" s="73"/>
      <c r="L760" s="73"/>
      <c r="M760" s="73"/>
      <c r="N760" s="73"/>
      <c r="O760" s="73"/>
      <c r="P760" s="73"/>
      <c r="Q760" s="73"/>
      <c r="R760" s="73"/>
      <c r="S760" s="73"/>
      <c r="T760" s="73"/>
      <c r="U760" s="73"/>
      <c r="V760" s="73"/>
      <c r="W760" s="73"/>
      <c r="X760" s="73"/>
      <c r="Y760" s="73"/>
      <c r="Z760" s="73"/>
      <c r="AA760" s="73"/>
      <c r="AB760" s="73"/>
    </row>
    <row r="761">
      <c r="A761" s="73"/>
      <c r="B761" s="73">
        <v>46486.437</v>
      </c>
      <c r="C761" s="73">
        <v>5399371.09002209</v>
      </c>
      <c r="D761" s="73">
        <v>211732.595498703</v>
      </c>
      <c r="E761" s="73">
        <v>249455.820901984</v>
      </c>
      <c r="F761" s="73"/>
      <c r="G761" s="73"/>
      <c r="H761" s="73"/>
      <c r="I761" s="73"/>
      <c r="J761" s="73"/>
      <c r="K761" s="73"/>
      <c r="L761" s="73"/>
      <c r="M761" s="73"/>
      <c r="N761" s="73"/>
      <c r="O761" s="73"/>
      <c r="P761" s="73"/>
      <c r="Q761" s="73"/>
      <c r="R761" s="73"/>
      <c r="S761" s="73"/>
      <c r="T761" s="73"/>
      <c r="U761" s="73"/>
      <c r="V761" s="73"/>
      <c r="W761" s="73"/>
      <c r="X761" s="73"/>
      <c r="Y761" s="73"/>
      <c r="Z761" s="73"/>
      <c r="AA761" s="73"/>
      <c r="AB761" s="73"/>
    </row>
    <row r="762">
      <c r="A762" s="73"/>
      <c r="B762" s="73">
        <v>46606.2</v>
      </c>
      <c r="C762" s="73">
        <v>5418759.29448354</v>
      </c>
      <c r="D762" s="73">
        <v>213629.425499619</v>
      </c>
      <c r="E762" s="73">
        <v>250389.341651591</v>
      </c>
      <c r="F762" s="73"/>
      <c r="G762" s="73"/>
      <c r="H762" s="73"/>
      <c r="I762" s="73"/>
      <c r="J762" s="73"/>
      <c r="K762" s="73"/>
      <c r="L762" s="73"/>
      <c r="M762" s="73"/>
      <c r="N762" s="73"/>
      <c r="O762" s="73"/>
      <c r="P762" s="73"/>
      <c r="Q762" s="73"/>
      <c r="R762" s="73"/>
      <c r="S762" s="73"/>
      <c r="T762" s="73"/>
      <c r="U762" s="73"/>
      <c r="V762" s="73"/>
      <c r="W762" s="73"/>
      <c r="X762" s="73"/>
      <c r="Y762" s="73"/>
      <c r="Z762" s="73"/>
      <c r="AA762" s="73"/>
      <c r="AB762" s="73"/>
    </row>
    <row r="763">
      <c r="A763" s="73"/>
      <c r="B763" s="73">
        <v>46726.117</v>
      </c>
      <c r="C763" s="73">
        <v>5438191.27394378</v>
      </c>
      <c r="D763" s="73">
        <v>215538.680748627</v>
      </c>
      <c r="E763" s="73">
        <v>251324.994697083</v>
      </c>
      <c r="F763" s="73"/>
      <c r="G763" s="73"/>
      <c r="H763" s="73"/>
      <c r="I763" s="73"/>
      <c r="J763" s="73"/>
      <c r="K763" s="73"/>
      <c r="L763" s="73"/>
      <c r="M763" s="73"/>
      <c r="N763" s="73"/>
      <c r="O763" s="73"/>
      <c r="P763" s="73"/>
      <c r="Q763" s="73"/>
      <c r="R763" s="73"/>
      <c r="S763" s="73"/>
      <c r="T763" s="73"/>
      <c r="U763" s="73"/>
      <c r="V763" s="73"/>
      <c r="W763" s="73"/>
      <c r="X763" s="73"/>
      <c r="Y763" s="73"/>
      <c r="Z763" s="73"/>
      <c r="AA763" s="73"/>
      <c r="AB763" s="73"/>
    </row>
    <row r="764">
      <c r="A764" s="73"/>
      <c r="B764" s="73">
        <v>46846.188</v>
      </c>
      <c r="C764" s="73">
        <v>5457667.54340279</v>
      </c>
      <c r="D764" s="73">
        <v>217460.373999542</v>
      </c>
      <c r="E764" s="73">
        <v>252262.743786462</v>
      </c>
      <c r="F764" s="73"/>
      <c r="G764" s="73"/>
      <c r="H764" s="73"/>
      <c r="I764" s="73"/>
      <c r="J764" s="73"/>
      <c r="K764" s="73"/>
      <c r="L764" s="73"/>
      <c r="M764" s="73"/>
      <c r="N764" s="73"/>
      <c r="O764" s="73"/>
      <c r="P764" s="73"/>
      <c r="Q764" s="73"/>
      <c r="R764" s="73"/>
      <c r="S764" s="73"/>
      <c r="T764" s="73"/>
      <c r="U764" s="73"/>
      <c r="V764" s="73"/>
      <c r="W764" s="73"/>
      <c r="X764" s="73"/>
      <c r="Y764" s="73"/>
      <c r="Z764" s="73"/>
      <c r="AA764" s="73"/>
      <c r="AB764" s="73"/>
    </row>
    <row r="765">
      <c r="A765" s="73"/>
      <c r="B765" s="73">
        <v>46966.413</v>
      </c>
      <c r="C765" s="73">
        <v>5477188.10286057</v>
      </c>
      <c r="D765" s="73">
        <v>219394.56249855</v>
      </c>
      <c r="E765" s="73">
        <v>253202.604395726</v>
      </c>
      <c r="F765" s="73"/>
      <c r="G765" s="73"/>
      <c r="H765" s="73"/>
      <c r="I765" s="73"/>
      <c r="J765" s="73"/>
      <c r="K765" s="73"/>
      <c r="L765" s="73"/>
      <c r="M765" s="73"/>
      <c r="N765" s="73"/>
      <c r="O765" s="73"/>
      <c r="P765" s="73"/>
      <c r="Q765" s="73"/>
      <c r="R765" s="73"/>
      <c r="S765" s="73"/>
      <c r="T765" s="73"/>
      <c r="U765" s="73"/>
      <c r="V765" s="73"/>
      <c r="W765" s="73"/>
      <c r="X765" s="73"/>
      <c r="Y765" s="73"/>
      <c r="Z765" s="73"/>
      <c r="AA765" s="73"/>
      <c r="AB765" s="73"/>
    </row>
    <row r="766">
      <c r="A766" s="73"/>
      <c r="B766" s="73">
        <v>47086.792</v>
      </c>
      <c r="C766" s="73">
        <v>5496752.43731713</v>
      </c>
      <c r="D766" s="73">
        <v>221341.278999466</v>
      </c>
      <c r="E766" s="73">
        <v>254144.597300876</v>
      </c>
      <c r="F766" s="73"/>
      <c r="G766" s="73"/>
      <c r="H766" s="73"/>
      <c r="I766" s="73"/>
      <c r="J766" s="73"/>
      <c r="K766" s="73"/>
      <c r="L766" s="73"/>
      <c r="M766" s="73"/>
      <c r="N766" s="73"/>
      <c r="O766" s="73"/>
      <c r="P766" s="73"/>
      <c r="Q766" s="73"/>
      <c r="R766" s="73"/>
      <c r="S766" s="73"/>
      <c r="T766" s="73"/>
      <c r="U766" s="73"/>
      <c r="V766" s="73"/>
      <c r="W766" s="73"/>
      <c r="X766" s="73"/>
      <c r="Y766" s="73"/>
      <c r="Z766" s="73"/>
      <c r="AA766" s="73"/>
      <c r="AB766" s="73"/>
    </row>
    <row r="767">
      <c r="A767" s="73"/>
      <c r="B767" s="73">
        <v>47207.325</v>
      </c>
      <c r="C767" s="73">
        <v>5516360.03177249</v>
      </c>
      <c r="D767" s="73">
        <v>223300.560998474</v>
      </c>
      <c r="E767" s="73">
        <v>255088.701725912</v>
      </c>
      <c r="F767" s="73"/>
      <c r="G767" s="73"/>
      <c r="H767" s="73"/>
      <c r="I767" s="73"/>
      <c r="J767" s="73"/>
      <c r="K767" s="73"/>
      <c r="L767" s="73"/>
      <c r="M767" s="73"/>
      <c r="N767" s="73"/>
      <c r="O767" s="73"/>
      <c r="P767" s="73"/>
      <c r="Q767" s="73"/>
      <c r="R767" s="73"/>
      <c r="S767" s="73"/>
      <c r="T767" s="73"/>
      <c r="U767" s="73"/>
      <c r="V767" s="73"/>
      <c r="W767" s="73"/>
      <c r="X767" s="73"/>
      <c r="Y767" s="73"/>
      <c r="Z767" s="73"/>
      <c r="AA767" s="73"/>
      <c r="AB767" s="73"/>
    </row>
    <row r="768">
      <c r="A768" s="73"/>
      <c r="B768" s="73">
        <v>47328.012</v>
      </c>
      <c r="C768" s="73">
        <v>5536013.46122658</v>
      </c>
      <c r="D768" s="73">
        <v>225272.45074939</v>
      </c>
      <c r="E768" s="73">
        <v>256034.922970833</v>
      </c>
      <c r="F768" s="73"/>
      <c r="G768" s="73"/>
      <c r="H768" s="73"/>
      <c r="I768" s="73"/>
      <c r="J768" s="73"/>
      <c r="K768" s="73"/>
      <c r="L768" s="73"/>
      <c r="M768" s="73"/>
      <c r="N768" s="73"/>
      <c r="O768" s="73"/>
      <c r="P768" s="73"/>
      <c r="Q768" s="73"/>
      <c r="R768" s="73"/>
      <c r="S768" s="73"/>
      <c r="T768" s="73"/>
      <c r="U768" s="73"/>
      <c r="V768" s="73"/>
      <c r="W768" s="73"/>
      <c r="X768" s="73"/>
      <c r="Y768" s="73"/>
      <c r="Z768" s="73"/>
      <c r="AA768" s="73"/>
      <c r="AB768" s="73"/>
    </row>
    <row r="769">
      <c r="A769" s="73"/>
      <c r="B769" s="73">
        <v>47448.853</v>
      </c>
      <c r="C769" s="73">
        <v>5555710.15067947</v>
      </c>
      <c r="D769" s="73">
        <v>227256.978248398</v>
      </c>
      <c r="E769" s="73">
        <v>256983.255735641</v>
      </c>
      <c r="F769" s="73"/>
      <c r="G769" s="73"/>
      <c r="H769" s="73"/>
      <c r="I769" s="73"/>
      <c r="J769" s="73"/>
      <c r="K769" s="73"/>
      <c r="L769" s="73"/>
      <c r="M769" s="73"/>
      <c r="N769" s="73"/>
      <c r="O769" s="73"/>
      <c r="P769" s="73"/>
      <c r="Q769" s="73"/>
      <c r="R769" s="73"/>
      <c r="S769" s="73"/>
      <c r="T769" s="73"/>
      <c r="U769" s="73"/>
      <c r="V769" s="73"/>
      <c r="W769" s="73"/>
      <c r="X769" s="73"/>
      <c r="Y769" s="73"/>
      <c r="Z769" s="73"/>
      <c r="AA769" s="73"/>
      <c r="AB769" s="73"/>
    </row>
    <row r="770">
      <c r="A770" s="73"/>
      <c r="B770" s="73">
        <v>47569.848</v>
      </c>
      <c r="C770" s="73">
        <v>5575450.61513114</v>
      </c>
      <c r="D770" s="73">
        <v>229254.203749313</v>
      </c>
      <c r="E770" s="73">
        <v>257933.700020334</v>
      </c>
      <c r="F770" s="73"/>
      <c r="G770" s="73"/>
      <c r="H770" s="73"/>
      <c r="I770" s="73"/>
      <c r="J770" s="73"/>
      <c r="K770" s="73"/>
      <c r="L770" s="73"/>
      <c r="M770" s="73"/>
      <c r="N770" s="73"/>
      <c r="O770" s="73"/>
      <c r="P770" s="73"/>
      <c r="Q770" s="73"/>
      <c r="R770" s="73"/>
      <c r="S770" s="73"/>
      <c r="T770" s="73"/>
      <c r="U770" s="73"/>
      <c r="V770" s="73"/>
      <c r="W770" s="73"/>
      <c r="X770" s="73"/>
      <c r="Y770" s="73"/>
      <c r="Z770" s="73"/>
      <c r="AA770" s="73"/>
      <c r="AB770" s="73"/>
    </row>
    <row r="771">
      <c r="A771" s="73"/>
      <c r="B771" s="73">
        <v>47690.997</v>
      </c>
      <c r="C771" s="73">
        <v>5595236.39958155</v>
      </c>
      <c r="D771" s="73">
        <v>231264.134750229</v>
      </c>
      <c r="E771" s="73">
        <v>258886.287200912</v>
      </c>
      <c r="F771" s="73"/>
      <c r="G771" s="73"/>
      <c r="H771" s="73"/>
      <c r="I771" s="73"/>
      <c r="J771" s="73"/>
      <c r="K771" s="73"/>
      <c r="L771" s="73"/>
      <c r="M771" s="73"/>
      <c r="N771" s="73"/>
      <c r="O771" s="73"/>
      <c r="P771" s="73"/>
      <c r="Q771" s="73"/>
      <c r="R771" s="73"/>
      <c r="S771" s="73"/>
      <c r="T771" s="73"/>
      <c r="U771" s="73"/>
      <c r="V771" s="73"/>
      <c r="W771" s="73"/>
      <c r="X771" s="73"/>
      <c r="Y771" s="73"/>
      <c r="Z771" s="73"/>
      <c r="AA771" s="73"/>
      <c r="AB771" s="73"/>
    </row>
    <row r="772">
      <c r="A772" s="73"/>
      <c r="B772" s="73">
        <v>47812.3</v>
      </c>
      <c r="C772" s="73">
        <v>5615065.95903075</v>
      </c>
      <c r="D772" s="73">
        <v>233286.858249237</v>
      </c>
      <c r="E772" s="73">
        <v>259841.006677375</v>
      </c>
      <c r="F772" s="73"/>
      <c r="G772" s="73"/>
      <c r="H772" s="73"/>
      <c r="I772" s="73"/>
      <c r="J772" s="73"/>
      <c r="K772" s="73"/>
      <c r="L772" s="73"/>
      <c r="M772" s="73"/>
      <c r="N772" s="73"/>
      <c r="O772" s="73"/>
      <c r="P772" s="73"/>
      <c r="Q772" s="73"/>
      <c r="R772" s="73"/>
      <c r="S772" s="73"/>
      <c r="T772" s="73"/>
      <c r="U772" s="73"/>
      <c r="V772" s="73"/>
      <c r="W772" s="73"/>
      <c r="X772" s="73"/>
      <c r="Y772" s="73"/>
      <c r="Z772" s="73"/>
      <c r="AA772" s="73"/>
      <c r="AB772" s="73"/>
    </row>
    <row r="773">
      <c r="A773" s="73"/>
      <c r="B773" s="73">
        <v>47933.757</v>
      </c>
      <c r="C773" s="73">
        <v>5634940.3234787</v>
      </c>
      <c r="D773" s="73">
        <v>235322.347250153</v>
      </c>
      <c r="E773" s="73">
        <v>260797.816897725</v>
      </c>
      <c r="F773" s="73"/>
      <c r="G773" s="73"/>
      <c r="H773" s="73"/>
      <c r="I773" s="73"/>
      <c r="J773" s="73"/>
      <c r="K773" s="73"/>
      <c r="L773" s="73"/>
      <c r="M773" s="73"/>
      <c r="N773" s="73"/>
      <c r="O773" s="73"/>
      <c r="P773" s="73"/>
      <c r="Q773" s="73"/>
      <c r="R773" s="73"/>
      <c r="S773" s="73"/>
      <c r="T773" s="73"/>
      <c r="U773" s="73"/>
      <c r="V773" s="73"/>
      <c r="W773" s="73"/>
      <c r="X773" s="73"/>
      <c r="Y773" s="73"/>
      <c r="Z773" s="73"/>
      <c r="AA773" s="73"/>
      <c r="AB773" s="73"/>
    </row>
    <row r="774">
      <c r="A774" s="73"/>
      <c r="B774" s="73">
        <v>48055.368</v>
      </c>
      <c r="C774" s="73">
        <v>5654858.97792542</v>
      </c>
      <c r="D774" s="73">
        <v>237370.701749161</v>
      </c>
      <c r="E774" s="73">
        <v>261756.785489958</v>
      </c>
      <c r="F774" s="73"/>
      <c r="G774" s="73"/>
      <c r="H774" s="73"/>
      <c r="I774" s="73"/>
      <c r="J774" s="73"/>
      <c r="K774" s="73"/>
      <c r="L774" s="73"/>
      <c r="M774" s="73"/>
      <c r="N774" s="73"/>
      <c r="O774" s="73"/>
      <c r="P774" s="73"/>
      <c r="Q774" s="73"/>
      <c r="R774" s="73"/>
      <c r="S774" s="73"/>
      <c r="T774" s="73"/>
      <c r="U774" s="73"/>
      <c r="V774" s="73"/>
      <c r="W774" s="73"/>
      <c r="X774" s="73"/>
      <c r="Y774" s="73"/>
      <c r="Z774" s="73"/>
      <c r="AA774" s="73"/>
      <c r="AB774" s="73"/>
    </row>
    <row r="775">
      <c r="A775" s="73"/>
      <c r="B775" s="73">
        <v>48177.133</v>
      </c>
      <c r="C775" s="73">
        <v>5674822.4373709</v>
      </c>
      <c r="D775" s="73">
        <v>239431.928750076</v>
      </c>
      <c r="E775" s="73">
        <v>262717.870902077</v>
      </c>
      <c r="F775" s="73"/>
      <c r="G775" s="73"/>
      <c r="H775" s="73"/>
      <c r="I775" s="73"/>
      <c r="J775" s="73"/>
      <c r="K775" s="73"/>
      <c r="L775" s="73"/>
      <c r="M775" s="73"/>
      <c r="N775" s="73"/>
      <c r="O775" s="73"/>
      <c r="P775" s="73"/>
      <c r="Q775" s="73"/>
      <c r="R775" s="73"/>
      <c r="S775" s="73"/>
      <c r="T775" s="73"/>
      <c r="U775" s="73"/>
      <c r="V775" s="73"/>
      <c r="W775" s="73"/>
      <c r="X775" s="73"/>
      <c r="Y775" s="73"/>
      <c r="Z775" s="73"/>
      <c r="AA775" s="73"/>
      <c r="AB775" s="73"/>
    </row>
    <row r="776">
      <c r="A776" s="73"/>
      <c r="B776" s="73">
        <v>48299.052</v>
      </c>
      <c r="C776" s="73">
        <v>5694829.15681517</v>
      </c>
      <c r="D776" s="73">
        <v>241506.066249084</v>
      </c>
      <c r="E776" s="73">
        <v>263681.088610081</v>
      </c>
      <c r="F776" s="73"/>
      <c r="G776" s="73"/>
      <c r="H776" s="73"/>
      <c r="I776" s="73"/>
      <c r="J776" s="73"/>
      <c r="K776" s="73"/>
      <c r="L776" s="73"/>
      <c r="M776" s="73"/>
      <c r="N776" s="73"/>
      <c r="O776" s="73"/>
      <c r="P776" s="73"/>
      <c r="Q776" s="73"/>
      <c r="R776" s="73"/>
      <c r="S776" s="73"/>
      <c r="T776" s="73"/>
      <c r="U776" s="73"/>
      <c r="V776" s="73"/>
      <c r="W776" s="73"/>
      <c r="X776" s="73"/>
      <c r="Y776" s="73"/>
      <c r="Z776" s="73"/>
      <c r="AA776" s="73"/>
      <c r="AB776" s="73"/>
    </row>
    <row r="777">
      <c r="A777" s="73"/>
      <c r="B777" s="73">
        <v>48421.125</v>
      </c>
      <c r="C777" s="73">
        <v>5714881.71125817</v>
      </c>
      <c r="D777" s="73">
        <v>243593.17125</v>
      </c>
      <c r="E777" s="73">
        <v>264646.428437971</v>
      </c>
      <c r="F777" s="73"/>
      <c r="G777" s="73"/>
      <c r="H777" s="73"/>
      <c r="I777" s="73"/>
      <c r="J777" s="73"/>
      <c r="K777" s="73"/>
      <c r="L777" s="73"/>
      <c r="M777" s="73"/>
      <c r="N777" s="73"/>
      <c r="O777" s="73"/>
      <c r="P777" s="73"/>
      <c r="Q777" s="73"/>
      <c r="R777" s="73"/>
      <c r="S777" s="73"/>
      <c r="T777" s="73"/>
      <c r="U777" s="73"/>
      <c r="V777" s="73"/>
      <c r="W777" s="73"/>
      <c r="X777" s="73"/>
      <c r="Y777" s="73"/>
      <c r="Z777" s="73"/>
      <c r="AA777" s="73"/>
      <c r="AB777" s="73"/>
    </row>
    <row r="778">
      <c r="A778" s="73"/>
      <c r="B778" s="73">
        <v>48543.352</v>
      </c>
      <c r="C778" s="73">
        <v>5734978.04069996</v>
      </c>
      <c r="D778" s="73">
        <v>245693.264249008</v>
      </c>
      <c r="E778" s="73">
        <v>265613.900561745</v>
      </c>
      <c r="F778" s="73"/>
      <c r="G778" s="73"/>
      <c r="H778" s="73"/>
      <c r="I778" s="73"/>
      <c r="J778" s="73"/>
      <c r="K778" s="73"/>
      <c r="L778" s="73"/>
      <c r="M778" s="73"/>
      <c r="N778" s="73"/>
      <c r="O778" s="73"/>
      <c r="P778" s="73"/>
      <c r="Q778" s="73"/>
      <c r="R778" s="73"/>
      <c r="S778" s="73"/>
      <c r="T778" s="73"/>
      <c r="U778" s="73"/>
      <c r="V778" s="73"/>
      <c r="W778" s="73"/>
      <c r="X778" s="73"/>
      <c r="Y778" s="73"/>
      <c r="Z778" s="73"/>
      <c r="AA778" s="73"/>
      <c r="AB778" s="73"/>
    </row>
    <row r="779">
      <c r="A779" s="73"/>
      <c r="B779" s="73">
        <v>48665.733</v>
      </c>
      <c r="C779" s="73">
        <v>5755119.69014049</v>
      </c>
      <c r="D779" s="73">
        <v>247806.387499924</v>
      </c>
      <c r="E779" s="73">
        <v>266583.510281404</v>
      </c>
      <c r="F779" s="73"/>
      <c r="G779" s="73"/>
      <c r="H779" s="73"/>
      <c r="I779" s="73"/>
      <c r="J779" s="73"/>
      <c r="K779" s="73"/>
      <c r="L779" s="73"/>
      <c r="M779" s="73"/>
      <c r="N779" s="73"/>
      <c r="O779" s="73"/>
      <c r="P779" s="73"/>
      <c r="Q779" s="73"/>
      <c r="R779" s="73"/>
      <c r="S779" s="73"/>
      <c r="T779" s="73"/>
      <c r="U779" s="73"/>
      <c r="V779" s="73"/>
      <c r="W779" s="73"/>
      <c r="X779" s="73"/>
      <c r="Y779" s="73"/>
      <c r="Z779" s="73"/>
      <c r="AA779" s="73"/>
      <c r="AB779" s="73"/>
    </row>
    <row r="780">
      <c r="A780" s="73"/>
      <c r="B780" s="73">
        <v>48788.268</v>
      </c>
      <c r="C780" s="73">
        <v>5775305.62957978</v>
      </c>
      <c r="D780" s="73">
        <v>249932.600998932</v>
      </c>
      <c r="E780" s="73">
        <v>267555.257596948</v>
      </c>
      <c r="F780" s="73"/>
      <c r="G780" s="73"/>
      <c r="H780" s="73"/>
      <c r="I780" s="73"/>
      <c r="J780" s="73"/>
      <c r="K780" s="73"/>
      <c r="L780" s="73"/>
      <c r="M780" s="73"/>
      <c r="N780" s="73"/>
      <c r="O780" s="73"/>
      <c r="P780" s="73"/>
      <c r="Q780" s="73"/>
      <c r="R780" s="73"/>
      <c r="S780" s="73"/>
      <c r="T780" s="73"/>
      <c r="U780" s="73"/>
      <c r="V780" s="73"/>
      <c r="W780" s="73"/>
      <c r="X780" s="73"/>
      <c r="Y780" s="73"/>
      <c r="Z780" s="73"/>
      <c r="AA780" s="73"/>
      <c r="AB780" s="73"/>
    </row>
    <row r="781">
      <c r="A781" s="73"/>
      <c r="B781" s="73">
        <v>48910.957</v>
      </c>
      <c r="C781" s="73">
        <v>5795536.37401783</v>
      </c>
      <c r="D781" s="73">
        <v>252071.904749847</v>
      </c>
      <c r="E781" s="73">
        <v>268529.142508376</v>
      </c>
      <c r="F781" s="73"/>
      <c r="G781" s="73"/>
      <c r="H781" s="73"/>
      <c r="I781" s="73"/>
      <c r="J781" s="73"/>
      <c r="K781" s="73"/>
      <c r="L781" s="73"/>
      <c r="M781" s="73"/>
      <c r="N781" s="73"/>
      <c r="O781" s="73"/>
      <c r="P781" s="73"/>
      <c r="Q781" s="73"/>
      <c r="R781" s="73"/>
      <c r="S781" s="73"/>
      <c r="T781" s="73"/>
      <c r="U781" s="73"/>
      <c r="V781" s="73"/>
      <c r="W781" s="73"/>
      <c r="X781" s="73"/>
      <c r="Y781" s="73"/>
      <c r="Z781" s="73"/>
      <c r="AA781" s="73"/>
      <c r="AB781" s="73"/>
    </row>
    <row r="782">
      <c r="A782" s="73"/>
      <c r="B782" s="73">
        <v>49033.8</v>
      </c>
      <c r="C782" s="73">
        <v>5815811.92345464</v>
      </c>
      <c r="D782" s="73">
        <v>254224.380998856</v>
      </c>
      <c r="E782" s="73">
        <v>269505.170315688</v>
      </c>
      <c r="F782" s="73"/>
      <c r="G782" s="73"/>
      <c r="H782" s="73"/>
      <c r="I782" s="73"/>
      <c r="J782" s="73"/>
      <c r="K782" s="73"/>
      <c r="L782" s="73"/>
      <c r="M782" s="73"/>
      <c r="N782" s="73"/>
      <c r="O782" s="73"/>
      <c r="P782" s="73"/>
      <c r="Q782" s="73"/>
      <c r="R782" s="73"/>
      <c r="S782" s="73"/>
      <c r="T782" s="73"/>
      <c r="U782" s="73"/>
      <c r="V782" s="73"/>
      <c r="W782" s="73"/>
      <c r="X782" s="73"/>
      <c r="Y782" s="73"/>
      <c r="Z782" s="73"/>
      <c r="AA782" s="73"/>
      <c r="AB782" s="73"/>
    </row>
    <row r="783">
      <c r="A783" s="73"/>
      <c r="B783" s="73">
        <v>49156.797</v>
      </c>
      <c r="C783" s="73">
        <v>5836132.27789021</v>
      </c>
      <c r="D783" s="73">
        <v>256390.045249771</v>
      </c>
      <c r="E783" s="73">
        <v>270483.325118886</v>
      </c>
      <c r="F783" s="73"/>
      <c r="G783" s="73"/>
      <c r="H783" s="73"/>
      <c r="I783" s="73"/>
      <c r="J783" s="73"/>
      <c r="K783" s="73"/>
      <c r="L783" s="73"/>
      <c r="M783" s="73"/>
      <c r="N783" s="73"/>
      <c r="O783" s="73"/>
      <c r="P783" s="73"/>
      <c r="Q783" s="73"/>
      <c r="R783" s="73"/>
      <c r="S783" s="73"/>
      <c r="T783" s="73"/>
      <c r="U783" s="73"/>
      <c r="V783" s="73"/>
      <c r="W783" s="73"/>
      <c r="X783" s="73"/>
      <c r="Y783" s="73"/>
      <c r="Z783" s="73"/>
      <c r="AA783" s="73"/>
      <c r="AB783" s="73"/>
    </row>
    <row r="784">
      <c r="A784" s="73"/>
      <c r="B784" s="73">
        <v>49279.948</v>
      </c>
      <c r="C784" s="73">
        <v>5856497.43732452</v>
      </c>
      <c r="D784" s="73">
        <v>258568.921998779</v>
      </c>
      <c r="E784" s="73">
        <v>271463.648893967</v>
      </c>
      <c r="F784" s="73"/>
      <c r="G784" s="73"/>
      <c r="H784" s="73"/>
      <c r="I784" s="73"/>
      <c r="J784" s="73"/>
      <c r="K784" s="73"/>
      <c r="L784" s="73"/>
      <c r="M784" s="73"/>
      <c r="N784" s="73"/>
      <c r="O784" s="73"/>
      <c r="P784" s="73"/>
      <c r="Q784" s="73"/>
      <c r="R784" s="73"/>
      <c r="S784" s="73"/>
      <c r="T784" s="73"/>
      <c r="U784" s="73"/>
      <c r="V784" s="73"/>
      <c r="W784" s="73"/>
      <c r="X784" s="73"/>
      <c r="Y784" s="73"/>
      <c r="Z784" s="73"/>
      <c r="AA784" s="73"/>
      <c r="AB784" s="73"/>
    </row>
    <row r="785">
      <c r="A785" s="73"/>
      <c r="B785" s="73">
        <v>49403.253</v>
      </c>
      <c r="C785" s="73">
        <v>5876907.4017576</v>
      </c>
      <c r="D785" s="73">
        <v>260761.068999695</v>
      </c>
      <c r="E785" s="73">
        <v>272446.084188933</v>
      </c>
      <c r="F785" s="73"/>
      <c r="G785" s="73"/>
      <c r="H785" s="73"/>
      <c r="I785" s="73"/>
      <c r="J785" s="73"/>
      <c r="K785" s="73"/>
      <c r="L785" s="73"/>
      <c r="M785" s="73"/>
      <c r="N785" s="73"/>
      <c r="O785" s="73"/>
      <c r="P785" s="73"/>
      <c r="Q785" s="73"/>
      <c r="R785" s="73"/>
      <c r="S785" s="73"/>
      <c r="T785" s="73"/>
      <c r="U785" s="73"/>
      <c r="V785" s="73"/>
      <c r="W785" s="73"/>
      <c r="X785" s="73"/>
      <c r="Y785" s="73"/>
      <c r="Z785" s="73"/>
      <c r="AA785" s="73"/>
      <c r="AB785" s="73"/>
    </row>
    <row r="786">
      <c r="A786" s="73"/>
      <c r="B786" s="73">
        <v>49526.712</v>
      </c>
      <c r="C786" s="73">
        <v>5897362.68618941</v>
      </c>
      <c r="D786" s="73">
        <v>262966.526248703</v>
      </c>
      <c r="E786" s="73">
        <v>273430.688455783</v>
      </c>
      <c r="F786" s="73"/>
      <c r="G786" s="73"/>
      <c r="H786" s="73"/>
      <c r="I786" s="73"/>
      <c r="J786" s="73"/>
      <c r="K786" s="73"/>
      <c r="L786" s="73"/>
      <c r="M786" s="73"/>
      <c r="N786" s="73"/>
      <c r="O786" s="73"/>
      <c r="P786" s="73"/>
      <c r="Q786" s="73"/>
      <c r="R786" s="73"/>
      <c r="S786" s="73"/>
      <c r="T786" s="73"/>
      <c r="U786" s="73"/>
      <c r="V786" s="73"/>
      <c r="W786" s="73"/>
      <c r="X786" s="73"/>
      <c r="Y786" s="73"/>
      <c r="Z786" s="73"/>
      <c r="AA786" s="73"/>
      <c r="AB786" s="73"/>
    </row>
    <row r="787">
      <c r="A787" s="73"/>
      <c r="B787" s="73">
        <v>49650.325</v>
      </c>
      <c r="C787" s="73">
        <v>5917862.77561998</v>
      </c>
      <c r="D787" s="73">
        <v>265185.335999619</v>
      </c>
      <c r="E787" s="73">
        <v>274417.425018517</v>
      </c>
      <c r="F787" s="73"/>
      <c r="G787" s="73"/>
      <c r="H787" s="73"/>
      <c r="I787" s="73"/>
      <c r="J787" s="73"/>
      <c r="K787" s="73"/>
      <c r="L787" s="73"/>
      <c r="M787" s="73"/>
      <c r="N787" s="73"/>
      <c r="O787" s="73"/>
      <c r="P787" s="73"/>
      <c r="Q787" s="73"/>
      <c r="R787" s="73"/>
      <c r="S787" s="73"/>
      <c r="T787" s="73"/>
      <c r="U787" s="73"/>
      <c r="V787" s="73"/>
      <c r="W787" s="73"/>
      <c r="X787" s="73"/>
      <c r="Y787" s="73"/>
      <c r="Z787" s="73"/>
      <c r="AA787" s="73"/>
      <c r="AB787" s="73"/>
    </row>
    <row r="788">
      <c r="A788" s="73"/>
      <c r="B788" s="73">
        <v>49774.092</v>
      </c>
      <c r="C788" s="73">
        <v>5938407.67004931</v>
      </c>
      <c r="D788" s="73">
        <v>267417.518498627</v>
      </c>
      <c r="E788" s="73">
        <v>275406.299177136</v>
      </c>
      <c r="F788" s="73"/>
      <c r="G788" s="73"/>
      <c r="H788" s="73"/>
      <c r="I788" s="73"/>
      <c r="J788" s="73"/>
      <c r="K788" s="73"/>
      <c r="L788" s="73"/>
      <c r="M788" s="73"/>
      <c r="N788" s="73"/>
      <c r="O788" s="73"/>
      <c r="P788" s="73"/>
      <c r="Q788" s="73"/>
      <c r="R788" s="73"/>
      <c r="S788" s="73"/>
      <c r="T788" s="73"/>
      <c r="U788" s="73"/>
      <c r="V788" s="73"/>
      <c r="W788" s="73"/>
      <c r="X788" s="73"/>
      <c r="Y788" s="73"/>
      <c r="Z788" s="73"/>
      <c r="AA788" s="73"/>
      <c r="AB788" s="73"/>
    </row>
    <row r="789">
      <c r="A789" s="73"/>
      <c r="B789" s="73">
        <v>49898.013</v>
      </c>
      <c r="C789" s="73">
        <v>5958997.36947739</v>
      </c>
      <c r="D789" s="73">
        <v>269663.111249542</v>
      </c>
      <c r="E789" s="73">
        <v>276397.337007638</v>
      </c>
      <c r="F789" s="73"/>
      <c r="G789" s="73"/>
      <c r="H789" s="73"/>
      <c r="I789" s="73"/>
      <c r="J789" s="73"/>
      <c r="K789" s="73"/>
      <c r="L789" s="73"/>
      <c r="M789" s="73"/>
      <c r="N789" s="73"/>
      <c r="O789" s="73"/>
      <c r="P789" s="73"/>
      <c r="Q789" s="73"/>
      <c r="R789" s="73"/>
      <c r="S789" s="73"/>
      <c r="T789" s="73"/>
      <c r="U789" s="73"/>
      <c r="V789" s="73"/>
      <c r="W789" s="73"/>
      <c r="X789" s="73"/>
      <c r="Y789" s="73"/>
      <c r="Z789" s="73"/>
      <c r="AA789" s="73"/>
      <c r="AB789" s="73"/>
    </row>
    <row r="790">
      <c r="A790" s="73"/>
      <c r="B790" s="73">
        <v>50022.088</v>
      </c>
      <c r="C790" s="73">
        <v>5979632.38890421</v>
      </c>
      <c r="D790" s="73">
        <v>271922.17649855</v>
      </c>
      <c r="E790" s="73">
        <v>277390.512434025</v>
      </c>
      <c r="F790" s="73"/>
      <c r="G790" s="73"/>
      <c r="H790" s="73"/>
      <c r="I790" s="73"/>
      <c r="J790" s="73"/>
      <c r="K790" s="73"/>
      <c r="L790" s="73"/>
      <c r="M790" s="73"/>
      <c r="N790" s="73"/>
      <c r="O790" s="73"/>
      <c r="P790" s="73"/>
      <c r="Q790" s="73"/>
      <c r="R790" s="73"/>
      <c r="S790" s="73"/>
      <c r="T790" s="73"/>
      <c r="U790" s="73"/>
      <c r="V790" s="73"/>
      <c r="W790" s="73"/>
      <c r="X790" s="73"/>
      <c r="Y790" s="73"/>
      <c r="Z790" s="73"/>
      <c r="AA790" s="73"/>
      <c r="AB790" s="73"/>
    </row>
    <row r="791">
      <c r="A791" s="73"/>
      <c r="B791" s="73">
        <v>50146.317</v>
      </c>
      <c r="C791" s="73">
        <v>6000312.72832978</v>
      </c>
      <c r="D791" s="73">
        <v>274194.734499466</v>
      </c>
      <c r="E791" s="73">
        <v>278385.851532295</v>
      </c>
      <c r="F791" s="73"/>
      <c r="G791" s="73"/>
      <c r="H791" s="73"/>
      <c r="I791" s="73"/>
      <c r="J791" s="73"/>
      <c r="K791" s="73"/>
      <c r="L791" s="73"/>
      <c r="M791" s="73"/>
      <c r="N791" s="73"/>
      <c r="O791" s="73"/>
      <c r="P791" s="73"/>
      <c r="Q791" s="73"/>
      <c r="R791" s="73"/>
      <c r="S791" s="73"/>
      <c r="T791" s="73"/>
      <c r="U791" s="73"/>
      <c r="V791" s="73"/>
      <c r="W791" s="73"/>
      <c r="X791" s="73"/>
      <c r="Y791" s="73"/>
      <c r="Z791" s="73"/>
      <c r="AA791" s="73"/>
      <c r="AB791" s="73"/>
    </row>
    <row r="792">
      <c r="A792" s="73"/>
      <c r="B792" s="73">
        <v>50270.7</v>
      </c>
      <c r="C792" s="73">
        <v>6021038.38775408</v>
      </c>
      <c r="D792" s="73">
        <v>276480.844998474</v>
      </c>
      <c r="E792" s="73">
        <v>279383.32822645</v>
      </c>
      <c r="F792" s="73"/>
      <c r="G792" s="73"/>
      <c r="H792" s="73"/>
      <c r="I792" s="73"/>
      <c r="J792" s="73"/>
      <c r="K792" s="73"/>
      <c r="L792" s="73"/>
      <c r="M792" s="73"/>
      <c r="N792" s="73"/>
      <c r="O792" s="73"/>
      <c r="P792" s="73"/>
      <c r="Q792" s="73"/>
      <c r="R792" s="73"/>
      <c r="S792" s="73"/>
      <c r="T792" s="73"/>
      <c r="U792" s="73"/>
      <c r="V792" s="73"/>
      <c r="W792" s="73"/>
      <c r="X792" s="73"/>
      <c r="Y792" s="73"/>
      <c r="Z792" s="73"/>
      <c r="AA792" s="73"/>
      <c r="AB792" s="73"/>
    </row>
    <row r="793">
      <c r="A793" s="73"/>
      <c r="B793" s="73">
        <v>50395.237</v>
      </c>
      <c r="C793" s="73">
        <v>6041809.36717713</v>
      </c>
      <c r="D793" s="73">
        <v>278780.51049939</v>
      </c>
      <c r="E793" s="73">
        <v>280382.968592488</v>
      </c>
      <c r="F793" s="73"/>
      <c r="G793" s="73"/>
      <c r="H793" s="73"/>
      <c r="I793" s="73"/>
      <c r="J793" s="73"/>
      <c r="K793" s="73"/>
      <c r="L793" s="73"/>
      <c r="M793" s="73"/>
      <c r="N793" s="73"/>
      <c r="O793" s="73"/>
      <c r="P793" s="73"/>
      <c r="Q793" s="73"/>
      <c r="R793" s="73"/>
      <c r="S793" s="73"/>
      <c r="T793" s="73"/>
      <c r="U793" s="73"/>
      <c r="V793" s="73"/>
      <c r="W793" s="73"/>
      <c r="X793" s="73"/>
      <c r="Y793" s="73"/>
      <c r="Z793" s="73"/>
      <c r="AA793" s="73"/>
      <c r="AB793" s="73"/>
    </row>
    <row r="794">
      <c r="A794" s="73"/>
      <c r="B794" s="73">
        <v>50519.928</v>
      </c>
      <c r="C794" s="73">
        <v>6062624.63659894</v>
      </c>
      <c r="D794" s="73">
        <v>281093.803998398</v>
      </c>
      <c r="E794" s="73">
        <v>281384.767330409</v>
      </c>
      <c r="F794" s="73"/>
      <c r="G794" s="73"/>
      <c r="H794" s="73"/>
      <c r="I794" s="73"/>
      <c r="J794" s="73"/>
      <c r="K794" s="73"/>
      <c r="L794" s="73"/>
      <c r="M794" s="73"/>
      <c r="N794" s="73"/>
      <c r="O794" s="73"/>
      <c r="P794" s="73"/>
      <c r="Q794" s="73"/>
      <c r="R794" s="73"/>
      <c r="S794" s="73"/>
      <c r="T794" s="73"/>
      <c r="U794" s="73"/>
      <c r="V794" s="73"/>
      <c r="W794" s="73"/>
      <c r="X794" s="73"/>
      <c r="Y794" s="73"/>
      <c r="Z794" s="73"/>
      <c r="AA794" s="73"/>
      <c r="AB794" s="73"/>
    </row>
    <row r="795">
      <c r="A795" s="73"/>
      <c r="B795" s="73">
        <v>50644.773</v>
      </c>
      <c r="C795" s="73">
        <v>6083485.74101949</v>
      </c>
      <c r="D795" s="73">
        <v>283420.736999313</v>
      </c>
      <c r="E795" s="73">
        <v>282388.729740214</v>
      </c>
      <c r="F795" s="73"/>
      <c r="G795" s="73"/>
      <c r="H795" s="73"/>
      <c r="I795" s="73"/>
      <c r="J795" s="73"/>
      <c r="K795" s="73"/>
      <c r="L795" s="73"/>
      <c r="M795" s="73"/>
      <c r="N795" s="73"/>
      <c r="O795" s="73"/>
      <c r="P795" s="73"/>
      <c r="Q795" s="73"/>
      <c r="R795" s="73"/>
      <c r="S795" s="73"/>
      <c r="T795" s="73"/>
      <c r="U795" s="73"/>
      <c r="V795" s="73"/>
      <c r="W795" s="73"/>
      <c r="X795" s="73"/>
      <c r="Y795" s="73"/>
      <c r="Z795" s="73"/>
      <c r="AA795" s="73"/>
      <c r="AB795" s="73"/>
    </row>
    <row r="796">
      <c r="A796" s="73"/>
      <c r="B796" s="73">
        <v>50769.772</v>
      </c>
      <c r="C796" s="73">
        <v>6104392.68043876</v>
      </c>
      <c r="D796" s="73">
        <v>285761.380500229</v>
      </c>
      <c r="E796" s="73">
        <v>283394.835045902</v>
      </c>
      <c r="F796" s="73"/>
      <c r="G796" s="73"/>
      <c r="H796" s="73"/>
      <c r="I796" s="73"/>
      <c r="J796" s="73"/>
      <c r="K796" s="73"/>
      <c r="L796" s="73"/>
      <c r="M796" s="73"/>
      <c r="N796" s="73"/>
      <c r="O796" s="73"/>
      <c r="P796" s="73"/>
      <c r="Q796" s="73"/>
      <c r="R796" s="73"/>
      <c r="S796" s="73"/>
      <c r="T796" s="73"/>
      <c r="U796" s="73"/>
      <c r="V796" s="73"/>
      <c r="W796" s="73"/>
      <c r="X796" s="73"/>
      <c r="Y796" s="73"/>
      <c r="Z796" s="73"/>
      <c r="AA796" s="73"/>
      <c r="AB796" s="73"/>
    </row>
    <row r="797">
      <c r="A797" s="73"/>
      <c r="B797" s="73">
        <v>50894.925</v>
      </c>
      <c r="C797" s="73">
        <v>6125344.42485678</v>
      </c>
      <c r="D797" s="73">
        <v>288115.736499237</v>
      </c>
      <c r="E797" s="73">
        <v>284403.098723475</v>
      </c>
      <c r="F797" s="73"/>
      <c r="G797" s="73"/>
      <c r="H797" s="73"/>
      <c r="I797" s="73"/>
      <c r="J797" s="73"/>
      <c r="K797" s="73"/>
      <c r="L797" s="73"/>
      <c r="M797" s="73"/>
      <c r="N797" s="73"/>
      <c r="O797" s="73"/>
      <c r="P797" s="73"/>
      <c r="Q797" s="73"/>
      <c r="R797" s="73"/>
      <c r="S797" s="73"/>
      <c r="T797" s="73"/>
      <c r="U797" s="73"/>
      <c r="V797" s="73"/>
      <c r="W797" s="73"/>
      <c r="X797" s="73"/>
      <c r="Y797" s="73"/>
      <c r="Z797" s="73"/>
      <c r="AA797" s="73"/>
      <c r="AB797" s="73"/>
    </row>
    <row r="798">
      <c r="A798" s="73"/>
      <c r="B798" s="73">
        <v>51020.232</v>
      </c>
      <c r="C798" s="73">
        <v>6146342.00427353</v>
      </c>
      <c r="D798" s="73">
        <v>290483.867500153</v>
      </c>
      <c r="E798" s="73">
        <v>285413.52607293</v>
      </c>
      <c r="F798" s="73"/>
      <c r="G798" s="73"/>
      <c r="H798" s="73"/>
      <c r="I798" s="73"/>
      <c r="J798" s="73"/>
      <c r="K798" s="73"/>
      <c r="L798" s="73"/>
      <c r="M798" s="73"/>
      <c r="N798" s="73"/>
      <c r="O798" s="73"/>
      <c r="P798" s="73"/>
      <c r="Q798" s="73"/>
      <c r="R798" s="73"/>
      <c r="S798" s="73"/>
      <c r="T798" s="73"/>
      <c r="U798" s="73"/>
      <c r="V798" s="73"/>
      <c r="W798" s="73"/>
      <c r="X798" s="73"/>
      <c r="Y798" s="73"/>
      <c r="Z798" s="73"/>
      <c r="AA798" s="73"/>
      <c r="AB798" s="73"/>
    </row>
    <row r="799">
      <c r="A799" s="73"/>
      <c r="B799" s="73">
        <v>51145.693</v>
      </c>
      <c r="C799" s="73">
        <v>6167384.90368903</v>
      </c>
      <c r="D799" s="73">
        <v>292865.793499161</v>
      </c>
      <c r="E799" s="73">
        <v>286426.122394269</v>
      </c>
      <c r="F799" s="73"/>
      <c r="G799" s="73"/>
      <c r="H799" s="73"/>
      <c r="I799" s="73"/>
      <c r="J799" s="73"/>
      <c r="K799" s="73"/>
      <c r="L799" s="73"/>
      <c r="M799" s="73"/>
      <c r="N799" s="73"/>
      <c r="O799" s="73"/>
      <c r="P799" s="73"/>
      <c r="Q799" s="73"/>
      <c r="R799" s="73"/>
      <c r="S799" s="73"/>
      <c r="T799" s="73"/>
      <c r="U799" s="73"/>
      <c r="V799" s="73"/>
      <c r="W799" s="73"/>
      <c r="X799" s="73"/>
      <c r="Y799" s="73"/>
      <c r="Z799" s="73"/>
      <c r="AA799" s="73"/>
      <c r="AB799" s="73"/>
    </row>
    <row r="800">
      <c r="A800" s="73"/>
      <c r="B800" s="73">
        <v>51271.308</v>
      </c>
      <c r="C800" s="73">
        <v>6188473.12310326</v>
      </c>
      <c r="D800" s="73">
        <v>295261.592000076</v>
      </c>
      <c r="E800" s="73">
        <v>287440.89256349</v>
      </c>
      <c r="F800" s="73"/>
      <c r="G800" s="73"/>
      <c r="H800" s="73"/>
      <c r="I800" s="73"/>
      <c r="J800" s="73"/>
      <c r="K800" s="73"/>
      <c r="L800" s="73"/>
      <c r="M800" s="73"/>
      <c r="N800" s="73"/>
      <c r="O800" s="73"/>
      <c r="P800" s="73"/>
      <c r="Q800" s="73"/>
      <c r="R800" s="73"/>
      <c r="S800" s="73"/>
      <c r="T800" s="73"/>
      <c r="U800" s="73"/>
      <c r="V800" s="73"/>
      <c r="W800" s="73"/>
      <c r="X800" s="73"/>
      <c r="Y800" s="73"/>
      <c r="Z800" s="73"/>
      <c r="AA800" s="73"/>
      <c r="AB800" s="73"/>
    </row>
    <row r="801">
      <c r="A801" s="73"/>
      <c r="B801" s="73">
        <v>51397.077</v>
      </c>
      <c r="C801" s="73">
        <v>6209607.17751622</v>
      </c>
      <c r="D801" s="73">
        <v>297671.247999084</v>
      </c>
      <c r="E801" s="73">
        <v>288457.816228595</v>
      </c>
      <c r="F801" s="73"/>
      <c r="G801" s="73"/>
      <c r="H801" s="73"/>
      <c r="I801" s="73"/>
      <c r="J801" s="73"/>
      <c r="K801" s="73"/>
      <c r="L801" s="73"/>
      <c r="M801" s="73"/>
      <c r="N801" s="73"/>
      <c r="O801" s="73"/>
      <c r="P801" s="73"/>
      <c r="Q801" s="73"/>
      <c r="R801" s="73"/>
      <c r="S801" s="73"/>
      <c r="T801" s="73"/>
      <c r="U801" s="73"/>
      <c r="V801" s="73"/>
      <c r="W801" s="73"/>
      <c r="X801" s="73"/>
      <c r="Y801" s="73"/>
      <c r="Z801" s="73"/>
      <c r="AA801" s="73"/>
      <c r="AB801" s="73"/>
    </row>
    <row r="802">
      <c r="A802" s="73"/>
      <c r="B802" s="73">
        <v>51523.0</v>
      </c>
      <c r="C802" s="73">
        <v>6230786.55192792</v>
      </c>
      <c r="D802" s="73">
        <v>300094.819</v>
      </c>
      <c r="E802" s="73">
        <v>289476.892965583</v>
      </c>
      <c r="F802" s="73"/>
      <c r="G802" s="73"/>
      <c r="H802" s="73"/>
      <c r="I802" s="73"/>
      <c r="J802" s="73"/>
      <c r="K802" s="73"/>
      <c r="L802" s="73"/>
      <c r="M802" s="73"/>
      <c r="N802" s="73"/>
      <c r="O802" s="73"/>
      <c r="P802" s="73"/>
      <c r="Q802" s="73"/>
      <c r="R802" s="73"/>
      <c r="S802" s="73"/>
      <c r="T802" s="73"/>
      <c r="U802" s="73"/>
      <c r="V802" s="73"/>
      <c r="W802" s="73"/>
      <c r="X802" s="73"/>
      <c r="Y802" s="73"/>
      <c r="Z802" s="73"/>
      <c r="AA802" s="73"/>
      <c r="AB802" s="73"/>
    </row>
    <row r="803">
      <c r="A803" s="73"/>
      <c r="B803" s="73">
        <v>51649.077</v>
      </c>
      <c r="C803" s="73">
        <v>6252011.76133835</v>
      </c>
      <c r="D803" s="73">
        <v>302532.362500916</v>
      </c>
      <c r="E803" s="73">
        <v>290498.159450454</v>
      </c>
      <c r="F803" s="73"/>
      <c r="G803" s="73"/>
      <c r="H803" s="73"/>
      <c r="I803" s="73"/>
      <c r="J803" s="73"/>
      <c r="K803" s="73"/>
      <c r="L803" s="73"/>
      <c r="M803" s="73"/>
      <c r="N803" s="73"/>
      <c r="O803" s="73"/>
      <c r="P803" s="73"/>
      <c r="Q803" s="73"/>
      <c r="R803" s="73"/>
      <c r="S803" s="73"/>
      <c r="T803" s="73"/>
      <c r="U803" s="73"/>
      <c r="V803" s="73"/>
      <c r="W803" s="73"/>
      <c r="X803" s="73"/>
      <c r="Y803" s="73"/>
      <c r="Z803" s="73"/>
      <c r="AA803" s="73"/>
      <c r="AB803" s="73"/>
    </row>
    <row r="804">
      <c r="A804" s="73"/>
      <c r="B804" s="73">
        <v>51775.308</v>
      </c>
      <c r="C804" s="73">
        <v>6273282.29074752</v>
      </c>
      <c r="D804" s="73">
        <v>304983.903498016</v>
      </c>
      <c r="E804" s="73">
        <v>291521.589607208</v>
      </c>
      <c r="F804" s="73"/>
      <c r="G804" s="73"/>
      <c r="H804" s="73"/>
      <c r="I804" s="73"/>
      <c r="J804" s="73"/>
      <c r="K804" s="73"/>
      <c r="L804" s="73"/>
      <c r="M804" s="73"/>
      <c r="N804" s="73"/>
      <c r="O804" s="73"/>
      <c r="P804" s="73"/>
      <c r="Q804" s="73"/>
      <c r="R804" s="73"/>
      <c r="S804" s="73"/>
      <c r="T804" s="73"/>
      <c r="U804" s="73"/>
      <c r="V804" s="73"/>
      <c r="W804" s="73"/>
      <c r="X804" s="73"/>
      <c r="Y804" s="73"/>
      <c r="Z804" s="73"/>
      <c r="AA804" s="73"/>
      <c r="AB804" s="73"/>
    </row>
    <row r="805">
      <c r="A805" s="73"/>
      <c r="B805" s="73">
        <v>51901.693</v>
      </c>
      <c r="C805" s="73">
        <v>6294599.17015541</v>
      </c>
      <c r="D805" s="73">
        <v>307449.476998932</v>
      </c>
      <c r="E805" s="73">
        <v>292547.183435844</v>
      </c>
      <c r="F805" s="73"/>
      <c r="G805" s="73"/>
      <c r="H805" s="73"/>
      <c r="I805" s="73"/>
      <c r="J805" s="73"/>
      <c r="K805" s="73"/>
      <c r="L805" s="73"/>
      <c r="M805" s="73"/>
      <c r="N805" s="73"/>
      <c r="O805" s="73"/>
      <c r="P805" s="73"/>
      <c r="Q805" s="73"/>
      <c r="R805" s="73"/>
      <c r="S805" s="73"/>
      <c r="T805" s="73"/>
      <c r="U805" s="73"/>
      <c r="V805" s="73"/>
      <c r="W805" s="73"/>
      <c r="X805" s="73"/>
      <c r="Y805" s="73"/>
      <c r="Z805" s="73"/>
      <c r="AA805" s="73"/>
      <c r="AB805" s="73"/>
    </row>
    <row r="806">
      <c r="A806" s="73"/>
      <c r="B806" s="73">
        <v>52028.232</v>
      </c>
      <c r="C806" s="73">
        <v>6315961.36956203</v>
      </c>
      <c r="D806" s="73">
        <v>309929.127999847</v>
      </c>
      <c r="E806" s="73">
        <v>293574.961712363</v>
      </c>
      <c r="F806" s="73"/>
      <c r="G806" s="73"/>
      <c r="H806" s="73"/>
      <c r="I806" s="73"/>
      <c r="J806" s="73"/>
      <c r="K806" s="73"/>
      <c r="L806" s="73"/>
      <c r="M806" s="73"/>
      <c r="N806" s="73"/>
      <c r="O806" s="73"/>
      <c r="P806" s="73"/>
      <c r="Q806" s="73"/>
      <c r="R806" s="73"/>
      <c r="S806" s="73"/>
      <c r="T806" s="73"/>
      <c r="U806" s="73"/>
      <c r="V806" s="73"/>
      <c r="W806" s="73"/>
      <c r="X806" s="73"/>
      <c r="Y806" s="73"/>
      <c r="Z806" s="73"/>
      <c r="AA806" s="73"/>
      <c r="AB806" s="73"/>
    </row>
    <row r="807">
      <c r="A807" s="73"/>
      <c r="B807" s="73">
        <v>52154.925</v>
      </c>
      <c r="C807" s="73">
        <v>6337369.40396738</v>
      </c>
      <c r="D807" s="73">
        <v>312422.901000763</v>
      </c>
      <c r="E807" s="73">
        <v>294604.908960765</v>
      </c>
      <c r="F807" s="73"/>
      <c r="G807" s="73"/>
      <c r="H807" s="73"/>
      <c r="I807" s="73"/>
      <c r="J807" s="73"/>
      <c r="K807" s="73"/>
      <c r="L807" s="73"/>
      <c r="M807" s="73"/>
      <c r="N807" s="73"/>
      <c r="O807" s="73"/>
      <c r="P807" s="73"/>
      <c r="Q807" s="73"/>
      <c r="R807" s="73"/>
      <c r="S807" s="73"/>
      <c r="T807" s="73"/>
      <c r="U807" s="73"/>
      <c r="V807" s="73"/>
      <c r="W807" s="73"/>
      <c r="X807" s="73"/>
      <c r="Y807" s="73"/>
      <c r="Z807" s="73"/>
      <c r="AA807" s="73"/>
      <c r="AB807" s="73"/>
    </row>
    <row r="808">
      <c r="A808" s="73"/>
      <c r="B808" s="73">
        <v>52281.772</v>
      </c>
      <c r="C808" s="73">
        <v>6358823.27337146</v>
      </c>
      <c r="D808" s="73">
        <v>314930.821997864</v>
      </c>
      <c r="E808" s="73">
        <v>295637.040657049</v>
      </c>
      <c r="F808" s="73"/>
      <c r="G808" s="73"/>
      <c r="H808" s="73"/>
      <c r="I808" s="73"/>
      <c r="J808" s="73"/>
      <c r="K808" s="73"/>
      <c r="L808" s="73"/>
      <c r="M808" s="73"/>
      <c r="N808" s="73"/>
      <c r="O808" s="73"/>
      <c r="P808" s="73"/>
      <c r="Q808" s="73"/>
      <c r="R808" s="73"/>
      <c r="S808" s="73"/>
      <c r="T808" s="73"/>
      <c r="U808" s="73"/>
      <c r="V808" s="73"/>
      <c r="W808" s="73"/>
      <c r="X808" s="73"/>
      <c r="Y808" s="73"/>
      <c r="Z808" s="73"/>
      <c r="AA808" s="73"/>
      <c r="AB808" s="73"/>
    </row>
    <row r="809">
      <c r="A809" s="73"/>
      <c r="B809" s="73">
        <v>52408.773</v>
      </c>
      <c r="C809" s="73">
        <v>6380323.49277425</v>
      </c>
      <c r="D809" s="73">
        <v>317452.924998779</v>
      </c>
      <c r="E809" s="73">
        <v>296671.330725216</v>
      </c>
      <c r="F809" s="73"/>
      <c r="G809" s="73"/>
      <c r="H809" s="73"/>
      <c r="I809" s="73"/>
      <c r="J809" s="73"/>
      <c r="K809" s="73"/>
      <c r="L809" s="73"/>
      <c r="M809" s="73"/>
      <c r="N809" s="73"/>
      <c r="O809" s="73"/>
      <c r="P809" s="73"/>
      <c r="Q809" s="73"/>
      <c r="R809" s="73"/>
      <c r="S809" s="73"/>
      <c r="T809" s="73"/>
      <c r="U809" s="73"/>
      <c r="V809" s="73"/>
      <c r="W809" s="73"/>
      <c r="X809" s="73"/>
      <c r="Y809" s="73"/>
      <c r="Z809" s="73"/>
      <c r="AA809" s="73"/>
      <c r="AB809" s="73"/>
    </row>
    <row r="810">
      <c r="A810" s="73"/>
      <c r="B810" s="73">
        <v>52535.928</v>
      </c>
      <c r="C810" s="73">
        <v>6401869.03217578</v>
      </c>
      <c r="D810" s="73">
        <v>319989.255999695</v>
      </c>
      <c r="E810" s="73">
        <v>297707.815841265</v>
      </c>
      <c r="F810" s="73"/>
      <c r="G810" s="73"/>
      <c r="H810" s="73"/>
      <c r="I810" s="73"/>
      <c r="J810" s="73"/>
      <c r="K810" s="73"/>
      <c r="L810" s="73"/>
      <c r="M810" s="73"/>
      <c r="N810" s="73"/>
      <c r="O810" s="73"/>
      <c r="P810" s="73"/>
      <c r="Q810" s="73"/>
      <c r="R810" s="73"/>
      <c r="S810" s="73"/>
      <c r="T810" s="73"/>
      <c r="U810" s="73"/>
      <c r="V810" s="73"/>
      <c r="W810" s="73"/>
      <c r="X810" s="73"/>
      <c r="Y810" s="73"/>
      <c r="Z810" s="73"/>
      <c r="AA810" s="73"/>
      <c r="AB810" s="73"/>
    </row>
    <row r="811">
      <c r="A811" s="73"/>
      <c r="B811" s="73">
        <v>52663.237</v>
      </c>
      <c r="C811" s="73">
        <v>6423460.40657604</v>
      </c>
      <c r="D811" s="73">
        <v>322539.85150061</v>
      </c>
      <c r="E811" s="73">
        <v>298746.480105197</v>
      </c>
      <c r="F811" s="73"/>
      <c r="G811" s="73"/>
      <c r="H811" s="73"/>
      <c r="I811" s="73"/>
      <c r="J811" s="73"/>
      <c r="K811" s="73"/>
      <c r="L811" s="73"/>
      <c r="M811" s="73"/>
      <c r="N811" s="73"/>
      <c r="O811" s="73"/>
      <c r="P811" s="73"/>
      <c r="Q811" s="73"/>
      <c r="R811" s="73"/>
      <c r="S811" s="73"/>
      <c r="T811" s="73"/>
      <c r="U811" s="73"/>
      <c r="V811" s="73"/>
      <c r="W811" s="73"/>
      <c r="X811" s="73"/>
      <c r="Y811" s="73"/>
      <c r="Z811" s="73"/>
      <c r="AA811" s="73"/>
      <c r="AB811" s="73"/>
    </row>
    <row r="812">
      <c r="A812" s="73"/>
      <c r="B812" s="73">
        <v>52790.7</v>
      </c>
      <c r="C812" s="73">
        <v>6445098.13097501</v>
      </c>
      <c r="D812" s="73">
        <v>325104.741997711</v>
      </c>
      <c r="E812" s="73">
        <v>299787.313341011</v>
      </c>
      <c r="F812" s="73"/>
      <c r="G812" s="73"/>
      <c r="H812" s="73"/>
      <c r="I812" s="73"/>
      <c r="J812" s="73"/>
      <c r="K812" s="73"/>
      <c r="L812" s="73"/>
      <c r="M812" s="73"/>
      <c r="N812" s="73"/>
      <c r="O812" s="73"/>
      <c r="P812" s="73"/>
      <c r="Q812" s="73"/>
      <c r="R812" s="73"/>
      <c r="S812" s="73"/>
      <c r="T812" s="73"/>
      <c r="U812" s="73"/>
      <c r="V812" s="73"/>
      <c r="W812" s="73"/>
      <c r="X812" s="73"/>
      <c r="Y812" s="73"/>
      <c r="Z812" s="73"/>
      <c r="AA812" s="73"/>
      <c r="AB812" s="73"/>
    </row>
    <row r="813">
      <c r="A813" s="73"/>
      <c r="B813" s="73">
        <v>52918.317</v>
      </c>
      <c r="C813" s="73">
        <v>6466781.69037271</v>
      </c>
      <c r="D813" s="73">
        <v>327683.991998627</v>
      </c>
      <c r="E813" s="73">
        <v>300830.336324707</v>
      </c>
      <c r="F813" s="73"/>
      <c r="G813" s="73"/>
      <c r="H813" s="73"/>
      <c r="I813" s="73"/>
      <c r="J813" s="73"/>
      <c r="K813" s="73"/>
      <c r="L813" s="73"/>
      <c r="M813" s="73"/>
      <c r="N813" s="73"/>
      <c r="O813" s="73"/>
      <c r="P813" s="73"/>
      <c r="Q813" s="73"/>
      <c r="R813" s="73"/>
      <c r="S813" s="73"/>
      <c r="T813" s="73"/>
      <c r="U813" s="73"/>
      <c r="V813" s="73"/>
      <c r="W813" s="73"/>
      <c r="X813" s="73"/>
      <c r="Y813" s="73"/>
      <c r="Z813" s="73"/>
      <c r="AA813" s="73"/>
      <c r="AB813" s="73"/>
    </row>
    <row r="814">
      <c r="A814" s="73"/>
      <c r="B814" s="73">
        <v>53046.088</v>
      </c>
      <c r="C814" s="73">
        <v>6488511.59976912</v>
      </c>
      <c r="D814" s="73">
        <v>330277.594999542</v>
      </c>
      <c r="E814" s="73">
        <v>301875.543756285</v>
      </c>
      <c r="F814" s="73"/>
      <c r="G814" s="73"/>
      <c r="H814" s="73"/>
      <c r="I814" s="73"/>
      <c r="J814" s="73"/>
      <c r="K814" s="73"/>
      <c r="L814" s="73"/>
      <c r="M814" s="73"/>
      <c r="N814" s="73"/>
      <c r="O814" s="73"/>
      <c r="P814" s="73"/>
      <c r="Q814" s="73"/>
      <c r="R814" s="73"/>
      <c r="S814" s="73"/>
      <c r="T814" s="73"/>
      <c r="U814" s="73"/>
      <c r="V814" s="73"/>
      <c r="W814" s="73"/>
      <c r="X814" s="73"/>
      <c r="Y814" s="73"/>
      <c r="Z814" s="73"/>
      <c r="AA814" s="73"/>
      <c r="AB814" s="73"/>
    </row>
    <row r="815">
      <c r="A815" s="73"/>
      <c r="B815" s="73">
        <v>53174.013</v>
      </c>
      <c r="C815" s="73">
        <v>6510287.34416425</v>
      </c>
      <c r="D815" s="73">
        <v>332885.640000458</v>
      </c>
      <c r="E815" s="73">
        <v>302922.940935745</v>
      </c>
      <c r="F815" s="73"/>
      <c r="G815" s="73"/>
      <c r="H815" s="73"/>
      <c r="I815" s="73"/>
      <c r="J815" s="73"/>
      <c r="K815" s="73"/>
      <c r="L815" s="73"/>
      <c r="M815" s="73"/>
      <c r="N815" s="73"/>
      <c r="O815" s="73"/>
      <c r="P815" s="73"/>
      <c r="Q815" s="73"/>
      <c r="R815" s="73"/>
      <c r="S815" s="73"/>
      <c r="T815" s="73"/>
      <c r="U815" s="73"/>
      <c r="V815" s="73"/>
      <c r="W815" s="73"/>
      <c r="X815" s="73"/>
      <c r="Y815" s="73"/>
      <c r="Z815" s="73"/>
      <c r="AA815" s="73"/>
      <c r="AB815" s="73"/>
    </row>
    <row r="816">
      <c r="A816" s="73"/>
      <c r="B816" s="73">
        <v>53302.092</v>
      </c>
      <c r="C816" s="73">
        <v>6532109.4385581</v>
      </c>
      <c r="D816" s="73">
        <v>335508.119997559</v>
      </c>
      <c r="E816" s="73">
        <v>303972.517263087</v>
      </c>
      <c r="F816" s="73"/>
      <c r="G816" s="73"/>
      <c r="H816" s="73"/>
      <c r="I816" s="73"/>
      <c r="J816" s="73"/>
      <c r="K816" s="73"/>
      <c r="L816" s="73"/>
      <c r="M816" s="73"/>
      <c r="N816" s="73"/>
      <c r="O816" s="73"/>
      <c r="P816" s="73"/>
      <c r="Q816" s="73"/>
      <c r="R816" s="73"/>
      <c r="S816" s="73"/>
      <c r="T816" s="73"/>
      <c r="U816" s="73"/>
      <c r="V816" s="73"/>
      <c r="W816" s="73"/>
      <c r="X816" s="73"/>
      <c r="Y816" s="73"/>
      <c r="Z816" s="73"/>
      <c r="AA816" s="73"/>
      <c r="AB816" s="73"/>
    </row>
    <row r="817">
      <c r="A817" s="73"/>
      <c r="B817" s="73">
        <v>53430.325</v>
      </c>
      <c r="C817" s="73">
        <v>6553977.88295066</v>
      </c>
      <c r="D817" s="73">
        <v>338145.121998474</v>
      </c>
      <c r="E817" s="73">
        <v>305024.288638311</v>
      </c>
      <c r="F817" s="73"/>
      <c r="G817" s="73"/>
      <c r="H817" s="73"/>
      <c r="I817" s="73"/>
      <c r="J817" s="73"/>
      <c r="K817" s="73"/>
      <c r="L817" s="73"/>
      <c r="M817" s="73"/>
      <c r="N817" s="73"/>
      <c r="O817" s="73"/>
      <c r="P817" s="73"/>
      <c r="Q817" s="73"/>
      <c r="R817" s="73"/>
      <c r="S817" s="73"/>
      <c r="T817" s="73"/>
      <c r="U817" s="73"/>
      <c r="V817" s="73"/>
      <c r="W817" s="73"/>
      <c r="X817" s="73"/>
      <c r="Y817" s="73"/>
      <c r="Z817" s="73"/>
      <c r="AA817" s="73"/>
      <c r="AB817" s="73"/>
    </row>
    <row r="818">
      <c r="A818" s="73"/>
      <c r="B818" s="73">
        <v>53558.712</v>
      </c>
      <c r="C818" s="73">
        <v>6575892.16234195</v>
      </c>
      <c r="D818" s="73">
        <v>340796.62149939</v>
      </c>
      <c r="E818" s="73">
        <v>306078.249761416</v>
      </c>
      <c r="F818" s="73"/>
      <c r="G818" s="73"/>
      <c r="H818" s="73"/>
      <c r="I818" s="73"/>
      <c r="J818" s="73"/>
      <c r="K818" s="73"/>
      <c r="L818" s="73"/>
      <c r="M818" s="73"/>
      <c r="N818" s="73"/>
      <c r="O818" s="73"/>
      <c r="P818" s="73"/>
      <c r="Q818" s="73"/>
      <c r="R818" s="73"/>
      <c r="S818" s="73"/>
      <c r="T818" s="73"/>
      <c r="U818" s="73"/>
      <c r="V818" s="73"/>
      <c r="W818" s="73"/>
      <c r="X818" s="73"/>
      <c r="Y818" s="73"/>
      <c r="Z818" s="73"/>
      <c r="AA818" s="73"/>
      <c r="AB818" s="73"/>
    </row>
    <row r="819">
      <c r="A819" s="73"/>
      <c r="B819" s="73">
        <v>53687.253</v>
      </c>
      <c r="C819" s="73">
        <v>6597852.79173195</v>
      </c>
      <c r="D819" s="73">
        <v>343462.716000305</v>
      </c>
      <c r="E819" s="73">
        <v>307134.374556405</v>
      </c>
      <c r="F819" s="73"/>
      <c r="G819" s="73"/>
      <c r="H819" s="73"/>
      <c r="I819" s="73"/>
      <c r="J819" s="73"/>
      <c r="K819" s="73"/>
      <c r="L819" s="73"/>
      <c r="M819" s="73"/>
      <c r="N819" s="73"/>
      <c r="O819" s="73"/>
      <c r="P819" s="73"/>
      <c r="Q819" s="73"/>
      <c r="R819" s="73"/>
      <c r="S819" s="73"/>
      <c r="T819" s="73"/>
      <c r="U819" s="73"/>
      <c r="V819" s="73"/>
      <c r="W819" s="73"/>
      <c r="X819" s="73"/>
      <c r="Y819" s="73"/>
      <c r="Z819" s="73"/>
      <c r="AA819" s="73"/>
      <c r="AB819" s="73"/>
    </row>
    <row r="820">
      <c r="A820" s="73"/>
      <c r="B820" s="73">
        <v>53815.948</v>
      </c>
      <c r="C820" s="73">
        <v>6619859.77112067</v>
      </c>
      <c r="D820" s="73">
        <v>346143.412497406</v>
      </c>
      <c r="E820" s="73">
        <v>308192.730651273</v>
      </c>
      <c r="F820" s="73"/>
      <c r="G820" s="73"/>
      <c r="H820" s="73"/>
      <c r="I820" s="73"/>
      <c r="J820" s="73"/>
      <c r="K820" s="73"/>
      <c r="L820" s="73"/>
      <c r="M820" s="73"/>
      <c r="N820" s="73"/>
      <c r="O820" s="73"/>
      <c r="P820" s="73"/>
      <c r="Q820" s="73"/>
      <c r="R820" s="73"/>
      <c r="S820" s="73"/>
      <c r="T820" s="73"/>
      <c r="U820" s="73"/>
      <c r="V820" s="73"/>
      <c r="W820" s="73"/>
      <c r="X820" s="73"/>
      <c r="Y820" s="73"/>
      <c r="Z820" s="73"/>
      <c r="AA820" s="73"/>
      <c r="AB820" s="73"/>
    </row>
    <row r="821">
      <c r="A821" s="73"/>
      <c r="B821" s="73">
        <v>53944.797</v>
      </c>
      <c r="C821" s="73">
        <v>6641913.10050809</v>
      </c>
      <c r="D821" s="73">
        <v>348838.746498322</v>
      </c>
      <c r="E821" s="73">
        <v>309253.255718024</v>
      </c>
      <c r="F821" s="73"/>
      <c r="G821" s="73"/>
      <c r="H821" s="73"/>
      <c r="I821" s="73"/>
      <c r="J821" s="73"/>
      <c r="K821" s="73"/>
      <c r="L821" s="73"/>
      <c r="M821" s="73"/>
      <c r="N821" s="73"/>
      <c r="O821" s="73"/>
      <c r="P821" s="73"/>
      <c r="Q821" s="73"/>
      <c r="R821" s="73"/>
      <c r="S821" s="73"/>
      <c r="T821" s="73"/>
      <c r="U821" s="73"/>
      <c r="V821" s="73"/>
      <c r="W821" s="73"/>
      <c r="X821" s="73"/>
      <c r="Y821" s="73"/>
      <c r="Z821" s="73"/>
      <c r="AA821" s="73"/>
      <c r="AB821" s="73"/>
    </row>
    <row r="822">
      <c r="A822" s="73"/>
      <c r="B822" s="73">
        <v>54073.8</v>
      </c>
      <c r="C822" s="73">
        <v>6664013.8098942</v>
      </c>
      <c r="D822" s="73">
        <v>351548.777999237</v>
      </c>
      <c r="E822" s="73">
        <v>310315.991308656</v>
      </c>
      <c r="F822" s="73"/>
      <c r="G822" s="73"/>
      <c r="H822" s="73"/>
      <c r="I822" s="73"/>
      <c r="J822" s="73"/>
      <c r="K822" s="73"/>
      <c r="L822" s="73"/>
      <c r="M822" s="73"/>
      <c r="N822" s="73"/>
      <c r="O822" s="73"/>
      <c r="P822" s="73"/>
      <c r="Q822" s="73"/>
      <c r="R822" s="73"/>
      <c r="S822" s="73"/>
      <c r="T822" s="73"/>
      <c r="U822" s="73"/>
      <c r="V822" s="73"/>
      <c r="W822" s="73"/>
      <c r="X822" s="73"/>
      <c r="Y822" s="73"/>
      <c r="Z822" s="73"/>
      <c r="AA822" s="73"/>
      <c r="AB822" s="73"/>
    </row>
    <row r="823">
      <c r="A823" s="73"/>
      <c r="B823" s="73">
        <v>54202.957</v>
      </c>
      <c r="C823" s="73">
        <v>6686160.35427904</v>
      </c>
      <c r="D823" s="73">
        <v>354273.534000153</v>
      </c>
      <c r="E823" s="73">
        <v>311380.91664717</v>
      </c>
      <c r="F823" s="73"/>
      <c r="G823" s="73"/>
      <c r="H823" s="73"/>
      <c r="I823" s="73"/>
      <c r="J823" s="73"/>
      <c r="K823" s="73"/>
      <c r="L823" s="73"/>
      <c r="M823" s="73"/>
      <c r="N823" s="73"/>
      <c r="O823" s="73"/>
      <c r="P823" s="73"/>
      <c r="Q823" s="73"/>
      <c r="R823" s="73"/>
      <c r="S823" s="73"/>
      <c r="T823" s="73"/>
      <c r="U823" s="73"/>
      <c r="V823" s="73"/>
      <c r="W823" s="73"/>
      <c r="X823" s="73"/>
      <c r="Y823" s="73"/>
      <c r="Z823" s="73"/>
      <c r="AA823" s="73"/>
      <c r="AB823" s="73"/>
    </row>
    <row r="824">
      <c r="A824" s="73"/>
      <c r="B824" s="73">
        <v>54332.268</v>
      </c>
      <c r="C824" s="73">
        <v>6708352.73366261</v>
      </c>
      <c r="D824" s="73">
        <v>357013.027001068</v>
      </c>
      <c r="E824" s="73">
        <v>312448.047209564</v>
      </c>
      <c r="F824" s="73"/>
      <c r="G824" s="73"/>
      <c r="H824" s="73"/>
      <c r="I824" s="73"/>
      <c r="J824" s="73"/>
      <c r="K824" s="73"/>
      <c r="L824" s="73"/>
      <c r="M824" s="73"/>
      <c r="N824" s="73"/>
      <c r="O824" s="73"/>
      <c r="P824" s="73"/>
      <c r="Q824" s="73"/>
      <c r="R824" s="73"/>
      <c r="S824" s="73"/>
      <c r="T824" s="73"/>
      <c r="U824" s="73"/>
      <c r="V824" s="73"/>
      <c r="W824" s="73"/>
      <c r="X824" s="73"/>
      <c r="Y824" s="73"/>
      <c r="Z824" s="73"/>
      <c r="AA824" s="73"/>
      <c r="AB824" s="73"/>
    </row>
    <row r="825">
      <c r="A825" s="73"/>
      <c r="B825" s="73">
        <v>54461.733</v>
      </c>
      <c r="C825" s="73">
        <v>6730591.97804487</v>
      </c>
      <c r="D825" s="73">
        <v>359767.342498169</v>
      </c>
      <c r="E825" s="73">
        <v>313517.372819841</v>
      </c>
      <c r="F825" s="73"/>
      <c r="G825" s="73"/>
      <c r="H825" s="73"/>
      <c r="I825" s="73"/>
      <c r="J825" s="73"/>
      <c r="K825" s="73"/>
      <c r="L825" s="73"/>
      <c r="M825" s="73"/>
      <c r="N825" s="73"/>
      <c r="O825" s="73"/>
      <c r="P825" s="73"/>
      <c r="Q825" s="73"/>
      <c r="R825" s="73"/>
      <c r="S825" s="73"/>
      <c r="T825" s="73"/>
      <c r="U825" s="73"/>
      <c r="V825" s="73"/>
      <c r="W825" s="73"/>
      <c r="X825" s="73"/>
      <c r="Y825" s="73"/>
      <c r="Z825" s="73"/>
      <c r="AA825" s="73"/>
      <c r="AB825" s="73"/>
    </row>
    <row r="826">
      <c r="A826" s="73"/>
      <c r="B826" s="73">
        <v>54591.352</v>
      </c>
      <c r="C826" s="73">
        <v>6752878.08742583</v>
      </c>
      <c r="D826" s="73">
        <v>362536.472999084</v>
      </c>
      <c r="E826" s="73">
        <v>314588.882877999</v>
      </c>
      <c r="F826" s="73"/>
      <c r="G826" s="73"/>
      <c r="H826" s="73"/>
      <c r="I826" s="73"/>
      <c r="J826" s="73"/>
      <c r="K826" s="73"/>
      <c r="L826" s="73"/>
      <c r="M826" s="73"/>
      <c r="N826" s="73"/>
      <c r="O826" s="73"/>
      <c r="P826" s="73"/>
      <c r="Q826" s="73"/>
      <c r="R826" s="73"/>
      <c r="S826" s="73"/>
      <c r="T826" s="73"/>
      <c r="U826" s="73"/>
      <c r="V826" s="73"/>
      <c r="W826" s="73"/>
      <c r="X826" s="73"/>
      <c r="Y826" s="73"/>
      <c r="Z826" s="73"/>
      <c r="AA826" s="73"/>
      <c r="AB826" s="73"/>
    </row>
    <row r="827">
      <c r="A827" s="73"/>
      <c r="B827" s="73">
        <v>54721.125</v>
      </c>
      <c r="C827" s="73">
        <v>6775210.5468055</v>
      </c>
      <c r="D827" s="73">
        <v>365320.4855</v>
      </c>
      <c r="E827" s="73">
        <v>315662.608760037</v>
      </c>
      <c r="F827" s="73"/>
      <c r="G827" s="73"/>
      <c r="H827" s="73"/>
      <c r="I827" s="73"/>
      <c r="J827" s="73"/>
      <c r="K827" s="73"/>
      <c r="L827" s="73"/>
      <c r="M827" s="73"/>
      <c r="N827" s="73"/>
      <c r="O827" s="73"/>
      <c r="P827" s="73"/>
      <c r="Q827" s="73"/>
      <c r="R827" s="73"/>
      <c r="S827" s="73"/>
      <c r="T827" s="73"/>
      <c r="U827" s="73"/>
      <c r="V827" s="73"/>
      <c r="W827" s="73"/>
      <c r="X827" s="73"/>
      <c r="Y827" s="73"/>
      <c r="Z827" s="73"/>
      <c r="AA827" s="73"/>
      <c r="AB827" s="73"/>
    </row>
    <row r="828">
      <c r="A828" s="73"/>
      <c r="B828" s="73">
        <v>54851.052</v>
      </c>
      <c r="C828" s="73">
        <v>6797589.87118387</v>
      </c>
      <c r="D828" s="73">
        <v>368119.402500916</v>
      </c>
      <c r="E828" s="73">
        <v>316738.545165957</v>
      </c>
      <c r="F828" s="73"/>
      <c r="G828" s="73"/>
      <c r="H828" s="73"/>
      <c r="I828" s="73"/>
      <c r="J828" s="73"/>
      <c r="K828" s="73"/>
      <c r="L828" s="73"/>
      <c r="M828" s="73"/>
      <c r="N828" s="73"/>
      <c r="O828" s="73"/>
      <c r="P828" s="73"/>
      <c r="Q828" s="73"/>
      <c r="R828" s="73"/>
      <c r="S828" s="73"/>
      <c r="T828" s="73"/>
      <c r="U828" s="73"/>
      <c r="V828" s="73"/>
      <c r="W828" s="73"/>
      <c r="X828" s="73"/>
      <c r="Y828" s="73"/>
      <c r="Z828" s="73"/>
      <c r="AA828" s="73"/>
      <c r="AB828" s="73"/>
    </row>
    <row r="829">
      <c r="A829" s="73"/>
      <c r="B829" s="73">
        <v>54981.133</v>
      </c>
      <c r="C829" s="73">
        <v>6820015.54556096</v>
      </c>
      <c r="D829" s="73">
        <v>370933.276998016</v>
      </c>
      <c r="E829" s="73">
        <v>317816.692095757</v>
      </c>
      <c r="F829" s="73"/>
      <c r="G829" s="73"/>
      <c r="H829" s="73"/>
      <c r="I829" s="73"/>
      <c r="J829" s="73"/>
      <c r="K829" s="73"/>
      <c r="L829" s="73"/>
      <c r="M829" s="73"/>
      <c r="N829" s="73"/>
      <c r="O829" s="73"/>
      <c r="P829" s="73"/>
      <c r="Q829" s="73"/>
      <c r="R829" s="73"/>
      <c r="S829" s="73"/>
      <c r="T829" s="73"/>
      <c r="U829" s="73"/>
      <c r="V829" s="73"/>
      <c r="W829" s="73"/>
      <c r="X829" s="73"/>
      <c r="Y829" s="73"/>
      <c r="Z829" s="73"/>
      <c r="AA829" s="73"/>
      <c r="AB829" s="73"/>
    </row>
    <row r="830">
      <c r="A830" s="73"/>
      <c r="B830" s="73">
        <v>55111.368</v>
      </c>
      <c r="C830" s="73">
        <v>6842488.59993672</v>
      </c>
      <c r="D830" s="73">
        <v>373762.153498932</v>
      </c>
      <c r="E830" s="73">
        <v>318897.028773438</v>
      </c>
      <c r="F830" s="73"/>
      <c r="G830" s="73"/>
      <c r="H830" s="73"/>
      <c r="I830" s="73"/>
      <c r="J830" s="73"/>
      <c r="K830" s="73"/>
      <c r="L830" s="73"/>
      <c r="M830" s="73"/>
      <c r="N830" s="73"/>
      <c r="O830" s="73"/>
      <c r="P830" s="73"/>
      <c r="Q830" s="73"/>
      <c r="R830" s="73"/>
      <c r="S830" s="73"/>
      <c r="T830" s="73"/>
      <c r="U830" s="73"/>
      <c r="V830" s="73"/>
      <c r="W830" s="73"/>
      <c r="X830" s="73"/>
      <c r="Y830" s="73"/>
      <c r="Z830" s="73"/>
      <c r="AA830" s="73"/>
      <c r="AB830" s="73"/>
    </row>
    <row r="831">
      <c r="A831" s="73"/>
      <c r="B831" s="73">
        <v>55241.757</v>
      </c>
      <c r="C831" s="73">
        <v>6865008.0043112</v>
      </c>
      <c r="D831" s="73">
        <v>376606.029999847</v>
      </c>
      <c r="E831" s="73">
        <v>319979.575975001</v>
      </c>
      <c r="F831" s="73"/>
      <c r="G831" s="73"/>
      <c r="H831" s="73"/>
      <c r="I831" s="73"/>
      <c r="J831" s="73"/>
      <c r="K831" s="73"/>
      <c r="L831" s="73"/>
      <c r="M831" s="73"/>
      <c r="N831" s="73"/>
      <c r="O831" s="73"/>
      <c r="P831" s="73"/>
      <c r="Q831" s="73"/>
      <c r="R831" s="73"/>
      <c r="S831" s="73"/>
      <c r="T831" s="73"/>
      <c r="U831" s="73"/>
      <c r="V831" s="73"/>
      <c r="W831" s="73"/>
      <c r="X831" s="73"/>
      <c r="Y831" s="73"/>
      <c r="Z831" s="73"/>
      <c r="AA831" s="73"/>
      <c r="AB831" s="73"/>
    </row>
    <row r="832">
      <c r="A832" s="73"/>
      <c r="B832" s="73">
        <v>55372.3</v>
      </c>
      <c r="C832" s="73">
        <v>6887574.27368438</v>
      </c>
      <c r="D832" s="73">
        <v>379464.968500763</v>
      </c>
      <c r="E832" s="73">
        <v>321064.339000444</v>
      </c>
      <c r="F832" s="73"/>
      <c r="G832" s="73"/>
      <c r="H832" s="73"/>
      <c r="I832" s="73"/>
      <c r="J832" s="73"/>
      <c r="K832" s="73"/>
      <c r="L832" s="73"/>
      <c r="M832" s="73"/>
      <c r="N832" s="73"/>
      <c r="O832" s="73"/>
      <c r="P832" s="73"/>
      <c r="Q832" s="73"/>
      <c r="R832" s="73"/>
      <c r="S832" s="73"/>
      <c r="T832" s="73"/>
      <c r="U832" s="73"/>
      <c r="V832" s="73"/>
      <c r="W832" s="73"/>
      <c r="X832" s="73"/>
      <c r="Y832" s="73"/>
      <c r="Z832" s="73"/>
      <c r="AA832" s="73"/>
      <c r="AB832" s="73"/>
    </row>
    <row r="833">
      <c r="A833" s="73"/>
      <c r="B833" s="73">
        <v>55502.997</v>
      </c>
      <c r="C833" s="73">
        <v>6910186.89305627</v>
      </c>
      <c r="D833" s="73">
        <v>382339.011497864</v>
      </c>
      <c r="E833" s="73">
        <v>322151.317849767</v>
      </c>
      <c r="F833" s="73"/>
      <c r="G833" s="73"/>
      <c r="H833" s="73"/>
      <c r="I833" s="73"/>
      <c r="J833" s="73"/>
      <c r="K833" s="73"/>
      <c r="L833" s="73"/>
      <c r="M833" s="73"/>
      <c r="N833" s="73"/>
      <c r="O833" s="73"/>
      <c r="P833" s="73"/>
      <c r="Q833" s="73"/>
      <c r="R833" s="73"/>
      <c r="S833" s="73"/>
      <c r="T833" s="73"/>
      <c r="U833" s="73"/>
      <c r="V833" s="73"/>
      <c r="W833" s="73"/>
      <c r="X833" s="73"/>
      <c r="Y833" s="73"/>
      <c r="Z833" s="73"/>
      <c r="AA833" s="73"/>
      <c r="AB833" s="73"/>
    </row>
    <row r="834">
      <c r="A834" s="73"/>
      <c r="B834" s="73">
        <v>55633.848</v>
      </c>
      <c r="C834" s="73">
        <v>6932846.89242685</v>
      </c>
      <c r="D834" s="73">
        <v>385228.191998779</v>
      </c>
      <c r="E834" s="73">
        <v>323240.481146972</v>
      </c>
      <c r="F834" s="73"/>
      <c r="G834" s="73"/>
      <c r="H834" s="73"/>
      <c r="I834" s="73"/>
      <c r="J834" s="73"/>
      <c r="K834" s="73"/>
      <c r="L834" s="73"/>
      <c r="M834" s="73"/>
      <c r="N834" s="73"/>
      <c r="O834" s="73"/>
      <c r="P834" s="73"/>
      <c r="Q834" s="73"/>
      <c r="R834" s="73"/>
      <c r="S834" s="73"/>
      <c r="T834" s="73"/>
      <c r="U834" s="73"/>
      <c r="V834" s="73"/>
      <c r="W834" s="73"/>
      <c r="X834" s="73"/>
      <c r="Y834" s="73"/>
      <c r="Z834" s="73"/>
      <c r="AA834" s="73"/>
      <c r="AB834" s="73"/>
    </row>
    <row r="835">
      <c r="A835" s="73"/>
      <c r="B835" s="73">
        <v>55764.853</v>
      </c>
      <c r="C835" s="73">
        <v>6955553.75679612</v>
      </c>
      <c r="D835" s="73">
        <v>388132.556999695</v>
      </c>
      <c r="E835" s="73">
        <v>324331.901820055</v>
      </c>
      <c r="F835" s="73"/>
      <c r="G835" s="73"/>
      <c r="H835" s="73"/>
      <c r="I835" s="73"/>
      <c r="J835" s="73"/>
      <c r="K835" s="73"/>
      <c r="L835" s="73"/>
      <c r="M835" s="73"/>
      <c r="N835" s="73"/>
      <c r="O835" s="73"/>
      <c r="P835" s="73"/>
      <c r="Q835" s="73"/>
      <c r="R835" s="73"/>
      <c r="S835" s="73"/>
      <c r="T835" s="73"/>
      <c r="U835" s="73"/>
      <c r="V835" s="73"/>
      <c r="W835" s="73"/>
      <c r="X835" s="73"/>
      <c r="Y835" s="73"/>
      <c r="Z835" s="73"/>
      <c r="AA835" s="73"/>
      <c r="AB835" s="73"/>
    </row>
    <row r="836">
      <c r="A836" s="73"/>
      <c r="B836" s="73">
        <v>55896.012</v>
      </c>
      <c r="C836" s="73">
        <v>6978308.00116408</v>
      </c>
      <c r="D836" s="73">
        <v>391052.12400061</v>
      </c>
      <c r="E836" s="73">
        <v>325425.491465022</v>
      </c>
      <c r="F836" s="73"/>
      <c r="G836" s="73"/>
      <c r="H836" s="73"/>
      <c r="I836" s="73"/>
      <c r="J836" s="73"/>
      <c r="K836" s="73"/>
      <c r="L836" s="73"/>
      <c r="M836" s="73"/>
      <c r="N836" s="73"/>
      <c r="O836" s="73"/>
      <c r="P836" s="73"/>
      <c r="Q836" s="73"/>
      <c r="R836" s="73"/>
      <c r="S836" s="73"/>
      <c r="T836" s="73"/>
      <c r="U836" s="73"/>
      <c r="V836" s="73"/>
      <c r="W836" s="73"/>
      <c r="X836" s="73"/>
      <c r="Y836" s="73"/>
      <c r="Z836" s="73"/>
      <c r="AA836" s="73"/>
      <c r="AB836" s="73"/>
    </row>
    <row r="837">
      <c r="A837" s="73"/>
      <c r="B837" s="73">
        <v>56027.325</v>
      </c>
      <c r="C837" s="73">
        <v>7001109.11053073</v>
      </c>
      <c r="D837" s="73">
        <v>393986.955497711</v>
      </c>
      <c r="E837" s="73">
        <v>326521.338485866</v>
      </c>
      <c r="F837" s="73"/>
      <c r="G837" s="73"/>
      <c r="H837" s="73"/>
      <c r="I837" s="73"/>
      <c r="J837" s="73"/>
      <c r="K837" s="73"/>
      <c r="L837" s="73"/>
      <c r="M837" s="73"/>
      <c r="N837" s="73"/>
      <c r="O837" s="73"/>
      <c r="P837" s="73"/>
      <c r="Q837" s="73"/>
      <c r="R837" s="73"/>
      <c r="S837" s="73"/>
      <c r="T837" s="73"/>
      <c r="U837" s="73"/>
      <c r="V837" s="73"/>
      <c r="W837" s="73"/>
      <c r="X837" s="73"/>
      <c r="Y837" s="73"/>
      <c r="Z837" s="73"/>
      <c r="AA837" s="73"/>
      <c r="AB837" s="73"/>
    </row>
    <row r="838">
      <c r="A838" s="73"/>
      <c r="B838" s="73">
        <v>56158.792</v>
      </c>
      <c r="C838" s="73">
        <v>7023957.08489609</v>
      </c>
      <c r="D838" s="73">
        <v>396937.064498627</v>
      </c>
      <c r="E838" s="73">
        <v>327619.359778593</v>
      </c>
      <c r="F838" s="73"/>
      <c r="G838" s="73"/>
      <c r="H838" s="73"/>
      <c r="I838" s="73"/>
      <c r="J838" s="73"/>
      <c r="K838" s="73"/>
      <c r="L838" s="73"/>
      <c r="M838" s="73"/>
      <c r="N838" s="73"/>
      <c r="O838" s="73"/>
      <c r="P838" s="73"/>
      <c r="Q838" s="73"/>
      <c r="R838" s="73"/>
      <c r="S838" s="73"/>
      <c r="T838" s="73"/>
      <c r="U838" s="73"/>
      <c r="V838" s="73"/>
      <c r="W838" s="73"/>
      <c r="X838" s="73"/>
      <c r="Y838" s="73"/>
      <c r="Z838" s="73"/>
      <c r="AA838" s="73"/>
      <c r="AB838" s="73"/>
    </row>
    <row r="839">
      <c r="A839" s="73"/>
      <c r="B839" s="73">
        <v>56290.413</v>
      </c>
      <c r="C839" s="73">
        <v>7046851.92426014</v>
      </c>
      <c r="D839" s="73">
        <v>399902.500499542</v>
      </c>
      <c r="E839" s="73">
        <v>328719.633147199</v>
      </c>
      <c r="F839" s="73"/>
      <c r="G839" s="73"/>
      <c r="H839" s="73"/>
      <c r="I839" s="73"/>
      <c r="J839" s="73"/>
      <c r="K839" s="73"/>
      <c r="L839" s="73"/>
      <c r="M839" s="73"/>
      <c r="N839" s="73"/>
      <c r="O839" s="73"/>
      <c r="P839" s="73"/>
      <c r="Q839" s="73"/>
      <c r="R839" s="73"/>
      <c r="S839" s="73"/>
      <c r="T839" s="73"/>
      <c r="U839" s="73"/>
      <c r="V839" s="73"/>
      <c r="W839" s="73"/>
      <c r="X839" s="73"/>
      <c r="Y839" s="73"/>
      <c r="Z839" s="73"/>
      <c r="AA839" s="73"/>
      <c r="AB839" s="73"/>
    </row>
    <row r="840">
      <c r="A840" s="73"/>
      <c r="B840" s="73">
        <v>56422.188</v>
      </c>
      <c r="C840" s="73">
        <v>7069794.14362288</v>
      </c>
      <c r="D840" s="73">
        <v>402883.318500458</v>
      </c>
      <c r="E840" s="73">
        <v>329822.122339685</v>
      </c>
      <c r="F840" s="73"/>
      <c r="G840" s="73"/>
      <c r="H840" s="73"/>
      <c r="I840" s="73"/>
      <c r="J840" s="73"/>
      <c r="K840" s="73"/>
      <c r="L840" s="73"/>
      <c r="M840" s="73"/>
      <c r="N840" s="73"/>
      <c r="O840" s="73"/>
      <c r="P840" s="73"/>
      <c r="Q840" s="73"/>
      <c r="R840" s="73"/>
      <c r="S840" s="73"/>
      <c r="T840" s="73"/>
      <c r="U840" s="73"/>
      <c r="V840" s="73"/>
      <c r="W840" s="73"/>
      <c r="X840" s="73"/>
      <c r="Y840" s="73"/>
      <c r="Z840" s="73"/>
      <c r="AA840" s="73"/>
      <c r="AB840" s="73"/>
    </row>
    <row r="841">
      <c r="A841" s="73"/>
      <c r="B841" s="73">
        <v>56554.117</v>
      </c>
      <c r="C841" s="73">
        <v>7092783.22798431</v>
      </c>
      <c r="D841" s="73">
        <v>405879.520997559</v>
      </c>
      <c r="E841" s="73">
        <v>330926.822056051</v>
      </c>
      <c r="F841" s="73"/>
      <c r="G841" s="73"/>
      <c r="H841" s="73"/>
      <c r="I841" s="73"/>
      <c r="J841" s="73"/>
      <c r="K841" s="73"/>
      <c r="L841" s="73"/>
      <c r="M841" s="73"/>
      <c r="N841" s="73"/>
      <c r="O841" s="73"/>
      <c r="P841" s="73"/>
      <c r="Q841" s="73"/>
      <c r="R841" s="73"/>
      <c r="S841" s="73"/>
      <c r="T841" s="73"/>
      <c r="U841" s="73"/>
      <c r="V841" s="73"/>
      <c r="W841" s="73"/>
      <c r="X841" s="73"/>
      <c r="Y841" s="73"/>
      <c r="Z841" s="73"/>
      <c r="AA841" s="73"/>
      <c r="AB841" s="73"/>
    </row>
    <row r="842">
      <c r="A842" s="73"/>
      <c r="B842" s="73">
        <v>56686.2</v>
      </c>
      <c r="C842" s="73">
        <v>7115820.20734441</v>
      </c>
      <c r="D842" s="73">
        <v>408891.167998474</v>
      </c>
      <c r="E842" s="73">
        <v>332033.758372297</v>
      </c>
      <c r="F842" s="73"/>
      <c r="G842" s="73"/>
      <c r="H842" s="73"/>
      <c r="I842" s="73"/>
      <c r="J842" s="73"/>
      <c r="K842" s="73"/>
      <c r="L842" s="73"/>
      <c r="M842" s="73"/>
      <c r="N842" s="73"/>
      <c r="O842" s="73"/>
      <c r="P842" s="73"/>
      <c r="Q842" s="73"/>
      <c r="R842" s="73"/>
      <c r="S842" s="73"/>
      <c r="T842" s="73"/>
      <c r="U842" s="73"/>
      <c r="V842" s="73"/>
      <c r="W842" s="73"/>
      <c r="X842" s="73"/>
      <c r="Y842" s="73"/>
      <c r="Z842" s="73"/>
      <c r="AA842" s="73"/>
      <c r="AB842" s="73"/>
    </row>
    <row r="843">
      <c r="A843" s="73"/>
      <c r="B843" s="73">
        <v>56818.437</v>
      </c>
      <c r="C843" s="73">
        <v>7138904.5667032</v>
      </c>
      <c r="D843" s="73">
        <v>411918.27499939</v>
      </c>
      <c r="E843" s="73">
        <v>333142.910512423</v>
      </c>
      <c r="F843" s="73"/>
      <c r="G843" s="73"/>
      <c r="H843" s="73"/>
      <c r="I843" s="73"/>
      <c r="J843" s="73"/>
      <c r="K843" s="73"/>
      <c r="L843" s="73"/>
      <c r="M843" s="73"/>
      <c r="N843" s="73"/>
      <c r="O843" s="73"/>
      <c r="P843" s="73"/>
      <c r="Q843" s="73"/>
      <c r="R843" s="73"/>
      <c r="S843" s="73"/>
      <c r="T843" s="73"/>
      <c r="U843" s="73"/>
      <c r="V843" s="73"/>
      <c r="W843" s="73"/>
      <c r="X843" s="73"/>
      <c r="Y843" s="73"/>
      <c r="Z843" s="73"/>
      <c r="AA843" s="73"/>
      <c r="AB843" s="73"/>
    </row>
    <row r="844">
      <c r="A844" s="73"/>
      <c r="B844" s="73">
        <v>56950.828</v>
      </c>
      <c r="C844" s="73">
        <v>7162035.79106069</v>
      </c>
      <c r="D844" s="73">
        <v>414960.931000305</v>
      </c>
      <c r="E844" s="73">
        <v>334254.299252429</v>
      </c>
      <c r="F844" s="73"/>
      <c r="G844" s="73"/>
      <c r="H844" s="73"/>
      <c r="I844" s="73"/>
      <c r="J844" s="73"/>
      <c r="K844" s="73"/>
      <c r="L844" s="73"/>
      <c r="M844" s="73"/>
      <c r="N844" s="73"/>
      <c r="O844" s="73"/>
      <c r="P844" s="73"/>
      <c r="Q844" s="73"/>
      <c r="R844" s="73"/>
      <c r="S844" s="73"/>
      <c r="T844" s="73"/>
      <c r="U844" s="73"/>
      <c r="V844" s="73"/>
      <c r="W844" s="73"/>
      <c r="X844" s="73"/>
      <c r="Y844" s="73"/>
      <c r="Z844" s="73"/>
      <c r="AA844" s="73"/>
      <c r="AB844" s="73"/>
    </row>
    <row r="845">
      <c r="A845" s="73"/>
      <c r="B845" s="73">
        <v>57083.373</v>
      </c>
      <c r="C845" s="73">
        <v>7185213.88041687</v>
      </c>
      <c r="D845" s="73">
        <v>418019.111497406</v>
      </c>
      <c r="E845" s="73">
        <v>335367.898516315</v>
      </c>
      <c r="F845" s="73"/>
      <c r="G845" s="73"/>
      <c r="H845" s="73"/>
      <c r="I845" s="73"/>
      <c r="J845" s="73"/>
      <c r="K845" s="73"/>
      <c r="L845" s="73"/>
      <c r="M845" s="73"/>
      <c r="N845" s="73"/>
      <c r="O845" s="73"/>
      <c r="P845" s="73"/>
      <c r="Q845" s="73"/>
      <c r="R845" s="73"/>
      <c r="S845" s="73"/>
      <c r="T845" s="73"/>
      <c r="U845" s="73"/>
      <c r="V845" s="73"/>
      <c r="W845" s="73"/>
      <c r="X845" s="73"/>
      <c r="Y845" s="73"/>
      <c r="Z845" s="73"/>
      <c r="AA845" s="73"/>
      <c r="AB845" s="73"/>
    </row>
    <row r="846">
      <c r="A846" s="73"/>
      <c r="B846" s="73">
        <v>57216.072</v>
      </c>
      <c r="C846" s="73">
        <v>7208439.86477172</v>
      </c>
      <c r="D846" s="73">
        <v>421092.891998322</v>
      </c>
      <c r="E846" s="73">
        <v>336483.73968008</v>
      </c>
      <c r="F846" s="73"/>
      <c r="G846" s="73"/>
      <c r="H846" s="73"/>
      <c r="I846" s="73"/>
      <c r="J846" s="73"/>
      <c r="K846" s="73"/>
      <c r="L846" s="73"/>
      <c r="M846" s="73"/>
      <c r="N846" s="73"/>
      <c r="O846" s="73"/>
      <c r="P846" s="73"/>
      <c r="Q846" s="73"/>
      <c r="R846" s="73"/>
      <c r="S846" s="73"/>
      <c r="T846" s="73"/>
      <c r="U846" s="73"/>
      <c r="V846" s="73"/>
      <c r="W846" s="73"/>
      <c r="X846" s="73"/>
      <c r="Y846" s="73"/>
      <c r="Z846" s="73"/>
      <c r="AA846" s="73"/>
      <c r="AB846" s="73"/>
    </row>
    <row r="847">
      <c r="A847" s="73"/>
      <c r="B847" s="73">
        <v>57348.925</v>
      </c>
      <c r="C847" s="73">
        <v>7231713.22912526</v>
      </c>
      <c r="D847" s="73">
        <v>424182.276999237</v>
      </c>
      <c r="E847" s="73">
        <v>337601.791367726</v>
      </c>
      <c r="F847" s="73"/>
      <c r="G847" s="73"/>
      <c r="H847" s="73"/>
      <c r="I847" s="73"/>
      <c r="J847" s="73"/>
      <c r="K847" s="73"/>
      <c r="L847" s="73"/>
      <c r="M847" s="73"/>
      <c r="N847" s="73"/>
      <c r="O847" s="73"/>
      <c r="P847" s="73"/>
      <c r="Q847" s="73"/>
      <c r="R847" s="73"/>
      <c r="S847" s="73"/>
      <c r="T847" s="73"/>
      <c r="U847" s="73"/>
      <c r="V847" s="73"/>
      <c r="W847" s="73"/>
      <c r="X847" s="73"/>
      <c r="Y847" s="73"/>
      <c r="Z847" s="73"/>
      <c r="AA847" s="73"/>
      <c r="AB847" s="73"/>
    </row>
    <row r="848">
      <c r="A848" s="73"/>
      <c r="B848" s="73">
        <v>57481.932</v>
      </c>
      <c r="C848" s="73">
        <v>7255034.48847747</v>
      </c>
      <c r="D848" s="73">
        <v>427287.351000153</v>
      </c>
      <c r="E848" s="73">
        <v>338722.10043125</v>
      </c>
      <c r="F848" s="73"/>
      <c r="G848" s="73"/>
      <c r="H848" s="73"/>
      <c r="I848" s="73"/>
      <c r="J848" s="73"/>
      <c r="K848" s="73"/>
      <c r="L848" s="73"/>
      <c r="M848" s="73"/>
      <c r="N848" s="73"/>
      <c r="O848" s="73"/>
      <c r="P848" s="73"/>
      <c r="Q848" s="73"/>
      <c r="R848" s="73"/>
      <c r="S848" s="73"/>
      <c r="T848" s="73"/>
      <c r="U848" s="73"/>
      <c r="V848" s="73"/>
      <c r="W848" s="73"/>
      <c r="X848" s="73"/>
      <c r="Y848" s="73"/>
      <c r="Z848" s="73"/>
      <c r="AA848" s="73"/>
      <c r="AB848" s="73"/>
    </row>
    <row r="849">
      <c r="A849" s="73"/>
      <c r="B849" s="73">
        <v>57615.093</v>
      </c>
      <c r="C849" s="73">
        <v>7278402.09782839</v>
      </c>
      <c r="D849" s="73">
        <v>430408.107501068</v>
      </c>
      <c r="E849" s="73">
        <v>339844.630618654</v>
      </c>
      <c r="F849" s="73"/>
      <c r="G849" s="73"/>
      <c r="H849" s="73"/>
      <c r="I849" s="73"/>
      <c r="J849" s="73"/>
      <c r="K849" s="73"/>
      <c r="L849" s="73"/>
      <c r="M849" s="73"/>
      <c r="N849" s="73"/>
      <c r="O849" s="73"/>
      <c r="P849" s="73"/>
      <c r="Q849" s="73"/>
      <c r="R849" s="73"/>
      <c r="S849" s="73"/>
      <c r="T849" s="73"/>
      <c r="U849" s="73"/>
      <c r="V849" s="73"/>
      <c r="W849" s="73"/>
      <c r="X849" s="73"/>
      <c r="Y849" s="73"/>
      <c r="Z849" s="73"/>
      <c r="AA849" s="73"/>
      <c r="AB849" s="73"/>
    </row>
    <row r="850">
      <c r="A850" s="73"/>
      <c r="B850" s="73">
        <v>57748.408</v>
      </c>
      <c r="C850" s="73">
        <v>7301818.63217795</v>
      </c>
      <c r="D850" s="73">
        <v>433544.625998169</v>
      </c>
      <c r="E850" s="73">
        <v>340969.392105938</v>
      </c>
      <c r="F850" s="73"/>
      <c r="G850" s="73"/>
      <c r="H850" s="73"/>
      <c r="I850" s="73"/>
      <c r="J850" s="73"/>
      <c r="K850" s="73"/>
      <c r="L850" s="73"/>
      <c r="M850" s="73"/>
      <c r="N850" s="73"/>
      <c r="O850" s="73"/>
      <c r="P850" s="73"/>
      <c r="Q850" s="73"/>
      <c r="R850" s="73"/>
      <c r="S850" s="73"/>
      <c r="T850" s="73"/>
      <c r="U850" s="73"/>
      <c r="V850" s="73"/>
      <c r="W850" s="73"/>
      <c r="X850" s="73"/>
      <c r="Y850" s="73"/>
      <c r="Z850" s="73"/>
      <c r="AA850" s="73"/>
      <c r="AB850" s="73"/>
    </row>
    <row r="851">
      <c r="A851" s="73"/>
      <c r="B851" s="73">
        <v>57881.877</v>
      </c>
      <c r="C851" s="73">
        <v>7325281.51652622</v>
      </c>
      <c r="D851" s="73">
        <v>436696.915999084</v>
      </c>
      <c r="E851" s="73">
        <v>342096.3954931</v>
      </c>
      <c r="F851" s="73"/>
      <c r="G851" s="73"/>
      <c r="H851" s="73"/>
      <c r="I851" s="73"/>
      <c r="J851" s="73"/>
      <c r="K851" s="73"/>
      <c r="L851" s="73"/>
      <c r="M851" s="73"/>
      <c r="N851" s="73"/>
      <c r="O851" s="73"/>
      <c r="P851" s="73"/>
      <c r="Q851" s="73"/>
      <c r="R851" s="73"/>
      <c r="S851" s="73"/>
      <c r="T851" s="73"/>
      <c r="U851" s="73"/>
      <c r="V851" s="73"/>
      <c r="W851" s="73"/>
      <c r="X851" s="73"/>
      <c r="Y851" s="73"/>
      <c r="Z851" s="73"/>
      <c r="AA851" s="73"/>
      <c r="AB851" s="73"/>
    </row>
    <row r="852">
      <c r="A852" s="73"/>
      <c r="B852" s="73">
        <v>58015.5</v>
      </c>
      <c r="C852" s="73">
        <v>7348792.81087315</v>
      </c>
      <c r="D852" s="73">
        <v>439865.0085</v>
      </c>
      <c r="E852" s="73">
        <v>343225.635480142</v>
      </c>
      <c r="F852" s="73"/>
      <c r="G852" s="73"/>
      <c r="H852" s="73"/>
      <c r="I852" s="73"/>
      <c r="J852" s="73"/>
      <c r="K852" s="73"/>
      <c r="L852" s="73"/>
      <c r="M852" s="73"/>
      <c r="N852" s="73"/>
      <c r="O852" s="73"/>
      <c r="P852" s="73"/>
      <c r="Q852" s="73"/>
      <c r="R852" s="73"/>
      <c r="S852" s="73"/>
      <c r="T852" s="73"/>
      <c r="U852" s="73"/>
      <c r="V852" s="73"/>
      <c r="W852" s="73"/>
      <c r="X852" s="73"/>
      <c r="Y852" s="73"/>
      <c r="Z852" s="73"/>
      <c r="AA852" s="73"/>
      <c r="AB852" s="73"/>
    </row>
    <row r="853">
      <c r="A853" s="73"/>
      <c r="B853" s="73">
        <v>58149.277</v>
      </c>
      <c r="C853" s="73">
        <v>7372352.00021875</v>
      </c>
      <c r="D853" s="73">
        <v>443048.947500916</v>
      </c>
      <c r="E853" s="73">
        <v>344357.112067063</v>
      </c>
      <c r="F853" s="73"/>
      <c r="G853" s="73"/>
      <c r="H853" s="73"/>
      <c r="I853" s="73"/>
      <c r="J853" s="73"/>
      <c r="K853" s="73"/>
      <c r="L853" s="73"/>
      <c r="M853" s="73"/>
      <c r="N853" s="73"/>
      <c r="O853" s="73"/>
      <c r="P853" s="73"/>
      <c r="Q853" s="73"/>
      <c r="R853" s="73"/>
      <c r="S853" s="73"/>
      <c r="T853" s="73"/>
      <c r="U853" s="73"/>
      <c r="V853" s="73"/>
      <c r="W853" s="73"/>
      <c r="X853" s="73"/>
      <c r="Y853" s="73"/>
      <c r="Z853" s="73"/>
      <c r="AA853" s="73"/>
      <c r="AB853" s="73"/>
    </row>
    <row r="854">
      <c r="A854" s="73"/>
      <c r="B854" s="73">
        <v>58283.208</v>
      </c>
      <c r="C854" s="73">
        <v>7395958.56956303</v>
      </c>
      <c r="D854" s="73">
        <v>446248.813498016</v>
      </c>
      <c r="E854" s="73">
        <v>345490.825253864</v>
      </c>
      <c r="F854" s="73"/>
      <c r="G854" s="73"/>
      <c r="H854" s="73"/>
      <c r="I854" s="73"/>
      <c r="J854" s="73"/>
      <c r="K854" s="73"/>
      <c r="L854" s="73"/>
      <c r="M854" s="73"/>
      <c r="N854" s="73"/>
      <c r="O854" s="73"/>
      <c r="P854" s="73"/>
      <c r="Q854" s="73"/>
      <c r="R854" s="73"/>
      <c r="S854" s="73"/>
      <c r="T854" s="73"/>
      <c r="U854" s="73"/>
      <c r="V854" s="73"/>
      <c r="W854" s="73"/>
      <c r="X854" s="73"/>
      <c r="Y854" s="73"/>
      <c r="Z854" s="73"/>
      <c r="AA854" s="73"/>
      <c r="AB854" s="73"/>
    </row>
    <row r="855">
      <c r="A855" s="73"/>
      <c r="B855" s="73">
        <v>58417.293</v>
      </c>
      <c r="C855" s="73">
        <v>7419612.518906</v>
      </c>
      <c r="D855" s="73">
        <v>449464.566498932</v>
      </c>
      <c r="E855" s="73">
        <v>346626.795816542</v>
      </c>
      <c r="F855" s="73"/>
      <c r="G855" s="73"/>
      <c r="H855" s="73"/>
      <c r="I855" s="73"/>
      <c r="J855" s="73"/>
      <c r="K855" s="73"/>
      <c r="L855" s="73"/>
      <c r="M855" s="73"/>
      <c r="N855" s="73"/>
      <c r="O855" s="73"/>
      <c r="P855" s="73"/>
      <c r="Q855" s="73"/>
      <c r="R855" s="73"/>
      <c r="S855" s="73"/>
      <c r="T855" s="73"/>
      <c r="U855" s="73"/>
      <c r="V855" s="73"/>
      <c r="W855" s="73"/>
      <c r="X855" s="73"/>
      <c r="Y855" s="73"/>
      <c r="Z855" s="73"/>
      <c r="AA855" s="73"/>
      <c r="AB855" s="73"/>
    </row>
    <row r="856">
      <c r="A856" s="73"/>
      <c r="B856" s="73">
        <v>58551.532</v>
      </c>
      <c r="C856" s="73">
        <v>7443314.36324763</v>
      </c>
      <c r="D856" s="73">
        <v>452696.326499847</v>
      </c>
      <c r="E856" s="73">
        <v>347764.987503101</v>
      </c>
      <c r="F856" s="73"/>
      <c r="G856" s="73"/>
      <c r="H856" s="73"/>
      <c r="I856" s="73"/>
      <c r="J856" s="73"/>
      <c r="K856" s="73"/>
      <c r="L856" s="73"/>
      <c r="M856" s="73"/>
      <c r="N856" s="73"/>
      <c r="O856" s="73"/>
      <c r="P856" s="73"/>
      <c r="Q856" s="73"/>
      <c r="R856" s="73"/>
      <c r="S856" s="73"/>
      <c r="T856" s="73"/>
      <c r="U856" s="73"/>
      <c r="V856" s="73"/>
      <c r="W856" s="73"/>
      <c r="X856" s="73"/>
      <c r="Y856" s="73"/>
      <c r="Z856" s="73"/>
      <c r="AA856" s="73"/>
      <c r="AB856" s="73"/>
    </row>
    <row r="857">
      <c r="A857" s="73"/>
      <c r="B857" s="73">
        <v>58685.925</v>
      </c>
      <c r="C857" s="73">
        <v>7467064.10258794</v>
      </c>
      <c r="D857" s="73">
        <v>455944.048500763</v>
      </c>
      <c r="E857" s="73">
        <v>348905.436565537</v>
      </c>
      <c r="F857" s="73"/>
      <c r="G857" s="73"/>
      <c r="H857" s="73"/>
      <c r="I857" s="73"/>
      <c r="J857" s="73"/>
      <c r="K857" s="73"/>
      <c r="L857" s="73"/>
      <c r="M857" s="73"/>
      <c r="N857" s="73"/>
      <c r="O857" s="73"/>
      <c r="P857" s="73"/>
      <c r="Q857" s="73"/>
      <c r="R857" s="73"/>
      <c r="S857" s="73"/>
      <c r="T857" s="73"/>
      <c r="U857" s="73"/>
      <c r="V857" s="73"/>
      <c r="W857" s="73"/>
      <c r="X857" s="73"/>
      <c r="Y857" s="73"/>
      <c r="Z857" s="73"/>
      <c r="AA857" s="73"/>
      <c r="AB857" s="73"/>
    </row>
    <row r="858">
      <c r="A858" s="73"/>
      <c r="B858" s="73">
        <v>58820.472</v>
      </c>
      <c r="C858" s="73">
        <v>7490862.2519269</v>
      </c>
      <c r="D858" s="73">
        <v>459207.819997864</v>
      </c>
      <c r="E858" s="73">
        <v>350048.127527853</v>
      </c>
      <c r="F858" s="73"/>
      <c r="G858" s="73"/>
      <c r="H858" s="73"/>
      <c r="I858" s="73"/>
      <c r="J858" s="73"/>
      <c r="K858" s="73"/>
      <c r="L858" s="73"/>
      <c r="M858" s="73"/>
      <c r="N858" s="73"/>
      <c r="O858" s="73"/>
      <c r="P858" s="73"/>
      <c r="Q858" s="73"/>
      <c r="R858" s="73"/>
      <c r="S858" s="73"/>
      <c r="T858" s="73"/>
      <c r="U858" s="73"/>
      <c r="V858" s="73"/>
      <c r="W858" s="73"/>
      <c r="X858" s="73"/>
      <c r="Y858" s="73"/>
      <c r="Z858" s="73"/>
      <c r="AA858" s="73"/>
      <c r="AB858" s="73"/>
    </row>
    <row r="859">
      <c r="A859" s="73"/>
      <c r="B859" s="73">
        <v>58955.173</v>
      </c>
      <c r="C859" s="73">
        <v>7514708.29626453</v>
      </c>
      <c r="D859" s="73">
        <v>462487.680498779</v>
      </c>
      <c r="E859" s="73">
        <v>351193.055090048</v>
      </c>
      <c r="F859" s="73"/>
      <c r="G859" s="73"/>
      <c r="H859" s="73"/>
      <c r="I859" s="73"/>
      <c r="J859" s="73"/>
      <c r="K859" s="73"/>
      <c r="L859" s="73"/>
      <c r="M859" s="73"/>
      <c r="N859" s="73"/>
      <c r="O859" s="73"/>
      <c r="P859" s="73"/>
      <c r="Q859" s="73"/>
      <c r="R859" s="73"/>
      <c r="S859" s="73"/>
      <c r="T859" s="73"/>
      <c r="U859" s="73"/>
      <c r="V859" s="73"/>
      <c r="W859" s="73"/>
      <c r="X859" s="73"/>
      <c r="Y859" s="73"/>
      <c r="Z859" s="73"/>
      <c r="AA859" s="73"/>
      <c r="AB859" s="73"/>
    </row>
    <row r="860">
      <c r="A860" s="73"/>
      <c r="B860" s="73">
        <v>59090.028</v>
      </c>
      <c r="C860" s="73">
        <v>7538601.20560086</v>
      </c>
      <c r="D860" s="73">
        <v>465783.627999695</v>
      </c>
      <c r="E860" s="73">
        <v>352340.240028121</v>
      </c>
      <c r="F860" s="73"/>
      <c r="G860" s="73"/>
      <c r="H860" s="73"/>
      <c r="I860" s="73"/>
      <c r="J860" s="73"/>
      <c r="K860" s="73"/>
      <c r="L860" s="73"/>
      <c r="M860" s="73"/>
      <c r="N860" s="73"/>
      <c r="O860" s="73"/>
      <c r="P860" s="73"/>
      <c r="Q860" s="73"/>
      <c r="R860" s="73"/>
      <c r="S860" s="73"/>
      <c r="T860" s="73"/>
      <c r="U860" s="73"/>
      <c r="V860" s="73"/>
      <c r="W860" s="73"/>
      <c r="X860" s="73"/>
      <c r="Y860" s="73"/>
      <c r="Z860" s="73"/>
      <c r="AA860" s="73"/>
      <c r="AB860" s="73"/>
    </row>
    <row r="861">
      <c r="A861" s="73"/>
      <c r="B861" s="73">
        <v>59225.037</v>
      </c>
      <c r="C861" s="73">
        <v>7562543.03993583</v>
      </c>
      <c r="D861" s="73">
        <v>469095.74250061</v>
      </c>
      <c r="E861" s="73">
        <v>353489.666866074</v>
      </c>
      <c r="F861" s="73"/>
      <c r="G861" s="73"/>
      <c r="H861" s="73"/>
      <c r="I861" s="73"/>
      <c r="J861" s="73"/>
      <c r="K861" s="73"/>
      <c r="L861" s="73"/>
      <c r="M861" s="73"/>
      <c r="N861" s="73"/>
      <c r="O861" s="73"/>
      <c r="P861" s="73"/>
      <c r="Q861" s="73"/>
      <c r="R861" s="73"/>
      <c r="S861" s="73"/>
      <c r="T861" s="73"/>
      <c r="U861" s="73"/>
      <c r="V861" s="73"/>
      <c r="W861" s="73"/>
      <c r="X861" s="73"/>
      <c r="Y861" s="73"/>
      <c r="Z861" s="73"/>
      <c r="AA861" s="73"/>
      <c r="AB861" s="73"/>
    </row>
    <row r="862">
      <c r="A862" s="73"/>
      <c r="B862" s="73">
        <v>59360.2</v>
      </c>
      <c r="C862" s="73">
        <v>7586532.76926947</v>
      </c>
      <c r="D862" s="73">
        <v>472424.025997711</v>
      </c>
      <c r="E862" s="73">
        <v>354641.377155902</v>
      </c>
      <c r="F862" s="73"/>
      <c r="G862" s="73"/>
      <c r="H862" s="73"/>
      <c r="I862" s="73"/>
      <c r="J862" s="73"/>
      <c r="K862" s="73"/>
      <c r="L862" s="73"/>
      <c r="M862" s="73"/>
      <c r="N862" s="73"/>
      <c r="O862" s="73"/>
      <c r="P862" s="73"/>
      <c r="Q862" s="73"/>
      <c r="R862" s="73"/>
      <c r="S862" s="73"/>
      <c r="T862" s="73"/>
      <c r="U862" s="73"/>
      <c r="V862" s="73"/>
      <c r="W862" s="73"/>
      <c r="X862" s="73"/>
      <c r="Y862" s="73"/>
      <c r="Z862" s="73"/>
      <c r="AA862" s="73"/>
      <c r="AB862" s="73"/>
    </row>
    <row r="863">
      <c r="A863" s="73"/>
      <c r="B863" s="73">
        <v>59495.517</v>
      </c>
      <c r="C863" s="73">
        <v>7610569.87860179</v>
      </c>
      <c r="D863" s="73">
        <v>475768.554498627</v>
      </c>
      <c r="E863" s="73">
        <v>355795.303269612</v>
      </c>
      <c r="F863" s="73"/>
      <c r="G863" s="73"/>
      <c r="H863" s="73"/>
      <c r="I863" s="73"/>
      <c r="J863" s="73"/>
      <c r="K863" s="73"/>
      <c r="L863" s="73"/>
      <c r="M863" s="73"/>
      <c r="N863" s="73"/>
      <c r="O863" s="73"/>
      <c r="P863" s="73"/>
      <c r="Q863" s="73"/>
      <c r="R863" s="73"/>
      <c r="S863" s="73"/>
      <c r="T863" s="73"/>
      <c r="U863" s="73"/>
      <c r="V863" s="73"/>
      <c r="W863" s="73"/>
      <c r="X863" s="73"/>
      <c r="Y863" s="73"/>
      <c r="Z863" s="73"/>
      <c r="AA863" s="73"/>
      <c r="AB863" s="73"/>
    </row>
    <row r="864">
      <c r="A864" s="73"/>
      <c r="B864" s="73">
        <v>59630.988</v>
      </c>
      <c r="C864" s="73">
        <v>7634656.42793274</v>
      </c>
      <c r="D864" s="73">
        <v>479129.376499542</v>
      </c>
      <c r="E864" s="73">
        <v>356951.492059199</v>
      </c>
      <c r="F864" s="73"/>
      <c r="G864" s="73"/>
      <c r="H864" s="73"/>
      <c r="I864" s="73"/>
      <c r="J864" s="73"/>
      <c r="K864" s="73"/>
      <c r="L864" s="73"/>
      <c r="M864" s="73"/>
      <c r="N864" s="73"/>
      <c r="O864" s="73"/>
      <c r="P864" s="73"/>
      <c r="Q864" s="73"/>
      <c r="R864" s="73"/>
      <c r="S864" s="73"/>
      <c r="T864" s="73"/>
      <c r="U864" s="73"/>
      <c r="V864" s="73"/>
      <c r="W864" s="73"/>
      <c r="X864" s="73"/>
      <c r="Y864" s="73"/>
      <c r="Z864" s="73"/>
      <c r="AA864" s="73"/>
      <c r="AB864" s="73"/>
    </row>
    <row r="865">
      <c r="A865" s="73"/>
      <c r="B865" s="73">
        <v>59766.613</v>
      </c>
      <c r="C865" s="73">
        <v>7658789.84226239</v>
      </c>
      <c r="D865" s="73">
        <v>482506.441000458</v>
      </c>
      <c r="E865" s="73">
        <v>358109.938224664</v>
      </c>
      <c r="F865" s="73"/>
      <c r="G865" s="73"/>
      <c r="H865" s="73"/>
      <c r="I865" s="73"/>
      <c r="J865" s="73"/>
      <c r="K865" s="73"/>
      <c r="L865" s="73"/>
      <c r="M865" s="73"/>
      <c r="N865" s="73"/>
      <c r="O865" s="73"/>
      <c r="P865" s="73"/>
      <c r="Q865" s="73"/>
      <c r="R865" s="73"/>
      <c r="S865" s="73"/>
      <c r="T865" s="73"/>
      <c r="U865" s="73"/>
      <c r="V865" s="73"/>
      <c r="W865" s="73"/>
      <c r="X865" s="73"/>
      <c r="Y865" s="73"/>
      <c r="Z865" s="73"/>
      <c r="AA865" s="73"/>
      <c r="AB865" s="73"/>
    </row>
    <row r="866">
      <c r="A866" s="73"/>
      <c r="B866" s="73">
        <v>59902.392</v>
      </c>
      <c r="C866" s="73">
        <v>7682972.18159068</v>
      </c>
      <c r="D866" s="73">
        <v>485899.879497559</v>
      </c>
      <c r="E866" s="73">
        <v>359270.647066007</v>
      </c>
      <c r="F866" s="73"/>
      <c r="G866" s="73"/>
      <c r="H866" s="73"/>
      <c r="I866" s="73"/>
      <c r="J866" s="73"/>
      <c r="K866" s="73"/>
      <c r="L866" s="73"/>
      <c r="M866" s="73"/>
      <c r="N866" s="73"/>
      <c r="O866" s="73"/>
      <c r="P866" s="73"/>
      <c r="Q866" s="73"/>
      <c r="R866" s="73"/>
      <c r="S866" s="73"/>
      <c r="T866" s="73"/>
      <c r="U866" s="73"/>
      <c r="V866" s="73"/>
      <c r="W866" s="73"/>
      <c r="X866" s="73"/>
      <c r="Y866" s="73"/>
      <c r="Z866" s="73"/>
      <c r="AA866" s="73"/>
      <c r="AB866" s="73"/>
    </row>
    <row r="867">
      <c r="A867" s="73"/>
      <c r="B867" s="73">
        <v>60038.325</v>
      </c>
      <c r="C867" s="73">
        <v>7707202.93091762</v>
      </c>
      <c r="D867" s="73">
        <v>489309.682498474</v>
      </c>
      <c r="E867" s="73">
        <v>360433.597807229</v>
      </c>
      <c r="F867" s="73"/>
      <c r="G867" s="73"/>
      <c r="H867" s="73"/>
      <c r="I867" s="73"/>
      <c r="J867" s="73"/>
      <c r="K867" s="73"/>
      <c r="L867" s="73"/>
      <c r="M867" s="73"/>
      <c r="N867" s="73"/>
      <c r="O867" s="73"/>
      <c r="P867" s="73"/>
      <c r="Q867" s="73"/>
      <c r="R867" s="73"/>
      <c r="S867" s="73"/>
      <c r="T867" s="73"/>
      <c r="U867" s="73"/>
      <c r="V867" s="73"/>
      <c r="W867" s="73"/>
      <c r="X867" s="73"/>
      <c r="Y867" s="73"/>
      <c r="Z867" s="73"/>
      <c r="AA867" s="73"/>
      <c r="AB867" s="73"/>
    </row>
    <row r="868">
      <c r="A868" s="73"/>
      <c r="B868" s="73">
        <v>60174.412</v>
      </c>
      <c r="C868" s="73">
        <v>7731481.57524323</v>
      </c>
      <c r="D868" s="73">
        <v>492735.85699939</v>
      </c>
      <c r="E868" s="73">
        <v>361598.811224329</v>
      </c>
      <c r="F868" s="73"/>
      <c r="G868" s="73"/>
      <c r="H868" s="73"/>
      <c r="I868" s="73"/>
      <c r="J868" s="73"/>
      <c r="K868" s="73"/>
      <c r="L868" s="73"/>
      <c r="M868" s="73"/>
      <c r="N868" s="73"/>
      <c r="O868" s="73"/>
      <c r="P868" s="73"/>
      <c r="Q868" s="73"/>
      <c r="R868" s="73"/>
      <c r="S868" s="73"/>
      <c r="T868" s="73"/>
      <c r="U868" s="73"/>
      <c r="V868" s="73"/>
      <c r="W868" s="73"/>
      <c r="X868" s="73"/>
      <c r="Y868" s="73"/>
      <c r="Z868" s="73"/>
      <c r="AA868" s="73"/>
      <c r="AB868" s="73"/>
    </row>
    <row r="869">
      <c r="A869" s="73"/>
      <c r="B869" s="73">
        <v>60310.653</v>
      </c>
      <c r="C869" s="73">
        <v>7755808.11456752</v>
      </c>
      <c r="D869" s="73">
        <v>496178.521000305</v>
      </c>
      <c r="E869" s="73">
        <v>362766.308093306</v>
      </c>
      <c r="F869" s="73"/>
      <c r="G869" s="73"/>
      <c r="H869" s="73"/>
      <c r="I869" s="73"/>
      <c r="J869" s="73"/>
      <c r="K869" s="73"/>
      <c r="L869" s="73"/>
      <c r="M869" s="73"/>
      <c r="N869" s="73"/>
      <c r="O869" s="73"/>
      <c r="P869" s="73"/>
      <c r="Q869" s="73"/>
      <c r="R869" s="73"/>
      <c r="S869" s="73"/>
      <c r="T869" s="73"/>
      <c r="U869" s="73"/>
      <c r="V869" s="73"/>
      <c r="W869" s="73"/>
      <c r="X869" s="73"/>
      <c r="Y869" s="73"/>
      <c r="Z869" s="73"/>
      <c r="AA869" s="73"/>
      <c r="AB869" s="73"/>
    </row>
    <row r="870">
      <c r="A870" s="73"/>
      <c r="B870" s="73">
        <v>60447.048</v>
      </c>
      <c r="C870" s="73">
        <v>7780183.57889044</v>
      </c>
      <c r="D870" s="73">
        <v>499637.669497406</v>
      </c>
      <c r="E870" s="73">
        <v>363936.026086163</v>
      </c>
      <c r="F870" s="73"/>
      <c r="G870" s="73"/>
      <c r="H870" s="73"/>
      <c r="I870" s="73"/>
      <c r="J870" s="73"/>
      <c r="K870" s="73"/>
      <c r="L870" s="73"/>
      <c r="M870" s="73"/>
      <c r="N870" s="73"/>
      <c r="O870" s="73"/>
      <c r="P870" s="73"/>
      <c r="Q870" s="73"/>
      <c r="R870" s="73"/>
      <c r="S870" s="73"/>
      <c r="T870" s="73"/>
      <c r="U870" s="73"/>
      <c r="V870" s="73"/>
      <c r="W870" s="73"/>
      <c r="X870" s="73"/>
      <c r="Y870" s="73"/>
      <c r="Z870" s="73"/>
      <c r="AA870" s="73"/>
      <c r="AB870" s="73"/>
    </row>
    <row r="871">
      <c r="A871" s="73"/>
      <c r="B871" s="73">
        <v>60583.597</v>
      </c>
      <c r="C871" s="73">
        <v>7804607.45321202</v>
      </c>
      <c r="D871" s="73">
        <v>503113.351998322</v>
      </c>
      <c r="E871" s="73">
        <v>365108.043006895</v>
      </c>
      <c r="F871" s="73"/>
      <c r="G871" s="73"/>
      <c r="H871" s="73"/>
      <c r="I871" s="73"/>
      <c r="J871" s="73"/>
      <c r="K871" s="73"/>
      <c r="L871" s="73"/>
      <c r="M871" s="73"/>
      <c r="N871" s="73"/>
      <c r="O871" s="73"/>
      <c r="P871" s="73"/>
      <c r="Q871" s="73"/>
      <c r="R871" s="73"/>
      <c r="S871" s="73"/>
      <c r="T871" s="73"/>
      <c r="U871" s="73"/>
      <c r="V871" s="73"/>
      <c r="W871" s="73"/>
      <c r="X871" s="73"/>
      <c r="Y871" s="73"/>
      <c r="Z871" s="73"/>
      <c r="AA871" s="73"/>
      <c r="AB871" s="73"/>
    </row>
    <row r="872">
      <c r="A872" s="73"/>
      <c r="B872" s="73">
        <v>60720.3</v>
      </c>
      <c r="C872" s="73">
        <v>7829079.22253227</v>
      </c>
      <c r="D872" s="73">
        <v>506605.568499237</v>
      </c>
      <c r="E872" s="73">
        <v>366282.307127507</v>
      </c>
      <c r="F872" s="73"/>
      <c r="G872" s="73"/>
      <c r="H872" s="73"/>
      <c r="I872" s="73"/>
      <c r="J872" s="73"/>
      <c r="K872" s="73"/>
      <c r="L872" s="73"/>
      <c r="M872" s="73"/>
      <c r="N872" s="73"/>
      <c r="O872" s="73"/>
      <c r="P872" s="73"/>
      <c r="Q872" s="73"/>
      <c r="R872" s="73"/>
      <c r="S872" s="73"/>
      <c r="T872" s="73"/>
      <c r="U872" s="73"/>
      <c r="V872" s="73"/>
      <c r="W872" s="73"/>
      <c r="X872" s="73"/>
      <c r="Y872" s="73"/>
      <c r="Z872" s="73"/>
      <c r="AA872" s="73"/>
      <c r="AB872" s="73"/>
    </row>
    <row r="873">
      <c r="A873" s="73"/>
      <c r="B873" s="73">
        <v>60857.157</v>
      </c>
      <c r="C873" s="73">
        <v>7853599.91685116</v>
      </c>
      <c r="D873" s="73">
        <v>510114.389500153</v>
      </c>
      <c r="E873" s="73">
        <v>367458.849399995</v>
      </c>
      <c r="F873" s="73"/>
      <c r="G873" s="73"/>
      <c r="H873" s="73"/>
      <c r="I873" s="73"/>
      <c r="J873" s="73"/>
      <c r="K873" s="73"/>
      <c r="L873" s="73"/>
      <c r="M873" s="73"/>
      <c r="N873" s="73"/>
      <c r="O873" s="73"/>
      <c r="P873" s="73"/>
      <c r="Q873" s="73"/>
      <c r="R873" s="73"/>
      <c r="S873" s="73"/>
      <c r="T873" s="73"/>
      <c r="U873" s="73"/>
      <c r="V873" s="73"/>
      <c r="W873" s="73"/>
      <c r="X873" s="73"/>
      <c r="Y873" s="73"/>
      <c r="Z873" s="73"/>
      <c r="AA873" s="73"/>
      <c r="AB873" s="73"/>
    </row>
    <row r="874">
      <c r="A874" s="73"/>
      <c r="B874" s="73">
        <v>60994.168</v>
      </c>
      <c r="C874" s="73">
        <v>7878169.02116871</v>
      </c>
      <c r="D874" s="73">
        <v>513639.864501068</v>
      </c>
      <c r="E874" s="73">
        <v>368637.638872362</v>
      </c>
      <c r="F874" s="73"/>
      <c r="G874" s="73"/>
      <c r="H874" s="73"/>
      <c r="I874" s="73"/>
      <c r="J874" s="73"/>
      <c r="K874" s="73"/>
      <c r="L874" s="73"/>
      <c r="M874" s="73"/>
      <c r="N874" s="73"/>
      <c r="O874" s="73"/>
      <c r="P874" s="73"/>
      <c r="Q874" s="73"/>
      <c r="R874" s="73"/>
      <c r="S874" s="73"/>
      <c r="T874" s="73"/>
      <c r="U874" s="73"/>
      <c r="V874" s="73"/>
      <c r="W874" s="73"/>
      <c r="X874" s="73"/>
      <c r="Y874" s="73"/>
      <c r="Z874" s="73"/>
      <c r="AA874" s="73"/>
      <c r="AB874" s="73"/>
    </row>
    <row r="875">
      <c r="A875" s="73"/>
      <c r="B875" s="73">
        <v>61131.333</v>
      </c>
      <c r="C875" s="73">
        <v>7902787.0504849</v>
      </c>
      <c r="D875" s="73">
        <v>517181.981998169</v>
      </c>
      <c r="E875" s="73">
        <v>369818.706496606</v>
      </c>
      <c r="F875" s="73"/>
      <c r="G875" s="73"/>
      <c r="H875" s="73"/>
      <c r="I875" s="73"/>
      <c r="J875" s="73"/>
      <c r="K875" s="73"/>
      <c r="L875" s="73"/>
      <c r="M875" s="73"/>
      <c r="N875" s="73"/>
      <c r="O875" s="73"/>
      <c r="P875" s="73"/>
      <c r="Q875" s="73"/>
      <c r="R875" s="73"/>
      <c r="S875" s="73"/>
      <c r="T875" s="73"/>
      <c r="U875" s="73"/>
      <c r="V875" s="73"/>
      <c r="W875" s="73"/>
      <c r="X875" s="73"/>
      <c r="Y875" s="73"/>
      <c r="Z875" s="73"/>
      <c r="AA875" s="73"/>
      <c r="AB875" s="73"/>
    </row>
    <row r="876">
      <c r="A876" s="73"/>
      <c r="B876" s="73">
        <v>61268.652</v>
      </c>
      <c r="C876" s="73">
        <v>7927452.97479975</v>
      </c>
      <c r="D876" s="73">
        <v>520740.837999085</v>
      </c>
      <c r="E876" s="73">
        <v>371002.062872727</v>
      </c>
      <c r="F876" s="73"/>
      <c r="G876" s="73"/>
      <c r="H876" s="73"/>
      <c r="I876" s="73"/>
      <c r="J876" s="73"/>
      <c r="K876" s="73"/>
      <c r="L876" s="73"/>
      <c r="M876" s="73"/>
      <c r="N876" s="73"/>
      <c r="O876" s="73"/>
      <c r="P876" s="73"/>
      <c r="Q876" s="73"/>
      <c r="R876" s="73"/>
      <c r="S876" s="73"/>
      <c r="T876" s="73"/>
      <c r="U876" s="73"/>
      <c r="V876" s="73"/>
      <c r="W876" s="73"/>
      <c r="X876" s="73"/>
      <c r="Y876" s="73"/>
      <c r="Z876" s="73"/>
      <c r="AA876" s="73"/>
      <c r="AB876" s="73"/>
    </row>
    <row r="877">
      <c r="A877" s="73"/>
      <c r="B877" s="73">
        <v>61406.125</v>
      </c>
      <c r="C877" s="73">
        <v>7952168.85411322</v>
      </c>
      <c r="D877" s="73">
        <v>524316.421</v>
      </c>
      <c r="E877" s="73">
        <v>372187.661148726</v>
      </c>
      <c r="F877" s="73"/>
      <c r="G877" s="73"/>
      <c r="H877" s="73"/>
      <c r="I877" s="73"/>
      <c r="J877" s="73"/>
      <c r="K877" s="73"/>
      <c r="L877" s="73"/>
      <c r="M877" s="73"/>
      <c r="N877" s="73"/>
      <c r="O877" s="73"/>
      <c r="P877" s="73"/>
      <c r="Q877" s="73"/>
      <c r="R877" s="73"/>
      <c r="S877" s="73"/>
      <c r="T877" s="73"/>
      <c r="U877" s="73"/>
      <c r="V877" s="73"/>
      <c r="W877" s="73"/>
      <c r="X877" s="73"/>
      <c r="Y877" s="73"/>
      <c r="Z877" s="73"/>
      <c r="AA877" s="73"/>
      <c r="AB877" s="73"/>
    </row>
    <row r="878">
      <c r="A878" s="73"/>
      <c r="B878" s="73">
        <v>61543.752</v>
      </c>
      <c r="C878" s="73">
        <v>7976932.11342537</v>
      </c>
      <c r="D878" s="73">
        <v>527908.782500915</v>
      </c>
      <c r="E878" s="73">
        <v>373375.542876603</v>
      </c>
      <c r="F878" s="73"/>
      <c r="G878" s="73"/>
      <c r="H878" s="73"/>
      <c r="I878" s="73"/>
      <c r="J878" s="73"/>
      <c r="K878" s="73"/>
      <c r="L878" s="73"/>
      <c r="M878" s="73"/>
      <c r="N878" s="73"/>
      <c r="O878" s="73"/>
      <c r="P878" s="73"/>
      <c r="Q878" s="73"/>
      <c r="R878" s="73"/>
      <c r="S878" s="73"/>
      <c r="T878" s="73"/>
      <c r="U878" s="73"/>
      <c r="V878" s="73"/>
      <c r="W878" s="73"/>
      <c r="X878" s="73"/>
      <c r="Y878" s="73"/>
      <c r="Z878" s="73"/>
      <c r="AA878" s="73"/>
      <c r="AB878" s="73"/>
    </row>
    <row r="879">
      <c r="A879" s="73"/>
      <c r="B879" s="73">
        <v>61681.533</v>
      </c>
      <c r="C879" s="73">
        <v>8001744.81273615</v>
      </c>
      <c r="D879" s="73">
        <v>531517.986498016</v>
      </c>
      <c r="E879" s="73">
        <v>374565.713356356</v>
      </c>
      <c r="F879" s="73"/>
      <c r="G879" s="73"/>
      <c r="H879" s="73"/>
      <c r="I879" s="73"/>
      <c r="J879" s="73"/>
      <c r="K879" s="73"/>
      <c r="L879" s="73"/>
      <c r="M879" s="73"/>
      <c r="N879" s="73"/>
      <c r="O879" s="73"/>
      <c r="P879" s="73"/>
      <c r="Q879" s="73"/>
      <c r="R879" s="73"/>
      <c r="S879" s="73"/>
      <c r="T879" s="73"/>
      <c r="U879" s="73"/>
      <c r="V879" s="73"/>
      <c r="W879" s="73"/>
      <c r="X879" s="73"/>
      <c r="Y879" s="73"/>
      <c r="Z879" s="73"/>
      <c r="AA879" s="73"/>
      <c r="AB879" s="73"/>
    </row>
    <row r="880">
      <c r="A880" s="73"/>
      <c r="B880" s="73">
        <v>61819.468</v>
      </c>
      <c r="C880" s="73">
        <v>8026605.4070456</v>
      </c>
      <c r="D880" s="73">
        <v>535144.004498932</v>
      </c>
      <c r="E880" s="73">
        <v>375758.141211986</v>
      </c>
      <c r="F880" s="73"/>
      <c r="G880" s="73"/>
      <c r="H880" s="73"/>
      <c r="I880" s="73"/>
      <c r="J880" s="73"/>
      <c r="K880" s="73"/>
      <c r="L880" s="73"/>
      <c r="M880" s="73"/>
      <c r="N880" s="73"/>
      <c r="O880" s="73"/>
      <c r="P880" s="73"/>
      <c r="Q880" s="73"/>
      <c r="R880" s="73"/>
      <c r="S880" s="73"/>
      <c r="T880" s="73"/>
      <c r="U880" s="73"/>
      <c r="V880" s="73"/>
      <c r="W880" s="73"/>
      <c r="X880" s="73"/>
      <c r="Y880" s="73"/>
      <c r="Z880" s="73"/>
      <c r="AA880" s="73"/>
      <c r="AB880" s="73"/>
    </row>
    <row r="881">
      <c r="A881" s="73"/>
      <c r="B881" s="73">
        <v>61957.557</v>
      </c>
      <c r="C881" s="73">
        <v>8051515.44135368</v>
      </c>
      <c r="D881" s="73">
        <v>538786.916499847</v>
      </c>
      <c r="E881" s="73">
        <v>376952.857819494</v>
      </c>
      <c r="F881" s="73"/>
      <c r="G881" s="73"/>
      <c r="H881" s="73"/>
      <c r="I881" s="73"/>
      <c r="J881" s="73"/>
      <c r="K881" s="73"/>
      <c r="L881" s="73"/>
      <c r="M881" s="73"/>
      <c r="N881" s="73"/>
      <c r="O881" s="73"/>
      <c r="P881" s="73"/>
      <c r="Q881" s="73"/>
      <c r="R881" s="73"/>
      <c r="S881" s="73"/>
      <c r="T881" s="73"/>
      <c r="U881" s="73"/>
      <c r="V881" s="73"/>
      <c r="W881" s="73"/>
      <c r="X881" s="73"/>
      <c r="Y881" s="73"/>
      <c r="Z881" s="73"/>
      <c r="AA881" s="73"/>
      <c r="AB881" s="73"/>
    </row>
    <row r="882">
      <c r="A882" s="73"/>
      <c r="B882" s="73">
        <v>62095.8</v>
      </c>
      <c r="C882" s="73">
        <v>8076473.88566041</v>
      </c>
      <c r="D882" s="73">
        <v>542446.802500763</v>
      </c>
      <c r="E882" s="73">
        <v>378149.842402879</v>
      </c>
      <c r="F882" s="73"/>
      <c r="G882" s="73"/>
      <c r="H882" s="73"/>
      <c r="I882" s="73"/>
      <c r="J882" s="73"/>
      <c r="K882" s="73"/>
      <c r="L882" s="73"/>
      <c r="M882" s="73"/>
      <c r="N882" s="73"/>
      <c r="O882" s="73"/>
      <c r="P882" s="73"/>
      <c r="Q882" s="73"/>
      <c r="R882" s="73"/>
      <c r="S882" s="73"/>
      <c r="T882" s="73"/>
      <c r="U882" s="73"/>
      <c r="V882" s="73"/>
      <c r="W882" s="73"/>
      <c r="X882" s="73"/>
      <c r="Y882" s="73"/>
      <c r="Z882" s="73"/>
      <c r="AA882" s="73"/>
      <c r="AB882" s="73"/>
    </row>
    <row r="883">
      <c r="A883" s="73"/>
      <c r="B883" s="73">
        <v>62234.197</v>
      </c>
      <c r="C883" s="73">
        <v>8101481.25496578</v>
      </c>
      <c r="D883" s="73">
        <v>546123.655497864</v>
      </c>
      <c r="E883" s="73">
        <v>379349.11573814</v>
      </c>
      <c r="F883" s="73"/>
      <c r="G883" s="73"/>
      <c r="H883" s="73"/>
      <c r="I883" s="73"/>
      <c r="J883" s="73"/>
      <c r="K883" s="73"/>
      <c r="L883" s="73"/>
      <c r="M883" s="73"/>
      <c r="N883" s="73"/>
      <c r="O883" s="73"/>
      <c r="P883" s="73"/>
      <c r="Q883" s="73"/>
      <c r="R883" s="73"/>
      <c r="S883" s="73"/>
      <c r="T883" s="73"/>
      <c r="U883" s="73"/>
      <c r="V883" s="73"/>
      <c r="W883" s="73"/>
      <c r="X883" s="73"/>
      <c r="Y883" s="73"/>
      <c r="Z883" s="73"/>
      <c r="AA883" s="73"/>
      <c r="AB883" s="73"/>
    </row>
    <row r="884">
      <c r="A884" s="73"/>
      <c r="B884" s="73">
        <v>62372.748</v>
      </c>
      <c r="C884" s="73">
        <v>8126538.57926977</v>
      </c>
      <c r="D884" s="73">
        <v>549817.486998779</v>
      </c>
      <c r="E884" s="73">
        <v>380550.667225278</v>
      </c>
      <c r="F884" s="73"/>
      <c r="G884" s="73"/>
      <c r="H884" s="73"/>
      <c r="I884" s="73"/>
      <c r="J884" s="73"/>
      <c r="K884" s="73"/>
      <c r="L884" s="73"/>
      <c r="M884" s="73"/>
      <c r="N884" s="73"/>
      <c r="O884" s="73"/>
      <c r="P884" s="73"/>
      <c r="Q884" s="73"/>
      <c r="R884" s="73"/>
      <c r="S884" s="73"/>
      <c r="T884" s="73"/>
      <c r="U884" s="73"/>
      <c r="V884" s="73"/>
      <c r="W884" s="73"/>
      <c r="X884" s="73"/>
      <c r="Y884" s="73"/>
      <c r="Z884" s="73"/>
      <c r="AA884" s="73"/>
      <c r="AB884" s="73"/>
    </row>
    <row r="885">
      <c r="A885" s="73"/>
      <c r="B885" s="73">
        <v>62511.453</v>
      </c>
      <c r="C885" s="73">
        <v>8151643.28357244</v>
      </c>
      <c r="D885" s="73">
        <v>553528.363499695</v>
      </c>
      <c r="E885" s="73">
        <v>381754.486688294</v>
      </c>
      <c r="F885" s="73"/>
      <c r="G885" s="73"/>
      <c r="H885" s="73"/>
      <c r="I885" s="73"/>
      <c r="J885" s="73"/>
      <c r="K885" s="73"/>
      <c r="L885" s="73"/>
      <c r="M885" s="73"/>
      <c r="N885" s="73"/>
      <c r="O885" s="73"/>
      <c r="P885" s="73"/>
      <c r="Q885" s="73"/>
      <c r="R885" s="73"/>
      <c r="S885" s="73"/>
      <c r="T885" s="73"/>
      <c r="U885" s="73"/>
      <c r="V885" s="73"/>
      <c r="W885" s="73"/>
      <c r="X885" s="73"/>
      <c r="Y885" s="73"/>
      <c r="Z885" s="73"/>
      <c r="AA885" s="73"/>
      <c r="AB885" s="73"/>
    </row>
    <row r="886">
      <c r="A886" s="73"/>
      <c r="B886" s="73">
        <v>62650.312</v>
      </c>
      <c r="C886" s="73">
        <v>8176797.94287372</v>
      </c>
      <c r="D886" s="73">
        <v>557256.29600061</v>
      </c>
      <c r="E886" s="73">
        <v>382960.615679185</v>
      </c>
      <c r="F886" s="73"/>
      <c r="G886" s="73"/>
      <c r="H886" s="73"/>
      <c r="I886" s="73"/>
      <c r="J886" s="73"/>
      <c r="K886" s="73"/>
      <c r="L886" s="73"/>
      <c r="M886" s="73"/>
      <c r="N886" s="73"/>
      <c r="O886" s="73"/>
      <c r="P886" s="73"/>
      <c r="Q886" s="73"/>
      <c r="R886" s="73"/>
      <c r="S886" s="73"/>
      <c r="T886" s="73"/>
      <c r="U886" s="73"/>
      <c r="V886" s="73"/>
      <c r="W886" s="73"/>
      <c r="X886" s="73"/>
      <c r="Y886" s="73"/>
      <c r="Z886" s="73"/>
      <c r="AA886" s="73"/>
      <c r="AB886" s="73"/>
    </row>
    <row r="887">
      <c r="A887" s="73"/>
      <c r="B887" s="73">
        <v>62789.325</v>
      </c>
      <c r="C887" s="73">
        <v>8202001.52717364</v>
      </c>
      <c r="D887" s="73">
        <v>561001.404997711</v>
      </c>
      <c r="E887" s="73">
        <v>384169.002045955</v>
      </c>
      <c r="F887" s="73"/>
      <c r="G887" s="73"/>
      <c r="H887" s="73"/>
      <c r="I887" s="73"/>
      <c r="J887" s="73"/>
      <c r="K887" s="73"/>
      <c r="L887" s="73"/>
      <c r="M887" s="73"/>
      <c r="N887" s="73"/>
      <c r="O887" s="73"/>
      <c r="P887" s="73"/>
      <c r="Q887" s="73"/>
      <c r="R887" s="73"/>
      <c r="S887" s="73"/>
      <c r="T887" s="73"/>
      <c r="U887" s="73"/>
      <c r="V887" s="73"/>
      <c r="W887" s="73"/>
      <c r="X887" s="73"/>
      <c r="Y887" s="73"/>
      <c r="Z887" s="73"/>
      <c r="AA887" s="73"/>
      <c r="AB887" s="73"/>
    </row>
    <row r="888">
      <c r="A888" s="73"/>
      <c r="B888" s="73">
        <v>62928.492</v>
      </c>
      <c r="C888" s="73">
        <v>8227254.0364722</v>
      </c>
      <c r="D888" s="73">
        <v>564763.643498627</v>
      </c>
      <c r="E888" s="73">
        <v>385379.677164601</v>
      </c>
      <c r="F888" s="73"/>
      <c r="G888" s="73"/>
      <c r="H888" s="73"/>
      <c r="I888" s="73"/>
      <c r="J888" s="73"/>
      <c r="K888" s="73"/>
      <c r="L888" s="73"/>
      <c r="M888" s="73"/>
      <c r="N888" s="73"/>
      <c r="O888" s="73"/>
      <c r="P888" s="73"/>
      <c r="Q888" s="73"/>
      <c r="R888" s="73"/>
      <c r="S888" s="73"/>
      <c r="T888" s="73"/>
      <c r="U888" s="73"/>
      <c r="V888" s="73"/>
      <c r="W888" s="73"/>
      <c r="X888" s="73"/>
      <c r="Y888" s="73"/>
      <c r="Z888" s="73"/>
      <c r="AA888" s="73"/>
      <c r="AB888" s="73"/>
    </row>
    <row r="889">
      <c r="A889" s="73"/>
      <c r="B889" s="73">
        <v>63067.813</v>
      </c>
      <c r="C889" s="73">
        <v>8252555.98576939</v>
      </c>
      <c r="D889" s="73">
        <v>568543.055999542</v>
      </c>
      <c r="E889" s="73">
        <v>386592.672411121</v>
      </c>
      <c r="F889" s="73"/>
      <c r="G889" s="73"/>
      <c r="H889" s="73"/>
      <c r="I889" s="73"/>
      <c r="J889" s="73"/>
      <c r="K889" s="73"/>
      <c r="L889" s="73"/>
      <c r="M889" s="73"/>
      <c r="N889" s="73"/>
      <c r="O889" s="73"/>
      <c r="P889" s="73"/>
      <c r="Q889" s="73"/>
      <c r="R889" s="73"/>
      <c r="S889" s="73"/>
      <c r="T889" s="73"/>
      <c r="U889" s="73"/>
      <c r="V889" s="73"/>
      <c r="W889" s="73"/>
      <c r="X889" s="73"/>
      <c r="Y889" s="73"/>
      <c r="Z889" s="73"/>
      <c r="AA889" s="73"/>
      <c r="AB889" s="73"/>
    </row>
    <row r="890">
      <c r="A890" s="73"/>
      <c r="B890" s="73">
        <v>63207.288</v>
      </c>
      <c r="C890" s="73">
        <v>8277906.86006522</v>
      </c>
      <c r="D890" s="73">
        <v>572339.682500458</v>
      </c>
      <c r="E890" s="73">
        <v>387807.92503352</v>
      </c>
      <c r="F890" s="73"/>
      <c r="G890" s="73"/>
      <c r="H890" s="73"/>
      <c r="I890" s="73"/>
      <c r="J890" s="73"/>
      <c r="K890" s="73"/>
      <c r="L890" s="73"/>
      <c r="M890" s="73"/>
      <c r="N890" s="73"/>
      <c r="O890" s="73"/>
      <c r="P890" s="73"/>
      <c r="Q890" s="73"/>
      <c r="R890" s="73"/>
      <c r="S890" s="73"/>
      <c r="T890" s="73"/>
      <c r="U890" s="73"/>
      <c r="V890" s="73"/>
      <c r="W890" s="73"/>
      <c r="X890" s="73"/>
      <c r="Y890" s="73"/>
      <c r="Z890" s="73"/>
      <c r="AA890" s="73"/>
      <c r="AB890" s="73"/>
    </row>
    <row r="891">
      <c r="A891" s="73"/>
      <c r="B891" s="73">
        <v>63346.917</v>
      </c>
      <c r="C891" s="73">
        <v>8303306.65935969</v>
      </c>
      <c r="D891" s="73">
        <v>576153.600497559</v>
      </c>
      <c r="E891" s="73">
        <v>389025.476583795</v>
      </c>
      <c r="F891" s="73"/>
      <c r="G891" s="73"/>
      <c r="H891" s="73"/>
      <c r="I891" s="73"/>
      <c r="J891" s="73"/>
      <c r="K891" s="73"/>
      <c r="L891" s="73"/>
      <c r="M891" s="73"/>
      <c r="N891" s="73"/>
      <c r="O891" s="73"/>
      <c r="P891" s="73"/>
      <c r="Q891" s="73"/>
      <c r="R891" s="73"/>
      <c r="S891" s="73"/>
      <c r="T891" s="73"/>
      <c r="U891" s="73"/>
      <c r="V891" s="73"/>
      <c r="W891" s="73"/>
      <c r="X891" s="73"/>
      <c r="Y891" s="73"/>
      <c r="Z891" s="73"/>
      <c r="AA891" s="73"/>
      <c r="AB891" s="73"/>
    </row>
    <row r="892">
      <c r="A892" s="73"/>
      <c r="B892" s="73">
        <v>63486.7</v>
      </c>
      <c r="C892" s="73">
        <v>8328755.89865279</v>
      </c>
      <c r="D892" s="73">
        <v>579984.777498474</v>
      </c>
      <c r="E892" s="73">
        <v>390245.327485945</v>
      </c>
      <c r="F892" s="73"/>
      <c r="G892" s="73"/>
      <c r="H892" s="73"/>
      <c r="I892" s="73"/>
      <c r="J892" s="73"/>
      <c r="K892" s="73"/>
      <c r="L892" s="73"/>
      <c r="M892" s="73"/>
      <c r="N892" s="73"/>
      <c r="O892" s="73"/>
      <c r="P892" s="73"/>
      <c r="Q892" s="73"/>
      <c r="R892" s="73"/>
      <c r="S892" s="73"/>
      <c r="T892" s="73"/>
      <c r="U892" s="73"/>
      <c r="V892" s="73"/>
      <c r="W892" s="73"/>
      <c r="X892" s="73"/>
      <c r="Y892" s="73"/>
      <c r="Z892" s="73"/>
      <c r="AA892" s="73"/>
      <c r="AB892" s="73"/>
    </row>
    <row r="893">
      <c r="A893" s="73"/>
      <c r="B893" s="73">
        <v>63626.637</v>
      </c>
      <c r="C893" s="73">
        <v>8354254.57794452</v>
      </c>
      <c r="D893" s="73">
        <v>583833.32149939</v>
      </c>
      <c r="E893" s="73">
        <v>391467.467139972</v>
      </c>
      <c r="F893" s="73"/>
      <c r="G893" s="73"/>
      <c r="H893" s="73"/>
      <c r="I893" s="73"/>
      <c r="J893" s="73"/>
      <c r="K893" s="73"/>
      <c r="L893" s="73"/>
      <c r="M893" s="73"/>
      <c r="N893" s="73"/>
      <c r="O893" s="73"/>
      <c r="P893" s="73"/>
      <c r="Q893" s="73"/>
      <c r="R893" s="73"/>
      <c r="S893" s="73"/>
      <c r="T893" s="73"/>
      <c r="U893" s="73"/>
      <c r="V893" s="73"/>
      <c r="W893" s="73"/>
      <c r="X893" s="73"/>
      <c r="Y893" s="73"/>
      <c r="Z893" s="73"/>
      <c r="AA893" s="73"/>
      <c r="AB893" s="73"/>
    </row>
    <row r="894">
      <c r="A894" s="73"/>
      <c r="B894" s="73">
        <v>63766.728</v>
      </c>
      <c r="C894" s="73">
        <v>8379802.69723487</v>
      </c>
      <c r="D894" s="73">
        <v>587699.206500305</v>
      </c>
      <c r="E894" s="73">
        <v>392691.884945876</v>
      </c>
      <c r="F894" s="73"/>
      <c r="G894" s="73"/>
      <c r="H894" s="73"/>
      <c r="I894" s="73"/>
      <c r="J894" s="73"/>
      <c r="K894" s="73"/>
      <c r="L894" s="73"/>
      <c r="M894" s="73"/>
      <c r="N894" s="73"/>
      <c r="O894" s="73"/>
      <c r="P894" s="73"/>
      <c r="Q894" s="73"/>
      <c r="R894" s="73"/>
      <c r="S894" s="73"/>
      <c r="T894" s="73"/>
      <c r="U894" s="73"/>
      <c r="V894" s="73"/>
      <c r="W894" s="73"/>
      <c r="X894" s="73"/>
      <c r="Y894" s="73"/>
      <c r="Z894" s="73"/>
      <c r="AA894" s="73"/>
      <c r="AB894" s="73"/>
    </row>
    <row r="895">
      <c r="A895" s="73"/>
      <c r="B895" s="73">
        <v>63906.973</v>
      </c>
      <c r="C895" s="73">
        <v>8405399.22652388</v>
      </c>
      <c r="D895" s="73">
        <v>591582.542997406</v>
      </c>
      <c r="E895" s="73">
        <v>393918.622879655</v>
      </c>
      <c r="F895" s="73"/>
      <c r="G895" s="73"/>
      <c r="H895" s="73"/>
      <c r="I895" s="73"/>
      <c r="J895" s="73"/>
      <c r="K895" s="73"/>
      <c r="L895" s="73"/>
      <c r="M895" s="73"/>
      <c r="N895" s="73"/>
      <c r="O895" s="73"/>
      <c r="P895" s="73"/>
      <c r="Q895" s="73"/>
      <c r="R895" s="73"/>
      <c r="S895" s="73"/>
      <c r="T895" s="73"/>
      <c r="U895" s="73"/>
      <c r="V895" s="73"/>
      <c r="W895" s="73"/>
      <c r="X895" s="73"/>
      <c r="Y895" s="73"/>
      <c r="Z895" s="73"/>
      <c r="AA895" s="73"/>
      <c r="AB895" s="73"/>
    </row>
    <row r="896">
      <c r="A896" s="73"/>
      <c r="B896" s="73">
        <v>64047.372</v>
      </c>
      <c r="C896" s="73">
        <v>8431046.74081147</v>
      </c>
      <c r="D896" s="73">
        <v>595483.333998322</v>
      </c>
      <c r="E896" s="73">
        <v>395147.638965311</v>
      </c>
      <c r="F896" s="73"/>
      <c r="G896" s="73"/>
      <c r="H896" s="73"/>
      <c r="I896" s="73"/>
      <c r="J896" s="73"/>
      <c r="K896" s="73"/>
      <c r="L896" s="73"/>
      <c r="M896" s="73"/>
      <c r="N896" s="73"/>
      <c r="O896" s="73"/>
      <c r="P896" s="73"/>
      <c r="Q896" s="73"/>
      <c r="R896" s="73"/>
      <c r="S896" s="73"/>
      <c r="T896" s="73"/>
      <c r="U896" s="73"/>
      <c r="V896" s="73"/>
      <c r="W896" s="73"/>
      <c r="X896" s="73"/>
      <c r="Y896" s="73"/>
      <c r="Z896" s="73"/>
      <c r="AA896" s="73"/>
      <c r="AB896" s="73"/>
    </row>
    <row r="897">
      <c r="A897" s="73"/>
      <c r="B897" s="73">
        <v>64187.925</v>
      </c>
      <c r="C897" s="73">
        <v>8456742.15009773</v>
      </c>
      <c r="D897" s="73">
        <v>599401.583499237</v>
      </c>
      <c r="E897" s="73">
        <v>396378.954402843</v>
      </c>
      <c r="F897" s="73"/>
      <c r="G897" s="73"/>
      <c r="H897" s="73"/>
      <c r="I897" s="73"/>
      <c r="J897" s="73"/>
      <c r="K897" s="73"/>
      <c r="L897" s="73"/>
      <c r="M897" s="73"/>
      <c r="N897" s="73"/>
      <c r="O897" s="73"/>
      <c r="P897" s="73"/>
      <c r="Q897" s="73"/>
      <c r="R897" s="73"/>
      <c r="S897" s="73"/>
      <c r="T897" s="73"/>
      <c r="U897" s="73"/>
      <c r="V897" s="73"/>
      <c r="W897" s="73"/>
      <c r="X897" s="73"/>
      <c r="Y897" s="73"/>
      <c r="Z897" s="73"/>
      <c r="AA897" s="73"/>
      <c r="AB897" s="73"/>
    </row>
    <row r="898">
      <c r="A898" s="73"/>
      <c r="B898" s="73">
        <v>64328.632</v>
      </c>
      <c r="C898" s="73">
        <v>8482487.5143826</v>
      </c>
      <c r="D898" s="73">
        <v>603337.364500153</v>
      </c>
      <c r="E898" s="73">
        <v>397612.600144248</v>
      </c>
      <c r="F898" s="73"/>
      <c r="G898" s="73"/>
      <c r="H898" s="73"/>
      <c r="I898" s="73"/>
      <c r="J898" s="73"/>
      <c r="K898" s="73"/>
      <c r="L898" s="73"/>
      <c r="M898" s="73"/>
      <c r="N898" s="73"/>
      <c r="O898" s="73"/>
      <c r="P898" s="73"/>
      <c r="Q898" s="73"/>
      <c r="R898" s="73"/>
      <c r="S898" s="73"/>
      <c r="T898" s="73"/>
      <c r="U898" s="73"/>
      <c r="V898" s="73"/>
      <c r="W898" s="73"/>
      <c r="X898" s="73"/>
      <c r="Y898" s="73"/>
      <c r="Z898" s="73"/>
      <c r="AA898" s="73"/>
      <c r="AB898" s="73"/>
    </row>
    <row r="899">
      <c r="A899" s="73"/>
      <c r="B899" s="73">
        <v>64469.493</v>
      </c>
      <c r="C899" s="73">
        <v>8508283.34866607</v>
      </c>
      <c r="D899" s="73">
        <v>607290.682001068</v>
      </c>
      <c r="E899" s="73">
        <v>398848.503261532</v>
      </c>
      <c r="F899" s="73"/>
      <c r="G899" s="73"/>
      <c r="H899" s="73"/>
      <c r="I899" s="73"/>
      <c r="J899" s="73"/>
      <c r="K899" s="73"/>
      <c r="L899" s="73"/>
      <c r="M899" s="73"/>
      <c r="N899" s="73"/>
      <c r="O899" s="73"/>
      <c r="P899" s="73"/>
      <c r="Q899" s="73"/>
      <c r="R899" s="73"/>
      <c r="S899" s="73"/>
      <c r="T899" s="73"/>
      <c r="U899" s="73"/>
      <c r="V899" s="73"/>
      <c r="W899" s="73"/>
      <c r="X899" s="73"/>
      <c r="Y899" s="73"/>
      <c r="Z899" s="73"/>
      <c r="AA899" s="73"/>
      <c r="AB899" s="73"/>
    </row>
    <row r="900">
      <c r="A900" s="73"/>
      <c r="B900" s="73">
        <v>64610.508</v>
      </c>
      <c r="C900" s="73">
        <v>8534127.5929482</v>
      </c>
      <c r="D900" s="73">
        <v>611261.615998169</v>
      </c>
      <c r="E900" s="73">
        <v>400086.74728269</v>
      </c>
      <c r="F900" s="73"/>
      <c r="G900" s="73"/>
      <c r="H900" s="73"/>
      <c r="I900" s="73"/>
      <c r="J900" s="73"/>
      <c r="K900" s="73"/>
      <c r="L900" s="73"/>
      <c r="M900" s="73"/>
      <c r="N900" s="73"/>
      <c r="O900" s="73"/>
      <c r="P900" s="73"/>
      <c r="Q900" s="73"/>
      <c r="R900" s="73"/>
      <c r="S900" s="73"/>
      <c r="T900" s="73"/>
      <c r="U900" s="73"/>
      <c r="V900" s="73"/>
      <c r="W900" s="73"/>
      <c r="X900" s="73"/>
      <c r="Y900" s="73"/>
      <c r="Z900" s="73"/>
      <c r="AA900" s="73"/>
      <c r="AB900" s="73"/>
    </row>
    <row r="901">
      <c r="A901" s="73"/>
      <c r="B901" s="73">
        <v>64751.677</v>
      </c>
      <c r="C901" s="73">
        <v>8560021.79222894</v>
      </c>
      <c r="D901" s="73">
        <v>615250.166499084</v>
      </c>
      <c r="E901" s="73">
        <v>401327.269455725</v>
      </c>
      <c r="F901" s="73"/>
      <c r="G901" s="73"/>
      <c r="H901" s="73"/>
      <c r="I901" s="73"/>
      <c r="J901" s="73"/>
      <c r="K901" s="73"/>
      <c r="L901" s="73"/>
      <c r="M901" s="73"/>
      <c r="N901" s="73"/>
      <c r="O901" s="73"/>
      <c r="P901" s="73"/>
      <c r="Q901" s="73"/>
      <c r="R901" s="73"/>
      <c r="S901" s="73"/>
      <c r="T901" s="73"/>
      <c r="U901" s="73"/>
      <c r="V901" s="73"/>
      <c r="W901" s="73"/>
      <c r="X901" s="73"/>
      <c r="Y901" s="73"/>
      <c r="Z901" s="73"/>
      <c r="AA901" s="73"/>
      <c r="AB901" s="73"/>
    </row>
    <row r="902">
      <c r="A902" s="73"/>
      <c r="B902" s="73">
        <v>64893.0</v>
      </c>
      <c r="C902" s="73">
        <v>8585965.4315083</v>
      </c>
      <c r="D902" s="73">
        <v>619256.3735</v>
      </c>
      <c r="E902" s="73">
        <v>402570.090980635</v>
      </c>
      <c r="F902" s="73"/>
      <c r="G902" s="73"/>
      <c r="H902" s="73"/>
      <c r="I902" s="73"/>
      <c r="J902" s="73"/>
      <c r="K902" s="73"/>
      <c r="L902" s="73"/>
      <c r="M902" s="73"/>
      <c r="N902" s="73"/>
      <c r="O902" s="73"/>
      <c r="P902" s="73"/>
      <c r="Q902" s="73"/>
      <c r="R902" s="73"/>
      <c r="S902" s="73"/>
      <c r="T902" s="73"/>
      <c r="U902" s="73"/>
      <c r="V902" s="73"/>
      <c r="W902" s="73"/>
      <c r="X902" s="73"/>
      <c r="Y902" s="73"/>
      <c r="Z902" s="73"/>
      <c r="AA902" s="73"/>
      <c r="AB902" s="73"/>
    </row>
    <row r="903">
      <c r="A903" s="73"/>
      <c r="B903" s="73">
        <v>65034.477</v>
      </c>
      <c r="C903" s="73">
        <v>8611959.54078627</v>
      </c>
      <c r="D903" s="73">
        <v>623280.272000916</v>
      </c>
      <c r="E903" s="73">
        <v>403815.24280942</v>
      </c>
      <c r="F903" s="73"/>
      <c r="G903" s="73"/>
      <c r="H903" s="73"/>
      <c r="I903" s="73"/>
      <c r="J903" s="73"/>
      <c r="K903" s="73"/>
      <c r="L903" s="73"/>
      <c r="M903" s="73"/>
      <c r="N903" s="73"/>
      <c r="O903" s="73"/>
      <c r="P903" s="73"/>
      <c r="Q903" s="73"/>
      <c r="R903" s="73"/>
      <c r="S903" s="73"/>
      <c r="T903" s="73"/>
      <c r="U903" s="73"/>
      <c r="V903" s="73"/>
      <c r="W903" s="73"/>
      <c r="X903" s="73"/>
      <c r="Y903" s="73"/>
      <c r="Z903" s="73"/>
      <c r="AA903" s="73"/>
      <c r="AB903" s="73"/>
    </row>
    <row r="904">
      <c r="A904" s="73"/>
      <c r="B904" s="73">
        <v>65176.108</v>
      </c>
      <c r="C904" s="73">
        <v>8638002.57506287</v>
      </c>
      <c r="D904" s="73">
        <v>627321.951998016</v>
      </c>
      <c r="E904" s="73">
        <v>405062.683390081</v>
      </c>
      <c r="F904" s="73"/>
      <c r="G904" s="73"/>
      <c r="H904" s="73"/>
      <c r="I904" s="73"/>
      <c r="J904" s="73"/>
      <c r="K904" s="73"/>
      <c r="L904" s="73"/>
      <c r="M904" s="73"/>
      <c r="N904" s="73"/>
      <c r="O904" s="73"/>
      <c r="P904" s="73"/>
      <c r="Q904" s="73"/>
      <c r="R904" s="73"/>
      <c r="S904" s="73"/>
      <c r="T904" s="73"/>
      <c r="U904" s="73"/>
      <c r="V904" s="73"/>
      <c r="W904" s="73"/>
      <c r="X904" s="73"/>
      <c r="Y904" s="73"/>
      <c r="Z904" s="73"/>
      <c r="AA904" s="73"/>
      <c r="AB904" s="73"/>
    </row>
    <row r="905">
      <c r="A905" s="73"/>
      <c r="B905" s="73">
        <v>65317.893</v>
      </c>
      <c r="C905" s="73">
        <v>8664095.0493381</v>
      </c>
      <c r="D905" s="73">
        <v>631381.407998932</v>
      </c>
      <c r="E905" s="73">
        <v>406312.454274617</v>
      </c>
      <c r="F905" s="73"/>
      <c r="G905" s="73"/>
      <c r="H905" s="73"/>
      <c r="I905" s="73"/>
      <c r="J905" s="73"/>
      <c r="K905" s="73"/>
      <c r="L905" s="73"/>
      <c r="M905" s="73"/>
      <c r="N905" s="73"/>
      <c r="O905" s="73"/>
      <c r="P905" s="73"/>
      <c r="Q905" s="73"/>
      <c r="R905" s="73"/>
      <c r="S905" s="73"/>
      <c r="T905" s="73"/>
      <c r="U905" s="73"/>
      <c r="V905" s="73"/>
      <c r="W905" s="73"/>
      <c r="X905" s="73"/>
      <c r="Y905" s="73"/>
      <c r="Z905" s="73"/>
      <c r="AA905" s="73"/>
      <c r="AB905" s="73"/>
    </row>
    <row r="906">
      <c r="A906" s="73"/>
      <c r="B906" s="73">
        <v>65459.832</v>
      </c>
      <c r="C906" s="73">
        <v>8690238.50861192</v>
      </c>
      <c r="D906" s="73">
        <v>635458.680499847</v>
      </c>
      <c r="E906" s="73">
        <v>407564.513911028</v>
      </c>
      <c r="F906" s="73"/>
      <c r="G906" s="73"/>
      <c r="H906" s="73"/>
      <c r="I906" s="73"/>
      <c r="J906" s="73"/>
      <c r="K906" s="73"/>
      <c r="L906" s="73"/>
      <c r="M906" s="73"/>
      <c r="N906" s="73"/>
      <c r="O906" s="73"/>
      <c r="P906" s="73"/>
      <c r="Q906" s="73"/>
      <c r="R906" s="73"/>
      <c r="S906" s="73"/>
      <c r="T906" s="73"/>
      <c r="U906" s="73"/>
      <c r="V906" s="73"/>
      <c r="W906" s="73"/>
      <c r="X906" s="73"/>
      <c r="Y906" s="73"/>
      <c r="Z906" s="73"/>
      <c r="AA906" s="73"/>
      <c r="AB906" s="73"/>
    </row>
    <row r="907">
      <c r="A907" s="73"/>
      <c r="B907" s="73">
        <v>65601.925</v>
      </c>
      <c r="C907" s="73">
        <v>8716430.37788439</v>
      </c>
      <c r="D907" s="73">
        <v>639553.769500763</v>
      </c>
      <c r="E907" s="73">
        <v>408818.893675315</v>
      </c>
      <c r="F907" s="73"/>
      <c r="G907" s="73"/>
      <c r="H907" s="73"/>
      <c r="I907" s="73"/>
      <c r="J907" s="73"/>
      <c r="K907" s="73"/>
      <c r="L907" s="73"/>
      <c r="M907" s="73"/>
      <c r="N907" s="73"/>
      <c r="O907" s="73"/>
      <c r="P907" s="73"/>
      <c r="Q907" s="73"/>
      <c r="R907" s="73"/>
      <c r="S907" s="73"/>
      <c r="T907" s="73"/>
      <c r="U907" s="73"/>
      <c r="V907" s="73"/>
      <c r="W907" s="73"/>
      <c r="X907" s="73"/>
      <c r="Y907" s="73"/>
      <c r="Z907" s="73"/>
      <c r="AA907" s="73"/>
      <c r="AB907" s="73"/>
    </row>
    <row r="908">
      <c r="A908" s="73"/>
      <c r="B908" s="73">
        <v>65744.172</v>
      </c>
      <c r="C908" s="73">
        <v>8742673.74715543</v>
      </c>
      <c r="D908" s="73">
        <v>643666.754997864</v>
      </c>
      <c r="E908" s="73">
        <v>410075.582967477</v>
      </c>
      <c r="F908" s="73"/>
      <c r="G908" s="73"/>
      <c r="H908" s="73"/>
      <c r="I908" s="73"/>
      <c r="J908" s="73"/>
      <c r="K908" s="73"/>
      <c r="L908" s="73"/>
      <c r="M908" s="73"/>
      <c r="N908" s="73"/>
      <c r="O908" s="73"/>
      <c r="P908" s="73"/>
      <c r="Q908" s="73"/>
      <c r="R908" s="73"/>
      <c r="S908" s="73"/>
      <c r="T908" s="73"/>
      <c r="U908" s="73"/>
      <c r="V908" s="73"/>
      <c r="W908" s="73"/>
      <c r="X908" s="73"/>
      <c r="Y908" s="73"/>
      <c r="Z908" s="73"/>
      <c r="AA908" s="73"/>
      <c r="AB908" s="73"/>
    </row>
    <row r="909">
      <c r="A909" s="73"/>
      <c r="B909" s="73">
        <v>65886.573</v>
      </c>
      <c r="C909" s="73">
        <v>8768965.52642512</v>
      </c>
      <c r="D909" s="73">
        <v>647797.676998779</v>
      </c>
      <c r="E909" s="73">
        <v>411334.602563513</v>
      </c>
      <c r="F909" s="73"/>
      <c r="G909" s="73"/>
      <c r="H909" s="73"/>
      <c r="I909" s="73"/>
      <c r="J909" s="73"/>
      <c r="K909" s="73"/>
      <c r="L909" s="73"/>
      <c r="M909" s="73"/>
      <c r="N909" s="73"/>
      <c r="O909" s="73"/>
      <c r="P909" s="73"/>
      <c r="Q909" s="73"/>
      <c r="R909" s="73"/>
      <c r="S909" s="73"/>
      <c r="T909" s="73"/>
      <c r="U909" s="73"/>
      <c r="V909" s="73"/>
      <c r="W909" s="73"/>
      <c r="X909" s="73"/>
      <c r="Y909" s="73"/>
      <c r="Z909" s="73"/>
      <c r="AA909" s="73"/>
      <c r="AB909" s="73"/>
    </row>
    <row r="910">
      <c r="A910" s="73"/>
      <c r="B910" s="73">
        <v>66029.128</v>
      </c>
      <c r="C910" s="73">
        <v>8795307.77569342</v>
      </c>
      <c r="D910" s="73">
        <v>651946.534999695</v>
      </c>
      <c r="E910" s="73">
        <v>412595.931687425</v>
      </c>
      <c r="F910" s="73"/>
      <c r="G910" s="73"/>
      <c r="H910" s="73"/>
      <c r="I910" s="73"/>
      <c r="J910" s="73"/>
      <c r="K910" s="73"/>
      <c r="L910" s="73"/>
      <c r="M910" s="73"/>
      <c r="N910" s="73"/>
      <c r="O910" s="73"/>
      <c r="P910" s="73"/>
      <c r="Q910" s="73"/>
      <c r="R910" s="73"/>
      <c r="S910" s="73"/>
      <c r="T910" s="73"/>
      <c r="U910" s="73"/>
      <c r="V910" s="73"/>
      <c r="W910" s="73"/>
      <c r="X910" s="73"/>
      <c r="Y910" s="73"/>
      <c r="Z910" s="73"/>
      <c r="AA910" s="73"/>
      <c r="AB910" s="73"/>
    </row>
    <row r="911">
      <c r="A911" s="73"/>
      <c r="B911" s="73">
        <v>66171.837</v>
      </c>
      <c r="C911" s="73">
        <v>8821700.49496031</v>
      </c>
      <c r="D911" s="73">
        <v>656113.41900061</v>
      </c>
      <c r="E911" s="73">
        <v>413859.570339211</v>
      </c>
      <c r="F911" s="73"/>
      <c r="G911" s="73"/>
      <c r="H911" s="73"/>
      <c r="I911" s="73"/>
      <c r="J911" s="73"/>
      <c r="K911" s="73"/>
      <c r="L911" s="73"/>
      <c r="M911" s="73"/>
      <c r="N911" s="73"/>
      <c r="O911" s="73"/>
      <c r="P911" s="73"/>
      <c r="Q911" s="73"/>
      <c r="R911" s="73"/>
      <c r="S911" s="73"/>
      <c r="T911" s="73"/>
      <c r="U911" s="73"/>
      <c r="V911" s="73"/>
      <c r="W911" s="73"/>
      <c r="X911" s="73"/>
      <c r="Y911" s="73"/>
      <c r="Z911" s="73"/>
      <c r="AA911" s="73"/>
      <c r="AB911" s="73"/>
    </row>
    <row r="912">
      <c r="A912" s="73"/>
      <c r="B912" s="73">
        <v>66314.7</v>
      </c>
      <c r="C912" s="73">
        <v>8848142.65422583</v>
      </c>
      <c r="D912" s="73">
        <v>660298.354997711</v>
      </c>
      <c r="E912" s="73">
        <v>415125.529118873</v>
      </c>
      <c r="F912" s="73"/>
      <c r="G912" s="73"/>
      <c r="H912" s="73"/>
      <c r="I912" s="73"/>
      <c r="J912" s="73"/>
      <c r="K912" s="73"/>
      <c r="L912" s="73"/>
      <c r="M912" s="73"/>
      <c r="N912" s="73"/>
      <c r="O912" s="73"/>
      <c r="P912" s="73"/>
      <c r="Q912" s="73"/>
      <c r="R912" s="73"/>
      <c r="S912" s="73"/>
      <c r="T912" s="73"/>
      <c r="U912" s="73"/>
      <c r="V912" s="73"/>
      <c r="W912" s="73"/>
      <c r="X912" s="73"/>
      <c r="Y912" s="73"/>
      <c r="Z912" s="73"/>
      <c r="AA912" s="73"/>
      <c r="AB912" s="73"/>
    </row>
    <row r="913">
      <c r="A913" s="73"/>
      <c r="B913" s="73">
        <v>66457.717</v>
      </c>
      <c r="C913" s="73">
        <v>8874635.28348994</v>
      </c>
      <c r="D913" s="73">
        <v>664501.311998627</v>
      </c>
      <c r="E913" s="73">
        <v>416393.79742641</v>
      </c>
      <c r="F913" s="73"/>
      <c r="G913" s="73"/>
      <c r="H913" s="73"/>
      <c r="I913" s="73"/>
      <c r="J913" s="73"/>
      <c r="K913" s="73"/>
      <c r="L913" s="73"/>
      <c r="M913" s="73"/>
      <c r="N913" s="73"/>
      <c r="O913" s="73"/>
      <c r="P913" s="73"/>
      <c r="Q913" s="73"/>
      <c r="R913" s="73"/>
      <c r="S913" s="73"/>
      <c r="T913" s="73"/>
      <c r="U913" s="73"/>
      <c r="V913" s="73"/>
      <c r="W913" s="73"/>
      <c r="X913" s="73"/>
      <c r="Y913" s="73"/>
      <c r="Z913" s="73"/>
      <c r="AA913" s="73"/>
      <c r="AB913" s="73"/>
    </row>
    <row r="914">
      <c r="A914" s="73"/>
      <c r="B914" s="73">
        <v>66600.888</v>
      </c>
      <c r="C914" s="73">
        <v>8901177.35275269</v>
      </c>
      <c r="D914" s="73">
        <v>668722.405499542</v>
      </c>
      <c r="E914" s="73">
        <v>417664.396037821</v>
      </c>
      <c r="F914" s="73"/>
      <c r="G914" s="73"/>
      <c r="H914" s="73"/>
      <c r="I914" s="73"/>
      <c r="J914" s="73"/>
      <c r="K914" s="73"/>
      <c r="L914" s="73"/>
      <c r="M914" s="73"/>
      <c r="N914" s="73"/>
      <c r="O914" s="73"/>
      <c r="P914" s="73"/>
      <c r="Q914" s="73"/>
      <c r="R914" s="73"/>
      <c r="S914" s="73"/>
      <c r="T914" s="73"/>
      <c r="U914" s="73"/>
      <c r="V914" s="73"/>
      <c r="W914" s="73"/>
      <c r="X914" s="73"/>
      <c r="Y914" s="73"/>
      <c r="Z914" s="73"/>
      <c r="AA914" s="73"/>
      <c r="AB914" s="73"/>
    </row>
    <row r="915">
      <c r="A915" s="73"/>
      <c r="B915" s="73">
        <v>66744.213</v>
      </c>
      <c r="C915" s="73">
        <v>8927770.922014</v>
      </c>
      <c r="D915" s="73">
        <v>672961.640000458</v>
      </c>
      <c r="E915" s="73">
        <v>418937.314777107</v>
      </c>
      <c r="F915" s="73"/>
      <c r="G915" s="73"/>
      <c r="H915" s="73"/>
      <c r="I915" s="73"/>
      <c r="J915" s="73"/>
      <c r="K915" s="73"/>
      <c r="L915" s="73"/>
      <c r="M915" s="73"/>
      <c r="N915" s="73"/>
      <c r="O915" s="73"/>
      <c r="P915" s="73"/>
      <c r="Q915" s="73"/>
      <c r="R915" s="73"/>
      <c r="S915" s="73"/>
      <c r="T915" s="73"/>
      <c r="U915" s="73"/>
      <c r="V915" s="73"/>
      <c r="W915" s="73"/>
      <c r="X915" s="73"/>
      <c r="Y915" s="73"/>
      <c r="Z915" s="73"/>
      <c r="AA915" s="73"/>
      <c r="AB915" s="73"/>
    </row>
    <row r="916">
      <c r="A916" s="73"/>
      <c r="B916" s="73">
        <v>66887.692</v>
      </c>
      <c r="C916" s="73">
        <v>8954412.90127397</v>
      </c>
      <c r="D916" s="73">
        <v>677219.006497559</v>
      </c>
      <c r="E916" s="73">
        <v>420212.563820267</v>
      </c>
      <c r="F916" s="73"/>
      <c r="G916" s="73"/>
      <c r="H916" s="73"/>
      <c r="I916" s="73"/>
      <c r="J916" s="73"/>
      <c r="K916" s="73"/>
      <c r="L916" s="73"/>
      <c r="M916" s="73"/>
      <c r="N916" s="73"/>
      <c r="O916" s="73"/>
      <c r="P916" s="73"/>
      <c r="Q916" s="73"/>
      <c r="R916" s="73"/>
      <c r="S916" s="73"/>
      <c r="T916" s="73"/>
      <c r="U916" s="73"/>
      <c r="V916" s="73"/>
      <c r="W916" s="73"/>
      <c r="X916" s="73"/>
      <c r="Y916" s="73"/>
      <c r="Z916" s="73"/>
      <c r="AA916" s="73"/>
      <c r="AB916" s="73"/>
    </row>
    <row r="917">
      <c r="A917" s="73"/>
      <c r="B917" s="73">
        <v>67031.325</v>
      </c>
      <c r="C917" s="73">
        <v>8981106.3805325</v>
      </c>
      <c r="D917" s="73">
        <v>681494.633998474</v>
      </c>
      <c r="E917" s="73">
        <v>421490.122391302</v>
      </c>
      <c r="F917" s="73"/>
      <c r="G917" s="73"/>
      <c r="H917" s="73"/>
      <c r="I917" s="73"/>
      <c r="J917" s="73"/>
      <c r="K917" s="73"/>
      <c r="L917" s="73"/>
      <c r="M917" s="73"/>
      <c r="N917" s="73"/>
      <c r="O917" s="73"/>
      <c r="P917" s="73"/>
      <c r="Q917" s="73"/>
      <c r="R917" s="73"/>
      <c r="S917" s="73"/>
      <c r="T917" s="73"/>
      <c r="U917" s="73"/>
      <c r="V917" s="73"/>
      <c r="W917" s="73"/>
      <c r="X917" s="73"/>
      <c r="Y917" s="73"/>
      <c r="Z917" s="73"/>
      <c r="AA917" s="73"/>
      <c r="AB917" s="73"/>
    </row>
    <row r="918">
      <c r="A918" s="73"/>
      <c r="B918" s="73">
        <v>67175.112</v>
      </c>
      <c r="C918" s="73">
        <v>9007850.32978964</v>
      </c>
      <c r="D918" s="73">
        <v>685788.52749939</v>
      </c>
      <c r="E918" s="73">
        <v>422770.04264221</v>
      </c>
      <c r="F918" s="73"/>
      <c r="G918" s="73"/>
      <c r="H918" s="73"/>
      <c r="I918" s="73"/>
      <c r="J918" s="73"/>
      <c r="K918" s="73"/>
      <c r="L918" s="73"/>
      <c r="M918" s="73"/>
      <c r="N918" s="73"/>
      <c r="O918" s="73"/>
      <c r="P918" s="73"/>
      <c r="Q918" s="73"/>
      <c r="R918" s="73"/>
      <c r="S918" s="73"/>
      <c r="T918" s="73"/>
      <c r="U918" s="73"/>
      <c r="V918" s="73"/>
      <c r="W918" s="73"/>
      <c r="X918" s="73"/>
      <c r="Y918" s="73"/>
      <c r="Z918" s="73"/>
      <c r="AA918" s="73"/>
      <c r="AB918" s="73"/>
    </row>
    <row r="919">
      <c r="A919" s="73"/>
      <c r="B919" s="73">
        <v>67319.053</v>
      </c>
      <c r="C919" s="73">
        <v>9034643.7190454</v>
      </c>
      <c r="D919" s="73">
        <v>690100.677000305</v>
      </c>
      <c r="E919" s="73">
        <v>424052.251644995</v>
      </c>
      <c r="F919" s="73"/>
      <c r="G919" s="73"/>
      <c r="H919" s="73"/>
      <c r="I919" s="73"/>
      <c r="J919" s="73"/>
      <c r="K919" s="73"/>
      <c r="L919" s="73"/>
      <c r="M919" s="73"/>
      <c r="N919" s="73"/>
      <c r="O919" s="73"/>
      <c r="P919" s="73"/>
      <c r="Q919" s="73"/>
      <c r="R919" s="73"/>
      <c r="S919" s="73"/>
      <c r="T919" s="73"/>
      <c r="U919" s="73"/>
      <c r="V919" s="73"/>
      <c r="W919" s="73"/>
      <c r="X919" s="73"/>
      <c r="Y919" s="73"/>
      <c r="Z919" s="73"/>
      <c r="AA919" s="73"/>
      <c r="AB919" s="73"/>
    </row>
    <row r="920">
      <c r="A920" s="73"/>
      <c r="B920" s="73">
        <v>67463.148</v>
      </c>
      <c r="C920" s="73">
        <v>9061487.57829976</v>
      </c>
      <c r="D920" s="73">
        <v>694431.163497406</v>
      </c>
      <c r="E920" s="73">
        <v>425336.822327651</v>
      </c>
      <c r="F920" s="73"/>
      <c r="G920" s="73"/>
      <c r="H920" s="73"/>
      <c r="I920" s="73"/>
      <c r="J920" s="73"/>
      <c r="K920" s="73"/>
      <c r="L920" s="73"/>
      <c r="M920" s="73"/>
      <c r="N920" s="73"/>
      <c r="O920" s="73"/>
      <c r="P920" s="73"/>
      <c r="Q920" s="73"/>
      <c r="R920" s="73"/>
      <c r="S920" s="73"/>
      <c r="T920" s="73"/>
      <c r="U920" s="73"/>
      <c r="V920" s="73"/>
      <c r="W920" s="73"/>
      <c r="X920" s="73"/>
      <c r="Y920" s="73"/>
      <c r="Z920" s="73"/>
      <c r="AA920" s="73"/>
      <c r="AB920" s="73"/>
    </row>
    <row r="921">
      <c r="A921" s="73"/>
      <c r="B921" s="73">
        <v>67607.397</v>
      </c>
      <c r="C921" s="73">
        <v>9088381.90755272</v>
      </c>
      <c r="D921" s="73">
        <v>698780.030998321</v>
      </c>
      <c r="E921" s="73">
        <v>426623.702538184</v>
      </c>
      <c r="F921" s="73"/>
      <c r="G921" s="73"/>
      <c r="H921" s="73"/>
      <c r="I921" s="73"/>
      <c r="J921" s="73"/>
      <c r="K921" s="73"/>
      <c r="L921" s="73"/>
      <c r="M921" s="73"/>
      <c r="N921" s="73"/>
      <c r="O921" s="73"/>
      <c r="P921" s="73"/>
      <c r="Q921" s="73"/>
      <c r="R921" s="73"/>
      <c r="S921" s="73"/>
      <c r="T921" s="73"/>
      <c r="U921" s="73"/>
      <c r="V921" s="73"/>
      <c r="W921" s="73"/>
      <c r="X921" s="73"/>
      <c r="Y921" s="73"/>
      <c r="Z921" s="73"/>
      <c r="AA921" s="73"/>
      <c r="AB921" s="73"/>
    </row>
    <row r="922">
      <c r="A922" s="73"/>
      <c r="B922" s="73">
        <v>67751.8</v>
      </c>
      <c r="C922" s="73">
        <v>9115326.70680428</v>
      </c>
      <c r="D922" s="73">
        <v>703147.284499237</v>
      </c>
      <c r="E922" s="73">
        <v>427912.91305259</v>
      </c>
      <c r="F922" s="73"/>
      <c r="G922" s="73"/>
      <c r="H922" s="73"/>
      <c r="I922" s="73"/>
      <c r="J922" s="73"/>
      <c r="K922" s="73"/>
      <c r="L922" s="73"/>
      <c r="M922" s="73"/>
      <c r="N922" s="73"/>
      <c r="O922" s="73"/>
      <c r="P922" s="73"/>
      <c r="Q922" s="73"/>
      <c r="R922" s="73"/>
      <c r="S922" s="73"/>
      <c r="T922" s="73"/>
      <c r="U922" s="73"/>
      <c r="V922" s="73"/>
      <c r="W922" s="73"/>
      <c r="X922" s="73"/>
      <c r="Y922" s="73"/>
      <c r="Z922" s="73"/>
      <c r="AA922" s="73"/>
      <c r="AB922" s="73"/>
    </row>
    <row r="923">
      <c r="A923" s="73"/>
      <c r="B923" s="73">
        <v>67896.357</v>
      </c>
      <c r="C923" s="73">
        <v>9142321.97605443</v>
      </c>
      <c r="D923" s="73">
        <v>707532.954000153</v>
      </c>
      <c r="E923" s="73">
        <v>429204.475070869</v>
      </c>
      <c r="F923" s="73"/>
      <c r="G923" s="73"/>
      <c r="H923" s="73"/>
      <c r="I923" s="73"/>
      <c r="J923" s="73"/>
      <c r="K923" s="73"/>
      <c r="L923" s="73"/>
      <c r="M923" s="73"/>
      <c r="N923" s="73"/>
      <c r="O923" s="73"/>
      <c r="P923" s="73"/>
      <c r="Q923" s="73"/>
      <c r="R923" s="73"/>
      <c r="S923" s="73"/>
      <c r="T923" s="73"/>
      <c r="U923" s="73"/>
      <c r="V923" s="73"/>
      <c r="W923" s="73"/>
      <c r="X923" s="73"/>
      <c r="Y923" s="73"/>
      <c r="Z923" s="73"/>
      <c r="AA923" s="73"/>
      <c r="AB923" s="73"/>
    </row>
    <row r="924">
      <c r="A924" s="73"/>
      <c r="B924" s="73">
        <v>68041.068</v>
      </c>
      <c r="C924" s="73">
        <v>9169367.71530318</v>
      </c>
      <c r="D924" s="73">
        <v>711937.120501068</v>
      </c>
      <c r="E924" s="73">
        <v>430498.336017025</v>
      </c>
      <c r="F924" s="73"/>
      <c r="G924" s="73"/>
      <c r="H924" s="73"/>
      <c r="I924" s="73"/>
      <c r="J924" s="73"/>
      <c r="K924" s="73"/>
      <c r="L924" s="73"/>
      <c r="M924" s="73"/>
      <c r="N924" s="73"/>
      <c r="O924" s="73"/>
      <c r="P924" s="73"/>
      <c r="Q924" s="73"/>
      <c r="R924" s="73"/>
      <c r="S924" s="73"/>
      <c r="T924" s="73"/>
      <c r="U924" s="73"/>
      <c r="V924" s="73"/>
      <c r="W924" s="73"/>
      <c r="X924" s="73"/>
      <c r="Y924" s="73"/>
      <c r="Z924" s="73"/>
      <c r="AA924" s="73"/>
      <c r="AB924" s="73"/>
    </row>
    <row r="925">
      <c r="A925" s="73"/>
      <c r="B925" s="73">
        <v>68185.933</v>
      </c>
      <c r="C925" s="73">
        <v>9196464.9545505</v>
      </c>
      <c r="D925" s="73">
        <v>716359.747998169</v>
      </c>
      <c r="E925" s="73">
        <v>431794.558643053</v>
      </c>
      <c r="F925" s="73"/>
      <c r="G925" s="73"/>
      <c r="H925" s="73"/>
      <c r="I925" s="73"/>
      <c r="J925" s="73"/>
      <c r="K925" s="73"/>
      <c r="L925" s="73"/>
      <c r="M925" s="73"/>
      <c r="N925" s="73"/>
      <c r="O925" s="73"/>
      <c r="P925" s="73"/>
      <c r="Q925" s="73"/>
      <c r="R925" s="73"/>
      <c r="S925" s="73"/>
      <c r="T925" s="73"/>
      <c r="U925" s="73"/>
      <c r="V925" s="73"/>
      <c r="W925" s="73"/>
      <c r="X925" s="73"/>
      <c r="Y925" s="73"/>
      <c r="Z925" s="73"/>
      <c r="AA925" s="73"/>
      <c r="AB925" s="73"/>
    </row>
    <row r="926">
      <c r="A926" s="73"/>
      <c r="B926" s="73">
        <v>68330.952</v>
      </c>
      <c r="C926" s="73">
        <v>9223611.63379645</v>
      </c>
      <c r="D926" s="73">
        <v>720800.960999085</v>
      </c>
      <c r="E926" s="73">
        <v>433093.122172954</v>
      </c>
      <c r="F926" s="73"/>
      <c r="G926" s="73"/>
      <c r="H926" s="73"/>
      <c r="I926" s="73"/>
      <c r="J926" s="73"/>
      <c r="K926" s="73"/>
      <c r="L926" s="73"/>
      <c r="M926" s="73"/>
      <c r="N926" s="73"/>
      <c r="O926" s="73"/>
      <c r="P926" s="73"/>
      <c r="Q926" s="73"/>
      <c r="R926" s="73"/>
      <c r="S926" s="73"/>
      <c r="T926" s="73"/>
      <c r="U926" s="73"/>
      <c r="V926" s="73"/>
      <c r="W926" s="73"/>
      <c r="X926" s="73"/>
      <c r="Y926" s="73"/>
      <c r="Z926" s="73"/>
      <c r="AA926" s="73"/>
      <c r="AB926" s="73"/>
    </row>
    <row r="927">
      <c r="A927" s="73"/>
      <c r="B927" s="73">
        <v>68476.125</v>
      </c>
      <c r="C927" s="73">
        <v>9250809.81304097</v>
      </c>
      <c r="D927" s="73">
        <v>725260.751</v>
      </c>
      <c r="E927" s="73">
        <v>434394.01600673</v>
      </c>
      <c r="F927" s="73"/>
      <c r="G927" s="73"/>
      <c r="H927" s="73"/>
      <c r="I927" s="73"/>
      <c r="J927" s="73"/>
      <c r="K927" s="73"/>
      <c r="L927" s="73"/>
      <c r="M927" s="73"/>
      <c r="N927" s="73"/>
      <c r="O927" s="73"/>
      <c r="P927" s="73"/>
      <c r="Q927" s="73"/>
      <c r="R927" s="73"/>
      <c r="S927" s="73"/>
      <c r="T927" s="73"/>
      <c r="U927" s="73"/>
      <c r="V927" s="73"/>
      <c r="W927" s="73"/>
      <c r="X927" s="73"/>
      <c r="Y927" s="73"/>
      <c r="Z927" s="73"/>
      <c r="AA927" s="73"/>
      <c r="AB927" s="73"/>
    </row>
    <row r="928">
      <c r="A928" s="73"/>
      <c r="B928" s="73">
        <v>68621.452</v>
      </c>
      <c r="C928" s="73">
        <v>9278057.43228412</v>
      </c>
      <c r="D928" s="73">
        <v>729739.166500916</v>
      </c>
      <c r="E928" s="73">
        <v>435697.250744379</v>
      </c>
      <c r="F928" s="73"/>
      <c r="G928" s="73"/>
      <c r="H928" s="73"/>
      <c r="I928" s="73"/>
      <c r="J928" s="73"/>
      <c r="K928" s="73"/>
      <c r="L928" s="73"/>
      <c r="M928" s="73"/>
      <c r="N928" s="73"/>
      <c r="O928" s="73"/>
      <c r="P928" s="73"/>
      <c r="Q928" s="73"/>
      <c r="R928" s="73"/>
      <c r="S928" s="73"/>
      <c r="T928" s="73"/>
      <c r="U928" s="73"/>
      <c r="V928" s="73"/>
      <c r="W928" s="73"/>
      <c r="X928" s="73"/>
      <c r="Y928" s="73"/>
      <c r="Z928" s="73"/>
      <c r="AA928" s="73"/>
      <c r="AB928" s="73"/>
    </row>
    <row r="929">
      <c r="A929" s="73"/>
      <c r="B929" s="73">
        <v>68766.933</v>
      </c>
      <c r="C929" s="73">
        <v>9305356.55152583</v>
      </c>
      <c r="D929" s="73">
        <v>734236.203498016</v>
      </c>
      <c r="E929" s="73">
        <v>437002.815785903</v>
      </c>
      <c r="F929" s="73"/>
      <c r="G929" s="73"/>
      <c r="H929" s="73"/>
      <c r="I929" s="73"/>
      <c r="J929" s="73"/>
      <c r="K929" s="73"/>
      <c r="L929" s="73"/>
      <c r="M929" s="73"/>
      <c r="N929" s="73"/>
      <c r="O929" s="73"/>
      <c r="P929" s="73"/>
      <c r="Q929" s="73"/>
      <c r="R929" s="73"/>
      <c r="S929" s="73"/>
      <c r="T929" s="73"/>
      <c r="U929" s="73"/>
      <c r="V929" s="73"/>
      <c r="W929" s="73"/>
      <c r="X929" s="73"/>
      <c r="Y929" s="73"/>
      <c r="Z929" s="73"/>
      <c r="AA929" s="73"/>
      <c r="AB929" s="73"/>
    </row>
    <row r="930">
      <c r="A930" s="73"/>
      <c r="B930" s="73">
        <v>68912.568</v>
      </c>
      <c r="C930" s="73">
        <v>9332706.14076614</v>
      </c>
      <c r="D930" s="73">
        <v>738751.936998932</v>
      </c>
      <c r="E930" s="73">
        <v>438310.742507299</v>
      </c>
      <c r="F930" s="73"/>
      <c r="G930" s="73"/>
      <c r="H930" s="73"/>
      <c r="I930" s="73"/>
      <c r="J930" s="73"/>
      <c r="K930" s="73"/>
      <c r="L930" s="73"/>
      <c r="M930" s="73"/>
      <c r="N930" s="73"/>
      <c r="O930" s="73"/>
      <c r="P930" s="73"/>
      <c r="Q930" s="73"/>
      <c r="R930" s="73"/>
      <c r="S930" s="73"/>
      <c r="T930" s="73"/>
      <c r="U930" s="73"/>
      <c r="V930" s="73"/>
      <c r="W930" s="73"/>
      <c r="X930" s="73"/>
      <c r="Y930" s="73"/>
      <c r="Z930" s="73"/>
      <c r="AA930" s="73"/>
      <c r="AB930" s="73"/>
    </row>
    <row r="931">
      <c r="A931" s="73"/>
      <c r="B931" s="73">
        <v>69058.357</v>
      </c>
      <c r="C931" s="73">
        <v>9360106.20000505</v>
      </c>
      <c r="D931" s="73">
        <v>743286.415999847</v>
      </c>
      <c r="E931" s="73">
        <v>439621.010132569</v>
      </c>
      <c r="F931" s="73"/>
      <c r="G931" s="73"/>
      <c r="H931" s="73"/>
      <c r="I931" s="73"/>
      <c r="J931" s="73"/>
      <c r="K931" s="73"/>
      <c r="L931" s="73"/>
      <c r="M931" s="73"/>
      <c r="N931" s="73"/>
      <c r="O931" s="73"/>
      <c r="P931" s="73"/>
      <c r="Q931" s="73"/>
      <c r="R931" s="73"/>
      <c r="S931" s="73"/>
      <c r="T931" s="73"/>
      <c r="U931" s="73"/>
      <c r="V931" s="73"/>
      <c r="W931" s="73"/>
      <c r="X931" s="73"/>
      <c r="Y931" s="73"/>
      <c r="Z931" s="73"/>
      <c r="AA931" s="73"/>
      <c r="AB931" s="73"/>
    </row>
    <row r="932">
      <c r="A932" s="73"/>
      <c r="B932" s="73">
        <v>69204.3</v>
      </c>
      <c r="C932" s="73">
        <v>9387557.75924253</v>
      </c>
      <c r="D932" s="73">
        <v>747839.676500763</v>
      </c>
      <c r="E932" s="73">
        <v>440933.608061712</v>
      </c>
      <c r="F932" s="73"/>
      <c r="G932" s="73"/>
      <c r="H932" s="73"/>
      <c r="I932" s="73"/>
      <c r="J932" s="73"/>
      <c r="K932" s="73"/>
      <c r="L932" s="73"/>
      <c r="M932" s="73"/>
      <c r="N932" s="73"/>
      <c r="O932" s="73"/>
      <c r="P932" s="73"/>
      <c r="Q932" s="73"/>
      <c r="R932" s="73"/>
      <c r="S932" s="73"/>
      <c r="T932" s="73"/>
      <c r="U932" s="73"/>
      <c r="V932" s="73"/>
      <c r="W932" s="73"/>
      <c r="X932" s="73"/>
      <c r="Y932" s="73"/>
      <c r="Z932" s="73"/>
      <c r="AA932" s="73"/>
      <c r="AB932" s="73"/>
    </row>
    <row r="933">
      <c r="A933" s="73"/>
      <c r="B933" s="73">
        <v>69350.397</v>
      </c>
      <c r="C933" s="73">
        <v>9415060.81847858</v>
      </c>
      <c r="D933" s="73">
        <v>752411.677997864</v>
      </c>
      <c r="E933" s="73">
        <v>442248.54689473</v>
      </c>
      <c r="F933" s="73"/>
      <c r="G933" s="73"/>
      <c r="H933" s="73"/>
      <c r="I933" s="73"/>
      <c r="J933" s="73"/>
      <c r="K933" s="73"/>
      <c r="L933" s="73"/>
      <c r="M933" s="73"/>
      <c r="N933" s="73"/>
      <c r="O933" s="73"/>
      <c r="P933" s="73"/>
      <c r="Q933" s="73"/>
      <c r="R933" s="73"/>
      <c r="S933" s="73"/>
      <c r="T933" s="73"/>
      <c r="U933" s="73"/>
      <c r="V933" s="73"/>
      <c r="W933" s="73"/>
      <c r="X933" s="73"/>
      <c r="Y933" s="73"/>
      <c r="Z933" s="73"/>
      <c r="AA933" s="73"/>
      <c r="AB933" s="73"/>
    </row>
    <row r="934">
      <c r="A934" s="73"/>
      <c r="B934" s="73">
        <v>69496.648</v>
      </c>
      <c r="C934" s="73">
        <v>9442613.31771326</v>
      </c>
      <c r="D934" s="73">
        <v>757002.540998779</v>
      </c>
      <c r="E934" s="73">
        <v>443565.84740762</v>
      </c>
      <c r="F934" s="73"/>
      <c r="G934" s="73"/>
      <c r="H934" s="73"/>
      <c r="I934" s="73"/>
      <c r="J934" s="73"/>
      <c r="K934" s="73"/>
      <c r="L934" s="73"/>
      <c r="M934" s="73"/>
      <c r="N934" s="73"/>
      <c r="O934" s="73"/>
      <c r="P934" s="73"/>
      <c r="Q934" s="73"/>
      <c r="R934" s="73"/>
      <c r="S934" s="73"/>
      <c r="T934" s="73"/>
      <c r="U934" s="73"/>
      <c r="V934" s="73"/>
      <c r="W934" s="73"/>
      <c r="X934" s="73"/>
      <c r="Y934" s="73"/>
      <c r="Z934" s="73"/>
      <c r="AA934" s="73"/>
      <c r="AB934" s="73"/>
    </row>
    <row r="935">
      <c r="A935" s="73"/>
      <c r="B935" s="73">
        <v>69643.053</v>
      </c>
      <c r="C935" s="73">
        <v>9470217.31694651</v>
      </c>
      <c r="D935" s="73">
        <v>761612.269499695</v>
      </c>
      <c r="E935" s="73">
        <v>444885.509600383</v>
      </c>
      <c r="F935" s="73"/>
      <c r="G935" s="73"/>
      <c r="H935" s="73"/>
      <c r="I935" s="73"/>
      <c r="J935" s="73"/>
      <c r="K935" s="73"/>
      <c r="L935" s="73"/>
      <c r="M935" s="73"/>
      <c r="N935" s="73"/>
      <c r="O935" s="73"/>
      <c r="P935" s="73"/>
      <c r="Q935" s="73"/>
      <c r="R935" s="73"/>
      <c r="S935" s="73"/>
      <c r="T935" s="73"/>
      <c r="U935" s="73"/>
      <c r="V935" s="73"/>
      <c r="W935" s="73"/>
      <c r="X935" s="73"/>
      <c r="Y935" s="73"/>
      <c r="Z935" s="73"/>
      <c r="AA935" s="73"/>
      <c r="AB935" s="73"/>
    </row>
    <row r="936">
      <c r="A936" s="73"/>
      <c r="B936" s="73">
        <v>69789.612</v>
      </c>
      <c r="C936" s="73">
        <v>9497872.81617832</v>
      </c>
      <c r="D936" s="73">
        <v>766240.93950061</v>
      </c>
      <c r="E936" s="73">
        <v>446207.502097019</v>
      </c>
      <c r="F936" s="73"/>
      <c r="G936" s="73"/>
      <c r="H936" s="73"/>
      <c r="I936" s="73"/>
      <c r="J936" s="73"/>
      <c r="K936" s="73"/>
      <c r="L936" s="73"/>
      <c r="M936" s="73"/>
      <c r="N936" s="73"/>
      <c r="O936" s="73"/>
      <c r="P936" s="73"/>
      <c r="Q936" s="73"/>
      <c r="R936" s="73"/>
      <c r="S936" s="73"/>
      <c r="T936" s="73"/>
      <c r="U936" s="73"/>
      <c r="V936" s="73"/>
      <c r="W936" s="73"/>
      <c r="X936" s="73"/>
      <c r="Y936" s="73"/>
      <c r="Z936" s="73"/>
      <c r="AA936" s="73"/>
      <c r="AB936" s="73"/>
    </row>
    <row r="937">
      <c r="A937" s="73"/>
      <c r="B937" s="73">
        <v>69936.325</v>
      </c>
      <c r="C937" s="73">
        <v>9525577.75540876</v>
      </c>
      <c r="D937" s="73">
        <v>770888.510497711</v>
      </c>
      <c r="E937" s="73">
        <v>447531.856273529</v>
      </c>
      <c r="F937" s="73"/>
      <c r="G937" s="73"/>
      <c r="H937" s="73"/>
      <c r="I937" s="73"/>
      <c r="J937" s="73"/>
      <c r="K937" s="73"/>
      <c r="L937" s="73"/>
      <c r="M937" s="73"/>
      <c r="N937" s="73"/>
      <c r="O937" s="73"/>
      <c r="P937" s="73"/>
      <c r="Q937" s="73"/>
      <c r="R937" s="73"/>
      <c r="S937" s="73"/>
      <c r="T937" s="73"/>
      <c r="U937" s="73"/>
      <c r="V937" s="73"/>
      <c r="W937" s="73"/>
      <c r="X937" s="73"/>
      <c r="Y937" s="73"/>
      <c r="Z937" s="73"/>
      <c r="AA937" s="73"/>
      <c r="AB937" s="73"/>
    </row>
    <row r="938">
      <c r="A938" s="73"/>
      <c r="B938" s="73">
        <v>70083.192</v>
      </c>
      <c r="C938" s="73">
        <v>9553335.22463775</v>
      </c>
      <c r="D938" s="73">
        <v>775555.067498627</v>
      </c>
      <c r="E938" s="73">
        <v>448858.561529911</v>
      </c>
      <c r="F938" s="73"/>
      <c r="G938" s="73"/>
      <c r="H938" s="73"/>
      <c r="I938" s="73"/>
      <c r="J938" s="73"/>
      <c r="K938" s="73"/>
      <c r="L938" s="73"/>
      <c r="M938" s="73"/>
      <c r="N938" s="73"/>
      <c r="O938" s="73"/>
      <c r="P938" s="73"/>
      <c r="Q938" s="73"/>
      <c r="R938" s="73"/>
      <c r="S938" s="73"/>
      <c r="T938" s="73"/>
      <c r="U938" s="73"/>
      <c r="V938" s="73"/>
      <c r="W938" s="73"/>
      <c r="X938" s="73"/>
      <c r="Y938" s="73"/>
      <c r="Z938" s="73"/>
      <c r="AA938" s="73"/>
      <c r="AB938" s="73"/>
    </row>
    <row r="939">
      <c r="A939" s="73"/>
      <c r="B939" s="73">
        <v>70230.213</v>
      </c>
      <c r="C939" s="73">
        <v>9581143.16386533</v>
      </c>
      <c r="D939" s="73">
        <v>780240.610499542</v>
      </c>
      <c r="E939" s="73">
        <v>450187.618290166</v>
      </c>
      <c r="F939" s="73"/>
      <c r="G939" s="73"/>
      <c r="H939" s="73"/>
      <c r="I939" s="73"/>
      <c r="J939" s="73"/>
      <c r="K939" s="73"/>
      <c r="L939" s="73"/>
      <c r="M939" s="73"/>
      <c r="N939" s="73"/>
      <c r="O939" s="73"/>
      <c r="P939" s="73"/>
      <c r="Q939" s="73"/>
      <c r="R939" s="73"/>
      <c r="S939" s="73"/>
      <c r="T939" s="73"/>
      <c r="U939" s="73"/>
      <c r="V939" s="73"/>
      <c r="W939" s="73"/>
      <c r="X939" s="73"/>
      <c r="Y939" s="73"/>
      <c r="Z939" s="73"/>
      <c r="AA939" s="73"/>
      <c r="AB939" s="73"/>
    </row>
    <row r="940">
      <c r="A940" s="73"/>
      <c r="B940" s="73">
        <v>70377.388</v>
      </c>
      <c r="C940" s="73">
        <v>9609002.60309148</v>
      </c>
      <c r="D940" s="73">
        <v>784945.290000458</v>
      </c>
      <c r="E940" s="73">
        <v>451519.026130295</v>
      </c>
      <c r="F940" s="73"/>
      <c r="G940" s="73"/>
      <c r="H940" s="73"/>
      <c r="I940" s="73"/>
      <c r="J940" s="73"/>
      <c r="K940" s="73"/>
      <c r="L940" s="73"/>
      <c r="M940" s="73"/>
      <c r="N940" s="73"/>
      <c r="O940" s="73"/>
      <c r="P940" s="73"/>
      <c r="Q940" s="73"/>
      <c r="R940" s="73"/>
      <c r="S940" s="73"/>
      <c r="T940" s="73"/>
      <c r="U940" s="73"/>
      <c r="V940" s="73"/>
      <c r="W940" s="73"/>
      <c r="X940" s="73"/>
      <c r="Y940" s="73"/>
      <c r="Z940" s="73"/>
      <c r="AA940" s="73"/>
      <c r="AB940" s="73"/>
    </row>
    <row r="941">
      <c r="A941" s="73"/>
      <c r="B941" s="73">
        <v>70524.717</v>
      </c>
      <c r="C941" s="73">
        <v>9636913.5423162</v>
      </c>
      <c r="D941" s="73">
        <v>789668.959997559</v>
      </c>
      <c r="E941" s="73">
        <v>452852.795650296</v>
      </c>
      <c r="F941" s="73"/>
      <c r="G941" s="73"/>
      <c r="H941" s="73"/>
      <c r="I941" s="73"/>
      <c r="J941" s="73"/>
      <c r="K941" s="73"/>
      <c r="L941" s="73"/>
      <c r="M941" s="73"/>
      <c r="N941" s="73"/>
      <c r="O941" s="73"/>
      <c r="P941" s="73"/>
      <c r="Q941" s="73"/>
      <c r="R941" s="73"/>
      <c r="S941" s="73"/>
      <c r="T941" s="73"/>
      <c r="U941" s="73"/>
      <c r="V941" s="73"/>
      <c r="W941" s="73"/>
      <c r="X941" s="73"/>
      <c r="Y941" s="73"/>
      <c r="Z941" s="73"/>
      <c r="AA941" s="73"/>
      <c r="AB941" s="73"/>
    </row>
    <row r="942">
      <c r="A942" s="73"/>
      <c r="B942" s="73">
        <v>70672.2</v>
      </c>
      <c r="C942" s="73">
        <v>9664874.95153952</v>
      </c>
      <c r="D942" s="73">
        <v>794411.846498474</v>
      </c>
      <c r="E942" s="73">
        <v>454188.92685017</v>
      </c>
      <c r="F942" s="73"/>
      <c r="G942" s="73"/>
      <c r="H942" s="73"/>
      <c r="I942" s="73"/>
      <c r="J942" s="73"/>
      <c r="K942" s="73"/>
      <c r="L942" s="73"/>
      <c r="M942" s="73"/>
      <c r="N942" s="73"/>
      <c r="O942" s="73"/>
      <c r="P942" s="73"/>
      <c r="Q942" s="73"/>
      <c r="R942" s="73"/>
      <c r="S942" s="73"/>
      <c r="T942" s="73"/>
      <c r="U942" s="73"/>
      <c r="V942" s="73"/>
      <c r="W942" s="73"/>
      <c r="X942" s="73"/>
      <c r="Y942" s="73"/>
      <c r="Z942" s="73"/>
      <c r="AA942" s="73"/>
      <c r="AB942" s="73"/>
    </row>
    <row r="943">
      <c r="A943" s="73"/>
      <c r="B943" s="73">
        <v>70819.837</v>
      </c>
      <c r="C943" s="73">
        <v>9692887.8607614</v>
      </c>
      <c r="D943" s="73">
        <v>799173.80349939</v>
      </c>
      <c r="E943" s="73">
        <v>455527.419729916</v>
      </c>
      <c r="F943" s="73"/>
      <c r="G943" s="73"/>
      <c r="H943" s="73"/>
      <c r="I943" s="73"/>
      <c r="J943" s="73"/>
      <c r="K943" s="73"/>
      <c r="L943" s="73"/>
      <c r="M943" s="73"/>
      <c r="N943" s="73"/>
      <c r="O943" s="73"/>
      <c r="P943" s="73"/>
      <c r="Q943" s="73"/>
      <c r="R943" s="73"/>
      <c r="S943" s="73"/>
      <c r="T943" s="73"/>
      <c r="U943" s="73"/>
      <c r="V943" s="73"/>
      <c r="W943" s="73"/>
      <c r="X943" s="73"/>
      <c r="Y943" s="73"/>
      <c r="Z943" s="73"/>
      <c r="AA943" s="73"/>
      <c r="AB943" s="73"/>
    </row>
    <row r="944">
      <c r="A944" s="73"/>
      <c r="B944" s="73">
        <v>70967.628</v>
      </c>
      <c r="C944" s="73">
        <v>9720952.26998186</v>
      </c>
      <c r="D944" s="73">
        <v>803955.062000305</v>
      </c>
      <c r="E944" s="73">
        <v>456868.274289534</v>
      </c>
      <c r="F944" s="73"/>
      <c r="G944" s="73"/>
      <c r="H944" s="73"/>
      <c r="I944" s="73"/>
      <c r="J944" s="73"/>
      <c r="K944" s="73"/>
      <c r="L944" s="73"/>
      <c r="M944" s="73"/>
      <c r="N944" s="73"/>
      <c r="O944" s="73"/>
      <c r="P944" s="73"/>
      <c r="Q944" s="73"/>
      <c r="R944" s="73"/>
      <c r="S944" s="73"/>
      <c r="T944" s="73"/>
      <c r="U944" s="73"/>
      <c r="V944" s="73"/>
      <c r="W944" s="73"/>
      <c r="X944" s="73"/>
      <c r="Y944" s="73"/>
      <c r="Z944" s="73"/>
      <c r="AA944" s="73"/>
      <c r="AB944" s="73"/>
    </row>
    <row r="945">
      <c r="A945" s="73"/>
      <c r="B945" s="73">
        <v>71115.573</v>
      </c>
      <c r="C945" s="73">
        <v>9749068.17920089</v>
      </c>
      <c r="D945" s="73">
        <v>808755.470997406</v>
      </c>
      <c r="E945" s="73">
        <v>458211.459153027</v>
      </c>
      <c r="F945" s="73"/>
      <c r="G945" s="73"/>
      <c r="H945" s="73"/>
      <c r="I945" s="73"/>
      <c r="J945" s="73"/>
      <c r="K945" s="73"/>
      <c r="L945" s="73"/>
      <c r="M945" s="73"/>
      <c r="N945" s="73"/>
      <c r="O945" s="73"/>
      <c r="P945" s="73"/>
      <c r="Q945" s="73"/>
      <c r="R945" s="73"/>
      <c r="S945" s="73"/>
      <c r="T945" s="73"/>
      <c r="U945" s="73"/>
      <c r="V945" s="73"/>
      <c r="W945" s="73"/>
      <c r="X945" s="73"/>
      <c r="Y945" s="73"/>
      <c r="Z945" s="73"/>
      <c r="AA945" s="73"/>
      <c r="AB945" s="73"/>
    </row>
    <row r="946">
      <c r="A946" s="73"/>
      <c r="B946" s="73">
        <v>71263.672</v>
      </c>
      <c r="C946" s="73">
        <v>9777235.58841848</v>
      </c>
      <c r="D946" s="73">
        <v>813575.176498322</v>
      </c>
      <c r="E946" s="73">
        <v>459557.037072391</v>
      </c>
      <c r="F946" s="73"/>
      <c r="G946" s="73"/>
      <c r="H946" s="73"/>
      <c r="I946" s="73"/>
      <c r="J946" s="73"/>
      <c r="K946" s="73"/>
      <c r="L946" s="73"/>
      <c r="M946" s="73"/>
      <c r="N946" s="73"/>
      <c r="O946" s="73"/>
      <c r="P946" s="73"/>
      <c r="Q946" s="73"/>
      <c r="R946" s="73"/>
      <c r="S946" s="73"/>
      <c r="T946" s="73"/>
      <c r="U946" s="73"/>
      <c r="V946" s="73"/>
      <c r="W946" s="73"/>
      <c r="X946" s="73"/>
      <c r="Y946" s="73"/>
      <c r="Z946" s="73"/>
      <c r="AA946" s="73"/>
      <c r="AB946" s="73"/>
    </row>
    <row r="947">
      <c r="A947" s="73"/>
      <c r="B947" s="73">
        <v>71411.925</v>
      </c>
      <c r="C947" s="73">
        <v>9805453.46763468</v>
      </c>
      <c r="D947" s="73">
        <v>818414.187999237</v>
      </c>
      <c r="E947" s="73">
        <v>460904.986847626</v>
      </c>
      <c r="F947" s="73"/>
      <c r="G947" s="73"/>
      <c r="H947" s="73"/>
      <c r="I947" s="73"/>
      <c r="J947" s="73"/>
      <c r="K947" s="73"/>
      <c r="L947" s="73"/>
      <c r="M947" s="73"/>
      <c r="N947" s="73"/>
      <c r="O947" s="73"/>
      <c r="P947" s="73"/>
      <c r="Q947" s="73"/>
      <c r="R947" s="73"/>
      <c r="S947" s="73"/>
      <c r="T947" s="73"/>
      <c r="U947" s="73"/>
      <c r="V947" s="73"/>
      <c r="W947" s="73"/>
      <c r="X947" s="73"/>
      <c r="Y947" s="73"/>
      <c r="Z947" s="73"/>
      <c r="AA947" s="73"/>
      <c r="AB947" s="73"/>
    </row>
    <row r="948">
      <c r="A948" s="73"/>
      <c r="B948" s="73">
        <v>71560.332</v>
      </c>
      <c r="C948" s="73">
        <v>9833722.84684944</v>
      </c>
      <c r="D948" s="73">
        <v>823272.510000153</v>
      </c>
      <c r="E948" s="73">
        <v>462255.288126735</v>
      </c>
      <c r="F948" s="73"/>
      <c r="G948" s="73"/>
      <c r="H948" s="73"/>
      <c r="I948" s="73"/>
      <c r="J948" s="73"/>
      <c r="K948" s="73"/>
      <c r="L948" s="73"/>
      <c r="M948" s="73"/>
      <c r="N948" s="73"/>
      <c r="O948" s="73"/>
      <c r="P948" s="73"/>
      <c r="Q948" s="73"/>
      <c r="R948" s="73"/>
      <c r="S948" s="73"/>
      <c r="T948" s="73"/>
      <c r="U948" s="73"/>
      <c r="V948" s="73"/>
      <c r="W948" s="73"/>
      <c r="X948" s="73"/>
      <c r="Y948" s="73"/>
      <c r="Z948" s="73"/>
      <c r="AA948" s="73"/>
      <c r="AB948" s="73"/>
    </row>
    <row r="949">
      <c r="A949" s="73"/>
      <c r="B949" s="73">
        <v>71708.893</v>
      </c>
      <c r="C949" s="73">
        <v>9862044.75606275</v>
      </c>
      <c r="D949" s="73">
        <v>828150.208497253</v>
      </c>
      <c r="E949" s="73">
        <v>463607.961261715</v>
      </c>
      <c r="F949" s="73"/>
      <c r="G949" s="73"/>
      <c r="H949" s="73"/>
      <c r="I949" s="73"/>
      <c r="J949" s="73"/>
      <c r="K949" s="73"/>
      <c r="L949" s="73"/>
      <c r="M949" s="73"/>
      <c r="N949" s="73"/>
      <c r="O949" s="73"/>
      <c r="P949" s="73"/>
      <c r="Q949" s="73"/>
      <c r="R949" s="73"/>
      <c r="S949" s="73"/>
      <c r="T949" s="73"/>
      <c r="U949" s="73"/>
      <c r="V949" s="73"/>
      <c r="W949" s="73"/>
      <c r="X949" s="73"/>
      <c r="Y949" s="73"/>
      <c r="Z949" s="73"/>
      <c r="AA949" s="73"/>
      <c r="AB949" s="73"/>
    </row>
    <row r="950">
      <c r="A950" s="73"/>
      <c r="B950" s="73">
        <v>71857.608</v>
      </c>
      <c r="C950" s="73">
        <v>9890417.13527465</v>
      </c>
      <c r="D950" s="73">
        <v>833047.382498169</v>
      </c>
      <c r="E950" s="73">
        <v>464962.97530057</v>
      </c>
      <c r="F950" s="73"/>
      <c r="G950" s="73"/>
      <c r="H950" s="73"/>
      <c r="I950" s="73"/>
      <c r="J950" s="73"/>
      <c r="K950" s="73"/>
      <c r="L950" s="73"/>
      <c r="M950" s="73"/>
      <c r="N950" s="73"/>
      <c r="O950" s="73"/>
      <c r="P950" s="73"/>
      <c r="Q950" s="73"/>
      <c r="R950" s="73"/>
      <c r="S950" s="73"/>
      <c r="T950" s="73"/>
      <c r="U950" s="73"/>
      <c r="V950" s="73"/>
      <c r="W950" s="73"/>
      <c r="X950" s="73"/>
      <c r="Y950" s="73"/>
      <c r="Z950" s="73"/>
      <c r="AA950" s="73"/>
      <c r="AB950" s="73"/>
    </row>
    <row r="951">
      <c r="A951" s="73"/>
      <c r="B951" s="73">
        <v>72006.477</v>
      </c>
      <c r="C951" s="73">
        <v>9918842.04448509</v>
      </c>
      <c r="D951" s="73">
        <v>837963.932999084</v>
      </c>
      <c r="E951" s="73">
        <v>466320.403171293</v>
      </c>
      <c r="F951" s="73"/>
      <c r="G951" s="73"/>
      <c r="H951" s="73"/>
      <c r="I951" s="73"/>
      <c r="J951" s="73"/>
      <c r="K951" s="73"/>
      <c r="L951" s="73"/>
      <c r="M951" s="73"/>
      <c r="N951" s="73"/>
      <c r="O951" s="73"/>
      <c r="P951" s="73"/>
      <c r="Q951" s="73"/>
      <c r="R951" s="73"/>
      <c r="S951" s="73"/>
      <c r="T951" s="73"/>
      <c r="U951" s="73"/>
      <c r="V951" s="73"/>
      <c r="W951" s="73"/>
      <c r="X951" s="73"/>
      <c r="Y951" s="73"/>
      <c r="Z951" s="73"/>
      <c r="AA951" s="73"/>
      <c r="AB951" s="73"/>
    </row>
    <row r="952">
      <c r="A952" s="73"/>
      <c r="B952" s="73">
        <v>72155.5</v>
      </c>
      <c r="C952" s="73">
        <v>9947318.45369411</v>
      </c>
      <c r="D952" s="73">
        <v>842900.034</v>
      </c>
      <c r="E952" s="73">
        <v>467680.19272189</v>
      </c>
      <c r="F952" s="73"/>
      <c r="G952" s="73"/>
      <c r="H952" s="73"/>
      <c r="I952" s="73"/>
      <c r="J952" s="73"/>
      <c r="K952" s="73"/>
      <c r="L952" s="73"/>
      <c r="M952" s="73"/>
      <c r="N952" s="73"/>
      <c r="O952" s="73"/>
      <c r="P952" s="73"/>
      <c r="Q952" s="73"/>
      <c r="R952" s="73"/>
      <c r="S952" s="73"/>
      <c r="T952" s="73"/>
      <c r="U952" s="73"/>
      <c r="V952" s="73"/>
      <c r="W952" s="73"/>
      <c r="X952" s="73"/>
      <c r="Y952" s="73"/>
      <c r="Z952" s="73"/>
      <c r="AA952" s="73"/>
      <c r="AB952" s="73"/>
    </row>
    <row r="953">
      <c r="A953" s="73"/>
      <c r="B953" s="73">
        <v>72304.677</v>
      </c>
      <c r="C953" s="73">
        <v>9975845.33290172</v>
      </c>
      <c r="D953" s="73">
        <v>847855.601000916</v>
      </c>
      <c r="E953" s="73">
        <v>469042.333352359</v>
      </c>
      <c r="F953" s="73"/>
      <c r="G953" s="73"/>
      <c r="H953" s="73"/>
      <c r="I953" s="73"/>
      <c r="J953" s="73"/>
      <c r="K953" s="73"/>
      <c r="L953" s="73"/>
      <c r="M953" s="73"/>
      <c r="N953" s="73"/>
      <c r="O953" s="73"/>
      <c r="P953" s="73"/>
      <c r="Q953" s="73"/>
      <c r="R953" s="73"/>
      <c r="S953" s="73"/>
      <c r="T953" s="73"/>
      <c r="U953" s="73"/>
      <c r="V953" s="73"/>
      <c r="W953" s="73"/>
      <c r="X953" s="73"/>
      <c r="Y953" s="73"/>
      <c r="Z953" s="73"/>
      <c r="AA953" s="73"/>
      <c r="AB953" s="73"/>
    </row>
    <row r="954">
      <c r="A954" s="73"/>
      <c r="B954" s="73">
        <v>72454.008</v>
      </c>
      <c r="C954" s="73">
        <v>1.00044257721078E7</v>
      </c>
      <c r="D954" s="73">
        <v>852830.793998016</v>
      </c>
      <c r="E954" s="73">
        <v>470406.887814699</v>
      </c>
      <c r="F954" s="73"/>
      <c r="G954" s="73"/>
      <c r="H954" s="73"/>
      <c r="I954" s="73"/>
      <c r="J954" s="73"/>
      <c r="K954" s="73"/>
      <c r="L954" s="73"/>
      <c r="M954" s="73"/>
      <c r="N954" s="73"/>
      <c r="O954" s="73"/>
      <c r="P954" s="73"/>
      <c r="Q954" s="73"/>
      <c r="R954" s="73"/>
      <c r="S954" s="73"/>
      <c r="T954" s="73"/>
      <c r="U954" s="73"/>
      <c r="V954" s="73"/>
      <c r="W954" s="73"/>
      <c r="X954" s="73"/>
      <c r="Y954" s="73"/>
      <c r="Z954" s="73"/>
      <c r="AA954" s="73"/>
      <c r="AB954" s="73"/>
    </row>
    <row r="955">
      <c r="A955" s="73"/>
      <c r="B955" s="73">
        <v>72603.493</v>
      </c>
      <c r="C955" s="73">
        <v>1.00330566813126E7</v>
      </c>
      <c r="D955" s="73">
        <v>857825.457498932</v>
      </c>
      <c r="E955" s="73">
        <v>471773.751804913</v>
      </c>
      <c r="F955" s="73"/>
      <c r="G955" s="73"/>
      <c r="H955" s="73"/>
      <c r="I955" s="73"/>
      <c r="J955" s="73"/>
      <c r="K955" s="73"/>
      <c r="L955" s="73"/>
      <c r="M955" s="73"/>
      <c r="N955" s="73"/>
      <c r="O955" s="73"/>
      <c r="P955" s="73"/>
      <c r="Q955" s="73"/>
      <c r="R955" s="73"/>
      <c r="S955" s="73"/>
      <c r="T955" s="73"/>
      <c r="U955" s="73"/>
      <c r="V955" s="73"/>
      <c r="W955" s="73"/>
      <c r="X955" s="73"/>
      <c r="Y955" s="73"/>
      <c r="Z955" s="73"/>
      <c r="AA955" s="73"/>
      <c r="AB955" s="73"/>
    </row>
    <row r="956">
      <c r="A956" s="73"/>
      <c r="B956" s="73">
        <v>72753.132</v>
      </c>
      <c r="C956" s="73">
        <v>1.00617390905159E7</v>
      </c>
      <c r="D956" s="73">
        <v>862839.902499847</v>
      </c>
      <c r="E956" s="73">
        <v>473143.029626997</v>
      </c>
      <c r="F956" s="73"/>
      <c r="G956" s="73"/>
      <c r="H956" s="73"/>
      <c r="I956" s="73"/>
      <c r="J956" s="73"/>
      <c r="K956" s="73"/>
      <c r="L956" s="73"/>
      <c r="M956" s="73"/>
      <c r="N956" s="73"/>
      <c r="O956" s="73"/>
      <c r="P956" s="73"/>
      <c r="Q956" s="73"/>
      <c r="R956" s="73"/>
      <c r="S956" s="73"/>
      <c r="T956" s="73"/>
      <c r="U956" s="73"/>
      <c r="V956" s="73"/>
      <c r="W956" s="73"/>
      <c r="X956" s="73"/>
      <c r="Y956" s="73"/>
      <c r="Z956" s="73"/>
      <c r="AA956" s="73"/>
      <c r="AB956" s="73"/>
    </row>
    <row r="957">
      <c r="A957" s="73"/>
      <c r="B957" s="73">
        <v>72902.925</v>
      </c>
      <c r="C957" s="73">
        <v>1.00904740297177E7</v>
      </c>
      <c r="D957" s="73">
        <v>867873.898000763</v>
      </c>
      <c r="E957" s="73">
        <v>474514.710680952</v>
      </c>
      <c r="F957" s="73"/>
      <c r="G957" s="73"/>
      <c r="H957" s="73"/>
      <c r="I957" s="73"/>
      <c r="J957" s="73"/>
      <c r="K957" s="73"/>
      <c r="L957" s="73"/>
      <c r="M957" s="73"/>
      <c r="N957" s="73"/>
      <c r="O957" s="73"/>
      <c r="P957" s="73"/>
      <c r="Q957" s="73"/>
      <c r="R957" s="73"/>
      <c r="S957" s="73"/>
      <c r="T957" s="73"/>
      <c r="U957" s="73"/>
      <c r="V957" s="73"/>
      <c r="W957" s="73"/>
      <c r="X957" s="73"/>
      <c r="Y957" s="73"/>
      <c r="Z957" s="73"/>
      <c r="AA957" s="73"/>
      <c r="AB957" s="73"/>
    </row>
    <row r="958">
      <c r="A958" s="73"/>
      <c r="B958" s="73">
        <v>73052.872</v>
      </c>
      <c r="C958" s="73">
        <v>1.01192604689181E7</v>
      </c>
      <c r="D958" s="73">
        <v>872927.599497864</v>
      </c>
      <c r="E958" s="73">
        <v>475888.753414779</v>
      </c>
      <c r="F958" s="73"/>
      <c r="G958" s="73"/>
      <c r="H958" s="73"/>
      <c r="I958" s="73"/>
      <c r="J958" s="73"/>
      <c r="K958" s="73"/>
      <c r="L958" s="73"/>
      <c r="M958" s="73"/>
      <c r="N958" s="73"/>
      <c r="O958" s="73"/>
      <c r="P958" s="73"/>
      <c r="Q958" s="73"/>
      <c r="R958" s="73"/>
      <c r="S958" s="73"/>
      <c r="T958" s="73"/>
      <c r="U958" s="73"/>
      <c r="V958" s="73"/>
      <c r="W958" s="73"/>
      <c r="X958" s="73"/>
      <c r="Y958" s="73"/>
      <c r="Z958" s="73"/>
      <c r="AA958" s="73"/>
      <c r="AB958" s="73"/>
    </row>
    <row r="959">
      <c r="A959" s="73"/>
      <c r="B959" s="73">
        <v>73202.973</v>
      </c>
      <c r="C959" s="73">
        <v>1.01480984081171E7</v>
      </c>
      <c r="D959" s="73">
        <v>878001.081998779</v>
      </c>
      <c r="E959" s="73">
        <v>477265.157828478</v>
      </c>
      <c r="F959" s="73"/>
      <c r="G959" s="73"/>
      <c r="H959" s="73"/>
      <c r="I959" s="73"/>
      <c r="J959" s="73"/>
      <c r="K959" s="73"/>
      <c r="L959" s="73"/>
      <c r="M959" s="73"/>
      <c r="N959" s="73"/>
      <c r="O959" s="73"/>
      <c r="P959" s="73"/>
      <c r="Q959" s="73"/>
      <c r="R959" s="73"/>
      <c r="S959" s="73"/>
      <c r="T959" s="73"/>
      <c r="U959" s="73"/>
      <c r="V959" s="73"/>
      <c r="W959" s="73"/>
      <c r="X959" s="73"/>
      <c r="Y959" s="73"/>
      <c r="Z959" s="73"/>
      <c r="AA959" s="73"/>
      <c r="AB959" s="73"/>
    </row>
    <row r="960">
      <c r="A960" s="73"/>
      <c r="B960" s="73">
        <v>73353.228</v>
      </c>
      <c r="C960" s="73">
        <v>1.01769888773146E7</v>
      </c>
      <c r="D960" s="73">
        <v>883094.359999695</v>
      </c>
      <c r="E960" s="73">
        <v>478643.92392205</v>
      </c>
      <c r="F960" s="73"/>
      <c r="G960" s="73"/>
      <c r="H960" s="73"/>
      <c r="I960" s="73"/>
      <c r="J960" s="73"/>
      <c r="K960" s="73"/>
      <c r="L960" s="73"/>
      <c r="M960" s="73"/>
      <c r="N960" s="73"/>
      <c r="O960" s="73"/>
      <c r="P960" s="73"/>
      <c r="Q960" s="73"/>
      <c r="R960" s="73"/>
      <c r="S960" s="73"/>
      <c r="T960" s="73"/>
      <c r="U960" s="73"/>
      <c r="V960" s="73"/>
      <c r="W960" s="73"/>
      <c r="X960" s="73"/>
      <c r="Y960" s="73"/>
      <c r="Z960" s="73"/>
      <c r="AA960" s="73"/>
      <c r="AB960" s="73"/>
    </row>
    <row r="961">
      <c r="A961" s="73"/>
      <c r="B961" s="73">
        <v>73503.637</v>
      </c>
      <c r="C961" s="73">
        <v>1.02059308465106E7</v>
      </c>
      <c r="D961" s="73">
        <v>888207.42400061</v>
      </c>
      <c r="E961" s="73">
        <v>480025.14539949</v>
      </c>
      <c r="F961" s="73"/>
      <c r="G961" s="73"/>
      <c r="H961" s="73"/>
      <c r="I961" s="73"/>
      <c r="J961" s="73"/>
      <c r="K961" s="73"/>
      <c r="L961" s="73"/>
      <c r="M961" s="73"/>
      <c r="N961" s="73"/>
      <c r="O961" s="73"/>
      <c r="P961" s="73"/>
      <c r="Q961" s="73"/>
      <c r="R961" s="73"/>
      <c r="S961" s="73"/>
      <c r="T961" s="73"/>
      <c r="U961" s="73"/>
      <c r="V961" s="73"/>
      <c r="W961" s="73"/>
      <c r="X961" s="73"/>
      <c r="Y961" s="73"/>
      <c r="Z961" s="73"/>
      <c r="AA961" s="73"/>
      <c r="AB961" s="73"/>
    </row>
    <row r="962">
      <c r="A962" s="73"/>
      <c r="B962" s="73">
        <v>73654.2</v>
      </c>
      <c r="C962" s="73">
        <v>1.02349253457053E7</v>
      </c>
      <c r="D962" s="73">
        <v>893340.273997711</v>
      </c>
      <c r="E962" s="73">
        <v>481408.687004804</v>
      </c>
      <c r="F962" s="73"/>
      <c r="G962" s="73"/>
      <c r="H962" s="73"/>
      <c r="I962" s="73"/>
      <c r="J962" s="73"/>
      <c r="K962" s="73"/>
      <c r="L962" s="73"/>
      <c r="M962" s="73"/>
      <c r="N962" s="73"/>
      <c r="O962" s="73"/>
      <c r="P962" s="73"/>
      <c r="Q962" s="73"/>
      <c r="R962" s="73"/>
      <c r="S962" s="73"/>
      <c r="T962" s="73"/>
      <c r="U962" s="73"/>
      <c r="V962" s="73"/>
      <c r="W962" s="73"/>
      <c r="X962" s="73"/>
      <c r="Y962" s="73"/>
      <c r="Z962" s="73"/>
      <c r="AA962" s="73"/>
      <c r="AB962" s="73"/>
    </row>
    <row r="963">
      <c r="A963" s="73"/>
      <c r="B963" s="73">
        <v>73804.917</v>
      </c>
      <c r="C963" s="73">
        <v>1.02639723748984E7</v>
      </c>
      <c r="D963" s="73">
        <v>898493.069998627</v>
      </c>
      <c r="E963" s="73">
        <v>482794.631841989</v>
      </c>
      <c r="F963" s="73"/>
      <c r="G963" s="73"/>
      <c r="H963" s="73"/>
      <c r="I963" s="73"/>
      <c r="J963" s="73"/>
      <c r="K963" s="73"/>
      <c r="L963" s="73"/>
      <c r="M963" s="73"/>
      <c r="N963" s="73"/>
      <c r="O963" s="73"/>
      <c r="P963" s="73"/>
      <c r="Q963" s="73"/>
      <c r="R963" s="73"/>
      <c r="S963" s="73"/>
      <c r="T963" s="73"/>
      <c r="U963" s="73"/>
      <c r="V963" s="73"/>
      <c r="W963" s="73"/>
      <c r="X963" s="73"/>
      <c r="Y963" s="73"/>
      <c r="Z963" s="73"/>
      <c r="AA963" s="73"/>
      <c r="AB963" s="73"/>
    </row>
    <row r="964">
      <c r="A964" s="73"/>
      <c r="B964" s="73">
        <v>73955.788</v>
      </c>
      <c r="C964" s="73">
        <v>1.02930698740902E7</v>
      </c>
      <c r="D964" s="73">
        <v>903665.816499542</v>
      </c>
      <c r="E964" s="73">
        <v>484182.979911043</v>
      </c>
      <c r="F964" s="73"/>
      <c r="G964" s="73"/>
      <c r="H964" s="73"/>
      <c r="I964" s="73"/>
      <c r="J964" s="73"/>
      <c r="K964" s="73"/>
      <c r="L964" s="73"/>
      <c r="M964" s="73"/>
      <c r="N964" s="73"/>
      <c r="O964" s="73"/>
      <c r="P964" s="73"/>
      <c r="Q964" s="73"/>
      <c r="R964" s="73"/>
      <c r="S964" s="73"/>
      <c r="T964" s="73"/>
      <c r="U964" s="73"/>
      <c r="V964" s="73"/>
      <c r="W964" s="73"/>
      <c r="X964" s="73"/>
      <c r="Y964" s="73"/>
      <c r="Z964" s="73"/>
      <c r="AA964" s="73"/>
      <c r="AB964" s="73"/>
    </row>
    <row r="965">
      <c r="A965" s="73"/>
      <c r="B965" s="73">
        <v>74106.813</v>
      </c>
      <c r="C965" s="73">
        <v>1.03222209332805E7</v>
      </c>
      <c r="D965" s="73">
        <v>908858.434000458</v>
      </c>
      <c r="E965" s="73">
        <v>485573.70025997</v>
      </c>
      <c r="F965" s="73"/>
      <c r="G965" s="73"/>
      <c r="H965" s="73"/>
      <c r="I965" s="73"/>
      <c r="J965" s="73"/>
      <c r="K965" s="73"/>
      <c r="L965" s="73"/>
      <c r="M965" s="73"/>
      <c r="N965" s="73"/>
      <c r="O965" s="73"/>
      <c r="P965" s="73"/>
      <c r="Q965" s="73"/>
      <c r="R965" s="73"/>
      <c r="S965" s="73"/>
      <c r="T965" s="73"/>
      <c r="U965" s="73"/>
      <c r="V965" s="73"/>
      <c r="W965" s="73"/>
      <c r="X965" s="73"/>
      <c r="Y965" s="73"/>
      <c r="Z965" s="73"/>
      <c r="AA965" s="73"/>
      <c r="AB965" s="73"/>
    </row>
    <row r="966">
      <c r="A966" s="73"/>
      <c r="B966" s="73">
        <v>74257.992</v>
      </c>
      <c r="C966" s="73">
        <v>1.03514234924693E7</v>
      </c>
      <c r="D966" s="73">
        <v>914071.076997559</v>
      </c>
      <c r="E966" s="73">
        <v>486966.823840767</v>
      </c>
      <c r="F966" s="73"/>
      <c r="G966" s="73"/>
      <c r="H966" s="73"/>
      <c r="I966" s="73"/>
      <c r="J966" s="73"/>
      <c r="K966" s="73"/>
      <c r="L966" s="73"/>
      <c r="M966" s="73"/>
      <c r="N966" s="73"/>
      <c r="O966" s="73"/>
      <c r="P966" s="73"/>
      <c r="Q966" s="73"/>
      <c r="R966" s="73"/>
      <c r="S966" s="73"/>
      <c r="T966" s="73"/>
      <c r="U966" s="73"/>
      <c r="V966" s="73"/>
      <c r="W966" s="73"/>
      <c r="X966" s="73"/>
      <c r="Y966" s="73"/>
      <c r="Z966" s="73"/>
      <c r="AA966" s="73"/>
      <c r="AB966" s="73"/>
    </row>
    <row r="967">
      <c r="A967" s="73"/>
      <c r="B967" s="73">
        <v>74409.325</v>
      </c>
      <c r="C967" s="73">
        <v>1.03806785816567E7</v>
      </c>
      <c r="D967" s="73">
        <v>919303.745998474</v>
      </c>
      <c r="E967" s="73">
        <v>488362.309101437</v>
      </c>
      <c r="F967" s="73"/>
      <c r="G967" s="73"/>
      <c r="H967" s="73"/>
      <c r="I967" s="73"/>
      <c r="J967" s="73"/>
      <c r="K967" s="73"/>
      <c r="L967" s="73"/>
      <c r="M967" s="73"/>
      <c r="N967" s="73"/>
      <c r="O967" s="73"/>
      <c r="P967" s="73"/>
      <c r="Q967" s="73"/>
      <c r="R967" s="73"/>
      <c r="S967" s="73"/>
      <c r="T967" s="73"/>
      <c r="U967" s="73"/>
      <c r="V967" s="73"/>
      <c r="W967" s="73"/>
      <c r="X967" s="73"/>
      <c r="Y967" s="73"/>
      <c r="Z967" s="73"/>
      <c r="AA967" s="73"/>
      <c r="AB967" s="73"/>
    </row>
    <row r="968">
      <c r="A968" s="73"/>
      <c r="B968" s="73">
        <v>74560.812</v>
      </c>
      <c r="C968" s="73">
        <v>1.04099851708426E7</v>
      </c>
      <c r="D968" s="73">
        <v>924556.45099939</v>
      </c>
      <c r="E968" s="73">
        <v>489760.197593977</v>
      </c>
      <c r="F968" s="73"/>
      <c r="G968" s="73"/>
      <c r="H968" s="73"/>
      <c r="I968" s="73"/>
      <c r="J968" s="73"/>
      <c r="K968" s="73"/>
      <c r="L968" s="73"/>
      <c r="M968" s="73"/>
      <c r="N968" s="73"/>
      <c r="O968" s="73"/>
      <c r="P968" s="73"/>
      <c r="Q968" s="73"/>
      <c r="R968" s="73"/>
      <c r="S968" s="73"/>
      <c r="T968" s="73"/>
      <c r="U968" s="73"/>
      <c r="V968" s="73"/>
      <c r="W968" s="73"/>
      <c r="X968" s="73"/>
      <c r="Y968" s="73"/>
      <c r="Z968" s="73"/>
      <c r="AA968" s="73"/>
      <c r="AB968" s="73"/>
    </row>
    <row r="969">
      <c r="A969" s="73"/>
      <c r="B969" s="73">
        <v>74712.453</v>
      </c>
      <c r="C969" s="73">
        <v>1.04393442900271E7</v>
      </c>
      <c r="D969" s="73">
        <v>929829.261000305</v>
      </c>
      <c r="E969" s="73">
        <v>491160.499918386</v>
      </c>
      <c r="F969" s="73"/>
      <c r="G969" s="73"/>
      <c r="H969" s="73"/>
      <c r="I969" s="73"/>
      <c r="J969" s="73"/>
      <c r="K969" s="73"/>
      <c r="L969" s="73"/>
      <c r="M969" s="73"/>
      <c r="N969" s="73"/>
      <c r="O969" s="73"/>
      <c r="P969" s="73"/>
      <c r="Q969" s="73"/>
      <c r="R969" s="73"/>
      <c r="S969" s="73"/>
      <c r="T969" s="73"/>
      <c r="U969" s="73"/>
      <c r="V969" s="73"/>
      <c r="W969" s="73"/>
      <c r="X969" s="73"/>
      <c r="Y969" s="73"/>
      <c r="Z969" s="73"/>
      <c r="AA969" s="73"/>
      <c r="AB969" s="73"/>
    </row>
    <row r="970">
      <c r="A970" s="73"/>
      <c r="B970" s="73">
        <v>74864.248</v>
      </c>
      <c r="C970" s="73">
        <v>1.04687569692101E7</v>
      </c>
      <c r="D970" s="73">
        <v>935122.182497406</v>
      </c>
      <c r="E970" s="73">
        <v>492563.205474666</v>
      </c>
      <c r="F970" s="73"/>
      <c r="G970" s="73"/>
      <c r="H970" s="73"/>
      <c r="I970" s="73"/>
      <c r="J970" s="73"/>
      <c r="K970" s="73"/>
      <c r="L970" s="73"/>
      <c r="M970" s="73"/>
      <c r="N970" s="73"/>
      <c r="O970" s="73"/>
      <c r="P970" s="73"/>
      <c r="Q970" s="73"/>
      <c r="R970" s="73"/>
      <c r="S970" s="73"/>
      <c r="T970" s="73"/>
      <c r="U970" s="73"/>
      <c r="V970" s="73"/>
      <c r="W970" s="73"/>
      <c r="X970" s="73"/>
      <c r="Y970" s="73"/>
      <c r="Z970" s="73"/>
      <c r="AA970" s="73"/>
      <c r="AB970" s="73"/>
    </row>
    <row r="971">
      <c r="A971" s="73"/>
      <c r="B971" s="73">
        <v>75016.197</v>
      </c>
      <c r="C971" s="73">
        <v>1.04982211483917E7</v>
      </c>
      <c r="D971" s="73">
        <v>940435.369498322</v>
      </c>
      <c r="E971" s="73">
        <v>493968.272710818</v>
      </c>
      <c r="F971" s="73"/>
      <c r="G971" s="73"/>
      <c r="H971" s="73"/>
      <c r="I971" s="73"/>
      <c r="J971" s="73"/>
      <c r="K971" s="73"/>
      <c r="L971" s="73"/>
      <c r="M971" s="73"/>
      <c r="N971" s="73"/>
      <c r="O971" s="73"/>
      <c r="P971" s="73"/>
      <c r="Q971" s="73"/>
      <c r="R971" s="73"/>
      <c r="S971" s="73"/>
      <c r="T971" s="73"/>
      <c r="U971" s="73"/>
      <c r="V971" s="73"/>
      <c r="W971" s="73"/>
      <c r="X971" s="73"/>
      <c r="Y971" s="73"/>
      <c r="Z971" s="73"/>
      <c r="AA971" s="73"/>
      <c r="AB971" s="73"/>
    </row>
    <row r="972">
      <c r="A972" s="73"/>
      <c r="B972" s="73">
        <v>75168.3</v>
      </c>
      <c r="C972" s="73">
        <v>1.05277368275719E7</v>
      </c>
      <c r="D972" s="73">
        <v>945768.667499237</v>
      </c>
      <c r="E972" s="73">
        <v>495375.76437884</v>
      </c>
      <c r="F972" s="73"/>
      <c r="G972" s="73"/>
      <c r="H972" s="73"/>
      <c r="I972" s="73"/>
      <c r="J972" s="73"/>
      <c r="K972" s="73"/>
      <c r="L972" s="73"/>
      <c r="M972" s="73"/>
      <c r="N972" s="73"/>
      <c r="O972" s="73"/>
      <c r="P972" s="73"/>
      <c r="Q972" s="73"/>
      <c r="R972" s="73"/>
      <c r="S972" s="73"/>
      <c r="T972" s="73"/>
      <c r="U972" s="73"/>
      <c r="V972" s="73"/>
      <c r="W972" s="73"/>
      <c r="X972" s="73"/>
      <c r="Y972" s="73"/>
      <c r="Z972" s="73"/>
      <c r="AA972" s="73"/>
      <c r="AB972" s="73"/>
    </row>
    <row r="973">
      <c r="A973" s="73"/>
      <c r="B973" s="73">
        <v>75320.557</v>
      </c>
      <c r="C973" s="73">
        <v>1.05573060667505E7</v>
      </c>
      <c r="D973" s="73">
        <v>951122.236000153</v>
      </c>
      <c r="E973" s="73">
        <v>496785.607126734</v>
      </c>
      <c r="F973" s="73"/>
      <c r="G973" s="73"/>
      <c r="H973" s="73"/>
      <c r="I973" s="73"/>
      <c r="J973" s="73"/>
      <c r="K973" s="73"/>
      <c r="L973" s="73"/>
      <c r="M973" s="73"/>
      <c r="N973" s="73"/>
      <c r="O973" s="73"/>
      <c r="P973" s="73"/>
      <c r="Q973" s="73"/>
      <c r="R973" s="73"/>
      <c r="S973" s="73"/>
      <c r="T973" s="73"/>
      <c r="U973" s="73"/>
      <c r="V973" s="73"/>
      <c r="W973" s="73"/>
      <c r="X973" s="73"/>
      <c r="Y973" s="73"/>
      <c r="Z973" s="73"/>
      <c r="AA973" s="73"/>
      <c r="AB973" s="73"/>
    </row>
    <row r="974">
      <c r="A974" s="73"/>
      <c r="B974" s="73">
        <v>75472.968</v>
      </c>
      <c r="C974" s="73">
        <v>1.05869268059278E7</v>
      </c>
      <c r="D974" s="73">
        <v>956496.079997253</v>
      </c>
      <c r="E974" s="73">
        <v>498197.894658496</v>
      </c>
      <c r="F974" s="73"/>
      <c r="G974" s="73"/>
      <c r="H974" s="73"/>
      <c r="I974" s="73"/>
      <c r="J974" s="73"/>
      <c r="K974" s="73"/>
      <c r="L974" s="73"/>
      <c r="M974" s="73"/>
      <c r="N974" s="73"/>
      <c r="O974" s="73"/>
      <c r="P974" s="73"/>
      <c r="Q974" s="73"/>
      <c r="R974" s="73"/>
      <c r="S974" s="73"/>
      <c r="T974" s="73"/>
      <c r="U974" s="73"/>
      <c r="V974" s="73"/>
      <c r="W974" s="73"/>
      <c r="X974" s="73"/>
      <c r="Y974" s="73"/>
      <c r="Z974" s="73"/>
      <c r="AA974" s="73"/>
      <c r="AB974" s="73"/>
    </row>
    <row r="975">
      <c r="A975" s="73"/>
      <c r="B975" s="73">
        <v>75625.533</v>
      </c>
      <c r="C975" s="73">
        <v>1.06166011051035E7</v>
      </c>
      <c r="D975" s="73">
        <v>961890.184998169</v>
      </c>
      <c r="E975" s="73">
        <v>499612.56507013</v>
      </c>
      <c r="F975" s="73"/>
      <c r="G975" s="73"/>
      <c r="H975" s="73"/>
      <c r="I975" s="73"/>
      <c r="J975" s="73"/>
      <c r="K975" s="73"/>
      <c r="L975" s="73"/>
      <c r="M975" s="73"/>
      <c r="N975" s="73"/>
      <c r="O975" s="73"/>
      <c r="P975" s="73"/>
      <c r="Q975" s="73"/>
      <c r="R975" s="73"/>
      <c r="S975" s="73"/>
      <c r="T975" s="73"/>
      <c r="U975" s="73"/>
      <c r="V975" s="73"/>
      <c r="W975" s="73"/>
      <c r="X975" s="73"/>
      <c r="Y975" s="73"/>
      <c r="Z975" s="73"/>
      <c r="AA975" s="73"/>
      <c r="AB975" s="73"/>
    </row>
    <row r="976">
      <c r="A976" s="73"/>
      <c r="B976" s="73">
        <v>75778.252</v>
      </c>
      <c r="C976" s="73">
        <v>1.06463279342778E7</v>
      </c>
      <c r="D976" s="73">
        <v>967304.725499084</v>
      </c>
      <c r="E976" s="73">
        <v>501029.638713634</v>
      </c>
      <c r="F976" s="73"/>
      <c r="G976" s="73"/>
      <c r="H976" s="73"/>
      <c r="I976" s="73"/>
      <c r="J976" s="73"/>
      <c r="K976" s="73"/>
      <c r="L976" s="73"/>
      <c r="M976" s="73"/>
      <c r="N976" s="73"/>
      <c r="O976" s="73"/>
      <c r="P976" s="73"/>
      <c r="Q976" s="73"/>
      <c r="R976" s="73"/>
      <c r="S976" s="73"/>
      <c r="T976" s="73"/>
      <c r="U976" s="73"/>
      <c r="V976" s="73"/>
      <c r="W976" s="73"/>
      <c r="X976" s="73"/>
      <c r="Y976" s="73"/>
      <c r="Z976" s="73"/>
      <c r="AA976" s="73"/>
      <c r="AB976" s="73"/>
    </row>
    <row r="977">
      <c r="A977" s="73"/>
      <c r="B977" s="73">
        <v>75931.125</v>
      </c>
      <c r="C977" s="73">
        <v>1.06761062634506E7</v>
      </c>
      <c r="D977" s="73">
        <v>972739.537</v>
      </c>
      <c r="E977" s="73">
        <v>502449.10498901</v>
      </c>
      <c r="F977" s="73"/>
      <c r="G977" s="73"/>
      <c r="H977" s="73"/>
      <c r="I977" s="73"/>
      <c r="J977" s="73"/>
      <c r="K977" s="73"/>
      <c r="L977" s="73"/>
      <c r="M977" s="73"/>
      <c r="N977" s="73"/>
      <c r="O977" s="73"/>
      <c r="P977" s="73"/>
      <c r="Q977" s="73"/>
      <c r="R977" s="73"/>
      <c r="S977" s="73"/>
      <c r="T977" s="73"/>
      <c r="U977" s="73"/>
      <c r="V977" s="73"/>
      <c r="W977" s="73"/>
      <c r="X977" s="73"/>
      <c r="Y977" s="73"/>
      <c r="Z977" s="73"/>
      <c r="AA977" s="73"/>
      <c r="AB977" s="73"/>
    </row>
    <row r="978">
      <c r="A978" s="73"/>
      <c r="B978" s="73">
        <v>76084.152</v>
      </c>
      <c r="C978" s="73">
        <v>1.0705938152622E7</v>
      </c>
      <c r="D978" s="73">
        <v>978194.859000916</v>
      </c>
      <c r="E978" s="73">
        <v>503870.995696254</v>
      </c>
      <c r="F978" s="73"/>
      <c r="G978" s="73"/>
      <c r="H978" s="73"/>
      <c r="I978" s="73"/>
      <c r="J978" s="73"/>
      <c r="K978" s="73"/>
      <c r="L978" s="73"/>
      <c r="M978" s="73"/>
      <c r="N978" s="73"/>
      <c r="O978" s="73"/>
      <c r="P978" s="73"/>
      <c r="Q978" s="73"/>
      <c r="R978" s="73"/>
      <c r="S978" s="73"/>
      <c r="T978" s="73"/>
      <c r="U978" s="73"/>
      <c r="V978" s="73"/>
      <c r="W978" s="73"/>
      <c r="X978" s="73"/>
      <c r="Y978" s="73"/>
      <c r="Z978" s="73"/>
      <c r="AA978" s="73"/>
      <c r="AB978" s="73"/>
    </row>
    <row r="979">
      <c r="A979" s="73"/>
      <c r="B979" s="73">
        <v>76237.333</v>
      </c>
      <c r="C979" s="73">
        <v>1.07358225717919E7</v>
      </c>
      <c r="D979" s="73">
        <v>983670.611498016</v>
      </c>
      <c r="E979" s="73">
        <v>505295.289635368</v>
      </c>
      <c r="F979" s="73"/>
      <c r="G979" s="73"/>
      <c r="H979" s="73"/>
      <c r="I979" s="73"/>
      <c r="J979" s="73"/>
      <c r="K979" s="73"/>
      <c r="L979" s="73"/>
      <c r="M979" s="73"/>
      <c r="N979" s="73"/>
      <c r="O979" s="73"/>
      <c r="P979" s="73"/>
      <c r="Q979" s="73"/>
      <c r="R979" s="73"/>
      <c r="S979" s="73"/>
      <c r="T979" s="73"/>
      <c r="U979" s="73"/>
      <c r="V979" s="73"/>
      <c r="W979" s="73"/>
      <c r="X979" s="73"/>
      <c r="Y979" s="73"/>
      <c r="Z979" s="73"/>
      <c r="AA979" s="73"/>
      <c r="AB979" s="73"/>
    </row>
    <row r="980">
      <c r="A980" s="73"/>
      <c r="B980" s="73">
        <v>76390.668</v>
      </c>
      <c r="C980" s="73">
        <v>1.07657584909604E7</v>
      </c>
      <c r="D980" s="73">
        <v>989166.874998932</v>
      </c>
      <c r="E980" s="73">
        <v>506721.997406352</v>
      </c>
      <c r="F980" s="73"/>
      <c r="G980" s="73"/>
      <c r="H980" s="73"/>
      <c r="I980" s="73"/>
      <c r="J980" s="73"/>
      <c r="K980" s="73"/>
      <c r="L980" s="73"/>
      <c r="M980" s="73"/>
      <c r="N980" s="73"/>
      <c r="O980" s="73"/>
      <c r="P980" s="73"/>
      <c r="Q980" s="73"/>
      <c r="R980" s="73"/>
      <c r="S980" s="73"/>
      <c r="T980" s="73"/>
      <c r="U980" s="73"/>
      <c r="V980" s="73"/>
      <c r="W980" s="73"/>
      <c r="X980" s="73"/>
      <c r="Y980" s="73"/>
      <c r="Z980" s="73"/>
      <c r="AA980" s="73"/>
      <c r="AB980" s="73"/>
    </row>
    <row r="981">
      <c r="A981" s="73"/>
      <c r="B981" s="73">
        <v>76544.157</v>
      </c>
      <c r="C981" s="73">
        <v>1.07957500301273E7</v>
      </c>
      <c r="D981" s="73">
        <v>994683.568999847</v>
      </c>
      <c r="E981" s="73">
        <v>508151.108409206</v>
      </c>
      <c r="F981" s="73"/>
      <c r="G981" s="73"/>
      <c r="H981" s="73"/>
      <c r="I981" s="73"/>
      <c r="J981" s="73"/>
      <c r="K981" s="73"/>
      <c r="L981" s="73"/>
      <c r="M981" s="73"/>
      <c r="N981" s="73"/>
      <c r="O981" s="73"/>
      <c r="P981" s="73"/>
      <c r="Q981" s="73"/>
      <c r="R981" s="73"/>
      <c r="S981" s="73"/>
      <c r="T981" s="73"/>
      <c r="U981" s="73"/>
      <c r="V981" s="73"/>
      <c r="W981" s="73"/>
      <c r="X981" s="73"/>
      <c r="Y981" s="73"/>
      <c r="Z981" s="73"/>
      <c r="AA981" s="73"/>
      <c r="AB981" s="73"/>
    </row>
    <row r="982">
      <c r="A982" s="73"/>
      <c r="B982" s="73">
        <v>76697.8</v>
      </c>
      <c r="C982" s="73">
        <v>1.08257920392928E7</v>
      </c>
      <c r="D982" s="73">
        <v>1000220.93350076</v>
      </c>
      <c r="E982" s="73">
        <v>509582.63324393</v>
      </c>
      <c r="F982" s="73"/>
      <c r="G982" s="73"/>
      <c r="H982" s="73"/>
      <c r="I982" s="73"/>
      <c r="J982" s="73"/>
      <c r="K982" s="73"/>
      <c r="L982" s="73"/>
      <c r="M982" s="73"/>
      <c r="N982" s="73"/>
      <c r="O982" s="73"/>
      <c r="P982" s="73"/>
      <c r="Q982" s="73"/>
      <c r="R982" s="73"/>
      <c r="S982" s="73"/>
      <c r="T982" s="73"/>
      <c r="U982" s="73"/>
      <c r="V982" s="73"/>
      <c r="W982" s="73"/>
      <c r="X982" s="73"/>
      <c r="Y982" s="73"/>
      <c r="Z982" s="73"/>
      <c r="AA982" s="73"/>
      <c r="AB982" s="73"/>
    </row>
    <row r="983">
      <c r="A983" s="73"/>
      <c r="B983" s="73">
        <v>76851.597</v>
      </c>
      <c r="C983" s="73">
        <v>1.08558865784569E7</v>
      </c>
      <c r="D983" s="73">
        <v>1005778.81399786</v>
      </c>
      <c r="E983" s="73">
        <v>511016.561310525</v>
      </c>
      <c r="F983" s="73"/>
      <c r="G983" s="73"/>
      <c r="H983" s="73"/>
      <c r="I983" s="73"/>
      <c r="J983" s="73"/>
      <c r="K983" s="73"/>
      <c r="L983" s="73"/>
      <c r="M983" s="73"/>
      <c r="N983" s="73"/>
      <c r="O983" s="73"/>
      <c r="P983" s="73"/>
      <c r="Q983" s="73"/>
      <c r="R983" s="73"/>
      <c r="S983" s="73"/>
      <c r="T983" s="73"/>
      <c r="U983" s="73"/>
      <c r="V983" s="73"/>
      <c r="W983" s="73"/>
      <c r="X983" s="73"/>
      <c r="Y983" s="73"/>
      <c r="Z983" s="73"/>
      <c r="AA983" s="73"/>
      <c r="AB983" s="73"/>
    </row>
    <row r="984">
      <c r="A984" s="73"/>
      <c r="B984" s="73">
        <v>77005.548</v>
      </c>
      <c r="C984" s="73">
        <v>1.08860346776195E7</v>
      </c>
      <c r="D984" s="73">
        <v>1011357.44499878</v>
      </c>
      <c r="E984" s="73">
        <v>512452.913808988</v>
      </c>
      <c r="F984" s="73"/>
      <c r="G984" s="73"/>
      <c r="H984" s="73"/>
      <c r="I984" s="73"/>
      <c r="J984" s="73"/>
      <c r="K984" s="73"/>
      <c r="L984" s="73"/>
      <c r="M984" s="73"/>
      <c r="N984" s="73"/>
      <c r="O984" s="73"/>
      <c r="P984" s="73"/>
      <c r="Q984" s="73"/>
      <c r="R984" s="73"/>
      <c r="S984" s="73"/>
      <c r="T984" s="73"/>
      <c r="U984" s="73"/>
      <c r="V984" s="73"/>
      <c r="W984" s="73"/>
      <c r="X984" s="73"/>
      <c r="Y984" s="73"/>
      <c r="Z984" s="73"/>
      <c r="AA984" s="73"/>
      <c r="AB984" s="73"/>
    </row>
    <row r="985">
      <c r="A985" s="73"/>
      <c r="B985" s="73">
        <v>77159.653</v>
      </c>
      <c r="C985" s="73">
        <v>1.09162363367805E7</v>
      </c>
      <c r="D985" s="73">
        <v>1016956.58649969</v>
      </c>
      <c r="E985" s="73">
        <v>513891.658939322</v>
      </c>
      <c r="F985" s="73"/>
      <c r="G985" s="73"/>
      <c r="H985" s="73"/>
      <c r="I985" s="73"/>
      <c r="J985" s="73"/>
      <c r="K985" s="73"/>
      <c r="L985" s="73"/>
      <c r="M985" s="73"/>
      <c r="N985" s="73"/>
      <c r="O985" s="73"/>
      <c r="P985" s="73"/>
      <c r="Q985" s="73"/>
      <c r="R985" s="73"/>
      <c r="S985" s="73"/>
      <c r="T985" s="73"/>
      <c r="U985" s="73"/>
      <c r="V985" s="73"/>
      <c r="W985" s="73"/>
      <c r="X985" s="73"/>
      <c r="Y985" s="73"/>
      <c r="Z985" s="73"/>
      <c r="AA985" s="73"/>
      <c r="AB985" s="73"/>
    </row>
    <row r="986">
      <c r="A986" s="73"/>
      <c r="B986" s="73">
        <v>77313.912</v>
      </c>
      <c r="C986" s="73">
        <v>1.09464894959402E7</v>
      </c>
      <c r="D986" s="73">
        <v>1022576.55850061</v>
      </c>
      <c r="E986" s="73">
        <v>515332.828501526</v>
      </c>
      <c r="F986" s="73"/>
      <c r="G986" s="73"/>
      <c r="H986" s="73"/>
      <c r="I986" s="73"/>
      <c r="J986" s="73"/>
      <c r="K986" s="73"/>
      <c r="L986" s="73"/>
      <c r="M986" s="73"/>
      <c r="N986" s="73"/>
      <c r="O986" s="73"/>
      <c r="P986" s="73"/>
      <c r="Q986" s="73"/>
      <c r="R986" s="73"/>
      <c r="S986" s="73"/>
      <c r="T986" s="73"/>
      <c r="U986" s="73"/>
      <c r="V986" s="73"/>
      <c r="W986" s="73"/>
      <c r="X986" s="73"/>
      <c r="Y986" s="73"/>
      <c r="Z986" s="73"/>
      <c r="AA986" s="73"/>
      <c r="AB986" s="73"/>
    </row>
    <row r="987">
      <c r="A987" s="73"/>
      <c r="B987" s="73">
        <v>77468.325</v>
      </c>
      <c r="C987" s="73">
        <v>1.09767972450984E7</v>
      </c>
      <c r="D987" s="73">
        <v>1028217.21099771</v>
      </c>
      <c r="E987" s="73">
        <v>516776.432247598</v>
      </c>
      <c r="F987" s="73"/>
      <c r="G987" s="73"/>
      <c r="H987" s="73"/>
      <c r="I987" s="73"/>
      <c r="J987" s="73"/>
      <c r="K987" s="73"/>
      <c r="L987" s="73"/>
      <c r="M987" s="73"/>
      <c r="N987" s="73"/>
      <c r="O987" s="73"/>
      <c r="P987" s="73"/>
      <c r="Q987" s="73"/>
      <c r="R987" s="73"/>
      <c r="S987" s="73"/>
      <c r="T987" s="73"/>
      <c r="U987" s="73"/>
      <c r="V987" s="73"/>
      <c r="W987" s="73"/>
      <c r="X987" s="73"/>
      <c r="Y987" s="73"/>
      <c r="Z987" s="73"/>
      <c r="AA987" s="73"/>
      <c r="AB987" s="73"/>
    </row>
    <row r="988">
      <c r="A988" s="73"/>
      <c r="B988" s="73">
        <v>77622.892</v>
      </c>
      <c r="C988" s="73">
        <v>1.1007157524255E7</v>
      </c>
      <c r="D988" s="73">
        <v>1033878.68949863</v>
      </c>
      <c r="E988" s="73">
        <v>518222.418873541</v>
      </c>
      <c r="F988" s="73"/>
      <c r="G988" s="73"/>
      <c r="H988" s="73"/>
      <c r="I988" s="73"/>
      <c r="J988" s="73"/>
      <c r="K988" s="73"/>
      <c r="L988" s="73"/>
      <c r="M988" s="73"/>
      <c r="N988" s="73"/>
      <c r="O988" s="73"/>
      <c r="P988" s="73"/>
      <c r="Q988" s="73"/>
      <c r="R988" s="73"/>
      <c r="S988" s="73"/>
      <c r="T988" s="73"/>
      <c r="U988" s="73"/>
      <c r="V988" s="73"/>
      <c r="W988" s="73"/>
      <c r="X988" s="73"/>
      <c r="Y988" s="73"/>
      <c r="Z988" s="73"/>
      <c r="AA988" s="73"/>
      <c r="AB988" s="73"/>
    </row>
    <row r="989">
      <c r="A989" s="73"/>
      <c r="B989" s="73">
        <v>77777.613</v>
      </c>
      <c r="C989" s="73">
        <v>1.10375703334103E7</v>
      </c>
      <c r="D989" s="73">
        <v>1039560.91849954</v>
      </c>
      <c r="E989" s="73">
        <v>519670.850283353</v>
      </c>
      <c r="F989" s="73"/>
      <c r="G989" s="73"/>
      <c r="H989" s="73"/>
      <c r="I989" s="73"/>
      <c r="J989" s="73"/>
      <c r="K989" s="73"/>
      <c r="L989" s="73"/>
      <c r="M989" s="73"/>
      <c r="N989" s="73"/>
      <c r="O989" s="73"/>
      <c r="P989" s="73"/>
      <c r="Q989" s="73"/>
      <c r="R989" s="73"/>
      <c r="S989" s="73"/>
      <c r="T989" s="73"/>
      <c r="U989" s="73"/>
      <c r="V989" s="73"/>
      <c r="W989" s="73"/>
      <c r="X989" s="73"/>
      <c r="Y989" s="73"/>
      <c r="Z989" s="73"/>
      <c r="AA989" s="73"/>
      <c r="AB989" s="73"/>
    </row>
    <row r="990">
      <c r="A990" s="73"/>
      <c r="B990" s="73">
        <v>77932.488</v>
      </c>
      <c r="C990" s="73">
        <v>1.1068035672564E7</v>
      </c>
      <c r="D990" s="73">
        <v>1045263.98800046</v>
      </c>
      <c r="E990" s="73">
        <v>521121.695525034</v>
      </c>
      <c r="F990" s="73"/>
      <c r="G990" s="73"/>
      <c r="H990" s="73"/>
      <c r="I990" s="73"/>
      <c r="J990" s="73"/>
      <c r="K990" s="73"/>
      <c r="L990" s="73"/>
      <c r="M990" s="73"/>
      <c r="N990" s="73"/>
      <c r="O990" s="73"/>
      <c r="P990" s="73"/>
      <c r="Q990" s="73"/>
      <c r="R990" s="73"/>
      <c r="S990" s="73"/>
      <c r="T990" s="73"/>
      <c r="U990" s="73"/>
      <c r="V990" s="73"/>
      <c r="W990" s="73"/>
      <c r="X990" s="73"/>
      <c r="Y990" s="73"/>
      <c r="Z990" s="73"/>
      <c r="AA990" s="73"/>
      <c r="AB990" s="73"/>
    </row>
    <row r="991">
      <c r="A991" s="73"/>
      <c r="B991" s="73">
        <v>78087.517</v>
      </c>
      <c r="C991" s="73">
        <v>1.10985556017163E7</v>
      </c>
      <c r="D991" s="73">
        <v>1050987.96299756</v>
      </c>
      <c r="E991" s="73">
        <v>522574.954598585</v>
      </c>
      <c r="F991" s="73"/>
      <c r="G991" s="73"/>
      <c r="H991" s="73"/>
      <c r="I991" s="73"/>
      <c r="J991" s="73"/>
      <c r="K991" s="73"/>
      <c r="L991" s="73"/>
      <c r="M991" s="73"/>
      <c r="N991" s="73"/>
      <c r="O991" s="73"/>
      <c r="P991" s="73"/>
      <c r="Q991" s="73"/>
      <c r="R991" s="73"/>
      <c r="S991" s="73"/>
      <c r="T991" s="73"/>
      <c r="U991" s="73"/>
      <c r="V991" s="73"/>
      <c r="W991" s="73"/>
      <c r="X991" s="73"/>
      <c r="Y991" s="73"/>
      <c r="Z991" s="73"/>
      <c r="AA991" s="73"/>
      <c r="AB991" s="73"/>
    </row>
    <row r="992">
      <c r="A992" s="73"/>
      <c r="B992" s="73">
        <v>78242.7</v>
      </c>
      <c r="C992" s="73">
        <v>1.11291280608671E7</v>
      </c>
      <c r="D992" s="73">
        <v>1056732.85849847</v>
      </c>
      <c r="E992" s="73">
        <v>524030.669056003</v>
      </c>
      <c r="F992" s="73"/>
      <c r="G992" s="73"/>
      <c r="H992" s="73"/>
      <c r="I992" s="73"/>
      <c r="J992" s="73"/>
      <c r="K992" s="73"/>
      <c r="L992" s="73"/>
      <c r="M992" s="73"/>
      <c r="N992" s="73"/>
      <c r="O992" s="73"/>
      <c r="P992" s="73"/>
      <c r="Q992" s="73"/>
      <c r="R992" s="73"/>
      <c r="S992" s="73"/>
      <c r="T992" s="73"/>
      <c r="U992" s="73"/>
      <c r="V992" s="73"/>
      <c r="W992" s="73"/>
      <c r="X992" s="73"/>
      <c r="Y992" s="73"/>
      <c r="Z992" s="73"/>
      <c r="AA992" s="73"/>
      <c r="AB992" s="73"/>
    </row>
    <row r="993">
      <c r="A993" s="73"/>
      <c r="B993" s="73">
        <v>78398.037</v>
      </c>
      <c r="C993" s="73">
        <v>1.11597540800164E7</v>
      </c>
      <c r="D993" s="73">
        <v>1062498.74449939</v>
      </c>
      <c r="E993" s="73">
        <v>525488.776145292</v>
      </c>
      <c r="F993" s="73"/>
      <c r="G993" s="73"/>
      <c r="H993" s="73"/>
      <c r="I993" s="73"/>
      <c r="J993" s="73"/>
      <c r="K993" s="73"/>
      <c r="L993" s="73"/>
      <c r="M993" s="73"/>
      <c r="N993" s="73"/>
      <c r="O993" s="73"/>
      <c r="P993" s="73"/>
      <c r="Q993" s="73"/>
      <c r="R993" s="73"/>
      <c r="S993" s="73"/>
      <c r="T993" s="73"/>
      <c r="U993" s="73"/>
      <c r="V993" s="73"/>
      <c r="W993" s="73"/>
      <c r="X993" s="73"/>
      <c r="Y993" s="73"/>
      <c r="Z993" s="73"/>
      <c r="AA993" s="73"/>
      <c r="AB993" s="73"/>
    </row>
    <row r="994">
      <c r="A994" s="73"/>
      <c r="B994" s="73">
        <v>78553.528</v>
      </c>
      <c r="C994" s="73">
        <v>1.11904326291642E7</v>
      </c>
      <c r="D994" s="73">
        <v>1068285.54600031</v>
      </c>
      <c r="E994" s="73">
        <v>526949.31826645</v>
      </c>
      <c r="F994" s="73"/>
      <c r="G994" s="73"/>
      <c r="H994" s="73"/>
      <c r="I994" s="73"/>
      <c r="J994" s="73"/>
      <c r="K994" s="73"/>
      <c r="L994" s="73"/>
      <c r="M994" s="73"/>
      <c r="N994" s="73"/>
      <c r="O994" s="73"/>
      <c r="P994" s="73"/>
      <c r="Q994" s="73"/>
      <c r="R994" s="73"/>
      <c r="S994" s="73"/>
      <c r="T994" s="73"/>
      <c r="U994" s="73"/>
      <c r="V994" s="73"/>
      <c r="W994" s="73"/>
      <c r="X994" s="73"/>
      <c r="Y994" s="73"/>
      <c r="Z994" s="73"/>
      <c r="AA994" s="73"/>
      <c r="AB994" s="73"/>
    </row>
    <row r="995">
      <c r="A995" s="73"/>
      <c r="B995" s="73">
        <v>78709.173</v>
      </c>
      <c r="C995" s="73">
        <v>1.12211647383106E7</v>
      </c>
      <c r="D995" s="73">
        <v>1074093.42299741</v>
      </c>
      <c r="E995" s="73">
        <v>528412.263619477</v>
      </c>
      <c r="F995" s="73"/>
      <c r="G995" s="73"/>
      <c r="H995" s="73"/>
      <c r="I995" s="73"/>
      <c r="J995" s="73"/>
      <c r="K995" s="73"/>
      <c r="L995" s="73"/>
      <c r="M995" s="73"/>
      <c r="N995" s="73"/>
      <c r="O995" s="73"/>
      <c r="P995" s="73"/>
      <c r="Q995" s="73"/>
      <c r="R995" s="73"/>
      <c r="S995" s="73"/>
      <c r="T995" s="73"/>
      <c r="U995" s="73"/>
      <c r="V995" s="73"/>
      <c r="W995" s="73"/>
      <c r="X995" s="73"/>
      <c r="Y995" s="73"/>
      <c r="Z995" s="73"/>
      <c r="AA995" s="73"/>
      <c r="AB995" s="73"/>
    </row>
    <row r="996">
      <c r="A996" s="73"/>
      <c r="B996" s="73">
        <v>78864.972</v>
      </c>
      <c r="C996" s="73">
        <v>1.12519504074554E7</v>
      </c>
      <c r="D996" s="73">
        <v>1079922.28599832</v>
      </c>
      <c r="E996" s="73">
        <v>529877.653756373</v>
      </c>
      <c r="F996" s="73"/>
      <c r="G996" s="73"/>
      <c r="H996" s="73"/>
      <c r="I996" s="73"/>
      <c r="J996" s="73"/>
      <c r="K996" s="73"/>
      <c r="L996" s="73"/>
      <c r="M996" s="73"/>
      <c r="N996" s="73"/>
      <c r="O996" s="73"/>
      <c r="P996" s="73"/>
      <c r="Q996" s="73"/>
      <c r="R996" s="73"/>
      <c r="S996" s="73"/>
      <c r="T996" s="73"/>
      <c r="U996" s="73"/>
      <c r="V996" s="73"/>
      <c r="W996" s="73"/>
      <c r="X996" s="73"/>
      <c r="Y996" s="73"/>
      <c r="Z996" s="73"/>
      <c r="AA996" s="73"/>
      <c r="AB996" s="73"/>
    </row>
    <row r="997">
      <c r="A997" s="73"/>
      <c r="B997" s="73">
        <v>79020.925</v>
      </c>
      <c r="C997" s="73">
        <v>1.12827886065989E7</v>
      </c>
      <c r="D997" s="73">
        <v>1085772.38899924</v>
      </c>
      <c r="E997" s="73">
        <v>531345.509877136</v>
      </c>
      <c r="F997" s="73"/>
      <c r="G997" s="73"/>
      <c r="H997" s="73"/>
      <c r="I997" s="73"/>
      <c r="J997" s="73"/>
      <c r="K997" s="73"/>
      <c r="L997" s="73"/>
      <c r="M997" s="73"/>
      <c r="N997" s="73"/>
      <c r="O997" s="73"/>
      <c r="P997" s="73"/>
      <c r="Q997" s="73"/>
      <c r="R997" s="73"/>
      <c r="S997" s="73"/>
      <c r="T997" s="73"/>
      <c r="U997" s="73"/>
      <c r="V997" s="73"/>
      <c r="W997" s="73"/>
      <c r="X997" s="73"/>
      <c r="Y997" s="73"/>
      <c r="Z997" s="73"/>
      <c r="AA997" s="73"/>
      <c r="AB997" s="73"/>
    </row>
    <row r="998">
      <c r="A998" s="73"/>
      <c r="B998" s="73">
        <v>79177.032</v>
      </c>
      <c r="C998" s="73">
        <v>1.13136813957407E7</v>
      </c>
      <c r="D998" s="73">
        <v>1091643.48750015</v>
      </c>
      <c r="E998" s="73">
        <v>532815.727677772</v>
      </c>
      <c r="F998" s="73"/>
      <c r="G998" s="73"/>
      <c r="H998" s="73"/>
      <c r="I998" s="73"/>
      <c r="J998" s="73"/>
      <c r="K998" s="73"/>
      <c r="L998" s="73"/>
      <c r="M998" s="73"/>
      <c r="N998" s="73"/>
      <c r="O998" s="73"/>
      <c r="P998" s="73"/>
      <c r="Q998" s="73"/>
      <c r="R998" s="73"/>
      <c r="S998" s="73"/>
      <c r="T998" s="73"/>
      <c r="U998" s="73"/>
      <c r="V998" s="73"/>
      <c r="W998" s="73"/>
      <c r="X998" s="73"/>
      <c r="Y998" s="73"/>
      <c r="Z998" s="73"/>
      <c r="AA998" s="73"/>
      <c r="AB998" s="73"/>
    </row>
    <row r="999">
      <c r="A999" s="73"/>
      <c r="B999" s="73">
        <v>79333.293</v>
      </c>
      <c r="C999" s="73">
        <v>1.13446267148812E7</v>
      </c>
      <c r="D999" s="73">
        <v>1097535.81699725</v>
      </c>
      <c r="E999" s="73">
        <v>534288.400862274</v>
      </c>
      <c r="F999" s="73"/>
      <c r="G999" s="73"/>
      <c r="H999" s="73"/>
      <c r="I999" s="73"/>
      <c r="J999" s="73"/>
      <c r="K999" s="73"/>
      <c r="L999" s="73"/>
      <c r="M999" s="73"/>
      <c r="N999" s="73"/>
      <c r="O999" s="73"/>
      <c r="P999" s="73"/>
      <c r="Q999" s="73"/>
      <c r="R999" s="73"/>
      <c r="S999" s="73"/>
      <c r="T999" s="73"/>
      <c r="U999" s="73"/>
      <c r="V999" s="73"/>
      <c r="W999" s="73"/>
      <c r="X999" s="73"/>
      <c r="Y999" s="73"/>
      <c r="Z999" s="73"/>
      <c r="AA999" s="73"/>
      <c r="AB999" s="73"/>
    </row>
    <row r="1000">
      <c r="A1000" s="73"/>
      <c r="B1000" s="73">
        <v>79489.708</v>
      </c>
      <c r="C1000" s="73">
        <v>1.13756266240201E7</v>
      </c>
      <c r="D1000" s="73">
        <v>1103449.31099817</v>
      </c>
      <c r="E1000" s="73">
        <v>535763.529430645</v>
      </c>
      <c r="F1000" s="73"/>
      <c r="G1000" s="73"/>
      <c r="H1000" s="73"/>
      <c r="I1000" s="73"/>
      <c r="J1000" s="73"/>
      <c r="K1000" s="73"/>
      <c r="L1000" s="73"/>
      <c r="M1000" s="73"/>
      <c r="N1000" s="73"/>
      <c r="O1000" s="73"/>
      <c r="P1000" s="73"/>
      <c r="Q1000" s="73"/>
      <c r="R1000" s="73"/>
      <c r="S1000" s="73"/>
      <c r="T1000" s="73"/>
      <c r="U1000" s="73"/>
      <c r="V1000" s="73"/>
      <c r="W1000" s="73"/>
      <c r="X1000" s="73"/>
      <c r="Y1000" s="73"/>
      <c r="Z1000" s="73"/>
      <c r="AA1000" s="73"/>
      <c r="AB1000" s="73"/>
    </row>
    <row r="1001">
      <c r="A1001" s="73"/>
      <c r="B1001" s="73">
        <v>79646.277</v>
      </c>
      <c r="C1001" s="73">
        <v>1.14066790631576E7</v>
      </c>
      <c r="D1001" s="73">
        <v>1109384.02649908</v>
      </c>
      <c r="E1001" s="73">
        <v>537241.113382882</v>
      </c>
      <c r="F1001" s="73"/>
      <c r="G1001" s="73"/>
      <c r="H1001" s="73"/>
      <c r="I1001" s="73"/>
      <c r="J1001" s="73"/>
      <c r="K1001" s="73"/>
      <c r="L1001" s="73"/>
      <c r="M1001" s="73"/>
      <c r="N1001" s="73"/>
      <c r="O1001" s="73"/>
      <c r="P1001" s="73"/>
      <c r="Q1001" s="73"/>
      <c r="R1001" s="73"/>
      <c r="S1001" s="73"/>
      <c r="T1001" s="73"/>
      <c r="U1001" s="73"/>
      <c r="V1001" s="73"/>
      <c r="W1001" s="73"/>
      <c r="X1001" s="73"/>
      <c r="Y1001" s="73"/>
      <c r="Z1001" s="73"/>
      <c r="AA1001" s="73"/>
      <c r="AB1001" s="73"/>
    </row>
    <row r="1002">
      <c r="A1002" s="73"/>
      <c r="B1002" s="73">
        <v>79803.08</v>
      </c>
      <c r="C1002" s="73">
        <v>1.14377850622935E7</v>
      </c>
      <c r="D1002" s="73">
        <v>1115340.067</v>
      </c>
      <c r="E1002" s="73">
        <v>538721.069614992</v>
      </c>
      <c r="F1002" s="73"/>
      <c r="G1002" s="73"/>
      <c r="H1002" s="73"/>
      <c r="I1002" s="73"/>
      <c r="J1002" s="73"/>
      <c r="K1002" s="73"/>
      <c r="L1002" s="73"/>
      <c r="M1002" s="73"/>
      <c r="N1002" s="73"/>
      <c r="O1002" s="73"/>
      <c r="P1002" s="73"/>
      <c r="Q1002" s="73"/>
      <c r="R1002" s="73"/>
      <c r="S1002" s="73"/>
      <c r="T1002" s="73"/>
      <c r="U1002" s="73"/>
      <c r="V1002" s="73"/>
      <c r="W1002" s="73"/>
      <c r="X1002" s="73"/>
      <c r="Y1002" s="73"/>
      <c r="Z1002" s="73"/>
      <c r="AA1002" s="73"/>
      <c r="AB1002" s="73"/>
    </row>
    <row r="1003">
      <c r="A1003" s="73"/>
      <c r="B1003" s="73">
        <v>79960.21997</v>
      </c>
      <c r="C1003" s="73">
        <v>1.1468944621428E7</v>
      </c>
      <c r="D1003" s="73">
        <v>1121317.42250092</v>
      </c>
      <c r="E1003" s="73">
        <v>540203.522782967</v>
      </c>
      <c r="F1003" s="73"/>
      <c r="G1003" s="73"/>
      <c r="H1003" s="73"/>
      <c r="I1003" s="73"/>
      <c r="J1003" s="73"/>
      <c r="K1003" s="73"/>
      <c r="L1003" s="73"/>
      <c r="M1003" s="73"/>
      <c r="N1003" s="73"/>
      <c r="O1003" s="73"/>
      <c r="P1003" s="73"/>
      <c r="Q1003" s="73"/>
      <c r="R1003" s="73"/>
      <c r="S1003" s="73"/>
      <c r="T1003" s="73"/>
      <c r="U1003" s="73"/>
      <c r="V1003" s="73"/>
      <c r="W1003" s="73"/>
      <c r="X1003" s="73"/>
      <c r="Y1003" s="73"/>
      <c r="Z1003" s="73"/>
      <c r="AA1003" s="73"/>
      <c r="AB1003" s="73"/>
    </row>
    <row r="1004">
      <c r="A1004" s="73"/>
      <c r="B1004" s="73">
        <v>80117.71161</v>
      </c>
      <c r="C1004" s="73">
        <v>1.1500158770561E7</v>
      </c>
      <c r="D1004" s="73">
        <v>1127316.08899802</v>
      </c>
      <c r="E1004" s="73">
        <v>541688.389782811</v>
      </c>
      <c r="F1004" s="73"/>
      <c r="G1004" s="73"/>
      <c r="H1004" s="73"/>
      <c r="I1004" s="73"/>
      <c r="J1004" s="73"/>
      <c r="K1004" s="73"/>
      <c r="L1004" s="73"/>
      <c r="M1004" s="73"/>
      <c r="N1004" s="73"/>
      <c r="O1004" s="73"/>
      <c r="P1004" s="73"/>
      <c r="Q1004" s="73"/>
      <c r="R1004" s="73"/>
      <c r="S1004" s="73"/>
      <c r="T1004" s="73"/>
      <c r="U1004" s="73"/>
      <c r="V1004" s="73"/>
      <c r="W1004" s="73"/>
      <c r="X1004" s="73"/>
      <c r="Y1004" s="73"/>
      <c r="Z1004" s="73"/>
      <c r="AA1004" s="73"/>
      <c r="AB1004" s="73"/>
    </row>
    <row r="1005">
      <c r="A1005" s="73"/>
      <c r="B1005" s="73">
        <v>80275.56333</v>
      </c>
      <c r="C1005" s="73">
        <v>1.15314254496925E7</v>
      </c>
      <c r="D1005" s="73">
        <v>1133336.15099893</v>
      </c>
      <c r="E1005" s="73">
        <v>543175.670614526</v>
      </c>
      <c r="F1005" s="73"/>
      <c r="G1005" s="73"/>
      <c r="H1005" s="73"/>
      <c r="I1005" s="73"/>
      <c r="J1005" s="73"/>
      <c r="K1005" s="73"/>
      <c r="L1005" s="73"/>
      <c r="M1005" s="73"/>
      <c r="N1005" s="73"/>
      <c r="O1005" s="73"/>
      <c r="P1005" s="73"/>
      <c r="Q1005" s="73"/>
      <c r="R1005" s="73"/>
      <c r="S1005" s="73"/>
      <c r="T1005" s="73"/>
      <c r="U1005" s="73"/>
      <c r="V1005" s="73"/>
      <c r="W1005" s="73"/>
      <c r="X1005" s="73"/>
      <c r="Y1005" s="73"/>
      <c r="Z1005" s="73"/>
      <c r="AA1005" s="73"/>
      <c r="AB1005" s="73"/>
    </row>
    <row r="1006">
      <c r="A1006" s="73"/>
      <c r="B1006" s="73">
        <v>80433.78124</v>
      </c>
      <c r="C1006" s="73">
        <v>1.15627467188225E7</v>
      </c>
      <c r="D1006" s="73">
        <v>1139377.61799985</v>
      </c>
      <c r="E1006" s="73">
        <v>544665.396230108</v>
      </c>
      <c r="F1006" s="73"/>
      <c r="G1006" s="73"/>
      <c r="H1006" s="73"/>
      <c r="I1006" s="73"/>
      <c r="J1006" s="73"/>
      <c r="K1006" s="73"/>
      <c r="L1006" s="73"/>
      <c r="M1006" s="73"/>
      <c r="N1006" s="73"/>
      <c r="O1006" s="73"/>
      <c r="P1006" s="73"/>
      <c r="Q1006" s="73"/>
      <c r="R1006" s="73"/>
      <c r="S1006" s="73"/>
      <c r="T1006" s="73"/>
      <c r="U1006" s="73"/>
      <c r="V1006" s="73"/>
      <c r="W1006" s="73"/>
      <c r="X1006" s="73"/>
      <c r="Y1006" s="73"/>
      <c r="Z1006" s="73"/>
      <c r="AA1006" s="73"/>
      <c r="AB1006" s="73"/>
    </row>
    <row r="1007">
      <c r="A1007" s="73"/>
      <c r="B1007" s="73">
        <v>80592.37015</v>
      </c>
      <c r="C1007" s="73">
        <v>1.1594121547951E7</v>
      </c>
      <c r="D1007" s="73">
        <v>1145440.55550076</v>
      </c>
      <c r="E1007" s="73">
        <v>546157.587829557</v>
      </c>
      <c r="F1007" s="73"/>
      <c r="G1007" s="73"/>
      <c r="H1007" s="73"/>
      <c r="I1007" s="73"/>
      <c r="J1007" s="73"/>
      <c r="K1007" s="73"/>
      <c r="L1007" s="73"/>
      <c r="M1007" s="73"/>
      <c r="N1007" s="73"/>
      <c r="O1007" s="73"/>
      <c r="P1007" s="73"/>
      <c r="Q1007" s="73"/>
      <c r="R1007" s="73"/>
      <c r="S1007" s="73"/>
      <c r="T1007" s="73"/>
      <c r="U1007" s="73"/>
      <c r="V1007" s="73"/>
      <c r="W1007" s="73"/>
      <c r="X1007" s="73"/>
      <c r="Y1007" s="73"/>
      <c r="Z1007" s="73"/>
      <c r="AA1007" s="73"/>
      <c r="AB1007" s="73"/>
    </row>
    <row r="1008">
      <c r="A1008" s="73"/>
      <c r="B1008" s="73">
        <v>80751.33407</v>
      </c>
      <c r="C1008" s="73">
        <v>1.1625549937078E7</v>
      </c>
      <c r="D1008" s="73">
        <v>1151524.96349786</v>
      </c>
      <c r="E1008" s="73">
        <v>547652.234812874</v>
      </c>
      <c r="F1008" s="73"/>
      <c r="G1008" s="73"/>
      <c r="H1008" s="73"/>
      <c r="I1008" s="73"/>
      <c r="J1008" s="73"/>
      <c r="K1008" s="73"/>
      <c r="L1008" s="73"/>
      <c r="M1008" s="73"/>
      <c r="N1008" s="73"/>
      <c r="O1008" s="73"/>
      <c r="P1008" s="73"/>
      <c r="Q1008" s="73"/>
      <c r="R1008" s="73"/>
      <c r="S1008" s="73"/>
      <c r="T1008" s="73"/>
      <c r="U1008" s="73"/>
      <c r="V1008" s="73"/>
      <c r="W1008" s="73"/>
      <c r="X1008" s="73"/>
      <c r="Y1008" s="73"/>
      <c r="Z1008" s="73"/>
      <c r="AA1008" s="73"/>
      <c r="AB1008" s="73"/>
    </row>
    <row r="1009">
      <c r="A1009" s="73"/>
      <c r="B1009" s="73">
        <v>80910.67646</v>
      </c>
      <c r="C1009" s="73">
        <v>1.16570318862035E7</v>
      </c>
      <c r="D1009" s="73">
        <v>1157630.85199878</v>
      </c>
      <c r="E1009" s="73">
        <v>549149.285028061</v>
      </c>
      <c r="F1009" s="73"/>
      <c r="G1009" s="73"/>
      <c r="H1009" s="73"/>
      <c r="I1009" s="73"/>
      <c r="J1009" s="73"/>
      <c r="K1009" s="73"/>
      <c r="L1009" s="73"/>
      <c r="M1009" s="73"/>
      <c r="N1009" s="73"/>
      <c r="O1009" s="73"/>
      <c r="P1009" s="73"/>
      <c r="Q1009" s="73"/>
      <c r="R1009" s="73"/>
      <c r="S1009" s="73"/>
      <c r="T1009" s="73"/>
      <c r="U1009" s="73"/>
      <c r="V1009" s="73"/>
      <c r="W1009" s="73"/>
      <c r="X1009" s="73"/>
      <c r="Y1009" s="73"/>
      <c r="Z1009" s="73"/>
      <c r="AA1009" s="73"/>
      <c r="AB1009" s="73"/>
    </row>
    <row r="1010">
      <c r="A1010" s="73"/>
      <c r="B1010" s="73">
        <v>81070.40033</v>
      </c>
      <c r="C1010" s="73">
        <v>1.16885673953276E7</v>
      </c>
      <c r="D1010" s="73">
        <v>1163758.30549969</v>
      </c>
      <c r="E1010" s="73">
        <v>550648.801227114</v>
      </c>
      <c r="F1010" s="73"/>
      <c r="G1010" s="73"/>
      <c r="H1010" s="73"/>
      <c r="I1010" s="73"/>
      <c r="J1010" s="73"/>
      <c r="K1010" s="73"/>
      <c r="L1010" s="73"/>
      <c r="M1010" s="73"/>
      <c r="N1010" s="73"/>
      <c r="O1010" s="73"/>
      <c r="P1010" s="73"/>
      <c r="Q1010" s="73"/>
      <c r="R1010" s="73"/>
      <c r="S1010" s="73"/>
      <c r="T1010" s="73"/>
      <c r="U1010" s="73"/>
      <c r="V1010" s="73"/>
      <c r="W1010" s="73"/>
      <c r="X1010" s="73"/>
      <c r="Y1010" s="73"/>
      <c r="Z1010" s="73"/>
      <c r="AA1010" s="73"/>
      <c r="AB1010" s="73"/>
    </row>
    <row r="1011">
      <c r="A1011" s="73"/>
      <c r="B1011" s="73">
        <v>81230.5084</v>
      </c>
      <c r="C1011" s="73">
        <v>1.17201574944501E7</v>
      </c>
      <c r="D1011" s="73">
        <v>1169907.38500061</v>
      </c>
      <c r="E1011" s="73">
        <v>552150.772810036</v>
      </c>
      <c r="F1011" s="73"/>
      <c r="G1011" s="73"/>
      <c r="H1011" s="73"/>
      <c r="I1011" s="73"/>
      <c r="J1011" s="73"/>
      <c r="K1011" s="73"/>
      <c r="L1011" s="73"/>
      <c r="M1011" s="73"/>
      <c r="N1011" s="73"/>
      <c r="O1011" s="73"/>
      <c r="P1011" s="73"/>
      <c r="Q1011" s="73"/>
      <c r="R1011" s="73"/>
      <c r="S1011" s="73"/>
      <c r="T1011" s="73"/>
      <c r="U1011" s="73"/>
      <c r="V1011" s="73"/>
      <c r="W1011" s="73"/>
      <c r="X1011" s="73"/>
      <c r="Y1011" s="73"/>
      <c r="Z1011" s="73"/>
      <c r="AA1011" s="73"/>
      <c r="AB1011" s="73"/>
    </row>
    <row r="1012">
      <c r="A1012" s="73"/>
      <c r="B1012" s="73">
        <v>81391.0031</v>
      </c>
      <c r="C1012" s="73">
        <v>1.17518011535711E7</v>
      </c>
      <c r="D1012" s="73">
        <v>1176078.10899771</v>
      </c>
      <c r="E1012" s="73">
        <v>553655.199776824</v>
      </c>
      <c r="F1012" s="73"/>
      <c r="G1012" s="73"/>
      <c r="H1012" s="73"/>
      <c r="I1012" s="73"/>
      <c r="J1012" s="73"/>
      <c r="K1012" s="73"/>
      <c r="L1012" s="73"/>
      <c r="M1012" s="73"/>
      <c r="N1012" s="73"/>
      <c r="O1012" s="73"/>
      <c r="P1012" s="73"/>
      <c r="Q1012" s="73"/>
      <c r="R1012" s="73"/>
      <c r="S1012" s="73"/>
      <c r="T1012" s="73"/>
      <c r="U1012" s="73"/>
      <c r="V1012" s="73"/>
      <c r="W1012" s="73"/>
      <c r="X1012" s="73"/>
      <c r="Y1012" s="73"/>
      <c r="Z1012" s="73"/>
      <c r="AA1012" s="73"/>
      <c r="AB1012" s="73"/>
    </row>
    <row r="1013">
      <c r="A1013" s="73"/>
      <c r="B1013" s="73">
        <v>81551.88666</v>
      </c>
      <c r="C1013" s="73">
        <v>1.17834994026906E7</v>
      </c>
      <c r="D1013" s="73">
        <v>1182270.46399863</v>
      </c>
      <c r="E1013" s="73">
        <v>555162.040575483</v>
      </c>
      <c r="F1013" s="73"/>
      <c r="G1013" s="73"/>
      <c r="H1013" s="73"/>
      <c r="I1013" s="73"/>
      <c r="J1013" s="73"/>
      <c r="K1013" s="73"/>
      <c r="L1013" s="73"/>
      <c r="M1013" s="73"/>
      <c r="N1013" s="73"/>
      <c r="O1013" s="73"/>
      <c r="P1013" s="73"/>
      <c r="Q1013" s="73"/>
      <c r="R1013" s="73"/>
      <c r="S1013" s="73"/>
      <c r="T1013" s="73"/>
      <c r="U1013" s="73"/>
      <c r="V1013" s="73"/>
      <c r="W1013" s="73"/>
      <c r="X1013" s="73"/>
      <c r="Y1013" s="73"/>
      <c r="Z1013" s="73"/>
      <c r="AA1013" s="73"/>
      <c r="AB1013" s="73"/>
    </row>
    <row r="1014">
      <c r="A1014" s="73"/>
      <c r="B1014" s="73">
        <v>81713.16114</v>
      </c>
      <c r="C1014" s="73">
        <v>1.18152512118087E7</v>
      </c>
      <c r="D1014" s="73">
        <v>1188484.53899954</v>
      </c>
      <c r="E1014" s="73">
        <v>556671.388910006</v>
      </c>
      <c r="F1014" s="73"/>
      <c r="G1014" s="73"/>
      <c r="H1014" s="73"/>
      <c r="I1014" s="73"/>
      <c r="J1014" s="73"/>
      <c r="K1014" s="73"/>
      <c r="L1014" s="73"/>
      <c r="M1014" s="73"/>
      <c r="N1014" s="73"/>
      <c r="O1014" s="73"/>
      <c r="P1014" s="73"/>
      <c r="Q1014" s="73"/>
      <c r="R1014" s="73"/>
      <c r="S1014" s="73"/>
      <c r="T1014" s="73"/>
      <c r="U1014" s="73"/>
      <c r="V1014" s="73"/>
      <c r="W1014" s="73"/>
      <c r="X1014" s="73"/>
      <c r="Y1014" s="73"/>
      <c r="Z1014" s="73"/>
      <c r="AA1014" s="73"/>
      <c r="AB1014" s="73"/>
    </row>
    <row r="1015">
      <c r="A1015" s="73"/>
      <c r="B1015" s="73">
        <v>81874.82844</v>
      </c>
      <c r="C1015" s="73">
        <v>1.18470576109252E7</v>
      </c>
      <c r="D1015" s="73">
        <v>1194720.33450046</v>
      </c>
      <c r="E1015" s="73">
        <v>558183.140476399</v>
      </c>
      <c r="F1015" s="73"/>
      <c r="G1015" s="73"/>
      <c r="H1015" s="73"/>
      <c r="I1015" s="73"/>
      <c r="J1015" s="73"/>
      <c r="K1015" s="73"/>
      <c r="L1015" s="73"/>
      <c r="M1015" s="73"/>
      <c r="N1015" s="73"/>
      <c r="O1015" s="73"/>
      <c r="P1015" s="73"/>
      <c r="Q1015" s="73"/>
      <c r="R1015" s="73"/>
      <c r="S1015" s="73"/>
      <c r="T1015" s="73"/>
      <c r="U1015" s="73"/>
      <c r="V1015" s="73"/>
      <c r="W1015" s="73"/>
      <c r="X1015" s="73"/>
      <c r="Y1015" s="73"/>
      <c r="Z1015" s="73"/>
      <c r="AA1015" s="73"/>
      <c r="AB1015" s="73"/>
    </row>
    <row r="1016">
      <c r="A1016" s="73"/>
      <c r="B1016" s="73">
        <v>82036.89034</v>
      </c>
      <c r="C1016" s="73">
        <v>1.18789175700402E7</v>
      </c>
      <c r="D1016" s="73">
        <v>1200977.84049756</v>
      </c>
      <c r="E1016" s="73">
        <v>559697.358026659</v>
      </c>
      <c r="F1016" s="73"/>
      <c r="G1016" s="73"/>
      <c r="H1016" s="73"/>
      <c r="I1016" s="73"/>
      <c r="J1016" s="73"/>
      <c r="K1016" s="73"/>
      <c r="L1016" s="73"/>
      <c r="M1016" s="73"/>
      <c r="N1016" s="73"/>
      <c r="O1016" s="73"/>
      <c r="P1016" s="73"/>
      <c r="Q1016" s="73"/>
      <c r="R1016" s="73"/>
      <c r="S1016" s="73"/>
      <c r="T1016" s="73"/>
      <c r="U1016" s="73"/>
      <c r="V1016" s="73"/>
      <c r="W1016" s="73"/>
      <c r="X1016" s="73"/>
      <c r="Y1016" s="73"/>
      <c r="Z1016" s="73"/>
      <c r="AA1016" s="73"/>
      <c r="AB1016" s="73"/>
    </row>
    <row r="1017">
      <c r="A1017" s="73"/>
      <c r="B1017" s="73">
        <v>82199.34852</v>
      </c>
      <c r="C1017" s="73">
        <v>1.19108321191537E7</v>
      </c>
      <c r="D1017" s="73">
        <v>1207257.23649847</v>
      </c>
      <c r="E1017" s="73">
        <v>561214.020360787</v>
      </c>
      <c r="F1017" s="73"/>
      <c r="G1017" s="73"/>
      <c r="H1017" s="73"/>
      <c r="I1017" s="73"/>
      <c r="J1017" s="73"/>
      <c r="K1017" s="73"/>
      <c r="L1017" s="73"/>
      <c r="M1017" s="73"/>
      <c r="N1017" s="73"/>
      <c r="O1017" s="73"/>
      <c r="P1017" s="73"/>
      <c r="Q1017" s="73"/>
      <c r="R1017" s="73"/>
      <c r="S1017" s="73"/>
      <c r="T1017" s="73"/>
      <c r="U1017" s="73"/>
      <c r="V1017" s="73"/>
      <c r="W1017" s="73"/>
      <c r="X1017" s="73"/>
      <c r="Y1017" s="73"/>
      <c r="Z1017" s="73"/>
      <c r="AA1017" s="73"/>
      <c r="AB1017" s="73"/>
    </row>
    <row r="1018">
      <c r="A1018" s="73"/>
      <c r="B1018" s="73">
        <v>82362.20452</v>
      </c>
      <c r="C1018" s="73">
        <v>1.19427991982658E7</v>
      </c>
      <c r="D1018" s="73">
        <v>1213558.42299939</v>
      </c>
      <c r="E1018" s="73">
        <v>562733.148678782</v>
      </c>
      <c r="F1018" s="73"/>
      <c r="G1018" s="73"/>
      <c r="H1018" s="73"/>
      <c r="I1018" s="73"/>
      <c r="J1018" s="73"/>
      <c r="K1018" s="73"/>
      <c r="L1018" s="73"/>
      <c r="M1018" s="73"/>
      <c r="N1018" s="73"/>
      <c r="O1018" s="73"/>
      <c r="P1018" s="73"/>
      <c r="Q1018" s="73"/>
      <c r="R1018" s="73"/>
      <c r="S1018" s="73"/>
      <c r="T1018" s="73"/>
      <c r="U1018" s="73"/>
      <c r="V1018" s="73"/>
      <c r="W1018" s="73"/>
      <c r="X1018" s="73"/>
      <c r="Y1018" s="73"/>
      <c r="Z1018" s="73"/>
      <c r="AA1018" s="73"/>
      <c r="AB1018" s="73"/>
    </row>
    <row r="1019">
      <c r="A1019" s="73"/>
      <c r="B1019" s="73">
        <v>82525.45986</v>
      </c>
      <c r="C1019" s="73">
        <v>1.19748229273763E7</v>
      </c>
      <c r="D1019" s="73">
        <v>1219881.48450031</v>
      </c>
      <c r="E1019" s="73">
        <v>564254.732380645</v>
      </c>
      <c r="F1019" s="73"/>
      <c r="G1019" s="73"/>
      <c r="H1019" s="73"/>
      <c r="I1019" s="73"/>
      <c r="J1019" s="73"/>
      <c r="K1019" s="73"/>
      <c r="L1019" s="73"/>
      <c r="M1019" s="73"/>
      <c r="N1019" s="73"/>
      <c r="O1019" s="73"/>
      <c r="P1019" s="73"/>
      <c r="Q1019" s="73"/>
      <c r="R1019" s="73"/>
      <c r="S1019" s="73"/>
      <c r="T1019" s="73"/>
      <c r="U1019" s="73"/>
      <c r="V1019" s="73"/>
      <c r="W1019" s="73"/>
      <c r="X1019" s="73"/>
      <c r="Y1019" s="73"/>
      <c r="Z1019" s="73"/>
      <c r="AA1019" s="73"/>
      <c r="AB1019" s="73"/>
    </row>
    <row r="1020">
      <c r="A1020" s="73"/>
      <c r="B1020" s="73">
        <v>82689.11591</v>
      </c>
      <c r="C1020" s="73">
        <v>1.20069002164853E7</v>
      </c>
      <c r="D1020" s="73">
        <v>1226226.51149741</v>
      </c>
      <c r="E1020" s="73">
        <v>565778.782066374</v>
      </c>
      <c r="F1020" s="73"/>
      <c r="G1020" s="73"/>
      <c r="H1020" s="73"/>
      <c r="I1020" s="73"/>
      <c r="J1020" s="73"/>
      <c r="K1020" s="73"/>
      <c r="L1020" s="73"/>
      <c r="M1020" s="73"/>
      <c r="N1020" s="73"/>
      <c r="O1020" s="73"/>
      <c r="P1020" s="73"/>
      <c r="Q1020" s="73"/>
      <c r="R1020" s="73"/>
      <c r="S1020" s="73"/>
      <c r="T1020" s="73"/>
      <c r="U1020" s="73"/>
      <c r="V1020" s="73"/>
      <c r="W1020" s="73"/>
      <c r="X1020" s="73"/>
      <c r="Y1020" s="73"/>
      <c r="Z1020" s="73"/>
      <c r="AA1020" s="73"/>
      <c r="AB1020" s="73"/>
    </row>
    <row r="1021">
      <c r="A1021" s="73"/>
      <c r="B1021" s="73">
        <v>82853.17404</v>
      </c>
      <c r="C1021" s="73">
        <v>1.20390300355928E7</v>
      </c>
      <c r="D1021" s="73">
        <v>1232593.40899832</v>
      </c>
      <c r="E1021" s="73">
        <v>567305.276535972</v>
      </c>
      <c r="F1021" s="73"/>
      <c r="G1021" s="73"/>
      <c r="H1021" s="73"/>
      <c r="I1021" s="73"/>
      <c r="J1021" s="73"/>
      <c r="K1021" s="73"/>
      <c r="L1021" s="73"/>
      <c r="M1021" s="73"/>
      <c r="N1021" s="73"/>
      <c r="O1021" s="73"/>
      <c r="P1021" s="73"/>
      <c r="Q1021" s="73"/>
      <c r="R1021" s="73"/>
      <c r="S1021" s="73"/>
      <c r="T1021" s="73"/>
      <c r="U1021" s="73"/>
      <c r="V1021" s="73"/>
      <c r="W1021" s="73"/>
      <c r="X1021" s="73"/>
      <c r="Y1021" s="73"/>
      <c r="Z1021" s="73"/>
      <c r="AA1021" s="73"/>
      <c r="AB1021" s="73"/>
    </row>
    <row r="1022">
      <c r="A1022" s="73"/>
      <c r="B1022" s="73">
        <v>83017.63551</v>
      </c>
      <c r="C1022" s="73">
        <v>1.20712154746988E7</v>
      </c>
      <c r="D1022" s="73">
        <v>1238982.35649924</v>
      </c>
      <c r="E1022" s="73">
        <v>568834.236989436</v>
      </c>
      <c r="F1022" s="73"/>
      <c r="G1022" s="73"/>
      <c r="H1022" s="73"/>
      <c r="I1022" s="73"/>
      <c r="J1022" s="73"/>
      <c r="K1022" s="73"/>
      <c r="L1022" s="73"/>
      <c r="M1022" s="73"/>
      <c r="N1022" s="73"/>
      <c r="O1022" s="73"/>
      <c r="P1022" s="73"/>
      <c r="Q1022" s="73"/>
      <c r="R1022" s="73"/>
      <c r="S1022" s="73"/>
      <c r="T1022" s="73"/>
      <c r="U1022" s="73"/>
      <c r="V1022" s="73"/>
      <c r="W1022" s="73"/>
      <c r="X1022" s="73"/>
      <c r="Y1022" s="73"/>
      <c r="Z1022" s="73"/>
      <c r="AA1022" s="73"/>
      <c r="AB1022" s="73"/>
    </row>
    <row r="1023">
      <c r="A1023" s="73"/>
      <c r="B1023" s="73">
        <v>83182.50154</v>
      </c>
      <c r="C1023" s="73">
        <v>1.21034555038033E7</v>
      </c>
      <c r="D1023" s="73">
        <v>1245393.25900015</v>
      </c>
      <c r="E1023" s="73">
        <v>570365.694378766</v>
      </c>
      <c r="F1023" s="73"/>
      <c r="G1023" s="73"/>
      <c r="H1023" s="73"/>
      <c r="I1023" s="73"/>
      <c r="J1023" s="73"/>
      <c r="K1023" s="73"/>
      <c r="L1023" s="73"/>
      <c r="M1023" s="73"/>
      <c r="N1023" s="73"/>
      <c r="O1023" s="73"/>
      <c r="P1023" s="73"/>
      <c r="Q1023" s="73"/>
      <c r="R1023" s="73"/>
      <c r="S1023" s="73"/>
      <c r="T1023" s="73"/>
      <c r="U1023" s="73"/>
      <c r="V1023" s="73"/>
      <c r="W1023" s="73"/>
      <c r="X1023" s="73"/>
      <c r="Y1023" s="73"/>
      <c r="Z1023" s="73"/>
      <c r="AA1023" s="73"/>
      <c r="AB1023" s="73"/>
    </row>
    <row r="1024">
      <c r="A1024" s="73"/>
      <c r="B1024" s="73">
        <v>83347.7733</v>
      </c>
      <c r="C1024" s="73">
        <v>1.21357501229062E7</v>
      </c>
      <c r="D1024" s="73">
        <v>1251826.20199725</v>
      </c>
      <c r="E1024" s="73">
        <v>571899.576199964</v>
      </c>
      <c r="F1024" s="73"/>
      <c r="G1024" s="73"/>
      <c r="H1024" s="73"/>
      <c r="I1024" s="73"/>
      <c r="J1024" s="73"/>
      <c r="K1024" s="73"/>
      <c r="L1024" s="73"/>
      <c r="M1024" s="73"/>
      <c r="N1024" s="73"/>
      <c r="O1024" s="73"/>
      <c r="P1024" s="73"/>
      <c r="Q1024" s="73"/>
      <c r="R1024" s="73"/>
      <c r="S1024" s="73"/>
      <c r="T1024" s="73"/>
      <c r="U1024" s="73"/>
      <c r="V1024" s="73"/>
      <c r="W1024" s="73"/>
      <c r="X1024" s="73"/>
      <c r="Y1024" s="73"/>
      <c r="Z1024" s="73"/>
      <c r="AA1024" s="73"/>
      <c r="AB1024" s="73"/>
    </row>
    <row r="1025">
      <c r="A1025" s="73"/>
      <c r="B1025" s="73">
        <v>83513.45192</v>
      </c>
      <c r="C1025" s="73">
        <v>1.21680983020077E7</v>
      </c>
      <c r="D1025" s="73">
        <v>1258281.25999817</v>
      </c>
      <c r="E1025" s="73">
        <v>573435.902805031</v>
      </c>
      <c r="F1025" s="73"/>
      <c r="G1025" s="73"/>
      <c r="H1025" s="73"/>
      <c r="I1025" s="73"/>
      <c r="J1025" s="73"/>
      <c r="K1025" s="73"/>
      <c r="L1025" s="73"/>
      <c r="M1025" s="73"/>
      <c r="N1025" s="73"/>
      <c r="O1025" s="73"/>
      <c r="P1025" s="73"/>
      <c r="Q1025" s="73"/>
      <c r="R1025" s="73"/>
      <c r="S1025" s="73"/>
      <c r="T1025" s="73"/>
      <c r="U1025" s="73"/>
      <c r="V1025" s="73"/>
      <c r="W1025" s="73"/>
      <c r="X1025" s="73"/>
      <c r="Y1025" s="73"/>
      <c r="Z1025" s="73"/>
      <c r="AA1025" s="73"/>
      <c r="AB1025" s="73"/>
    </row>
    <row r="1026">
      <c r="A1026" s="73"/>
      <c r="B1026" s="73">
        <v>83679.53846</v>
      </c>
      <c r="C1026" s="73">
        <v>1.22005021011076E7</v>
      </c>
      <c r="D1026" s="73">
        <v>1264758.43849908</v>
      </c>
      <c r="E1026" s="73">
        <v>574974.736945962</v>
      </c>
      <c r="F1026" s="73"/>
      <c r="G1026" s="73"/>
      <c r="H1026" s="73"/>
      <c r="I1026" s="73"/>
      <c r="J1026" s="73"/>
      <c r="K1026" s="73"/>
      <c r="L1026" s="73"/>
      <c r="M1026" s="73"/>
      <c r="N1026" s="73"/>
      <c r="O1026" s="73"/>
      <c r="P1026" s="73"/>
      <c r="Q1026" s="73"/>
      <c r="R1026" s="73"/>
      <c r="S1026" s="73"/>
      <c r="T1026" s="73"/>
      <c r="U1026" s="73"/>
      <c r="V1026" s="73"/>
      <c r="W1026" s="73"/>
      <c r="X1026" s="73"/>
      <c r="Y1026" s="73"/>
      <c r="Z1026" s="73"/>
      <c r="AA1026" s="73"/>
      <c r="AB1026" s="73"/>
    </row>
    <row r="1027">
      <c r="A1027" s="73"/>
      <c r="B1027" s="73">
        <v>83846.03398</v>
      </c>
      <c r="C1027" s="73">
        <v>1.2232959460206E7</v>
      </c>
      <c r="D1027" s="73">
        <v>1271257.8175</v>
      </c>
      <c r="E1027" s="73">
        <v>576516.03707076</v>
      </c>
      <c r="F1027" s="73"/>
      <c r="G1027" s="73"/>
      <c r="H1027" s="73"/>
      <c r="I1027" s="73"/>
      <c r="J1027" s="73"/>
      <c r="K1027" s="73"/>
      <c r="L1027" s="73"/>
      <c r="M1027" s="73"/>
      <c r="N1027" s="73"/>
      <c r="O1027" s="73"/>
      <c r="P1027" s="73"/>
      <c r="Q1027" s="73"/>
      <c r="R1027" s="73"/>
      <c r="S1027" s="73"/>
      <c r="T1027" s="73"/>
      <c r="U1027" s="73"/>
      <c r="V1027" s="73"/>
      <c r="W1027" s="73"/>
      <c r="X1027" s="73"/>
      <c r="Y1027" s="73"/>
      <c r="Z1027" s="73"/>
      <c r="AA1027" s="73"/>
      <c r="AB1027" s="73"/>
    </row>
    <row r="1028">
      <c r="A1028" s="73"/>
      <c r="B1028" s="73">
        <v>84012.93947</v>
      </c>
      <c r="C1028" s="73">
        <v>1.2265471409303E7</v>
      </c>
      <c r="D1028" s="73">
        <v>1277779.32100092</v>
      </c>
      <c r="E1028" s="73">
        <v>578059.781979427</v>
      </c>
      <c r="F1028" s="73"/>
      <c r="G1028" s="73"/>
      <c r="H1028" s="73"/>
      <c r="I1028" s="73"/>
      <c r="J1028" s="73"/>
      <c r="K1028" s="73"/>
      <c r="L1028" s="73"/>
      <c r="M1028" s="73"/>
      <c r="N1028" s="73"/>
      <c r="O1028" s="73"/>
      <c r="P1028" s="73"/>
      <c r="Q1028" s="73"/>
      <c r="R1028" s="73"/>
      <c r="S1028" s="73"/>
      <c r="T1028" s="73"/>
      <c r="U1028" s="73"/>
      <c r="V1028" s="73"/>
      <c r="W1028" s="73"/>
      <c r="X1028" s="73"/>
      <c r="Y1028" s="73"/>
      <c r="Z1028" s="73"/>
      <c r="AA1028" s="73"/>
      <c r="AB1028" s="73"/>
    </row>
    <row r="1029">
      <c r="A1029" s="73"/>
      <c r="B1029" s="73">
        <v>84180.2559</v>
      </c>
      <c r="C1029" s="73">
        <v>1.22980379483984E7</v>
      </c>
      <c r="D1029" s="73">
        <v>1284323.09999802</v>
      </c>
      <c r="E1029" s="73">
        <v>579606.003471959</v>
      </c>
      <c r="F1029" s="73"/>
      <c r="G1029" s="73"/>
      <c r="H1029" s="73"/>
      <c r="I1029" s="73"/>
      <c r="J1029" s="73"/>
      <c r="K1029" s="73"/>
      <c r="L1029" s="73"/>
      <c r="M1029" s="73"/>
      <c r="N1029" s="73"/>
      <c r="O1029" s="73"/>
      <c r="P1029" s="73"/>
      <c r="Q1029" s="73"/>
      <c r="R1029" s="73"/>
      <c r="S1029" s="73"/>
      <c r="T1029" s="73"/>
      <c r="U1029" s="73"/>
      <c r="V1029" s="73"/>
      <c r="W1029" s="73"/>
      <c r="X1029" s="73"/>
      <c r="Y1029" s="73"/>
      <c r="Z1029" s="73"/>
      <c r="AA1029" s="73"/>
      <c r="AB1029" s="73"/>
    </row>
    <row r="1030">
      <c r="A1030" s="73"/>
      <c r="B1030" s="73">
        <v>84347.98421</v>
      </c>
      <c r="C1030" s="73">
        <v>1.23306590774922E7</v>
      </c>
      <c r="D1030" s="73">
        <v>1290889.07949893</v>
      </c>
      <c r="E1030" s="73">
        <v>581154.711300357</v>
      </c>
      <c r="F1030" s="73"/>
      <c r="G1030" s="73"/>
      <c r="H1030" s="73"/>
      <c r="I1030" s="73"/>
      <c r="J1030" s="73"/>
      <c r="K1030" s="73"/>
      <c r="L1030" s="73"/>
      <c r="M1030" s="73"/>
      <c r="N1030" s="73"/>
      <c r="O1030" s="73"/>
      <c r="P1030" s="73"/>
      <c r="Q1030" s="73"/>
      <c r="R1030" s="73"/>
      <c r="S1030" s="73"/>
      <c r="T1030" s="73"/>
      <c r="U1030" s="73"/>
      <c r="V1030" s="73"/>
      <c r="W1030" s="73"/>
      <c r="X1030" s="73"/>
      <c r="Y1030" s="73"/>
      <c r="Z1030" s="73"/>
      <c r="AA1030" s="73"/>
      <c r="AB1030" s="73"/>
    </row>
    <row r="1031">
      <c r="A1031" s="73"/>
      <c r="B1031" s="73">
        <v>84516.12531</v>
      </c>
      <c r="C1031" s="73">
        <v>1.23633358265846E7</v>
      </c>
      <c r="D1031" s="73">
        <v>1297477.41899985</v>
      </c>
      <c r="E1031" s="73">
        <v>582705.885112623</v>
      </c>
      <c r="F1031" s="73"/>
      <c r="G1031" s="73"/>
      <c r="H1031" s="73"/>
      <c r="I1031" s="73"/>
      <c r="J1031" s="73"/>
      <c r="K1031" s="73"/>
      <c r="L1031" s="73"/>
      <c r="M1031" s="73"/>
      <c r="N1031" s="73"/>
      <c r="O1031" s="73"/>
      <c r="P1031" s="73"/>
      <c r="Q1031" s="73"/>
      <c r="R1031" s="73"/>
      <c r="S1031" s="73"/>
      <c r="T1031" s="73"/>
      <c r="U1031" s="73"/>
      <c r="V1031" s="73"/>
      <c r="W1031" s="73"/>
      <c r="X1031" s="73"/>
      <c r="Y1031" s="73"/>
      <c r="Z1031" s="73"/>
      <c r="AA1031" s="73"/>
      <c r="AB1031" s="73"/>
    </row>
    <row r="1032">
      <c r="A1032" s="73"/>
      <c r="B1032" s="73">
        <v>84684.68006</v>
      </c>
      <c r="C1032" s="73">
        <v>1.23960661356754E7</v>
      </c>
      <c r="D1032" s="73">
        <v>1304088.03850076</v>
      </c>
      <c r="E1032" s="73">
        <v>584259.524908755</v>
      </c>
      <c r="F1032" s="73"/>
      <c r="G1032" s="73"/>
      <c r="H1032" s="73"/>
      <c r="I1032" s="73"/>
      <c r="J1032" s="73"/>
      <c r="K1032" s="73"/>
      <c r="L1032" s="73"/>
      <c r="M1032" s="73"/>
      <c r="N1032" s="73"/>
      <c r="O1032" s="73"/>
      <c r="P1032" s="73"/>
      <c r="Q1032" s="73"/>
      <c r="R1032" s="73"/>
      <c r="S1032" s="73"/>
      <c r="T1032" s="73"/>
      <c r="U1032" s="73"/>
      <c r="V1032" s="73"/>
      <c r="W1032" s="73"/>
      <c r="X1032" s="73"/>
      <c r="Y1032" s="73"/>
      <c r="Z1032" s="73"/>
      <c r="AA1032" s="73"/>
      <c r="AB1032" s="73"/>
    </row>
    <row r="1033">
      <c r="A1033" s="73"/>
      <c r="B1033" s="73">
        <v>84853.64933</v>
      </c>
      <c r="C1033" s="73">
        <v>1.24288510347648E7</v>
      </c>
      <c r="D1033" s="73">
        <v>1310721.10799786</v>
      </c>
      <c r="E1033" s="73">
        <v>585815.651040753</v>
      </c>
      <c r="F1033" s="73"/>
      <c r="G1033" s="73"/>
      <c r="H1033" s="73"/>
      <c r="I1033" s="73"/>
      <c r="J1033" s="73"/>
      <c r="K1033" s="73"/>
      <c r="L1033" s="73"/>
      <c r="M1033" s="73"/>
      <c r="N1033" s="73"/>
      <c r="O1033" s="73"/>
      <c r="P1033" s="73"/>
      <c r="Q1033" s="73"/>
      <c r="R1033" s="73"/>
      <c r="S1033" s="73"/>
      <c r="T1033" s="73"/>
      <c r="U1033" s="73"/>
      <c r="V1033" s="73"/>
      <c r="W1033" s="73"/>
      <c r="X1033" s="73"/>
      <c r="Y1033" s="73"/>
      <c r="Z1033" s="73"/>
      <c r="AA1033" s="73"/>
      <c r="AB1033" s="73"/>
    </row>
    <row r="1034">
      <c r="A1034" s="73"/>
      <c r="B1034" s="73">
        <v>85023.03396</v>
      </c>
      <c r="C1034" s="73">
        <v>1.24616925838525E7</v>
      </c>
      <c r="D1034" s="73">
        <v>1317376.52799878</v>
      </c>
      <c r="E1034" s="73">
        <v>587374.243156617</v>
      </c>
      <c r="F1034" s="73"/>
      <c r="G1034" s="73"/>
      <c r="H1034" s="73"/>
      <c r="I1034" s="73"/>
      <c r="J1034" s="73"/>
      <c r="K1034" s="73"/>
      <c r="L1034" s="73"/>
      <c r="M1034" s="73"/>
      <c r="N1034" s="73"/>
      <c r="O1034" s="73"/>
      <c r="P1034" s="73"/>
      <c r="Q1034" s="73"/>
      <c r="R1034" s="73"/>
      <c r="S1034" s="73"/>
      <c r="T1034" s="73"/>
      <c r="U1034" s="73"/>
      <c r="V1034" s="73"/>
      <c r="W1034" s="73"/>
      <c r="X1034" s="73"/>
      <c r="Y1034" s="73"/>
      <c r="Z1034" s="73"/>
      <c r="AA1034" s="73"/>
      <c r="AB1034" s="73"/>
    </row>
    <row r="1035">
      <c r="A1035" s="73"/>
      <c r="B1035" s="73">
        <v>85192.83472</v>
      </c>
      <c r="C1035" s="73">
        <v>1.24945876929388E7</v>
      </c>
      <c r="D1035" s="73">
        <v>1324054.31299969</v>
      </c>
      <c r="E1035" s="73">
        <v>588935.301256349</v>
      </c>
      <c r="F1035" s="73"/>
      <c r="G1035" s="73"/>
      <c r="H1035" s="73"/>
      <c r="I1035" s="73"/>
      <c r="J1035" s="73"/>
      <c r="K1035" s="73"/>
      <c r="L1035" s="73"/>
      <c r="M1035" s="73"/>
      <c r="N1035" s="73"/>
      <c r="O1035" s="73"/>
      <c r="P1035" s="73"/>
      <c r="Q1035" s="73"/>
      <c r="R1035" s="73"/>
      <c r="S1035" s="73"/>
      <c r="T1035" s="73"/>
      <c r="U1035" s="73"/>
      <c r="V1035" s="73"/>
      <c r="W1035" s="73"/>
      <c r="X1035" s="73"/>
      <c r="Y1035" s="73"/>
      <c r="Z1035" s="73"/>
      <c r="AA1035" s="73"/>
      <c r="AB1035" s="73"/>
    </row>
    <row r="1036">
      <c r="A1036" s="73"/>
      <c r="B1036" s="73">
        <v>85363.05243</v>
      </c>
      <c r="C1036" s="73">
        <v>1.25275373920236E7</v>
      </c>
      <c r="D1036" s="73">
        <v>1330754.70300061</v>
      </c>
      <c r="E1036" s="73">
        <v>590498.866891945</v>
      </c>
      <c r="F1036" s="73"/>
      <c r="G1036" s="73"/>
      <c r="H1036" s="73"/>
      <c r="I1036" s="73"/>
      <c r="J1036" s="73"/>
      <c r="K1036" s="73"/>
      <c r="L1036" s="73"/>
      <c r="M1036" s="73"/>
      <c r="N1036" s="73"/>
      <c r="O1036" s="73"/>
      <c r="P1036" s="73"/>
      <c r="Q1036" s="73"/>
      <c r="R1036" s="73"/>
      <c r="S1036" s="73"/>
      <c r="T1036" s="73"/>
      <c r="U1036" s="73"/>
      <c r="V1036" s="73"/>
      <c r="W1036" s="73"/>
      <c r="X1036" s="73"/>
      <c r="Y1036" s="73"/>
      <c r="Z1036" s="73"/>
      <c r="AA1036" s="73"/>
      <c r="AB1036" s="73"/>
    </row>
    <row r="1037">
      <c r="A1037" s="73"/>
      <c r="B1037" s="73">
        <v>85533.68782</v>
      </c>
      <c r="C1037" s="73">
        <v>1.25605416811068E7</v>
      </c>
      <c r="D1037" s="73">
        <v>1337477.52849771</v>
      </c>
      <c r="E1037" s="73">
        <v>592064.87731141</v>
      </c>
      <c r="F1037" s="73"/>
      <c r="G1037" s="73"/>
      <c r="H1037" s="73"/>
      <c r="I1037" s="73"/>
      <c r="J1037" s="73"/>
      <c r="K1037" s="73"/>
      <c r="L1037" s="73"/>
      <c r="M1037" s="73"/>
      <c r="N1037" s="73"/>
      <c r="O1037" s="73"/>
      <c r="P1037" s="73"/>
      <c r="Q1037" s="73"/>
      <c r="R1037" s="73"/>
      <c r="S1037" s="73"/>
      <c r="T1037" s="73"/>
      <c r="U1037" s="73"/>
      <c r="V1037" s="73"/>
      <c r="W1037" s="73"/>
      <c r="X1037" s="73"/>
      <c r="Y1037" s="73"/>
      <c r="Z1037" s="73"/>
      <c r="AA1037" s="73"/>
      <c r="AB1037" s="73"/>
    </row>
    <row r="1038">
      <c r="A1038" s="73"/>
      <c r="B1038" s="73">
        <v>85704.74167</v>
      </c>
      <c r="C1038" s="73">
        <v>1.25936026201885E7</v>
      </c>
      <c r="D1038" s="73">
        <v>1344222.88349863</v>
      </c>
      <c r="E1038" s="73">
        <v>593633.395266738</v>
      </c>
      <c r="F1038" s="73"/>
      <c r="G1038" s="73"/>
      <c r="H1038" s="73"/>
      <c r="I1038" s="73"/>
      <c r="J1038" s="73"/>
      <c r="K1038" s="73"/>
      <c r="L1038" s="73"/>
      <c r="M1038" s="73"/>
      <c r="N1038" s="73"/>
      <c r="O1038" s="73"/>
      <c r="P1038" s="73"/>
      <c r="Q1038" s="73"/>
      <c r="R1038" s="73"/>
      <c r="S1038" s="73"/>
      <c r="T1038" s="73"/>
      <c r="U1038" s="73"/>
      <c r="V1038" s="73"/>
      <c r="W1038" s="73"/>
      <c r="X1038" s="73"/>
      <c r="Y1038" s="73"/>
      <c r="Z1038" s="73"/>
      <c r="AA1038" s="73"/>
      <c r="AB1038" s="73"/>
    </row>
    <row r="1039">
      <c r="A1039" s="73"/>
      <c r="B1039" s="73">
        <v>85876.21468</v>
      </c>
      <c r="C1039" s="73">
        <v>1.26267171192687E7</v>
      </c>
      <c r="D1039" s="73">
        <v>1350990.83399954</v>
      </c>
      <c r="E1039" s="73">
        <v>595204.379205934</v>
      </c>
      <c r="F1039" s="73"/>
      <c r="G1039" s="73"/>
      <c r="H1039" s="73"/>
      <c r="I1039" s="73"/>
      <c r="J1039" s="73"/>
      <c r="K1039" s="73"/>
      <c r="L1039" s="73"/>
      <c r="M1039" s="73"/>
      <c r="N1039" s="73"/>
      <c r="O1039" s="73"/>
      <c r="P1039" s="73"/>
      <c r="Q1039" s="73"/>
      <c r="R1039" s="73"/>
      <c r="S1039" s="73"/>
      <c r="T1039" s="73"/>
      <c r="U1039" s="73"/>
      <c r="V1039" s="73"/>
      <c r="W1039" s="73"/>
      <c r="X1039" s="73"/>
      <c r="Y1039" s="73"/>
      <c r="Z1039" s="73"/>
      <c r="AA1039" s="73"/>
      <c r="AB1039" s="73"/>
    </row>
    <row r="1040">
      <c r="A1040" s="73"/>
      <c r="B1040" s="73">
        <v>86048.10755</v>
      </c>
      <c r="C1040" s="73">
        <v>1.26598862083473E7</v>
      </c>
      <c r="D1040" s="73">
        <v>1357781.38950046</v>
      </c>
      <c r="E1040" s="73">
        <v>596777.870680995</v>
      </c>
      <c r="F1040" s="73"/>
      <c r="G1040" s="73"/>
      <c r="H1040" s="73"/>
      <c r="I1040" s="73"/>
      <c r="J1040" s="73"/>
      <c r="K1040" s="73"/>
      <c r="L1040" s="73"/>
      <c r="M1040" s="73"/>
      <c r="N1040" s="73"/>
      <c r="O1040" s="73"/>
      <c r="P1040" s="73"/>
      <c r="Q1040" s="73"/>
      <c r="R1040" s="73"/>
      <c r="S1040" s="73"/>
      <c r="T1040" s="73"/>
      <c r="U1040" s="73"/>
      <c r="V1040" s="73"/>
      <c r="W1040" s="73"/>
      <c r="X1040" s="73"/>
      <c r="Y1040" s="73"/>
      <c r="Z1040" s="73"/>
      <c r="AA1040" s="73"/>
      <c r="AB1040" s="73"/>
    </row>
    <row r="1041">
      <c r="A1041" s="73"/>
      <c r="B1041" s="73">
        <v>86220.421</v>
      </c>
      <c r="C1041" s="73">
        <v>1.26931119474244E7</v>
      </c>
      <c r="D1041" s="73">
        <v>1364594.62049756</v>
      </c>
      <c r="E1041" s="73">
        <v>598353.85909192</v>
      </c>
      <c r="F1041" s="73"/>
      <c r="G1041" s="73"/>
      <c r="H1041" s="73"/>
      <c r="I1041" s="73"/>
      <c r="J1041" s="73"/>
      <c r="K1041" s="73"/>
      <c r="L1041" s="73"/>
      <c r="M1041" s="73"/>
      <c r="N1041" s="73"/>
      <c r="O1041" s="73"/>
      <c r="P1041" s="73"/>
      <c r="Q1041" s="73"/>
      <c r="R1041" s="73"/>
      <c r="S1041" s="73"/>
      <c r="T1041" s="73"/>
      <c r="U1041" s="73"/>
      <c r="V1041" s="73"/>
      <c r="W1041" s="73"/>
      <c r="X1041" s="73"/>
      <c r="Y1041" s="73"/>
      <c r="Z1041" s="73"/>
      <c r="AA1041" s="73"/>
      <c r="AB1041" s="73"/>
    </row>
    <row r="1042">
      <c r="A1042" s="73"/>
      <c r="B1042" s="73">
        <v>86393.1557</v>
      </c>
      <c r="C1042" s="73">
        <v>1.27263933065E7</v>
      </c>
      <c r="D1042" s="73">
        <v>1371430.54599847</v>
      </c>
      <c r="E1042" s="73">
        <v>599932.302886714</v>
      </c>
      <c r="F1042" s="73"/>
      <c r="G1042" s="73"/>
      <c r="H1042" s="73"/>
      <c r="I1042" s="73"/>
      <c r="J1042" s="73"/>
      <c r="K1042" s="73"/>
      <c r="L1042" s="73"/>
      <c r="M1042" s="73"/>
      <c r="N1042" s="73"/>
      <c r="O1042" s="73"/>
      <c r="P1042" s="73"/>
      <c r="Q1042" s="73"/>
      <c r="R1042" s="73"/>
      <c r="S1042" s="73"/>
      <c r="T1042" s="73"/>
      <c r="U1042" s="73"/>
      <c r="V1042" s="73"/>
      <c r="W1042" s="73"/>
      <c r="X1042" s="73"/>
      <c r="Y1042" s="73"/>
      <c r="Z1042" s="73"/>
      <c r="AA1042" s="73"/>
      <c r="AB1042" s="73"/>
    </row>
    <row r="1043">
      <c r="A1043" s="73"/>
      <c r="B1043" s="73">
        <v>86566.31229</v>
      </c>
      <c r="C1043" s="73">
        <v>1.2759727195574E7</v>
      </c>
      <c r="D1043" s="73">
        <v>1378289.14199939</v>
      </c>
      <c r="E1043" s="73">
        <v>601513.212665374</v>
      </c>
      <c r="F1043" s="73"/>
      <c r="G1043" s="73"/>
      <c r="H1043" s="73"/>
      <c r="I1043" s="73"/>
      <c r="J1043" s="73"/>
      <c r="K1043" s="73"/>
      <c r="L1043" s="73"/>
      <c r="M1043" s="73"/>
      <c r="N1043" s="73"/>
      <c r="O1043" s="73"/>
      <c r="P1043" s="73"/>
      <c r="Q1043" s="73"/>
      <c r="R1043" s="73"/>
      <c r="S1043" s="73"/>
      <c r="T1043" s="73"/>
      <c r="U1043" s="73"/>
      <c r="V1043" s="73"/>
      <c r="W1043" s="73"/>
      <c r="X1043" s="73"/>
      <c r="Y1043" s="73"/>
      <c r="Z1043" s="73"/>
      <c r="AA1043" s="73"/>
      <c r="AB1043" s="73"/>
    </row>
    <row r="1044">
      <c r="A1044" s="73"/>
      <c r="B1044" s="73">
        <v>86739.89144</v>
      </c>
      <c r="C1044" s="73">
        <v>1.27931177346466E7</v>
      </c>
      <c r="D1044" s="73">
        <v>1385170.51250031</v>
      </c>
      <c r="E1044" s="73">
        <v>603096.629979898</v>
      </c>
      <c r="F1044" s="73"/>
      <c r="G1044" s="73"/>
      <c r="H1044" s="73"/>
      <c r="I1044" s="73"/>
      <c r="J1044" s="73"/>
      <c r="K1044" s="73"/>
      <c r="L1044" s="73"/>
      <c r="M1044" s="73"/>
      <c r="N1044" s="73"/>
      <c r="O1044" s="73"/>
      <c r="P1044" s="73"/>
      <c r="Q1044" s="73"/>
      <c r="R1044" s="73"/>
      <c r="S1044" s="73"/>
      <c r="T1044" s="73"/>
      <c r="U1044" s="73"/>
      <c r="V1044" s="73"/>
      <c r="W1044" s="73"/>
      <c r="X1044" s="73"/>
      <c r="Y1044" s="73"/>
      <c r="Z1044" s="73"/>
      <c r="AA1044" s="73"/>
      <c r="AB1044" s="73"/>
    </row>
    <row r="1045">
      <c r="A1045" s="73"/>
      <c r="B1045" s="73">
        <v>86913.89376</v>
      </c>
      <c r="C1045" s="73">
        <v>1.28265638937175E7</v>
      </c>
      <c r="D1045" s="73">
        <v>1392074.64349741</v>
      </c>
      <c r="E1045" s="73">
        <v>604682.554830287</v>
      </c>
      <c r="F1045" s="73"/>
      <c r="G1045" s="73"/>
      <c r="H1045" s="73"/>
      <c r="I1045" s="73"/>
      <c r="J1045" s="73"/>
      <c r="K1045" s="73"/>
      <c r="L1045" s="73"/>
      <c r="M1045" s="73"/>
      <c r="N1045" s="73"/>
      <c r="O1045" s="73"/>
      <c r="P1045" s="73"/>
      <c r="Q1045" s="73"/>
      <c r="R1045" s="73"/>
      <c r="S1045" s="73"/>
      <c r="T1045" s="73"/>
      <c r="U1045" s="73"/>
      <c r="V1045" s="73"/>
      <c r="W1045" s="73"/>
      <c r="X1045" s="73"/>
      <c r="Y1045" s="73"/>
      <c r="Z1045" s="73"/>
      <c r="AA1045" s="73"/>
      <c r="AB1045" s="73"/>
    </row>
    <row r="1046">
      <c r="A1046" s="73"/>
      <c r="B1046" s="73">
        <v>87088.31989</v>
      </c>
      <c r="C1046" s="73">
        <v>1.2860064642787E7</v>
      </c>
      <c r="D1046" s="73">
        <v>1399001.60949832</v>
      </c>
      <c r="E1046" s="73">
        <v>606270.976616542</v>
      </c>
      <c r="F1046" s="73"/>
      <c r="G1046" s="73"/>
      <c r="H1046" s="73"/>
      <c r="I1046" s="73"/>
      <c r="J1046" s="73"/>
      <c r="K1046" s="73"/>
      <c r="L1046" s="73"/>
      <c r="M1046" s="73"/>
      <c r="N1046" s="73"/>
      <c r="O1046" s="73"/>
      <c r="P1046" s="73"/>
      <c r="Q1046" s="73"/>
      <c r="R1046" s="73"/>
      <c r="S1046" s="73"/>
      <c r="T1046" s="73"/>
      <c r="U1046" s="73"/>
      <c r="V1046" s="73"/>
      <c r="W1046" s="73"/>
      <c r="X1046" s="73"/>
      <c r="Y1046" s="73"/>
      <c r="Z1046" s="73"/>
      <c r="AA1046" s="73"/>
      <c r="AB1046" s="73"/>
    </row>
    <row r="1047">
      <c r="A1047" s="73"/>
      <c r="B1047" s="73">
        <v>87263.17043</v>
      </c>
      <c r="C1047" s="73">
        <v>1.28936189518549E7</v>
      </c>
      <c r="D1047" s="73">
        <v>1405951.50999924</v>
      </c>
      <c r="E1047" s="73">
        <v>607861.853786664</v>
      </c>
      <c r="F1047" s="73"/>
      <c r="G1047" s="73"/>
      <c r="H1047" s="73"/>
      <c r="I1047" s="73"/>
      <c r="J1047" s="73"/>
      <c r="K1047" s="73"/>
      <c r="L1047" s="73"/>
      <c r="M1047" s="73"/>
      <c r="N1047" s="73"/>
      <c r="O1047" s="73"/>
      <c r="P1047" s="73"/>
      <c r="Q1047" s="73"/>
      <c r="R1047" s="73"/>
      <c r="S1047" s="73"/>
      <c r="T1047" s="73"/>
      <c r="U1047" s="73"/>
      <c r="V1047" s="73"/>
      <c r="W1047" s="73"/>
      <c r="X1047" s="73"/>
      <c r="Y1047" s="73"/>
      <c r="Z1047" s="73"/>
      <c r="AA1047" s="73"/>
      <c r="AB1047" s="73"/>
    </row>
    <row r="1048">
      <c r="A1048" s="73"/>
      <c r="B1048" s="73">
        <v>87438.44598</v>
      </c>
      <c r="C1048" s="73">
        <v>1.29272319709213E7</v>
      </c>
      <c r="D1048" s="73">
        <v>1412924.17100015</v>
      </c>
      <c r="E1048" s="73">
        <v>609455.24909265</v>
      </c>
      <c r="F1048" s="73"/>
      <c r="G1048" s="73"/>
      <c r="H1048" s="73"/>
      <c r="I1048" s="73"/>
      <c r="J1048" s="73"/>
      <c r="K1048" s="73"/>
      <c r="L1048" s="73"/>
      <c r="M1048" s="73"/>
      <c r="N1048" s="73"/>
      <c r="O1048" s="73"/>
      <c r="P1048" s="73"/>
      <c r="Q1048" s="73"/>
      <c r="R1048" s="73"/>
      <c r="S1048" s="73"/>
      <c r="T1048" s="73"/>
      <c r="U1048" s="73"/>
      <c r="V1048" s="73"/>
      <c r="W1048" s="73"/>
      <c r="X1048" s="73"/>
      <c r="Y1048" s="73"/>
      <c r="Z1048" s="73"/>
      <c r="AA1048" s="73"/>
      <c r="AB1048" s="73"/>
    </row>
    <row r="1049">
      <c r="A1049" s="73"/>
      <c r="B1049" s="73">
        <v>87614.1471</v>
      </c>
      <c r="C1049" s="73">
        <v>1.29608985499861E7</v>
      </c>
      <c r="D1049" s="73">
        <v>1419919.83199725</v>
      </c>
      <c r="E1049" s="73">
        <v>611051.141334501</v>
      </c>
      <c r="F1049" s="73"/>
      <c r="G1049" s="73"/>
      <c r="H1049" s="73"/>
      <c r="I1049" s="73"/>
      <c r="J1049" s="73"/>
      <c r="K1049" s="73"/>
      <c r="L1049" s="73"/>
      <c r="M1049" s="73"/>
      <c r="N1049" s="73"/>
      <c r="O1049" s="73"/>
      <c r="P1049" s="73"/>
      <c r="Q1049" s="73"/>
      <c r="R1049" s="73"/>
      <c r="S1049" s="73"/>
      <c r="T1049" s="73"/>
      <c r="U1049" s="73"/>
      <c r="V1049" s="73"/>
      <c r="W1049" s="73"/>
      <c r="X1049" s="73"/>
      <c r="Y1049" s="73"/>
      <c r="Z1049" s="73"/>
      <c r="AA1049" s="73"/>
      <c r="AB1049" s="73"/>
    </row>
    <row r="1050">
      <c r="A1050" s="73"/>
      <c r="B1050" s="73">
        <v>87790.27441</v>
      </c>
      <c r="C1050" s="73">
        <v>1.29946197190495E7</v>
      </c>
      <c r="D1050" s="73">
        <v>1426938.49799817</v>
      </c>
      <c r="E1050" s="73">
        <v>612649.48896022</v>
      </c>
      <c r="F1050" s="73"/>
      <c r="G1050" s="73"/>
      <c r="H1050" s="73"/>
      <c r="I1050" s="73"/>
      <c r="J1050" s="73"/>
      <c r="K1050" s="73"/>
      <c r="L1050" s="73"/>
      <c r="M1050" s="73"/>
      <c r="N1050" s="73"/>
      <c r="O1050" s="73"/>
      <c r="P1050" s="73"/>
      <c r="Q1050" s="73"/>
      <c r="R1050" s="73"/>
      <c r="S1050" s="73"/>
      <c r="T1050" s="73"/>
      <c r="U1050" s="73"/>
      <c r="V1050" s="73"/>
      <c r="W1050" s="73"/>
      <c r="X1050" s="73"/>
      <c r="Y1050" s="73"/>
      <c r="Z1050" s="73"/>
      <c r="AA1050" s="73"/>
      <c r="AB1050" s="73"/>
    </row>
    <row r="1051">
      <c r="A1051" s="73"/>
      <c r="B1051" s="73">
        <v>87966.82841</v>
      </c>
      <c r="C1051" s="73">
        <v>1.30283975381112E7</v>
      </c>
      <c r="D1051" s="73">
        <v>1433980.08899908</v>
      </c>
      <c r="E1051" s="73">
        <v>614250.354721803</v>
      </c>
      <c r="F1051" s="73"/>
      <c r="G1051" s="73"/>
      <c r="H1051" s="73"/>
      <c r="I1051" s="73"/>
      <c r="J1051" s="73"/>
      <c r="K1051" s="73"/>
      <c r="L1051" s="73"/>
      <c r="M1051" s="73"/>
      <c r="N1051" s="73"/>
      <c r="O1051" s="73"/>
      <c r="P1051" s="73"/>
      <c r="Q1051" s="73"/>
      <c r="R1051" s="73"/>
      <c r="S1051" s="73"/>
      <c r="T1051" s="73"/>
      <c r="U1051" s="73"/>
      <c r="V1051" s="73"/>
      <c r="W1051" s="73"/>
      <c r="X1051" s="73"/>
      <c r="Y1051" s="73"/>
      <c r="Z1051" s="73"/>
      <c r="AA1051" s="73"/>
      <c r="AB1051" s="73"/>
    </row>
    <row r="1052">
      <c r="A1052" s="73"/>
      <c r="B1052" s="73">
        <v>88143.80971</v>
      </c>
      <c r="C1052" s="73">
        <v>1.30622299471715E7</v>
      </c>
      <c r="D1052" s="73">
        <v>1441044.76</v>
      </c>
      <c r="E1052" s="73">
        <v>615853.72801925</v>
      </c>
      <c r="F1052" s="73"/>
      <c r="G1052" s="73"/>
      <c r="H1052" s="73"/>
      <c r="I1052" s="73"/>
      <c r="J1052" s="73"/>
      <c r="K1052" s="73"/>
      <c r="L1052" s="73"/>
      <c r="M1052" s="73"/>
      <c r="N1052" s="73"/>
      <c r="O1052" s="73"/>
      <c r="P1052" s="73"/>
      <c r="Q1052" s="73"/>
      <c r="R1052" s="73"/>
      <c r="S1052" s="73"/>
      <c r="T1052" s="73"/>
      <c r="U1052" s="73"/>
      <c r="V1052" s="73"/>
      <c r="W1052" s="73"/>
      <c r="X1052" s="73"/>
      <c r="Y1052" s="73"/>
      <c r="Z1052" s="73"/>
      <c r="AA1052" s="73"/>
      <c r="AB1052" s="73"/>
    </row>
    <row r="1053">
      <c r="A1053" s="73"/>
      <c r="B1053" s="73">
        <v>88321.2188</v>
      </c>
      <c r="C1053" s="73">
        <v>1.30961190062301E7</v>
      </c>
      <c r="D1053" s="73">
        <v>1448132.52550092</v>
      </c>
      <c r="E1053" s="73">
        <v>617459.598252563</v>
      </c>
      <c r="F1053" s="73"/>
      <c r="G1053" s="73"/>
      <c r="H1053" s="73"/>
      <c r="I1053" s="73"/>
      <c r="J1053" s="73"/>
      <c r="K1053" s="73"/>
      <c r="L1053" s="73"/>
      <c r="M1053" s="73"/>
      <c r="N1053" s="73"/>
      <c r="O1053" s="73"/>
      <c r="P1053" s="73"/>
      <c r="Q1053" s="73"/>
      <c r="R1053" s="73"/>
      <c r="S1053" s="73"/>
      <c r="T1053" s="73"/>
      <c r="U1053" s="73"/>
      <c r="V1053" s="73"/>
      <c r="W1053" s="73"/>
      <c r="X1053" s="73"/>
      <c r="Y1053" s="73"/>
      <c r="Z1053" s="73"/>
      <c r="AA1053" s="73"/>
      <c r="AB1053" s="73"/>
    </row>
    <row r="1054">
      <c r="A1054" s="73"/>
      <c r="B1054" s="73">
        <v>88499.05624</v>
      </c>
      <c r="C1054" s="73">
        <v>1.31300626552873E7</v>
      </c>
      <c r="D1054" s="73">
        <v>1455243.28649802</v>
      </c>
      <c r="E1054" s="73">
        <v>619068.017573738</v>
      </c>
      <c r="F1054" s="73"/>
      <c r="G1054" s="73"/>
      <c r="H1054" s="73"/>
      <c r="I1054" s="73"/>
      <c r="J1054" s="73"/>
      <c r="K1054" s="73"/>
      <c r="L1054" s="73"/>
      <c r="M1054" s="73"/>
      <c r="N1054" s="73"/>
      <c r="O1054" s="73"/>
      <c r="P1054" s="73"/>
      <c r="Q1054" s="73"/>
      <c r="R1054" s="73"/>
      <c r="S1054" s="73"/>
      <c r="T1054" s="73"/>
      <c r="U1054" s="73"/>
      <c r="V1054" s="73"/>
      <c r="W1054" s="73"/>
      <c r="X1054" s="73"/>
      <c r="Y1054" s="73"/>
      <c r="Z1054" s="73"/>
      <c r="AA1054" s="73"/>
      <c r="AB1054" s="73"/>
    </row>
    <row r="1055">
      <c r="A1055" s="73"/>
      <c r="B1055" s="73">
        <v>88677.32257</v>
      </c>
      <c r="C1055" s="73">
        <v>1.31640629543428E7</v>
      </c>
      <c r="D1055" s="73">
        <v>1462377.29249893</v>
      </c>
      <c r="E1055" s="73">
        <v>620678.89227878</v>
      </c>
      <c r="F1055" s="73"/>
      <c r="G1055" s="73"/>
      <c r="H1055" s="73"/>
      <c r="I1055" s="73"/>
      <c r="J1055" s="73"/>
      <c r="K1055" s="73"/>
      <c r="L1055" s="73"/>
      <c r="M1055" s="73"/>
      <c r="N1055" s="73"/>
      <c r="O1055" s="73"/>
      <c r="P1055" s="73"/>
      <c r="Q1055" s="73"/>
      <c r="R1055" s="73"/>
      <c r="S1055" s="73"/>
      <c r="T1055" s="73"/>
      <c r="U1055" s="73"/>
      <c r="V1055" s="73"/>
      <c r="W1055" s="73"/>
      <c r="X1055" s="73"/>
      <c r="Y1055" s="73"/>
      <c r="Z1055" s="73"/>
      <c r="AA1055" s="73"/>
      <c r="AB1055" s="73"/>
    </row>
    <row r="1056">
      <c r="A1056" s="73"/>
      <c r="B1056" s="73">
        <v>88856.01829</v>
      </c>
      <c r="C1056" s="73">
        <v>1.31981178433969E7</v>
      </c>
      <c r="D1056" s="73">
        <v>1469534.38799985</v>
      </c>
      <c r="E1056" s="73">
        <v>622292.243567689</v>
      </c>
      <c r="F1056" s="73"/>
      <c r="G1056" s="73"/>
      <c r="H1056" s="73"/>
      <c r="I1056" s="73"/>
      <c r="J1056" s="73"/>
      <c r="K1056" s="73"/>
      <c r="L1056" s="73"/>
      <c r="M1056" s="73"/>
      <c r="N1056" s="73"/>
      <c r="O1056" s="73"/>
      <c r="P1056" s="73"/>
      <c r="Q1056" s="73"/>
      <c r="R1056" s="73"/>
      <c r="S1056" s="73"/>
      <c r="T1056" s="73"/>
      <c r="U1056" s="73"/>
      <c r="V1056" s="73"/>
      <c r="W1056" s="73"/>
      <c r="X1056" s="73"/>
      <c r="Y1056" s="73"/>
      <c r="Z1056" s="73"/>
      <c r="AA1056" s="73"/>
      <c r="AB1056" s="73"/>
    </row>
    <row r="1057">
      <c r="A1057" s="73"/>
      <c r="B1057" s="73">
        <v>89035.14387</v>
      </c>
      <c r="C1057" s="73">
        <v>1.32322293824494E7</v>
      </c>
      <c r="D1057" s="73">
        <v>1476714.73350076</v>
      </c>
      <c r="E1057" s="73">
        <v>623908.133344461</v>
      </c>
      <c r="F1057" s="73"/>
      <c r="G1057" s="73"/>
      <c r="H1057" s="73"/>
      <c r="I1057" s="73"/>
      <c r="J1057" s="73"/>
      <c r="K1057" s="73"/>
      <c r="L1057" s="73"/>
      <c r="M1057" s="73"/>
      <c r="N1057" s="73"/>
      <c r="O1057" s="73"/>
      <c r="P1057" s="73"/>
      <c r="Q1057" s="73"/>
      <c r="R1057" s="73"/>
      <c r="S1057" s="73"/>
      <c r="T1057" s="73"/>
      <c r="U1057" s="73"/>
      <c r="V1057" s="73"/>
      <c r="W1057" s="73"/>
      <c r="X1057" s="73"/>
      <c r="Y1057" s="73"/>
      <c r="Z1057" s="73"/>
      <c r="AA1057" s="73"/>
      <c r="AB1057" s="73"/>
    </row>
    <row r="1058">
      <c r="A1058" s="73"/>
      <c r="B1058" s="73">
        <v>89214.69985</v>
      </c>
      <c r="C1058" s="73">
        <v>1.32663965415003E7</v>
      </c>
      <c r="D1058" s="73">
        <v>1483918.31399786</v>
      </c>
      <c r="E1058" s="73">
        <v>625526.530657097</v>
      </c>
      <c r="F1058" s="73"/>
      <c r="G1058" s="73"/>
      <c r="H1058" s="73"/>
      <c r="I1058" s="73"/>
      <c r="J1058" s="73"/>
      <c r="K1058" s="73"/>
      <c r="L1058" s="73"/>
      <c r="M1058" s="73"/>
      <c r="N1058" s="73"/>
      <c r="O1058" s="73"/>
      <c r="P1058" s="73"/>
      <c r="Q1058" s="73"/>
      <c r="R1058" s="73"/>
      <c r="S1058" s="73"/>
      <c r="T1058" s="73"/>
      <c r="U1058" s="73"/>
      <c r="V1058" s="73"/>
      <c r="W1058" s="73"/>
      <c r="X1058" s="73"/>
      <c r="Y1058" s="73"/>
      <c r="Z1058" s="73"/>
      <c r="AA1058" s="73"/>
      <c r="AB1058" s="73"/>
    </row>
    <row r="1059">
      <c r="A1059" s="73"/>
      <c r="B1059" s="73">
        <v>89394.68671</v>
      </c>
      <c r="C1059" s="73">
        <v>1.33006193205497E7</v>
      </c>
      <c r="D1059" s="73">
        <v>1491145.22499878</v>
      </c>
      <c r="E1059" s="73">
        <v>627147.435505598</v>
      </c>
      <c r="F1059" s="73"/>
      <c r="G1059" s="73"/>
      <c r="H1059" s="73"/>
      <c r="I1059" s="73"/>
      <c r="J1059" s="73"/>
      <c r="K1059" s="73"/>
      <c r="L1059" s="73"/>
      <c r="M1059" s="73"/>
      <c r="N1059" s="73"/>
      <c r="O1059" s="73"/>
      <c r="P1059" s="73"/>
      <c r="Q1059" s="73"/>
      <c r="R1059" s="73"/>
      <c r="S1059" s="73"/>
      <c r="T1059" s="73"/>
      <c r="U1059" s="73"/>
      <c r="V1059" s="73"/>
      <c r="W1059" s="73"/>
      <c r="X1059" s="73"/>
      <c r="Y1059" s="73"/>
      <c r="Z1059" s="73"/>
      <c r="AA1059" s="73"/>
      <c r="AB1059" s="73"/>
    </row>
    <row r="1060">
      <c r="A1060" s="73"/>
      <c r="B1060" s="73">
        <v>89575.10495</v>
      </c>
      <c r="C1060" s="73">
        <v>1.33348956595976E7</v>
      </c>
      <c r="D1060" s="73">
        <v>1498395.45999969</v>
      </c>
      <c r="E1060" s="73">
        <v>628770.847889964</v>
      </c>
      <c r="F1060" s="73"/>
      <c r="G1060" s="73"/>
      <c r="H1060" s="73"/>
      <c r="I1060" s="73"/>
      <c r="J1060" s="73"/>
      <c r="K1060" s="73"/>
      <c r="L1060" s="73"/>
      <c r="M1060" s="73"/>
      <c r="N1060" s="73"/>
      <c r="O1060" s="73"/>
      <c r="P1060" s="73"/>
      <c r="Q1060" s="73"/>
      <c r="R1060" s="73"/>
      <c r="S1060" s="73"/>
      <c r="T1060" s="73"/>
      <c r="U1060" s="73"/>
      <c r="V1060" s="73"/>
      <c r="W1060" s="73"/>
      <c r="X1060" s="73"/>
      <c r="Y1060" s="73"/>
      <c r="Z1060" s="73"/>
      <c r="AA1060" s="73"/>
      <c r="AB1060" s="73"/>
    </row>
    <row r="1061">
      <c r="A1061" s="73"/>
      <c r="B1061" s="73">
        <v>89755.95501</v>
      </c>
      <c r="C1061" s="73">
        <v>1.33692307086439E7</v>
      </c>
      <c r="D1061" s="73">
        <v>1505668.95000061</v>
      </c>
      <c r="E1061" s="73">
        <v>630396.767810194</v>
      </c>
      <c r="F1061" s="73"/>
      <c r="G1061" s="73"/>
      <c r="H1061" s="73"/>
      <c r="I1061" s="73"/>
      <c r="J1061" s="73"/>
      <c r="K1061" s="73"/>
      <c r="L1061" s="73"/>
      <c r="M1061" s="73"/>
      <c r="N1061" s="73"/>
      <c r="O1061" s="73"/>
      <c r="P1061" s="73"/>
      <c r="Q1061" s="73"/>
      <c r="R1061" s="73"/>
      <c r="S1061" s="73"/>
      <c r="T1061" s="73"/>
      <c r="U1061" s="73"/>
      <c r="V1061" s="73"/>
      <c r="W1061" s="73"/>
      <c r="X1061" s="73"/>
      <c r="Y1061" s="73"/>
      <c r="Z1061" s="73"/>
      <c r="AA1061" s="73"/>
      <c r="AB1061" s="73"/>
    </row>
    <row r="1062">
      <c r="A1062" s="73"/>
      <c r="B1062" s="73">
        <v>89937.23734</v>
      </c>
      <c r="C1062" s="73">
        <v>1.34036203476887E7</v>
      </c>
      <c r="D1062" s="73">
        <v>1512965.82599771</v>
      </c>
      <c r="E1062" s="73">
        <v>632025.153714291</v>
      </c>
      <c r="F1062" s="73"/>
      <c r="G1062" s="73"/>
      <c r="H1062" s="73"/>
      <c r="I1062" s="73"/>
      <c r="J1062" s="73"/>
      <c r="K1062" s="73"/>
      <c r="L1062" s="73"/>
      <c r="M1062" s="73"/>
      <c r="N1062" s="73"/>
      <c r="O1062" s="73"/>
      <c r="P1062" s="73"/>
      <c r="Q1062" s="73"/>
      <c r="R1062" s="73"/>
      <c r="S1062" s="73"/>
      <c r="T1062" s="73"/>
      <c r="U1062" s="73"/>
      <c r="V1062" s="73"/>
      <c r="W1062" s="73"/>
      <c r="X1062" s="73"/>
      <c r="Y1062" s="73"/>
      <c r="Z1062" s="73"/>
      <c r="AA1062" s="73"/>
      <c r="AB1062" s="73"/>
    </row>
    <row r="1063">
      <c r="A1063" s="73"/>
      <c r="B1063" s="73">
        <v>90118.95247</v>
      </c>
      <c r="C1063" s="73">
        <v>1.34380656067319E7</v>
      </c>
      <c r="D1063" s="73">
        <v>1520286.12599863</v>
      </c>
      <c r="E1063" s="73">
        <v>633656.130258248</v>
      </c>
      <c r="F1063" s="73"/>
      <c r="G1063" s="73"/>
      <c r="H1063" s="73"/>
      <c r="I1063" s="73"/>
      <c r="J1063" s="73"/>
      <c r="K1063" s="73"/>
      <c r="L1063" s="73"/>
      <c r="M1063" s="73"/>
      <c r="N1063" s="73"/>
      <c r="O1063" s="73"/>
      <c r="P1063" s="73"/>
      <c r="Q1063" s="73"/>
      <c r="R1063" s="73"/>
      <c r="S1063" s="73"/>
      <c r="T1063" s="73"/>
      <c r="U1063" s="73"/>
      <c r="V1063" s="73"/>
      <c r="W1063" s="73"/>
      <c r="X1063" s="73"/>
      <c r="Y1063" s="73"/>
      <c r="Z1063" s="73"/>
      <c r="AA1063" s="73"/>
      <c r="AB1063" s="73"/>
    </row>
    <row r="1064">
      <c r="A1064" s="73"/>
      <c r="B1064" s="73">
        <v>90301.10081</v>
      </c>
      <c r="C1064" s="73">
        <v>1.34725685457735E7</v>
      </c>
      <c r="D1064" s="73">
        <v>1527629.98999954</v>
      </c>
      <c r="E1064" s="73">
        <v>635289.562186073</v>
      </c>
      <c r="F1064" s="73"/>
      <c r="G1064" s="73"/>
      <c r="H1064" s="73"/>
      <c r="I1064" s="73"/>
      <c r="J1064" s="73"/>
      <c r="K1064" s="73"/>
      <c r="L1064" s="73"/>
      <c r="M1064" s="73"/>
      <c r="N1064" s="73"/>
      <c r="O1064" s="73"/>
      <c r="P1064" s="73"/>
      <c r="Q1064" s="73"/>
      <c r="R1064" s="73"/>
      <c r="S1064" s="73"/>
      <c r="T1064" s="73"/>
      <c r="U1064" s="73"/>
      <c r="V1064" s="73"/>
      <c r="W1064" s="73"/>
      <c r="X1064" s="73"/>
      <c r="Y1064" s="73"/>
      <c r="Z1064" s="73"/>
      <c r="AA1064" s="73"/>
      <c r="AB1064" s="73"/>
    </row>
    <row r="1065">
      <c r="A1065" s="73"/>
      <c r="B1065" s="73">
        <v>90483.6828</v>
      </c>
      <c r="C1065" s="73">
        <v>1.35071250448136E7</v>
      </c>
      <c r="D1065" s="73">
        <v>1534997.26000046</v>
      </c>
      <c r="E1065" s="73">
        <v>636925.512249762</v>
      </c>
      <c r="F1065" s="73"/>
      <c r="G1065" s="73"/>
      <c r="H1065" s="73"/>
      <c r="I1065" s="73"/>
      <c r="J1065" s="73"/>
      <c r="K1065" s="73"/>
      <c r="L1065" s="73"/>
      <c r="M1065" s="73"/>
      <c r="N1065" s="73"/>
      <c r="O1065" s="73"/>
      <c r="P1065" s="73"/>
      <c r="Q1065" s="73"/>
      <c r="R1065" s="73"/>
      <c r="S1065" s="73"/>
      <c r="T1065" s="73"/>
      <c r="U1065" s="73"/>
      <c r="V1065" s="73"/>
      <c r="W1065" s="73"/>
      <c r="X1065" s="73"/>
      <c r="Y1065" s="73"/>
      <c r="Z1065" s="73"/>
      <c r="AA1065" s="73"/>
      <c r="AB1065" s="73"/>
    </row>
    <row r="1066">
      <c r="A1066" s="73"/>
      <c r="B1066" s="73">
        <v>90666.69891</v>
      </c>
      <c r="C1066" s="73">
        <v>1.35417392238522E7</v>
      </c>
      <c r="D1066" s="73">
        <v>1542387.92999756</v>
      </c>
      <c r="E1066" s="73">
        <v>638564.011401313</v>
      </c>
      <c r="F1066" s="73"/>
      <c r="G1066" s="73"/>
      <c r="H1066" s="73"/>
      <c r="I1066" s="73"/>
      <c r="J1066" s="73"/>
      <c r="K1066" s="73"/>
      <c r="L1066" s="73"/>
      <c r="M1066" s="73"/>
      <c r="N1066" s="73"/>
      <c r="O1066" s="73"/>
      <c r="P1066" s="73"/>
      <c r="Q1066" s="73"/>
      <c r="R1066" s="73"/>
      <c r="S1066" s="73"/>
      <c r="T1066" s="73"/>
      <c r="U1066" s="73"/>
      <c r="V1066" s="73"/>
      <c r="W1066" s="73"/>
      <c r="X1066" s="73"/>
      <c r="Y1066" s="73"/>
      <c r="Z1066" s="73"/>
      <c r="AA1066" s="73"/>
      <c r="AB1066" s="73"/>
    </row>
    <row r="1067">
      <c r="A1067" s="73"/>
      <c r="B1067" s="73">
        <v>90850.14953</v>
      </c>
      <c r="C1067" s="73">
        <v>1.35764090228891E7</v>
      </c>
      <c r="D1067" s="73">
        <v>1549802.33399847</v>
      </c>
      <c r="E1067" s="73">
        <v>640205.00748873</v>
      </c>
      <c r="F1067" s="73"/>
      <c r="G1067" s="73"/>
      <c r="H1067" s="73"/>
      <c r="I1067" s="73"/>
      <c r="J1067" s="73"/>
      <c r="K1067" s="73"/>
      <c r="L1067" s="73"/>
      <c r="M1067" s="73"/>
      <c r="N1067" s="73"/>
      <c r="O1067" s="73"/>
      <c r="P1067" s="73"/>
      <c r="Q1067" s="73"/>
      <c r="R1067" s="73"/>
      <c r="S1067" s="73"/>
      <c r="T1067" s="73"/>
      <c r="U1067" s="73"/>
      <c r="V1067" s="73"/>
      <c r="W1067" s="73"/>
      <c r="X1067" s="73"/>
      <c r="Y1067" s="73"/>
      <c r="Z1067" s="73"/>
      <c r="AA1067" s="73"/>
      <c r="AB1067" s="73"/>
    </row>
    <row r="1068">
      <c r="A1068" s="73"/>
      <c r="B1068" s="73">
        <v>91034.03516</v>
      </c>
      <c r="C1068" s="73">
        <v>1.36111344419246E7</v>
      </c>
      <c r="D1068" s="73">
        <v>1557240.29899939</v>
      </c>
      <c r="E1068" s="73">
        <v>641848.563264008</v>
      </c>
      <c r="F1068" s="73"/>
      <c r="G1068" s="73"/>
      <c r="H1068" s="73"/>
      <c r="I1068" s="73"/>
      <c r="J1068" s="73"/>
      <c r="K1068" s="73"/>
      <c r="L1068" s="73"/>
      <c r="M1068" s="73"/>
      <c r="N1068" s="73"/>
      <c r="O1068" s="73"/>
      <c r="P1068" s="73"/>
      <c r="Q1068" s="73"/>
      <c r="R1068" s="73"/>
      <c r="S1068" s="73"/>
      <c r="T1068" s="73"/>
      <c r="U1068" s="73"/>
      <c r="V1068" s="73"/>
      <c r="W1068" s="73"/>
      <c r="X1068" s="73"/>
      <c r="Y1068" s="73"/>
      <c r="Z1068" s="73"/>
      <c r="AA1068" s="73"/>
      <c r="AB1068" s="73"/>
    </row>
    <row r="1069">
      <c r="A1069" s="73"/>
      <c r="B1069" s="73">
        <v>91218.35616</v>
      </c>
      <c r="C1069" s="73">
        <v>1.36459165109584E7</v>
      </c>
      <c r="D1069" s="73">
        <v>1564701.83300031</v>
      </c>
      <c r="E1069" s="73">
        <v>643494.574423154</v>
      </c>
      <c r="F1069" s="73"/>
      <c r="G1069" s="73"/>
      <c r="H1069" s="73"/>
      <c r="I1069" s="73"/>
      <c r="J1069" s="73"/>
      <c r="K1069" s="73"/>
      <c r="L1069" s="73"/>
      <c r="M1069" s="73"/>
      <c r="N1069" s="73"/>
      <c r="O1069" s="73"/>
      <c r="P1069" s="73"/>
      <c r="Q1069" s="73"/>
      <c r="R1069" s="73"/>
      <c r="S1069" s="73"/>
      <c r="T1069" s="73"/>
      <c r="U1069" s="73"/>
      <c r="V1069" s="73"/>
      <c r="W1069" s="73"/>
      <c r="X1069" s="73"/>
      <c r="Y1069" s="73"/>
      <c r="Z1069" s="73"/>
      <c r="AA1069" s="73"/>
      <c r="AB1069" s="73"/>
    </row>
    <row r="1070">
      <c r="A1070" s="73"/>
      <c r="B1070" s="73">
        <v>91403.11296</v>
      </c>
      <c r="C1070" s="73">
        <v>1.36807541999907E7</v>
      </c>
      <c r="D1070" s="73">
        <v>1572187.09699741</v>
      </c>
      <c r="E1070" s="73">
        <v>645143.145270161</v>
      </c>
      <c r="F1070" s="73"/>
      <c r="G1070" s="73"/>
      <c r="H1070" s="73"/>
      <c r="I1070" s="73"/>
      <c r="J1070" s="73"/>
      <c r="K1070" s="73"/>
      <c r="L1070" s="73"/>
      <c r="M1070" s="73"/>
      <c r="N1070" s="73"/>
      <c r="O1070" s="73"/>
      <c r="P1070" s="73"/>
      <c r="Q1070" s="73"/>
      <c r="R1070" s="73"/>
      <c r="S1070" s="73"/>
      <c r="T1070" s="73"/>
      <c r="U1070" s="73"/>
      <c r="V1070" s="73"/>
      <c r="W1070" s="73"/>
      <c r="X1070" s="73"/>
      <c r="Y1070" s="73"/>
      <c r="Z1070" s="73"/>
      <c r="AA1070" s="73"/>
      <c r="AB1070" s="73"/>
    </row>
    <row r="1071">
      <c r="A1071" s="73"/>
      <c r="B1071" s="73">
        <v>91588.30598</v>
      </c>
      <c r="C1071" s="73">
        <v>1.37156485390215E7</v>
      </c>
      <c r="D1071" s="73">
        <v>1579695.93499832</v>
      </c>
      <c r="E1071" s="73">
        <v>646794.223653034</v>
      </c>
      <c r="F1071" s="73"/>
      <c r="G1071" s="73"/>
      <c r="H1071" s="73"/>
      <c r="I1071" s="73"/>
      <c r="J1071" s="73"/>
      <c r="K1071" s="73"/>
      <c r="L1071" s="73"/>
      <c r="M1071" s="73"/>
      <c r="N1071" s="73"/>
      <c r="O1071" s="73"/>
      <c r="P1071" s="73"/>
      <c r="Q1071" s="73"/>
      <c r="R1071" s="73"/>
      <c r="S1071" s="73"/>
      <c r="T1071" s="73"/>
      <c r="U1071" s="73"/>
      <c r="V1071" s="73"/>
      <c r="W1071" s="73"/>
      <c r="X1071" s="73"/>
      <c r="Y1071" s="73"/>
      <c r="Z1071" s="73"/>
      <c r="AA1071" s="73"/>
      <c r="AB1071" s="73"/>
    </row>
    <row r="1072">
      <c r="A1072" s="73"/>
      <c r="B1072" s="73">
        <v>91773.93563</v>
      </c>
      <c r="C1072" s="73">
        <v>1.37505995280507E7</v>
      </c>
      <c r="D1072" s="73">
        <v>1587228.64899924</v>
      </c>
      <c r="E1072" s="73">
        <v>648447.80957177</v>
      </c>
      <c r="F1072" s="73"/>
      <c r="G1072" s="73"/>
      <c r="H1072" s="73"/>
      <c r="I1072" s="73"/>
      <c r="J1072" s="73"/>
      <c r="K1072" s="73"/>
      <c r="L1072" s="73"/>
      <c r="M1072" s="73"/>
      <c r="N1072" s="73"/>
      <c r="O1072" s="73"/>
      <c r="P1072" s="73"/>
      <c r="Q1072" s="73"/>
      <c r="R1072" s="73"/>
      <c r="S1072" s="73"/>
      <c r="T1072" s="73"/>
      <c r="U1072" s="73"/>
      <c r="V1072" s="73"/>
      <c r="W1072" s="73"/>
      <c r="X1072" s="73"/>
      <c r="Y1072" s="73"/>
      <c r="Z1072" s="73"/>
      <c r="AA1072" s="73"/>
      <c r="AB1072" s="73"/>
    </row>
    <row r="1073">
      <c r="A1073" s="73"/>
      <c r="B1073" s="73">
        <v>91960.00231</v>
      </c>
      <c r="C1073" s="73">
        <v>1.37856061370783E7</v>
      </c>
      <c r="D1073" s="73">
        <v>1594785.10200015</v>
      </c>
      <c r="E1073" s="73">
        <v>650103.93397837</v>
      </c>
      <c r="F1073" s="73"/>
      <c r="G1073" s="73"/>
      <c r="H1073" s="73"/>
      <c r="I1073" s="73"/>
      <c r="J1073" s="73"/>
      <c r="K1073" s="73"/>
      <c r="L1073" s="73"/>
      <c r="M1073" s="73"/>
      <c r="N1073" s="73"/>
      <c r="O1073" s="73"/>
      <c r="P1073" s="73"/>
      <c r="Q1073" s="73"/>
      <c r="R1073" s="73"/>
      <c r="S1073" s="73"/>
      <c r="T1073" s="73"/>
      <c r="U1073" s="73"/>
      <c r="V1073" s="73"/>
      <c r="W1073" s="73"/>
      <c r="X1073" s="73"/>
      <c r="Y1073" s="73"/>
      <c r="Z1073" s="73"/>
      <c r="AA1073" s="73"/>
      <c r="AB1073" s="73"/>
    </row>
    <row r="1074">
      <c r="A1074" s="73"/>
      <c r="B1074" s="73">
        <v>92146.5064</v>
      </c>
      <c r="C1074" s="73">
        <v>1.38206693961043E7</v>
      </c>
      <c r="D1074" s="73">
        <v>1602365.27499725</v>
      </c>
      <c r="E1074" s="73">
        <v>651762.587120834</v>
      </c>
      <c r="F1074" s="73"/>
      <c r="G1074" s="73"/>
      <c r="H1074" s="73"/>
      <c r="I1074" s="73"/>
      <c r="J1074" s="73"/>
      <c r="K1074" s="73"/>
      <c r="L1074" s="73"/>
      <c r="M1074" s="73"/>
      <c r="N1074" s="73"/>
      <c r="O1074" s="73"/>
      <c r="P1074" s="73"/>
      <c r="Q1074" s="73"/>
      <c r="R1074" s="73"/>
      <c r="S1074" s="73"/>
      <c r="T1074" s="73"/>
      <c r="U1074" s="73"/>
      <c r="V1074" s="73"/>
      <c r="W1074" s="73"/>
      <c r="X1074" s="73"/>
      <c r="Y1074" s="73"/>
      <c r="Z1074" s="73"/>
      <c r="AA1074" s="73"/>
      <c r="AB1074" s="73"/>
    </row>
    <row r="1075">
      <c r="A1075" s="73"/>
      <c r="B1075" s="73">
        <v>92333.44831</v>
      </c>
      <c r="C1075" s="73">
        <v>1.38557882751288E7</v>
      </c>
      <c r="D1075" s="73">
        <v>1609969.33799817</v>
      </c>
      <c r="E1075" s="73">
        <v>653423.77875116</v>
      </c>
      <c r="F1075" s="73"/>
      <c r="G1075" s="73"/>
      <c r="H1075" s="73"/>
      <c r="I1075" s="73"/>
      <c r="J1075" s="73"/>
      <c r="K1075" s="73"/>
      <c r="L1075" s="73"/>
      <c r="M1075" s="73"/>
      <c r="N1075" s="73"/>
      <c r="O1075" s="73"/>
      <c r="P1075" s="73"/>
      <c r="Q1075" s="73"/>
      <c r="R1075" s="73"/>
      <c r="S1075" s="73"/>
      <c r="T1075" s="73"/>
      <c r="U1075" s="73"/>
      <c r="V1075" s="73"/>
      <c r="W1075" s="73"/>
      <c r="X1075" s="73"/>
      <c r="Y1075" s="73"/>
      <c r="Z1075" s="73"/>
      <c r="AA1075" s="73"/>
      <c r="AB1075" s="73"/>
    </row>
    <row r="1076">
      <c r="A1076" s="73"/>
      <c r="B1076" s="73">
        <v>92520.82841</v>
      </c>
      <c r="C1076" s="73">
        <v>1.38909648341517E7</v>
      </c>
      <c r="D1076" s="73">
        <v>1617597.28599908</v>
      </c>
      <c r="E1076" s="73">
        <v>655087.477917351</v>
      </c>
      <c r="F1076" s="73"/>
      <c r="G1076" s="73"/>
      <c r="H1076" s="73"/>
      <c r="I1076" s="73"/>
      <c r="J1076" s="73"/>
      <c r="K1076" s="73"/>
      <c r="L1076" s="73"/>
      <c r="M1076" s="73"/>
      <c r="N1076" s="73"/>
      <c r="O1076" s="73"/>
      <c r="P1076" s="73"/>
      <c r="Q1076" s="73"/>
      <c r="R1076" s="73"/>
      <c r="S1076" s="73"/>
      <c r="T1076" s="73"/>
      <c r="U1076" s="73"/>
      <c r="V1076" s="73"/>
      <c r="W1076" s="73"/>
      <c r="X1076" s="73"/>
      <c r="Y1076" s="73"/>
      <c r="Z1076" s="73"/>
      <c r="AA1076" s="73"/>
      <c r="AB1076" s="73"/>
    </row>
    <row r="1077">
      <c r="A1077" s="73"/>
      <c r="B1077" s="73">
        <v>92708.64711</v>
      </c>
      <c r="C1077" s="73">
        <v>1.39261970131731E7</v>
      </c>
      <c r="D1077" s="73">
        <v>1625248.973</v>
      </c>
      <c r="E1077" s="73">
        <v>656753.726171404</v>
      </c>
      <c r="F1077" s="73"/>
      <c r="G1077" s="73"/>
      <c r="H1077" s="73"/>
      <c r="I1077" s="73"/>
      <c r="J1077" s="73"/>
      <c r="K1077" s="73"/>
      <c r="L1077" s="73"/>
      <c r="M1077" s="73"/>
      <c r="N1077" s="73"/>
      <c r="O1077" s="73"/>
      <c r="P1077" s="73"/>
      <c r="Q1077" s="73"/>
      <c r="R1077" s="73"/>
      <c r="S1077" s="73"/>
      <c r="T1077" s="73"/>
      <c r="U1077" s="73"/>
      <c r="V1077" s="73"/>
      <c r="W1077" s="73"/>
      <c r="X1077" s="73"/>
      <c r="Y1077" s="73"/>
      <c r="Z1077" s="73"/>
      <c r="AA1077" s="73"/>
      <c r="AB1077" s="73"/>
    </row>
    <row r="1078">
      <c r="A1078" s="73"/>
      <c r="B1078" s="73">
        <v>92896.90481</v>
      </c>
      <c r="C1078" s="73">
        <v>1.39614848121929E7</v>
      </c>
      <c r="D1078" s="73">
        <v>1632924.86500092</v>
      </c>
      <c r="E1078" s="73">
        <v>658422.492561321</v>
      </c>
      <c r="F1078" s="73"/>
      <c r="G1078" s="73"/>
      <c r="H1078" s="73"/>
      <c r="I1078" s="73"/>
      <c r="J1078" s="73"/>
      <c r="K1078" s="73"/>
      <c r="L1078" s="73"/>
      <c r="M1078" s="73"/>
      <c r="N1078" s="73"/>
      <c r="O1078" s="73"/>
      <c r="P1078" s="73"/>
      <c r="Q1078" s="73"/>
      <c r="R1078" s="73"/>
      <c r="S1078" s="73"/>
      <c r="T1078" s="73"/>
      <c r="U1078" s="73"/>
      <c r="V1078" s="73"/>
      <c r="W1078" s="73"/>
      <c r="X1078" s="73"/>
      <c r="Y1078" s="73"/>
      <c r="Z1078" s="73"/>
      <c r="AA1078" s="73"/>
      <c r="AB1078" s="73"/>
    </row>
    <row r="1079">
      <c r="A1079" s="73"/>
      <c r="B1079" s="73">
        <v>93085.60175</v>
      </c>
      <c r="C1079" s="73">
        <v>1.39968302912111E7</v>
      </c>
      <c r="D1079" s="73">
        <v>1640624.48199802</v>
      </c>
      <c r="E1079" s="73">
        <v>660093.808039101</v>
      </c>
      <c r="F1079" s="73"/>
      <c r="G1079" s="73"/>
      <c r="H1079" s="73"/>
      <c r="I1079" s="73"/>
      <c r="J1079" s="73"/>
      <c r="K1079" s="73"/>
      <c r="L1079" s="73"/>
      <c r="M1079" s="73"/>
      <c r="N1079" s="73"/>
      <c r="O1079" s="73"/>
      <c r="P1079" s="73"/>
      <c r="Q1079" s="73"/>
      <c r="R1079" s="73"/>
      <c r="S1079" s="73"/>
      <c r="T1079" s="73"/>
      <c r="U1079" s="73"/>
      <c r="V1079" s="73"/>
      <c r="W1079" s="73"/>
      <c r="X1079" s="73"/>
      <c r="Y1079" s="73"/>
      <c r="Z1079" s="73"/>
      <c r="AA1079" s="73"/>
      <c r="AB1079" s="73"/>
    </row>
    <row r="1080">
      <c r="A1080" s="73"/>
      <c r="B1080" s="73">
        <v>93274.73847</v>
      </c>
      <c r="C1080" s="73">
        <v>1.40322313902278E7</v>
      </c>
      <c r="D1080" s="73">
        <v>1648348.31299893</v>
      </c>
      <c r="E1080" s="73">
        <v>661767.631052746</v>
      </c>
      <c r="F1080" s="73"/>
      <c r="G1080" s="73"/>
      <c r="H1080" s="73"/>
      <c r="I1080" s="73"/>
      <c r="J1080" s="73"/>
      <c r="K1080" s="73"/>
      <c r="L1080" s="73"/>
      <c r="M1080" s="73"/>
      <c r="N1080" s="73"/>
      <c r="O1080" s="73"/>
      <c r="P1080" s="73"/>
      <c r="Q1080" s="73"/>
      <c r="R1080" s="73"/>
      <c r="S1080" s="73"/>
      <c r="T1080" s="73"/>
      <c r="U1080" s="73"/>
      <c r="V1080" s="73"/>
      <c r="W1080" s="73"/>
      <c r="X1080" s="73"/>
      <c r="Y1080" s="73"/>
      <c r="Z1080" s="73"/>
      <c r="AA1080" s="73"/>
      <c r="AB1080" s="73"/>
    </row>
    <row r="1081">
      <c r="A1081" s="73"/>
      <c r="B1081" s="73">
        <v>93464.3152</v>
      </c>
      <c r="C1081" s="73">
        <v>1.40676901692429E7</v>
      </c>
      <c r="D1081" s="73">
        <v>1656096.02499985</v>
      </c>
      <c r="E1081" s="73">
        <v>663444.003154252</v>
      </c>
      <c r="F1081" s="73"/>
      <c r="G1081" s="73"/>
      <c r="H1081" s="73"/>
      <c r="I1081" s="73"/>
      <c r="J1081" s="73"/>
      <c r="K1081" s="73"/>
      <c r="L1081" s="73"/>
      <c r="M1081" s="73"/>
      <c r="N1081" s="73"/>
      <c r="O1081" s="73"/>
      <c r="P1081" s="73"/>
      <c r="Q1081" s="73"/>
      <c r="R1081" s="73"/>
      <c r="S1081" s="73"/>
      <c r="T1081" s="73"/>
      <c r="U1081" s="73"/>
      <c r="V1081" s="73"/>
      <c r="W1081" s="73"/>
      <c r="X1081" s="73"/>
      <c r="Y1081" s="73"/>
      <c r="Z1081" s="73"/>
      <c r="AA1081" s="73"/>
      <c r="AB1081" s="73"/>
    </row>
    <row r="1082">
      <c r="A1082" s="73"/>
      <c r="B1082" s="73">
        <v>93654.33234</v>
      </c>
      <c r="C1082" s="73">
        <v>1.41032045682564E7</v>
      </c>
      <c r="D1082" s="73">
        <v>1663867.96000076</v>
      </c>
      <c r="E1082" s="73">
        <v>665122.893391623</v>
      </c>
      <c r="F1082" s="73"/>
      <c r="G1082" s="73"/>
      <c r="H1082" s="73"/>
      <c r="I1082" s="73"/>
      <c r="J1082" s="73"/>
      <c r="K1082" s="73"/>
      <c r="L1082" s="73"/>
      <c r="M1082" s="73"/>
      <c r="N1082" s="73"/>
      <c r="O1082" s="73"/>
      <c r="P1082" s="73"/>
      <c r="Q1082" s="73"/>
      <c r="R1082" s="73"/>
      <c r="S1082" s="73"/>
      <c r="T1082" s="73"/>
      <c r="U1082" s="73"/>
      <c r="V1082" s="73"/>
      <c r="W1082" s="73"/>
      <c r="X1082" s="73"/>
      <c r="Y1082" s="73"/>
      <c r="Z1082" s="73"/>
      <c r="AA1082" s="73"/>
      <c r="AB1082" s="73"/>
    </row>
    <row r="1083">
      <c r="A1083" s="73"/>
      <c r="B1083" s="73">
        <v>93844.79028</v>
      </c>
      <c r="C1083" s="73">
        <v>1.41387766472683E7</v>
      </c>
      <c r="D1083" s="73">
        <v>1671663.93599786</v>
      </c>
      <c r="E1083" s="73">
        <v>666804.322116857</v>
      </c>
      <c r="F1083" s="73"/>
      <c r="G1083" s="73"/>
      <c r="H1083" s="73"/>
      <c r="I1083" s="73"/>
      <c r="J1083" s="73"/>
      <c r="K1083" s="73"/>
      <c r="L1083" s="73"/>
      <c r="M1083" s="73"/>
      <c r="N1083" s="73"/>
      <c r="O1083" s="73"/>
      <c r="P1083" s="73"/>
      <c r="Q1083" s="73"/>
      <c r="R1083" s="73"/>
      <c r="S1083" s="73"/>
      <c r="T1083" s="73"/>
      <c r="U1083" s="73"/>
      <c r="V1083" s="73"/>
      <c r="W1083" s="73"/>
      <c r="X1083" s="73"/>
      <c r="Y1083" s="73"/>
      <c r="Z1083" s="73"/>
      <c r="AA1083" s="73"/>
      <c r="AB1083" s="73"/>
    </row>
    <row r="1084">
      <c r="A1084" s="73"/>
      <c r="B1084" s="73">
        <v>94035.68941</v>
      </c>
      <c r="C1084" s="73">
        <v>1.41744053762786E7</v>
      </c>
      <c r="D1084" s="73">
        <v>1679484.12599878</v>
      </c>
      <c r="E1084" s="73">
        <v>668488.310529953</v>
      </c>
      <c r="F1084" s="73"/>
      <c r="G1084" s="73"/>
      <c r="H1084" s="73"/>
      <c r="I1084" s="73"/>
      <c r="J1084" s="73"/>
      <c r="K1084" s="73"/>
      <c r="L1084" s="73"/>
      <c r="M1084" s="73"/>
      <c r="N1084" s="73"/>
      <c r="O1084" s="73"/>
      <c r="P1084" s="73"/>
      <c r="Q1084" s="73"/>
      <c r="R1084" s="73"/>
      <c r="S1084" s="73"/>
      <c r="T1084" s="73"/>
      <c r="U1084" s="73"/>
      <c r="V1084" s="73"/>
      <c r="W1084" s="73"/>
      <c r="X1084" s="73"/>
      <c r="Y1084" s="73"/>
      <c r="Z1084" s="73"/>
      <c r="AA1084" s="73"/>
      <c r="AB1084" s="73"/>
    </row>
    <row r="1085">
      <c r="A1085" s="73"/>
      <c r="B1085" s="73">
        <v>94227.02995</v>
      </c>
      <c r="C1085" s="73">
        <v>1.42100897252874E7</v>
      </c>
      <c r="D1085" s="73">
        <v>1687328.3609997</v>
      </c>
      <c r="E1085" s="73">
        <v>670174.848030911</v>
      </c>
      <c r="F1085" s="73"/>
      <c r="G1085" s="73"/>
      <c r="H1085" s="73"/>
      <c r="I1085" s="73"/>
      <c r="J1085" s="73"/>
      <c r="K1085" s="73"/>
      <c r="L1085" s="73"/>
      <c r="M1085" s="73"/>
      <c r="N1085" s="73"/>
      <c r="O1085" s="73"/>
      <c r="P1085" s="73"/>
      <c r="Q1085" s="73"/>
      <c r="R1085" s="73"/>
      <c r="S1085" s="73"/>
      <c r="T1085" s="73"/>
      <c r="U1085" s="73"/>
      <c r="V1085" s="73"/>
      <c r="W1085" s="73"/>
      <c r="X1085" s="73"/>
      <c r="Y1085" s="73"/>
      <c r="Z1085" s="73"/>
      <c r="AA1085" s="73"/>
      <c r="AB1085" s="73"/>
    </row>
    <row r="1086">
      <c r="A1086" s="73"/>
      <c r="B1086" s="73">
        <v>94418.81231</v>
      </c>
      <c r="C1086" s="73">
        <v>1.42458307242947E7</v>
      </c>
      <c r="D1086" s="73">
        <v>1695196.96600061</v>
      </c>
      <c r="E1086" s="73">
        <v>671863.862115735</v>
      </c>
      <c r="F1086" s="73"/>
      <c r="G1086" s="73"/>
      <c r="H1086" s="73"/>
      <c r="I1086" s="73"/>
      <c r="J1086" s="73"/>
      <c r="K1086" s="73"/>
      <c r="L1086" s="73"/>
      <c r="M1086" s="73"/>
      <c r="N1086" s="73"/>
      <c r="O1086" s="73"/>
      <c r="P1086" s="73"/>
      <c r="Q1086" s="73"/>
      <c r="R1086" s="73"/>
      <c r="S1086" s="73"/>
      <c r="T1086" s="73"/>
      <c r="U1086" s="73"/>
      <c r="V1086" s="73"/>
      <c r="W1086" s="73"/>
      <c r="X1086" s="73"/>
      <c r="Y1086" s="73"/>
      <c r="Z1086" s="73"/>
      <c r="AA1086" s="73"/>
      <c r="AB1086" s="73"/>
    </row>
    <row r="1087">
      <c r="A1087" s="73"/>
      <c r="B1087" s="73">
        <v>94611.03688</v>
      </c>
      <c r="C1087" s="73">
        <v>1.42816294033003E7</v>
      </c>
      <c r="D1087" s="73">
        <v>1703089.62499771</v>
      </c>
      <c r="E1087" s="73">
        <v>673555.508392417</v>
      </c>
      <c r="F1087" s="73"/>
      <c r="G1087" s="73"/>
      <c r="H1087" s="73"/>
      <c r="I1087" s="73"/>
      <c r="J1087" s="73"/>
      <c r="K1087" s="73"/>
      <c r="L1087" s="73"/>
      <c r="M1087" s="73"/>
      <c r="N1087" s="73"/>
      <c r="O1087" s="73"/>
      <c r="P1087" s="73"/>
      <c r="Q1087" s="73"/>
      <c r="R1087" s="73"/>
      <c r="S1087" s="73"/>
      <c r="T1087" s="73"/>
      <c r="U1087" s="73"/>
      <c r="V1087" s="73"/>
      <c r="W1087" s="73"/>
      <c r="X1087" s="73"/>
      <c r="Y1087" s="73"/>
      <c r="Z1087" s="73"/>
      <c r="AA1087" s="73"/>
      <c r="AB1087" s="73"/>
    </row>
    <row r="1088">
      <c r="A1088" s="73"/>
      <c r="B1088" s="73">
        <v>94803.70403</v>
      </c>
      <c r="C1088" s="73">
        <v>1.43174857623043E7</v>
      </c>
      <c r="D1088" s="73">
        <v>1711006.81399863</v>
      </c>
      <c r="E1088" s="73">
        <v>675249.620652967</v>
      </c>
      <c r="F1088" s="73"/>
      <c r="G1088" s="73"/>
      <c r="H1088" s="73"/>
      <c r="I1088" s="73"/>
      <c r="J1088" s="73"/>
      <c r="K1088" s="73"/>
      <c r="L1088" s="73"/>
      <c r="M1088" s="73"/>
      <c r="N1088" s="73"/>
      <c r="O1088" s="73"/>
      <c r="P1088" s="73"/>
      <c r="Q1088" s="73"/>
      <c r="R1088" s="73"/>
      <c r="S1088" s="73"/>
      <c r="T1088" s="73"/>
      <c r="U1088" s="73"/>
      <c r="V1088" s="73"/>
      <c r="W1088" s="73"/>
      <c r="X1088" s="73"/>
      <c r="Y1088" s="73"/>
      <c r="Z1088" s="73"/>
      <c r="AA1088" s="73"/>
      <c r="AB1088" s="73"/>
    </row>
    <row r="1089">
      <c r="A1089" s="73"/>
      <c r="B1089" s="73">
        <v>94996.81394</v>
      </c>
      <c r="C1089" s="73">
        <v>1.43533987713068E7</v>
      </c>
      <c r="D1089" s="73">
        <v>1718948.05299954</v>
      </c>
      <c r="E1089" s="73">
        <v>676946.292601378</v>
      </c>
      <c r="F1089" s="73"/>
      <c r="G1089" s="73"/>
      <c r="H1089" s="73"/>
      <c r="I1089" s="73"/>
      <c r="J1089" s="73"/>
      <c r="K1089" s="73"/>
      <c r="L1089" s="73"/>
      <c r="M1089" s="73"/>
      <c r="N1089" s="73"/>
      <c r="O1089" s="73"/>
      <c r="P1089" s="73"/>
      <c r="Q1089" s="73"/>
      <c r="R1089" s="73"/>
      <c r="S1089" s="73"/>
      <c r="T1089" s="73"/>
      <c r="U1089" s="73"/>
      <c r="V1089" s="73"/>
      <c r="W1089" s="73"/>
      <c r="X1089" s="73"/>
      <c r="Y1089" s="73"/>
      <c r="Z1089" s="73"/>
      <c r="AA1089" s="73"/>
      <c r="AB1089" s="73"/>
    </row>
    <row r="1090">
      <c r="A1090" s="73"/>
      <c r="B1090" s="73">
        <v>95190.36698</v>
      </c>
      <c r="C1090" s="73">
        <v>1.43893674003077E7</v>
      </c>
      <c r="D1090" s="73">
        <v>1726913.82600046</v>
      </c>
      <c r="E1090" s="73">
        <v>678645.513637651</v>
      </c>
      <c r="F1090" s="73"/>
      <c r="G1090" s="73"/>
      <c r="H1090" s="73"/>
      <c r="I1090" s="73"/>
      <c r="J1090" s="73"/>
      <c r="K1090" s="73"/>
      <c r="L1090" s="73"/>
      <c r="M1090" s="73"/>
      <c r="N1090" s="73"/>
      <c r="O1090" s="73"/>
      <c r="P1090" s="73"/>
      <c r="Q1090" s="73"/>
      <c r="R1090" s="73"/>
      <c r="S1090" s="73"/>
      <c r="T1090" s="73"/>
      <c r="U1090" s="73"/>
      <c r="V1090" s="73"/>
      <c r="W1090" s="73"/>
      <c r="X1090" s="73"/>
      <c r="Y1090" s="73"/>
      <c r="Z1090" s="73"/>
      <c r="AA1090" s="73"/>
      <c r="AB1090" s="73"/>
    </row>
    <row r="1091">
      <c r="A1091" s="73"/>
      <c r="B1091" s="73">
        <v>95384.36356</v>
      </c>
      <c r="C1091" s="73">
        <v>1.4425392679307E7</v>
      </c>
      <c r="D1091" s="73">
        <v>1734903.96399756</v>
      </c>
      <c r="E1091" s="73">
        <v>680347.283761787</v>
      </c>
      <c r="F1091" s="73"/>
      <c r="G1091" s="73"/>
      <c r="H1091" s="73"/>
      <c r="I1091" s="73"/>
      <c r="J1091" s="73"/>
      <c r="K1091" s="73"/>
      <c r="L1091" s="73"/>
      <c r="M1091" s="73"/>
      <c r="N1091" s="73"/>
      <c r="O1091" s="73"/>
      <c r="P1091" s="73"/>
      <c r="Q1091" s="73"/>
      <c r="R1091" s="73"/>
      <c r="S1091" s="73"/>
      <c r="T1091" s="73"/>
      <c r="U1091" s="73"/>
      <c r="V1091" s="73"/>
      <c r="W1091" s="73"/>
      <c r="X1091" s="73"/>
      <c r="Y1091" s="73"/>
      <c r="Z1091" s="73"/>
      <c r="AA1091" s="73"/>
      <c r="AB1091" s="73"/>
    </row>
    <row r="1092">
      <c r="A1092" s="73"/>
      <c r="B1092" s="73">
        <v>95578.80391</v>
      </c>
      <c r="C1092" s="73">
        <v>1.44614756383047E7</v>
      </c>
      <c r="D1092" s="73">
        <v>1742918.48099847</v>
      </c>
      <c r="E1092" s="73">
        <v>682051.602973785</v>
      </c>
      <c r="F1092" s="73"/>
      <c r="G1092" s="73"/>
      <c r="H1092" s="73"/>
      <c r="I1092" s="73"/>
      <c r="J1092" s="73"/>
      <c r="K1092" s="73"/>
      <c r="L1092" s="73"/>
      <c r="M1092" s="73"/>
      <c r="N1092" s="73"/>
      <c r="O1092" s="73"/>
      <c r="P1092" s="73"/>
      <c r="Q1092" s="73"/>
      <c r="R1092" s="73"/>
      <c r="S1092" s="73"/>
      <c r="T1092" s="73"/>
      <c r="U1092" s="73"/>
      <c r="V1092" s="73"/>
      <c r="W1092" s="73"/>
      <c r="X1092" s="73"/>
      <c r="Y1092" s="73"/>
      <c r="Z1092" s="73"/>
      <c r="AA1092" s="73"/>
      <c r="AB1092" s="73"/>
    </row>
    <row r="1093">
      <c r="A1093" s="73"/>
      <c r="B1093" s="73">
        <v>95773.68841</v>
      </c>
      <c r="C1093" s="73">
        <v>1.44976162773008E7</v>
      </c>
      <c r="D1093" s="73">
        <v>1750957.52799939</v>
      </c>
      <c r="E1093" s="73">
        <v>683758.492473644</v>
      </c>
      <c r="F1093" s="73"/>
      <c r="G1093" s="73"/>
      <c r="H1093" s="73"/>
      <c r="I1093" s="73"/>
      <c r="J1093" s="73"/>
      <c r="K1093" s="73"/>
      <c r="L1093" s="73"/>
      <c r="M1093" s="73"/>
      <c r="N1093" s="73"/>
      <c r="O1093" s="73"/>
      <c r="P1093" s="73"/>
      <c r="Q1093" s="73"/>
      <c r="R1093" s="73"/>
      <c r="S1093" s="73"/>
      <c r="T1093" s="73"/>
      <c r="U1093" s="73"/>
      <c r="V1093" s="73"/>
      <c r="W1093" s="73"/>
      <c r="X1093" s="73"/>
      <c r="Y1093" s="73"/>
      <c r="Z1093" s="73"/>
      <c r="AA1093" s="73"/>
      <c r="AB1093" s="73"/>
    </row>
    <row r="1094">
      <c r="A1094" s="73"/>
      <c r="B1094" s="73">
        <v>95969.01738</v>
      </c>
      <c r="C1094" s="73">
        <v>1.45338135662954E7</v>
      </c>
      <c r="D1094" s="73">
        <v>1759021.10000031</v>
      </c>
      <c r="E1094" s="73">
        <v>685467.920461367</v>
      </c>
      <c r="F1094" s="73"/>
      <c r="G1094" s="73"/>
      <c r="H1094" s="73"/>
      <c r="I1094" s="73"/>
      <c r="J1094" s="73"/>
      <c r="K1094" s="73"/>
      <c r="L1094" s="73"/>
      <c r="M1094" s="73"/>
      <c r="N1094" s="73"/>
      <c r="O1094" s="73"/>
      <c r="P1094" s="73"/>
      <c r="Q1094" s="73"/>
      <c r="R1094" s="73"/>
      <c r="S1094" s="73"/>
      <c r="T1094" s="73"/>
      <c r="U1094" s="73"/>
      <c r="V1094" s="73"/>
      <c r="W1094" s="73"/>
      <c r="X1094" s="73"/>
      <c r="Y1094" s="73"/>
      <c r="Z1094" s="73"/>
      <c r="AA1094" s="73"/>
      <c r="AB1094" s="73"/>
    </row>
    <row r="1095">
      <c r="A1095" s="73"/>
      <c r="B1095" s="73">
        <v>96164.79113</v>
      </c>
      <c r="C1095" s="73">
        <v>1.45700675052884E7</v>
      </c>
      <c r="D1095" s="73">
        <v>1767109.05099741</v>
      </c>
      <c r="E1095" s="73">
        <v>687179.908136951</v>
      </c>
      <c r="F1095" s="73"/>
      <c r="G1095" s="73"/>
      <c r="H1095" s="73"/>
      <c r="I1095" s="73"/>
      <c r="J1095" s="73"/>
      <c r="K1095" s="73"/>
      <c r="L1095" s="73"/>
      <c r="M1095" s="73"/>
      <c r="N1095" s="73"/>
      <c r="O1095" s="73"/>
      <c r="P1095" s="73"/>
      <c r="Q1095" s="73"/>
      <c r="R1095" s="73"/>
      <c r="S1095" s="73"/>
      <c r="T1095" s="73"/>
      <c r="U1095" s="73"/>
      <c r="V1095" s="73"/>
      <c r="W1095" s="73"/>
      <c r="X1095" s="73"/>
      <c r="Y1095" s="73"/>
      <c r="Z1095" s="73"/>
      <c r="AA1095" s="73"/>
      <c r="AB1095" s="73"/>
    </row>
    <row r="1096">
      <c r="A1096" s="73"/>
      <c r="B1096" s="73">
        <v>96361.00997</v>
      </c>
      <c r="C1096" s="73">
        <v>1.46063791242797E7</v>
      </c>
      <c r="D1096" s="73">
        <v>1775221.68699832</v>
      </c>
      <c r="E1096" s="73">
        <v>688894.455500397</v>
      </c>
      <c r="F1096" s="73"/>
      <c r="G1096" s="73"/>
      <c r="H1096" s="73"/>
      <c r="I1096" s="73"/>
      <c r="J1096" s="73"/>
      <c r="K1096" s="73"/>
      <c r="L1096" s="73"/>
      <c r="M1096" s="73"/>
      <c r="N1096" s="73"/>
      <c r="O1096" s="73"/>
      <c r="P1096" s="73"/>
      <c r="Q1096" s="73"/>
      <c r="R1096" s="73"/>
      <c r="S1096" s="73"/>
      <c r="T1096" s="73"/>
      <c r="U1096" s="73"/>
      <c r="V1096" s="73"/>
      <c r="W1096" s="73"/>
      <c r="X1096" s="73"/>
      <c r="Y1096" s="73"/>
      <c r="Z1096" s="73"/>
      <c r="AA1096" s="73"/>
      <c r="AB1096" s="73"/>
    </row>
    <row r="1097">
      <c r="A1097" s="73"/>
      <c r="B1097" s="73">
        <v>96557.67422</v>
      </c>
      <c r="C1097" s="73">
        <v>1.46427473932695E7</v>
      </c>
      <c r="D1097" s="73">
        <v>1783358.86199924</v>
      </c>
      <c r="E1097" s="73">
        <v>690611.510399708</v>
      </c>
      <c r="F1097" s="73"/>
      <c r="G1097" s="73"/>
      <c r="H1097" s="73"/>
      <c r="I1097" s="73"/>
      <c r="J1097" s="73"/>
      <c r="K1097" s="73"/>
      <c r="L1097" s="73"/>
      <c r="M1097" s="73"/>
      <c r="N1097" s="73"/>
      <c r="O1097" s="73"/>
      <c r="P1097" s="73"/>
      <c r="Q1097" s="73"/>
      <c r="R1097" s="73"/>
      <c r="S1097" s="73"/>
      <c r="T1097" s="73"/>
      <c r="U1097" s="73"/>
      <c r="V1097" s="73"/>
      <c r="W1097" s="73"/>
      <c r="X1097" s="73"/>
      <c r="Y1097" s="73"/>
      <c r="Z1097" s="73"/>
      <c r="AA1097" s="73"/>
      <c r="AB1097" s="73"/>
    </row>
    <row r="1098">
      <c r="A1098" s="73"/>
      <c r="B1098" s="73">
        <v>96754.78411</v>
      </c>
      <c r="C1098" s="73">
        <v>1.46791743722577E7</v>
      </c>
      <c r="D1098" s="73">
        <v>1791520.72700015</v>
      </c>
      <c r="E1098" s="73">
        <v>692331.155938879</v>
      </c>
      <c r="F1098" s="73"/>
      <c r="G1098" s="73"/>
      <c r="H1098" s="73"/>
      <c r="I1098" s="73"/>
      <c r="J1098" s="73"/>
      <c r="K1098" s="73"/>
      <c r="L1098" s="73"/>
      <c r="M1098" s="73"/>
      <c r="N1098" s="73"/>
      <c r="O1098" s="73"/>
      <c r="P1098" s="73"/>
      <c r="Q1098" s="73"/>
      <c r="R1098" s="73"/>
      <c r="S1098" s="73"/>
      <c r="T1098" s="73"/>
      <c r="U1098" s="73"/>
      <c r="V1098" s="73"/>
      <c r="W1098" s="73"/>
      <c r="X1098" s="73"/>
      <c r="Y1098" s="73"/>
      <c r="Z1098" s="73"/>
      <c r="AA1098" s="73"/>
      <c r="AB1098" s="73"/>
    </row>
    <row r="1099">
      <c r="A1099" s="73"/>
      <c r="B1099" s="73">
        <v>96952.34003</v>
      </c>
      <c r="C1099" s="73">
        <v>1.47156569712443E7</v>
      </c>
      <c r="D1099" s="73">
        <v>1799707.11699725</v>
      </c>
      <c r="E1099" s="73">
        <v>694053.309013914</v>
      </c>
      <c r="F1099" s="73"/>
      <c r="G1099" s="73"/>
      <c r="H1099" s="73"/>
      <c r="I1099" s="73"/>
      <c r="J1099" s="73"/>
      <c r="K1099" s="73"/>
      <c r="L1099" s="73"/>
      <c r="M1099" s="73"/>
      <c r="N1099" s="73"/>
      <c r="O1099" s="73"/>
      <c r="P1099" s="73"/>
      <c r="Q1099" s="73"/>
      <c r="R1099" s="73"/>
      <c r="S1099" s="73"/>
      <c r="T1099" s="73"/>
      <c r="U1099" s="73"/>
      <c r="V1099" s="73"/>
      <c r="W1099" s="73"/>
      <c r="X1099" s="73"/>
      <c r="Y1099" s="73"/>
      <c r="Z1099" s="73"/>
      <c r="AA1099" s="73"/>
      <c r="AB1099" s="73"/>
    </row>
    <row r="1100">
      <c r="A1100" s="73"/>
      <c r="B1100" s="73">
        <v>97150.34222</v>
      </c>
      <c r="C1100" s="73">
        <v>1.47521962202294E7</v>
      </c>
      <c r="D1100" s="73">
        <v>1807918.37099817</v>
      </c>
      <c r="E1100" s="73">
        <v>695778.073928809</v>
      </c>
      <c r="F1100" s="73"/>
      <c r="G1100" s="73"/>
      <c r="H1100" s="73"/>
      <c r="I1100" s="73"/>
      <c r="J1100" s="73"/>
      <c r="K1100" s="73"/>
      <c r="L1100" s="73"/>
      <c r="M1100" s="73"/>
      <c r="N1100" s="73"/>
      <c r="O1100" s="73"/>
      <c r="P1100" s="73"/>
      <c r="Q1100" s="73"/>
      <c r="R1100" s="73"/>
      <c r="S1100" s="73"/>
      <c r="T1100" s="73"/>
      <c r="U1100" s="73"/>
      <c r="V1100" s="73"/>
      <c r="W1100" s="73"/>
      <c r="X1100" s="73"/>
      <c r="Y1100" s="73"/>
      <c r="Z1100" s="73"/>
      <c r="AA1100" s="73"/>
      <c r="AB1100" s="73"/>
    </row>
    <row r="1101">
      <c r="A1101" s="73"/>
      <c r="B1101" s="73">
        <v>97348.79098</v>
      </c>
      <c r="C1101" s="73">
        <v>1.47887952092128E7</v>
      </c>
      <c r="D1101" s="73">
        <v>1816154.31899908</v>
      </c>
      <c r="E1101" s="73">
        <v>697505.387931565</v>
      </c>
      <c r="F1101" s="73"/>
      <c r="G1101" s="73"/>
      <c r="H1101" s="73"/>
      <c r="I1101" s="73"/>
      <c r="J1101" s="73"/>
      <c r="K1101" s="73"/>
      <c r="L1101" s="73"/>
      <c r="M1101" s="73"/>
      <c r="N1101" s="73"/>
      <c r="O1101" s="73"/>
      <c r="P1101" s="73"/>
      <c r="Q1101" s="73"/>
      <c r="R1101" s="73"/>
      <c r="S1101" s="73"/>
      <c r="T1101" s="73"/>
      <c r="U1101" s="73"/>
      <c r="V1101" s="73"/>
      <c r="W1101" s="73"/>
      <c r="X1101" s="73"/>
      <c r="Y1101" s="73"/>
      <c r="Z1101" s="73"/>
      <c r="AA1101" s="73"/>
      <c r="AB1101" s="73"/>
    </row>
    <row r="1102">
      <c r="A1102" s="73"/>
      <c r="B1102" s="73">
        <v>97547.68672</v>
      </c>
      <c r="C1102" s="73">
        <v>1.48254498181946E7</v>
      </c>
      <c r="D1102" s="73">
        <v>1824414.952</v>
      </c>
      <c r="E1102" s="73">
        <v>699235.251022185</v>
      </c>
      <c r="F1102" s="73"/>
      <c r="G1102" s="73"/>
      <c r="H1102" s="73"/>
      <c r="I1102" s="73"/>
      <c r="J1102" s="73"/>
      <c r="K1102" s="73"/>
      <c r="L1102" s="73"/>
      <c r="M1102" s="73"/>
      <c r="N1102" s="73"/>
      <c r="O1102" s="73"/>
      <c r="P1102" s="73"/>
      <c r="Q1102" s="73"/>
      <c r="R1102" s="73"/>
      <c r="S1102" s="73"/>
      <c r="T1102" s="73"/>
      <c r="U1102" s="73"/>
      <c r="V1102" s="73"/>
      <c r="W1102" s="73"/>
      <c r="X1102" s="73"/>
      <c r="Y1102" s="73"/>
      <c r="Z1102" s="73"/>
      <c r="AA1102" s="73"/>
      <c r="AB1102" s="73"/>
    </row>
    <row r="1103">
      <c r="A1103" s="73"/>
      <c r="B1103" s="73">
        <v>97747.0295</v>
      </c>
      <c r="C1103" s="73">
        <v>1.48621621071749E7</v>
      </c>
      <c r="D1103" s="73">
        <v>1832700.44000092</v>
      </c>
      <c r="E1103" s="73">
        <v>700967.684400665</v>
      </c>
      <c r="F1103" s="73"/>
      <c r="G1103" s="73"/>
      <c r="H1103" s="73"/>
      <c r="I1103" s="73"/>
      <c r="J1103" s="73"/>
      <c r="K1103" s="73"/>
      <c r="L1103" s="73"/>
      <c r="M1103" s="73"/>
      <c r="N1103" s="73"/>
      <c r="O1103" s="73"/>
      <c r="P1103" s="73"/>
      <c r="Q1103" s="73"/>
      <c r="R1103" s="73"/>
      <c r="S1103" s="73"/>
      <c r="T1103" s="73"/>
      <c r="U1103" s="73"/>
      <c r="V1103" s="73"/>
      <c r="W1103" s="73"/>
      <c r="X1103" s="73"/>
      <c r="Y1103" s="73"/>
      <c r="Z1103" s="73"/>
      <c r="AA1103" s="73"/>
      <c r="AB1103" s="73"/>
    </row>
    <row r="1104">
      <c r="A1104" s="73"/>
      <c r="B1104" s="73">
        <v>97946.81988</v>
      </c>
      <c r="C1104" s="73">
        <v>1.48989320761535E7</v>
      </c>
      <c r="D1104" s="73">
        <v>1841010.78199802</v>
      </c>
      <c r="E1104" s="73">
        <v>702702.687219007</v>
      </c>
      <c r="F1104" s="73"/>
      <c r="G1104" s="73"/>
      <c r="H1104" s="73"/>
      <c r="I1104" s="73"/>
      <c r="J1104" s="73"/>
      <c r="K1104" s="73"/>
      <c r="L1104" s="73"/>
      <c r="M1104" s="73"/>
      <c r="N1104" s="73"/>
      <c r="O1104" s="73"/>
      <c r="P1104" s="73"/>
      <c r="Q1104" s="73"/>
      <c r="R1104" s="73"/>
      <c r="S1104" s="73"/>
      <c r="T1104" s="73"/>
      <c r="U1104" s="73"/>
      <c r="V1104" s="73"/>
      <c r="W1104" s="73"/>
      <c r="X1104" s="73"/>
      <c r="Y1104" s="73"/>
      <c r="Z1104" s="73"/>
      <c r="AA1104" s="73"/>
      <c r="AB1104" s="73"/>
    </row>
    <row r="1105">
      <c r="A1105" s="73"/>
      <c r="B1105" s="73">
        <v>98147.058</v>
      </c>
      <c r="C1105" s="73">
        <v>1.49357597251306E7</v>
      </c>
      <c r="D1105" s="73">
        <v>1849345.98299893</v>
      </c>
      <c r="E1105" s="73">
        <v>704440.218773213</v>
      </c>
      <c r="F1105" s="73"/>
      <c r="G1105" s="73"/>
      <c r="H1105" s="73"/>
      <c r="I1105" s="73"/>
      <c r="J1105" s="73"/>
      <c r="K1105" s="73"/>
      <c r="L1105" s="73"/>
      <c r="M1105" s="73"/>
      <c r="N1105" s="73"/>
      <c r="O1105" s="73"/>
      <c r="P1105" s="73"/>
      <c r="Q1105" s="73"/>
      <c r="R1105" s="73"/>
      <c r="S1105" s="73"/>
      <c r="T1105" s="73"/>
      <c r="U1105" s="73"/>
      <c r="V1105" s="73"/>
      <c r="W1105" s="73"/>
      <c r="X1105" s="73"/>
      <c r="Y1105" s="73"/>
      <c r="Z1105" s="73"/>
      <c r="AA1105" s="73"/>
      <c r="AB1105" s="73"/>
    </row>
    <row r="1106">
      <c r="A1106" s="73"/>
      <c r="B1106" s="73">
        <v>98347.74403</v>
      </c>
      <c r="C1106" s="73">
        <v>1.4972645054106E7</v>
      </c>
      <c r="D1106" s="73">
        <v>1857706.19399985</v>
      </c>
      <c r="E1106" s="73">
        <v>706180.362167277</v>
      </c>
      <c r="F1106" s="73"/>
      <c r="G1106" s="73"/>
      <c r="H1106" s="73"/>
      <c r="I1106" s="73"/>
      <c r="J1106" s="73"/>
      <c r="K1106" s="73"/>
      <c r="L1106" s="73"/>
      <c r="M1106" s="73"/>
      <c r="N1106" s="73"/>
      <c r="O1106" s="73"/>
      <c r="P1106" s="73"/>
      <c r="Q1106" s="73"/>
      <c r="R1106" s="73"/>
      <c r="S1106" s="73"/>
      <c r="T1106" s="73"/>
      <c r="U1106" s="73"/>
      <c r="V1106" s="73"/>
      <c r="W1106" s="73"/>
      <c r="X1106" s="73"/>
      <c r="Y1106" s="73"/>
      <c r="Z1106" s="73"/>
      <c r="AA1106" s="73"/>
      <c r="AB1106" s="73"/>
    </row>
    <row r="1107">
      <c r="A1107" s="73"/>
      <c r="B1107" s="73">
        <v>98548.87859</v>
      </c>
      <c r="C1107" s="73">
        <v>1.50095870330799E7</v>
      </c>
      <c r="D1107" s="73">
        <v>1866091.25000076</v>
      </c>
      <c r="E1107" s="73">
        <v>707923.054649203</v>
      </c>
      <c r="F1107" s="73"/>
      <c r="G1107" s="73"/>
      <c r="H1107" s="73"/>
      <c r="I1107" s="73"/>
      <c r="J1107" s="73"/>
      <c r="K1107" s="73"/>
      <c r="L1107" s="73"/>
      <c r="M1107" s="73"/>
      <c r="N1107" s="73"/>
      <c r="O1107" s="73"/>
      <c r="P1107" s="73"/>
      <c r="Q1107" s="73"/>
      <c r="R1107" s="73"/>
      <c r="S1107" s="73"/>
      <c r="T1107" s="73"/>
      <c r="U1107" s="73"/>
      <c r="V1107" s="73"/>
      <c r="W1107" s="73"/>
      <c r="X1107" s="73"/>
      <c r="Y1107" s="73"/>
      <c r="Z1107" s="73"/>
      <c r="AA1107" s="73"/>
      <c r="AB1107" s="73"/>
    </row>
    <row r="1108">
      <c r="A1108" s="73"/>
      <c r="B1108" s="73">
        <v>98750.46153</v>
      </c>
      <c r="C1108" s="73">
        <v>1.50465866920521E7</v>
      </c>
      <c r="D1108" s="73">
        <v>1874501.32999786</v>
      </c>
      <c r="E1108" s="73">
        <v>709668.296218993</v>
      </c>
      <c r="F1108" s="73"/>
      <c r="G1108" s="73"/>
      <c r="H1108" s="73"/>
      <c r="I1108" s="73"/>
      <c r="J1108" s="73"/>
      <c r="K1108" s="73"/>
      <c r="L1108" s="73"/>
      <c r="M1108" s="73"/>
      <c r="N1108" s="73"/>
      <c r="O1108" s="73"/>
      <c r="P1108" s="73"/>
      <c r="Q1108" s="73"/>
      <c r="R1108" s="73"/>
      <c r="S1108" s="73"/>
      <c r="T1108" s="73"/>
      <c r="U1108" s="73"/>
      <c r="V1108" s="73"/>
      <c r="W1108" s="73"/>
      <c r="X1108" s="73"/>
      <c r="Y1108" s="73"/>
      <c r="Z1108" s="73"/>
      <c r="AA1108" s="73"/>
      <c r="AB1108" s="73"/>
    </row>
    <row r="1109">
      <c r="A1109" s="73"/>
      <c r="B1109" s="73">
        <v>98952.49347</v>
      </c>
      <c r="C1109" s="73">
        <v>1.50836440310228E7</v>
      </c>
      <c r="D1109" s="73">
        <v>1882936.26399878</v>
      </c>
      <c r="E1109" s="73">
        <v>711416.128428642</v>
      </c>
      <c r="F1109" s="73"/>
      <c r="G1109" s="73"/>
      <c r="H1109" s="73"/>
      <c r="I1109" s="73"/>
      <c r="J1109" s="73"/>
      <c r="K1109" s="73"/>
      <c r="L1109" s="73"/>
      <c r="M1109" s="73"/>
      <c r="N1109" s="73"/>
      <c r="O1109" s="73"/>
      <c r="P1109" s="73"/>
      <c r="Q1109" s="73"/>
      <c r="R1109" s="73"/>
      <c r="S1109" s="73"/>
      <c r="T1109" s="73"/>
      <c r="U1109" s="73"/>
      <c r="V1109" s="73"/>
      <c r="W1109" s="73"/>
      <c r="X1109" s="73"/>
      <c r="Y1109" s="73"/>
      <c r="Z1109" s="73"/>
      <c r="AA1109" s="73"/>
      <c r="AB1109" s="73"/>
    </row>
    <row r="1110">
      <c r="A1110" s="73"/>
      <c r="B1110" s="73">
        <v>99154.97456</v>
      </c>
      <c r="C1110" s="73">
        <v>1.51207600799918E7</v>
      </c>
      <c r="D1110" s="73">
        <v>1891396.3679997</v>
      </c>
      <c r="E1110" s="73">
        <v>713166.530926152</v>
      </c>
      <c r="F1110" s="73"/>
      <c r="G1110" s="73"/>
      <c r="H1110" s="73"/>
      <c r="I1110" s="73"/>
      <c r="J1110" s="73"/>
      <c r="K1110" s="73"/>
      <c r="L1110" s="73"/>
      <c r="M1110" s="73"/>
      <c r="N1110" s="73"/>
      <c r="O1110" s="73"/>
      <c r="P1110" s="73"/>
      <c r="Q1110" s="73"/>
      <c r="R1110" s="73"/>
      <c r="S1110" s="73"/>
      <c r="T1110" s="73"/>
      <c r="U1110" s="73"/>
      <c r="V1110" s="73"/>
      <c r="W1110" s="73"/>
      <c r="X1110" s="73"/>
      <c r="Y1110" s="73"/>
      <c r="Z1110" s="73"/>
      <c r="AA1110" s="73"/>
      <c r="AB1110" s="73"/>
    </row>
    <row r="1111">
      <c r="A1111" s="73"/>
      <c r="B1111" s="73">
        <v>99357.90513</v>
      </c>
      <c r="C1111" s="73">
        <v>1.51579338089592E7</v>
      </c>
      <c r="D1111" s="73">
        <v>1899881.65600061</v>
      </c>
      <c r="E1111" s="73">
        <v>714919.482511525</v>
      </c>
      <c r="F1111" s="73"/>
      <c r="G1111" s="73"/>
      <c r="H1111" s="73"/>
      <c r="I1111" s="73"/>
      <c r="J1111" s="73"/>
      <c r="K1111" s="73"/>
      <c r="L1111" s="73"/>
      <c r="M1111" s="73"/>
      <c r="N1111" s="73"/>
      <c r="O1111" s="73"/>
      <c r="P1111" s="73"/>
      <c r="Q1111" s="73"/>
      <c r="R1111" s="73"/>
      <c r="S1111" s="73"/>
      <c r="T1111" s="73"/>
      <c r="U1111" s="73"/>
      <c r="V1111" s="73"/>
      <c r="W1111" s="73"/>
      <c r="X1111" s="73"/>
      <c r="Y1111" s="73"/>
      <c r="Z1111" s="73"/>
      <c r="AA1111" s="73"/>
      <c r="AB1111" s="73"/>
    </row>
    <row r="1112">
      <c r="A1112" s="73"/>
      <c r="B1112" s="73">
        <v>99561.28531</v>
      </c>
      <c r="C1112" s="73">
        <v>1.51951652179251E7</v>
      </c>
      <c r="D1112" s="73">
        <v>1908391.94899771</v>
      </c>
      <c r="E1112" s="73">
        <v>716674.983184761</v>
      </c>
      <c r="F1112" s="73"/>
      <c r="G1112" s="73"/>
      <c r="H1112" s="73"/>
      <c r="I1112" s="73"/>
      <c r="J1112" s="73"/>
      <c r="K1112" s="73"/>
      <c r="L1112" s="73"/>
      <c r="M1112" s="73"/>
      <c r="N1112" s="73"/>
      <c r="O1112" s="73"/>
      <c r="P1112" s="73"/>
      <c r="Q1112" s="73"/>
      <c r="R1112" s="73"/>
      <c r="S1112" s="73"/>
      <c r="T1112" s="73"/>
      <c r="U1112" s="73"/>
      <c r="V1112" s="73"/>
      <c r="W1112" s="73"/>
      <c r="X1112" s="73"/>
      <c r="Y1112" s="73"/>
      <c r="Z1112" s="73"/>
      <c r="AA1112" s="73"/>
      <c r="AB1112" s="73"/>
    </row>
    <row r="1113">
      <c r="A1113" s="73"/>
      <c r="B1113" s="73">
        <v>99765.11544</v>
      </c>
      <c r="C1113" s="73">
        <v>1.52324522468894E7</v>
      </c>
      <c r="D1113" s="73">
        <v>1916927.42099863</v>
      </c>
      <c r="E1113" s="73">
        <v>718433.137249853</v>
      </c>
      <c r="F1113" s="73"/>
      <c r="G1113" s="73"/>
      <c r="H1113" s="73"/>
      <c r="I1113" s="73"/>
      <c r="J1113" s="73"/>
      <c r="K1113" s="73"/>
      <c r="L1113" s="73"/>
      <c r="M1113" s="73"/>
      <c r="N1113" s="73"/>
      <c r="O1113" s="73"/>
      <c r="P1113" s="73"/>
      <c r="Q1113" s="73"/>
      <c r="R1113" s="73"/>
      <c r="S1113" s="73"/>
      <c r="T1113" s="73"/>
      <c r="U1113" s="73"/>
      <c r="V1113" s="73"/>
      <c r="W1113" s="73"/>
      <c r="X1113" s="73"/>
      <c r="Y1113" s="73"/>
      <c r="Z1113" s="73"/>
      <c r="AA1113" s="73"/>
      <c r="AB1113" s="73"/>
    </row>
    <row r="1114">
      <c r="A1114" s="73"/>
      <c r="B1114" s="73">
        <v>99969.39581</v>
      </c>
      <c r="C1114" s="73">
        <v>1.5269799015852E7</v>
      </c>
      <c r="D1114" s="73">
        <v>1925487.90299954</v>
      </c>
      <c r="E1114" s="73">
        <v>720193.798850809</v>
      </c>
      <c r="F1114" s="73"/>
      <c r="G1114" s="73"/>
      <c r="H1114" s="73"/>
      <c r="I1114" s="73"/>
      <c r="J1114" s="73"/>
      <c r="K1114" s="73"/>
      <c r="L1114" s="73"/>
      <c r="M1114" s="73"/>
      <c r="N1114" s="73"/>
      <c r="O1114" s="73"/>
      <c r="P1114" s="73"/>
      <c r="Q1114" s="73"/>
      <c r="R1114" s="73"/>
      <c r="S1114" s="73"/>
      <c r="T1114" s="73"/>
      <c r="U1114" s="73"/>
      <c r="V1114" s="73"/>
      <c r="W1114" s="73"/>
      <c r="X1114" s="73"/>
      <c r="Y1114" s="73"/>
      <c r="Z1114" s="73"/>
      <c r="AA1114" s="73"/>
      <c r="AB1114" s="73"/>
    </row>
    <row r="1115">
      <c r="A1115" s="73"/>
      <c r="B1115" s="73">
        <v>100174.1268</v>
      </c>
      <c r="C1115" s="73">
        <v>1.5307203464813E7</v>
      </c>
      <c r="D1115" s="73">
        <v>1934073.88400046</v>
      </c>
      <c r="E1115" s="73">
        <v>721957.051091626</v>
      </c>
      <c r="F1115" s="73"/>
      <c r="G1115" s="73"/>
      <c r="H1115" s="73"/>
      <c r="I1115" s="73"/>
      <c r="J1115" s="73"/>
      <c r="K1115" s="73"/>
      <c r="L1115" s="73"/>
      <c r="M1115" s="73"/>
      <c r="N1115" s="73"/>
      <c r="O1115" s="73"/>
      <c r="P1115" s="73"/>
      <c r="Q1115" s="73"/>
      <c r="R1115" s="73"/>
      <c r="S1115" s="73"/>
      <c r="T1115" s="73"/>
      <c r="U1115" s="73"/>
      <c r="V1115" s="73"/>
      <c r="W1115" s="73"/>
      <c r="X1115" s="73"/>
      <c r="Y1115" s="73"/>
      <c r="Z1115" s="73"/>
      <c r="AA1115" s="73"/>
      <c r="AB1115" s="73"/>
    </row>
    <row r="1116">
      <c r="A1116" s="73"/>
      <c r="B1116" s="73">
        <v>100379.3083</v>
      </c>
      <c r="C1116" s="73">
        <v>1.53446645637724E7</v>
      </c>
      <c r="D1116" s="73">
        <v>1942684.88399756</v>
      </c>
      <c r="E1116" s="73">
        <v>723722.873620304</v>
      </c>
      <c r="F1116" s="73"/>
      <c r="G1116" s="73"/>
      <c r="H1116" s="73"/>
      <c r="I1116" s="73"/>
      <c r="J1116" s="73"/>
      <c r="K1116" s="73"/>
      <c r="L1116" s="73"/>
      <c r="M1116" s="73"/>
      <c r="N1116" s="73"/>
      <c r="O1116" s="73"/>
      <c r="P1116" s="73"/>
      <c r="Q1116" s="73"/>
      <c r="R1116" s="73"/>
      <c r="S1116" s="73"/>
      <c r="T1116" s="73"/>
      <c r="U1116" s="73"/>
      <c r="V1116" s="73"/>
      <c r="W1116" s="73"/>
      <c r="X1116" s="73"/>
      <c r="Y1116" s="73"/>
      <c r="Z1116" s="73"/>
      <c r="AA1116" s="73"/>
      <c r="AB1116" s="73"/>
    </row>
    <row r="1117">
      <c r="A1117" s="73"/>
      <c r="B1117" s="73">
        <v>100584.9409</v>
      </c>
      <c r="C1117" s="73">
        <v>1.53821854027302E7</v>
      </c>
      <c r="D1117" s="73">
        <v>1951321.37399847</v>
      </c>
      <c r="E1117" s="73">
        <v>725491.286788843</v>
      </c>
      <c r="F1117" s="73"/>
      <c r="G1117" s="73"/>
      <c r="H1117" s="73"/>
      <c r="I1117" s="73"/>
      <c r="J1117" s="73"/>
      <c r="K1117" s="73"/>
      <c r="L1117" s="73"/>
      <c r="M1117" s="73"/>
      <c r="N1117" s="73"/>
      <c r="O1117" s="73"/>
      <c r="P1117" s="73"/>
      <c r="Q1117" s="73"/>
      <c r="R1117" s="73"/>
      <c r="S1117" s="73"/>
      <c r="T1117" s="73"/>
      <c r="U1117" s="73"/>
      <c r="V1117" s="73"/>
      <c r="W1117" s="73"/>
      <c r="X1117" s="73"/>
      <c r="Y1117" s="73"/>
      <c r="Z1117" s="73"/>
      <c r="AA1117" s="73"/>
      <c r="AB1117" s="73"/>
    </row>
    <row r="1118">
      <c r="A1118" s="73"/>
      <c r="B1118" s="73">
        <v>100791.0248</v>
      </c>
      <c r="C1118" s="73">
        <v>1.54197639216864E7</v>
      </c>
      <c r="D1118" s="73">
        <v>1959982.88299939</v>
      </c>
      <c r="E1118" s="73">
        <v>727262.270245242</v>
      </c>
      <c r="F1118" s="73"/>
      <c r="G1118" s="73"/>
      <c r="H1118" s="73"/>
      <c r="I1118" s="73"/>
      <c r="J1118" s="73"/>
      <c r="K1118" s="73"/>
      <c r="L1118" s="73"/>
      <c r="M1118" s="73"/>
      <c r="N1118" s="73"/>
      <c r="O1118" s="73"/>
      <c r="P1118" s="73"/>
      <c r="Q1118" s="73"/>
      <c r="R1118" s="73"/>
      <c r="S1118" s="73"/>
      <c r="T1118" s="73"/>
      <c r="U1118" s="73"/>
      <c r="V1118" s="73"/>
      <c r="W1118" s="73"/>
      <c r="X1118" s="73"/>
      <c r="Y1118" s="73"/>
      <c r="Z1118" s="73"/>
      <c r="AA1118" s="73"/>
      <c r="AB1118" s="73"/>
    </row>
    <row r="1119">
      <c r="A1119" s="73"/>
      <c r="B1119" s="73">
        <v>100997.5602</v>
      </c>
      <c r="C1119" s="73">
        <v>1.5457400120641E7</v>
      </c>
      <c r="D1119" s="73">
        <v>1968670.05100031</v>
      </c>
      <c r="E1119" s="73">
        <v>729035.844341502</v>
      </c>
      <c r="F1119" s="73"/>
      <c r="G1119" s="73"/>
      <c r="H1119" s="73"/>
      <c r="I1119" s="73"/>
      <c r="J1119" s="73"/>
      <c r="K1119" s="73"/>
      <c r="L1119" s="73"/>
      <c r="M1119" s="73"/>
      <c r="N1119" s="73"/>
      <c r="O1119" s="73"/>
      <c r="P1119" s="73"/>
      <c r="Q1119" s="73"/>
      <c r="R1119" s="73"/>
      <c r="S1119" s="73"/>
      <c r="T1119" s="73"/>
      <c r="U1119" s="73"/>
      <c r="V1119" s="73"/>
      <c r="W1119" s="73"/>
      <c r="X1119" s="73"/>
      <c r="Y1119" s="73"/>
      <c r="Z1119" s="73"/>
      <c r="AA1119" s="73"/>
      <c r="AB1119" s="73"/>
    </row>
    <row r="1120">
      <c r="A1120" s="73"/>
      <c r="B1120" s="73">
        <v>101204.5474</v>
      </c>
      <c r="C1120" s="73">
        <v>1.5495093999594E7</v>
      </c>
      <c r="D1120" s="73">
        <v>1977382.38899741</v>
      </c>
      <c r="E1120" s="73">
        <v>730812.009077622</v>
      </c>
      <c r="F1120" s="73"/>
      <c r="G1120" s="73"/>
      <c r="H1120" s="73"/>
      <c r="I1120" s="73"/>
      <c r="J1120" s="73"/>
      <c r="K1120" s="73"/>
      <c r="L1120" s="73"/>
      <c r="M1120" s="73"/>
      <c r="N1120" s="73"/>
      <c r="O1120" s="73"/>
      <c r="P1120" s="73"/>
      <c r="Q1120" s="73"/>
      <c r="R1120" s="73"/>
      <c r="S1120" s="73"/>
      <c r="T1120" s="73"/>
      <c r="U1120" s="73"/>
      <c r="V1120" s="73"/>
      <c r="W1120" s="73"/>
      <c r="X1120" s="73"/>
      <c r="Y1120" s="73"/>
      <c r="Z1120" s="73"/>
      <c r="AA1120" s="73"/>
      <c r="AB1120" s="73"/>
    </row>
    <row r="1121">
      <c r="A1121" s="73"/>
      <c r="B1121" s="73">
        <v>101411.9867</v>
      </c>
      <c r="C1121" s="73">
        <v>1.55328455585454E7</v>
      </c>
      <c r="D1121" s="73">
        <v>1986120.38599832</v>
      </c>
      <c r="E1121" s="73">
        <v>732590.744101603</v>
      </c>
      <c r="F1121" s="73"/>
      <c r="G1121" s="73"/>
      <c r="H1121" s="73"/>
      <c r="I1121" s="73"/>
      <c r="J1121" s="73"/>
      <c r="K1121" s="73"/>
      <c r="L1121" s="73"/>
      <c r="M1121" s="73"/>
      <c r="N1121" s="73"/>
      <c r="O1121" s="73"/>
      <c r="P1121" s="73"/>
      <c r="Q1121" s="73"/>
      <c r="R1121" s="73"/>
      <c r="S1121" s="73"/>
      <c r="T1121" s="73"/>
      <c r="U1121" s="73"/>
      <c r="V1121" s="73"/>
      <c r="W1121" s="73"/>
      <c r="X1121" s="73"/>
      <c r="Y1121" s="73"/>
      <c r="Z1121" s="73"/>
      <c r="AA1121" s="73"/>
      <c r="AB1121" s="73"/>
    </row>
    <row r="1122">
      <c r="A1122" s="73"/>
      <c r="B1122" s="73">
        <v>101619.8781</v>
      </c>
      <c r="C1122" s="73">
        <v>1.55706558274951E7</v>
      </c>
      <c r="D1122" s="73">
        <v>1994883.71299924</v>
      </c>
      <c r="E1122" s="73">
        <v>734372.049413445</v>
      </c>
      <c r="F1122" s="73"/>
      <c r="G1122" s="73"/>
      <c r="H1122" s="73"/>
      <c r="I1122" s="73"/>
      <c r="J1122" s="73"/>
      <c r="K1122" s="73"/>
      <c r="L1122" s="73"/>
      <c r="M1122" s="73"/>
      <c r="N1122" s="73"/>
      <c r="O1122" s="73"/>
      <c r="P1122" s="73"/>
      <c r="Q1122" s="73"/>
      <c r="R1122" s="73"/>
      <c r="S1122" s="73"/>
      <c r="T1122" s="73"/>
      <c r="U1122" s="73"/>
      <c r="V1122" s="73"/>
      <c r="W1122" s="73"/>
      <c r="X1122" s="73"/>
      <c r="Y1122" s="73"/>
      <c r="Z1122" s="73"/>
      <c r="AA1122" s="73"/>
      <c r="AB1122" s="73"/>
    </row>
    <row r="1123">
      <c r="A1123" s="73"/>
      <c r="B1123" s="73">
        <v>101828.2222</v>
      </c>
      <c r="C1123" s="73">
        <v>1.56085237764432E7</v>
      </c>
      <c r="D1123" s="73">
        <v>2003672.54400015</v>
      </c>
      <c r="E1123" s="73">
        <v>736155.965717147</v>
      </c>
      <c r="F1123" s="73"/>
      <c r="G1123" s="73"/>
      <c r="H1123" s="73"/>
      <c r="I1123" s="73"/>
      <c r="J1123" s="73"/>
      <c r="K1123" s="73"/>
      <c r="L1123" s="73"/>
      <c r="M1123" s="73"/>
      <c r="N1123" s="73"/>
      <c r="O1123" s="73"/>
      <c r="P1123" s="73"/>
      <c r="Q1123" s="73"/>
      <c r="R1123" s="73"/>
      <c r="S1123" s="73"/>
      <c r="T1123" s="73"/>
      <c r="U1123" s="73"/>
      <c r="V1123" s="73"/>
      <c r="W1123" s="73"/>
      <c r="X1123" s="73"/>
      <c r="Y1123" s="73"/>
      <c r="Z1123" s="73"/>
      <c r="AA1123" s="73"/>
      <c r="AB1123" s="73"/>
    </row>
    <row r="1124">
      <c r="A1124" s="73"/>
      <c r="B1124" s="73">
        <v>102037.0189</v>
      </c>
      <c r="C1124" s="73">
        <v>1.56464504353898E7</v>
      </c>
      <c r="D1124" s="73">
        <v>2012486.86899725</v>
      </c>
      <c r="E1124" s="73">
        <v>737942.452308709</v>
      </c>
      <c r="F1124" s="73"/>
      <c r="G1124" s="73"/>
      <c r="H1124" s="73"/>
      <c r="I1124" s="73"/>
      <c r="J1124" s="73"/>
      <c r="K1124" s="73"/>
      <c r="L1124" s="73"/>
      <c r="M1124" s="73"/>
      <c r="N1124" s="73"/>
      <c r="O1124" s="73"/>
      <c r="P1124" s="73"/>
      <c r="Q1124" s="73"/>
      <c r="R1124" s="73"/>
      <c r="S1124" s="73"/>
      <c r="T1124" s="73"/>
      <c r="U1124" s="73"/>
      <c r="V1124" s="73"/>
      <c r="W1124" s="73"/>
      <c r="X1124" s="73"/>
      <c r="Y1124" s="73"/>
      <c r="Z1124" s="73"/>
      <c r="AA1124" s="73"/>
      <c r="AB1124" s="73"/>
    </row>
    <row r="1125">
      <c r="A1125" s="73"/>
      <c r="B1125" s="73">
        <v>102246.2688</v>
      </c>
      <c r="C1125" s="73">
        <v>1.56844358043346E7</v>
      </c>
      <c r="D1125" s="73">
        <v>2021326.69799817</v>
      </c>
      <c r="E1125" s="73">
        <v>739731.550740131</v>
      </c>
      <c r="F1125" s="73"/>
      <c r="G1125" s="73"/>
      <c r="H1125" s="73"/>
      <c r="I1125" s="73"/>
      <c r="J1125" s="73"/>
      <c r="K1125" s="73"/>
      <c r="L1125" s="73"/>
      <c r="M1125" s="73"/>
      <c r="N1125" s="73"/>
      <c r="O1125" s="73"/>
      <c r="P1125" s="73"/>
      <c r="Q1125" s="73"/>
      <c r="R1125" s="73"/>
      <c r="S1125" s="73"/>
      <c r="T1125" s="73"/>
      <c r="U1125" s="73"/>
      <c r="V1125" s="73"/>
      <c r="W1125" s="73"/>
      <c r="X1125" s="73"/>
      <c r="Y1125" s="73"/>
      <c r="Z1125" s="73"/>
      <c r="AA1125" s="73"/>
      <c r="AB1125" s="73"/>
    </row>
    <row r="1126">
      <c r="A1126" s="73"/>
      <c r="B1126" s="73">
        <v>102455.9718</v>
      </c>
      <c r="C1126" s="73">
        <v>1.57224798832779E7</v>
      </c>
      <c r="D1126" s="73">
        <v>2030192.17699908</v>
      </c>
      <c r="E1126" s="73">
        <v>741523.198259415</v>
      </c>
      <c r="F1126" s="73"/>
      <c r="G1126" s="73"/>
      <c r="H1126" s="73"/>
      <c r="I1126" s="73"/>
      <c r="J1126" s="73"/>
      <c r="K1126" s="73"/>
      <c r="L1126" s="73"/>
      <c r="M1126" s="73"/>
      <c r="N1126" s="73"/>
      <c r="O1126" s="73"/>
      <c r="P1126" s="73"/>
      <c r="Q1126" s="73"/>
      <c r="R1126" s="73"/>
      <c r="S1126" s="73"/>
      <c r="T1126" s="73"/>
      <c r="U1126" s="73"/>
      <c r="V1126" s="73"/>
      <c r="W1126" s="73"/>
      <c r="X1126" s="73"/>
      <c r="Y1126" s="73"/>
      <c r="Z1126" s="73"/>
      <c r="AA1126" s="73"/>
      <c r="AB1126" s="73"/>
    </row>
    <row r="1127">
      <c r="A1127" s="73"/>
      <c r="B1127" s="73">
        <v>102666.1284</v>
      </c>
      <c r="C1127" s="73">
        <v>1.57605816422195E7</v>
      </c>
      <c r="D1127" s="73">
        <v>2039083.475</v>
      </c>
      <c r="E1127" s="73">
        <v>743317.457618558</v>
      </c>
      <c r="F1127" s="73"/>
      <c r="G1127" s="73"/>
      <c r="H1127" s="73"/>
      <c r="I1127" s="73"/>
      <c r="J1127" s="73"/>
      <c r="K1127" s="73"/>
      <c r="L1127" s="73"/>
      <c r="M1127" s="73"/>
      <c r="N1127" s="73"/>
      <c r="O1127" s="73"/>
      <c r="P1127" s="73"/>
      <c r="Q1127" s="73"/>
      <c r="R1127" s="73"/>
      <c r="S1127" s="73"/>
      <c r="T1127" s="73"/>
      <c r="U1127" s="73"/>
      <c r="V1127" s="73"/>
      <c r="W1127" s="73"/>
      <c r="X1127" s="73"/>
      <c r="Y1127" s="73"/>
      <c r="Z1127" s="73"/>
      <c r="AA1127" s="73"/>
      <c r="AB1127" s="73"/>
    </row>
    <row r="1128">
      <c r="A1128" s="73"/>
      <c r="B1128" s="73">
        <v>102876.7387</v>
      </c>
      <c r="C1128" s="73">
        <v>1.57987400511596E7</v>
      </c>
      <c r="D1128" s="73">
        <v>2048000.2629971</v>
      </c>
      <c r="E1128" s="73">
        <v>745114.307617561</v>
      </c>
      <c r="F1128" s="73"/>
      <c r="G1128" s="73"/>
      <c r="H1128" s="73"/>
      <c r="I1128" s="73"/>
      <c r="J1128" s="73"/>
      <c r="K1128" s="73"/>
      <c r="L1128" s="73"/>
      <c r="M1128" s="73"/>
      <c r="N1128" s="73"/>
      <c r="O1128" s="73"/>
      <c r="P1128" s="73"/>
      <c r="Q1128" s="73"/>
      <c r="R1128" s="73"/>
      <c r="S1128" s="73"/>
      <c r="T1128" s="73"/>
      <c r="U1128" s="73"/>
      <c r="V1128" s="73"/>
      <c r="W1128" s="73"/>
      <c r="X1128" s="73"/>
      <c r="Y1128" s="73"/>
      <c r="Z1128" s="73"/>
      <c r="AA1128" s="73"/>
      <c r="AB1128" s="73"/>
    </row>
    <row r="1129">
      <c r="A1129" s="73"/>
      <c r="B1129" s="73">
        <v>103087.803</v>
      </c>
      <c r="C1129" s="73">
        <v>1.5836958200098E7</v>
      </c>
      <c r="D1129" s="73">
        <v>2056942.71899802</v>
      </c>
      <c r="E1129" s="73">
        <v>746913.748256425</v>
      </c>
      <c r="F1129" s="73"/>
      <c r="G1129" s="73"/>
      <c r="H1129" s="73"/>
      <c r="I1129" s="73"/>
      <c r="J1129" s="73"/>
      <c r="K1129" s="73"/>
      <c r="L1129" s="73"/>
      <c r="M1129" s="73"/>
      <c r="N1129" s="73"/>
      <c r="O1129" s="73"/>
      <c r="P1129" s="73"/>
      <c r="Q1129" s="73"/>
      <c r="R1129" s="73"/>
      <c r="S1129" s="73"/>
      <c r="T1129" s="73"/>
      <c r="U1129" s="73"/>
      <c r="V1129" s="73"/>
      <c r="W1129" s="73"/>
      <c r="X1129" s="73"/>
      <c r="Y1129" s="73"/>
      <c r="Z1129" s="73"/>
      <c r="AA1129" s="73"/>
      <c r="AB1129" s="73"/>
    </row>
    <row r="1130">
      <c r="A1130" s="73"/>
      <c r="B1130" s="73">
        <v>103299.3214</v>
      </c>
      <c r="C1130" s="73">
        <v>1.58752350590348E7</v>
      </c>
      <c r="D1130" s="73">
        <v>2065910.99499893</v>
      </c>
      <c r="E1130" s="73">
        <v>748715.800735147</v>
      </c>
      <c r="F1130" s="73"/>
      <c r="G1130" s="73"/>
      <c r="H1130" s="73"/>
      <c r="I1130" s="73"/>
      <c r="J1130" s="73"/>
      <c r="K1130" s="73"/>
      <c r="L1130" s="73"/>
      <c r="M1130" s="73"/>
      <c r="N1130" s="73"/>
      <c r="O1130" s="73"/>
      <c r="P1130" s="73"/>
      <c r="Q1130" s="73"/>
      <c r="R1130" s="73"/>
      <c r="S1130" s="73"/>
      <c r="T1130" s="73"/>
      <c r="U1130" s="73"/>
      <c r="V1130" s="73"/>
      <c r="W1130" s="73"/>
      <c r="X1130" s="73"/>
      <c r="Y1130" s="73"/>
      <c r="Z1130" s="73"/>
      <c r="AA1130" s="73"/>
      <c r="AB1130" s="73"/>
    </row>
    <row r="1131">
      <c r="A1131" s="73"/>
      <c r="B1131" s="73">
        <v>103511.2943</v>
      </c>
      <c r="C1131" s="73">
        <v>1.591356959797E7</v>
      </c>
      <c r="D1131" s="73">
        <v>2074904.92499985</v>
      </c>
      <c r="E1131" s="73">
        <v>750520.423501731</v>
      </c>
      <c r="F1131" s="73"/>
      <c r="G1131" s="73"/>
      <c r="H1131" s="73"/>
      <c r="I1131" s="73"/>
      <c r="J1131" s="73"/>
      <c r="K1131" s="73"/>
      <c r="L1131" s="73"/>
      <c r="M1131" s="73"/>
      <c r="N1131" s="73"/>
      <c r="O1131" s="73"/>
      <c r="P1131" s="73"/>
      <c r="Q1131" s="73"/>
      <c r="R1131" s="73"/>
      <c r="S1131" s="73"/>
      <c r="T1131" s="73"/>
      <c r="U1131" s="73"/>
      <c r="V1131" s="73"/>
      <c r="W1131" s="73"/>
      <c r="X1131" s="73"/>
      <c r="Y1131" s="73"/>
      <c r="Z1131" s="73"/>
      <c r="AA1131" s="73"/>
      <c r="AB1131" s="73"/>
    </row>
    <row r="1132">
      <c r="A1132" s="73"/>
      <c r="B1132" s="73">
        <v>103723.7219</v>
      </c>
      <c r="C1132" s="73">
        <v>1.59519638769035E7</v>
      </c>
      <c r="D1132" s="73">
        <v>2083924.66000076</v>
      </c>
      <c r="E1132" s="73">
        <v>752327.678460172</v>
      </c>
      <c r="F1132" s="73"/>
      <c r="G1132" s="73"/>
      <c r="H1132" s="73"/>
      <c r="I1132" s="73"/>
      <c r="J1132" s="73"/>
      <c r="K1132" s="73"/>
      <c r="L1132" s="73"/>
      <c r="M1132" s="73"/>
      <c r="N1132" s="73"/>
      <c r="O1132" s="73"/>
      <c r="P1132" s="73"/>
      <c r="Q1132" s="73"/>
      <c r="R1132" s="73"/>
      <c r="S1132" s="73"/>
      <c r="T1132" s="73"/>
      <c r="U1132" s="73"/>
      <c r="V1132" s="73"/>
      <c r="W1132" s="73"/>
      <c r="X1132" s="73"/>
      <c r="Y1132" s="73"/>
      <c r="Z1132" s="73"/>
      <c r="AA1132" s="73"/>
      <c r="AB1132" s="73"/>
    </row>
    <row r="1133">
      <c r="A1133" s="73"/>
      <c r="B1133" s="73">
        <v>103936.6045</v>
      </c>
      <c r="C1133" s="73">
        <v>1.59904158358355E7</v>
      </c>
      <c r="D1133" s="73">
        <v>2092970.22799786</v>
      </c>
      <c r="E1133" s="73">
        <v>754137.482506476</v>
      </c>
      <c r="F1133" s="73"/>
      <c r="G1133" s="73"/>
      <c r="H1133" s="73"/>
      <c r="I1133" s="73"/>
      <c r="J1133" s="73"/>
      <c r="K1133" s="73"/>
      <c r="L1133" s="73"/>
      <c r="M1133" s="73"/>
      <c r="N1133" s="73"/>
      <c r="O1133" s="73"/>
      <c r="P1133" s="73"/>
      <c r="Q1133" s="73"/>
      <c r="R1133" s="73"/>
      <c r="S1133" s="73"/>
      <c r="T1133" s="73"/>
      <c r="U1133" s="73"/>
      <c r="V1133" s="73"/>
      <c r="W1133" s="73"/>
      <c r="X1133" s="73"/>
      <c r="Y1133" s="73"/>
      <c r="Z1133" s="73"/>
      <c r="AA1133" s="73"/>
      <c r="AB1133" s="73"/>
    </row>
    <row r="1134">
      <c r="A1134" s="73"/>
      <c r="B1134" s="73">
        <v>104149.9421</v>
      </c>
      <c r="C1134" s="73">
        <v>1.60289265047657E7</v>
      </c>
      <c r="D1134" s="73">
        <v>2102041.77099878</v>
      </c>
      <c r="E1134" s="73">
        <v>755949.898392639</v>
      </c>
      <c r="F1134" s="73"/>
      <c r="G1134" s="73"/>
      <c r="H1134" s="73"/>
      <c r="I1134" s="73"/>
      <c r="J1134" s="73"/>
      <c r="K1134" s="73"/>
      <c r="L1134" s="73"/>
      <c r="M1134" s="73"/>
      <c r="N1134" s="73"/>
      <c r="O1134" s="73"/>
      <c r="P1134" s="73"/>
      <c r="Q1134" s="73"/>
      <c r="R1134" s="73"/>
      <c r="S1134" s="73"/>
      <c r="T1134" s="73"/>
      <c r="U1134" s="73"/>
      <c r="V1134" s="73"/>
      <c r="W1134" s="73"/>
      <c r="X1134" s="73"/>
      <c r="Y1134" s="73"/>
      <c r="Z1134" s="73"/>
      <c r="AA1134" s="73"/>
      <c r="AB1134" s="73"/>
    </row>
    <row r="1135">
      <c r="A1135" s="73"/>
      <c r="B1135" s="73">
        <v>104363.735</v>
      </c>
      <c r="C1135" s="73">
        <v>1.60674948536944E7</v>
      </c>
      <c r="D1135" s="73">
        <v>2111139.13799969</v>
      </c>
      <c r="E1135" s="73">
        <v>757764.926118661</v>
      </c>
      <c r="F1135" s="73"/>
      <c r="G1135" s="73"/>
      <c r="H1135" s="73"/>
      <c r="I1135" s="73"/>
      <c r="J1135" s="73"/>
      <c r="K1135" s="73"/>
      <c r="L1135" s="73"/>
      <c r="M1135" s="73"/>
      <c r="N1135" s="73"/>
      <c r="O1135" s="73"/>
      <c r="P1135" s="73"/>
      <c r="Q1135" s="73"/>
      <c r="R1135" s="73"/>
      <c r="S1135" s="73"/>
      <c r="T1135" s="73"/>
      <c r="U1135" s="73"/>
      <c r="V1135" s="73"/>
      <c r="W1135" s="73"/>
      <c r="X1135" s="73"/>
      <c r="Y1135" s="73"/>
      <c r="Z1135" s="73"/>
      <c r="AA1135" s="73"/>
      <c r="AB1135" s="73"/>
    </row>
    <row r="1136">
      <c r="A1136" s="73"/>
      <c r="B1136" s="73">
        <v>104577.9836</v>
      </c>
      <c r="C1136" s="73">
        <v>1.61061239726214E7</v>
      </c>
      <c r="D1136" s="73">
        <v>2120262.47000061</v>
      </c>
      <c r="E1136" s="73">
        <v>759582.544484543</v>
      </c>
      <c r="F1136" s="73"/>
      <c r="G1136" s="73"/>
      <c r="H1136" s="73"/>
      <c r="I1136" s="73"/>
      <c r="J1136" s="73"/>
      <c r="K1136" s="73"/>
      <c r="L1136" s="73"/>
      <c r="M1136" s="73"/>
      <c r="N1136" s="73"/>
      <c r="O1136" s="73"/>
      <c r="P1136" s="73"/>
      <c r="Q1136" s="73"/>
      <c r="R1136" s="73"/>
      <c r="S1136" s="73"/>
      <c r="T1136" s="73"/>
      <c r="U1136" s="73"/>
      <c r="V1136" s="73"/>
      <c r="W1136" s="73"/>
      <c r="X1136" s="73"/>
      <c r="Y1136" s="73"/>
      <c r="Z1136" s="73"/>
      <c r="AA1136" s="73"/>
      <c r="AB1136" s="73"/>
    </row>
    <row r="1137">
      <c r="A1137" s="73"/>
      <c r="B1137" s="73">
        <v>104792.688</v>
      </c>
      <c r="C1137" s="73">
        <v>1.61448107715468E7</v>
      </c>
      <c r="D1137" s="73">
        <v>2129411.95499771</v>
      </c>
      <c r="E1137" s="73">
        <v>761402.753490285</v>
      </c>
      <c r="F1137" s="73"/>
      <c r="G1137" s="73"/>
      <c r="H1137" s="73"/>
      <c r="I1137" s="73"/>
      <c r="J1137" s="73"/>
      <c r="K1137" s="73"/>
      <c r="L1137" s="73"/>
      <c r="M1137" s="73"/>
      <c r="N1137" s="73"/>
      <c r="O1137" s="73"/>
      <c r="P1137" s="73"/>
      <c r="Q1137" s="73"/>
      <c r="R1137" s="73"/>
      <c r="S1137" s="73"/>
      <c r="T1137" s="73"/>
      <c r="U1137" s="73"/>
      <c r="V1137" s="73"/>
      <c r="W1137" s="73"/>
      <c r="X1137" s="73"/>
      <c r="Y1137" s="73"/>
      <c r="Z1137" s="73"/>
      <c r="AA1137" s="73"/>
      <c r="AB1137" s="73"/>
    </row>
    <row r="1138">
      <c r="A1138" s="73"/>
      <c r="B1138" s="73">
        <v>105007.8484</v>
      </c>
      <c r="C1138" s="73">
        <v>1.61835542204707E7</v>
      </c>
      <c r="D1138" s="73">
        <v>2138587.25499863</v>
      </c>
      <c r="E1138" s="73">
        <v>763225.574335887</v>
      </c>
      <c r="F1138" s="73"/>
      <c r="G1138" s="73"/>
      <c r="H1138" s="73"/>
      <c r="I1138" s="73"/>
      <c r="J1138" s="73"/>
      <c r="K1138" s="73"/>
      <c r="L1138" s="73"/>
      <c r="M1138" s="73"/>
      <c r="N1138" s="73"/>
      <c r="O1138" s="73"/>
      <c r="P1138" s="73"/>
      <c r="Q1138" s="73"/>
      <c r="R1138" s="73"/>
      <c r="S1138" s="73"/>
      <c r="T1138" s="73"/>
      <c r="U1138" s="73"/>
      <c r="V1138" s="73"/>
      <c r="W1138" s="73"/>
      <c r="X1138" s="73"/>
      <c r="Y1138" s="73"/>
      <c r="Z1138" s="73"/>
      <c r="AA1138" s="73"/>
      <c r="AB1138" s="73"/>
    </row>
    <row r="1139">
      <c r="A1139" s="73"/>
      <c r="B1139" s="73">
        <v>105223.4652</v>
      </c>
      <c r="C1139" s="73">
        <v>1.62223594693928E7</v>
      </c>
      <c r="D1139" s="73">
        <v>2147788.52899954</v>
      </c>
      <c r="E1139" s="73">
        <v>765051.007021347</v>
      </c>
      <c r="F1139" s="73"/>
      <c r="G1139" s="73"/>
      <c r="H1139" s="73"/>
      <c r="I1139" s="73"/>
      <c r="J1139" s="73"/>
      <c r="K1139" s="73"/>
      <c r="L1139" s="73"/>
      <c r="M1139" s="73"/>
      <c r="N1139" s="73"/>
      <c r="O1139" s="73"/>
      <c r="P1139" s="73"/>
      <c r="Q1139" s="73"/>
      <c r="R1139" s="73"/>
      <c r="S1139" s="73"/>
      <c r="T1139" s="73"/>
      <c r="U1139" s="73"/>
      <c r="V1139" s="73"/>
      <c r="W1139" s="73"/>
      <c r="X1139" s="73"/>
      <c r="Y1139" s="73"/>
      <c r="Z1139" s="73"/>
      <c r="AA1139" s="73"/>
      <c r="AB1139" s="73"/>
    </row>
    <row r="1140">
      <c r="A1140" s="73"/>
      <c r="B1140" s="73">
        <v>105439.5383</v>
      </c>
      <c r="C1140" s="73">
        <v>1.62612223983133E7</v>
      </c>
      <c r="D1140" s="73">
        <v>2157015.94700046</v>
      </c>
      <c r="E1140" s="73">
        <v>766879.030346667</v>
      </c>
      <c r="F1140" s="73"/>
      <c r="G1140" s="73"/>
      <c r="H1140" s="73"/>
      <c r="I1140" s="73"/>
      <c r="J1140" s="73"/>
      <c r="K1140" s="73"/>
      <c r="L1140" s="73"/>
      <c r="M1140" s="73"/>
      <c r="N1140" s="73"/>
      <c r="O1140" s="73"/>
      <c r="P1140" s="73"/>
      <c r="Q1140" s="73"/>
      <c r="R1140" s="73"/>
      <c r="S1140" s="73"/>
      <c r="T1140" s="73"/>
      <c r="U1140" s="73"/>
      <c r="V1140" s="73"/>
      <c r="W1140" s="73"/>
      <c r="X1140" s="73"/>
      <c r="Y1140" s="73"/>
      <c r="Z1140" s="73"/>
      <c r="AA1140" s="73"/>
      <c r="AB1140" s="73"/>
    </row>
    <row r="1141">
      <c r="A1141" s="73"/>
      <c r="B1141" s="73">
        <v>105656.0681</v>
      </c>
      <c r="C1141" s="73">
        <v>1.63001440372322E7</v>
      </c>
      <c r="D1141" s="73">
        <v>2166269.50899756</v>
      </c>
      <c r="E1141" s="73">
        <v>768709.707063845</v>
      </c>
      <c r="F1141" s="73"/>
      <c r="G1141" s="73"/>
      <c r="H1141" s="73"/>
      <c r="I1141" s="73"/>
      <c r="J1141" s="73"/>
      <c r="K1141" s="73"/>
      <c r="L1141" s="73"/>
      <c r="M1141" s="73"/>
      <c r="N1141" s="73"/>
      <c r="O1141" s="73"/>
      <c r="P1141" s="73"/>
      <c r="Q1141" s="73"/>
      <c r="R1141" s="73"/>
      <c r="S1141" s="73"/>
      <c r="T1141" s="73"/>
      <c r="U1141" s="73"/>
      <c r="V1141" s="73"/>
      <c r="W1141" s="73"/>
      <c r="X1141" s="73"/>
      <c r="Y1141" s="73"/>
      <c r="Z1141" s="73"/>
      <c r="AA1141" s="73"/>
      <c r="AB1141" s="73"/>
    </row>
    <row r="1142">
      <c r="A1142" s="73"/>
      <c r="B1142" s="73">
        <v>105873.0548</v>
      </c>
      <c r="C1142" s="73">
        <v>1.63391243861494E7</v>
      </c>
      <c r="D1142" s="73">
        <v>2175549.19599847</v>
      </c>
      <c r="E1142" s="73">
        <v>770542.954068883</v>
      </c>
      <c r="F1142" s="73"/>
      <c r="G1142" s="73"/>
      <c r="H1142" s="73"/>
      <c r="I1142" s="73"/>
      <c r="J1142" s="73"/>
      <c r="K1142" s="73"/>
      <c r="L1142" s="73"/>
      <c r="M1142" s="73"/>
      <c r="N1142" s="73"/>
      <c r="O1142" s="73"/>
      <c r="P1142" s="73"/>
      <c r="Q1142" s="73"/>
      <c r="R1142" s="73"/>
      <c r="S1142" s="73"/>
      <c r="T1142" s="73"/>
      <c r="U1142" s="73"/>
      <c r="V1142" s="73"/>
      <c r="W1142" s="73"/>
      <c r="X1142" s="73"/>
      <c r="Y1142" s="73"/>
      <c r="Z1142" s="73"/>
      <c r="AA1142" s="73"/>
      <c r="AB1142" s="73"/>
    </row>
    <row r="1143">
      <c r="A1143" s="73"/>
      <c r="B1143" s="73">
        <v>106090.4989</v>
      </c>
      <c r="C1143" s="73">
        <v>1.63781624150651E7</v>
      </c>
      <c r="D1143" s="73">
        <v>2184855.19599939</v>
      </c>
      <c r="E1143" s="73">
        <v>772378.812065781</v>
      </c>
      <c r="F1143" s="73"/>
      <c r="G1143" s="73"/>
      <c r="H1143" s="73"/>
      <c r="I1143" s="73"/>
      <c r="J1143" s="73"/>
      <c r="K1143" s="73"/>
      <c r="L1143" s="73"/>
      <c r="M1143" s="73"/>
      <c r="N1143" s="73"/>
      <c r="O1143" s="73"/>
      <c r="P1143" s="73"/>
      <c r="Q1143" s="73"/>
      <c r="R1143" s="73"/>
      <c r="S1143" s="73"/>
      <c r="T1143" s="73"/>
      <c r="U1143" s="73"/>
      <c r="V1143" s="73"/>
      <c r="W1143" s="73"/>
      <c r="X1143" s="73"/>
      <c r="Y1143" s="73"/>
      <c r="Z1143" s="73"/>
      <c r="AA1143" s="73"/>
      <c r="AB1143" s="73"/>
    </row>
    <row r="1144">
      <c r="A1144" s="73"/>
      <c r="B1144" s="73">
        <v>106308.3999</v>
      </c>
      <c r="C1144" s="73">
        <v>1.6417262243979E7</v>
      </c>
      <c r="D1144" s="73">
        <v>2194187.17100031</v>
      </c>
      <c r="E1144" s="73">
        <v>774217.303102536</v>
      </c>
      <c r="F1144" s="73"/>
      <c r="G1144" s="73"/>
      <c r="H1144" s="73"/>
      <c r="I1144" s="73"/>
      <c r="J1144" s="73"/>
      <c r="K1144" s="73"/>
      <c r="L1144" s="73"/>
      <c r="M1144" s="73"/>
      <c r="N1144" s="73"/>
      <c r="O1144" s="73"/>
      <c r="P1144" s="73"/>
      <c r="Q1144" s="73"/>
      <c r="R1144" s="73"/>
      <c r="S1144" s="73"/>
      <c r="T1144" s="73"/>
      <c r="U1144" s="73"/>
      <c r="V1144" s="73"/>
      <c r="W1144" s="73"/>
      <c r="X1144" s="73"/>
      <c r="Y1144" s="73"/>
      <c r="Z1144" s="73"/>
      <c r="AA1144" s="73"/>
      <c r="AB1144" s="73"/>
    </row>
    <row r="1145">
      <c r="A1145" s="73"/>
      <c r="B1145" s="73">
        <v>106526.7586</v>
      </c>
      <c r="C1145" s="73">
        <v>1.64564197528913E7</v>
      </c>
      <c r="D1145" s="73">
        <v>2203545.60999741</v>
      </c>
      <c r="E1145" s="73">
        <v>776058.384779151</v>
      </c>
      <c r="F1145" s="73"/>
      <c r="G1145" s="73"/>
      <c r="H1145" s="73"/>
      <c r="I1145" s="73"/>
      <c r="J1145" s="73"/>
      <c r="K1145" s="73"/>
      <c r="L1145" s="73"/>
      <c r="M1145" s="73"/>
      <c r="N1145" s="73"/>
      <c r="O1145" s="73"/>
      <c r="P1145" s="73"/>
      <c r="Q1145" s="73"/>
      <c r="R1145" s="73"/>
      <c r="S1145" s="73"/>
      <c r="T1145" s="73"/>
      <c r="U1145" s="73"/>
      <c r="V1145" s="73"/>
      <c r="W1145" s="73"/>
      <c r="X1145" s="73"/>
      <c r="Y1145" s="73"/>
      <c r="Z1145" s="73"/>
      <c r="AA1145" s="73"/>
      <c r="AB1145" s="73"/>
    </row>
    <row r="1146">
      <c r="A1146" s="73"/>
      <c r="B1146" s="73">
        <v>106745.5751</v>
      </c>
      <c r="C1146" s="73">
        <v>1.6495635971802E7</v>
      </c>
      <c r="D1146" s="73">
        <v>2212930.03299832</v>
      </c>
      <c r="E1146" s="73">
        <v>777902.078295626</v>
      </c>
      <c r="F1146" s="73"/>
      <c r="G1146" s="73"/>
      <c r="H1146" s="73"/>
      <c r="I1146" s="73"/>
      <c r="J1146" s="73"/>
      <c r="K1146" s="73"/>
      <c r="L1146" s="73"/>
      <c r="M1146" s="73"/>
      <c r="N1146" s="73"/>
      <c r="O1146" s="73"/>
      <c r="P1146" s="73"/>
      <c r="Q1146" s="73"/>
      <c r="R1146" s="73"/>
      <c r="S1146" s="73"/>
      <c r="T1146" s="73"/>
      <c r="U1146" s="73"/>
      <c r="V1146" s="73"/>
      <c r="W1146" s="73"/>
      <c r="X1146" s="73"/>
      <c r="Y1146" s="73"/>
      <c r="Z1146" s="73"/>
      <c r="AA1146" s="73"/>
      <c r="AB1146" s="73"/>
    </row>
    <row r="1147">
      <c r="A1147" s="73"/>
      <c r="B1147" s="73">
        <v>106964.8497</v>
      </c>
      <c r="C1147" s="73">
        <v>1.65349098707111E7</v>
      </c>
      <c r="D1147" s="73">
        <v>2222341.06999924</v>
      </c>
      <c r="E1147" s="73">
        <v>779748.404003959</v>
      </c>
      <c r="F1147" s="73"/>
      <c r="G1147" s="73"/>
      <c r="H1147" s="73"/>
      <c r="I1147" s="73"/>
      <c r="J1147" s="73"/>
      <c r="K1147" s="73"/>
      <c r="L1147" s="73"/>
      <c r="M1147" s="73"/>
      <c r="N1147" s="73"/>
      <c r="O1147" s="73"/>
      <c r="P1147" s="73"/>
      <c r="Q1147" s="73"/>
      <c r="R1147" s="73"/>
      <c r="S1147" s="73"/>
      <c r="T1147" s="73"/>
      <c r="U1147" s="73"/>
      <c r="V1147" s="73"/>
      <c r="W1147" s="73"/>
      <c r="X1147" s="73"/>
      <c r="Y1147" s="73"/>
      <c r="Z1147" s="73"/>
      <c r="AA1147" s="73"/>
      <c r="AB1147" s="73"/>
    </row>
    <row r="1148">
      <c r="A1148" s="73"/>
      <c r="B1148" s="73">
        <v>107184.5826</v>
      </c>
      <c r="C1148" s="73">
        <v>1.65742455696185E7</v>
      </c>
      <c r="D1148" s="73">
        <v>2231778.25100015</v>
      </c>
      <c r="E1148" s="73">
        <v>781597.300000152</v>
      </c>
      <c r="F1148" s="73"/>
      <c r="G1148" s="73"/>
      <c r="H1148" s="73"/>
      <c r="I1148" s="73"/>
      <c r="J1148" s="73"/>
      <c r="K1148" s="73"/>
      <c r="L1148" s="73"/>
      <c r="M1148" s="73"/>
      <c r="N1148" s="73"/>
      <c r="O1148" s="73"/>
      <c r="P1148" s="73"/>
      <c r="Q1148" s="73"/>
      <c r="R1148" s="73"/>
      <c r="S1148" s="73"/>
      <c r="T1148" s="73"/>
      <c r="U1148" s="73"/>
      <c r="V1148" s="73"/>
      <c r="W1148" s="73"/>
      <c r="X1148" s="73"/>
      <c r="Y1148" s="73"/>
      <c r="Z1148" s="73"/>
      <c r="AA1148" s="73"/>
      <c r="AB1148" s="73"/>
    </row>
    <row r="1149">
      <c r="A1149" s="73"/>
      <c r="B1149" s="73">
        <v>107404.7736</v>
      </c>
      <c r="C1149" s="73">
        <v>1.66136389485242E7</v>
      </c>
      <c r="D1149" s="73">
        <v>2241242.05599725</v>
      </c>
      <c r="E1149" s="73">
        <v>783448.849388203</v>
      </c>
      <c r="F1149" s="73"/>
      <c r="G1149" s="73"/>
      <c r="H1149" s="73"/>
      <c r="I1149" s="73"/>
      <c r="J1149" s="73"/>
      <c r="K1149" s="73"/>
      <c r="L1149" s="73"/>
      <c r="M1149" s="73"/>
      <c r="N1149" s="73"/>
      <c r="O1149" s="73"/>
      <c r="P1149" s="73"/>
      <c r="Q1149" s="73"/>
      <c r="R1149" s="73"/>
      <c r="S1149" s="73"/>
      <c r="T1149" s="73"/>
      <c r="U1149" s="73"/>
      <c r="V1149" s="73"/>
      <c r="W1149" s="73"/>
      <c r="X1149" s="73"/>
      <c r="Y1149" s="73"/>
      <c r="Z1149" s="73"/>
      <c r="AA1149" s="73"/>
      <c r="AB1149" s="73"/>
    </row>
    <row r="1150">
      <c r="A1150" s="73"/>
      <c r="B1150" s="73">
        <v>107625.4233</v>
      </c>
      <c r="C1150" s="73">
        <v>1.66530910374284E7</v>
      </c>
      <c r="D1150" s="73">
        <v>2250731.98599817</v>
      </c>
      <c r="E1150" s="73">
        <v>785303.030968111</v>
      </c>
      <c r="F1150" s="73"/>
      <c r="G1150" s="73"/>
      <c r="H1150" s="73"/>
      <c r="I1150" s="73"/>
      <c r="J1150" s="73"/>
      <c r="K1150" s="73"/>
      <c r="L1150" s="73"/>
      <c r="M1150" s="73"/>
      <c r="N1150" s="73"/>
      <c r="O1150" s="73"/>
      <c r="P1150" s="73"/>
      <c r="Q1150" s="73"/>
      <c r="R1150" s="73"/>
      <c r="S1150" s="73"/>
      <c r="T1150" s="73"/>
      <c r="U1150" s="73"/>
      <c r="V1150" s="73"/>
      <c r="W1150" s="73"/>
      <c r="X1150" s="73"/>
      <c r="Y1150" s="73"/>
      <c r="Z1150" s="73"/>
      <c r="AA1150" s="73"/>
      <c r="AB1150" s="73"/>
    </row>
    <row r="1151">
      <c r="A1151" s="73"/>
      <c r="B1151" s="73">
        <v>107846.5317</v>
      </c>
      <c r="C1151" s="73">
        <v>1.66926038963308E7</v>
      </c>
      <c r="D1151" s="73">
        <v>2260248.54899908</v>
      </c>
      <c r="E1151" s="73">
        <v>787159.782835881</v>
      </c>
      <c r="F1151" s="73"/>
      <c r="G1151" s="73"/>
      <c r="H1151" s="73"/>
      <c r="I1151" s="73"/>
      <c r="J1151" s="73"/>
      <c r="K1151" s="73"/>
      <c r="L1151" s="73"/>
      <c r="M1151" s="73"/>
      <c r="N1151" s="73"/>
      <c r="O1151" s="73"/>
      <c r="P1151" s="73"/>
      <c r="Q1151" s="73"/>
      <c r="R1151" s="73"/>
      <c r="S1151" s="73"/>
      <c r="T1151" s="73"/>
      <c r="U1151" s="73"/>
      <c r="V1151" s="73"/>
      <c r="W1151" s="73"/>
      <c r="X1151" s="73"/>
      <c r="Y1151" s="73"/>
      <c r="Z1151" s="73"/>
      <c r="AA1151" s="73"/>
      <c r="AB1151" s="73"/>
    </row>
    <row r="1152">
      <c r="A1152" s="73"/>
      <c r="B1152" s="73">
        <v>108068.0994</v>
      </c>
      <c r="C1152" s="73">
        <v>1.67321754652317E7</v>
      </c>
      <c r="D1152" s="73">
        <v>2269791.577</v>
      </c>
      <c r="E1152" s="73">
        <v>789019.188095507</v>
      </c>
      <c r="F1152" s="73"/>
      <c r="G1152" s="73"/>
      <c r="H1152" s="73"/>
      <c r="I1152" s="73"/>
      <c r="J1152" s="73"/>
      <c r="K1152" s="73"/>
      <c r="L1152" s="73"/>
      <c r="M1152" s="73"/>
      <c r="N1152" s="73"/>
      <c r="O1152" s="73"/>
      <c r="P1152" s="73"/>
      <c r="Q1152" s="73"/>
      <c r="R1152" s="73"/>
      <c r="S1152" s="73"/>
      <c r="T1152" s="73"/>
      <c r="U1152" s="73"/>
      <c r="V1152" s="73"/>
      <c r="W1152" s="73"/>
      <c r="X1152" s="73"/>
      <c r="Y1152" s="73"/>
      <c r="Z1152" s="73"/>
      <c r="AA1152" s="73"/>
      <c r="AB1152" s="73"/>
    </row>
    <row r="1153">
      <c r="A1153" s="73"/>
      <c r="B1153" s="73">
        <v>108290.1261</v>
      </c>
      <c r="C1153" s="73">
        <v>1.67718047141309E7</v>
      </c>
      <c r="D1153" s="73">
        <v>2279361.0679971</v>
      </c>
      <c r="E1153" s="73">
        <v>790881.225546991</v>
      </c>
      <c r="F1153" s="73"/>
      <c r="G1153" s="73"/>
      <c r="H1153" s="73"/>
      <c r="I1153" s="73"/>
      <c r="J1153" s="73"/>
      <c r="K1153" s="73"/>
      <c r="L1153" s="73"/>
      <c r="M1153" s="73"/>
      <c r="N1153" s="73"/>
      <c r="O1153" s="73"/>
      <c r="P1153" s="73"/>
      <c r="Q1153" s="73"/>
      <c r="R1153" s="73"/>
      <c r="S1153" s="73"/>
      <c r="T1153" s="73"/>
      <c r="U1153" s="73"/>
      <c r="V1153" s="73"/>
      <c r="W1153" s="73"/>
      <c r="X1153" s="73"/>
      <c r="Y1153" s="73"/>
      <c r="Z1153" s="73"/>
      <c r="AA1153" s="73"/>
      <c r="AB1153" s="73"/>
    </row>
    <row r="1154">
      <c r="A1154" s="73"/>
      <c r="B1154" s="73">
        <v>108512.6121</v>
      </c>
      <c r="C1154" s="73">
        <v>1.68114957630284E7</v>
      </c>
      <c r="D1154" s="73">
        <v>2288957.16399802</v>
      </c>
      <c r="E1154" s="73">
        <v>792745.874838335</v>
      </c>
      <c r="F1154" s="73"/>
      <c r="G1154" s="73"/>
      <c r="H1154" s="73"/>
      <c r="I1154" s="73"/>
      <c r="J1154" s="73"/>
      <c r="K1154" s="73"/>
      <c r="L1154" s="73"/>
      <c r="M1154" s="73"/>
      <c r="N1154" s="73"/>
      <c r="O1154" s="73"/>
      <c r="P1154" s="73"/>
      <c r="Q1154" s="73"/>
      <c r="R1154" s="73"/>
      <c r="S1154" s="73"/>
      <c r="T1154" s="73"/>
      <c r="U1154" s="73"/>
      <c r="V1154" s="73"/>
      <c r="W1154" s="73"/>
      <c r="X1154" s="73"/>
      <c r="Y1154" s="73"/>
      <c r="Z1154" s="73"/>
      <c r="AA1154" s="73"/>
      <c r="AB1154" s="73"/>
    </row>
    <row r="1155">
      <c r="A1155" s="73"/>
      <c r="B1155" s="73">
        <v>108735.558</v>
      </c>
      <c r="C1155" s="73">
        <v>1.68512444919243E7</v>
      </c>
      <c r="D1155" s="73">
        <v>2298579.73399893</v>
      </c>
      <c r="E1155" s="73">
        <v>794613.114769538</v>
      </c>
      <c r="F1155" s="73"/>
      <c r="G1155" s="73"/>
      <c r="H1155" s="73"/>
      <c r="I1155" s="73"/>
      <c r="J1155" s="73"/>
      <c r="K1155" s="73"/>
      <c r="L1155" s="73"/>
      <c r="M1155" s="73"/>
      <c r="N1155" s="73"/>
      <c r="O1155" s="73"/>
      <c r="P1155" s="73"/>
      <c r="Q1155" s="73"/>
      <c r="R1155" s="73"/>
      <c r="S1155" s="73"/>
      <c r="T1155" s="73"/>
      <c r="U1155" s="73"/>
      <c r="V1155" s="73"/>
      <c r="W1155" s="73"/>
      <c r="X1155" s="73"/>
      <c r="Y1155" s="73"/>
      <c r="Z1155" s="73"/>
      <c r="AA1155" s="73"/>
      <c r="AB1155" s="73"/>
    </row>
    <row r="1156">
      <c r="A1156" s="73"/>
      <c r="B1156" s="73">
        <v>108958.9633</v>
      </c>
      <c r="C1156" s="73">
        <v>1.68910519308186E7</v>
      </c>
      <c r="D1156" s="73">
        <v>2308229.08799985</v>
      </c>
      <c r="E1156" s="73">
        <v>796483.008092598</v>
      </c>
      <c r="F1156" s="73"/>
      <c r="G1156" s="73"/>
      <c r="H1156" s="73"/>
      <c r="I1156" s="73"/>
      <c r="J1156" s="73"/>
      <c r="K1156" s="73"/>
      <c r="L1156" s="73"/>
      <c r="M1156" s="73"/>
      <c r="N1156" s="73"/>
      <c r="O1156" s="73"/>
      <c r="P1156" s="73"/>
      <c r="Q1156" s="73"/>
      <c r="R1156" s="73"/>
      <c r="S1156" s="73"/>
      <c r="T1156" s="73"/>
      <c r="U1156" s="73"/>
      <c r="V1156" s="73"/>
      <c r="W1156" s="73"/>
      <c r="X1156" s="73"/>
      <c r="Y1156" s="73"/>
      <c r="Z1156" s="73"/>
      <c r="AA1156" s="73"/>
      <c r="AB1156" s="73"/>
    </row>
    <row r="1157">
      <c r="A1157" s="73"/>
      <c r="B1157" s="73">
        <v>109182.8291</v>
      </c>
      <c r="C1157" s="73">
        <v>1.69309201397111E7</v>
      </c>
      <c r="D1157" s="73">
        <v>2317905.06500076</v>
      </c>
      <c r="E1157" s="73">
        <v>798355.513255518</v>
      </c>
      <c r="F1157" s="73"/>
      <c r="G1157" s="73"/>
      <c r="H1157" s="73"/>
      <c r="I1157" s="73"/>
      <c r="J1157" s="73"/>
      <c r="K1157" s="73"/>
      <c r="L1157" s="73"/>
      <c r="M1157" s="73"/>
      <c r="N1157" s="73"/>
      <c r="O1157" s="73"/>
      <c r="P1157" s="73"/>
      <c r="Q1157" s="73"/>
      <c r="R1157" s="73"/>
      <c r="S1157" s="73"/>
      <c r="T1157" s="73"/>
      <c r="U1157" s="73"/>
      <c r="V1157" s="73"/>
      <c r="W1157" s="73"/>
      <c r="X1157" s="73"/>
      <c r="Y1157" s="73"/>
      <c r="Z1157" s="73"/>
      <c r="AA1157" s="73"/>
      <c r="AB1157" s="73"/>
    </row>
    <row r="1158">
      <c r="A1158" s="73"/>
      <c r="B1158" s="73">
        <v>109407.1548</v>
      </c>
      <c r="C1158" s="73">
        <v>1.69708480886021E7</v>
      </c>
      <c r="D1158" s="73">
        <v>2327607.65699786</v>
      </c>
      <c r="E1158" s="73">
        <v>800230.671810294</v>
      </c>
      <c r="F1158" s="73"/>
      <c r="G1158" s="73"/>
      <c r="H1158" s="73"/>
      <c r="I1158" s="73"/>
      <c r="J1158" s="73"/>
      <c r="K1158" s="73"/>
      <c r="L1158" s="73"/>
      <c r="M1158" s="73"/>
      <c r="N1158" s="73"/>
      <c r="O1158" s="73"/>
      <c r="P1158" s="73"/>
      <c r="Q1158" s="73"/>
      <c r="R1158" s="73"/>
      <c r="S1158" s="73"/>
      <c r="T1158" s="73"/>
      <c r="U1158" s="73"/>
      <c r="V1158" s="73"/>
      <c r="W1158" s="73"/>
      <c r="X1158" s="73"/>
      <c r="Y1158" s="73"/>
      <c r="Z1158" s="73"/>
      <c r="AA1158" s="73"/>
      <c r="AB1158" s="73"/>
    </row>
    <row r="1159">
      <c r="A1159" s="73"/>
      <c r="B1159" s="73">
        <v>109631.9408</v>
      </c>
      <c r="C1159" s="73">
        <v>1.70108337174914E7</v>
      </c>
      <c r="D1159" s="73">
        <v>2337337.03299878</v>
      </c>
      <c r="E1159" s="73">
        <v>802108.462556927</v>
      </c>
      <c r="F1159" s="73"/>
      <c r="G1159" s="73"/>
      <c r="H1159" s="73"/>
      <c r="I1159" s="73"/>
      <c r="J1159" s="73"/>
      <c r="K1159" s="73"/>
      <c r="L1159" s="73"/>
      <c r="M1159" s="73"/>
      <c r="N1159" s="73"/>
      <c r="O1159" s="73"/>
      <c r="P1159" s="73"/>
      <c r="Q1159" s="73"/>
      <c r="R1159" s="73"/>
      <c r="S1159" s="73"/>
      <c r="T1159" s="73"/>
      <c r="U1159" s="73"/>
      <c r="V1159" s="73"/>
      <c r="W1159" s="73"/>
      <c r="X1159" s="73"/>
      <c r="Y1159" s="73"/>
      <c r="Z1159" s="73"/>
      <c r="AA1159" s="73"/>
      <c r="AB1159" s="73"/>
    </row>
    <row r="1160">
      <c r="A1160" s="73"/>
      <c r="B1160" s="73">
        <v>109857.1877</v>
      </c>
      <c r="C1160" s="73">
        <v>1.7050880116379E7</v>
      </c>
      <c r="D1160" s="73">
        <v>2347093.03299969</v>
      </c>
      <c r="E1160" s="73">
        <v>803988.86514342</v>
      </c>
      <c r="F1160" s="73"/>
      <c r="G1160" s="73"/>
      <c r="H1160" s="73"/>
      <c r="I1160" s="73"/>
      <c r="J1160" s="73"/>
      <c r="K1160" s="73"/>
      <c r="L1160" s="73"/>
      <c r="M1160" s="73"/>
      <c r="N1160" s="73"/>
      <c r="O1160" s="73"/>
      <c r="P1160" s="73"/>
      <c r="Q1160" s="73"/>
      <c r="R1160" s="73"/>
      <c r="S1160" s="73"/>
      <c r="T1160" s="73"/>
      <c r="U1160" s="73"/>
      <c r="V1160" s="73"/>
      <c r="W1160" s="73"/>
      <c r="X1160" s="73"/>
      <c r="Y1160" s="73"/>
      <c r="Z1160" s="73"/>
      <c r="AA1160" s="73"/>
      <c r="AB1160" s="73"/>
    </row>
    <row r="1161">
      <c r="A1161" s="73"/>
      <c r="B1161" s="73">
        <v>110082.8951</v>
      </c>
      <c r="C1161" s="73">
        <v>1.7090987285265E7</v>
      </c>
      <c r="D1161" s="73">
        <v>2356875.98600061</v>
      </c>
      <c r="E1161" s="73">
        <v>805871.879569772</v>
      </c>
      <c r="F1161" s="73"/>
      <c r="G1161" s="73"/>
      <c r="H1161" s="73"/>
      <c r="I1161" s="73"/>
      <c r="J1161" s="73"/>
      <c r="K1161" s="73"/>
      <c r="L1161" s="73"/>
      <c r="M1161" s="73"/>
      <c r="N1161" s="73"/>
      <c r="O1161" s="73"/>
      <c r="P1161" s="73"/>
      <c r="Q1161" s="73"/>
      <c r="R1161" s="73"/>
      <c r="S1161" s="73"/>
      <c r="T1161" s="73"/>
      <c r="U1161" s="73"/>
      <c r="V1161" s="73"/>
      <c r="W1161" s="73"/>
      <c r="X1161" s="73"/>
      <c r="Y1161" s="73"/>
      <c r="Z1161" s="73"/>
      <c r="AA1161" s="73"/>
      <c r="AB1161" s="73"/>
    </row>
    <row r="1162">
      <c r="A1162" s="73"/>
      <c r="B1162" s="73">
        <v>110309.0638</v>
      </c>
      <c r="C1162" s="73">
        <v>1.71311521341493E7</v>
      </c>
      <c r="D1162" s="73">
        <v>2366685.71399771</v>
      </c>
      <c r="E1162" s="73">
        <v>807757.526187982</v>
      </c>
      <c r="F1162" s="73"/>
      <c r="G1162" s="73"/>
      <c r="H1162" s="73"/>
      <c r="I1162" s="73"/>
      <c r="J1162" s="73"/>
      <c r="K1162" s="73"/>
      <c r="L1162" s="73"/>
      <c r="M1162" s="73"/>
      <c r="N1162" s="73"/>
      <c r="O1162" s="73"/>
      <c r="P1162" s="73"/>
      <c r="Q1162" s="73"/>
      <c r="R1162" s="73"/>
      <c r="S1162" s="73"/>
      <c r="T1162" s="73"/>
      <c r="U1162" s="73"/>
      <c r="V1162" s="73"/>
      <c r="W1162" s="73"/>
      <c r="X1162" s="73"/>
      <c r="Y1162" s="73"/>
      <c r="Z1162" s="73"/>
      <c r="AA1162" s="73"/>
      <c r="AB1162" s="73"/>
    </row>
    <row r="1163">
      <c r="A1163" s="73"/>
      <c r="B1163" s="73">
        <v>110535.6933</v>
      </c>
      <c r="C1163" s="73">
        <v>1.7171376723032E7</v>
      </c>
      <c r="D1163" s="73">
        <v>2376522.21599863</v>
      </c>
      <c r="E1163" s="73">
        <v>809645.847398048</v>
      </c>
      <c r="F1163" s="73"/>
      <c r="G1163" s="73"/>
      <c r="H1163" s="73"/>
      <c r="I1163" s="73"/>
      <c r="J1163" s="73"/>
      <c r="K1163" s="73"/>
      <c r="L1163" s="73"/>
      <c r="M1163" s="73"/>
      <c r="N1163" s="73"/>
      <c r="O1163" s="73"/>
      <c r="P1163" s="73"/>
      <c r="Q1163" s="73"/>
      <c r="R1163" s="73"/>
      <c r="S1163" s="73"/>
      <c r="T1163" s="73"/>
      <c r="U1163" s="73"/>
      <c r="V1163" s="73"/>
      <c r="W1163" s="73"/>
      <c r="X1163" s="73"/>
      <c r="Y1163" s="73"/>
      <c r="Z1163" s="73"/>
      <c r="AA1163" s="73"/>
      <c r="AB1163" s="73"/>
    </row>
    <row r="1164">
      <c r="A1164" s="73"/>
      <c r="B1164" s="73">
        <v>110762.7846</v>
      </c>
      <c r="C1164" s="73">
        <v>1.7211663111913E7</v>
      </c>
      <c r="D1164" s="73">
        <v>2386385.67199954</v>
      </c>
      <c r="E1164" s="73">
        <v>811536.779599972</v>
      </c>
      <c r="F1164" s="73"/>
      <c r="G1164" s="73"/>
      <c r="H1164" s="73"/>
      <c r="I1164" s="73"/>
      <c r="J1164" s="73"/>
      <c r="K1164" s="73"/>
      <c r="L1164" s="73"/>
      <c r="M1164" s="73"/>
      <c r="N1164" s="73"/>
      <c r="O1164" s="73"/>
      <c r="P1164" s="73"/>
      <c r="Q1164" s="73"/>
      <c r="R1164" s="73"/>
      <c r="S1164" s="73"/>
      <c r="T1164" s="73"/>
      <c r="U1164" s="73"/>
      <c r="V1164" s="73"/>
      <c r="W1164" s="73"/>
      <c r="X1164" s="73"/>
      <c r="Y1164" s="73"/>
      <c r="Z1164" s="73"/>
      <c r="AA1164" s="73"/>
      <c r="AB1164" s="73"/>
    </row>
    <row r="1165">
      <c r="A1165" s="73"/>
      <c r="B1165" s="73">
        <v>110990.3371</v>
      </c>
      <c r="C1165" s="73">
        <v>1.72520071807923E7</v>
      </c>
      <c r="D1165" s="73">
        <v>2396276.06200046</v>
      </c>
      <c r="E1165" s="73">
        <v>813430.344841754</v>
      </c>
      <c r="F1165" s="73"/>
      <c r="G1165" s="73"/>
      <c r="H1165" s="73"/>
      <c r="I1165" s="73"/>
      <c r="J1165" s="73"/>
      <c r="K1165" s="73"/>
      <c r="L1165" s="73"/>
      <c r="M1165" s="73"/>
      <c r="N1165" s="73"/>
      <c r="O1165" s="73"/>
      <c r="P1165" s="73"/>
      <c r="Q1165" s="73"/>
      <c r="R1165" s="73"/>
      <c r="S1165" s="73"/>
      <c r="T1165" s="73"/>
      <c r="U1165" s="73"/>
      <c r="V1165" s="73"/>
      <c r="W1165" s="73"/>
      <c r="X1165" s="73"/>
      <c r="Y1165" s="73"/>
      <c r="Z1165" s="73"/>
      <c r="AA1165" s="73"/>
      <c r="AB1165" s="73"/>
    </row>
    <row r="1166">
      <c r="A1166" s="73"/>
      <c r="B1166" s="73">
        <v>111218.3514</v>
      </c>
      <c r="C1166" s="73">
        <v>1.729241201967E7</v>
      </c>
      <c r="D1166" s="73">
        <v>2406193.57499756</v>
      </c>
      <c r="E1166" s="73">
        <v>815326.542275395</v>
      </c>
      <c r="F1166" s="73"/>
      <c r="G1166" s="73"/>
      <c r="H1166" s="73"/>
      <c r="I1166" s="73"/>
      <c r="J1166" s="73"/>
      <c r="K1166" s="73"/>
      <c r="L1166" s="73"/>
      <c r="M1166" s="73"/>
      <c r="N1166" s="73"/>
      <c r="O1166" s="73"/>
      <c r="P1166" s="73"/>
      <c r="Q1166" s="73"/>
      <c r="R1166" s="73"/>
      <c r="S1166" s="73"/>
      <c r="T1166" s="73"/>
      <c r="U1166" s="73"/>
      <c r="V1166" s="73"/>
      <c r="W1166" s="73"/>
      <c r="X1166" s="73"/>
      <c r="Y1166" s="73"/>
      <c r="Z1166" s="73"/>
      <c r="AA1166" s="73"/>
      <c r="AB1166" s="73"/>
    </row>
    <row r="1167">
      <c r="A1167" s="73"/>
      <c r="B1167" s="73">
        <v>111446.8278</v>
      </c>
      <c r="C1167" s="73">
        <v>1.73328745385461E7</v>
      </c>
      <c r="D1167" s="73">
        <v>2416137.85299847</v>
      </c>
      <c r="E1167" s="73">
        <v>817225.414300891</v>
      </c>
      <c r="F1167" s="73"/>
      <c r="G1167" s="73"/>
      <c r="H1167" s="73"/>
      <c r="I1167" s="73"/>
      <c r="J1167" s="73"/>
      <c r="K1167" s="73"/>
      <c r="L1167" s="73"/>
      <c r="M1167" s="73"/>
      <c r="N1167" s="73"/>
      <c r="O1167" s="73"/>
      <c r="P1167" s="73"/>
      <c r="Q1167" s="73"/>
      <c r="R1167" s="73"/>
      <c r="S1167" s="73"/>
      <c r="T1167" s="73"/>
      <c r="U1167" s="73"/>
      <c r="V1167" s="73"/>
      <c r="W1167" s="73"/>
      <c r="X1167" s="73"/>
      <c r="Y1167" s="73"/>
      <c r="Z1167" s="73"/>
      <c r="AA1167" s="73"/>
      <c r="AB1167" s="73"/>
    </row>
    <row r="1168">
      <c r="A1168" s="73"/>
      <c r="B1168" s="73">
        <v>111675.7664</v>
      </c>
      <c r="C1168" s="73">
        <v>1.73733988574204E7</v>
      </c>
      <c r="D1168" s="73">
        <v>2426109.24399939</v>
      </c>
      <c r="E1168" s="73">
        <v>819126.876966247</v>
      </c>
      <c r="F1168" s="73"/>
      <c r="G1168" s="73"/>
      <c r="H1168" s="73"/>
      <c r="I1168" s="73"/>
      <c r="J1168" s="73"/>
      <c r="K1168" s="73"/>
      <c r="L1168" s="73"/>
      <c r="M1168" s="73"/>
      <c r="N1168" s="73"/>
      <c r="O1168" s="73"/>
      <c r="P1168" s="73"/>
      <c r="Q1168" s="73"/>
      <c r="R1168" s="73"/>
      <c r="S1168" s="73"/>
      <c r="T1168" s="73"/>
      <c r="U1168" s="73"/>
      <c r="V1168" s="73"/>
      <c r="W1168" s="73"/>
      <c r="X1168" s="73"/>
      <c r="Y1168" s="73"/>
      <c r="Z1168" s="73"/>
      <c r="AA1168" s="73"/>
      <c r="AB1168" s="73"/>
    </row>
    <row r="1169">
      <c r="A1169" s="73"/>
      <c r="B1169" s="73">
        <v>111905.1668</v>
      </c>
      <c r="C1169" s="73">
        <v>1.74139829162931E7</v>
      </c>
      <c r="D1169" s="73">
        <v>2436107.74000031</v>
      </c>
      <c r="E1169" s="73">
        <v>821030.971823461</v>
      </c>
      <c r="F1169" s="73"/>
      <c r="G1169" s="73"/>
      <c r="H1169" s="73"/>
      <c r="I1169" s="73"/>
      <c r="J1169" s="73"/>
      <c r="K1169" s="73"/>
      <c r="L1169" s="73"/>
      <c r="M1169" s="73"/>
      <c r="N1169" s="73"/>
      <c r="O1169" s="73"/>
      <c r="P1169" s="73"/>
      <c r="Q1169" s="73"/>
      <c r="R1169" s="73"/>
      <c r="S1169" s="73"/>
      <c r="T1169" s="73"/>
      <c r="U1169" s="73"/>
      <c r="V1169" s="73"/>
      <c r="W1169" s="73"/>
      <c r="X1169" s="73"/>
      <c r="Y1169" s="73"/>
      <c r="Z1169" s="73"/>
      <c r="AA1169" s="73"/>
      <c r="AB1169" s="73"/>
    </row>
    <row r="1170">
      <c r="A1170" s="73"/>
      <c r="B1170" s="73">
        <v>112135.0302</v>
      </c>
      <c r="C1170" s="73">
        <v>1.74546287751641E7</v>
      </c>
      <c r="D1170" s="73">
        <v>2446133.17899741</v>
      </c>
      <c r="E1170" s="73">
        <v>822937.782824528</v>
      </c>
      <c r="F1170" s="73"/>
      <c r="G1170" s="73"/>
      <c r="H1170" s="73"/>
      <c r="I1170" s="73"/>
      <c r="J1170" s="73"/>
      <c r="K1170" s="73"/>
      <c r="L1170" s="73"/>
      <c r="M1170" s="73"/>
      <c r="N1170" s="73"/>
      <c r="O1170" s="73"/>
      <c r="P1170" s="73"/>
      <c r="Q1170" s="73"/>
      <c r="R1170" s="73"/>
      <c r="S1170" s="73"/>
      <c r="T1170" s="73"/>
      <c r="U1170" s="73"/>
      <c r="V1170" s="73"/>
      <c r="W1170" s="73"/>
      <c r="X1170" s="73"/>
      <c r="Y1170" s="73"/>
      <c r="Z1170" s="73"/>
      <c r="AA1170" s="73"/>
      <c r="AB1170" s="73"/>
    </row>
    <row r="1171">
      <c r="A1171" s="73"/>
      <c r="B1171" s="73">
        <v>112365.3561</v>
      </c>
      <c r="C1171" s="73">
        <v>1.74953302540336E7</v>
      </c>
      <c r="D1171" s="73">
        <v>2456185.88199832</v>
      </c>
      <c r="E1171" s="73">
        <v>824847.142913458</v>
      </c>
      <c r="F1171" s="73"/>
      <c r="G1171" s="73"/>
      <c r="H1171" s="73"/>
      <c r="I1171" s="73"/>
      <c r="J1171" s="73"/>
      <c r="K1171" s="73"/>
      <c r="L1171" s="73"/>
      <c r="M1171" s="73"/>
      <c r="N1171" s="73"/>
      <c r="O1171" s="73"/>
      <c r="P1171" s="73"/>
      <c r="Q1171" s="73"/>
      <c r="R1171" s="73"/>
      <c r="S1171" s="73"/>
      <c r="T1171" s="73"/>
      <c r="U1171" s="73"/>
      <c r="V1171" s="73"/>
      <c r="W1171" s="73"/>
      <c r="X1171" s="73"/>
      <c r="Y1171" s="73"/>
      <c r="Z1171" s="73"/>
      <c r="AA1171" s="73"/>
      <c r="AB1171" s="73"/>
    </row>
    <row r="1172">
      <c r="A1172" s="73"/>
      <c r="B1172" s="73">
        <v>112596.1447</v>
      </c>
      <c r="C1172" s="73">
        <v>1.75360935329013E7</v>
      </c>
      <c r="D1172" s="73">
        <v>2466265.84899924</v>
      </c>
      <c r="E1172" s="73">
        <v>826759.197946242</v>
      </c>
      <c r="F1172" s="73"/>
      <c r="G1172" s="73"/>
      <c r="H1172" s="73"/>
      <c r="I1172" s="73"/>
      <c r="J1172" s="73"/>
      <c r="K1172" s="73"/>
      <c r="L1172" s="73"/>
      <c r="M1172" s="73"/>
      <c r="N1172" s="73"/>
      <c r="O1172" s="73"/>
      <c r="P1172" s="73"/>
      <c r="Q1172" s="73"/>
      <c r="R1172" s="73"/>
      <c r="S1172" s="73"/>
      <c r="T1172" s="73"/>
      <c r="U1172" s="73"/>
      <c r="V1172" s="73"/>
      <c r="W1172" s="73"/>
      <c r="X1172" s="73"/>
      <c r="Y1172" s="73"/>
      <c r="Z1172" s="73"/>
      <c r="AA1172" s="73"/>
      <c r="AB1172" s="73"/>
    </row>
    <row r="1173">
      <c r="A1173" s="73"/>
      <c r="B1173" s="73">
        <v>112827.3964</v>
      </c>
      <c r="C1173" s="73">
        <v>1.75769186117673E7</v>
      </c>
      <c r="D1173" s="73">
        <v>2476372.76000015</v>
      </c>
      <c r="E1173" s="73">
        <v>828673.906370883</v>
      </c>
      <c r="F1173" s="73"/>
      <c r="G1173" s="73"/>
      <c r="H1173" s="73"/>
      <c r="I1173" s="73"/>
      <c r="J1173" s="73"/>
      <c r="K1173" s="73"/>
      <c r="L1173" s="73"/>
      <c r="M1173" s="73"/>
      <c r="N1173" s="73"/>
      <c r="O1173" s="73"/>
      <c r="P1173" s="73"/>
      <c r="Q1173" s="73"/>
      <c r="R1173" s="73"/>
      <c r="S1173" s="73"/>
      <c r="T1173" s="73"/>
      <c r="U1173" s="73"/>
      <c r="V1173" s="73"/>
      <c r="W1173" s="73"/>
      <c r="X1173" s="73"/>
      <c r="Y1173" s="73"/>
      <c r="Z1173" s="73"/>
      <c r="AA1173" s="73"/>
      <c r="AB1173" s="73"/>
    </row>
    <row r="1174">
      <c r="A1174" s="73"/>
      <c r="B1174" s="73">
        <v>113059.1114</v>
      </c>
      <c r="C1174" s="73">
        <v>1.76178013706317E7</v>
      </c>
      <c r="D1174" s="73">
        <v>2486507.09499725</v>
      </c>
      <c r="E1174" s="73">
        <v>830591.226635383</v>
      </c>
      <c r="F1174" s="73"/>
      <c r="G1174" s="73"/>
      <c r="H1174" s="73"/>
      <c r="I1174" s="73"/>
      <c r="J1174" s="73"/>
      <c r="K1174" s="73"/>
      <c r="L1174" s="73"/>
      <c r="M1174" s="73"/>
      <c r="N1174" s="73"/>
      <c r="O1174" s="73"/>
      <c r="P1174" s="73"/>
      <c r="Q1174" s="73"/>
      <c r="R1174" s="73"/>
      <c r="S1174" s="73"/>
      <c r="T1174" s="73"/>
      <c r="U1174" s="73"/>
      <c r="V1174" s="73"/>
      <c r="W1174" s="73"/>
      <c r="X1174" s="73"/>
      <c r="Y1174" s="73"/>
      <c r="Z1174" s="73"/>
      <c r="AA1174" s="73"/>
      <c r="AB1174" s="73"/>
    </row>
    <row r="1175">
      <c r="A1175" s="73"/>
      <c r="B1175" s="73">
        <v>113291.2899</v>
      </c>
      <c r="C1175" s="73">
        <v>1.76587459294944E7</v>
      </c>
      <c r="D1175" s="73">
        <v>2496668.53399817</v>
      </c>
      <c r="E1175" s="73">
        <v>832511.220643739</v>
      </c>
      <c r="F1175" s="73"/>
      <c r="G1175" s="73"/>
      <c r="H1175" s="73"/>
      <c r="I1175" s="73"/>
      <c r="J1175" s="73"/>
      <c r="K1175" s="73"/>
      <c r="L1175" s="73"/>
      <c r="M1175" s="73"/>
      <c r="N1175" s="73"/>
      <c r="O1175" s="73"/>
      <c r="P1175" s="73"/>
      <c r="Q1175" s="73"/>
      <c r="R1175" s="73"/>
      <c r="S1175" s="73"/>
      <c r="T1175" s="73"/>
      <c r="U1175" s="73"/>
      <c r="V1175" s="73"/>
      <c r="W1175" s="73"/>
      <c r="X1175" s="73"/>
      <c r="Y1175" s="73"/>
      <c r="Z1175" s="73"/>
      <c r="AA1175" s="73"/>
      <c r="AB1175" s="73"/>
    </row>
    <row r="1176">
      <c r="A1176" s="73"/>
      <c r="B1176" s="73">
        <v>113523.9317</v>
      </c>
      <c r="C1176" s="73">
        <v>1.76997481683555E7</v>
      </c>
      <c r="D1176" s="73">
        <v>2506857.40699908</v>
      </c>
      <c r="E1176" s="73">
        <v>834433.88924395</v>
      </c>
      <c r="F1176" s="73"/>
      <c r="G1176" s="73"/>
      <c r="H1176" s="73"/>
      <c r="I1176" s="73"/>
      <c r="J1176" s="73"/>
      <c r="K1176" s="73"/>
      <c r="L1176" s="73"/>
      <c r="M1176" s="73"/>
      <c r="N1176" s="73"/>
      <c r="O1176" s="73"/>
      <c r="P1176" s="73"/>
      <c r="Q1176" s="73"/>
      <c r="R1176" s="73"/>
      <c r="S1176" s="73"/>
      <c r="T1176" s="73"/>
      <c r="U1176" s="73"/>
      <c r="V1176" s="73"/>
      <c r="W1176" s="73"/>
      <c r="X1176" s="73"/>
      <c r="Y1176" s="73"/>
      <c r="Z1176" s="73"/>
      <c r="AA1176" s="73"/>
      <c r="AB1176" s="73"/>
    </row>
    <row r="1177">
      <c r="A1177" s="73"/>
      <c r="B1177" s="73">
        <v>113757.0375</v>
      </c>
      <c r="C1177" s="73">
        <v>1.77408142672148E7</v>
      </c>
      <c r="D1177" s="73">
        <v>2517073.703</v>
      </c>
      <c r="E1177" s="73">
        <v>836359.148484022</v>
      </c>
      <c r="F1177" s="73"/>
      <c r="G1177" s="73"/>
      <c r="H1177" s="73"/>
      <c r="I1177" s="73"/>
      <c r="J1177" s="73"/>
      <c r="K1177" s="73"/>
      <c r="L1177" s="73"/>
      <c r="M1177" s="73"/>
      <c r="N1177" s="73"/>
      <c r="O1177" s="73"/>
      <c r="P1177" s="73"/>
      <c r="Q1177" s="73"/>
      <c r="R1177" s="73"/>
      <c r="S1177" s="73"/>
      <c r="T1177" s="73"/>
      <c r="U1177" s="73"/>
      <c r="V1177" s="73"/>
      <c r="W1177" s="73"/>
      <c r="X1177" s="73"/>
      <c r="Y1177" s="73"/>
      <c r="Z1177" s="73"/>
      <c r="AA1177" s="73"/>
      <c r="AB1177" s="73"/>
    </row>
    <row r="1178">
      <c r="A1178" s="73"/>
      <c r="B1178" s="73">
        <v>113990.607</v>
      </c>
      <c r="C1178" s="73">
        <v>1.77819380460725E7</v>
      </c>
      <c r="D1178" s="73">
        <v>2527317.0939971</v>
      </c>
      <c r="E1178" s="73">
        <v>838287.102667948</v>
      </c>
      <c r="F1178" s="73"/>
      <c r="G1178" s="73"/>
      <c r="H1178" s="73"/>
      <c r="I1178" s="73"/>
      <c r="J1178" s="73"/>
      <c r="K1178" s="73"/>
      <c r="L1178" s="73"/>
      <c r="M1178" s="73"/>
      <c r="N1178" s="73"/>
      <c r="O1178" s="73"/>
      <c r="P1178" s="73"/>
      <c r="Q1178" s="73"/>
      <c r="R1178" s="73"/>
      <c r="S1178" s="73"/>
      <c r="T1178" s="73"/>
      <c r="U1178" s="73"/>
      <c r="V1178" s="73"/>
      <c r="W1178" s="73"/>
      <c r="X1178" s="73"/>
      <c r="Y1178" s="73"/>
      <c r="Z1178" s="73"/>
      <c r="AA1178" s="73"/>
      <c r="AB1178" s="73"/>
    </row>
    <row r="1179">
      <c r="A1179" s="73"/>
      <c r="B1179" s="73">
        <v>114224.6405</v>
      </c>
      <c r="C1179" s="73">
        <v>1.78231215649285E7</v>
      </c>
      <c r="D1179" s="73">
        <v>2537588.07799802</v>
      </c>
      <c r="E1179" s="73">
        <v>840217.647491734</v>
      </c>
      <c r="F1179" s="73"/>
      <c r="G1179" s="73"/>
      <c r="H1179" s="73"/>
      <c r="I1179" s="73"/>
      <c r="J1179" s="73"/>
      <c r="K1179" s="73"/>
      <c r="L1179" s="73"/>
      <c r="M1179" s="73"/>
      <c r="N1179" s="73"/>
      <c r="O1179" s="73"/>
      <c r="P1179" s="73"/>
      <c r="Q1179" s="73"/>
      <c r="R1179" s="73"/>
      <c r="S1179" s="73"/>
      <c r="T1179" s="73"/>
      <c r="U1179" s="73"/>
      <c r="V1179" s="73"/>
      <c r="W1179" s="73"/>
      <c r="X1179" s="73"/>
      <c r="Y1179" s="73"/>
      <c r="Z1179" s="73"/>
      <c r="AA1179" s="73"/>
      <c r="AB1179" s="73"/>
    </row>
    <row r="1180">
      <c r="A1180" s="73"/>
      <c r="B1180" s="73">
        <v>114459.1386</v>
      </c>
      <c r="C1180" s="73">
        <v>1.78643668837829E7</v>
      </c>
      <c r="D1180" s="73">
        <v>2547886.49599893</v>
      </c>
      <c r="E1180" s="73">
        <v>842150.908459373</v>
      </c>
      <c r="F1180" s="73"/>
      <c r="G1180" s="73"/>
      <c r="H1180" s="73"/>
      <c r="I1180" s="73"/>
      <c r="J1180" s="73"/>
      <c r="K1180" s="73"/>
      <c r="L1180" s="73"/>
      <c r="M1180" s="73"/>
      <c r="N1180" s="73"/>
      <c r="O1180" s="73"/>
      <c r="P1180" s="73"/>
      <c r="Q1180" s="73"/>
      <c r="R1180" s="73"/>
      <c r="S1180" s="73"/>
      <c r="T1180" s="73"/>
      <c r="U1180" s="73"/>
      <c r="V1180" s="73"/>
      <c r="W1180" s="73"/>
      <c r="X1180" s="73"/>
      <c r="Y1180" s="73"/>
      <c r="Z1180" s="73"/>
      <c r="AA1180" s="73"/>
      <c r="AB1180" s="73"/>
    </row>
    <row r="1181">
      <c r="A1181" s="73"/>
      <c r="B1181" s="73">
        <v>114694.1008</v>
      </c>
      <c r="C1181" s="73">
        <v>1.79056719426355E7</v>
      </c>
      <c r="D1181" s="73">
        <v>2558212.32799985</v>
      </c>
      <c r="E1181" s="73">
        <v>844086.82281887</v>
      </c>
      <c r="F1181" s="73"/>
      <c r="G1181" s="73"/>
      <c r="H1181" s="73"/>
      <c r="I1181" s="73"/>
      <c r="J1181" s="73"/>
      <c r="K1181" s="73"/>
      <c r="L1181" s="73"/>
      <c r="M1181" s="73"/>
      <c r="N1181" s="73"/>
      <c r="O1181" s="73"/>
      <c r="P1181" s="73"/>
      <c r="Q1181" s="73"/>
      <c r="R1181" s="73"/>
      <c r="S1181" s="73"/>
      <c r="T1181" s="73"/>
      <c r="U1181" s="73"/>
      <c r="V1181" s="73"/>
      <c r="W1181" s="73"/>
      <c r="X1181" s="73"/>
      <c r="Y1181" s="73"/>
      <c r="Z1181" s="73"/>
      <c r="AA1181" s="73"/>
      <c r="AB1181" s="73"/>
    </row>
    <row r="1182">
      <c r="A1182" s="73"/>
      <c r="B1182" s="73">
        <v>114929.5278</v>
      </c>
      <c r="C1182" s="73">
        <v>1.79470388014865E7</v>
      </c>
      <c r="D1182" s="73">
        <v>2568565.59300076</v>
      </c>
      <c r="E1182" s="73">
        <v>846025.369370224</v>
      </c>
      <c r="F1182" s="73"/>
      <c r="G1182" s="73"/>
      <c r="H1182" s="73"/>
      <c r="I1182" s="73"/>
      <c r="J1182" s="73"/>
      <c r="K1182" s="73"/>
      <c r="L1182" s="73"/>
      <c r="M1182" s="73"/>
      <c r="N1182" s="73"/>
      <c r="O1182" s="73"/>
      <c r="P1182" s="73"/>
      <c r="Q1182" s="73"/>
      <c r="R1182" s="73"/>
      <c r="S1182" s="73"/>
      <c r="T1182" s="73"/>
      <c r="U1182" s="73"/>
      <c r="V1182" s="73"/>
      <c r="W1182" s="73"/>
      <c r="X1182" s="73"/>
      <c r="Y1182" s="73"/>
      <c r="Z1182" s="73"/>
      <c r="AA1182" s="73"/>
      <c r="AB1182" s="73"/>
    </row>
    <row r="1183">
      <c r="A1183" s="73"/>
      <c r="B1183" s="73">
        <v>115165.4198</v>
      </c>
      <c r="C1183" s="73">
        <v>1.79884633403358E7</v>
      </c>
      <c r="D1183" s="73">
        <v>2578946.60299786</v>
      </c>
      <c r="E1183" s="73">
        <v>847966.569313435</v>
      </c>
      <c r="F1183" s="73"/>
      <c r="G1183" s="73"/>
      <c r="H1183" s="73"/>
      <c r="I1183" s="73"/>
      <c r="J1183" s="73"/>
      <c r="K1183" s="73"/>
      <c r="L1183" s="73"/>
      <c r="M1183" s="73"/>
      <c r="N1183" s="73"/>
      <c r="O1183" s="73"/>
      <c r="P1183" s="73"/>
      <c r="Q1183" s="73"/>
      <c r="R1183" s="73"/>
      <c r="S1183" s="73"/>
      <c r="T1183" s="73"/>
      <c r="U1183" s="73"/>
      <c r="V1183" s="73"/>
      <c r="W1183" s="73"/>
      <c r="X1183" s="73"/>
      <c r="Y1183" s="73"/>
      <c r="Z1183" s="73"/>
      <c r="AA1183" s="73"/>
      <c r="AB1183" s="73"/>
    </row>
    <row r="1184">
      <c r="A1184" s="73"/>
      <c r="B1184" s="73">
        <v>115401.7764</v>
      </c>
      <c r="C1184" s="73">
        <v>1.80299496791835E7</v>
      </c>
      <c r="D1184" s="73">
        <v>2589355.03599878</v>
      </c>
      <c r="E1184" s="73">
        <v>849910.422648503</v>
      </c>
      <c r="F1184" s="73"/>
      <c r="G1184" s="73"/>
      <c r="H1184" s="73"/>
      <c r="I1184" s="73"/>
      <c r="J1184" s="73"/>
      <c r="K1184" s="73"/>
      <c r="L1184" s="73"/>
      <c r="M1184" s="73"/>
      <c r="N1184" s="73"/>
      <c r="O1184" s="73"/>
      <c r="P1184" s="73"/>
      <c r="Q1184" s="73"/>
      <c r="R1184" s="73"/>
      <c r="S1184" s="73"/>
      <c r="T1184" s="73"/>
      <c r="U1184" s="73"/>
      <c r="V1184" s="73"/>
      <c r="W1184" s="73"/>
      <c r="X1184" s="73"/>
      <c r="Y1184" s="73"/>
      <c r="Z1184" s="73"/>
      <c r="AA1184" s="73"/>
      <c r="AB1184" s="73"/>
    </row>
    <row r="1185">
      <c r="A1185" s="73"/>
      <c r="B1185" s="73">
        <v>115638.5983</v>
      </c>
      <c r="C1185" s="73">
        <v>1.80714957580295E7</v>
      </c>
      <c r="D1185" s="73">
        <v>2599791.0629997</v>
      </c>
      <c r="E1185" s="73">
        <v>851856.929375427</v>
      </c>
      <c r="F1185" s="73"/>
      <c r="G1185" s="73"/>
      <c r="H1185" s="73"/>
      <c r="I1185" s="73"/>
      <c r="J1185" s="73"/>
      <c r="K1185" s="73"/>
      <c r="L1185" s="73"/>
      <c r="M1185" s="73"/>
      <c r="N1185" s="73"/>
      <c r="O1185" s="73"/>
      <c r="P1185" s="73"/>
      <c r="Q1185" s="73"/>
      <c r="R1185" s="73"/>
      <c r="S1185" s="73"/>
      <c r="T1185" s="73"/>
      <c r="U1185" s="73"/>
      <c r="V1185" s="73"/>
      <c r="W1185" s="73"/>
      <c r="X1185" s="73"/>
      <c r="Y1185" s="73"/>
      <c r="Z1185" s="73"/>
      <c r="AA1185" s="73"/>
      <c r="AB1185" s="73"/>
    </row>
    <row r="1186">
      <c r="A1186" s="73"/>
      <c r="B1186" s="73">
        <v>115875.8858</v>
      </c>
      <c r="C1186" s="73">
        <v>1.81131036368737E7</v>
      </c>
      <c r="D1186" s="73">
        <v>2610254.83400061</v>
      </c>
      <c r="E1186" s="73">
        <v>853806.152246205</v>
      </c>
      <c r="F1186" s="73"/>
      <c r="G1186" s="73"/>
      <c r="H1186" s="73"/>
      <c r="I1186" s="73"/>
      <c r="J1186" s="73"/>
      <c r="K1186" s="73"/>
      <c r="L1186" s="73"/>
      <c r="M1186" s="73"/>
      <c r="N1186" s="73"/>
      <c r="O1186" s="73"/>
      <c r="P1186" s="73"/>
      <c r="Q1186" s="73"/>
      <c r="R1186" s="73"/>
      <c r="S1186" s="73"/>
      <c r="T1186" s="73"/>
      <c r="U1186" s="73"/>
      <c r="V1186" s="73"/>
      <c r="W1186" s="73"/>
      <c r="X1186" s="73"/>
      <c r="Y1186" s="73"/>
      <c r="Z1186" s="73"/>
      <c r="AA1186" s="73"/>
      <c r="AB1186" s="73"/>
    </row>
    <row r="1187">
      <c r="A1187" s="73"/>
      <c r="B1187" s="73">
        <v>116113.6381</v>
      </c>
      <c r="C1187" s="73">
        <v>1.81547712557163E7</v>
      </c>
      <c r="D1187" s="73">
        <v>2620746.19799771</v>
      </c>
      <c r="E1187" s="73">
        <v>855757.986108842</v>
      </c>
      <c r="F1187" s="73"/>
      <c r="G1187" s="73"/>
      <c r="H1187" s="73"/>
      <c r="I1187" s="73"/>
      <c r="J1187" s="73"/>
      <c r="K1187" s="73"/>
      <c r="L1187" s="73"/>
      <c r="M1187" s="73"/>
      <c r="N1187" s="73"/>
      <c r="O1187" s="73"/>
      <c r="P1187" s="73"/>
      <c r="Q1187" s="73"/>
      <c r="R1187" s="73"/>
      <c r="S1187" s="73"/>
      <c r="T1187" s="73"/>
      <c r="U1187" s="73"/>
      <c r="V1187" s="73"/>
      <c r="W1187" s="73"/>
      <c r="X1187" s="73"/>
      <c r="Y1187" s="73"/>
      <c r="Z1187" s="73"/>
      <c r="AA1187" s="73"/>
      <c r="AB1187" s="73"/>
    </row>
    <row r="1188">
      <c r="A1188" s="73"/>
      <c r="B1188" s="73">
        <v>116351.8567</v>
      </c>
      <c r="C1188" s="73">
        <v>1.81965006745572E7</v>
      </c>
      <c r="D1188" s="73">
        <v>2631265.28699863</v>
      </c>
      <c r="E1188" s="73">
        <v>857712.494563335</v>
      </c>
      <c r="F1188" s="73"/>
      <c r="G1188" s="73"/>
      <c r="H1188" s="73"/>
      <c r="I1188" s="73"/>
      <c r="J1188" s="73"/>
      <c r="K1188" s="73"/>
      <c r="L1188" s="73"/>
      <c r="M1188" s="73"/>
      <c r="N1188" s="73"/>
      <c r="O1188" s="73"/>
      <c r="P1188" s="73"/>
      <c r="Q1188" s="73"/>
      <c r="R1188" s="73"/>
      <c r="S1188" s="73"/>
      <c r="T1188" s="73"/>
      <c r="U1188" s="73"/>
      <c r="V1188" s="73"/>
      <c r="W1188" s="73"/>
      <c r="X1188" s="73"/>
      <c r="Y1188" s="73"/>
      <c r="Z1188" s="73"/>
      <c r="AA1188" s="73"/>
      <c r="AB1188" s="73"/>
    </row>
    <row r="1189">
      <c r="A1189" s="73"/>
      <c r="B1189" s="73">
        <v>116590.5408</v>
      </c>
      <c r="C1189" s="73">
        <v>1.82382877733965E7</v>
      </c>
      <c r="D1189" s="73">
        <v>2641812.13899954</v>
      </c>
      <c r="E1189" s="73">
        <v>859669.656409684</v>
      </c>
      <c r="F1189" s="73"/>
      <c r="G1189" s="73"/>
      <c r="H1189" s="73"/>
      <c r="I1189" s="73"/>
      <c r="J1189" s="73"/>
      <c r="K1189" s="73"/>
      <c r="L1189" s="73"/>
      <c r="M1189" s="73"/>
      <c r="N1189" s="73"/>
      <c r="O1189" s="73"/>
      <c r="P1189" s="73"/>
      <c r="Q1189" s="73"/>
      <c r="R1189" s="73"/>
      <c r="S1189" s="73"/>
      <c r="T1189" s="73"/>
      <c r="U1189" s="73"/>
      <c r="V1189" s="73"/>
      <c r="W1189" s="73"/>
      <c r="X1189" s="73"/>
      <c r="Y1189" s="73"/>
      <c r="Z1189" s="73"/>
      <c r="AA1189" s="73"/>
      <c r="AB1189" s="73"/>
    </row>
    <row r="1190">
      <c r="A1190" s="73"/>
      <c r="B1190" s="73">
        <v>116829.6908</v>
      </c>
      <c r="C1190" s="73">
        <v>1.82801407922339E7</v>
      </c>
      <c r="D1190" s="73">
        <v>2652386.75400046</v>
      </c>
      <c r="E1190" s="73">
        <v>861629.491999889</v>
      </c>
      <c r="F1190" s="73"/>
      <c r="G1190" s="73"/>
      <c r="H1190" s="73"/>
      <c r="I1190" s="73"/>
      <c r="J1190" s="73"/>
      <c r="K1190" s="73"/>
      <c r="L1190" s="73"/>
      <c r="M1190" s="73"/>
      <c r="N1190" s="73"/>
      <c r="O1190" s="73"/>
      <c r="P1190" s="73"/>
      <c r="Q1190" s="73"/>
      <c r="R1190" s="73"/>
      <c r="S1190" s="73"/>
      <c r="T1190" s="73"/>
      <c r="U1190" s="73"/>
      <c r="V1190" s="73"/>
      <c r="W1190" s="73"/>
      <c r="X1190" s="73"/>
      <c r="Y1190" s="73"/>
      <c r="Z1190" s="73"/>
      <c r="AA1190" s="73"/>
      <c r="AB1190" s="73"/>
    </row>
    <row r="1191">
      <c r="A1191" s="73"/>
      <c r="B1191" s="73">
        <v>117069.307</v>
      </c>
      <c r="C1191" s="73">
        <v>1.83220494310699E7</v>
      </c>
      <c r="D1191" s="73">
        <v>2662989.09399756</v>
      </c>
      <c r="E1191" s="73">
        <v>863592.00218195</v>
      </c>
      <c r="F1191" s="73"/>
      <c r="G1191" s="73"/>
      <c r="H1191" s="73"/>
      <c r="I1191" s="73"/>
      <c r="J1191" s="73"/>
      <c r="K1191" s="73"/>
      <c r="L1191" s="73"/>
      <c r="M1191" s="73"/>
      <c r="N1191" s="73"/>
      <c r="O1191" s="73"/>
      <c r="P1191" s="73"/>
      <c r="Q1191" s="73"/>
      <c r="R1191" s="73"/>
      <c r="S1191" s="73"/>
      <c r="T1191" s="73"/>
      <c r="U1191" s="73"/>
      <c r="V1191" s="73"/>
      <c r="W1191" s="73"/>
      <c r="X1191" s="73"/>
      <c r="Y1191" s="73"/>
      <c r="Z1191" s="73"/>
      <c r="AA1191" s="73"/>
      <c r="AB1191" s="73"/>
    </row>
    <row r="1192">
      <c r="A1192" s="73"/>
      <c r="B1192" s="73">
        <v>117309.3897</v>
      </c>
      <c r="C1192" s="73">
        <v>1.8364019869904E7</v>
      </c>
      <c r="D1192" s="73">
        <v>2673619.34799847</v>
      </c>
      <c r="E1192" s="73">
        <v>865557.144555868</v>
      </c>
      <c r="F1192" s="73"/>
      <c r="G1192" s="73"/>
      <c r="H1192" s="73"/>
      <c r="I1192" s="73"/>
      <c r="J1192" s="73"/>
      <c r="K1192" s="73"/>
      <c r="L1192" s="73"/>
      <c r="M1192" s="73"/>
      <c r="N1192" s="73"/>
      <c r="O1192" s="73"/>
      <c r="P1192" s="73"/>
      <c r="Q1192" s="73"/>
      <c r="R1192" s="73"/>
      <c r="S1192" s="73"/>
      <c r="T1192" s="73"/>
      <c r="U1192" s="73"/>
      <c r="V1192" s="73"/>
      <c r="W1192" s="73"/>
      <c r="X1192" s="73"/>
      <c r="Y1192" s="73"/>
      <c r="Z1192" s="73"/>
      <c r="AA1192" s="73"/>
      <c r="AB1192" s="73"/>
    </row>
    <row r="1193">
      <c r="A1193" s="73"/>
      <c r="B1193" s="73">
        <v>117549.9386</v>
      </c>
      <c r="C1193" s="73">
        <v>1.84060500487366E7</v>
      </c>
      <c r="D1193" s="73">
        <v>2684277.51399939</v>
      </c>
      <c r="E1193" s="73">
        <v>867525.00307364</v>
      </c>
      <c r="F1193" s="73"/>
      <c r="G1193" s="73"/>
      <c r="H1193" s="73"/>
      <c r="I1193" s="73"/>
      <c r="J1193" s="73"/>
      <c r="K1193" s="73"/>
      <c r="L1193" s="73"/>
      <c r="M1193" s="73"/>
      <c r="N1193" s="73"/>
      <c r="O1193" s="73"/>
      <c r="P1193" s="73"/>
      <c r="Q1193" s="73"/>
      <c r="R1193" s="73"/>
      <c r="S1193" s="73"/>
      <c r="T1193" s="73"/>
      <c r="U1193" s="73"/>
      <c r="V1193" s="73"/>
      <c r="W1193" s="73"/>
      <c r="X1193" s="73"/>
      <c r="Y1193" s="73"/>
      <c r="Z1193" s="73"/>
      <c r="AA1193" s="73"/>
      <c r="AB1193" s="73"/>
    </row>
    <row r="1194">
      <c r="A1194" s="73"/>
      <c r="B1194" s="73">
        <v>117790.9543</v>
      </c>
      <c r="C1194" s="73">
        <v>1.84481461475673E7</v>
      </c>
      <c r="D1194" s="73">
        <v>2694963.58500031</v>
      </c>
      <c r="E1194" s="73">
        <v>869495.49378327</v>
      </c>
      <c r="F1194" s="73"/>
      <c r="G1194" s="73"/>
      <c r="H1194" s="73"/>
      <c r="I1194" s="73"/>
      <c r="J1194" s="73"/>
      <c r="K1194" s="73"/>
      <c r="L1194" s="73"/>
      <c r="M1194" s="73"/>
      <c r="N1194" s="73"/>
      <c r="O1194" s="73"/>
      <c r="P1194" s="73"/>
      <c r="Q1194" s="73"/>
      <c r="R1194" s="73"/>
      <c r="S1194" s="73"/>
      <c r="T1194" s="73"/>
      <c r="U1194" s="73"/>
      <c r="V1194" s="73"/>
      <c r="W1194" s="73"/>
      <c r="X1194" s="73"/>
      <c r="Y1194" s="73"/>
      <c r="Z1194" s="73"/>
      <c r="AA1194" s="73"/>
      <c r="AB1194" s="73"/>
    </row>
    <row r="1195">
      <c r="A1195" s="73"/>
      <c r="B1195" s="73">
        <v>118032.4368</v>
      </c>
      <c r="C1195" s="73">
        <v>1.84902978663964E7</v>
      </c>
      <c r="D1195" s="73">
        <v>2705677.55999741</v>
      </c>
      <c r="E1195" s="73">
        <v>871468.679436754</v>
      </c>
      <c r="F1195" s="73"/>
      <c r="G1195" s="73"/>
      <c r="H1195" s="73"/>
      <c r="I1195" s="73"/>
      <c r="J1195" s="73"/>
      <c r="K1195" s="73"/>
      <c r="L1195" s="73"/>
      <c r="M1195" s="73"/>
      <c r="N1195" s="73"/>
      <c r="O1195" s="73"/>
      <c r="P1195" s="73"/>
      <c r="Q1195" s="73"/>
      <c r="R1195" s="73"/>
      <c r="S1195" s="73"/>
      <c r="T1195" s="73"/>
      <c r="U1195" s="73"/>
      <c r="V1195" s="73"/>
      <c r="W1195" s="73"/>
      <c r="X1195" s="73"/>
      <c r="Y1195" s="73"/>
      <c r="Z1195" s="73"/>
      <c r="AA1195" s="73"/>
      <c r="AB1195" s="73"/>
    </row>
    <row r="1196">
      <c r="A1196" s="73"/>
      <c r="B1196" s="73">
        <v>118274.3861</v>
      </c>
      <c r="C1196" s="73">
        <v>1.85325113852239E7</v>
      </c>
      <c r="D1196" s="73">
        <v>2716419.44799832</v>
      </c>
      <c r="E1196" s="73">
        <v>873444.539682094</v>
      </c>
      <c r="F1196" s="73"/>
      <c r="G1196" s="73"/>
      <c r="H1196" s="73"/>
      <c r="I1196" s="73"/>
      <c r="J1196" s="73"/>
      <c r="K1196" s="73"/>
      <c r="L1196" s="73"/>
      <c r="M1196" s="73"/>
      <c r="N1196" s="73"/>
      <c r="O1196" s="73"/>
      <c r="P1196" s="73"/>
      <c r="Q1196" s="73"/>
      <c r="R1196" s="73"/>
      <c r="S1196" s="73"/>
      <c r="T1196" s="73"/>
      <c r="U1196" s="73"/>
      <c r="V1196" s="73"/>
      <c r="W1196" s="73"/>
      <c r="X1196" s="73"/>
      <c r="Y1196" s="73"/>
      <c r="Z1196" s="73"/>
      <c r="AA1196" s="73"/>
      <c r="AB1196" s="73"/>
    </row>
    <row r="1197">
      <c r="A1197" s="73"/>
      <c r="B1197" s="73">
        <v>118516.8025</v>
      </c>
      <c r="C1197" s="73">
        <v>1.85747867040496E7</v>
      </c>
      <c r="D1197" s="73">
        <v>2727189.40899924</v>
      </c>
      <c r="E1197" s="73">
        <v>875423.07367129</v>
      </c>
      <c r="F1197" s="73"/>
      <c r="G1197" s="73"/>
      <c r="H1197" s="73"/>
      <c r="I1197" s="73"/>
      <c r="J1197" s="73"/>
      <c r="K1197" s="73"/>
      <c r="L1197" s="73"/>
      <c r="M1197" s="73"/>
      <c r="N1197" s="73"/>
      <c r="O1197" s="73"/>
      <c r="P1197" s="73"/>
      <c r="Q1197" s="73"/>
      <c r="R1197" s="73"/>
      <c r="S1197" s="73"/>
      <c r="T1197" s="73"/>
      <c r="U1197" s="73"/>
      <c r="V1197" s="73"/>
      <c r="W1197" s="73"/>
      <c r="X1197" s="73"/>
      <c r="Y1197" s="73"/>
      <c r="Z1197" s="73"/>
      <c r="AA1197" s="73"/>
      <c r="AB1197" s="73"/>
    </row>
    <row r="1198">
      <c r="A1198" s="73"/>
      <c r="B1198" s="73">
        <v>118759.6864</v>
      </c>
      <c r="C1198" s="73">
        <v>1.86171238228736E7</v>
      </c>
      <c r="D1198" s="73">
        <v>2737987.43500015</v>
      </c>
      <c r="E1198" s="73">
        <v>877404.261052342</v>
      </c>
      <c r="F1198" s="73"/>
      <c r="G1198" s="73"/>
      <c r="H1198" s="73"/>
      <c r="I1198" s="73"/>
      <c r="J1198" s="73"/>
      <c r="K1198" s="73"/>
      <c r="L1198" s="73"/>
      <c r="M1198" s="73"/>
      <c r="N1198" s="73"/>
      <c r="O1198" s="73"/>
      <c r="P1198" s="73"/>
      <c r="Q1198" s="73"/>
      <c r="R1198" s="73"/>
      <c r="S1198" s="73"/>
      <c r="T1198" s="73"/>
      <c r="U1198" s="73"/>
      <c r="V1198" s="73"/>
      <c r="W1198" s="73"/>
      <c r="X1198" s="73"/>
      <c r="Y1198" s="73"/>
      <c r="Z1198" s="73"/>
      <c r="AA1198" s="73"/>
      <c r="AB1198" s="73"/>
    </row>
    <row r="1199">
      <c r="A1199" s="73"/>
      <c r="B1199" s="73">
        <v>119003.0374</v>
      </c>
      <c r="C1199" s="73">
        <v>1.8659518621696E7</v>
      </c>
      <c r="D1199" s="73">
        <v>2748813.53399725</v>
      </c>
      <c r="E1199" s="73">
        <v>879388.143377249</v>
      </c>
      <c r="F1199" s="73"/>
      <c r="G1199" s="73"/>
      <c r="H1199" s="73"/>
      <c r="I1199" s="73"/>
      <c r="J1199" s="73"/>
      <c r="K1199" s="73"/>
      <c r="L1199" s="73"/>
      <c r="M1199" s="73"/>
      <c r="N1199" s="73"/>
      <c r="O1199" s="73"/>
      <c r="P1199" s="73"/>
      <c r="Q1199" s="73"/>
      <c r="R1199" s="73"/>
      <c r="S1199" s="73"/>
      <c r="T1199" s="73"/>
      <c r="U1199" s="73"/>
      <c r="V1199" s="73"/>
      <c r="W1199" s="73"/>
      <c r="X1199" s="73"/>
      <c r="Y1199" s="73"/>
      <c r="Z1199" s="73"/>
      <c r="AA1199" s="73"/>
      <c r="AB1199" s="73"/>
    </row>
    <row r="1200">
      <c r="A1200" s="73"/>
      <c r="B1200" s="73">
        <v>119246.8561</v>
      </c>
      <c r="C1200" s="73">
        <v>1.87019793405166E7</v>
      </c>
      <c r="D1200" s="73">
        <v>2759667.70599817</v>
      </c>
      <c r="E1200" s="73">
        <v>881374.679094013</v>
      </c>
      <c r="F1200" s="73"/>
      <c r="G1200" s="73"/>
      <c r="H1200" s="73"/>
      <c r="I1200" s="73"/>
      <c r="J1200" s="73"/>
      <c r="K1200" s="73"/>
      <c r="L1200" s="73"/>
      <c r="M1200" s="73"/>
      <c r="N1200" s="73"/>
      <c r="O1200" s="73"/>
      <c r="P1200" s="73"/>
      <c r="Q1200" s="73"/>
      <c r="R1200" s="73"/>
      <c r="S1200" s="73"/>
      <c r="T1200" s="73"/>
      <c r="U1200" s="73"/>
      <c r="V1200" s="73"/>
      <c r="W1200" s="73"/>
      <c r="X1200" s="73"/>
      <c r="Y1200" s="73"/>
      <c r="Z1200" s="73"/>
      <c r="AA1200" s="73"/>
      <c r="AB1200" s="73"/>
    </row>
    <row r="1201">
      <c r="A1201" s="73"/>
      <c r="B1201" s="73">
        <v>119491.1433</v>
      </c>
      <c r="C1201" s="73">
        <v>1.87444977393355E7</v>
      </c>
      <c r="D1201" s="73">
        <v>2770550.09299908</v>
      </c>
      <c r="E1201" s="73">
        <v>883363.93095463</v>
      </c>
      <c r="F1201" s="73"/>
      <c r="G1201" s="73"/>
      <c r="H1201" s="73"/>
      <c r="I1201" s="73"/>
      <c r="J1201" s="73"/>
      <c r="K1201" s="73"/>
      <c r="L1201" s="73"/>
      <c r="M1201" s="73"/>
      <c r="N1201" s="73"/>
      <c r="O1201" s="73"/>
      <c r="P1201" s="73"/>
      <c r="Q1201" s="73"/>
      <c r="R1201" s="73"/>
      <c r="S1201" s="73"/>
      <c r="T1201" s="73"/>
      <c r="U1201" s="73"/>
      <c r="V1201" s="73"/>
      <c r="W1201" s="73"/>
      <c r="X1201" s="73"/>
      <c r="Y1201" s="73"/>
      <c r="Z1201" s="73"/>
      <c r="AA1201" s="73"/>
      <c r="AB1201" s="73"/>
    </row>
    <row r="1202">
      <c r="A1202" s="73"/>
      <c r="B1202" s="73">
        <v>119735.8975</v>
      </c>
      <c r="C1202" s="73">
        <v>1.87870779381528E7</v>
      </c>
      <c r="D1202" s="73">
        <v>2781460.553</v>
      </c>
      <c r="E1202" s="73">
        <v>885355.815007105</v>
      </c>
      <c r="F1202" s="73"/>
      <c r="G1202" s="73"/>
      <c r="H1202" s="73"/>
      <c r="I1202" s="73"/>
      <c r="J1202" s="73"/>
      <c r="K1202" s="73"/>
      <c r="L1202" s="73"/>
      <c r="M1202" s="73"/>
      <c r="N1202" s="73"/>
      <c r="O1202" s="73"/>
      <c r="P1202" s="73"/>
      <c r="Q1202" s="73"/>
      <c r="R1202" s="73"/>
      <c r="S1202" s="73"/>
      <c r="T1202" s="73"/>
      <c r="U1202" s="73"/>
      <c r="V1202" s="73"/>
      <c r="W1202" s="73"/>
      <c r="X1202" s="73"/>
      <c r="Y1202" s="73"/>
      <c r="Z1202" s="73"/>
      <c r="AA1202" s="73"/>
      <c r="AB1202" s="73"/>
    </row>
    <row r="1203">
      <c r="A1203" s="73"/>
      <c r="B1203" s="73">
        <v>119981.1201</v>
      </c>
      <c r="C1203" s="73">
        <v>1.88297178769684E7</v>
      </c>
      <c r="D1203" s="73">
        <v>2792399.4069971</v>
      </c>
      <c r="E1203" s="73">
        <v>887350.394003434</v>
      </c>
      <c r="F1203" s="73"/>
      <c r="G1203" s="73"/>
      <c r="H1203" s="73"/>
      <c r="I1203" s="73"/>
      <c r="J1203" s="73"/>
      <c r="K1203" s="73"/>
      <c r="L1203" s="73"/>
      <c r="M1203" s="73"/>
      <c r="N1203" s="73"/>
      <c r="O1203" s="73"/>
      <c r="P1203" s="73"/>
      <c r="Q1203" s="73"/>
      <c r="R1203" s="73"/>
      <c r="S1203" s="73"/>
      <c r="T1203" s="73"/>
      <c r="U1203" s="73"/>
      <c r="V1203" s="73"/>
      <c r="W1203" s="73"/>
      <c r="X1203" s="73"/>
      <c r="Y1203" s="73"/>
      <c r="Z1203" s="73"/>
      <c r="AA1203" s="73"/>
      <c r="AB1203" s="73"/>
    </row>
    <row r="1204">
      <c r="A1204" s="73"/>
      <c r="B1204" s="73">
        <v>120226.8105</v>
      </c>
      <c r="C1204" s="73">
        <v>1.88724196157823E7</v>
      </c>
      <c r="D1204" s="73">
        <v>2803366.33399802</v>
      </c>
      <c r="E1204" s="73">
        <v>889347.689143617</v>
      </c>
      <c r="F1204" s="73"/>
      <c r="G1204" s="73"/>
      <c r="H1204" s="73"/>
      <c r="I1204" s="73"/>
      <c r="J1204" s="73"/>
      <c r="K1204" s="73"/>
      <c r="L1204" s="73"/>
      <c r="M1204" s="73"/>
      <c r="N1204" s="73"/>
      <c r="O1204" s="73"/>
      <c r="P1204" s="73"/>
      <c r="Q1204" s="73"/>
      <c r="R1204" s="73"/>
      <c r="S1204" s="73"/>
      <c r="T1204" s="73"/>
      <c r="U1204" s="73"/>
      <c r="V1204" s="73"/>
      <c r="W1204" s="73"/>
      <c r="X1204" s="73"/>
      <c r="Y1204" s="73"/>
      <c r="Z1204" s="73"/>
      <c r="AA1204" s="73"/>
      <c r="AB1204" s="73"/>
    </row>
    <row r="1205">
      <c r="A1205" s="73"/>
      <c r="B1205" s="73">
        <v>120472.9699</v>
      </c>
      <c r="C1205" s="73">
        <v>1.89151831545944E7</v>
      </c>
      <c r="D1205" s="73">
        <v>2814361.64499893</v>
      </c>
      <c r="E1205" s="73">
        <v>891347.616475658</v>
      </c>
      <c r="F1205" s="73"/>
      <c r="G1205" s="73"/>
      <c r="H1205" s="73"/>
      <c r="I1205" s="73"/>
      <c r="J1205" s="73"/>
      <c r="K1205" s="73"/>
      <c r="L1205" s="73"/>
      <c r="M1205" s="73"/>
      <c r="N1205" s="73"/>
      <c r="O1205" s="73"/>
      <c r="P1205" s="73"/>
      <c r="Q1205" s="73"/>
      <c r="R1205" s="73"/>
      <c r="S1205" s="73"/>
      <c r="T1205" s="73"/>
      <c r="U1205" s="73"/>
      <c r="V1205" s="73"/>
      <c r="W1205" s="73"/>
      <c r="X1205" s="73"/>
      <c r="Y1205" s="73"/>
      <c r="Z1205" s="73"/>
      <c r="AA1205" s="73"/>
      <c r="AB1205" s="73"/>
    </row>
    <row r="1206">
      <c r="A1206" s="73"/>
      <c r="B1206" s="73">
        <v>120719.5976</v>
      </c>
      <c r="C1206" s="73">
        <v>1.89580084934049E7</v>
      </c>
      <c r="D1206" s="73">
        <v>2825385.17999985</v>
      </c>
      <c r="E1206" s="73">
        <v>893350.238751553</v>
      </c>
      <c r="F1206" s="73"/>
      <c r="G1206" s="73"/>
      <c r="H1206" s="73"/>
      <c r="I1206" s="73"/>
      <c r="J1206" s="73"/>
      <c r="K1206" s="73"/>
      <c r="L1206" s="73"/>
      <c r="M1206" s="73"/>
      <c r="N1206" s="73"/>
      <c r="O1206" s="73"/>
      <c r="P1206" s="73"/>
      <c r="Q1206" s="73"/>
      <c r="R1206" s="73"/>
      <c r="S1206" s="73"/>
      <c r="T1206" s="73"/>
      <c r="U1206" s="73"/>
      <c r="V1206" s="73"/>
      <c r="W1206" s="73"/>
      <c r="X1206" s="73"/>
      <c r="Y1206" s="73"/>
      <c r="Z1206" s="73"/>
      <c r="AA1206" s="73"/>
      <c r="AB1206" s="73"/>
    </row>
    <row r="1207">
      <c r="A1207" s="73"/>
      <c r="B1207" s="73">
        <v>120966.6938</v>
      </c>
      <c r="C1207" s="73">
        <v>1.90008935722137E7</v>
      </c>
      <c r="D1207" s="73">
        <v>2836437.11800076</v>
      </c>
      <c r="E1207" s="73">
        <v>895355.555971303</v>
      </c>
      <c r="F1207" s="73"/>
      <c r="G1207" s="73"/>
      <c r="H1207" s="73"/>
      <c r="I1207" s="73"/>
      <c r="J1207" s="73"/>
      <c r="K1207" s="73"/>
      <c r="L1207" s="73"/>
      <c r="M1207" s="73"/>
      <c r="N1207" s="73"/>
      <c r="O1207" s="73"/>
      <c r="P1207" s="73"/>
      <c r="Q1207" s="73"/>
      <c r="R1207" s="73"/>
      <c r="S1207" s="73"/>
      <c r="T1207" s="73"/>
      <c r="U1207" s="73"/>
      <c r="V1207" s="73"/>
      <c r="W1207" s="73"/>
      <c r="X1207" s="73"/>
      <c r="Y1207" s="73"/>
      <c r="Z1207" s="73"/>
      <c r="AA1207" s="73"/>
      <c r="AB1207" s="73"/>
    </row>
    <row r="1208">
      <c r="A1208" s="73"/>
      <c r="B1208" s="73">
        <v>121214.2589</v>
      </c>
      <c r="C1208" s="73">
        <v>1.90438404510207E7</v>
      </c>
      <c r="D1208" s="73">
        <v>2847517.44899786</v>
      </c>
      <c r="E1208" s="73">
        <v>897363.589334906</v>
      </c>
      <c r="F1208" s="73"/>
      <c r="G1208" s="73"/>
      <c r="H1208" s="73"/>
      <c r="I1208" s="73"/>
      <c r="J1208" s="73"/>
      <c r="K1208" s="73"/>
      <c r="L1208" s="73"/>
      <c r="M1208" s="73"/>
      <c r="N1208" s="73"/>
      <c r="O1208" s="73"/>
      <c r="P1208" s="73"/>
      <c r="Q1208" s="73"/>
      <c r="R1208" s="73"/>
      <c r="S1208" s="73"/>
      <c r="T1208" s="73"/>
      <c r="U1208" s="73"/>
      <c r="V1208" s="73"/>
      <c r="W1208" s="73"/>
      <c r="X1208" s="73"/>
      <c r="Y1208" s="73"/>
      <c r="Z1208" s="73"/>
      <c r="AA1208" s="73"/>
      <c r="AB1208" s="73"/>
    </row>
    <row r="1209">
      <c r="A1209" s="73"/>
      <c r="B1209" s="73">
        <v>121462.293</v>
      </c>
      <c r="C1209" s="73">
        <v>1.9086851189826E7</v>
      </c>
      <c r="D1209" s="73">
        <v>2858626.16399878</v>
      </c>
      <c r="E1209" s="73">
        <v>899374.254890368</v>
      </c>
      <c r="F1209" s="73"/>
      <c r="G1209" s="73"/>
      <c r="H1209" s="73"/>
      <c r="I1209" s="73"/>
      <c r="J1209" s="73"/>
      <c r="K1209" s="73"/>
      <c r="L1209" s="73"/>
      <c r="M1209" s="73"/>
      <c r="N1209" s="73"/>
      <c r="O1209" s="73"/>
      <c r="P1209" s="73"/>
      <c r="Q1209" s="73"/>
      <c r="R1209" s="73"/>
      <c r="S1209" s="73"/>
      <c r="T1209" s="73"/>
      <c r="U1209" s="73"/>
      <c r="V1209" s="73"/>
      <c r="W1209" s="73"/>
      <c r="X1209" s="73"/>
      <c r="Y1209" s="73"/>
      <c r="Z1209" s="73"/>
      <c r="AA1209" s="73"/>
      <c r="AB1209" s="73"/>
    </row>
    <row r="1210">
      <c r="A1210" s="73"/>
      <c r="B1210" s="73">
        <v>121710.7968</v>
      </c>
      <c r="C1210" s="73">
        <v>1.91299196086297E7</v>
      </c>
      <c r="D1210" s="73">
        <v>2869763.43299969</v>
      </c>
      <c r="E1210" s="73">
        <v>901387.636589682</v>
      </c>
      <c r="F1210" s="73"/>
      <c r="G1210" s="73"/>
      <c r="H1210" s="73"/>
      <c r="I1210" s="73"/>
      <c r="J1210" s="73"/>
      <c r="K1210" s="73"/>
      <c r="L1210" s="73"/>
      <c r="M1210" s="73"/>
      <c r="N1210" s="73"/>
      <c r="O1210" s="73"/>
      <c r="P1210" s="73"/>
      <c r="Q1210" s="73"/>
      <c r="R1210" s="73"/>
      <c r="S1210" s="73"/>
      <c r="T1210" s="73"/>
      <c r="U1210" s="73"/>
      <c r="V1210" s="73"/>
      <c r="W1210" s="73"/>
      <c r="X1210" s="73"/>
      <c r="Y1210" s="73"/>
      <c r="Z1210" s="73"/>
      <c r="AA1210" s="73"/>
      <c r="AB1210" s="73"/>
    </row>
    <row r="1211">
      <c r="A1211" s="73"/>
      <c r="B1211" s="73">
        <v>121959.7695</v>
      </c>
      <c r="C1211" s="73">
        <v>1.91730518874316E7</v>
      </c>
      <c r="D1211" s="73">
        <v>2880929.07600061</v>
      </c>
      <c r="E1211" s="73">
        <v>903403.692032852</v>
      </c>
      <c r="F1211" s="73"/>
      <c r="G1211" s="73"/>
      <c r="H1211" s="73"/>
      <c r="I1211" s="73"/>
      <c r="J1211" s="73"/>
      <c r="K1211" s="73"/>
      <c r="L1211" s="73"/>
      <c r="M1211" s="73"/>
      <c r="N1211" s="73"/>
      <c r="O1211" s="73"/>
      <c r="P1211" s="73"/>
      <c r="Q1211" s="73"/>
      <c r="R1211" s="73"/>
      <c r="S1211" s="73"/>
      <c r="T1211" s="73"/>
      <c r="U1211" s="73"/>
      <c r="V1211" s="73"/>
      <c r="W1211" s="73"/>
      <c r="X1211" s="73"/>
      <c r="Y1211" s="73"/>
      <c r="Z1211" s="73"/>
      <c r="AA1211" s="73"/>
      <c r="AB1211" s="73"/>
    </row>
    <row r="1212">
      <c r="A1212" s="73"/>
      <c r="B1212" s="73">
        <v>122209.2113</v>
      </c>
      <c r="C1212" s="73">
        <v>1.92162459662318E7</v>
      </c>
      <c r="D1212" s="73">
        <v>2892123.29199771</v>
      </c>
      <c r="E1212" s="73">
        <v>905422.463619876</v>
      </c>
      <c r="F1212" s="73"/>
      <c r="G1212" s="73"/>
      <c r="H1212" s="73"/>
      <c r="I1212" s="73"/>
      <c r="J1212" s="73"/>
      <c r="K1212" s="73"/>
      <c r="L1212" s="73"/>
      <c r="M1212" s="73"/>
      <c r="N1212" s="73"/>
      <c r="O1212" s="73"/>
      <c r="P1212" s="73"/>
      <c r="Q1212" s="73"/>
      <c r="R1212" s="73"/>
      <c r="S1212" s="73"/>
      <c r="T1212" s="73"/>
      <c r="U1212" s="73"/>
      <c r="V1212" s="73"/>
      <c r="W1212" s="73"/>
      <c r="X1212" s="73"/>
      <c r="Y1212" s="73"/>
      <c r="Z1212" s="73"/>
      <c r="AA1212" s="73"/>
      <c r="AB1212" s="73"/>
    </row>
    <row r="1213">
      <c r="A1213" s="73"/>
      <c r="B1213" s="73">
        <v>122459.1233</v>
      </c>
      <c r="C1213" s="73">
        <v>1.92594997850304E7</v>
      </c>
      <c r="D1213" s="73">
        <v>2903345.89099863</v>
      </c>
      <c r="E1213" s="73">
        <v>907443.930150754</v>
      </c>
      <c r="F1213" s="73"/>
      <c r="G1213" s="73"/>
      <c r="H1213" s="73"/>
      <c r="I1213" s="73"/>
      <c r="J1213" s="73"/>
      <c r="K1213" s="73"/>
      <c r="L1213" s="73"/>
      <c r="M1213" s="73"/>
      <c r="N1213" s="73"/>
      <c r="O1213" s="73"/>
      <c r="P1213" s="73"/>
      <c r="Q1213" s="73"/>
      <c r="R1213" s="73"/>
      <c r="S1213" s="73"/>
      <c r="T1213" s="73"/>
      <c r="U1213" s="73"/>
      <c r="V1213" s="73"/>
      <c r="W1213" s="73"/>
      <c r="X1213" s="73"/>
      <c r="Y1213" s="73"/>
      <c r="Z1213" s="73"/>
      <c r="AA1213" s="73"/>
      <c r="AB1213" s="73"/>
    </row>
    <row r="1214">
      <c r="A1214" s="73"/>
      <c r="B1214" s="73">
        <v>122709.5043</v>
      </c>
      <c r="C1214" s="73">
        <v>1.93028154038272E7</v>
      </c>
      <c r="D1214" s="73">
        <v>2914597.20399954</v>
      </c>
      <c r="E1214" s="73">
        <v>909468.091625486</v>
      </c>
      <c r="F1214" s="73"/>
      <c r="G1214" s="73"/>
      <c r="H1214" s="73"/>
      <c r="I1214" s="73"/>
      <c r="J1214" s="73"/>
      <c r="K1214" s="73"/>
      <c r="L1214" s="73"/>
      <c r="M1214" s="73"/>
      <c r="N1214" s="73"/>
      <c r="O1214" s="73"/>
      <c r="P1214" s="73"/>
      <c r="Q1214" s="73"/>
      <c r="R1214" s="73"/>
      <c r="S1214" s="73"/>
      <c r="T1214" s="73"/>
      <c r="U1214" s="73"/>
      <c r="V1214" s="73"/>
      <c r="W1214" s="73"/>
      <c r="X1214" s="73"/>
      <c r="Y1214" s="73"/>
      <c r="Z1214" s="73"/>
      <c r="AA1214" s="73"/>
      <c r="AB1214" s="73"/>
    </row>
    <row r="1215">
      <c r="A1215" s="73"/>
      <c r="B1215" s="73">
        <v>122960.3555</v>
      </c>
      <c r="C1215" s="73">
        <v>1.93461928226223E7</v>
      </c>
      <c r="D1215" s="73">
        <v>2925877.22100046</v>
      </c>
      <c r="E1215" s="73">
        <v>911494.906492076</v>
      </c>
      <c r="F1215" s="73"/>
      <c r="G1215" s="73"/>
      <c r="H1215" s="73"/>
      <c r="I1215" s="73"/>
      <c r="J1215" s="73"/>
      <c r="K1215" s="73"/>
      <c r="L1215" s="73"/>
      <c r="M1215" s="73"/>
      <c r="N1215" s="73"/>
      <c r="O1215" s="73"/>
      <c r="P1215" s="73"/>
      <c r="Q1215" s="73"/>
      <c r="R1215" s="73"/>
      <c r="S1215" s="73"/>
      <c r="T1215" s="73"/>
      <c r="U1215" s="73"/>
      <c r="V1215" s="73"/>
      <c r="W1215" s="73"/>
      <c r="X1215" s="73"/>
      <c r="Y1215" s="73"/>
      <c r="Z1215" s="73"/>
      <c r="AA1215" s="73"/>
      <c r="AB1215" s="73"/>
    </row>
    <row r="1216">
      <c r="A1216" s="73"/>
      <c r="B1216" s="73">
        <v>123211.677</v>
      </c>
      <c r="C1216" s="73">
        <v>1.93896320414157E7</v>
      </c>
      <c r="D1216" s="73">
        <v>2937185.63099756</v>
      </c>
      <c r="E1216" s="73">
        <v>913524.457854517</v>
      </c>
      <c r="F1216" s="73"/>
      <c r="G1216" s="73"/>
      <c r="H1216" s="73"/>
      <c r="I1216" s="73"/>
      <c r="J1216" s="73"/>
      <c r="K1216" s="73"/>
      <c r="L1216" s="73"/>
      <c r="M1216" s="73"/>
      <c r="N1216" s="73"/>
      <c r="O1216" s="73"/>
      <c r="P1216" s="73"/>
      <c r="Q1216" s="73"/>
      <c r="R1216" s="73"/>
      <c r="S1216" s="73"/>
      <c r="T1216" s="73"/>
      <c r="U1216" s="73"/>
      <c r="V1216" s="73"/>
      <c r="W1216" s="73"/>
      <c r="X1216" s="73"/>
      <c r="Y1216" s="73"/>
      <c r="Z1216" s="73"/>
      <c r="AA1216" s="73"/>
      <c r="AB1216" s="73"/>
    </row>
    <row r="1217">
      <c r="A1217" s="73"/>
      <c r="B1217" s="73">
        <v>123463.4688</v>
      </c>
      <c r="C1217" s="73">
        <v>1.94331330602074E7</v>
      </c>
      <c r="D1217" s="73">
        <v>2948523.08399847</v>
      </c>
      <c r="E1217" s="73">
        <v>915556.662608816</v>
      </c>
      <c r="F1217" s="73"/>
      <c r="G1217" s="73"/>
      <c r="H1217" s="73"/>
      <c r="I1217" s="73"/>
      <c r="J1217" s="73"/>
      <c r="K1217" s="73"/>
      <c r="L1217" s="73"/>
      <c r="M1217" s="73"/>
      <c r="N1217" s="73"/>
      <c r="O1217" s="73"/>
      <c r="P1217" s="73"/>
      <c r="Q1217" s="73"/>
      <c r="R1217" s="73"/>
      <c r="S1217" s="73"/>
      <c r="T1217" s="73"/>
      <c r="U1217" s="73"/>
      <c r="V1217" s="73"/>
      <c r="W1217" s="73"/>
      <c r="X1217" s="73"/>
      <c r="Y1217" s="73"/>
      <c r="Z1217" s="73"/>
      <c r="AA1217" s="73"/>
      <c r="AB1217" s="73"/>
    </row>
    <row r="1218">
      <c r="A1218" s="73"/>
      <c r="B1218" s="73">
        <v>123715.7301</v>
      </c>
      <c r="C1218" s="73">
        <v>1.94766958789973E7</v>
      </c>
      <c r="D1218" s="73">
        <v>2959888.92199939</v>
      </c>
      <c r="E1218" s="73">
        <v>917591.603858966</v>
      </c>
      <c r="F1218" s="73"/>
      <c r="G1218" s="73"/>
      <c r="H1218" s="73"/>
      <c r="I1218" s="73"/>
      <c r="J1218" s="73"/>
      <c r="K1218" s="73"/>
      <c r="L1218" s="73"/>
      <c r="M1218" s="73"/>
      <c r="N1218" s="73"/>
      <c r="O1218" s="73"/>
      <c r="P1218" s="73"/>
      <c r="Q1218" s="73"/>
      <c r="R1218" s="73"/>
      <c r="S1218" s="73"/>
      <c r="T1218" s="73"/>
      <c r="U1218" s="73"/>
      <c r="V1218" s="73"/>
      <c r="W1218" s="73"/>
      <c r="X1218" s="73"/>
      <c r="Y1218" s="73"/>
      <c r="Z1218" s="73"/>
      <c r="AA1218" s="73"/>
      <c r="AB1218" s="73"/>
    </row>
    <row r="1219">
      <c r="A1219" s="73"/>
      <c r="B1219" s="73">
        <v>123968.463</v>
      </c>
      <c r="C1219" s="73">
        <v>1.95203204977856E7</v>
      </c>
      <c r="D1219" s="73">
        <v>2971283.79200031</v>
      </c>
      <c r="E1219" s="73">
        <v>919629.198500974</v>
      </c>
      <c r="F1219" s="73"/>
      <c r="G1219" s="73"/>
      <c r="H1219" s="73"/>
      <c r="I1219" s="73"/>
      <c r="J1219" s="73"/>
      <c r="K1219" s="73"/>
      <c r="L1219" s="73"/>
      <c r="M1219" s="73"/>
      <c r="N1219" s="73"/>
      <c r="O1219" s="73"/>
      <c r="P1219" s="73"/>
      <c r="Q1219" s="73"/>
      <c r="R1219" s="73"/>
      <c r="S1219" s="73"/>
      <c r="T1219" s="73"/>
      <c r="U1219" s="73"/>
      <c r="V1219" s="73"/>
      <c r="W1219" s="73"/>
      <c r="X1219" s="73"/>
      <c r="Y1219" s="73"/>
      <c r="Z1219" s="73"/>
      <c r="AA1219" s="73"/>
      <c r="AB1219" s="73"/>
    </row>
    <row r="1220">
      <c r="A1220" s="73"/>
      <c r="B1220" s="73">
        <v>124221.6655</v>
      </c>
      <c r="C1220" s="73">
        <v>1.95640069165721E7</v>
      </c>
      <c r="D1220" s="73">
        <v>2982707.37599741</v>
      </c>
      <c r="E1220" s="73">
        <v>921669.550838833</v>
      </c>
      <c r="F1220" s="73"/>
      <c r="G1220" s="73"/>
      <c r="H1220" s="73"/>
      <c r="I1220" s="73"/>
      <c r="J1220" s="73"/>
      <c r="K1220" s="73"/>
      <c r="L1220" s="73"/>
      <c r="M1220" s="73"/>
      <c r="N1220" s="73"/>
      <c r="O1220" s="73"/>
      <c r="P1220" s="73"/>
      <c r="Q1220" s="73"/>
      <c r="R1220" s="73"/>
      <c r="S1220" s="73"/>
      <c r="T1220" s="73"/>
      <c r="U1220" s="73"/>
      <c r="V1220" s="73"/>
      <c r="W1220" s="73"/>
      <c r="X1220" s="73"/>
      <c r="Y1220" s="73"/>
      <c r="Z1220" s="73"/>
      <c r="AA1220" s="73"/>
      <c r="AB1220" s="73"/>
    </row>
    <row r="1221">
      <c r="A1221" s="73"/>
      <c r="B1221" s="73">
        <v>124475.3395</v>
      </c>
      <c r="C1221" s="73">
        <v>1.9607753075357E7</v>
      </c>
      <c r="D1221" s="73">
        <v>2994159.66399832</v>
      </c>
      <c r="E1221" s="73">
        <v>923712.598120546</v>
      </c>
      <c r="F1221" s="73"/>
      <c r="G1221" s="73"/>
      <c r="H1221" s="73"/>
      <c r="I1221" s="73"/>
      <c r="J1221" s="73"/>
      <c r="K1221" s="73"/>
      <c r="L1221" s="73"/>
      <c r="M1221" s="73"/>
      <c r="N1221" s="73"/>
      <c r="O1221" s="73"/>
      <c r="P1221" s="73"/>
      <c r="Q1221" s="73"/>
      <c r="R1221" s="73"/>
      <c r="S1221" s="73"/>
      <c r="T1221" s="73"/>
      <c r="U1221" s="73"/>
      <c r="V1221" s="73"/>
      <c r="W1221" s="73"/>
      <c r="X1221" s="73"/>
      <c r="Y1221" s="73"/>
      <c r="Z1221" s="73"/>
      <c r="AA1221" s="73"/>
      <c r="AB1221" s="73"/>
    </row>
    <row r="1222">
      <c r="A1222" s="73"/>
      <c r="B1222" s="73">
        <v>124729.4838</v>
      </c>
      <c r="C1222" s="73">
        <v>1.96515610341401E7</v>
      </c>
      <c r="D1222" s="73">
        <v>3005640.68399924</v>
      </c>
      <c r="E1222" s="73">
        <v>925758.298794115</v>
      </c>
      <c r="F1222" s="73"/>
      <c r="G1222" s="73"/>
      <c r="H1222" s="73"/>
      <c r="I1222" s="73"/>
      <c r="J1222" s="73"/>
      <c r="K1222" s="73"/>
      <c r="L1222" s="73"/>
      <c r="M1222" s="73"/>
      <c r="N1222" s="73"/>
      <c r="O1222" s="73"/>
      <c r="P1222" s="73"/>
      <c r="Q1222" s="73"/>
      <c r="R1222" s="73"/>
      <c r="S1222" s="73"/>
      <c r="T1222" s="73"/>
      <c r="U1222" s="73"/>
      <c r="V1222" s="73"/>
      <c r="W1222" s="73"/>
      <c r="X1222" s="73"/>
      <c r="Y1222" s="73"/>
      <c r="Z1222" s="73"/>
      <c r="AA1222" s="73"/>
      <c r="AB1222" s="73"/>
    </row>
    <row r="1223">
      <c r="A1223" s="73"/>
      <c r="B1223" s="73">
        <v>124984.0995</v>
      </c>
      <c r="C1223" s="73">
        <v>1.96954349129214E7</v>
      </c>
      <c r="D1223" s="73">
        <v>3017150.71900015</v>
      </c>
      <c r="E1223" s="73">
        <v>927806.735963538</v>
      </c>
      <c r="F1223" s="73"/>
      <c r="G1223" s="73"/>
      <c r="H1223" s="73"/>
      <c r="I1223" s="73"/>
      <c r="J1223" s="73"/>
      <c r="K1223" s="73"/>
      <c r="L1223" s="73"/>
      <c r="M1223" s="73"/>
      <c r="N1223" s="73"/>
      <c r="O1223" s="73"/>
      <c r="P1223" s="73"/>
      <c r="Q1223" s="73"/>
      <c r="R1223" s="73"/>
      <c r="S1223" s="73"/>
      <c r="T1223" s="73"/>
      <c r="U1223" s="73"/>
      <c r="V1223" s="73"/>
      <c r="W1223" s="73"/>
      <c r="X1223" s="73"/>
      <c r="Y1223" s="73"/>
      <c r="Z1223" s="73"/>
      <c r="AA1223" s="73"/>
      <c r="AB1223" s="73"/>
    </row>
    <row r="1224">
      <c r="A1224" s="73"/>
      <c r="B1224" s="73">
        <v>125239.1868</v>
      </c>
      <c r="C1224" s="73">
        <v>1.97393664717011E7</v>
      </c>
      <c r="D1224" s="73">
        <v>3028689.79699725</v>
      </c>
      <c r="E1224" s="73">
        <v>929857.868076814</v>
      </c>
      <c r="F1224" s="73"/>
      <c r="G1224" s="73"/>
      <c r="H1224" s="73"/>
      <c r="I1224" s="73"/>
      <c r="J1224" s="73"/>
      <c r="K1224" s="73"/>
      <c r="L1224" s="73"/>
      <c r="M1224" s="73"/>
      <c r="N1224" s="73"/>
      <c r="O1224" s="73"/>
      <c r="P1224" s="73"/>
      <c r="Q1224" s="73"/>
      <c r="R1224" s="73"/>
      <c r="S1224" s="73"/>
      <c r="T1224" s="73"/>
      <c r="U1224" s="73"/>
      <c r="V1224" s="73"/>
      <c r="W1224" s="73"/>
      <c r="X1224" s="73"/>
      <c r="Y1224" s="73"/>
      <c r="Z1224" s="73"/>
      <c r="AA1224" s="73"/>
      <c r="AB1224" s="73"/>
    </row>
    <row r="1225">
      <c r="A1225" s="73"/>
      <c r="B1225" s="73">
        <v>125494.7449</v>
      </c>
      <c r="C1225" s="73">
        <v>1.97833618904791E7</v>
      </c>
      <c r="D1225" s="73">
        <v>3040257.90799817</v>
      </c>
      <c r="E1225" s="73">
        <v>931911.695133945</v>
      </c>
      <c r="F1225" s="73"/>
      <c r="G1225" s="73"/>
      <c r="H1225" s="73"/>
      <c r="I1225" s="73"/>
      <c r="J1225" s="73"/>
      <c r="K1225" s="73"/>
      <c r="L1225" s="73"/>
      <c r="M1225" s="73"/>
      <c r="N1225" s="73"/>
      <c r="O1225" s="73"/>
      <c r="P1225" s="73"/>
      <c r="Q1225" s="73"/>
      <c r="R1225" s="73"/>
      <c r="S1225" s="73"/>
      <c r="T1225" s="73"/>
      <c r="U1225" s="73"/>
      <c r="V1225" s="73"/>
      <c r="W1225" s="73"/>
      <c r="X1225" s="73"/>
      <c r="Y1225" s="73"/>
      <c r="Z1225" s="73"/>
      <c r="AA1225" s="73"/>
      <c r="AB1225" s="73"/>
    </row>
    <row r="1226">
      <c r="A1226" s="73"/>
      <c r="B1226" s="73">
        <v>125750.7745</v>
      </c>
      <c r="C1226" s="73">
        <v>1.98274191092553E7</v>
      </c>
      <c r="D1226" s="73">
        <v>3051854.72299908</v>
      </c>
      <c r="E1226" s="73">
        <v>933968.279886928</v>
      </c>
      <c r="F1226" s="73"/>
      <c r="G1226" s="73"/>
      <c r="H1226" s="73"/>
      <c r="I1226" s="73"/>
      <c r="J1226" s="73"/>
      <c r="K1226" s="73"/>
      <c r="L1226" s="73"/>
      <c r="M1226" s="73"/>
      <c r="N1226" s="73"/>
      <c r="O1226" s="73"/>
      <c r="P1226" s="73"/>
      <c r="Q1226" s="73"/>
      <c r="R1226" s="73"/>
      <c r="S1226" s="73"/>
      <c r="T1226" s="73"/>
      <c r="U1226" s="73"/>
      <c r="V1226" s="73"/>
      <c r="W1226" s="73"/>
      <c r="X1226" s="73"/>
      <c r="Y1226" s="73"/>
      <c r="Z1226" s="73"/>
      <c r="AA1226" s="73"/>
      <c r="AB1226" s="73"/>
    </row>
    <row r="1227">
      <c r="A1227" s="73"/>
      <c r="B1227" s="73">
        <v>126007.2763</v>
      </c>
      <c r="C1227" s="73">
        <v>1.98715381280298E7</v>
      </c>
      <c r="D1227" s="73">
        <v>3063480.572</v>
      </c>
      <c r="E1227" s="73">
        <v>936027.538383766</v>
      </c>
      <c r="F1227" s="73"/>
      <c r="G1227" s="73"/>
      <c r="H1227" s="73"/>
      <c r="I1227" s="73"/>
      <c r="J1227" s="73"/>
      <c r="K1227" s="73"/>
      <c r="L1227" s="73"/>
      <c r="M1227" s="73"/>
      <c r="N1227" s="73"/>
      <c r="O1227" s="73"/>
      <c r="P1227" s="73"/>
      <c r="Q1227" s="73"/>
      <c r="R1227" s="73"/>
      <c r="S1227" s="73"/>
      <c r="T1227" s="73"/>
      <c r="U1227" s="73"/>
      <c r="V1227" s="73"/>
      <c r="W1227" s="73"/>
      <c r="X1227" s="73"/>
      <c r="Y1227" s="73"/>
      <c r="Z1227" s="73"/>
      <c r="AA1227" s="73"/>
      <c r="AB1227" s="73"/>
    </row>
    <row r="1228">
      <c r="A1228" s="73"/>
      <c r="B1228" s="73">
        <v>126264.2495</v>
      </c>
      <c r="C1228" s="73">
        <v>1.99157189468026E7</v>
      </c>
      <c r="D1228" s="73">
        <v>3075135.7829971</v>
      </c>
      <c r="E1228" s="73">
        <v>938089.471472459</v>
      </c>
      <c r="F1228" s="73"/>
      <c r="G1228" s="73"/>
      <c r="H1228" s="73"/>
      <c r="I1228" s="73"/>
      <c r="J1228" s="73"/>
      <c r="K1228" s="73"/>
      <c r="L1228" s="73"/>
      <c r="M1228" s="73"/>
      <c r="N1228" s="73"/>
      <c r="O1228" s="73"/>
      <c r="P1228" s="73"/>
      <c r="Q1228" s="73"/>
      <c r="R1228" s="73"/>
      <c r="S1228" s="73"/>
      <c r="T1228" s="73"/>
      <c r="U1228" s="73"/>
      <c r="V1228" s="73"/>
      <c r="W1228" s="73"/>
      <c r="X1228" s="73"/>
      <c r="Y1228" s="73"/>
      <c r="Z1228" s="73"/>
      <c r="AA1228" s="73"/>
      <c r="AB1228" s="73"/>
    </row>
    <row r="1229">
      <c r="A1229" s="73"/>
      <c r="B1229" s="73">
        <v>126521.6943</v>
      </c>
      <c r="C1229" s="73">
        <v>1.99599636255736E7</v>
      </c>
      <c r="D1229" s="73">
        <v>3086819.69799802</v>
      </c>
      <c r="E1229" s="73">
        <v>940154.182609003</v>
      </c>
      <c r="F1229" s="73"/>
      <c r="G1229" s="73"/>
      <c r="H1229" s="73"/>
      <c r="I1229" s="73"/>
      <c r="J1229" s="73"/>
      <c r="K1229" s="73"/>
      <c r="L1229" s="73"/>
      <c r="M1229" s="73"/>
      <c r="N1229" s="73"/>
      <c r="O1229" s="73"/>
      <c r="P1229" s="73"/>
      <c r="Q1229" s="73"/>
      <c r="R1229" s="73"/>
      <c r="S1229" s="73"/>
      <c r="T1229" s="73"/>
      <c r="U1229" s="73"/>
      <c r="V1229" s="73"/>
      <c r="W1229" s="73"/>
      <c r="X1229" s="73"/>
      <c r="Y1229" s="73"/>
      <c r="Z1229" s="73"/>
      <c r="AA1229" s="73"/>
      <c r="AB1229" s="73"/>
    </row>
    <row r="1230">
      <c r="A1230" s="73"/>
      <c r="B1230" s="73">
        <v>126779.6118</v>
      </c>
      <c r="C1230" s="73">
        <v>2.00042659843431E7</v>
      </c>
      <c r="D1230" s="73">
        <v>3098532.97599893</v>
      </c>
      <c r="E1230" s="73">
        <v>942221.568337402</v>
      </c>
      <c r="F1230" s="73"/>
      <c r="G1230" s="73"/>
      <c r="H1230" s="73"/>
      <c r="I1230" s="73"/>
      <c r="J1230" s="73"/>
      <c r="K1230" s="73"/>
      <c r="L1230" s="73"/>
      <c r="M1230" s="73"/>
      <c r="N1230" s="73"/>
      <c r="O1230" s="73"/>
      <c r="P1230" s="73"/>
      <c r="Q1230" s="73"/>
      <c r="R1230" s="73"/>
      <c r="S1230" s="73"/>
      <c r="T1230" s="73"/>
      <c r="U1230" s="73"/>
      <c r="V1230" s="73"/>
      <c r="W1230" s="73"/>
      <c r="X1230" s="73"/>
      <c r="Y1230" s="73"/>
      <c r="Z1230" s="73"/>
      <c r="AA1230" s="73"/>
      <c r="AB1230" s="73"/>
    </row>
    <row r="1231">
      <c r="A1231" s="73"/>
      <c r="B1231" s="73">
        <v>127038.0008</v>
      </c>
      <c r="C1231" s="73">
        <v>2.00486363231106E7</v>
      </c>
      <c r="D1231" s="73">
        <v>3110275.28799985</v>
      </c>
      <c r="E1231" s="73">
        <v>944291.669361655</v>
      </c>
      <c r="F1231" s="73"/>
      <c r="G1231" s="73"/>
      <c r="H1231" s="73"/>
      <c r="I1231" s="73"/>
      <c r="J1231" s="73"/>
      <c r="K1231" s="73"/>
      <c r="L1231" s="73"/>
      <c r="M1231" s="73"/>
      <c r="N1231" s="73"/>
      <c r="O1231" s="73"/>
      <c r="P1231" s="73"/>
      <c r="Q1231" s="73"/>
      <c r="R1231" s="73"/>
      <c r="S1231" s="73"/>
      <c r="T1231" s="73"/>
      <c r="U1231" s="73"/>
      <c r="V1231" s="73"/>
      <c r="W1231" s="73"/>
      <c r="X1231" s="73"/>
      <c r="Y1231" s="73"/>
      <c r="Z1231" s="73"/>
      <c r="AA1231" s="73"/>
      <c r="AB1231" s="73"/>
    </row>
    <row r="1232">
      <c r="A1232" s="73"/>
      <c r="B1232" s="73">
        <v>127296.8625</v>
      </c>
      <c r="C1232" s="73">
        <v>2.00930643418765E7</v>
      </c>
      <c r="D1232" s="73">
        <v>3122046.94400076</v>
      </c>
      <c r="E1232" s="73">
        <v>946364.486529761</v>
      </c>
      <c r="F1232" s="73"/>
      <c r="G1232" s="73"/>
      <c r="H1232" s="73"/>
      <c r="I1232" s="73"/>
      <c r="J1232" s="73"/>
      <c r="K1232" s="73"/>
      <c r="L1232" s="73"/>
      <c r="M1232" s="73"/>
      <c r="N1232" s="73"/>
      <c r="O1232" s="73"/>
      <c r="P1232" s="73"/>
      <c r="Q1232" s="73"/>
      <c r="R1232" s="73"/>
      <c r="S1232" s="73"/>
      <c r="T1232" s="73"/>
      <c r="U1232" s="73"/>
      <c r="V1232" s="73"/>
      <c r="W1232" s="73"/>
      <c r="X1232" s="73"/>
      <c r="Y1232" s="73"/>
      <c r="Z1232" s="73"/>
      <c r="AA1232" s="73"/>
      <c r="AB1232" s="73"/>
    </row>
    <row r="1233">
      <c r="A1233" s="73"/>
      <c r="B1233" s="73">
        <v>127556.1964</v>
      </c>
      <c r="C1233" s="73">
        <v>2.01375562206407E7</v>
      </c>
      <c r="D1233" s="73">
        <v>3133847.65199786</v>
      </c>
      <c r="E1233" s="73">
        <v>948439.977441723</v>
      </c>
      <c r="F1233" s="73"/>
      <c r="G1233" s="73"/>
      <c r="H1233" s="73"/>
      <c r="I1233" s="73"/>
      <c r="J1233" s="73"/>
      <c r="K1233" s="73"/>
      <c r="L1233" s="73"/>
      <c r="M1233" s="73"/>
      <c r="N1233" s="73"/>
      <c r="O1233" s="73"/>
      <c r="P1233" s="73"/>
      <c r="Q1233" s="73"/>
      <c r="R1233" s="73"/>
      <c r="S1233" s="73"/>
      <c r="T1233" s="73"/>
      <c r="U1233" s="73"/>
      <c r="V1233" s="73"/>
      <c r="W1233" s="73"/>
      <c r="X1233" s="73"/>
      <c r="Y1233" s="73"/>
      <c r="Z1233" s="73"/>
      <c r="AA1233" s="73"/>
      <c r="AB1233" s="73"/>
    </row>
    <row r="1234">
      <c r="A1234" s="73"/>
      <c r="B1234" s="73">
        <v>127816.003</v>
      </c>
      <c r="C1234" s="73">
        <v>2.01821098994031E7</v>
      </c>
      <c r="D1234" s="73">
        <v>3145677.70399878</v>
      </c>
      <c r="E1234" s="73">
        <v>950518.226049536</v>
      </c>
      <c r="F1234" s="73"/>
      <c r="G1234" s="73"/>
      <c r="H1234" s="73"/>
      <c r="I1234" s="73"/>
      <c r="J1234" s="73"/>
      <c r="K1234" s="73"/>
      <c r="L1234" s="73"/>
      <c r="M1234" s="73"/>
      <c r="N1234" s="73"/>
      <c r="O1234" s="73"/>
      <c r="P1234" s="73"/>
      <c r="Q1234" s="73"/>
      <c r="R1234" s="73"/>
      <c r="S1234" s="73"/>
      <c r="T1234" s="73"/>
      <c r="U1234" s="73"/>
      <c r="V1234" s="73"/>
      <c r="W1234" s="73"/>
      <c r="X1234" s="73"/>
      <c r="Y1234" s="73"/>
      <c r="Z1234" s="73"/>
      <c r="AA1234" s="73"/>
      <c r="AB1234" s="73"/>
    </row>
    <row r="1235">
      <c r="A1235" s="73"/>
      <c r="B1235" s="73">
        <v>128076.2824</v>
      </c>
      <c r="C1235" s="73">
        <v>2.02267274381638E7</v>
      </c>
      <c r="D1235" s="73">
        <v>3157537.10899969</v>
      </c>
      <c r="E1235" s="73">
        <v>952599.190801202</v>
      </c>
      <c r="F1235" s="73"/>
      <c r="G1235" s="73"/>
      <c r="H1235" s="73"/>
      <c r="I1235" s="73"/>
      <c r="J1235" s="73"/>
      <c r="K1235" s="73"/>
      <c r="L1235" s="73"/>
      <c r="M1235" s="73"/>
      <c r="N1235" s="73"/>
      <c r="O1235" s="73"/>
      <c r="P1235" s="73"/>
      <c r="Q1235" s="73"/>
      <c r="R1235" s="73"/>
      <c r="S1235" s="73"/>
      <c r="T1235" s="73"/>
      <c r="U1235" s="73"/>
      <c r="V1235" s="73"/>
      <c r="W1235" s="73"/>
      <c r="X1235" s="73"/>
      <c r="Y1235" s="73"/>
      <c r="Z1235" s="73"/>
      <c r="AA1235" s="73"/>
      <c r="AB1235" s="73"/>
    </row>
    <row r="1236">
      <c r="A1236" s="73"/>
      <c r="B1236" s="73">
        <v>128337.0345</v>
      </c>
      <c r="C1236" s="73">
        <v>2.02714067769227E7</v>
      </c>
      <c r="D1236" s="73">
        <v>3169425.54800061</v>
      </c>
      <c r="E1236" s="73">
        <v>954682.870848722</v>
      </c>
      <c r="F1236" s="73"/>
      <c r="G1236" s="73"/>
      <c r="H1236" s="73"/>
      <c r="I1236" s="73"/>
      <c r="J1236" s="73"/>
      <c r="K1236" s="73"/>
      <c r="L1236" s="73"/>
      <c r="M1236" s="73"/>
      <c r="N1236" s="73"/>
      <c r="O1236" s="73"/>
      <c r="P1236" s="73"/>
      <c r="Q1236" s="73"/>
      <c r="R1236" s="73"/>
      <c r="S1236" s="73"/>
      <c r="T1236" s="73"/>
      <c r="U1236" s="73"/>
      <c r="V1236" s="73"/>
      <c r="W1236" s="73"/>
      <c r="X1236" s="73"/>
      <c r="Y1236" s="73"/>
      <c r="Z1236" s="73"/>
      <c r="AA1236" s="73"/>
      <c r="AB1236" s="73"/>
    </row>
    <row r="1237">
      <c r="A1237" s="73"/>
      <c r="B1237" s="73">
        <v>128598.26</v>
      </c>
      <c r="C1237" s="73">
        <v>2.03161479156799E7</v>
      </c>
      <c r="D1237" s="73">
        <v>3181343.66999771</v>
      </c>
      <c r="E1237" s="73">
        <v>956769.308592092</v>
      </c>
      <c r="F1237" s="73"/>
      <c r="G1237" s="73"/>
      <c r="H1237" s="73"/>
      <c r="I1237" s="73"/>
      <c r="J1237" s="73"/>
      <c r="K1237" s="73"/>
      <c r="L1237" s="73"/>
      <c r="M1237" s="73"/>
      <c r="N1237" s="73"/>
      <c r="O1237" s="73"/>
      <c r="P1237" s="73"/>
      <c r="Q1237" s="73"/>
      <c r="R1237" s="73"/>
      <c r="S1237" s="73"/>
      <c r="T1237" s="73"/>
      <c r="U1237" s="73"/>
      <c r="V1237" s="73"/>
      <c r="W1237" s="73"/>
      <c r="X1237" s="73"/>
      <c r="Y1237" s="73"/>
      <c r="Z1237" s="73"/>
      <c r="AA1237" s="73"/>
      <c r="AB1237" s="73"/>
    </row>
    <row r="1238">
      <c r="A1238" s="73"/>
      <c r="B1238" s="73">
        <v>128859.9583</v>
      </c>
      <c r="C1238" s="73">
        <v>2.03609508544354E7</v>
      </c>
      <c r="D1238" s="73">
        <v>3193291.14499863</v>
      </c>
      <c r="E1238" s="73">
        <v>958858.420927319</v>
      </c>
      <c r="F1238" s="73"/>
      <c r="G1238" s="73"/>
      <c r="H1238" s="73"/>
      <c r="I1238" s="73"/>
      <c r="J1238" s="73"/>
      <c r="K1238" s="73"/>
      <c r="L1238" s="73"/>
      <c r="M1238" s="73"/>
      <c r="N1238" s="73"/>
      <c r="O1238" s="73"/>
      <c r="P1238" s="73"/>
      <c r="Q1238" s="73"/>
      <c r="R1238" s="73"/>
      <c r="S1238" s="73"/>
      <c r="T1238" s="73"/>
      <c r="U1238" s="73"/>
      <c r="V1238" s="73"/>
      <c r="W1238" s="73"/>
      <c r="X1238" s="73"/>
      <c r="Y1238" s="73"/>
      <c r="Z1238" s="73"/>
      <c r="AA1238" s="73"/>
      <c r="AB1238" s="73"/>
    </row>
    <row r="1239">
      <c r="A1239" s="73"/>
      <c r="B1239" s="73">
        <v>129122.1305</v>
      </c>
      <c r="C1239" s="73">
        <v>2.04058176531892E7</v>
      </c>
      <c r="D1239" s="73">
        <v>3205267.65399954</v>
      </c>
      <c r="E1239" s="73">
        <v>960950.248558399</v>
      </c>
      <c r="F1239" s="73"/>
      <c r="G1239" s="73"/>
      <c r="H1239" s="73"/>
      <c r="I1239" s="73"/>
      <c r="J1239" s="73"/>
      <c r="K1239" s="73"/>
      <c r="L1239" s="73"/>
      <c r="M1239" s="73"/>
      <c r="N1239" s="73"/>
      <c r="O1239" s="73"/>
      <c r="P1239" s="73"/>
      <c r="Q1239" s="73"/>
      <c r="R1239" s="73"/>
      <c r="S1239" s="73"/>
      <c r="T1239" s="73"/>
      <c r="U1239" s="73"/>
      <c r="V1239" s="73"/>
      <c r="W1239" s="73"/>
      <c r="X1239" s="73"/>
      <c r="Y1239" s="73"/>
      <c r="Z1239" s="73"/>
      <c r="AA1239" s="73"/>
      <c r="AB1239" s="73"/>
    </row>
    <row r="1240">
      <c r="A1240" s="73"/>
      <c r="B1240" s="73">
        <v>129384.7755</v>
      </c>
      <c r="C1240" s="73">
        <v>2.04507462519412E7</v>
      </c>
      <c r="D1240" s="73">
        <v>3217274.15600046</v>
      </c>
      <c r="E1240" s="73">
        <v>963044.83388533</v>
      </c>
      <c r="F1240" s="73"/>
      <c r="G1240" s="73"/>
      <c r="H1240" s="73"/>
      <c r="I1240" s="73"/>
      <c r="J1240" s="73"/>
      <c r="K1240" s="73"/>
      <c r="L1240" s="73"/>
      <c r="M1240" s="73"/>
      <c r="N1240" s="73"/>
      <c r="O1240" s="73"/>
      <c r="P1240" s="73"/>
      <c r="Q1240" s="73"/>
      <c r="R1240" s="73"/>
      <c r="S1240" s="73"/>
      <c r="T1240" s="73"/>
      <c r="U1240" s="73"/>
      <c r="V1240" s="73"/>
      <c r="W1240" s="73"/>
      <c r="X1240" s="73"/>
      <c r="Y1240" s="73"/>
      <c r="Z1240" s="73"/>
      <c r="AA1240" s="73"/>
      <c r="AB1240" s="73"/>
    </row>
    <row r="1241">
      <c r="A1241" s="73"/>
      <c r="B1241" s="73">
        <v>129647.8945</v>
      </c>
      <c r="C1241" s="73">
        <v>2.04957345906916E7</v>
      </c>
      <c r="D1241" s="73">
        <v>3229309.69099756</v>
      </c>
      <c r="E1241" s="73">
        <v>965142.134508114</v>
      </c>
      <c r="F1241" s="73"/>
      <c r="G1241" s="73"/>
      <c r="H1241" s="73"/>
      <c r="I1241" s="73"/>
      <c r="J1241" s="73"/>
      <c r="K1241" s="73"/>
      <c r="L1241" s="73"/>
      <c r="M1241" s="73"/>
      <c r="N1241" s="73"/>
      <c r="O1241" s="73"/>
      <c r="P1241" s="73"/>
      <c r="Q1241" s="73"/>
      <c r="R1241" s="73"/>
      <c r="S1241" s="73"/>
      <c r="T1241" s="73"/>
      <c r="U1241" s="73"/>
      <c r="V1241" s="73"/>
      <c r="W1241" s="73"/>
      <c r="X1241" s="73"/>
      <c r="Y1241" s="73"/>
      <c r="Z1241" s="73"/>
      <c r="AA1241" s="73"/>
      <c r="AB1241" s="73"/>
    </row>
    <row r="1242">
      <c r="A1242" s="73"/>
      <c r="B1242" s="73">
        <v>129911.4869</v>
      </c>
      <c r="C1242" s="73">
        <v>2.05407888494401E7</v>
      </c>
      <c r="D1242" s="73">
        <v>3241375.21999847</v>
      </c>
      <c r="E1242" s="73">
        <v>967242.109722754</v>
      </c>
      <c r="F1242" s="73"/>
      <c r="G1242" s="73"/>
      <c r="H1242" s="73"/>
      <c r="I1242" s="73"/>
      <c r="J1242" s="73"/>
      <c r="K1242" s="73"/>
      <c r="L1242" s="73"/>
      <c r="M1242" s="73"/>
      <c r="N1242" s="73"/>
      <c r="O1242" s="73"/>
      <c r="P1242" s="73"/>
      <c r="Q1242" s="73"/>
      <c r="R1242" s="73"/>
      <c r="S1242" s="73"/>
      <c r="T1242" s="73"/>
      <c r="U1242" s="73"/>
      <c r="V1242" s="73"/>
      <c r="W1242" s="73"/>
      <c r="X1242" s="73"/>
      <c r="Y1242" s="73"/>
      <c r="Z1242" s="73"/>
      <c r="AA1242" s="73"/>
      <c r="AB1242" s="73"/>
    </row>
    <row r="1243">
      <c r="A1243" s="73"/>
      <c r="B1243" s="73">
        <v>130175.5533</v>
      </c>
      <c r="C1243" s="73">
        <v>2.05859049081869E7</v>
      </c>
      <c r="D1243" s="73">
        <v>3253469.79199939</v>
      </c>
      <c r="E1243" s="73">
        <v>969344.842633245</v>
      </c>
      <c r="F1243" s="73"/>
      <c r="G1243" s="73"/>
      <c r="H1243" s="73"/>
      <c r="I1243" s="73"/>
      <c r="J1243" s="73"/>
      <c r="K1243" s="73"/>
      <c r="L1243" s="73"/>
      <c r="M1243" s="73"/>
      <c r="N1243" s="73"/>
      <c r="O1243" s="73"/>
      <c r="P1243" s="73"/>
      <c r="Q1243" s="73"/>
      <c r="R1243" s="73"/>
      <c r="S1243" s="73"/>
      <c r="T1243" s="73"/>
      <c r="U1243" s="73"/>
      <c r="V1243" s="73"/>
      <c r="W1243" s="73"/>
      <c r="X1243" s="73"/>
      <c r="Y1243" s="73"/>
      <c r="Z1243" s="73"/>
      <c r="AA1243" s="73"/>
      <c r="AB1243" s="73"/>
    </row>
    <row r="1244">
      <c r="A1244" s="73"/>
      <c r="B1244" s="73">
        <v>130440.093</v>
      </c>
      <c r="C1244" s="73">
        <v>2.0631082766932E7</v>
      </c>
      <c r="D1244" s="73">
        <v>3265594.37600031</v>
      </c>
      <c r="E1244" s="73">
        <v>971450.312039589</v>
      </c>
      <c r="F1244" s="73"/>
      <c r="G1244" s="73"/>
      <c r="H1244" s="73"/>
      <c r="I1244" s="73"/>
      <c r="J1244" s="73"/>
      <c r="K1244" s="73"/>
      <c r="L1244" s="73"/>
      <c r="M1244" s="73"/>
      <c r="N1244" s="73"/>
      <c r="O1244" s="73"/>
      <c r="P1244" s="73"/>
      <c r="Q1244" s="73"/>
      <c r="R1244" s="73"/>
      <c r="S1244" s="73"/>
      <c r="T1244" s="73"/>
      <c r="U1244" s="73"/>
      <c r="V1244" s="73"/>
      <c r="W1244" s="73"/>
      <c r="X1244" s="73"/>
      <c r="Y1244" s="73"/>
      <c r="Z1244" s="73"/>
      <c r="AA1244" s="73"/>
      <c r="AB1244" s="73"/>
    </row>
    <row r="1245">
      <c r="A1245" s="73"/>
      <c r="B1245" s="73">
        <v>130705.1074</v>
      </c>
      <c r="C1245" s="73">
        <v>2.06763244856753E7</v>
      </c>
      <c r="D1245" s="73">
        <v>3277748.29499741</v>
      </c>
      <c r="E1245" s="73">
        <v>973558.517941785</v>
      </c>
      <c r="F1245" s="73"/>
      <c r="G1245" s="73"/>
      <c r="H1245" s="73"/>
      <c r="I1245" s="73"/>
      <c r="J1245" s="73"/>
      <c r="K1245" s="73"/>
      <c r="L1245" s="73"/>
      <c r="M1245" s="73"/>
      <c r="N1245" s="73"/>
      <c r="O1245" s="73"/>
      <c r="P1245" s="73"/>
      <c r="Q1245" s="73"/>
      <c r="R1245" s="73"/>
      <c r="S1245" s="73"/>
      <c r="T1245" s="73"/>
      <c r="U1245" s="73"/>
      <c r="V1245" s="73"/>
      <c r="W1245" s="73"/>
      <c r="X1245" s="73"/>
      <c r="Y1245" s="73"/>
      <c r="Z1245" s="73"/>
      <c r="AA1245" s="73"/>
      <c r="AB1245" s="73"/>
    </row>
    <row r="1246">
      <c r="A1246" s="73"/>
      <c r="B1246" s="73">
        <v>130970.5958</v>
      </c>
      <c r="C1246" s="73">
        <v>2.07216280044169E7</v>
      </c>
      <c r="D1246" s="73">
        <v>3289932.21599832</v>
      </c>
      <c r="E1246" s="73">
        <v>975669.460339833</v>
      </c>
      <c r="F1246" s="73"/>
      <c r="G1246" s="73"/>
      <c r="H1246" s="73"/>
      <c r="I1246" s="73"/>
      <c r="J1246" s="73"/>
      <c r="K1246" s="73"/>
      <c r="L1246" s="73"/>
      <c r="M1246" s="73"/>
      <c r="N1246" s="73"/>
      <c r="O1246" s="73"/>
      <c r="P1246" s="73"/>
      <c r="Q1246" s="73"/>
      <c r="R1246" s="73"/>
      <c r="S1246" s="73"/>
      <c r="T1246" s="73"/>
      <c r="U1246" s="73"/>
      <c r="V1246" s="73"/>
      <c r="W1246" s="73"/>
      <c r="X1246" s="73"/>
      <c r="Y1246" s="73"/>
      <c r="Z1246" s="73"/>
      <c r="AA1246" s="73"/>
      <c r="AB1246" s="73"/>
    </row>
    <row r="1247">
      <c r="A1247" s="73"/>
      <c r="B1247" s="73">
        <v>131236.5588</v>
      </c>
      <c r="C1247" s="73">
        <v>2.07669953831568E7</v>
      </c>
      <c r="D1247" s="73">
        <v>3302145.48199924</v>
      </c>
      <c r="E1247" s="73">
        <v>977783.077329736</v>
      </c>
      <c r="F1247" s="73"/>
      <c r="G1247" s="73"/>
      <c r="H1247" s="73"/>
      <c r="I1247" s="73"/>
      <c r="J1247" s="73"/>
      <c r="K1247" s="73"/>
      <c r="L1247" s="73"/>
      <c r="M1247" s="73"/>
      <c r="N1247" s="73"/>
      <c r="O1247" s="73"/>
      <c r="P1247" s="73"/>
      <c r="Q1247" s="73"/>
      <c r="R1247" s="73"/>
      <c r="S1247" s="73"/>
      <c r="T1247" s="73"/>
      <c r="U1247" s="73"/>
      <c r="V1247" s="73"/>
      <c r="W1247" s="73"/>
      <c r="X1247" s="73"/>
      <c r="Y1247" s="73"/>
      <c r="Z1247" s="73"/>
      <c r="AA1247" s="73"/>
      <c r="AB1247" s="73"/>
    </row>
    <row r="1248">
      <c r="A1248" s="73"/>
      <c r="B1248" s="73">
        <v>131502.9958</v>
      </c>
      <c r="C1248" s="73">
        <v>2.08124245618949E7</v>
      </c>
      <c r="D1248" s="73">
        <v>3314388.44000015</v>
      </c>
      <c r="E1248" s="73">
        <v>979899.513919488</v>
      </c>
      <c r="F1248" s="73"/>
      <c r="G1248" s="73"/>
      <c r="H1248" s="73"/>
      <c r="I1248" s="73"/>
      <c r="J1248" s="73"/>
      <c r="K1248" s="73"/>
      <c r="L1248" s="73"/>
      <c r="M1248" s="73"/>
      <c r="N1248" s="73"/>
      <c r="O1248" s="73"/>
      <c r="P1248" s="73"/>
      <c r="Q1248" s="73"/>
      <c r="R1248" s="73"/>
      <c r="S1248" s="73"/>
      <c r="T1248" s="73"/>
      <c r="U1248" s="73"/>
      <c r="V1248" s="73"/>
      <c r="W1248" s="73"/>
      <c r="X1248" s="73"/>
      <c r="Y1248" s="73"/>
      <c r="Z1248" s="73"/>
      <c r="AA1248" s="73"/>
      <c r="AB1248" s="73"/>
    </row>
    <row r="1249">
      <c r="A1249" s="73"/>
      <c r="B1249" s="73">
        <v>131769.908</v>
      </c>
      <c r="C1249" s="73">
        <v>2.08579176006312E7</v>
      </c>
      <c r="D1249" s="73">
        <v>3326661.39099725</v>
      </c>
      <c r="E1249" s="73">
        <v>982018.603901096</v>
      </c>
      <c r="F1249" s="73"/>
      <c r="G1249" s="73"/>
      <c r="H1249" s="73"/>
      <c r="I1249" s="73"/>
      <c r="J1249" s="73"/>
      <c r="K1249" s="73"/>
      <c r="L1249" s="73"/>
      <c r="M1249" s="73"/>
      <c r="N1249" s="73"/>
      <c r="O1249" s="73"/>
      <c r="P1249" s="73"/>
      <c r="Q1249" s="73"/>
      <c r="R1249" s="73"/>
      <c r="S1249" s="73"/>
      <c r="T1249" s="73"/>
      <c r="U1249" s="73"/>
      <c r="V1249" s="73"/>
      <c r="W1249" s="73"/>
      <c r="X1249" s="73"/>
      <c r="Y1249" s="73"/>
      <c r="Z1249" s="73"/>
      <c r="AA1249" s="73"/>
      <c r="AB1249" s="73"/>
    </row>
    <row r="1250">
      <c r="A1250" s="73"/>
      <c r="B1250" s="73">
        <v>132037.2943</v>
      </c>
      <c r="C1250" s="73">
        <v>2.09034724393659E7</v>
      </c>
      <c r="D1250" s="73">
        <v>3338964.01599817</v>
      </c>
      <c r="E1250" s="73">
        <v>984140.451578555</v>
      </c>
      <c r="F1250" s="73"/>
      <c r="G1250" s="73"/>
      <c r="H1250" s="73"/>
      <c r="I1250" s="73"/>
      <c r="J1250" s="73"/>
      <c r="K1250" s="73"/>
      <c r="L1250" s="73"/>
      <c r="M1250" s="73"/>
      <c r="N1250" s="73"/>
      <c r="O1250" s="73"/>
      <c r="P1250" s="73"/>
      <c r="Q1250" s="73"/>
      <c r="R1250" s="73"/>
      <c r="S1250" s="73"/>
      <c r="T1250" s="73"/>
      <c r="U1250" s="73"/>
      <c r="V1250" s="73"/>
      <c r="W1250" s="73"/>
      <c r="X1250" s="73"/>
      <c r="Y1250" s="73"/>
      <c r="Z1250" s="73"/>
      <c r="AA1250" s="73"/>
      <c r="AB1250" s="73"/>
    </row>
    <row r="1251">
      <c r="A1251" s="73"/>
      <c r="B1251" s="73">
        <v>132305.1558</v>
      </c>
      <c r="C1251" s="73">
        <v>2.09490890780988E7</v>
      </c>
      <c r="D1251" s="73">
        <v>3351296.63399909</v>
      </c>
      <c r="E1251" s="73">
        <v>986265.035751867</v>
      </c>
      <c r="F1251" s="73"/>
      <c r="G1251" s="73"/>
      <c r="H1251" s="73"/>
      <c r="I1251" s="73"/>
      <c r="J1251" s="73"/>
      <c r="K1251" s="73"/>
      <c r="L1251" s="73"/>
      <c r="M1251" s="73"/>
      <c r="N1251" s="73"/>
      <c r="O1251" s="73"/>
      <c r="P1251" s="73"/>
      <c r="Q1251" s="73"/>
      <c r="R1251" s="73"/>
      <c r="S1251" s="73"/>
      <c r="T1251" s="73"/>
      <c r="U1251" s="73"/>
      <c r="V1251" s="73"/>
      <c r="W1251" s="73"/>
      <c r="X1251" s="73"/>
      <c r="Y1251" s="73"/>
      <c r="Z1251" s="73"/>
      <c r="AA1251" s="73"/>
      <c r="AB1251" s="73"/>
    </row>
    <row r="1252">
      <c r="A1252" s="73"/>
      <c r="B1252" s="73">
        <v>132573.4925</v>
      </c>
      <c r="C1252" s="73">
        <v>2.09947716368299E7</v>
      </c>
      <c r="D1252" s="73">
        <v>3363658.945</v>
      </c>
      <c r="E1252" s="73">
        <v>988392.356421031</v>
      </c>
      <c r="F1252" s="73"/>
      <c r="G1252" s="73"/>
      <c r="H1252" s="73"/>
      <c r="I1252" s="73"/>
      <c r="J1252" s="73"/>
      <c r="K1252" s="73"/>
      <c r="L1252" s="73"/>
      <c r="M1252" s="73"/>
      <c r="N1252" s="73"/>
      <c r="O1252" s="73"/>
      <c r="P1252" s="73"/>
      <c r="Q1252" s="73"/>
      <c r="R1252" s="73"/>
      <c r="S1252" s="73"/>
      <c r="T1252" s="73"/>
      <c r="U1252" s="73"/>
      <c r="V1252" s="73"/>
      <c r="W1252" s="73"/>
      <c r="X1252" s="73"/>
      <c r="Y1252" s="73"/>
      <c r="Z1252" s="73"/>
      <c r="AA1252" s="73"/>
      <c r="AB1252" s="73"/>
    </row>
    <row r="1253">
      <c r="A1253" s="73"/>
      <c r="B1253" s="73">
        <v>132842.3045</v>
      </c>
      <c r="C1253" s="73">
        <v>2.10405139355593E7</v>
      </c>
      <c r="D1253" s="73">
        <v>3376050.9189971</v>
      </c>
      <c r="E1253" s="73">
        <v>990522.434786046</v>
      </c>
      <c r="F1253" s="73"/>
      <c r="G1253" s="73"/>
      <c r="H1253" s="73"/>
      <c r="I1253" s="73"/>
      <c r="J1253" s="73"/>
      <c r="K1253" s="73"/>
      <c r="L1253" s="73"/>
      <c r="M1253" s="73"/>
      <c r="N1253" s="73"/>
      <c r="O1253" s="73"/>
      <c r="P1253" s="73"/>
      <c r="Q1253" s="73"/>
      <c r="R1253" s="73"/>
      <c r="S1253" s="73"/>
      <c r="T1253" s="73"/>
      <c r="U1253" s="73"/>
      <c r="V1253" s="73"/>
      <c r="W1253" s="73"/>
      <c r="X1253" s="73"/>
      <c r="Y1253" s="73"/>
      <c r="Z1253" s="73"/>
      <c r="AA1253" s="73"/>
      <c r="AB1253" s="73"/>
    </row>
    <row r="1254">
      <c r="A1254" s="73"/>
      <c r="B1254" s="73">
        <v>133111.5911</v>
      </c>
      <c r="C1254" s="73">
        <v>2.10863221542869E7</v>
      </c>
      <c r="D1254" s="73">
        <v>3388473.22599802</v>
      </c>
      <c r="E1254" s="73">
        <v>992655.270846912</v>
      </c>
      <c r="F1254" s="73"/>
      <c r="G1254" s="73"/>
      <c r="H1254" s="73"/>
      <c r="I1254" s="73"/>
      <c r="J1254" s="73"/>
      <c r="K1254" s="73"/>
      <c r="L1254" s="73"/>
      <c r="M1254" s="73"/>
      <c r="N1254" s="73"/>
      <c r="O1254" s="73"/>
      <c r="P1254" s="73"/>
      <c r="Q1254" s="73"/>
      <c r="R1254" s="73"/>
      <c r="S1254" s="73"/>
      <c r="T1254" s="73"/>
      <c r="U1254" s="73"/>
      <c r="V1254" s="73"/>
      <c r="W1254" s="73"/>
      <c r="X1254" s="73"/>
      <c r="Y1254" s="73"/>
      <c r="Z1254" s="73"/>
      <c r="AA1254" s="73"/>
      <c r="AB1254" s="73"/>
    </row>
    <row r="1255">
      <c r="A1255" s="73"/>
      <c r="B1255" s="73">
        <v>133381.353</v>
      </c>
      <c r="C1255" s="73">
        <v>2.11321921730127E7</v>
      </c>
      <c r="D1255" s="73">
        <v>3400925.19699893</v>
      </c>
      <c r="E1255" s="73">
        <v>994790.822203632</v>
      </c>
      <c r="F1255" s="73"/>
      <c r="G1255" s="73"/>
      <c r="H1255" s="73"/>
      <c r="I1255" s="73"/>
      <c r="J1255" s="73"/>
      <c r="K1255" s="73"/>
      <c r="L1255" s="73"/>
      <c r="M1255" s="73"/>
      <c r="N1255" s="73"/>
      <c r="O1255" s="73"/>
      <c r="P1255" s="73"/>
      <c r="Q1255" s="73"/>
      <c r="R1255" s="73"/>
      <c r="S1255" s="73"/>
      <c r="T1255" s="73"/>
      <c r="U1255" s="73"/>
      <c r="V1255" s="73"/>
      <c r="W1255" s="73"/>
      <c r="X1255" s="73"/>
      <c r="Y1255" s="73"/>
      <c r="Z1255" s="73"/>
      <c r="AA1255" s="73"/>
      <c r="AB1255" s="73"/>
    </row>
    <row r="1256">
      <c r="A1256" s="73"/>
      <c r="B1256" s="73">
        <v>133651.5908</v>
      </c>
      <c r="C1256" s="73">
        <v>2.11781239917369E7</v>
      </c>
      <c r="D1256" s="73">
        <v>3413407.49099985</v>
      </c>
      <c r="E1256" s="73">
        <v>996929.131256202</v>
      </c>
      <c r="F1256" s="73"/>
      <c r="G1256" s="73"/>
      <c r="H1256" s="73"/>
      <c r="I1256" s="73"/>
      <c r="J1256" s="73"/>
      <c r="K1256" s="73"/>
      <c r="L1256" s="73"/>
      <c r="M1256" s="73"/>
      <c r="N1256" s="73"/>
      <c r="O1256" s="73"/>
      <c r="P1256" s="73"/>
      <c r="Q1256" s="73"/>
      <c r="R1256" s="73"/>
      <c r="S1256" s="73"/>
      <c r="T1256" s="73"/>
      <c r="U1256" s="73"/>
      <c r="V1256" s="73"/>
      <c r="W1256" s="73"/>
      <c r="X1256" s="73"/>
      <c r="Y1256" s="73"/>
      <c r="Z1256" s="73"/>
      <c r="AA1256" s="73"/>
      <c r="AB1256" s="73"/>
    </row>
    <row r="1257">
      <c r="A1257" s="73"/>
      <c r="B1257" s="73">
        <v>133922.3044</v>
      </c>
      <c r="C1257" s="73">
        <v>2.12241217304592E7</v>
      </c>
      <c r="D1257" s="73">
        <v>3425919.45800076</v>
      </c>
      <c r="E1257" s="73">
        <v>999070.176804625</v>
      </c>
      <c r="F1257" s="73"/>
      <c r="G1257" s="73"/>
      <c r="H1257" s="73"/>
      <c r="I1257" s="73"/>
      <c r="J1257" s="73"/>
      <c r="K1257" s="73"/>
      <c r="L1257" s="73"/>
      <c r="M1257" s="73"/>
      <c r="N1257" s="73"/>
      <c r="O1257" s="73"/>
      <c r="P1257" s="73"/>
      <c r="Q1257" s="73"/>
      <c r="R1257" s="73"/>
      <c r="S1257" s="73"/>
      <c r="T1257" s="73"/>
      <c r="U1257" s="73"/>
      <c r="V1257" s="73"/>
      <c r="W1257" s="73"/>
      <c r="X1257" s="73"/>
      <c r="Y1257" s="73"/>
      <c r="Z1257" s="73"/>
      <c r="AA1257" s="73"/>
      <c r="AB1257" s="73"/>
    </row>
    <row r="1258">
      <c r="A1258" s="73"/>
      <c r="B1258" s="73">
        <v>134193.4933</v>
      </c>
      <c r="C1258" s="73">
        <v>2.12701812691798E7</v>
      </c>
      <c r="D1258" s="73">
        <v>3438461.75799786</v>
      </c>
      <c r="E1258" s="73">
        <v>1001213.8969449</v>
      </c>
      <c r="F1258" s="73"/>
      <c r="G1258" s="73"/>
      <c r="H1258" s="73"/>
      <c r="I1258" s="73"/>
      <c r="J1258" s="73"/>
      <c r="K1258" s="73"/>
      <c r="L1258" s="73"/>
      <c r="M1258" s="73"/>
      <c r="N1258" s="73"/>
      <c r="O1258" s="73"/>
      <c r="P1258" s="73"/>
      <c r="Q1258" s="73"/>
      <c r="R1258" s="73"/>
      <c r="S1258" s="73"/>
      <c r="T1258" s="73"/>
      <c r="U1258" s="73"/>
      <c r="V1258" s="73"/>
      <c r="W1258" s="73"/>
      <c r="X1258" s="73"/>
      <c r="Y1258" s="73"/>
      <c r="Z1258" s="73"/>
      <c r="AA1258" s="73"/>
      <c r="AB1258" s="73"/>
    </row>
    <row r="1259">
      <c r="A1259" s="73"/>
      <c r="B1259" s="73">
        <v>134465.1586</v>
      </c>
      <c r="C1259" s="73">
        <v>2.13163005478988E7</v>
      </c>
      <c r="D1259" s="73">
        <v>3451034.03199878</v>
      </c>
      <c r="E1259" s="73">
        <v>1003360.41548503</v>
      </c>
      <c r="F1259" s="73"/>
      <c r="G1259" s="73"/>
      <c r="H1259" s="73"/>
      <c r="I1259" s="73"/>
      <c r="J1259" s="73"/>
      <c r="K1259" s="73"/>
      <c r="L1259" s="73"/>
      <c r="M1259" s="73"/>
      <c r="N1259" s="73"/>
      <c r="O1259" s="73"/>
      <c r="P1259" s="73"/>
      <c r="Q1259" s="73"/>
      <c r="R1259" s="73"/>
      <c r="S1259" s="73"/>
      <c r="T1259" s="73"/>
      <c r="U1259" s="73"/>
      <c r="V1259" s="73"/>
      <c r="W1259" s="73"/>
      <c r="X1259" s="73"/>
      <c r="Y1259" s="73"/>
      <c r="Z1259" s="73"/>
      <c r="AA1259" s="73"/>
      <c r="AB1259" s="73"/>
    </row>
    <row r="1260">
      <c r="A1260" s="73"/>
      <c r="B1260" s="73">
        <v>134737.2999</v>
      </c>
      <c r="C1260" s="73">
        <v>2.13624857466159E7</v>
      </c>
      <c r="D1260" s="73">
        <v>3463636.32799969</v>
      </c>
      <c r="E1260" s="73">
        <v>1005509.71292101</v>
      </c>
      <c r="F1260" s="73"/>
      <c r="G1260" s="73"/>
      <c r="H1260" s="73"/>
      <c r="I1260" s="73"/>
      <c r="J1260" s="73"/>
      <c r="K1260" s="73"/>
      <c r="L1260" s="73"/>
      <c r="M1260" s="73"/>
      <c r="N1260" s="73"/>
      <c r="O1260" s="73"/>
      <c r="P1260" s="73"/>
      <c r="Q1260" s="73"/>
      <c r="R1260" s="73"/>
      <c r="S1260" s="73"/>
      <c r="T1260" s="73"/>
      <c r="U1260" s="73"/>
      <c r="V1260" s="73"/>
      <c r="W1260" s="73"/>
      <c r="X1260" s="73"/>
      <c r="Y1260" s="73"/>
      <c r="Z1260" s="73"/>
      <c r="AA1260" s="73"/>
      <c r="AB1260" s="73"/>
    </row>
    <row r="1261">
      <c r="A1261" s="73"/>
      <c r="B1261" s="73">
        <v>135009.917</v>
      </c>
      <c r="C1261" s="73">
        <v>2.14087348053312E7</v>
      </c>
      <c r="D1261" s="73">
        <v>3476268.92800061</v>
      </c>
      <c r="E1261" s="73">
        <v>1007661.74685284</v>
      </c>
      <c r="F1261" s="73"/>
      <c r="G1261" s="73"/>
      <c r="H1261" s="73"/>
      <c r="I1261" s="73"/>
      <c r="J1261" s="73"/>
      <c r="K1261" s="73"/>
      <c r="L1261" s="73"/>
      <c r="M1261" s="73"/>
      <c r="N1261" s="73"/>
      <c r="O1261" s="73"/>
      <c r="P1261" s="73"/>
      <c r="Q1261" s="73"/>
      <c r="R1261" s="73"/>
      <c r="S1261" s="73"/>
      <c r="T1261" s="73"/>
      <c r="U1261" s="73"/>
      <c r="V1261" s="73"/>
      <c r="W1261" s="73"/>
      <c r="X1261" s="73"/>
      <c r="Y1261" s="73"/>
      <c r="Z1261" s="73"/>
      <c r="AA1261" s="73"/>
      <c r="AB1261" s="73"/>
    </row>
    <row r="1262">
      <c r="A1262" s="73"/>
      <c r="B1262" s="73">
        <v>135283.01</v>
      </c>
      <c r="C1262" s="73">
        <v>2.14550456640449E7</v>
      </c>
      <c r="D1262" s="73">
        <v>3488931.53999771</v>
      </c>
      <c r="E1262" s="73">
        <v>1009816.43417653</v>
      </c>
      <c r="F1262" s="73"/>
      <c r="G1262" s="73"/>
      <c r="H1262" s="73"/>
      <c r="I1262" s="73"/>
      <c r="J1262" s="73"/>
      <c r="K1262" s="73"/>
      <c r="L1262" s="73"/>
      <c r="M1262" s="73"/>
      <c r="N1262" s="73"/>
      <c r="O1262" s="73"/>
      <c r="P1262" s="73"/>
      <c r="Q1262" s="73"/>
      <c r="R1262" s="73"/>
      <c r="S1262" s="73"/>
      <c r="T1262" s="73"/>
      <c r="U1262" s="73"/>
      <c r="V1262" s="73"/>
      <c r="W1262" s="73"/>
      <c r="X1262" s="73"/>
      <c r="Y1262" s="73"/>
      <c r="Z1262" s="73"/>
      <c r="AA1262" s="73"/>
      <c r="AB1262" s="73"/>
    </row>
    <row r="1263">
      <c r="A1263" s="73"/>
      <c r="B1263" s="73">
        <v>135556.5801</v>
      </c>
      <c r="C1263" s="73">
        <v>2.15014224427567E7</v>
      </c>
      <c r="D1263" s="73">
        <v>3501624.45599863</v>
      </c>
      <c r="E1263" s="73">
        <v>1011973.96230006</v>
      </c>
      <c r="F1263" s="73"/>
      <c r="G1263" s="73"/>
      <c r="H1263" s="73"/>
      <c r="I1263" s="73"/>
      <c r="J1263" s="73"/>
      <c r="K1263" s="73"/>
      <c r="L1263" s="73"/>
      <c r="M1263" s="73"/>
      <c r="N1263" s="73"/>
      <c r="O1263" s="73"/>
      <c r="P1263" s="73"/>
      <c r="Q1263" s="73"/>
      <c r="R1263" s="73"/>
      <c r="S1263" s="73"/>
      <c r="T1263" s="73"/>
      <c r="U1263" s="73"/>
      <c r="V1263" s="73"/>
      <c r="W1263" s="73"/>
      <c r="X1263" s="73"/>
      <c r="Y1263" s="73"/>
      <c r="Z1263" s="73"/>
      <c r="AA1263" s="73"/>
      <c r="AB1263" s="73"/>
    </row>
    <row r="1264">
      <c r="A1264" s="73"/>
      <c r="B1264" s="73">
        <v>135830.6261</v>
      </c>
      <c r="C1264" s="73">
        <v>2.15478610214667E7</v>
      </c>
      <c r="D1264" s="73">
        <v>3514347.70499954</v>
      </c>
      <c r="E1264" s="73">
        <v>1014134.22691944</v>
      </c>
      <c r="F1264" s="73"/>
      <c r="G1264" s="73"/>
      <c r="H1264" s="73"/>
      <c r="I1264" s="73"/>
      <c r="J1264" s="73"/>
      <c r="K1264" s="73"/>
      <c r="L1264" s="73"/>
      <c r="M1264" s="73"/>
      <c r="N1264" s="73"/>
      <c r="O1264" s="73"/>
      <c r="P1264" s="73"/>
      <c r="Q1264" s="73"/>
      <c r="R1264" s="73"/>
      <c r="S1264" s="73"/>
      <c r="T1264" s="73"/>
      <c r="U1264" s="73"/>
      <c r="V1264" s="73"/>
      <c r="W1264" s="73"/>
      <c r="X1264" s="73"/>
      <c r="Y1264" s="73"/>
      <c r="Z1264" s="73"/>
      <c r="AA1264" s="73"/>
      <c r="AB1264" s="73"/>
    </row>
    <row r="1265">
      <c r="A1265" s="73"/>
      <c r="B1265" s="73">
        <v>136105.1493</v>
      </c>
      <c r="C1265" s="73">
        <v>2.1594363460175E7</v>
      </c>
      <c r="D1265" s="73">
        <v>3527101.25800046</v>
      </c>
      <c r="E1265" s="73">
        <v>1016297.22803468</v>
      </c>
      <c r="F1265" s="73"/>
      <c r="G1265" s="73"/>
      <c r="H1265" s="73"/>
      <c r="I1265" s="73"/>
      <c r="J1265" s="73"/>
      <c r="K1265" s="73"/>
      <c r="L1265" s="73"/>
      <c r="M1265" s="73"/>
      <c r="N1265" s="73"/>
      <c r="O1265" s="73"/>
      <c r="P1265" s="73"/>
      <c r="Q1265" s="73"/>
      <c r="R1265" s="73"/>
      <c r="S1265" s="73"/>
      <c r="T1265" s="73"/>
      <c r="U1265" s="73"/>
      <c r="V1265" s="73"/>
      <c r="W1265" s="73"/>
      <c r="X1265" s="73"/>
      <c r="Y1265" s="73"/>
      <c r="Z1265" s="73"/>
      <c r="AA1265" s="73"/>
      <c r="AB1265" s="73"/>
    </row>
    <row r="1266">
      <c r="A1266" s="73"/>
      <c r="B1266" s="73">
        <v>136380.1489</v>
      </c>
      <c r="C1266" s="73">
        <v>2.16409276988816E7</v>
      </c>
      <c r="D1266" s="73">
        <v>3539885.15199756</v>
      </c>
      <c r="E1266" s="73">
        <v>1018463.00804577</v>
      </c>
      <c r="F1266" s="73"/>
      <c r="G1266" s="73"/>
      <c r="H1266" s="73"/>
      <c r="I1266" s="73"/>
      <c r="J1266" s="73"/>
      <c r="K1266" s="73"/>
      <c r="L1266" s="73"/>
      <c r="M1266" s="73"/>
      <c r="N1266" s="73"/>
      <c r="O1266" s="73"/>
      <c r="P1266" s="73"/>
      <c r="Q1266" s="73"/>
      <c r="R1266" s="73"/>
      <c r="S1266" s="73"/>
      <c r="T1266" s="73"/>
      <c r="U1266" s="73"/>
      <c r="V1266" s="73"/>
      <c r="W1266" s="73"/>
      <c r="X1266" s="73"/>
      <c r="Y1266" s="73"/>
      <c r="Z1266" s="73"/>
      <c r="AA1266" s="73"/>
      <c r="AB1266" s="73"/>
    </row>
    <row r="1267">
      <c r="A1267" s="73"/>
      <c r="B1267" s="73">
        <v>136655.625</v>
      </c>
      <c r="C1267" s="73">
        <v>2.16875578575864E7</v>
      </c>
      <c r="D1267" s="73">
        <v>3552699.34099847</v>
      </c>
      <c r="E1267" s="73">
        <v>1020631.50335271</v>
      </c>
      <c r="F1267" s="73"/>
      <c r="G1267" s="73"/>
      <c r="H1267" s="73"/>
      <c r="I1267" s="73"/>
      <c r="J1267" s="73"/>
      <c r="K1267" s="73"/>
      <c r="L1267" s="73"/>
      <c r="M1267" s="73"/>
      <c r="N1267" s="73"/>
      <c r="O1267" s="73"/>
      <c r="P1267" s="73"/>
      <c r="Q1267" s="73"/>
      <c r="R1267" s="73"/>
      <c r="S1267" s="73"/>
      <c r="T1267" s="73"/>
      <c r="U1267" s="73"/>
      <c r="V1267" s="73"/>
      <c r="W1267" s="73"/>
      <c r="X1267" s="73"/>
      <c r="Y1267" s="73"/>
      <c r="Z1267" s="73"/>
      <c r="AA1267" s="73"/>
      <c r="AB1267" s="73"/>
    </row>
    <row r="1268">
      <c r="A1268" s="73"/>
      <c r="B1268" s="73">
        <v>136931.5789</v>
      </c>
      <c r="C1268" s="73">
        <v>2.17342498162894E7</v>
      </c>
      <c r="D1268" s="73">
        <v>3565543.87199939</v>
      </c>
      <c r="E1268" s="73">
        <v>1022802.8394595</v>
      </c>
      <c r="F1268" s="73"/>
      <c r="G1268" s="73"/>
      <c r="H1268" s="73"/>
      <c r="I1268" s="73"/>
      <c r="J1268" s="73"/>
      <c r="K1268" s="73"/>
      <c r="L1268" s="73"/>
      <c r="M1268" s="73"/>
      <c r="N1268" s="73"/>
      <c r="O1268" s="73"/>
      <c r="P1268" s="73"/>
      <c r="Q1268" s="73"/>
      <c r="R1268" s="73"/>
      <c r="S1268" s="73"/>
      <c r="T1268" s="73"/>
      <c r="U1268" s="73"/>
      <c r="V1268" s="73"/>
      <c r="W1268" s="73"/>
      <c r="X1268" s="73"/>
      <c r="Y1268" s="73"/>
      <c r="Z1268" s="73"/>
      <c r="AA1268" s="73"/>
      <c r="AB1268" s="73"/>
    </row>
    <row r="1269">
      <c r="A1269" s="73"/>
      <c r="B1269" s="73">
        <v>137208.0093</v>
      </c>
      <c r="C1269" s="73">
        <v>2.17810056349907E7</v>
      </c>
      <c r="D1269" s="73">
        <v>3578418.7070003</v>
      </c>
      <c r="E1269" s="73">
        <v>1024976.82895814</v>
      </c>
      <c r="F1269" s="73"/>
      <c r="G1269" s="73"/>
      <c r="H1269" s="73"/>
      <c r="I1269" s="73"/>
      <c r="J1269" s="73"/>
      <c r="K1269" s="73"/>
      <c r="L1269" s="73"/>
      <c r="M1269" s="73"/>
      <c r="N1269" s="73"/>
      <c r="O1269" s="73"/>
      <c r="P1269" s="73"/>
      <c r="Q1269" s="73"/>
      <c r="R1269" s="73"/>
      <c r="S1269" s="73"/>
      <c r="T1269" s="73"/>
      <c r="U1269" s="73"/>
      <c r="V1269" s="73"/>
      <c r="W1269" s="73"/>
      <c r="X1269" s="73"/>
      <c r="Y1269" s="73"/>
      <c r="Z1269" s="73"/>
      <c r="AA1269" s="73"/>
      <c r="AB1269" s="73"/>
    </row>
    <row r="1270">
      <c r="A1270" s="73"/>
      <c r="B1270" s="73">
        <v>137484.9174</v>
      </c>
      <c r="C1270" s="73">
        <v>2.18278232536902E7</v>
      </c>
      <c r="D1270" s="73">
        <v>3591324.19399741</v>
      </c>
      <c r="E1270" s="73">
        <v>1027153.65925663</v>
      </c>
      <c r="F1270" s="73"/>
      <c r="G1270" s="73"/>
      <c r="H1270" s="73"/>
      <c r="I1270" s="73"/>
      <c r="J1270" s="73"/>
      <c r="K1270" s="73"/>
      <c r="L1270" s="73"/>
      <c r="M1270" s="73"/>
      <c r="N1270" s="73"/>
      <c r="O1270" s="73"/>
      <c r="P1270" s="73"/>
      <c r="Q1270" s="73"/>
      <c r="R1270" s="73"/>
      <c r="S1270" s="73"/>
      <c r="T1270" s="73"/>
      <c r="U1270" s="73"/>
      <c r="V1270" s="73"/>
      <c r="W1270" s="73"/>
      <c r="X1270" s="73"/>
      <c r="Y1270" s="73"/>
      <c r="Z1270" s="73"/>
      <c r="AA1270" s="73"/>
      <c r="AB1270" s="73"/>
    </row>
    <row r="1271">
      <c r="A1271" s="73"/>
      <c r="B1271" s="73">
        <v>137762.3026</v>
      </c>
      <c r="C1271" s="73">
        <v>2.1874706792388E7</v>
      </c>
      <c r="D1271" s="73">
        <v>3604259.98499832</v>
      </c>
      <c r="E1271" s="73">
        <v>1029333.14294698</v>
      </c>
      <c r="F1271" s="73"/>
      <c r="G1271" s="73"/>
      <c r="H1271" s="73"/>
      <c r="I1271" s="73"/>
      <c r="J1271" s="73"/>
      <c r="K1271" s="73"/>
      <c r="L1271" s="73"/>
      <c r="M1271" s="73"/>
      <c r="N1271" s="73"/>
      <c r="O1271" s="73"/>
      <c r="P1271" s="73"/>
      <c r="Q1271" s="73"/>
      <c r="R1271" s="73"/>
      <c r="S1271" s="73"/>
      <c r="T1271" s="73"/>
      <c r="U1271" s="73"/>
      <c r="V1271" s="73"/>
      <c r="W1271" s="73"/>
      <c r="X1271" s="73"/>
      <c r="Y1271" s="73"/>
      <c r="Z1271" s="73"/>
      <c r="AA1271" s="73"/>
      <c r="AB1271" s="73"/>
    </row>
    <row r="1272">
      <c r="A1272" s="73"/>
      <c r="B1272" s="73">
        <v>138040.165</v>
      </c>
      <c r="C1272" s="73">
        <v>2.1921652131084E7</v>
      </c>
      <c r="D1272" s="73">
        <v>3617226.43799924</v>
      </c>
      <c r="E1272" s="73">
        <v>1031515.46743718</v>
      </c>
      <c r="F1272" s="73"/>
      <c r="G1272" s="73"/>
      <c r="H1272" s="73"/>
      <c r="I1272" s="73"/>
      <c r="J1272" s="73"/>
      <c r="K1272" s="73"/>
      <c r="L1272" s="73"/>
      <c r="M1272" s="73"/>
      <c r="N1272" s="73"/>
      <c r="O1272" s="73"/>
      <c r="P1272" s="73"/>
      <c r="Q1272" s="73"/>
      <c r="R1272" s="73"/>
      <c r="S1272" s="73"/>
      <c r="T1272" s="73"/>
      <c r="U1272" s="73"/>
      <c r="V1272" s="73"/>
      <c r="W1272" s="73"/>
      <c r="X1272" s="73"/>
      <c r="Y1272" s="73"/>
      <c r="Z1272" s="73"/>
      <c r="AA1272" s="73"/>
      <c r="AB1272" s="73"/>
    </row>
    <row r="1273">
      <c r="A1273" s="73"/>
      <c r="B1273" s="73">
        <v>138318.5058</v>
      </c>
      <c r="C1273" s="73">
        <v>2.19686633897781E7</v>
      </c>
      <c r="D1273" s="73">
        <v>3630223.51500015</v>
      </c>
      <c r="E1273" s="73">
        <v>1033700.52842322</v>
      </c>
      <c r="F1273" s="73"/>
      <c r="G1273" s="73"/>
      <c r="H1273" s="73"/>
      <c r="I1273" s="73"/>
      <c r="J1273" s="73"/>
      <c r="K1273" s="73"/>
      <c r="L1273" s="73"/>
      <c r="M1273" s="73"/>
      <c r="N1273" s="73"/>
      <c r="O1273" s="73"/>
      <c r="P1273" s="73"/>
      <c r="Q1273" s="73"/>
      <c r="R1273" s="73"/>
      <c r="S1273" s="73"/>
      <c r="T1273" s="73"/>
      <c r="U1273" s="73"/>
      <c r="V1273" s="73"/>
      <c r="W1273" s="73"/>
      <c r="X1273" s="73"/>
      <c r="Y1273" s="73"/>
      <c r="Z1273" s="73"/>
      <c r="AA1273" s="73"/>
      <c r="AB1273" s="73"/>
    </row>
    <row r="1274">
      <c r="A1274" s="73"/>
      <c r="B1274" s="73">
        <v>138597.3236</v>
      </c>
      <c r="C1274" s="73">
        <v>2.20157405684705E7</v>
      </c>
      <c r="D1274" s="73">
        <v>3643250.91499725</v>
      </c>
      <c r="E1274" s="73">
        <v>1035888.34710512</v>
      </c>
      <c r="F1274" s="73"/>
      <c r="G1274" s="73"/>
      <c r="H1274" s="73"/>
      <c r="I1274" s="73"/>
      <c r="J1274" s="73"/>
      <c r="K1274" s="73"/>
      <c r="L1274" s="73"/>
      <c r="M1274" s="73"/>
      <c r="N1274" s="73"/>
      <c r="O1274" s="73"/>
      <c r="P1274" s="73"/>
      <c r="Q1274" s="73"/>
      <c r="R1274" s="73"/>
      <c r="S1274" s="73"/>
      <c r="T1274" s="73"/>
      <c r="U1274" s="73"/>
      <c r="V1274" s="73"/>
      <c r="W1274" s="73"/>
      <c r="X1274" s="73"/>
      <c r="Y1274" s="73"/>
      <c r="Z1274" s="73"/>
      <c r="AA1274" s="73"/>
      <c r="AB1274" s="73"/>
    </row>
    <row r="1275">
      <c r="A1275" s="73"/>
      <c r="B1275" s="73">
        <v>138876.6193</v>
      </c>
      <c r="C1275" s="73">
        <v>2.20628774871612E7</v>
      </c>
      <c r="D1275" s="73">
        <v>3656309.27799817</v>
      </c>
      <c r="E1275" s="73">
        <v>1038078.90228287</v>
      </c>
      <c r="F1275" s="73"/>
      <c r="G1275" s="73"/>
      <c r="H1275" s="73"/>
      <c r="I1275" s="73"/>
      <c r="J1275" s="73"/>
      <c r="K1275" s="73"/>
      <c r="L1275" s="73"/>
      <c r="M1275" s="73"/>
      <c r="N1275" s="73"/>
      <c r="O1275" s="73"/>
      <c r="P1275" s="73"/>
      <c r="Q1275" s="73"/>
      <c r="R1275" s="73"/>
      <c r="S1275" s="73"/>
      <c r="T1275" s="73"/>
      <c r="U1275" s="73"/>
      <c r="V1275" s="73"/>
      <c r="W1275" s="73"/>
      <c r="X1275" s="73"/>
      <c r="Y1275" s="73"/>
      <c r="Z1275" s="73"/>
      <c r="AA1275" s="73"/>
      <c r="AB1275" s="73"/>
    </row>
    <row r="1276">
      <c r="A1276" s="73"/>
      <c r="B1276" s="73">
        <v>139156.3933</v>
      </c>
      <c r="C1276" s="73">
        <v>2.21100762058501E7</v>
      </c>
      <c r="D1276" s="73">
        <v>3669398.29299909</v>
      </c>
      <c r="E1276" s="73">
        <v>1040272.29826047</v>
      </c>
      <c r="F1276" s="73"/>
      <c r="G1276" s="73"/>
      <c r="H1276" s="73"/>
      <c r="I1276" s="73"/>
      <c r="J1276" s="73"/>
      <c r="K1276" s="73"/>
      <c r="L1276" s="73"/>
      <c r="M1276" s="73"/>
      <c r="N1276" s="73"/>
      <c r="O1276" s="73"/>
      <c r="P1276" s="73"/>
      <c r="Q1276" s="73"/>
      <c r="R1276" s="73"/>
      <c r="S1276" s="73"/>
      <c r="T1276" s="73"/>
      <c r="U1276" s="73"/>
      <c r="V1276" s="73"/>
      <c r="W1276" s="73"/>
      <c r="X1276" s="73"/>
      <c r="Y1276" s="73"/>
      <c r="Z1276" s="73"/>
      <c r="AA1276" s="73"/>
      <c r="AB1276" s="73"/>
    </row>
    <row r="1277">
      <c r="A1277" s="73"/>
      <c r="B1277" s="73">
        <v>139436.645</v>
      </c>
      <c r="C1277" s="73">
        <v>2.21573429045372E7</v>
      </c>
      <c r="D1277" s="73">
        <v>3682517.612</v>
      </c>
      <c r="E1277" s="73">
        <v>1042468.45193392</v>
      </c>
      <c r="F1277" s="73"/>
      <c r="G1277" s="73"/>
      <c r="H1277" s="73"/>
      <c r="I1277" s="73"/>
      <c r="J1277" s="73"/>
      <c r="K1277" s="73"/>
      <c r="L1277" s="73"/>
      <c r="M1277" s="73"/>
      <c r="N1277" s="73"/>
      <c r="O1277" s="73"/>
      <c r="P1277" s="73"/>
      <c r="Q1277" s="73"/>
      <c r="R1277" s="73"/>
      <c r="S1277" s="73"/>
      <c r="T1277" s="73"/>
      <c r="U1277" s="73"/>
      <c r="V1277" s="73"/>
      <c r="W1277" s="73"/>
      <c r="X1277" s="73"/>
      <c r="Y1277" s="73"/>
      <c r="Z1277" s="73"/>
      <c r="AA1277" s="73"/>
      <c r="AB1277" s="73"/>
    </row>
    <row r="1278">
      <c r="A1278" s="73"/>
      <c r="B1278" s="73">
        <v>139717.3745</v>
      </c>
      <c r="C1278" s="73">
        <v>2.22046714032226E7</v>
      </c>
      <c r="D1278" s="73">
        <v>3695667.9039971</v>
      </c>
      <c r="E1278" s="73">
        <v>1044667.32090322</v>
      </c>
      <c r="F1278" s="73"/>
      <c r="G1278" s="73"/>
      <c r="H1278" s="73"/>
      <c r="I1278" s="73"/>
      <c r="J1278" s="73"/>
      <c r="K1278" s="73"/>
      <c r="L1278" s="73"/>
      <c r="M1278" s="73"/>
      <c r="N1278" s="73"/>
      <c r="O1278" s="73"/>
      <c r="P1278" s="73"/>
      <c r="Q1278" s="73"/>
      <c r="R1278" s="73"/>
      <c r="S1278" s="73"/>
      <c r="T1278" s="73"/>
      <c r="U1278" s="73"/>
      <c r="V1278" s="73"/>
      <c r="W1278" s="73"/>
      <c r="X1278" s="73"/>
      <c r="Y1278" s="73"/>
      <c r="Z1278" s="73"/>
      <c r="AA1278" s="73"/>
      <c r="AB1278" s="73"/>
    </row>
    <row r="1279">
      <c r="A1279" s="73"/>
      <c r="B1279" s="73">
        <v>139998.583</v>
      </c>
      <c r="C1279" s="73">
        <v>2.22520658219061E7</v>
      </c>
      <c r="D1279" s="73">
        <v>3708849.15799802</v>
      </c>
      <c r="E1279" s="73">
        <v>1046868.96876837</v>
      </c>
      <c r="F1279" s="73"/>
      <c r="G1279" s="73"/>
      <c r="H1279" s="73"/>
      <c r="I1279" s="73"/>
      <c r="J1279" s="73"/>
      <c r="K1279" s="73"/>
      <c r="L1279" s="73"/>
      <c r="M1279" s="73"/>
      <c r="N1279" s="73"/>
      <c r="O1279" s="73"/>
      <c r="P1279" s="73"/>
      <c r="Q1279" s="73"/>
      <c r="R1279" s="73"/>
      <c r="S1279" s="73"/>
      <c r="T1279" s="73"/>
      <c r="U1279" s="73"/>
      <c r="V1279" s="73"/>
      <c r="W1279" s="73"/>
      <c r="X1279" s="73"/>
      <c r="Y1279" s="73"/>
      <c r="Z1279" s="73"/>
      <c r="AA1279" s="73"/>
      <c r="AB1279" s="73"/>
    </row>
    <row r="1280">
      <c r="A1280" s="73"/>
      <c r="B1280" s="73">
        <v>140280.2705</v>
      </c>
      <c r="C1280" s="73">
        <v>2.22995220405879E7</v>
      </c>
      <c r="D1280" s="73">
        <v>3722060.72599893</v>
      </c>
      <c r="E1280" s="73">
        <v>1049073.41503337</v>
      </c>
      <c r="F1280" s="73"/>
      <c r="G1280" s="73"/>
      <c r="H1280" s="73"/>
      <c r="I1280" s="73"/>
      <c r="J1280" s="73"/>
      <c r="K1280" s="73"/>
      <c r="L1280" s="73"/>
      <c r="M1280" s="73"/>
      <c r="N1280" s="73"/>
      <c r="O1280" s="73"/>
      <c r="P1280" s="73"/>
      <c r="Q1280" s="73"/>
      <c r="R1280" s="73"/>
      <c r="S1280" s="73"/>
      <c r="T1280" s="73"/>
      <c r="U1280" s="73"/>
      <c r="V1280" s="73"/>
      <c r="W1280" s="73"/>
      <c r="X1280" s="73"/>
      <c r="Y1280" s="73"/>
      <c r="Z1280" s="73"/>
      <c r="AA1280" s="73"/>
      <c r="AB1280" s="73"/>
    </row>
    <row r="1281">
      <c r="A1281" s="73"/>
      <c r="B1281" s="73">
        <v>140562.4358</v>
      </c>
      <c r="C1281" s="73">
        <v>2.23470441792679E7</v>
      </c>
      <c r="D1281" s="73">
        <v>3735303.57699985</v>
      </c>
      <c r="E1281" s="73">
        <v>1051280.55709023</v>
      </c>
      <c r="F1281" s="73"/>
      <c r="G1281" s="73"/>
      <c r="H1281" s="73"/>
      <c r="I1281" s="73"/>
      <c r="J1281" s="73"/>
      <c r="K1281" s="73"/>
      <c r="L1281" s="73"/>
      <c r="M1281" s="73"/>
      <c r="N1281" s="73"/>
      <c r="O1281" s="73"/>
      <c r="P1281" s="73"/>
      <c r="Q1281" s="73"/>
      <c r="R1281" s="73"/>
      <c r="S1281" s="73"/>
      <c r="T1281" s="73"/>
      <c r="U1281" s="73"/>
      <c r="V1281" s="73"/>
      <c r="W1281" s="73"/>
      <c r="X1281" s="73"/>
      <c r="Y1281" s="73"/>
      <c r="Z1281" s="73"/>
      <c r="AA1281" s="73"/>
      <c r="AB1281" s="73"/>
    </row>
    <row r="1282">
      <c r="A1282" s="73"/>
      <c r="B1282" s="73">
        <v>140845.0788</v>
      </c>
      <c r="C1282" s="73">
        <v>2.23946281179461E7</v>
      </c>
      <c r="D1282" s="73">
        <v>3748577.06999695</v>
      </c>
      <c r="E1282" s="73">
        <v>1053490.51874693</v>
      </c>
      <c r="F1282" s="73"/>
      <c r="G1282" s="73"/>
      <c r="H1282" s="73"/>
      <c r="I1282" s="73"/>
      <c r="J1282" s="73"/>
      <c r="K1282" s="73"/>
      <c r="L1282" s="73"/>
      <c r="M1282" s="73"/>
      <c r="N1282" s="73"/>
      <c r="O1282" s="73"/>
      <c r="P1282" s="73"/>
      <c r="Q1282" s="73"/>
      <c r="R1282" s="73"/>
      <c r="S1282" s="73"/>
      <c r="T1282" s="73"/>
      <c r="U1282" s="73"/>
      <c r="V1282" s="73"/>
      <c r="W1282" s="73"/>
      <c r="X1282" s="73"/>
      <c r="Y1282" s="73"/>
      <c r="Z1282" s="73"/>
      <c r="AA1282" s="73"/>
      <c r="AB1282" s="73"/>
    </row>
    <row r="1283">
      <c r="A1283" s="73"/>
      <c r="B1283" s="73">
        <v>141128.202</v>
      </c>
      <c r="C1283" s="73">
        <v>2.24422759166226E7</v>
      </c>
      <c r="D1283" s="73">
        <v>3761881.52699786</v>
      </c>
      <c r="E1283" s="73">
        <v>1055703.32120348</v>
      </c>
      <c r="F1283" s="73"/>
      <c r="G1283" s="73"/>
      <c r="H1283" s="73"/>
      <c r="I1283" s="73"/>
      <c r="J1283" s="73"/>
      <c r="K1283" s="73"/>
      <c r="L1283" s="73"/>
      <c r="M1283" s="73"/>
      <c r="N1283" s="73"/>
      <c r="O1283" s="73"/>
      <c r="P1283" s="73"/>
      <c r="Q1283" s="73"/>
      <c r="R1283" s="73"/>
      <c r="S1283" s="73"/>
      <c r="T1283" s="73"/>
      <c r="U1283" s="73"/>
      <c r="V1283" s="73"/>
      <c r="W1283" s="73"/>
      <c r="X1283" s="73"/>
      <c r="Y1283" s="73"/>
      <c r="Z1283" s="73"/>
      <c r="AA1283" s="73"/>
      <c r="AB1283" s="73"/>
    </row>
    <row r="1284">
      <c r="A1284" s="73"/>
      <c r="B1284" s="73">
        <v>141411.803</v>
      </c>
      <c r="C1284" s="73">
        <v>2.24899896352973E7</v>
      </c>
      <c r="D1284" s="73">
        <v>3775216.63599878</v>
      </c>
      <c r="E1284" s="73">
        <v>1057918.77705189</v>
      </c>
      <c r="F1284" s="73"/>
      <c r="G1284" s="73"/>
      <c r="H1284" s="73"/>
      <c r="I1284" s="73"/>
      <c r="J1284" s="73"/>
      <c r="K1284" s="73"/>
      <c r="L1284" s="73"/>
      <c r="M1284" s="73"/>
      <c r="N1284" s="73"/>
      <c r="O1284" s="73"/>
      <c r="P1284" s="73"/>
      <c r="Q1284" s="73"/>
      <c r="R1284" s="73"/>
      <c r="S1284" s="73"/>
      <c r="T1284" s="73"/>
      <c r="U1284" s="73"/>
      <c r="V1284" s="73"/>
      <c r="W1284" s="73"/>
      <c r="X1284" s="73"/>
      <c r="Y1284" s="73"/>
      <c r="Z1284" s="73"/>
      <c r="AA1284" s="73"/>
      <c r="AB1284" s="73"/>
    </row>
    <row r="1285">
      <c r="A1285" s="73"/>
      <c r="B1285" s="73">
        <v>141695.8843</v>
      </c>
      <c r="C1285" s="73">
        <v>2.25377672139702E7</v>
      </c>
      <c r="D1285" s="73">
        <v>3788583.01899969</v>
      </c>
      <c r="E1285" s="73">
        <v>1060137.05250014</v>
      </c>
      <c r="F1285" s="73"/>
      <c r="G1285" s="73"/>
      <c r="H1285" s="73"/>
      <c r="I1285" s="73"/>
      <c r="J1285" s="73"/>
      <c r="K1285" s="73"/>
      <c r="L1285" s="73"/>
      <c r="M1285" s="73"/>
      <c r="N1285" s="73"/>
      <c r="O1285" s="73"/>
      <c r="P1285" s="73"/>
      <c r="Q1285" s="73"/>
      <c r="R1285" s="73"/>
      <c r="S1285" s="73"/>
      <c r="T1285" s="73"/>
      <c r="U1285" s="73"/>
      <c r="V1285" s="73"/>
      <c r="W1285" s="73"/>
      <c r="X1285" s="73"/>
      <c r="Y1285" s="73"/>
      <c r="Z1285" s="73"/>
      <c r="AA1285" s="73"/>
      <c r="AB1285" s="73"/>
    </row>
    <row r="1286">
      <c r="A1286" s="73"/>
      <c r="B1286" s="73">
        <v>141980.4433</v>
      </c>
      <c r="C1286" s="73">
        <v>2.25856065926414E7</v>
      </c>
      <c r="D1286" s="73">
        <v>3801980.03400061</v>
      </c>
      <c r="E1286" s="73">
        <v>1062358.08564424</v>
      </c>
      <c r="F1286" s="73"/>
      <c r="G1286" s="73"/>
      <c r="H1286" s="73"/>
      <c r="I1286" s="73"/>
      <c r="J1286" s="73"/>
      <c r="K1286" s="73"/>
      <c r="L1286" s="73"/>
      <c r="M1286" s="73"/>
      <c r="N1286" s="73"/>
      <c r="O1286" s="73"/>
      <c r="P1286" s="73"/>
      <c r="Q1286" s="73"/>
      <c r="R1286" s="73"/>
      <c r="S1286" s="73"/>
      <c r="T1286" s="73"/>
      <c r="U1286" s="73"/>
      <c r="V1286" s="73"/>
      <c r="W1286" s="73"/>
      <c r="X1286" s="73"/>
      <c r="Y1286" s="73"/>
      <c r="Z1286" s="73"/>
      <c r="AA1286" s="73"/>
      <c r="AB1286" s="73"/>
    </row>
    <row r="1287">
      <c r="A1287" s="73"/>
      <c r="B1287" s="73">
        <v>142265.4825</v>
      </c>
      <c r="C1287" s="73">
        <v>2.26335139513106E7</v>
      </c>
      <c r="D1287" s="73">
        <v>3815408.35199771</v>
      </c>
      <c r="E1287" s="73">
        <v>1064581.9595882</v>
      </c>
      <c r="F1287" s="73"/>
      <c r="G1287" s="73"/>
      <c r="H1287" s="73"/>
      <c r="I1287" s="73"/>
      <c r="J1287" s="73"/>
      <c r="K1287" s="73"/>
      <c r="L1287" s="73"/>
      <c r="M1287" s="73"/>
      <c r="N1287" s="73"/>
      <c r="O1287" s="73"/>
      <c r="P1287" s="73"/>
      <c r="Q1287" s="73"/>
      <c r="R1287" s="73"/>
      <c r="S1287" s="73"/>
      <c r="T1287" s="73"/>
      <c r="U1287" s="73"/>
      <c r="V1287" s="73"/>
      <c r="W1287" s="73"/>
      <c r="X1287" s="73"/>
      <c r="Y1287" s="73"/>
      <c r="Z1287" s="73"/>
      <c r="AA1287" s="73"/>
      <c r="AB1287" s="73"/>
    </row>
    <row r="1288">
      <c r="A1288" s="73"/>
      <c r="B1288" s="73">
        <v>142551.0008</v>
      </c>
      <c r="C1288" s="73">
        <v>2.26814831099782E7</v>
      </c>
      <c r="D1288" s="73">
        <v>3828867.93399863</v>
      </c>
      <c r="E1288" s="73">
        <v>1066808.591228</v>
      </c>
      <c r="F1288" s="73"/>
      <c r="G1288" s="73"/>
      <c r="H1288" s="73"/>
      <c r="I1288" s="73"/>
      <c r="J1288" s="73"/>
      <c r="K1288" s="73"/>
      <c r="L1288" s="73"/>
      <c r="M1288" s="73"/>
      <c r="N1288" s="73"/>
      <c r="O1288" s="73"/>
      <c r="P1288" s="73"/>
      <c r="Q1288" s="73"/>
      <c r="R1288" s="73"/>
      <c r="S1288" s="73"/>
      <c r="T1288" s="73"/>
      <c r="U1288" s="73"/>
      <c r="V1288" s="73"/>
      <c r="W1288" s="73"/>
      <c r="X1288" s="73"/>
      <c r="Y1288" s="73"/>
      <c r="Z1288" s="73"/>
      <c r="AA1288" s="73"/>
      <c r="AB1288" s="73"/>
    </row>
    <row r="1289">
      <c r="A1289" s="73"/>
      <c r="B1289" s="73">
        <v>142836.998</v>
      </c>
      <c r="C1289" s="73">
        <v>2.27295181886439E7</v>
      </c>
      <c r="D1289" s="73">
        <v>3842358.16799954</v>
      </c>
      <c r="E1289" s="73">
        <v>1069037.95936365</v>
      </c>
      <c r="F1289" s="73"/>
      <c r="G1289" s="73"/>
      <c r="H1289" s="73"/>
      <c r="I1289" s="73"/>
      <c r="J1289" s="73"/>
      <c r="K1289" s="73"/>
      <c r="L1289" s="73"/>
      <c r="M1289" s="73"/>
      <c r="N1289" s="73"/>
      <c r="O1289" s="73"/>
      <c r="P1289" s="73"/>
      <c r="Q1289" s="73"/>
      <c r="R1289" s="73"/>
      <c r="S1289" s="73"/>
      <c r="T1289" s="73"/>
      <c r="U1289" s="73"/>
      <c r="V1289" s="73"/>
      <c r="W1289" s="73"/>
      <c r="X1289" s="73"/>
      <c r="Y1289" s="73"/>
      <c r="Z1289" s="73"/>
      <c r="AA1289" s="73"/>
      <c r="AB1289" s="73"/>
    </row>
    <row r="1290">
      <c r="A1290" s="73"/>
      <c r="B1290" s="73">
        <v>143123.4755</v>
      </c>
      <c r="C1290" s="73">
        <v>2.27776150673079E7</v>
      </c>
      <c r="D1290" s="73">
        <v>3855879.68500046</v>
      </c>
      <c r="E1290" s="73">
        <v>1071270.14709916</v>
      </c>
      <c r="F1290" s="73"/>
      <c r="G1290" s="73"/>
      <c r="H1290" s="73"/>
      <c r="I1290" s="73"/>
      <c r="J1290" s="73"/>
      <c r="K1290" s="73"/>
      <c r="L1290" s="73"/>
      <c r="M1290" s="73"/>
      <c r="N1290" s="73"/>
      <c r="O1290" s="73"/>
      <c r="P1290" s="73"/>
      <c r="Q1290" s="73"/>
      <c r="R1290" s="73"/>
      <c r="S1290" s="73"/>
      <c r="T1290" s="73"/>
      <c r="U1290" s="73"/>
      <c r="V1290" s="73"/>
      <c r="W1290" s="73"/>
      <c r="X1290" s="73"/>
      <c r="Y1290" s="73"/>
      <c r="Z1290" s="73"/>
      <c r="AA1290" s="73"/>
      <c r="AB1290" s="73"/>
    </row>
    <row r="1291">
      <c r="A1291" s="73"/>
      <c r="B1291" s="73">
        <v>143410.4333</v>
      </c>
      <c r="C1291" s="73">
        <v>2.28257778659701E7</v>
      </c>
      <c r="D1291" s="73">
        <v>3869432.48499756</v>
      </c>
      <c r="E1291" s="73">
        <v>1073505.09253051</v>
      </c>
      <c r="F1291" s="73"/>
      <c r="G1291" s="73"/>
      <c r="H1291" s="73"/>
      <c r="I1291" s="73"/>
      <c r="J1291" s="73"/>
      <c r="K1291" s="73"/>
      <c r="L1291" s="73"/>
      <c r="M1291" s="73"/>
      <c r="N1291" s="73"/>
      <c r="O1291" s="73"/>
      <c r="P1291" s="73"/>
      <c r="Q1291" s="73"/>
      <c r="R1291" s="73"/>
      <c r="S1291" s="73"/>
      <c r="T1291" s="73"/>
      <c r="U1291" s="73"/>
      <c r="V1291" s="73"/>
      <c r="W1291" s="73"/>
      <c r="X1291" s="73"/>
      <c r="Y1291" s="73"/>
      <c r="Z1291" s="73"/>
      <c r="AA1291" s="73"/>
      <c r="AB1291" s="73"/>
    </row>
    <row r="1292">
      <c r="A1292" s="73"/>
      <c r="B1292" s="73">
        <v>143697.87</v>
      </c>
      <c r="C1292" s="73">
        <v>2.28740065846305E7</v>
      </c>
      <c r="D1292" s="73">
        <v>3883016.24799847</v>
      </c>
      <c r="E1292" s="73">
        <v>1075742.81685772</v>
      </c>
      <c r="F1292" s="73"/>
      <c r="G1292" s="73"/>
      <c r="H1292" s="73"/>
      <c r="I1292" s="73"/>
      <c r="J1292" s="73"/>
      <c r="K1292" s="73"/>
      <c r="L1292" s="73"/>
      <c r="M1292" s="73"/>
      <c r="N1292" s="73"/>
      <c r="O1292" s="73"/>
      <c r="P1292" s="73"/>
      <c r="Q1292" s="73"/>
      <c r="R1292" s="73"/>
      <c r="S1292" s="73"/>
      <c r="T1292" s="73"/>
      <c r="U1292" s="73"/>
      <c r="V1292" s="73"/>
      <c r="W1292" s="73"/>
      <c r="X1292" s="73"/>
      <c r="Y1292" s="73"/>
      <c r="Z1292" s="73"/>
      <c r="AA1292" s="73"/>
      <c r="AB1292" s="73"/>
    </row>
    <row r="1293">
      <c r="A1293" s="73"/>
      <c r="B1293" s="73">
        <v>143985.7858</v>
      </c>
      <c r="C1293" s="73">
        <v>2.29222971032891E7</v>
      </c>
      <c r="D1293" s="73">
        <v>3896631.29399939</v>
      </c>
      <c r="E1293" s="73">
        <v>1077983.33958477</v>
      </c>
      <c r="F1293" s="73"/>
      <c r="G1293" s="73"/>
      <c r="H1293" s="73"/>
      <c r="I1293" s="73"/>
      <c r="J1293" s="73"/>
      <c r="K1293" s="73"/>
      <c r="L1293" s="73"/>
      <c r="M1293" s="73"/>
      <c r="N1293" s="73"/>
      <c r="O1293" s="73"/>
      <c r="P1293" s="73"/>
      <c r="Q1293" s="73"/>
      <c r="R1293" s="73"/>
      <c r="S1293" s="73"/>
      <c r="T1293" s="73"/>
      <c r="U1293" s="73"/>
      <c r="V1293" s="73"/>
      <c r="W1293" s="73"/>
      <c r="X1293" s="73"/>
      <c r="Y1293" s="73"/>
      <c r="Z1293" s="73"/>
      <c r="AA1293" s="73"/>
      <c r="AB1293" s="73"/>
    </row>
    <row r="1294">
      <c r="A1294" s="73"/>
      <c r="B1294" s="73">
        <v>144274.183</v>
      </c>
      <c r="C1294" s="73">
        <v>2.29706535419459E7</v>
      </c>
      <c r="D1294" s="73">
        <v>3910277.62200031</v>
      </c>
      <c r="E1294" s="73">
        <v>1080226.62000767</v>
      </c>
      <c r="F1294" s="73"/>
      <c r="G1294" s="73"/>
      <c r="H1294" s="73"/>
      <c r="I1294" s="73"/>
      <c r="J1294" s="73"/>
      <c r="K1294" s="73"/>
      <c r="L1294" s="73"/>
      <c r="M1294" s="73"/>
      <c r="N1294" s="73"/>
      <c r="O1294" s="73"/>
      <c r="P1294" s="73"/>
      <c r="Q1294" s="73"/>
      <c r="R1294" s="73"/>
      <c r="S1294" s="73"/>
      <c r="T1294" s="73"/>
      <c r="U1294" s="73"/>
      <c r="V1294" s="73"/>
      <c r="W1294" s="73"/>
      <c r="X1294" s="73"/>
      <c r="Y1294" s="73"/>
      <c r="Z1294" s="73"/>
      <c r="AA1294" s="73"/>
      <c r="AB1294" s="73"/>
    </row>
    <row r="1295">
      <c r="A1295" s="73"/>
      <c r="B1295" s="73">
        <v>144563.0593</v>
      </c>
      <c r="C1295" s="73">
        <v>2.3019071780601E7</v>
      </c>
      <c r="D1295" s="73">
        <v>3923955.23399741</v>
      </c>
      <c r="E1295" s="73">
        <v>1082472.74123042</v>
      </c>
      <c r="F1295" s="73"/>
      <c r="G1295" s="73"/>
      <c r="H1295" s="73"/>
      <c r="I1295" s="73"/>
      <c r="J1295" s="73"/>
      <c r="K1295" s="73"/>
      <c r="L1295" s="73"/>
      <c r="M1295" s="73"/>
      <c r="N1295" s="73"/>
      <c r="O1295" s="73"/>
      <c r="P1295" s="73"/>
      <c r="Q1295" s="73"/>
      <c r="R1295" s="73"/>
      <c r="S1295" s="73"/>
      <c r="T1295" s="73"/>
      <c r="U1295" s="73"/>
      <c r="V1295" s="73"/>
      <c r="W1295" s="73"/>
      <c r="X1295" s="73"/>
      <c r="Y1295" s="73"/>
      <c r="Z1295" s="73"/>
      <c r="AA1295" s="73"/>
      <c r="AB1295" s="73"/>
    </row>
    <row r="1296">
      <c r="A1296" s="73"/>
      <c r="B1296" s="73">
        <v>144852.417</v>
      </c>
      <c r="C1296" s="73">
        <v>2.30675559392543E7</v>
      </c>
      <c r="D1296" s="73">
        <v>3937664.13799832</v>
      </c>
      <c r="E1296" s="73">
        <v>1084721.59894903</v>
      </c>
      <c r="F1296" s="73"/>
      <c r="G1296" s="73"/>
      <c r="H1296" s="73"/>
      <c r="I1296" s="73"/>
      <c r="J1296" s="73"/>
      <c r="K1296" s="73"/>
      <c r="L1296" s="73"/>
      <c r="M1296" s="73"/>
      <c r="N1296" s="73"/>
      <c r="O1296" s="73"/>
      <c r="P1296" s="73"/>
      <c r="Q1296" s="73"/>
      <c r="R1296" s="73"/>
      <c r="S1296" s="73"/>
      <c r="T1296" s="73"/>
      <c r="U1296" s="73"/>
      <c r="V1296" s="73"/>
      <c r="W1296" s="73"/>
      <c r="X1296" s="73"/>
      <c r="Y1296" s="73"/>
      <c r="Z1296" s="73"/>
      <c r="AA1296" s="73"/>
      <c r="AB1296" s="73"/>
    </row>
    <row r="1297">
      <c r="A1297" s="73"/>
      <c r="B1297" s="73">
        <v>145142.2538</v>
      </c>
      <c r="C1297" s="73">
        <v>2.31161060179057E7</v>
      </c>
      <c r="D1297" s="73">
        <v>3951404.31499924</v>
      </c>
      <c r="E1297" s="73">
        <v>1086973.21436348</v>
      </c>
      <c r="F1297" s="73"/>
      <c r="G1297" s="73"/>
      <c r="H1297" s="73"/>
      <c r="I1297" s="73"/>
      <c r="J1297" s="73"/>
      <c r="K1297" s="73"/>
      <c r="L1297" s="73"/>
      <c r="M1297" s="73"/>
      <c r="N1297" s="73"/>
      <c r="O1297" s="73"/>
      <c r="P1297" s="73"/>
      <c r="Q1297" s="73"/>
      <c r="R1297" s="73"/>
      <c r="S1297" s="73"/>
      <c r="T1297" s="73"/>
      <c r="U1297" s="73"/>
      <c r="V1297" s="73"/>
      <c r="W1297" s="73"/>
      <c r="X1297" s="73"/>
      <c r="Y1297" s="73"/>
      <c r="Z1297" s="73"/>
      <c r="AA1297" s="73"/>
      <c r="AB1297" s="73"/>
    </row>
    <row r="1298">
      <c r="A1298" s="73"/>
      <c r="B1298" s="73">
        <v>145432.572</v>
      </c>
      <c r="C1298" s="73">
        <v>2.31647178965554E7</v>
      </c>
      <c r="D1298" s="73">
        <v>3965176.11500015</v>
      </c>
      <c r="E1298" s="73">
        <v>1089227.64937778</v>
      </c>
      <c r="F1298" s="73"/>
      <c r="G1298" s="73"/>
      <c r="H1298" s="73"/>
      <c r="I1298" s="73"/>
      <c r="J1298" s="73"/>
      <c r="K1298" s="73"/>
      <c r="L1298" s="73"/>
      <c r="M1298" s="73"/>
      <c r="N1298" s="73"/>
      <c r="O1298" s="73"/>
      <c r="P1298" s="73"/>
      <c r="Q1298" s="73"/>
      <c r="R1298" s="73"/>
      <c r="S1298" s="73"/>
      <c r="T1298" s="73"/>
      <c r="U1298" s="73"/>
      <c r="V1298" s="73"/>
      <c r="W1298" s="73"/>
      <c r="X1298" s="73"/>
      <c r="Y1298" s="73"/>
      <c r="Z1298" s="73"/>
      <c r="AA1298" s="73"/>
      <c r="AB1298" s="73"/>
    </row>
    <row r="1299">
      <c r="A1299" s="73"/>
      <c r="B1299" s="73">
        <v>145723.3705</v>
      </c>
      <c r="C1299" s="73">
        <v>2.32133956952033E7</v>
      </c>
      <c r="D1299" s="73">
        <v>3978979.17799725</v>
      </c>
      <c r="E1299" s="73">
        <v>1091484.94639193</v>
      </c>
      <c r="F1299" s="73"/>
      <c r="G1299" s="73"/>
      <c r="H1299" s="73"/>
      <c r="I1299" s="73"/>
      <c r="J1299" s="73"/>
      <c r="K1299" s="73"/>
      <c r="L1299" s="73"/>
      <c r="M1299" s="73"/>
      <c r="N1299" s="73"/>
      <c r="O1299" s="73"/>
      <c r="P1299" s="73"/>
      <c r="Q1299" s="73"/>
      <c r="R1299" s="73"/>
      <c r="S1299" s="73"/>
      <c r="T1299" s="73"/>
      <c r="U1299" s="73"/>
      <c r="V1299" s="73"/>
      <c r="W1299" s="73"/>
      <c r="X1299" s="73"/>
      <c r="Y1299" s="73"/>
      <c r="Z1299" s="73"/>
      <c r="AA1299" s="73"/>
      <c r="AB1299" s="73"/>
    </row>
    <row r="1300">
      <c r="A1300" s="73"/>
      <c r="B1300" s="73">
        <v>146014.6493</v>
      </c>
      <c r="C1300" s="73">
        <v>2.32621394138494E7</v>
      </c>
      <c r="D1300" s="73">
        <v>3992813.53299817</v>
      </c>
      <c r="E1300" s="73">
        <v>1093744.97990193</v>
      </c>
      <c r="F1300" s="73"/>
      <c r="G1300" s="73"/>
      <c r="H1300" s="73"/>
      <c r="I1300" s="73"/>
      <c r="J1300" s="73"/>
      <c r="K1300" s="73"/>
      <c r="L1300" s="73"/>
      <c r="M1300" s="73"/>
      <c r="N1300" s="73"/>
      <c r="O1300" s="73"/>
      <c r="P1300" s="73"/>
      <c r="Q1300" s="73"/>
      <c r="R1300" s="73"/>
      <c r="S1300" s="73"/>
      <c r="T1300" s="73"/>
      <c r="U1300" s="73"/>
      <c r="V1300" s="73"/>
      <c r="W1300" s="73"/>
      <c r="X1300" s="73"/>
      <c r="Y1300" s="73"/>
      <c r="Z1300" s="73"/>
      <c r="AA1300" s="73"/>
      <c r="AB1300" s="73"/>
    </row>
    <row r="1301">
      <c r="A1301" s="73"/>
      <c r="B1301" s="73">
        <v>146306.4095</v>
      </c>
      <c r="C1301" s="73">
        <v>2.33109490524936E7</v>
      </c>
      <c r="D1301" s="73">
        <v>4006679.82199908</v>
      </c>
      <c r="E1301" s="73">
        <v>1096007.74990778</v>
      </c>
      <c r="F1301" s="73"/>
      <c r="G1301" s="73"/>
      <c r="H1301" s="73"/>
      <c r="I1301" s="73"/>
      <c r="J1301" s="73"/>
      <c r="K1301" s="73"/>
      <c r="L1301" s="73"/>
      <c r="M1301" s="73"/>
      <c r="N1301" s="73"/>
      <c r="O1301" s="73"/>
      <c r="P1301" s="73"/>
      <c r="Q1301" s="73"/>
      <c r="R1301" s="73"/>
      <c r="S1301" s="73"/>
      <c r="T1301" s="73"/>
      <c r="U1301" s="73"/>
      <c r="V1301" s="73"/>
      <c r="W1301" s="73"/>
      <c r="X1301" s="73"/>
      <c r="Y1301" s="73"/>
      <c r="Z1301" s="73"/>
      <c r="AA1301" s="73"/>
      <c r="AB1301" s="73"/>
    </row>
    <row r="1302">
      <c r="A1302" s="73"/>
      <c r="B1302" s="73">
        <v>146598.65</v>
      </c>
      <c r="C1302" s="73">
        <v>2.33598204911361E7</v>
      </c>
      <c r="D1302" s="73">
        <v>4020577.383</v>
      </c>
      <c r="E1302" s="73">
        <v>1098273.48791348</v>
      </c>
      <c r="F1302" s="73"/>
      <c r="G1302" s="73"/>
      <c r="H1302" s="73"/>
      <c r="I1302" s="73"/>
      <c r="J1302" s="73"/>
      <c r="K1302" s="73"/>
      <c r="L1302" s="73"/>
      <c r="M1302" s="73"/>
      <c r="N1302" s="73"/>
      <c r="O1302" s="73"/>
      <c r="P1302" s="73"/>
      <c r="Q1302" s="73"/>
      <c r="R1302" s="73"/>
      <c r="S1302" s="73"/>
      <c r="T1302" s="73"/>
      <c r="U1302" s="73"/>
      <c r="V1302" s="73"/>
      <c r="W1302" s="73"/>
      <c r="X1302" s="73"/>
      <c r="Y1302" s="73"/>
      <c r="Z1302" s="73"/>
      <c r="AA1302" s="73"/>
      <c r="AB1302" s="73"/>
    </row>
    <row r="1303">
      <c r="A1303" s="73"/>
      <c r="B1303" s="73">
        <v>146891.372</v>
      </c>
      <c r="C1303" s="73">
        <v>2.34087578497767E7</v>
      </c>
      <c r="D1303" s="73">
        <v>4034506.2369971</v>
      </c>
      <c r="E1303" s="73">
        <v>1100542.32056709</v>
      </c>
      <c r="F1303" s="73"/>
      <c r="G1303" s="73"/>
      <c r="H1303" s="73"/>
      <c r="I1303" s="73"/>
      <c r="J1303" s="73"/>
      <c r="K1303" s="73"/>
      <c r="L1303" s="73"/>
      <c r="M1303" s="73"/>
      <c r="N1303" s="73"/>
      <c r="O1303" s="73"/>
      <c r="P1303" s="73"/>
      <c r="Q1303" s="73"/>
      <c r="R1303" s="73"/>
      <c r="S1303" s="73"/>
      <c r="T1303" s="73"/>
      <c r="U1303" s="73"/>
      <c r="V1303" s="73"/>
      <c r="W1303" s="73"/>
      <c r="X1303" s="73"/>
      <c r="Y1303" s="73"/>
      <c r="Z1303" s="73"/>
      <c r="AA1303" s="73"/>
      <c r="AB1303" s="73"/>
    </row>
    <row r="1304">
      <c r="A1304" s="73"/>
      <c r="B1304" s="73">
        <v>147184.5755</v>
      </c>
      <c r="C1304" s="73">
        <v>2.34577611284156E7</v>
      </c>
      <c r="D1304" s="73">
        <v>4048467.01399802</v>
      </c>
      <c r="E1304" s="73">
        <v>1102814.23124777</v>
      </c>
      <c r="F1304" s="73"/>
      <c r="G1304" s="73"/>
      <c r="H1304" s="73"/>
      <c r="I1304" s="73"/>
      <c r="J1304" s="73"/>
      <c r="K1304" s="73"/>
      <c r="L1304" s="73"/>
      <c r="M1304" s="73"/>
      <c r="N1304" s="73"/>
      <c r="O1304" s="73"/>
      <c r="P1304" s="73"/>
      <c r="Q1304" s="73"/>
      <c r="R1304" s="73"/>
      <c r="S1304" s="73"/>
      <c r="T1304" s="73"/>
      <c r="U1304" s="73"/>
      <c r="V1304" s="73"/>
      <c r="W1304" s="73"/>
      <c r="X1304" s="73"/>
      <c r="Y1304" s="73"/>
      <c r="Z1304" s="73"/>
      <c r="AA1304" s="73"/>
      <c r="AB1304" s="73"/>
    </row>
    <row r="1305">
      <c r="A1305" s="73"/>
      <c r="B1305" s="73">
        <v>147478.2593</v>
      </c>
      <c r="C1305" s="73">
        <v>2.35068262070527E7</v>
      </c>
      <c r="D1305" s="73">
        <v>4062459.07299893</v>
      </c>
      <c r="E1305" s="73">
        <v>1105089.22650325</v>
      </c>
      <c r="F1305" s="73"/>
      <c r="G1305" s="73"/>
      <c r="H1305" s="73"/>
      <c r="I1305" s="73"/>
      <c r="J1305" s="73"/>
      <c r="K1305" s="73"/>
      <c r="L1305" s="73"/>
      <c r="M1305" s="73"/>
      <c r="N1305" s="73"/>
      <c r="O1305" s="73"/>
      <c r="P1305" s="73"/>
      <c r="Q1305" s="73"/>
      <c r="R1305" s="73"/>
      <c r="S1305" s="73"/>
      <c r="T1305" s="73"/>
      <c r="U1305" s="73"/>
      <c r="V1305" s="73"/>
      <c r="W1305" s="73"/>
      <c r="X1305" s="73"/>
      <c r="Y1305" s="73"/>
      <c r="Z1305" s="73"/>
      <c r="AA1305" s="73"/>
      <c r="AB1305" s="73"/>
    </row>
    <row r="1306">
      <c r="A1306" s="73"/>
      <c r="B1306" s="73">
        <v>147772.4245</v>
      </c>
      <c r="C1306" s="73">
        <v>2.3555957205688E7</v>
      </c>
      <c r="D1306" s="73">
        <v>4076483.05599985</v>
      </c>
      <c r="E1306" s="73">
        <v>1107367.51460245</v>
      </c>
      <c r="F1306" s="73"/>
      <c r="G1306" s="73"/>
      <c r="H1306" s="73"/>
      <c r="I1306" s="73"/>
      <c r="J1306" s="73"/>
      <c r="K1306" s="73"/>
      <c r="L1306" s="73"/>
      <c r="M1306" s="73"/>
      <c r="N1306" s="73"/>
      <c r="O1306" s="73"/>
      <c r="P1306" s="73"/>
      <c r="Q1306" s="73"/>
      <c r="R1306" s="73"/>
      <c r="S1306" s="73"/>
      <c r="T1306" s="73"/>
      <c r="U1306" s="73"/>
      <c r="V1306" s="73"/>
      <c r="W1306" s="73"/>
      <c r="X1306" s="73"/>
      <c r="Y1306" s="73"/>
      <c r="Z1306" s="73"/>
      <c r="AA1306" s="73"/>
      <c r="AB1306" s="73"/>
    </row>
    <row r="1307">
      <c r="A1307" s="73"/>
      <c r="B1307" s="73">
        <v>148067.0713</v>
      </c>
      <c r="C1307" s="73">
        <v>2.36051520643215E7</v>
      </c>
      <c r="D1307" s="73">
        <v>4090538.65999695</v>
      </c>
      <c r="E1307" s="73">
        <v>1109648.86319003</v>
      </c>
      <c r="F1307" s="73"/>
      <c r="G1307" s="73"/>
      <c r="H1307" s="73"/>
      <c r="I1307" s="73"/>
      <c r="J1307" s="73"/>
      <c r="K1307" s="73"/>
      <c r="L1307" s="73"/>
      <c r="M1307" s="73"/>
      <c r="N1307" s="73"/>
      <c r="O1307" s="73"/>
      <c r="P1307" s="73"/>
      <c r="Q1307" s="73"/>
      <c r="R1307" s="73"/>
      <c r="S1307" s="73"/>
      <c r="T1307" s="73"/>
      <c r="U1307" s="73"/>
      <c r="V1307" s="73"/>
      <c r="W1307" s="73"/>
      <c r="X1307" s="73"/>
      <c r="Y1307" s="73"/>
      <c r="Z1307" s="73"/>
      <c r="AA1307" s="73"/>
      <c r="AB1307" s="73"/>
    </row>
    <row r="1308">
      <c r="A1308" s="73"/>
      <c r="B1308" s="73">
        <v>148362.1995</v>
      </c>
      <c r="C1308" s="73">
        <v>2.36544128429532E7</v>
      </c>
      <c r="D1308" s="73">
        <v>4104626.17799786</v>
      </c>
      <c r="E1308" s="73">
        <v>1111933.51477433</v>
      </c>
      <c r="F1308" s="73"/>
      <c r="G1308" s="73"/>
      <c r="H1308" s="73"/>
      <c r="I1308" s="73"/>
      <c r="J1308" s="73"/>
      <c r="K1308" s="73"/>
      <c r="L1308" s="73"/>
      <c r="M1308" s="73"/>
      <c r="N1308" s="73"/>
      <c r="O1308" s="73"/>
      <c r="P1308" s="73"/>
      <c r="Q1308" s="73"/>
      <c r="R1308" s="73"/>
      <c r="S1308" s="73"/>
      <c r="T1308" s="73"/>
      <c r="U1308" s="73"/>
      <c r="V1308" s="73"/>
      <c r="W1308" s="73"/>
      <c r="X1308" s="73"/>
      <c r="Y1308" s="73"/>
      <c r="Z1308" s="73"/>
      <c r="AA1308" s="73"/>
      <c r="AB1308" s="73"/>
    </row>
    <row r="1309">
      <c r="A1309" s="73"/>
      <c r="B1309" s="73">
        <v>148657.8105</v>
      </c>
      <c r="C1309" s="73">
        <v>2.3703741601583E7</v>
      </c>
      <c r="D1309" s="73">
        <v>4118744.97899878</v>
      </c>
      <c r="E1309" s="73">
        <v>1114221.2538193</v>
      </c>
      <c r="F1309" s="73"/>
      <c r="G1309" s="73"/>
      <c r="H1309" s="73"/>
      <c r="I1309" s="73"/>
      <c r="J1309" s="73"/>
      <c r="K1309" s="73"/>
      <c r="L1309" s="73"/>
      <c r="M1309" s="73"/>
      <c r="N1309" s="73"/>
      <c r="O1309" s="73"/>
      <c r="P1309" s="73"/>
      <c r="Q1309" s="73"/>
      <c r="R1309" s="73"/>
      <c r="S1309" s="73"/>
      <c r="T1309" s="73"/>
      <c r="U1309" s="73"/>
      <c r="V1309" s="73"/>
      <c r="W1309" s="73"/>
      <c r="X1309" s="73"/>
      <c r="Y1309" s="73"/>
      <c r="Z1309" s="73"/>
      <c r="AA1309" s="73"/>
      <c r="AB1309" s="73"/>
    </row>
    <row r="1310">
      <c r="A1310" s="73"/>
      <c r="B1310" s="73">
        <v>148953.9018</v>
      </c>
      <c r="C1310" s="73">
        <v>2.37531321602111E7</v>
      </c>
      <c r="D1310" s="73">
        <v>4132895.7219997</v>
      </c>
      <c r="E1310" s="73">
        <v>1116512.34083602</v>
      </c>
      <c r="F1310" s="73"/>
      <c r="G1310" s="73"/>
      <c r="H1310" s="73"/>
      <c r="I1310" s="73"/>
      <c r="J1310" s="73"/>
      <c r="K1310" s="73"/>
      <c r="L1310" s="73"/>
      <c r="M1310" s="73"/>
      <c r="N1310" s="73"/>
      <c r="O1310" s="73"/>
      <c r="P1310" s="73"/>
      <c r="Q1310" s="73"/>
      <c r="R1310" s="73"/>
      <c r="S1310" s="73"/>
      <c r="T1310" s="73"/>
      <c r="U1310" s="73"/>
      <c r="V1310" s="73"/>
      <c r="W1310" s="73"/>
      <c r="X1310" s="73"/>
      <c r="Y1310" s="73"/>
      <c r="Z1310" s="73"/>
      <c r="AA1310" s="73"/>
      <c r="AB1310" s="73"/>
    </row>
    <row r="1311">
      <c r="A1311" s="73"/>
      <c r="B1311" s="73">
        <v>149250.4758</v>
      </c>
      <c r="C1311" s="73">
        <v>2.38025886388373E7</v>
      </c>
      <c r="D1311" s="73">
        <v>4147078.68800061</v>
      </c>
      <c r="E1311" s="73">
        <v>1118806.61974648</v>
      </c>
      <c r="F1311" s="73"/>
      <c r="G1311" s="73"/>
      <c r="H1311" s="73"/>
      <c r="I1311" s="73"/>
      <c r="J1311" s="73"/>
      <c r="K1311" s="73"/>
      <c r="L1311" s="73"/>
      <c r="M1311" s="73"/>
      <c r="N1311" s="73"/>
      <c r="O1311" s="73"/>
      <c r="P1311" s="73"/>
      <c r="Q1311" s="73"/>
      <c r="R1311" s="73"/>
      <c r="S1311" s="73"/>
      <c r="T1311" s="73"/>
      <c r="U1311" s="73"/>
      <c r="V1311" s="73"/>
      <c r="W1311" s="73"/>
      <c r="X1311" s="73"/>
      <c r="Y1311" s="73"/>
      <c r="Z1311" s="73"/>
      <c r="AA1311" s="73"/>
      <c r="AB1311" s="73"/>
    </row>
    <row r="1312">
      <c r="A1312" s="73"/>
      <c r="B1312" s="73">
        <v>149547.5313</v>
      </c>
      <c r="C1312" s="73">
        <v>2.38521110374618E7</v>
      </c>
      <c r="D1312" s="73">
        <v>4161292.95699771</v>
      </c>
      <c r="E1312" s="73">
        <v>1121104.16171527</v>
      </c>
      <c r="F1312" s="73"/>
      <c r="G1312" s="73"/>
      <c r="H1312" s="73"/>
      <c r="I1312" s="73"/>
      <c r="J1312" s="73"/>
      <c r="K1312" s="73"/>
      <c r="L1312" s="73"/>
      <c r="M1312" s="73"/>
      <c r="N1312" s="73"/>
      <c r="O1312" s="73"/>
      <c r="P1312" s="73"/>
      <c r="Q1312" s="73"/>
      <c r="R1312" s="73"/>
      <c r="S1312" s="73"/>
      <c r="T1312" s="73"/>
      <c r="U1312" s="73"/>
      <c r="V1312" s="73"/>
      <c r="W1312" s="73"/>
      <c r="X1312" s="73"/>
      <c r="Y1312" s="73"/>
      <c r="Z1312" s="73"/>
      <c r="AA1312" s="73"/>
      <c r="AB1312" s="73"/>
    </row>
    <row r="1313">
      <c r="A1313" s="73"/>
      <c r="B1313" s="73">
        <v>149845.0695</v>
      </c>
      <c r="C1313" s="73">
        <v>2.39016972960844E7</v>
      </c>
      <c r="D1313" s="73">
        <v>4175539.47799863</v>
      </c>
      <c r="E1313" s="73">
        <v>1123404.93457925</v>
      </c>
      <c r="F1313" s="73"/>
      <c r="G1313" s="73"/>
      <c r="H1313" s="73"/>
      <c r="I1313" s="73"/>
      <c r="J1313" s="73"/>
      <c r="K1313" s="73"/>
      <c r="L1313" s="73"/>
      <c r="M1313" s="73"/>
      <c r="N1313" s="73"/>
      <c r="O1313" s="73"/>
      <c r="P1313" s="73"/>
      <c r="Q1313" s="73"/>
      <c r="R1313" s="73"/>
      <c r="S1313" s="73"/>
      <c r="T1313" s="73"/>
      <c r="U1313" s="73"/>
      <c r="V1313" s="73"/>
      <c r="W1313" s="73"/>
      <c r="X1313" s="73"/>
      <c r="Y1313" s="73"/>
      <c r="Z1313" s="73"/>
      <c r="AA1313" s="73"/>
      <c r="AB1313" s="73"/>
    </row>
    <row r="1314">
      <c r="A1314" s="73"/>
      <c r="B1314" s="73">
        <v>150143.0893</v>
      </c>
      <c r="C1314" s="73">
        <v>2.39513494747052E7</v>
      </c>
      <c r="D1314" s="73">
        <v>4189817.91199954</v>
      </c>
      <c r="E1314" s="73">
        <v>1125709.04889284</v>
      </c>
      <c r="F1314" s="73"/>
      <c r="G1314" s="73"/>
      <c r="H1314" s="73"/>
      <c r="I1314" s="73"/>
      <c r="J1314" s="73"/>
      <c r="K1314" s="73"/>
      <c r="L1314" s="73"/>
      <c r="M1314" s="73"/>
      <c r="N1314" s="73"/>
      <c r="O1314" s="73"/>
      <c r="P1314" s="73"/>
      <c r="Q1314" s="73"/>
      <c r="R1314" s="73"/>
      <c r="S1314" s="73"/>
      <c r="T1314" s="73"/>
      <c r="U1314" s="73"/>
      <c r="V1314" s="73"/>
      <c r="W1314" s="73"/>
      <c r="X1314" s="73"/>
      <c r="Y1314" s="73"/>
      <c r="Z1314" s="73"/>
      <c r="AA1314" s="73"/>
      <c r="AB1314" s="73"/>
    </row>
    <row r="1315">
      <c r="A1315" s="73"/>
      <c r="B1315" s="73">
        <v>150441.5918</v>
      </c>
      <c r="C1315" s="73">
        <v>2.40010655133243E7</v>
      </c>
      <c r="D1315" s="73">
        <v>4204127.94000046</v>
      </c>
      <c r="E1315" s="73">
        <v>1128016.32637455</v>
      </c>
      <c r="F1315" s="73"/>
      <c r="G1315" s="73"/>
      <c r="H1315" s="73"/>
      <c r="I1315" s="73"/>
      <c r="J1315" s="73"/>
      <c r="K1315" s="73"/>
      <c r="L1315" s="73"/>
      <c r="M1315" s="73"/>
      <c r="N1315" s="73"/>
      <c r="O1315" s="73"/>
      <c r="P1315" s="73"/>
      <c r="Q1315" s="73"/>
      <c r="R1315" s="73"/>
      <c r="S1315" s="73"/>
      <c r="T1315" s="73"/>
      <c r="U1315" s="73"/>
      <c r="V1315" s="73"/>
      <c r="W1315" s="73"/>
      <c r="X1315" s="73"/>
      <c r="Y1315" s="73"/>
      <c r="Z1315" s="73"/>
      <c r="AA1315" s="73"/>
      <c r="AB1315" s="73"/>
    </row>
    <row r="1316">
      <c r="A1316" s="73"/>
      <c r="B1316" s="73">
        <v>150740.5758</v>
      </c>
      <c r="C1316" s="73">
        <v>2.40508474719415E7</v>
      </c>
      <c r="D1316" s="73">
        <v>4218470.23899756</v>
      </c>
      <c r="E1316" s="73">
        <v>1130327.00211396</v>
      </c>
      <c r="F1316" s="73"/>
      <c r="G1316" s="73"/>
      <c r="H1316" s="73"/>
      <c r="I1316" s="73"/>
      <c r="J1316" s="73"/>
      <c r="K1316" s="73"/>
      <c r="L1316" s="73"/>
      <c r="M1316" s="73"/>
      <c r="N1316" s="73"/>
      <c r="O1316" s="73"/>
      <c r="P1316" s="73"/>
      <c r="Q1316" s="73"/>
      <c r="R1316" s="73"/>
      <c r="S1316" s="73"/>
      <c r="T1316" s="73"/>
      <c r="U1316" s="73"/>
      <c r="V1316" s="73"/>
      <c r="W1316" s="73"/>
      <c r="X1316" s="73"/>
      <c r="Y1316" s="73"/>
      <c r="Z1316" s="73"/>
      <c r="AA1316" s="73"/>
      <c r="AB1316" s="73"/>
    </row>
    <row r="1317">
      <c r="A1317" s="73"/>
      <c r="B1317" s="73">
        <v>151040.0425</v>
      </c>
      <c r="C1317" s="73">
        <v>2.41006953505569E7</v>
      </c>
      <c r="D1317" s="73">
        <v>4232844.46099847</v>
      </c>
      <c r="E1317" s="73">
        <v>1132640.89530543</v>
      </c>
      <c r="F1317" s="73"/>
      <c r="G1317" s="73"/>
      <c r="H1317" s="73"/>
      <c r="I1317" s="73"/>
      <c r="J1317" s="73"/>
      <c r="K1317" s="73"/>
      <c r="L1317" s="73"/>
      <c r="M1317" s="73"/>
      <c r="N1317" s="73"/>
      <c r="O1317" s="73"/>
      <c r="P1317" s="73"/>
      <c r="Q1317" s="73"/>
      <c r="R1317" s="73"/>
      <c r="S1317" s="73"/>
      <c r="T1317" s="73"/>
      <c r="U1317" s="73"/>
      <c r="V1317" s="73"/>
      <c r="W1317" s="73"/>
      <c r="X1317" s="73"/>
      <c r="Y1317" s="73"/>
      <c r="Z1317" s="73"/>
      <c r="AA1317" s="73"/>
      <c r="AB1317" s="73"/>
    </row>
    <row r="1318">
      <c r="A1318" s="73"/>
      <c r="B1318" s="73">
        <v>151339.9933</v>
      </c>
      <c r="C1318" s="73">
        <v>2.41506091491704E7</v>
      </c>
      <c r="D1318" s="73">
        <v>4247250.60599939</v>
      </c>
      <c r="E1318" s="73">
        <v>1134958.03339548</v>
      </c>
      <c r="F1318" s="73"/>
      <c r="G1318" s="73"/>
      <c r="H1318" s="73"/>
      <c r="I1318" s="73"/>
      <c r="J1318" s="73"/>
      <c r="K1318" s="73"/>
      <c r="L1318" s="73"/>
      <c r="M1318" s="73"/>
      <c r="N1318" s="73"/>
      <c r="O1318" s="73"/>
      <c r="P1318" s="73"/>
      <c r="Q1318" s="73"/>
      <c r="R1318" s="73"/>
      <c r="S1318" s="73"/>
      <c r="T1318" s="73"/>
      <c r="U1318" s="73"/>
      <c r="V1318" s="73"/>
      <c r="W1318" s="73"/>
      <c r="X1318" s="73"/>
      <c r="Y1318" s="73"/>
      <c r="Z1318" s="73"/>
      <c r="AA1318" s="73"/>
      <c r="AB1318" s="73"/>
    </row>
    <row r="1319">
      <c r="A1319" s="73"/>
      <c r="B1319" s="73">
        <v>151640.4255</v>
      </c>
      <c r="C1319" s="73">
        <v>2.42005847477822E7</v>
      </c>
      <c r="D1319" s="73">
        <v>4261689.00400031</v>
      </c>
      <c r="E1319" s="73">
        <v>1137278.58854102</v>
      </c>
      <c r="F1319" s="73"/>
      <c r="G1319" s="73"/>
      <c r="H1319" s="73"/>
      <c r="I1319" s="73"/>
      <c r="J1319" s="73"/>
      <c r="K1319" s="73"/>
      <c r="L1319" s="73"/>
      <c r="M1319" s="73"/>
      <c r="N1319" s="73"/>
      <c r="O1319" s="73"/>
      <c r="P1319" s="73"/>
      <c r="Q1319" s="73"/>
      <c r="R1319" s="73"/>
      <c r="S1319" s="73"/>
      <c r="T1319" s="73"/>
      <c r="U1319" s="73"/>
      <c r="V1319" s="73"/>
      <c r="W1319" s="73"/>
      <c r="X1319" s="73"/>
      <c r="Y1319" s="73"/>
      <c r="Z1319" s="73"/>
      <c r="AA1319" s="73"/>
      <c r="AB1319" s="73"/>
    </row>
    <row r="1320">
      <c r="A1320" s="73"/>
      <c r="B1320" s="73">
        <v>151941.3405</v>
      </c>
      <c r="C1320" s="73">
        <v>2.42506262663922E7</v>
      </c>
      <c r="D1320" s="73">
        <v>4276159.64399741</v>
      </c>
      <c r="E1320" s="73">
        <v>1139602.40020154</v>
      </c>
      <c r="F1320" s="73"/>
      <c r="G1320" s="73"/>
      <c r="H1320" s="73"/>
      <c r="I1320" s="73"/>
      <c r="J1320" s="73"/>
      <c r="K1320" s="73"/>
      <c r="L1320" s="73"/>
      <c r="M1320" s="73"/>
      <c r="N1320" s="73"/>
      <c r="O1320" s="73"/>
      <c r="P1320" s="73"/>
      <c r="Q1320" s="73"/>
      <c r="R1320" s="73"/>
      <c r="S1320" s="73"/>
      <c r="T1320" s="73"/>
      <c r="U1320" s="73"/>
      <c r="V1320" s="73"/>
      <c r="W1320" s="73"/>
      <c r="X1320" s="73"/>
      <c r="Y1320" s="73"/>
      <c r="Z1320" s="73"/>
      <c r="AA1320" s="73"/>
      <c r="AB1320" s="73"/>
    </row>
    <row r="1321">
      <c r="A1321" s="73"/>
      <c r="B1321" s="73">
        <v>152242.7395</v>
      </c>
      <c r="C1321" s="73">
        <v>2.43007378250003E7</v>
      </c>
      <c r="D1321" s="73">
        <v>4290661.89699832</v>
      </c>
      <c r="E1321" s="73">
        <v>1141929.53571237</v>
      </c>
      <c r="F1321" s="73"/>
      <c r="G1321" s="73"/>
      <c r="H1321" s="73"/>
      <c r="I1321" s="73"/>
      <c r="J1321" s="73"/>
      <c r="K1321" s="73"/>
      <c r="L1321" s="73"/>
      <c r="M1321" s="73"/>
      <c r="N1321" s="73"/>
      <c r="O1321" s="73"/>
      <c r="P1321" s="73"/>
      <c r="Q1321" s="73"/>
      <c r="R1321" s="73"/>
      <c r="S1321" s="73"/>
      <c r="T1321" s="73"/>
      <c r="U1321" s="73"/>
      <c r="V1321" s="73"/>
      <c r="W1321" s="73"/>
      <c r="X1321" s="73"/>
      <c r="Y1321" s="73"/>
      <c r="Z1321" s="73"/>
      <c r="AA1321" s="73"/>
      <c r="AB1321" s="73"/>
    </row>
    <row r="1322">
      <c r="A1322" s="73"/>
      <c r="B1322" s="73">
        <v>152544.62</v>
      </c>
      <c r="C1322" s="73">
        <v>2.43509111836066E7</v>
      </c>
      <c r="D1322" s="73">
        <v>4305196.71199924</v>
      </c>
      <c r="E1322" s="73">
        <v>1144260.02147517</v>
      </c>
      <c r="F1322" s="73"/>
      <c r="G1322" s="73"/>
      <c r="H1322" s="73"/>
      <c r="I1322" s="73"/>
      <c r="J1322" s="73"/>
      <c r="K1322" s="73"/>
      <c r="L1322" s="73"/>
      <c r="M1322" s="73"/>
      <c r="N1322" s="73"/>
      <c r="O1322" s="73"/>
      <c r="P1322" s="73"/>
      <c r="Q1322" s="73"/>
      <c r="R1322" s="73"/>
      <c r="S1322" s="73"/>
      <c r="T1322" s="73"/>
      <c r="U1322" s="73"/>
      <c r="V1322" s="73"/>
      <c r="W1322" s="73"/>
      <c r="X1322" s="73"/>
      <c r="Y1322" s="73"/>
      <c r="Z1322" s="73"/>
      <c r="AA1322" s="73"/>
      <c r="AB1322" s="73"/>
    </row>
    <row r="1323">
      <c r="A1323" s="73"/>
      <c r="B1323" s="73">
        <v>152846.9845</v>
      </c>
      <c r="C1323" s="73">
        <v>2.44011504622111E7</v>
      </c>
      <c r="D1323" s="73">
        <v>4319763.78000015</v>
      </c>
      <c r="E1323" s="73">
        <v>1146593.77938056</v>
      </c>
      <c r="F1323" s="73"/>
      <c r="G1323" s="73"/>
      <c r="H1323" s="73"/>
      <c r="I1323" s="73"/>
      <c r="J1323" s="73"/>
      <c r="K1323" s="73"/>
      <c r="L1323" s="73"/>
      <c r="M1323" s="73"/>
      <c r="N1323" s="73"/>
      <c r="O1323" s="73"/>
      <c r="P1323" s="73"/>
      <c r="Q1323" s="73"/>
      <c r="R1323" s="73"/>
      <c r="S1323" s="73"/>
      <c r="T1323" s="73"/>
      <c r="U1323" s="73"/>
      <c r="V1323" s="73"/>
      <c r="W1323" s="73"/>
      <c r="X1323" s="73"/>
      <c r="Y1323" s="73"/>
      <c r="Z1323" s="73"/>
      <c r="AA1323" s="73"/>
      <c r="AB1323" s="73"/>
    </row>
    <row r="1324">
      <c r="A1324" s="73"/>
      <c r="B1324" s="73">
        <v>153149.8318</v>
      </c>
      <c r="C1324" s="73">
        <v>2.44514556608138E7</v>
      </c>
      <c r="D1324" s="73">
        <v>4334363.09099725</v>
      </c>
      <c r="E1324" s="73">
        <v>1148930.98044356</v>
      </c>
      <c r="F1324" s="73"/>
      <c r="G1324" s="73"/>
      <c r="H1324" s="73"/>
      <c r="I1324" s="73"/>
      <c r="J1324" s="73"/>
      <c r="K1324" s="73"/>
      <c r="L1324" s="73"/>
      <c r="M1324" s="73"/>
      <c r="N1324" s="73"/>
      <c r="O1324" s="73"/>
      <c r="P1324" s="73"/>
      <c r="Q1324" s="73"/>
      <c r="R1324" s="73"/>
      <c r="S1324" s="73"/>
      <c r="T1324" s="73"/>
      <c r="U1324" s="73"/>
      <c r="V1324" s="73"/>
      <c r="W1324" s="73"/>
      <c r="X1324" s="73"/>
      <c r="Y1324" s="73"/>
      <c r="Z1324" s="73"/>
      <c r="AA1324" s="73"/>
      <c r="AB1324" s="73"/>
    </row>
    <row r="1325">
      <c r="A1325" s="73"/>
      <c r="B1325" s="73">
        <v>153453.163</v>
      </c>
      <c r="C1325" s="73">
        <v>2.45018267794147E7</v>
      </c>
      <c r="D1325" s="73">
        <v>4348994.66399817</v>
      </c>
      <c r="E1325" s="73">
        <v>1151271.46310142</v>
      </c>
      <c r="F1325" s="73"/>
      <c r="G1325" s="73"/>
      <c r="H1325" s="73"/>
      <c r="I1325" s="73"/>
      <c r="J1325" s="73"/>
      <c r="K1325" s="73"/>
      <c r="L1325" s="73"/>
      <c r="M1325" s="73"/>
      <c r="N1325" s="73"/>
      <c r="O1325" s="73"/>
      <c r="P1325" s="73"/>
      <c r="Q1325" s="73"/>
      <c r="R1325" s="73"/>
      <c r="S1325" s="73"/>
      <c r="T1325" s="73"/>
      <c r="U1325" s="73"/>
      <c r="V1325" s="73"/>
      <c r="W1325" s="73"/>
      <c r="X1325" s="73"/>
      <c r="Y1325" s="73"/>
      <c r="Z1325" s="73"/>
      <c r="AA1325" s="73"/>
      <c r="AB1325" s="73"/>
    </row>
    <row r="1326">
      <c r="A1326" s="73"/>
      <c r="B1326" s="73">
        <v>153756.977</v>
      </c>
      <c r="C1326" s="73">
        <v>2.45522638180137E7</v>
      </c>
      <c r="D1326" s="73">
        <v>4363658.46999908</v>
      </c>
      <c r="E1326" s="73">
        <v>1153615.29373521</v>
      </c>
      <c r="F1326" s="73"/>
      <c r="G1326" s="73"/>
      <c r="H1326" s="73"/>
      <c r="I1326" s="73"/>
      <c r="J1326" s="73"/>
      <c r="K1326" s="73"/>
      <c r="L1326" s="73"/>
      <c r="M1326" s="73"/>
      <c r="N1326" s="73"/>
      <c r="O1326" s="73"/>
      <c r="P1326" s="73"/>
      <c r="Q1326" s="73"/>
      <c r="R1326" s="73"/>
      <c r="S1326" s="73"/>
      <c r="T1326" s="73"/>
      <c r="U1326" s="73"/>
      <c r="V1326" s="73"/>
      <c r="W1326" s="73"/>
      <c r="X1326" s="73"/>
      <c r="Y1326" s="73"/>
      <c r="Z1326" s="73"/>
      <c r="AA1326" s="73"/>
      <c r="AB1326" s="73"/>
    </row>
    <row r="1327">
      <c r="A1327" s="73"/>
      <c r="B1327" s="73">
        <v>154061.275</v>
      </c>
      <c r="C1327" s="73">
        <v>2.46027647166109E7</v>
      </c>
      <c r="D1327" s="73">
        <v>4378354.529</v>
      </c>
      <c r="E1327" s="73">
        <v>1155962.41476916</v>
      </c>
      <c r="F1327" s="73"/>
      <c r="G1327" s="73"/>
      <c r="H1327" s="73"/>
      <c r="I1327" s="73"/>
      <c r="J1327" s="73"/>
      <c r="K1327" s="73"/>
      <c r="L1327" s="73"/>
      <c r="M1327" s="73"/>
      <c r="N1327" s="73"/>
      <c r="O1327" s="73"/>
      <c r="P1327" s="73"/>
      <c r="Q1327" s="73"/>
      <c r="R1327" s="73"/>
      <c r="S1327" s="73"/>
      <c r="T1327" s="73"/>
      <c r="U1327" s="73"/>
      <c r="V1327" s="73"/>
      <c r="W1327" s="73"/>
      <c r="X1327" s="73"/>
      <c r="Y1327" s="73"/>
      <c r="Z1327" s="73"/>
      <c r="AA1327" s="73"/>
      <c r="AB1327" s="73"/>
    </row>
    <row r="1328">
      <c r="A1328" s="73"/>
      <c r="B1328" s="73">
        <v>154366.057</v>
      </c>
      <c r="C1328" s="73">
        <v>2.46533315352063E7</v>
      </c>
      <c r="D1328" s="73">
        <v>4393083.1499971</v>
      </c>
      <c r="E1328" s="73">
        <v>1158313.01780365</v>
      </c>
      <c r="F1328" s="73"/>
      <c r="G1328" s="73"/>
      <c r="H1328" s="73"/>
      <c r="I1328" s="73"/>
      <c r="J1328" s="73"/>
      <c r="K1328" s="73"/>
      <c r="L1328" s="73"/>
      <c r="M1328" s="73"/>
      <c r="N1328" s="73"/>
      <c r="O1328" s="73"/>
      <c r="P1328" s="73"/>
      <c r="Q1328" s="73"/>
      <c r="R1328" s="73"/>
      <c r="S1328" s="73"/>
      <c r="T1328" s="73"/>
      <c r="U1328" s="73"/>
      <c r="V1328" s="73"/>
      <c r="W1328" s="73"/>
      <c r="X1328" s="73"/>
      <c r="Y1328" s="73"/>
      <c r="Z1328" s="73"/>
      <c r="AA1328" s="73"/>
      <c r="AB1328" s="73"/>
    </row>
    <row r="1329">
      <c r="A1329" s="73"/>
      <c r="B1329" s="73">
        <v>154671.3218</v>
      </c>
      <c r="C1329" s="73">
        <v>2.47039642737999E7</v>
      </c>
      <c r="D1329" s="73">
        <v>4407844.03399802</v>
      </c>
      <c r="E1329" s="73">
        <v>1160666.89830662</v>
      </c>
      <c r="F1329" s="73"/>
      <c r="G1329" s="73"/>
      <c r="H1329" s="73"/>
      <c r="I1329" s="73"/>
      <c r="J1329" s="73"/>
      <c r="K1329" s="73"/>
      <c r="L1329" s="73"/>
      <c r="M1329" s="73"/>
      <c r="N1329" s="73"/>
      <c r="O1329" s="73"/>
      <c r="P1329" s="73"/>
      <c r="Q1329" s="73"/>
      <c r="R1329" s="73"/>
      <c r="S1329" s="73"/>
      <c r="T1329" s="73"/>
      <c r="U1329" s="73"/>
      <c r="V1329" s="73"/>
      <c r="W1329" s="73"/>
      <c r="X1329" s="73"/>
      <c r="Y1329" s="73"/>
      <c r="Z1329" s="73"/>
      <c r="AA1329" s="73"/>
      <c r="AB1329" s="73"/>
    </row>
    <row r="1330">
      <c r="A1330" s="73"/>
      <c r="B1330" s="73">
        <v>154977.0705</v>
      </c>
      <c r="C1330" s="73">
        <v>2.47546629323916E7</v>
      </c>
      <c r="D1330" s="73">
        <v>4422637.15999893</v>
      </c>
      <c r="E1330" s="73">
        <v>1163024.16454154</v>
      </c>
      <c r="F1330" s="73"/>
      <c r="G1330" s="73"/>
      <c r="H1330" s="73"/>
      <c r="I1330" s="73"/>
      <c r="J1330" s="73"/>
      <c r="K1330" s="73"/>
      <c r="L1330" s="73"/>
      <c r="M1330" s="73"/>
      <c r="N1330" s="73"/>
      <c r="O1330" s="73"/>
      <c r="P1330" s="73"/>
      <c r="Q1330" s="73"/>
      <c r="R1330" s="73"/>
      <c r="S1330" s="73"/>
      <c r="T1330" s="73"/>
      <c r="U1330" s="73"/>
      <c r="V1330" s="73"/>
      <c r="W1330" s="73"/>
      <c r="X1330" s="73"/>
      <c r="Y1330" s="73"/>
      <c r="Z1330" s="73"/>
      <c r="AA1330" s="73"/>
      <c r="AB1330" s="73"/>
    </row>
    <row r="1331">
      <c r="A1331" s="73"/>
      <c r="B1331" s="73">
        <v>155283.3033</v>
      </c>
      <c r="C1331" s="73">
        <v>2.48054275109816E7</v>
      </c>
      <c r="D1331" s="73">
        <v>4437463.17899985</v>
      </c>
      <c r="E1331" s="73">
        <v>1165384.79913848</v>
      </c>
      <c r="F1331" s="73"/>
      <c r="G1331" s="73"/>
      <c r="H1331" s="73"/>
      <c r="I1331" s="73"/>
      <c r="J1331" s="73"/>
      <c r="K1331" s="73"/>
      <c r="L1331" s="73"/>
      <c r="M1331" s="73"/>
      <c r="N1331" s="73"/>
      <c r="O1331" s="73"/>
      <c r="P1331" s="73"/>
      <c r="Q1331" s="73"/>
      <c r="R1331" s="73"/>
      <c r="S1331" s="73"/>
      <c r="T1331" s="73"/>
      <c r="U1331" s="73"/>
      <c r="V1331" s="73"/>
      <c r="W1331" s="73"/>
      <c r="X1331" s="73"/>
      <c r="Y1331" s="73"/>
      <c r="Z1331" s="73"/>
      <c r="AA1331" s="73"/>
      <c r="AB1331" s="73"/>
    </row>
    <row r="1332">
      <c r="A1332" s="73"/>
      <c r="B1332" s="73">
        <v>155590.02</v>
      </c>
      <c r="C1332" s="73">
        <v>2.48562580095696E7</v>
      </c>
      <c r="D1332" s="73">
        <v>4452321.43999695</v>
      </c>
      <c r="E1332" s="73">
        <v>1167748.84821107</v>
      </c>
      <c r="F1332" s="73"/>
      <c r="G1332" s="73"/>
      <c r="H1332" s="73"/>
      <c r="I1332" s="73"/>
      <c r="J1332" s="73"/>
      <c r="K1332" s="73"/>
      <c r="L1332" s="73"/>
      <c r="M1332" s="73"/>
      <c r="N1332" s="73"/>
      <c r="O1332" s="73"/>
      <c r="P1332" s="73"/>
      <c r="Q1332" s="73"/>
      <c r="R1332" s="73"/>
      <c r="S1332" s="73"/>
      <c r="T1332" s="73"/>
      <c r="U1332" s="73"/>
      <c r="V1332" s="73"/>
      <c r="W1332" s="73"/>
      <c r="X1332" s="73"/>
      <c r="Y1332" s="73"/>
      <c r="Z1332" s="73"/>
      <c r="AA1332" s="73"/>
      <c r="AB1332" s="73"/>
    </row>
    <row r="1333">
      <c r="A1333" s="73"/>
      <c r="B1333" s="73">
        <v>155897.222</v>
      </c>
      <c r="C1333" s="73">
        <v>2.49071544281559E7</v>
      </c>
      <c r="D1333" s="73">
        <v>4467212.28399786</v>
      </c>
      <c r="E1333" s="73">
        <v>1170116.27302117</v>
      </c>
      <c r="F1333" s="73"/>
      <c r="G1333" s="73"/>
      <c r="H1333" s="73"/>
      <c r="I1333" s="73"/>
      <c r="J1333" s="73"/>
      <c r="K1333" s="73"/>
      <c r="L1333" s="73"/>
      <c r="M1333" s="73"/>
      <c r="N1333" s="73"/>
      <c r="O1333" s="73"/>
      <c r="P1333" s="73"/>
      <c r="Q1333" s="73"/>
      <c r="R1333" s="73"/>
      <c r="S1333" s="73"/>
      <c r="T1333" s="73"/>
      <c r="U1333" s="73"/>
      <c r="V1333" s="73"/>
      <c r="W1333" s="73"/>
      <c r="X1333" s="73"/>
      <c r="Y1333" s="73"/>
      <c r="Z1333" s="73"/>
      <c r="AA1333" s="73"/>
      <c r="AB1333" s="73"/>
    </row>
    <row r="1334">
      <c r="A1334" s="73"/>
      <c r="B1334" s="73">
        <v>156204.9068</v>
      </c>
      <c r="C1334" s="73">
        <v>2.49581167667403E7</v>
      </c>
      <c r="D1334" s="73">
        <v>4482135.68099878</v>
      </c>
      <c r="E1334" s="73">
        <v>1172487.11951419</v>
      </c>
      <c r="F1334" s="73"/>
      <c r="G1334" s="73"/>
      <c r="H1334" s="73"/>
      <c r="I1334" s="73"/>
      <c r="J1334" s="73"/>
      <c r="K1334" s="73"/>
      <c r="L1334" s="73"/>
      <c r="M1334" s="73"/>
      <c r="N1334" s="73"/>
      <c r="O1334" s="73"/>
      <c r="P1334" s="73"/>
      <c r="Q1334" s="73"/>
      <c r="R1334" s="73"/>
      <c r="S1334" s="73"/>
      <c r="T1334" s="73"/>
      <c r="U1334" s="73"/>
      <c r="V1334" s="73"/>
      <c r="W1334" s="73"/>
      <c r="X1334" s="73"/>
      <c r="Y1334" s="73"/>
      <c r="Z1334" s="73"/>
      <c r="AA1334" s="73"/>
      <c r="AB1334" s="73"/>
    </row>
    <row r="1335">
      <c r="A1335" s="73"/>
      <c r="B1335" s="73">
        <v>156513.0768</v>
      </c>
      <c r="C1335" s="73">
        <v>2.50091450253229E7</v>
      </c>
      <c r="D1335" s="73">
        <v>4497091.64999969</v>
      </c>
      <c r="E1335" s="73">
        <v>1174861.26562803</v>
      </c>
      <c r="F1335" s="73"/>
      <c r="G1335" s="73"/>
      <c r="H1335" s="73"/>
      <c r="I1335" s="73"/>
      <c r="J1335" s="73"/>
      <c r="K1335" s="73"/>
      <c r="L1335" s="73"/>
      <c r="M1335" s="73"/>
      <c r="N1335" s="73"/>
      <c r="O1335" s="73"/>
      <c r="P1335" s="73"/>
      <c r="Q1335" s="73"/>
      <c r="R1335" s="73"/>
      <c r="S1335" s="73"/>
      <c r="T1335" s="73"/>
      <c r="U1335" s="73"/>
      <c r="V1335" s="73"/>
      <c r="W1335" s="73"/>
      <c r="X1335" s="73"/>
      <c r="Y1335" s="73"/>
      <c r="Z1335" s="73"/>
      <c r="AA1335" s="73"/>
      <c r="AB1335" s="73"/>
    </row>
    <row r="1336">
      <c r="A1336" s="73"/>
      <c r="B1336" s="73">
        <v>156821.7308</v>
      </c>
      <c r="C1336" s="73">
        <v>2.50602392039037E7</v>
      </c>
      <c r="D1336" s="73">
        <v>4512080.51200061</v>
      </c>
      <c r="E1336" s="73">
        <v>1177238.90213495</v>
      </c>
      <c r="F1336" s="73"/>
      <c r="G1336" s="73"/>
      <c r="H1336" s="73"/>
      <c r="I1336" s="73"/>
      <c r="J1336" s="73"/>
      <c r="K1336" s="73"/>
      <c r="L1336" s="73"/>
      <c r="M1336" s="73"/>
      <c r="N1336" s="73"/>
      <c r="O1336" s="73"/>
      <c r="P1336" s="73"/>
      <c r="Q1336" s="73"/>
      <c r="R1336" s="73"/>
      <c r="S1336" s="73"/>
      <c r="T1336" s="73"/>
      <c r="U1336" s="73"/>
      <c r="V1336" s="73"/>
      <c r="W1336" s="73"/>
      <c r="X1336" s="73"/>
      <c r="Y1336" s="73"/>
      <c r="Z1336" s="73"/>
      <c r="AA1336" s="73"/>
      <c r="AB1336" s="73"/>
    </row>
    <row r="1337">
      <c r="A1337" s="73"/>
      <c r="B1337" s="73">
        <v>157130.8688</v>
      </c>
      <c r="C1337" s="73">
        <v>2.51113972424827E7</v>
      </c>
      <c r="D1337" s="73">
        <v>4527101.63599771</v>
      </c>
      <c r="E1337" s="73">
        <v>1179619.86616532</v>
      </c>
      <c r="F1337" s="73"/>
      <c r="G1337" s="73"/>
      <c r="H1337" s="73"/>
      <c r="I1337" s="73"/>
      <c r="J1337" s="73"/>
      <c r="K1337" s="73"/>
      <c r="L1337" s="73"/>
      <c r="M1337" s="73"/>
      <c r="N1337" s="73"/>
      <c r="O1337" s="73"/>
      <c r="P1337" s="73"/>
      <c r="Q1337" s="73"/>
      <c r="R1337" s="73"/>
      <c r="S1337" s="73"/>
      <c r="T1337" s="73"/>
      <c r="U1337" s="73"/>
      <c r="V1337" s="73"/>
      <c r="W1337" s="73"/>
      <c r="X1337" s="73"/>
      <c r="Y1337" s="73"/>
      <c r="Z1337" s="73"/>
      <c r="AA1337" s="73"/>
      <c r="AB1337" s="73"/>
    </row>
    <row r="1338">
      <c r="A1338" s="73"/>
      <c r="B1338" s="73">
        <v>157440.492</v>
      </c>
      <c r="C1338" s="73">
        <v>2.51626253210597E7</v>
      </c>
      <c r="D1338" s="73">
        <v>4542155.64199863</v>
      </c>
      <c r="E1338" s="73">
        <v>1182004.24395449</v>
      </c>
      <c r="F1338" s="73"/>
      <c r="G1338" s="73"/>
      <c r="H1338" s="73"/>
      <c r="I1338" s="73"/>
      <c r="J1338" s="73"/>
      <c r="K1338" s="73"/>
      <c r="L1338" s="73"/>
      <c r="M1338" s="73"/>
      <c r="N1338" s="73"/>
      <c r="O1338" s="73"/>
      <c r="P1338" s="73"/>
      <c r="Q1338" s="73"/>
      <c r="R1338" s="73"/>
      <c r="S1338" s="73"/>
      <c r="T1338" s="73"/>
      <c r="U1338" s="73"/>
      <c r="V1338" s="73"/>
      <c r="W1338" s="73"/>
      <c r="X1338" s="73"/>
      <c r="Y1338" s="73"/>
      <c r="Z1338" s="73"/>
      <c r="AA1338" s="73"/>
      <c r="AB1338" s="73"/>
    </row>
    <row r="1339">
      <c r="A1339" s="73"/>
      <c r="B1339" s="73">
        <v>157750.6005</v>
      </c>
      <c r="C1339" s="73">
        <v>2.5213915199635E7</v>
      </c>
      <c r="D1339" s="73">
        <v>4557242.53199954</v>
      </c>
      <c r="E1339" s="73">
        <v>1184392.1218672</v>
      </c>
      <c r="F1339" s="73"/>
      <c r="G1339" s="73"/>
      <c r="H1339" s="73"/>
      <c r="I1339" s="73"/>
      <c r="J1339" s="73"/>
      <c r="K1339" s="73"/>
      <c r="L1339" s="73"/>
      <c r="M1339" s="73"/>
      <c r="N1339" s="73"/>
      <c r="O1339" s="73"/>
      <c r="P1339" s="73"/>
      <c r="Q1339" s="73"/>
      <c r="R1339" s="73"/>
      <c r="S1339" s="73"/>
      <c r="T1339" s="73"/>
      <c r="U1339" s="73"/>
      <c r="V1339" s="73"/>
      <c r="W1339" s="73"/>
      <c r="X1339" s="73"/>
      <c r="Y1339" s="73"/>
      <c r="Z1339" s="73"/>
      <c r="AA1339" s="73"/>
      <c r="AB1339" s="73"/>
    </row>
    <row r="1340">
      <c r="A1340" s="73"/>
      <c r="B1340" s="73">
        <v>158061.193</v>
      </c>
      <c r="C1340" s="73">
        <v>2.52652751182084E7</v>
      </c>
      <c r="D1340" s="73">
        <v>4572362.00300046</v>
      </c>
      <c r="E1340" s="73">
        <v>1186783.3366974</v>
      </c>
      <c r="F1340" s="73"/>
      <c r="G1340" s="73"/>
      <c r="H1340" s="73"/>
      <c r="I1340" s="73"/>
      <c r="J1340" s="73"/>
      <c r="K1340" s="73"/>
      <c r="L1340" s="73"/>
      <c r="M1340" s="73"/>
      <c r="N1340" s="73"/>
      <c r="O1340" s="73"/>
      <c r="P1340" s="73"/>
      <c r="Q1340" s="73"/>
      <c r="R1340" s="73"/>
      <c r="S1340" s="73"/>
      <c r="T1340" s="73"/>
      <c r="U1340" s="73"/>
      <c r="V1340" s="73"/>
      <c r="W1340" s="73"/>
      <c r="X1340" s="73"/>
      <c r="Y1340" s="73"/>
      <c r="Z1340" s="73"/>
      <c r="AA1340" s="73"/>
      <c r="AB1340" s="73"/>
    </row>
    <row r="1341">
      <c r="A1341" s="73"/>
      <c r="B1341" s="73">
        <v>158372.2708</v>
      </c>
      <c r="C1341" s="73">
        <v>2.531669889678E7</v>
      </c>
      <c r="D1341" s="73">
        <v>4587514.35699756</v>
      </c>
      <c r="E1341" s="73">
        <v>1189177.95337694</v>
      </c>
      <c r="F1341" s="73"/>
      <c r="G1341" s="73"/>
      <c r="H1341" s="73"/>
      <c r="I1341" s="73"/>
      <c r="J1341" s="73"/>
      <c r="K1341" s="73"/>
      <c r="L1341" s="73"/>
      <c r="M1341" s="73"/>
      <c r="N1341" s="73"/>
      <c r="O1341" s="73"/>
      <c r="P1341" s="73"/>
      <c r="Q1341" s="73"/>
      <c r="R1341" s="73"/>
      <c r="S1341" s="73"/>
      <c r="T1341" s="73"/>
      <c r="U1341" s="73"/>
      <c r="V1341" s="73"/>
      <c r="W1341" s="73"/>
      <c r="X1341" s="73"/>
      <c r="Y1341" s="73"/>
      <c r="Z1341" s="73"/>
      <c r="AA1341" s="73"/>
      <c r="AB1341" s="73"/>
    </row>
    <row r="1342">
      <c r="A1342" s="73"/>
      <c r="B1342" s="73">
        <v>158683.8338</v>
      </c>
      <c r="C1342" s="73">
        <v>2.53681885953498E7</v>
      </c>
      <c r="D1342" s="73">
        <v>4602699.60399847</v>
      </c>
      <c r="E1342" s="73">
        <v>1191576.01728187</v>
      </c>
      <c r="F1342" s="73"/>
      <c r="G1342" s="73"/>
      <c r="H1342" s="73"/>
      <c r="I1342" s="73"/>
      <c r="J1342" s="73"/>
      <c r="K1342" s="73"/>
      <c r="L1342" s="73"/>
      <c r="M1342" s="73"/>
      <c r="N1342" s="73"/>
      <c r="O1342" s="73"/>
      <c r="P1342" s="73"/>
      <c r="Q1342" s="73"/>
      <c r="R1342" s="73"/>
      <c r="S1342" s="73"/>
      <c r="T1342" s="73"/>
      <c r="U1342" s="73"/>
      <c r="V1342" s="73"/>
      <c r="W1342" s="73"/>
      <c r="X1342" s="73"/>
      <c r="Y1342" s="73"/>
      <c r="Z1342" s="73"/>
      <c r="AA1342" s="73"/>
      <c r="AB1342" s="73"/>
    </row>
    <row r="1343">
      <c r="A1343" s="73"/>
      <c r="B1343" s="73">
        <v>158995.882</v>
      </c>
      <c r="C1343" s="73">
        <v>2.54197421539178E7</v>
      </c>
      <c r="D1343" s="73">
        <v>4617917.74299939</v>
      </c>
      <c r="E1343" s="73">
        <v>1193977.51011065</v>
      </c>
      <c r="F1343" s="73"/>
      <c r="G1343" s="73"/>
      <c r="H1343" s="73"/>
      <c r="I1343" s="73"/>
      <c r="J1343" s="73"/>
      <c r="K1343" s="73"/>
      <c r="L1343" s="73"/>
      <c r="M1343" s="73"/>
      <c r="N1343" s="73"/>
      <c r="O1343" s="73"/>
      <c r="P1343" s="73"/>
      <c r="Q1343" s="73"/>
      <c r="R1343" s="73"/>
      <c r="S1343" s="73"/>
      <c r="T1343" s="73"/>
      <c r="U1343" s="73"/>
      <c r="V1343" s="73"/>
      <c r="W1343" s="73"/>
      <c r="X1343" s="73"/>
      <c r="Y1343" s="73"/>
      <c r="Z1343" s="73"/>
      <c r="AA1343" s="73"/>
      <c r="AB1343" s="73"/>
    </row>
    <row r="1344">
      <c r="A1344" s="73"/>
      <c r="B1344" s="73">
        <v>159308.4143</v>
      </c>
      <c r="C1344" s="73">
        <v>2.54713657524838E7</v>
      </c>
      <c r="D1344" s="73">
        <v>4633168.77400031</v>
      </c>
      <c r="E1344" s="73">
        <v>1196382.49661394</v>
      </c>
      <c r="F1344" s="73"/>
      <c r="G1344" s="73"/>
      <c r="H1344" s="73"/>
      <c r="I1344" s="73"/>
      <c r="J1344" s="73"/>
      <c r="K1344" s="73"/>
      <c r="L1344" s="73"/>
      <c r="M1344" s="73"/>
      <c r="N1344" s="73"/>
      <c r="O1344" s="73"/>
      <c r="P1344" s="73"/>
      <c r="Q1344" s="73"/>
      <c r="R1344" s="73"/>
      <c r="S1344" s="73"/>
      <c r="T1344" s="73"/>
      <c r="U1344" s="73"/>
      <c r="V1344" s="73"/>
      <c r="W1344" s="73"/>
      <c r="X1344" s="73"/>
      <c r="Y1344" s="73"/>
      <c r="Z1344" s="73"/>
      <c r="AA1344" s="73"/>
      <c r="AB1344" s="73"/>
    </row>
    <row r="1345">
      <c r="A1345" s="73"/>
      <c r="B1345" s="73">
        <v>159621.433</v>
      </c>
      <c r="C1345" s="73">
        <v>2.55230532110481E7</v>
      </c>
      <c r="D1345" s="73">
        <v>4648452.69799741</v>
      </c>
      <c r="E1345" s="73">
        <v>1198790.85575279</v>
      </c>
      <c r="F1345" s="73"/>
      <c r="G1345" s="73"/>
      <c r="H1345" s="73"/>
      <c r="I1345" s="73"/>
      <c r="J1345" s="73"/>
      <c r="K1345" s="73"/>
      <c r="L1345" s="73"/>
      <c r="M1345" s="73"/>
      <c r="N1345" s="73"/>
      <c r="O1345" s="73"/>
      <c r="P1345" s="73"/>
      <c r="Q1345" s="73"/>
      <c r="R1345" s="73"/>
      <c r="S1345" s="73"/>
      <c r="T1345" s="73"/>
      <c r="U1345" s="73"/>
      <c r="V1345" s="73"/>
      <c r="W1345" s="73"/>
      <c r="X1345" s="73"/>
      <c r="Y1345" s="73"/>
      <c r="Z1345" s="73"/>
      <c r="AA1345" s="73"/>
      <c r="AB1345" s="73"/>
    </row>
    <row r="1346">
      <c r="A1346" s="73"/>
      <c r="B1346" s="73">
        <v>159934.937</v>
      </c>
      <c r="C1346" s="73">
        <v>2.55748107096105E7</v>
      </c>
      <c r="D1346" s="73">
        <v>4663769.18499832</v>
      </c>
      <c r="E1346" s="73">
        <v>1201202.63094849</v>
      </c>
      <c r="F1346" s="73"/>
      <c r="G1346" s="73"/>
      <c r="H1346" s="73"/>
      <c r="I1346" s="73"/>
      <c r="J1346" s="73"/>
      <c r="K1346" s="73"/>
      <c r="L1346" s="73"/>
      <c r="M1346" s="73"/>
      <c r="N1346" s="73"/>
      <c r="O1346" s="73"/>
      <c r="P1346" s="73"/>
      <c r="Q1346" s="73"/>
      <c r="R1346" s="73"/>
      <c r="S1346" s="73"/>
      <c r="T1346" s="73"/>
      <c r="U1346" s="73"/>
      <c r="V1346" s="73"/>
      <c r="W1346" s="73"/>
      <c r="X1346" s="73"/>
      <c r="Y1346" s="73"/>
      <c r="Z1346" s="73"/>
      <c r="AA1346" s="73"/>
      <c r="AB1346" s="73"/>
    </row>
    <row r="1347">
      <c r="A1347" s="73"/>
      <c r="B1347" s="73">
        <v>160248.925</v>
      </c>
      <c r="C1347" s="73">
        <v>2.5626632068171E7</v>
      </c>
      <c r="D1347" s="73">
        <v>4679119.22299924</v>
      </c>
      <c r="E1347" s="73">
        <v>1203617.92924819</v>
      </c>
      <c r="F1347" s="73"/>
      <c r="G1347" s="73"/>
      <c r="H1347" s="73"/>
      <c r="I1347" s="73"/>
      <c r="J1347" s="73"/>
      <c r="K1347" s="73"/>
      <c r="L1347" s="73"/>
      <c r="M1347" s="73"/>
      <c r="N1347" s="73"/>
      <c r="O1347" s="73"/>
      <c r="P1347" s="73"/>
      <c r="Q1347" s="73"/>
      <c r="R1347" s="73"/>
      <c r="S1347" s="73"/>
      <c r="T1347" s="73"/>
      <c r="U1347" s="73"/>
      <c r="V1347" s="73"/>
      <c r="W1347" s="73"/>
      <c r="X1347" s="73"/>
      <c r="Y1347" s="73"/>
      <c r="Z1347" s="73"/>
      <c r="AA1347" s="73"/>
      <c r="AB1347" s="73"/>
    </row>
    <row r="1348">
      <c r="A1348" s="73"/>
      <c r="B1348" s="73">
        <v>160563.4008</v>
      </c>
      <c r="C1348" s="73">
        <v>2.56785193467298E7</v>
      </c>
      <c r="D1348" s="73">
        <v>4694502.13500015</v>
      </c>
      <c r="E1348" s="73">
        <v>1206036.6082318</v>
      </c>
      <c r="F1348" s="73"/>
      <c r="G1348" s="73"/>
      <c r="H1348" s="73"/>
      <c r="I1348" s="73"/>
      <c r="J1348" s="73"/>
      <c r="K1348" s="73"/>
      <c r="L1348" s="73"/>
      <c r="M1348" s="73"/>
      <c r="N1348" s="73"/>
      <c r="O1348" s="73"/>
      <c r="P1348" s="73"/>
      <c r="Q1348" s="73"/>
      <c r="R1348" s="73"/>
      <c r="S1348" s="73"/>
      <c r="T1348" s="73"/>
      <c r="U1348" s="73"/>
      <c r="V1348" s="73"/>
      <c r="W1348" s="73"/>
      <c r="X1348" s="73"/>
      <c r="Y1348" s="73"/>
      <c r="Z1348" s="73"/>
      <c r="AA1348" s="73"/>
      <c r="AB1348" s="73"/>
    </row>
    <row r="1349">
      <c r="A1349" s="73"/>
      <c r="B1349" s="73">
        <v>160878.3605</v>
      </c>
      <c r="C1349" s="73">
        <v>2.57304746052866E7</v>
      </c>
      <c r="D1349" s="73">
        <v>4709917.94799725</v>
      </c>
      <c r="E1349" s="73">
        <v>1208458.79434695</v>
      </c>
      <c r="F1349" s="73"/>
      <c r="G1349" s="73"/>
      <c r="H1349" s="73"/>
      <c r="I1349" s="73"/>
      <c r="J1349" s="73"/>
      <c r="K1349" s="73"/>
      <c r="L1349" s="73"/>
      <c r="M1349" s="73"/>
      <c r="N1349" s="73"/>
      <c r="O1349" s="73"/>
      <c r="P1349" s="73"/>
      <c r="Q1349" s="73"/>
      <c r="R1349" s="73"/>
      <c r="S1349" s="73"/>
      <c r="T1349" s="73"/>
      <c r="U1349" s="73"/>
      <c r="V1349" s="73"/>
      <c r="W1349" s="73"/>
      <c r="X1349" s="73"/>
      <c r="Y1349" s="73"/>
      <c r="Z1349" s="73"/>
      <c r="AA1349" s="73"/>
      <c r="AB1349" s="73"/>
    </row>
    <row r="1350">
      <c r="A1350" s="73"/>
      <c r="B1350" s="73">
        <v>161193.808</v>
      </c>
      <c r="C1350" s="73">
        <v>2.57824916638417E7</v>
      </c>
      <c r="D1350" s="73">
        <v>4725366.96399817</v>
      </c>
      <c r="E1350" s="73">
        <v>1210884.34507003</v>
      </c>
      <c r="F1350" s="73"/>
      <c r="G1350" s="73"/>
      <c r="H1350" s="73"/>
      <c r="I1350" s="73"/>
      <c r="J1350" s="73"/>
      <c r="K1350" s="73"/>
      <c r="L1350" s="73"/>
      <c r="M1350" s="73"/>
      <c r="N1350" s="73"/>
      <c r="O1350" s="73"/>
      <c r="P1350" s="73"/>
      <c r="Q1350" s="73"/>
      <c r="R1350" s="73"/>
      <c r="S1350" s="73"/>
      <c r="T1350" s="73"/>
      <c r="U1350" s="73"/>
      <c r="V1350" s="73"/>
      <c r="W1350" s="73"/>
      <c r="X1350" s="73"/>
      <c r="Y1350" s="73"/>
      <c r="Z1350" s="73"/>
      <c r="AA1350" s="73"/>
      <c r="AB1350" s="73"/>
    </row>
    <row r="1351">
      <c r="A1351" s="73"/>
      <c r="B1351" s="73">
        <v>161509.7395</v>
      </c>
      <c r="C1351" s="73">
        <v>2.58345808223948E7</v>
      </c>
      <c r="D1351" s="73">
        <v>4740849.19299908</v>
      </c>
      <c r="E1351" s="73">
        <v>1213313.45039692</v>
      </c>
      <c r="F1351" s="73"/>
      <c r="G1351" s="73"/>
      <c r="H1351" s="73"/>
      <c r="I1351" s="73"/>
      <c r="J1351" s="73"/>
      <c r="K1351" s="73"/>
      <c r="L1351" s="73"/>
      <c r="M1351" s="73"/>
      <c r="N1351" s="73"/>
      <c r="O1351" s="73"/>
      <c r="P1351" s="73"/>
      <c r="Q1351" s="73"/>
      <c r="R1351" s="73"/>
      <c r="S1351" s="73"/>
      <c r="T1351" s="73"/>
      <c r="U1351" s="73"/>
      <c r="V1351" s="73"/>
      <c r="W1351" s="73"/>
      <c r="X1351" s="73"/>
      <c r="Y1351" s="73"/>
      <c r="Z1351" s="73"/>
      <c r="AA1351" s="73"/>
      <c r="AB1351" s="73"/>
    </row>
    <row r="1352">
      <c r="A1352" s="73"/>
      <c r="B1352" s="73">
        <v>161826.1575</v>
      </c>
      <c r="C1352" s="73">
        <v>2.58867317809463E7</v>
      </c>
      <c r="D1352" s="73">
        <v>4756364.314</v>
      </c>
      <c r="E1352" s="73">
        <v>1215745.90410049</v>
      </c>
      <c r="F1352" s="73"/>
      <c r="G1352" s="73"/>
      <c r="H1352" s="73"/>
      <c r="I1352" s="73"/>
      <c r="J1352" s="73"/>
      <c r="K1352" s="73"/>
      <c r="L1352" s="73"/>
      <c r="M1352" s="73"/>
      <c r="N1352" s="73"/>
      <c r="O1352" s="73"/>
      <c r="P1352" s="73"/>
      <c r="Q1352" s="73"/>
      <c r="R1352" s="73"/>
      <c r="S1352" s="73"/>
      <c r="T1352" s="73"/>
      <c r="U1352" s="73"/>
      <c r="V1352" s="73"/>
      <c r="W1352" s="73"/>
      <c r="X1352" s="73"/>
      <c r="Y1352" s="73"/>
      <c r="Z1352" s="73"/>
      <c r="AA1352" s="73"/>
      <c r="AB1352" s="73"/>
    </row>
    <row r="1353">
      <c r="A1353" s="73"/>
      <c r="B1353" s="73">
        <v>162143.062</v>
      </c>
      <c r="C1353" s="73">
        <v>2.59389548394957E7</v>
      </c>
      <c r="D1353" s="73">
        <v>4771912.9769971</v>
      </c>
      <c r="E1353" s="73">
        <v>1218181.89612486</v>
      </c>
      <c r="F1353" s="73"/>
      <c r="G1353" s="73"/>
      <c r="H1353" s="73"/>
      <c r="I1353" s="73"/>
      <c r="J1353" s="73"/>
      <c r="K1353" s="73"/>
      <c r="L1353" s="73"/>
      <c r="M1353" s="73"/>
      <c r="N1353" s="73"/>
      <c r="O1353" s="73"/>
      <c r="P1353" s="73"/>
      <c r="Q1353" s="73"/>
      <c r="R1353" s="73"/>
      <c r="S1353" s="73"/>
      <c r="T1353" s="73"/>
      <c r="U1353" s="73"/>
      <c r="V1353" s="73"/>
      <c r="W1353" s="73"/>
      <c r="X1353" s="73"/>
      <c r="Y1353" s="73"/>
      <c r="Z1353" s="73"/>
      <c r="AA1353" s="73"/>
      <c r="AB1353" s="73"/>
    </row>
    <row r="1354">
      <c r="A1354" s="73"/>
      <c r="B1354" s="73">
        <v>162460.453</v>
      </c>
      <c r="C1354" s="73">
        <v>2.59912396980433E7</v>
      </c>
      <c r="D1354" s="73">
        <v>4787494.84299802</v>
      </c>
      <c r="E1354" s="73">
        <v>1220621.34569513</v>
      </c>
      <c r="F1354" s="73"/>
      <c r="G1354" s="73"/>
      <c r="H1354" s="73"/>
      <c r="I1354" s="73"/>
      <c r="J1354" s="73"/>
      <c r="K1354" s="73"/>
      <c r="L1354" s="73"/>
      <c r="M1354" s="73"/>
      <c r="N1354" s="73"/>
      <c r="O1354" s="73"/>
      <c r="P1354" s="73"/>
      <c r="Q1354" s="73"/>
      <c r="R1354" s="73"/>
      <c r="S1354" s="73"/>
      <c r="T1354" s="73"/>
      <c r="U1354" s="73"/>
      <c r="V1354" s="73"/>
      <c r="W1354" s="73"/>
      <c r="X1354" s="73"/>
      <c r="Y1354" s="73"/>
      <c r="Z1354" s="73"/>
      <c r="AA1354" s="73"/>
      <c r="AB1354" s="73"/>
    </row>
    <row r="1355">
      <c r="A1355" s="73"/>
      <c r="B1355" s="73">
        <v>162778.3293</v>
      </c>
      <c r="C1355" s="73">
        <v>2.60435945965891E7</v>
      </c>
      <c r="D1355" s="73">
        <v>4803109.61099893</v>
      </c>
      <c r="E1355" s="73">
        <v>1223064.27634042</v>
      </c>
      <c r="F1355" s="73"/>
      <c r="G1355" s="73"/>
      <c r="H1355" s="73"/>
      <c r="I1355" s="73"/>
      <c r="J1355" s="73"/>
      <c r="K1355" s="73"/>
      <c r="L1355" s="73"/>
      <c r="M1355" s="73"/>
      <c r="N1355" s="73"/>
      <c r="O1355" s="73"/>
      <c r="P1355" s="73"/>
      <c r="Q1355" s="73"/>
      <c r="R1355" s="73"/>
      <c r="S1355" s="73"/>
      <c r="T1355" s="73"/>
      <c r="U1355" s="73"/>
      <c r="V1355" s="73"/>
      <c r="W1355" s="73"/>
      <c r="X1355" s="73"/>
      <c r="Y1355" s="73"/>
      <c r="Z1355" s="73"/>
      <c r="AA1355" s="73"/>
      <c r="AB1355" s="73"/>
    </row>
    <row r="1356">
      <c r="A1356" s="73"/>
      <c r="B1356" s="73">
        <v>163096.692</v>
      </c>
      <c r="C1356" s="73">
        <v>2.60960112951331E7</v>
      </c>
      <c r="D1356" s="73">
        <v>4818757.91099985</v>
      </c>
      <c r="E1356" s="73">
        <v>1225510.64798981</v>
      </c>
      <c r="F1356" s="73"/>
      <c r="G1356" s="73"/>
      <c r="H1356" s="73"/>
      <c r="I1356" s="73"/>
      <c r="J1356" s="73"/>
      <c r="K1356" s="73"/>
      <c r="L1356" s="73"/>
      <c r="M1356" s="73"/>
      <c r="N1356" s="73"/>
      <c r="O1356" s="73"/>
      <c r="P1356" s="73"/>
      <c r="Q1356" s="73"/>
      <c r="R1356" s="73"/>
      <c r="S1356" s="73"/>
      <c r="T1356" s="73"/>
      <c r="U1356" s="73"/>
      <c r="V1356" s="73"/>
      <c r="W1356" s="73"/>
      <c r="X1356" s="73"/>
      <c r="Y1356" s="73"/>
      <c r="Z1356" s="73"/>
      <c r="AA1356" s="73"/>
      <c r="AB1356" s="73"/>
    </row>
    <row r="1357">
      <c r="A1357" s="73"/>
      <c r="B1357" s="73">
        <v>163415.5413</v>
      </c>
      <c r="C1357" s="73">
        <v>2.61485000936751E7</v>
      </c>
      <c r="D1357" s="73">
        <v>4834439.41399695</v>
      </c>
      <c r="E1357" s="73">
        <v>1227960.56727641</v>
      </c>
      <c r="F1357" s="73"/>
      <c r="G1357" s="73"/>
      <c r="H1357" s="73"/>
      <c r="I1357" s="73"/>
      <c r="J1357" s="73"/>
      <c r="K1357" s="73"/>
      <c r="L1357" s="73"/>
      <c r="M1357" s="73"/>
      <c r="N1357" s="73"/>
      <c r="O1357" s="73"/>
      <c r="P1357" s="73"/>
      <c r="Q1357" s="73"/>
      <c r="R1357" s="73"/>
      <c r="S1357" s="73"/>
      <c r="T1357" s="73"/>
      <c r="U1357" s="73"/>
      <c r="V1357" s="73"/>
      <c r="W1357" s="73"/>
      <c r="X1357" s="73"/>
      <c r="Y1357" s="73"/>
      <c r="Z1357" s="73"/>
      <c r="AA1357" s="73"/>
      <c r="AB1357" s="73"/>
    </row>
    <row r="1358">
      <c r="A1358" s="73"/>
      <c r="B1358" s="73">
        <v>163734.877</v>
      </c>
      <c r="C1358" s="73">
        <v>2.62010548122153E7</v>
      </c>
      <c r="D1358" s="73">
        <v>4850154.45899786</v>
      </c>
      <c r="E1358" s="73">
        <v>1230413.89141781</v>
      </c>
      <c r="F1358" s="73"/>
      <c r="G1358" s="73"/>
      <c r="H1358" s="73"/>
      <c r="I1358" s="73"/>
      <c r="J1358" s="73"/>
      <c r="K1358" s="73"/>
      <c r="L1358" s="73"/>
      <c r="M1358" s="73"/>
      <c r="N1358" s="73"/>
      <c r="O1358" s="73"/>
      <c r="P1358" s="73"/>
      <c r="Q1358" s="73"/>
      <c r="R1358" s="73"/>
      <c r="S1358" s="73"/>
      <c r="T1358" s="73"/>
      <c r="U1358" s="73"/>
      <c r="V1358" s="73"/>
      <c r="W1358" s="73"/>
      <c r="X1358" s="73"/>
      <c r="Y1358" s="73"/>
      <c r="Z1358" s="73"/>
      <c r="AA1358" s="73"/>
      <c r="AB1358" s="73"/>
    </row>
    <row r="1359">
      <c r="A1359" s="73"/>
      <c r="B1359" s="73">
        <v>164054.7005</v>
      </c>
      <c r="C1359" s="73">
        <v>2.62536733907537E7</v>
      </c>
      <c r="D1359" s="73">
        <v>4865902.71599878</v>
      </c>
      <c r="E1359" s="73">
        <v>1232870.74644759</v>
      </c>
      <c r="F1359" s="73"/>
      <c r="G1359" s="73"/>
      <c r="H1359" s="73"/>
      <c r="I1359" s="73"/>
      <c r="J1359" s="73"/>
      <c r="K1359" s="73"/>
      <c r="L1359" s="73"/>
      <c r="M1359" s="73"/>
      <c r="N1359" s="73"/>
      <c r="O1359" s="73"/>
      <c r="P1359" s="73"/>
      <c r="Q1359" s="73"/>
      <c r="R1359" s="73"/>
      <c r="S1359" s="73"/>
      <c r="T1359" s="73"/>
      <c r="U1359" s="73"/>
      <c r="V1359" s="73"/>
      <c r="W1359" s="73"/>
      <c r="X1359" s="73"/>
      <c r="Y1359" s="73"/>
      <c r="Z1359" s="73"/>
      <c r="AA1359" s="73"/>
      <c r="AB1359" s="73"/>
    </row>
    <row r="1360">
      <c r="A1360" s="73"/>
      <c r="B1360" s="73">
        <v>164375.0093</v>
      </c>
      <c r="C1360" s="73">
        <v>2.63063620092902E7</v>
      </c>
      <c r="D1360" s="73">
        <v>4881684.5059997</v>
      </c>
      <c r="E1360" s="73">
        <v>1235331.09383559</v>
      </c>
      <c r="F1360" s="73"/>
      <c r="G1360" s="73"/>
      <c r="H1360" s="73"/>
      <c r="I1360" s="73"/>
      <c r="J1360" s="73"/>
      <c r="K1360" s="73"/>
      <c r="L1360" s="73"/>
      <c r="M1360" s="73"/>
      <c r="N1360" s="73"/>
      <c r="O1360" s="73"/>
      <c r="P1360" s="73"/>
      <c r="Q1360" s="73"/>
      <c r="R1360" s="73"/>
      <c r="S1360" s="73"/>
      <c r="T1360" s="73"/>
      <c r="U1360" s="73"/>
      <c r="V1360" s="73"/>
      <c r="W1360" s="73"/>
      <c r="X1360" s="73"/>
      <c r="Y1360" s="73"/>
      <c r="Z1360" s="73"/>
      <c r="AA1360" s="73"/>
      <c r="AB1360" s="73"/>
    </row>
    <row r="1361">
      <c r="A1361" s="73"/>
      <c r="B1361" s="73">
        <v>164695.8058</v>
      </c>
      <c r="C1361" s="73">
        <v>2.63591144878249E7</v>
      </c>
      <c r="D1361" s="73">
        <v>4897499.82800061</v>
      </c>
      <c r="E1361" s="73">
        <v>1237794.89335562</v>
      </c>
      <c r="F1361" s="73"/>
      <c r="G1361" s="73"/>
      <c r="H1361" s="73"/>
      <c r="I1361" s="73"/>
      <c r="J1361" s="73"/>
      <c r="K1361" s="73"/>
      <c r="L1361" s="73"/>
      <c r="M1361" s="73"/>
      <c r="N1361" s="73"/>
      <c r="O1361" s="73"/>
      <c r="P1361" s="73"/>
      <c r="Q1361" s="73"/>
      <c r="R1361" s="73"/>
      <c r="S1361" s="73"/>
      <c r="T1361" s="73"/>
      <c r="U1361" s="73"/>
      <c r="V1361" s="73"/>
      <c r="W1361" s="73"/>
      <c r="X1361" s="73"/>
      <c r="Y1361" s="73"/>
      <c r="Z1361" s="73"/>
      <c r="AA1361" s="73"/>
      <c r="AB1361" s="73"/>
    </row>
    <row r="1362">
      <c r="A1362" s="73"/>
      <c r="B1362" s="73">
        <v>165017.0888</v>
      </c>
      <c r="C1362" s="73">
        <v>2.64119328863578E7</v>
      </c>
      <c r="D1362" s="73">
        <v>4913348.68299771</v>
      </c>
      <c r="E1362" s="73">
        <v>1240262.189478</v>
      </c>
      <c r="F1362" s="73"/>
      <c r="G1362" s="73"/>
      <c r="H1362" s="73"/>
      <c r="I1362" s="73"/>
      <c r="J1362" s="73"/>
      <c r="K1362" s="73"/>
      <c r="L1362" s="73"/>
      <c r="M1362" s="73"/>
      <c r="N1362" s="73"/>
      <c r="O1362" s="73"/>
      <c r="P1362" s="73"/>
      <c r="Q1362" s="73"/>
      <c r="R1362" s="73"/>
      <c r="S1362" s="73"/>
      <c r="T1362" s="73"/>
      <c r="U1362" s="73"/>
      <c r="V1362" s="73"/>
      <c r="W1362" s="73"/>
      <c r="X1362" s="73"/>
      <c r="Y1362" s="73"/>
      <c r="Z1362" s="73"/>
      <c r="AA1362" s="73"/>
      <c r="AB1362" s="73"/>
    </row>
    <row r="1363">
      <c r="A1363" s="73"/>
      <c r="B1363" s="73">
        <v>165338.8595</v>
      </c>
      <c r="C1363" s="73">
        <v>2.64648213248887E7</v>
      </c>
      <c r="D1363" s="73">
        <v>4929230.75899863</v>
      </c>
      <c r="E1363" s="73">
        <v>1242733.02518407</v>
      </c>
      <c r="F1363" s="73"/>
      <c r="G1363" s="73"/>
      <c r="H1363" s="73"/>
      <c r="I1363" s="73"/>
      <c r="J1363" s="73"/>
      <c r="K1363" s="73"/>
      <c r="L1363" s="73"/>
      <c r="M1363" s="73"/>
      <c r="N1363" s="73"/>
      <c r="O1363" s="73"/>
      <c r="P1363" s="73"/>
      <c r="Q1363" s="73"/>
      <c r="R1363" s="73"/>
      <c r="S1363" s="73"/>
      <c r="T1363" s="73"/>
      <c r="U1363" s="73"/>
      <c r="V1363" s="73"/>
      <c r="W1363" s="73"/>
      <c r="X1363" s="73"/>
      <c r="Y1363" s="73"/>
      <c r="Z1363" s="73"/>
      <c r="AA1363" s="73"/>
      <c r="AB1363" s="73"/>
    </row>
    <row r="1364">
      <c r="A1364" s="73"/>
      <c r="B1364" s="73">
        <v>165661.1168</v>
      </c>
      <c r="C1364" s="73">
        <v>2.65177756834178E7</v>
      </c>
      <c r="D1364" s="73">
        <v>4945146.68799954</v>
      </c>
      <c r="E1364" s="73">
        <v>1245207.36158136</v>
      </c>
      <c r="F1364" s="73"/>
      <c r="G1364" s="73"/>
      <c r="H1364" s="73"/>
      <c r="I1364" s="73"/>
      <c r="J1364" s="73"/>
      <c r="K1364" s="73"/>
      <c r="L1364" s="73"/>
      <c r="M1364" s="73"/>
      <c r="N1364" s="73"/>
      <c r="O1364" s="73"/>
      <c r="P1364" s="73"/>
      <c r="Q1364" s="73"/>
      <c r="R1364" s="73"/>
      <c r="S1364" s="73"/>
      <c r="T1364" s="73"/>
      <c r="U1364" s="73"/>
      <c r="V1364" s="73"/>
      <c r="W1364" s="73"/>
      <c r="X1364" s="73"/>
      <c r="Y1364" s="73"/>
      <c r="Z1364" s="73"/>
      <c r="AA1364" s="73"/>
      <c r="AB1364" s="73"/>
    </row>
    <row r="1365">
      <c r="A1365" s="73"/>
      <c r="B1365" s="73">
        <v>165983.8605</v>
      </c>
      <c r="C1365" s="73">
        <v>2.6570798021945E7</v>
      </c>
      <c r="D1365" s="73">
        <v>4961095.82000046</v>
      </c>
      <c r="E1365" s="73">
        <v>1247685.17974722</v>
      </c>
      <c r="F1365" s="73"/>
      <c r="G1365" s="73"/>
      <c r="H1365" s="73"/>
      <c r="I1365" s="73"/>
      <c r="J1365" s="73"/>
      <c r="K1365" s="73"/>
      <c r="L1365" s="73"/>
      <c r="M1365" s="73"/>
      <c r="N1365" s="73"/>
      <c r="O1365" s="73"/>
      <c r="P1365" s="73"/>
      <c r="Q1365" s="73"/>
      <c r="R1365" s="73"/>
      <c r="S1365" s="73"/>
      <c r="T1365" s="73"/>
      <c r="U1365" s="73"/>
      <c r="V1365" s="73"/>
      <c r="W1365" s="73"/>
      <c r="X1365" s="73"/>
      <c r="Y1365" s="73"/>
      <c r="Z1365" s="73"/>
      <c r="AA1365" s="73"/>
      <c r="AB1365" s="73"/>
    </row>
    <row r="1366">
      <c r="A1366" s="73"/>
      <c r="B1366" s="73">
        <v>166307.092</v>
      </c>
      <c r="C1366" s="73">
        <v>2.66238862804704E7</v>
      </c>
      <c r="D1366" s="73">
        <v>4977078.81299756</v>
      </c>
      <c r="E1366" s="73">
        <v>1250166.46044843</v>
      </c>
      <c r="F1366" s="73"/>
      <c r="G1366" s="73"/>
      <c r="H1366" s="73"/>
      <c r="I1366" s="73"/>
      <c r="J1366" s="73"/>
      <c r="K1366" s="73"/>
      <c r="L1366" s="73"/>
      <c r="M1366" s="73"/>
      <c r="N1366" s="73"/>
      <c r="O1366" s="73"/>
      <c r="P1366" s="73"/>
      <c r="Q1366" s="73"/>
      <c r="R1366" s="73"/>
      <c r="S1366" s="73"/>
      <c r="T1366" s="73"/>
      <c r="U1366" s="73"/>
      <c r="V1366" s="73"/>
      <c r="W1366" s="73"/>
      <c r="X1366" s="73"/>
      <c r="Y1366" s="73"/>
      <c r="Z1366" s="73"/>
      <c r="AA1366" s="73"/>
      <c r="AB1366" s="73"/>
    </row>
    <row r="1367">
      <c r="A1367" s="73"/>
      <c r="B1367" s="73">
        <v>166630.8113</v>
      </c>
      <c r="C1367" s="73">
        <v>2.66770404589939E7</v>
      </c>
      <c r="D1367" s="73">
        <v>4993095.33899847</v>
      </c>
      <c r="E1367" s="73">
        <v>1252651.33105228</v>
      </c>
      <c r="F1367" s="73"/>
      <c r="G1367" s="73"/>
      <c r="H1367" s="73"/>
      <c r="I1367" s="73"/>
      <c r="J1367" s="73"/>
      <c r="K1367" s="73"/>
      <c r="L1367" s="73"/>
      <c r="M1367" s="73"/>
      <c r="N1367" s="73"/>
      <c r="O1367" s="73"/>
      <c r="P1367" s="73"/>
      <c r="Q1367" s="73"/>
      <c r="R1367" s="73"/>
      <c r="S1367" s="73"/>
      <c r="T1367" s="73"/>
      <c r="U1367" s="73"/>
      <c r="V1367" s="73"/>
      <c r="W1367" s="73"/>
      <c r="X1367" s="73"/>
      <c r="Y1367" s="73"/>
      <c r="Z1367" s="73"/>
      <c r="AA1367" s="73"/>
      <c r="AB1367" s="73"/>
    </row>
    <row r="1368">
      <c r="A1368" s="73"/>
      <c r="B1368" s="73">
        <v>166955.0183</v>
      </c>
      <c r="C1368" s="73">
        <v>2.67302646775155E7</v>
      </c>
      <c r="D1368" s="73">
        <v>5009145.72699939</v>
      </c>
      <c r="E1368" s="73">
        <v>1255139.68942859</v>
      </c>
      <c r="F1368" s="73"/>
      <c r="G1368" s="73"/>
      <c r="H1368" s="73"/>
      <c r="I1368" s="73"/>
      <c r="J1368" s="73"/>
      <c r="K1368" s="73"/>
      <c r="L1368" s="73"/>
      <c r="M1368" s="73"/>
      <c r="N1368" s="73"/>
      <c r="O1368" s="73"/>
      <c r="P1368" s="73"/>
      <c r="Q1368" s="73"/>
      <c r="R1368" s="73"/>
      <c r="S1368" s="73"/>
      <c r="T1368" s="73"/>
      <c r="U1368" s="73"/>
      <c r="V1368" s="73"/>
      <c r="W1368" s="73"/>
      <c r="X1368" s="73"/>
      <c r="Y1368" s="73"/>
      <c r="Z1368" s="73"/>
      <c r="AA1368" s="73"/>
      <c r="AB1368" s="73"/>
    </row>
    <row r="1369">
      <c r="A1369" s="73"/>
      <c r="B1369" s="73">
        <v>167279.7118</v>
      </c>
      <c r="C1369" s="73">
        <v>2.67835527560353E7</v>
      </c>
      <c r="D1369" s="73">
        <v>5025229.95800031</v>
      </c>
      <c r="E1369" s="73">
        <v>1257631.53733714</v>
      </c>
      <c r="F1369" s="73"/>
      <c r="G1369" s="73"/>
      <c r="H1369" s="73"/>
      <c r="I1369" s="73"/>
      <c r="J1369" s="73"/>
      <c r="K1369" s="73"/>
      <c r="L1369" s="73"/>
      <c r="M1369" s="73"/>
      <c r="N1369" s="73"/>
      <c r="O1369" s="73"/>
      <c r="P1369" s="73"/>
      <c r="Q1369" s="73"/>
      <c r="R1369" s="73"/>
      <c r="S1369" s="73"/>
      <c r="T1369" s="73"/>
      <c r="U1369" s="73"/>
      <c r="V1369" s="73"/>
      <c r="W1369" s="73"/>
      <c r="X1369" s="73"/>
      <c r="Y1369" s="73"/>
      <c r="Z1369" s="73"/>
      <c r="AA1369" s="73"/>
      <c r="AB1369" s="73"/>
    </row>
    <row r="1370">
      <c r="A1370" s="73"/>
      <c r="B1370" s="73">
        <v>167604.8943</v>
      </c>
      <c r="C1370" s="73">
        <v>2.68369108745532E7</v>
      </c>
      <c r="D1370" s="73">
        <v>5041347.73999741</v>
      </c>
      <c r="E1370" s="73">
        <v>1260126.98104871</v>
      </c>
      <c r="F1370" s="73"/>
      <c r="G1370" s="73"/>
      <c r="H1370" s="73"/>
      <c r="I1370" s="73"/>
      <c r="J1370" s="73"/>
      <c r="K1370" s="73"/>
      <c r="L1370" s="73"/>
      <c r="M1370" s="73"/>
      <c r="N1370" s="73"/>
      <c r="O1370" s="73"/>
      <c r="P1370" s="73"/>
      <c r="Q1370" s="73"/>
      <c r="R1370" s="73"/>
      <c r="S1370" s="73"/>
      <c r="T1370" s="73"/>
      <c r="U1370" s="73"/>
      <c r="V1370" s="73"/>
      <c r="W1370" s="73"/>
      <c r="X1370" s="73"/>
      <c r="Y1370" s="73"/>
      <c r="Z1370" s="73"/>
      <c r="AA1370" s="73"/>
      <c r="AB1370" s="73"/>
    </row>
    <row r="1371">
      <c r="A1371" s="73"/>
      <c r="B1371" s="73">
        <v>167930.5633</v>
      </c>
      <c r="C1371" s="73">
        <v>2.68903328530693E7</v>
      </c>
      <c r="D1371" s="73">
        <v>5057499.04499832</v>
      </c>
      <c r="E1371" s="73">
        <v>1262625.89712963</v>
      </c>
      <c r="F1371" s="73"/>
      <c r="G1371" s="73"/>
      <c r="H1371" s="73"/>
      <c r="I1371" s="73"/>
      <c r="J1371" s="73"/>
      <c r="K1371" s="73"/>
      <c r="L1371" s="73"/>
      <c r="M1371" s="73"/>
      <c r="N1371" s="73"/>
      <c r="O1371" s="73"/>
      <c r="P1371" s="73"/>
      <c r="Q1371" s="73"/>
      <c r="R1371" s="73"/>
      <c r="S1371" s="73"/>
      <c r="T1371" s="73"/>
      <c r="U1371" s="73"/>
      <c r="V1371" s="73"/>
      <c r="W1371" s="73"/>
      <c r="X1371" s="73"/>
      <c r="Y1371" s="73"/>
      <c r="Z1371" s="73"/>
      <c r="AA1371" s="73"/>
      <c r="AB1371" s="73"/>
    </row>
    <row r="1372">
      <c r="A1372" s="73"/>
      <c r="B1372" s="73">
        <v>168256.72</v>
      </c>
      <c r="C1372" s="73">
        <v>2.69438248715835E7</v>
      </c>
      <c r="D1372" s="73">
        <v>5073684.53199924</v>
      </c>
      <c r="E1372" s="73">
        <v>1265128.30843614</v>
      </c>
      <c r="F1372" s="73"/>
      <c r="G1372" s="73"/>
      <c r="H1372" s="73"/>
      <c r="I1372" s="73"/>
      <c r="J1372" s="73"/>
      <c r="K1372" s="73"/>
      <c r="L1372" s="73"/>
      <c r="M1372" s="73"/>
      <c r="N1372" s="73"/>
      <c r="O1372" s="73"/>
      <c r="P1372" s="73"/>
      <c r="Q1372" s="73"/>
      <c r="R1372" s="73"/>
      <c r="S1372" s="73"/>
      <c r="T1372" s="73"/>
      <c r="U1372" s="73"/>
      <c r="V1372" s="73"/>
      <c r="W1372" s="73"/>
      <c r="X1372" s="73"/>
      <c r="Y1372" s="73"/>
      <c r="Z1372" s="73"/>
      <c r="AA1372" s="73"/>
      <c r="AB1372" s="73"/>
    </row>
    <row r="1373">
      <c r="A1373" s="73"/>
      <c r="B1373" s="73">
        <v>168583.3658</v>
      </c>
      <c r="C1373" s="73">
        <v>2.69973828100958E7</v>
      </c>
      <c r="D1373" s="73">
        <v>5089903.86200015</v>
      </c>
      <c r="E1373" s="73">
        <v>1267634.32134255</v>
      </c>
      <c r="F1373" s="73"/>
      <c r="G1373" s="73"/>
      <c r="H1373" s="73"/>
      <c r="I1373" s="73"/>
      <c r="J1373" s="73"/>
      <c r="K1373" s="73"/>
      <c r="L1373" s="73"/>
      <c r="M1373" s="73"/>
      <c r="N1373" s="73"/>
      <c r="O1373" s="73"/>
      <c r="P1373" s="73"/>
      <c r="Q1373" s="73"/>
      <c r="R1373" s="73"/>
      <c r="S1373" s="73"/>
      <c r="T1373" s="73"/>
      <c r="U1373" s="73"/>
      <c r="V1373" s="73"/>
      <c r="W1373" s="73"/>
      <c r="X1373" s="73"/>
      <c r="Y1373" s="73"/>
      <c r="Z1373" s="73"/>
      <c r="AA1373" s="73"/>
      <c r="AB1373" s="73"/>
    </row>
    <row r="1374">
      <c r="A1374" s="73"/>
      <c r="B1374" s="73">
        <v>168910.4993</v>
      </c>
      <c r="C1374" s="73">
        <v>2.70510066686063E7</v>
      </c>
      <c r="D1374" s="73">
        <v>5106156.73399725</v>
      </c>
      <c r="E1374" s="73">
        <v>1270143.83320111</v>
      </c>
      <c r="F1374" s="73"/>
      <c r="G1374" s="73"/>
      <c r="H1374" s="73"/>
      <c r="I1374" s="73"/>
      <c r="J1374" s="73"/>
      <c r="K1374" s="73"/>
      <c r="L1374" s="73"/>
      <c r="M1374" s="73"/>
      <c r="N1374" s="73"/>
      <c r="O1374" s="73"/>
      <c r="P1374" s="73"/>
      <c r="Q1374" s="73"/>
      <c r="R1374" s="73"/>
      <c r="S1374" s="73"/>
      <c r="T1374" s="73"/>
      <c r="U1374" s="73"/>
      <c r="V1374" s="73"/>
      <c r="W1374" s="73"/>
      <c r="X1374" s="73"/>
      <c r="Y1374" s="73"/>
      <c r="Z1374" s="73"/>
      <c r="AA1374" s="73"/>
      <c r="AB1374" s="73"/>
    </row>
    <row r="1375">
      <c r="A1375" s="73"/>
      <c r="B1375" s="73">
        <v>169238.1205</v>
      </c>
      <c r="C1375" s="73">
        <v>2.71047005671148E7</v>
      </c>
      <c r="D1375" s="73">
        <v>5122443.78699817</v>
      </c>
      <c r="E1375" s="73">
        <v>1272656.82467511</v>
      </c>
      <c r="F1375" s="73"/>
      <c r="G1375" s="73"/>
      <c r="H1375" s="73"/>
      <c r="I1375" s="73"/>
      <c r="J1375" s="73"/>
      <c r="K1375" s="73"/>
      <c r="L1375" s="73"/>
      <c r="M1375" s="73"/>
      <c r="N1375" s="73"/>
      <c r="O1375" s="73"/>
      <c r="P1375" s="73"/>
      <c r="Q1375" s="73"/>
      <c r="R1375" s="73"/>
      <c r="S1375" s="73"/>
      <c r="T1375" s="73"/>
      <c r="U1375" s="73"/>
      <c r="V1375" s="73"/>
      <c r="W1375" s="73"/>
      <c r="X1375" s="73"/>
      <c r="Y1375" s="73"/>
      <c r="Z1375" s="73"/>
      <c r="AA1375" s="73"/>
      <c r="AB1375" s="73"/>
    </row>
    <row r="1376">
      <c r="A1376" s="73"/>
      <c r="B1376" s="73">
        <v>169566.2295</v>
      </c>
      <c r="C1376" s="73">
        <v>2.71584603856215E7</v>
      </c>
      <c r="D1376" s="73">
        <v>5138764.70299909</v>
      </c>
      <c r="E1376" s="73">
        <v>1275173.42323534</v>
      </c>
      <c r="F1376" s="73"/>
      <c r="G1376" s="73"/>
      <c r="H1376" s="73"/>
      <c r="I1376" s="73"/>
      <c r="J1376" s="73"/>
      <c r="K1376" s="73"/>
      <c r="L1376" s="73"/>
      <c r="M1376" s="73"/>
      <c r="N1376" s="73"/>
      <c r="O1376" s="73"/>
      <c r="P1376" s="73"/>
      <c r="Q1376" s="73"/>
      <c r="R1376" s="73"/>
      <c r="S1376" s="73"/>
      <c r="T1376" s="73"/>
      <c r="U1376" s="73"/>
      <c r="V1376" s="73"/>
      <c r="W1376" s="73"/>
      <c r="X1376" s="73"/>
      <c r="Y1376" s="73"/>
      <c r="Z1376" s="73"/>
      <c r="AA1376" s="73"/>
      <c r="AB1376" s="73"/>
    </row>
    <row r="1377">
      <c r="A1377" s="73"/>
      <c r="B1377" s="73">
        <v>169894.8275</v>
      </c>
      <c r="C1377" s="73">
        <v>2.72122881841264E7</v>
      </c>
      <c r="D1377" s="73">
        <v>5155119.772</v>
      </c>
      <c r="E1377" s="73">
        <v>1277693.52613054</v>
      </c>
      <c r="F1377" s="73"/>
      <c r="G1377" s="73"/>
      <c r="H1377" s="73"/>
      <c r="I1377" s="73"/>
      <c r="J1377" s="73"/>
      <c r="K1377" s="73"/>
      <c r="L1377" s="73"/>
      <c r="M1377" s="73"/>
      <c r="N1377" s="73"/>
      <c r="O1377" s="73"/>
      <c r="P1377" s="73"/>
      <c r="Q1377" s="73"/>
      <c r="R1377" s="73"/>
      <c r="S1377" s="73"/>
      <c r="T1377" s="73"/>
      <c r="U1377" s="73"/>
      <c r="V1377" s="73"/>
      <c r="W1377" s="73"/>
      <c r="X1377" s="73"/>
      <c r="Y1377" s="73"/>
      <c r="Z1377" s="73"/>
      <c r="AA1377" s="73"/>
      <c r="AB1377" s="73"/>
    </row>
    <row r="1378">
      <c r="A1378" s="73"/>
      <c r="B1378" s="73">
        <v>170223.9133</v>
      </c>
      <c r="C1378" s="73">
        <v>2.72661819026294E7</v>
      </c>
      <c r="D1378" s="73">
        <v>5171508.7119971</v>
      </c>
      <c r="E1378" s="73">
        <v>1280217.15632046</v>
      </c>
      <c r="F1378" s="73"/>
      <c r="G1378" s="73"/>
      <c r="H1378" s="73"/>
      <c r="I1378" s="73"/>
      <c r="J1378" s="73"/>
      <c r="K1378" s="73"/>
      <c r="L1378" s="73"/>
      <c r="M1378" s="73"/>
      <c r="N1378" s="73"/>
      <c r="O1378" s="73"/>
      <c r="P1378" s="73"/>
      <c r="Q1378" s="73"/>
      <c r="R1378" s="73"/>
      <c r="S1378" s="73"/>
      <c r="T1378" s="73"/>
      <c r="U1378" s="73"/>
      <c r="V1378" s="73"/>
      <c r="W1378" s="73"/>
      <c r="X1378" s="73"/>
      <c r="Y1378" s="73"/>
      <c r="Z1378" s="73"/>
      <c r="AA1378" s="73"/>
      <c r="AB1378" s="73"/>
    </row>
    <row r="1379">
      <c r="A1379" s="73"/>
      <c r="B1379" s="73">
        <v>170553.488</v>
      </c>
      <c r="C1379" s="73">
        <v>2.73201456611304E7</v>
      </c>
      <c r="D1379" s="73">
        <v>5187931.82499802</v>
      </c>
      <c r="E1379" s="73">
        <v>1282744.35647592</v>
      </c>
      <c r="F1379" s="73"/>
      <c r="G1379" s="73"/>
      <c r="H1379" s="73"/>
      <c r="I1379" s="73"/>
      <c r="J1379" s="73"/>
      <c r="K1379" s="73"/>
      <c r="L1379" s="73"/>
      <c r="M1379" s="73"/>
      <c r="N1379" s="73"/>
      <c r="O1379" s="73"/>
      <c r="P1379" s="73"/>
      <c r="Q1379" s="73"/>
      <c r="R1379" s="73"/>
      <c r="S1379" s="73"/>
      <c r="T1379" s="73"/>
      <c r="U1379" s="73"/>
      <c r="V1379" s="73"/>
      <c r="W1379" s="73"/>
      <c r="X1379" s="73"/>
      <c r="Y1379" s="73"/>
      <c r="Z1379" s="73"/>
      <c r="AA1379" s="73"/>
      <c r="AB1379" s="73"/>
    </row>
    <row r="1380">
      <c r="A1380" s="73"/>
      <c r="B1380" s="73">
        <v>170883.5518</v>
      </c>
      <c r="C1380" s="73">
        <v>2.73741753396297E7</v>
      </c>
      <c r="D1380" s="73">
        <v>5204388.79899893</v>
      </c>
      <c r="E1380" s="73">
        <v>1285275.17054963</v>
      </c>
      <c r="F1380" s="73"/>
      <c r="G1380" s="73"/>
      <c r="H1380" s="73"/>
      <c r="I1380" s="73"/>
      <c r="J1380" s="73"/>
      <c r="K1380" s="73"/>
      <c r="L1380" s="73"/>
      <c r="M1380" s="73"/>
      <c r="N1380" s="73"/>
      <c r="O1380" s="73"/>
      <c r="P1380" s="73"/>
      <c r="Q1380" s="73"/>
      <c r="R1380" s="73"/>
      <c r="S1380" s="73"/>
      <c r="T1380" s="73"/>
      <c r="U1380" s="73"/>
      <c r="V1380" s="73"/>
      <c r="W1380" s="73"/>
      <c r="X1380" s="73"/>
      <c r="Y1380" s="73"/>
      <c r="Z1380" s="73"/>
      <c r="AA1380" s="73"/>
      <c r="AB1380" s="73"/>
    </row>
    <row r="1381">
      <c r="A1381" s="73"/>
      <c r="B1381" s="73">
        <v>171214.1033</v>
      </c>
      <c r="C1381" s="73">
        <v>2.7428270938127E7</v>
      </c>
      <c r="D1381" s="73">
        <v>5220879.94599985</v>
      </c>
      <c r="E1381" s="73">
        <v>1287809.47479737</v>
      </c>
      <c r="F1381" s="73"/>
      <c r="G1381" s="73"/>
      <c r="H1381" s="73"/>
      <c r="I1381" s="73"/>
      <c r="J1381" s="73"/>
      <c r="K1381" s="73"/>
      <c r="L1381" s="73"/>
      <c r="M1381" s="73"/>
      <c r="N1381" s="73"/>
      <c r="O1381" s="73"/>
      <c r="P1381" s="73"/>
      <c r="Q1381" s="73"/>
      <c r="R1381" s="73"/>
      <c r="S1381" s="73"/>
      <c r="T1381" s="73"/>
      <c r="U1381" s="73"/>
      <c r="V1381" s="73"/>
      <c r="W1381" s="73"/>
      <c r="X1381" s="73"/>
      <c r="Y1381" s="73"/>
      <c r="Z1381" s="73"/>
      <c r="AA1381" s="73"/>
      <c r="AB1381" s="73"/>
    </row>
    <row r="1382">
      <c r="A1382" s="73"/>
      <c r="B1382" s="73">
        <v>171545.145</v>
      </c>
      <c r="C1382" s="73">
        <v>2.74824365766225E7</v>
      </c>
      <c r="D1382" s="73">
        <v>5237405.27499695</v>
      </c>
      <c r="E1382" s="73">
        <v>1290347.31317187</v>
      </c>
      <c r="F1382" s="73"/>
      <c r="G1382" s="73"/>
      <c r="H1382" s="73"/>
      <c r="I1382" s="73"/>
      <c r="J1382" s="73"/>
      <c r="K1382" s="73"/>
      <c r="L1382" s="73"/>
      <c r="M1382" s="73"/>
      <c r="N1382" s="73"/>
      <c r="O1382" s="73"/>
      <c r="P1382" s="73"/>
      <c r="Q1382" s="73"/>
      <c r="R1382" s="73"/>
      <c r="S1382" s="73"/>
      <c r="T1382" s="73"/>
      <c r="U1382" s="73"/>
      <c r="V1382" s="73"/>
      <c r="W1382" s="73"/>
      <c r="X1382" s="73"/>
      <c r="Y1382" s="73"/>
      <c r="Z1382" s="73"/>
      <c r="AA1382" s="73"/>
      <c r="AB1382" s="73"/>
    </row>
    <row r="1383">
      <c r="A1383" s="73"/>
      <c r="B1383" s="73">
        <v>171876.672</v>
      </c>
      <c r="C1383" s="73">
        <v>2.7536670195116E7</v>
      </c>
      <c r="D1383" s="73">
        <v>5253964.76699786</v>
      </c>
      <c r="E1383" s="73">
        <v>1292888.66633642</v>
      </c>
      <c r="F1383" s="73"/>
      <c r="G1383" s="73"/>
      <c r="H1383" s="73"/>
      <c r="I1383" s="73"/>
      <c r="J1383" s="73"/>
      <c r="K1383" s="73"/>
      <c r="L1383" s="73"/>
      <c r="M1383" s="73"/>
      <c r="N1383" s="73"/>
      <c r="O1383" s="73"/>
      <c r="P1383" s="73"/>
      <c r="Q1383" s="73"/>
      <c r="R1383" s="73"/>
      <c r="S1383" s="73"/>
      <c r="T1383" s="73"/>
      <c r="U1383" s="73"/>
      <c r="V1383" s="73"/>
      <c r="W1383" s="73"/>
      <c r="X1383" s="73"/>
      <c r="Y1383" s="73"/>
      <c r="Z1383" s="73"/>
      <c r="AA1383" s="73"/>
      <c r="AB1383" s="73"/>
    </row>
    <row r="1384">
      <c r="A1384" s="73"/>
      <c r="B1384" s="73">
        <v>172208.6905</v>
      </c>
      <c r="C1384" s="73">
        <v>2.75909697336078E7</v>
      </c>
      <c r="D1384" s="73">
        <v>5270558.12999878</v>
      </c>
      <c r="E1384" s="73">
        <v>1295433.72325174</v>
      </c>
      <c r="F1384" s="73"/>
      <c r="G1384" s="73"/>
      <c r="H1384" s="73"/>
      <c r="I1384" s="73"/>
      <c r="J1384" s="73"/>
      <c r="K1384" s="73"/>
      <c r="L1384" s="73"/>
      <c r="M1384" s="73"/>
      <c r="N1384" s="73"/>
      <c r="O1384" s="73"/>
      <c r="P1384" s="73"/>
      <c r="Q1384" s="73"/>
      <c r="R1384" s="73"/>
      <c r="S1384" s="73"/>
      <c r="T1384" s="73"/>
      <c r="U1384" s="73"/>
      <c r="V1384" s="73"/>
      <c r="W1384" s="73"/>
      <c r="X1384" s="73"/>
      <c r="Y1384" s="73"/>
      <c r="Z1384" s="73"/>
      <c r="AA1384" s="73"/>
      <c r="AB1384" s="73"/>
    </row>
    <row r="1385">
      <c r="A1385" s="73"/>
      <c r="B1385" s="73">
        <v>172541.198</v>
      </c>
      <c r="C1385" s="73">
        <v>2.76453372520976E7</v>
      </c>
      <c r="D1385" s="73">
        <v>5287186.30499969</v>
      </c>
      <c r="E1385" s="73">
        <v>1297982.1939656</v>
      </c>
      <c r="F1385" s="73"/>
      <c r="G1385" s="73"/>
      <c r="H1385" s="73"/>
      <c r="I1385" s="73"/>
      <c r="J1385" s="73"/>
      <c r="K1385" s="73"/>
      <c r="L1385" s="73"/>
      <c r="M1385" s="73"/>
      <c r="N1385" s="73"/>
      <c r="O1385" s="73"/>
      <c r="P1385" s="73"/>
      <c r="Q1385" s="73"/>
      <c r="R1385" s="73"/>
      <c r="S1385" s="73"/>
      <c r="T1385" s="73"/>
      <c r="U1385" s="73"/>
      <c r="V1385" s="73"/>
      <c r="W1385" s="73"/>
      <c r="X1385" s="73"/>
      <c r="Y1385" s="73"/>
      <c r="Z1385" s="73"/>
      <c r="AA1385" s="73"/>
      <c r="AB1385" s="73"/>
    </row>
    <row r="1386">
      <c r="A1386" s="73"/>
      <c r="B1386" s="73">
        <v>172874.1945</v>
      </c>
      <c r="C1386" s="73">
        <v>2.76997748105855E7</v>
      </c>
      <c r="D1386" s="73">
        <v>5303848.33300061</v>
      </c>
      <c r="E1386" s="73">
        <v>1300534.28863874</v>
      </c>
      <c r="F1386" s="73"/>
      <c r="G1386" s="73"/>
      <c r="H1386" s="73"/>
      <c r="I1386" s="73"/>
      <c r="J1386" s="73"/>
      <c r="K1386" s="73"/>
      <c r="L1386" s="73"/>
      <c r="M1386" s="73"/>
      <c r="N1386" s="73"/>
      <c r="O1386" s="73"/>
      <c r="P1386" s="73"/>
      <c r="Q1386" s="73"/>
      <c r="R1386" s="73"/>
      <c r="S1386" s="73"/>
      <c r="T1386" s="73"/>
      <c r="U1386" s="73"/>
      <c r="V1386" s="73"/>
      <c r="W1386" s="73"/>
      <c r="X1386" s="73"/>
      <c r="Y1386" s="73"/>
      <c r="Z1386" s="73"/>
      <c r="AA1386" s="73"/>
      <c r="AB1386" s="73"/>
    </row>
    <row r="1387">
      <c r="A1387" s="73"/>
      <c r="B1387" s="73">
        <v>173207.68</v>
      </c>
      <c r="C1387" s="73">
        <v>2.77542762290716E7</v>
      </c>
      <c r="D1387" s="73">
        <v>5320544.86299771</v>
      </c>
      <c r="E1387" s="73">
        <v>1303089.98752038</v>
      </c>
      <c r="F1387" s="73"/>
      <c r="G1387" s="73"/>
      <c r="H1387" s="73"/>
      <c r="I1387" s="73"/>
      <c r="J1387" s="73"/>
      <c r="K1387" s="73"/>
      <c r="L1387" s="73"/>
      <c r="M1387" s="73"/>
      <c r="N1387" s="73"/>
      <c r="O1387" s="73"/>
      <c r="P1387" s="73"/>
      <c r="Q1387" s="73"/>
      <c r="R1387" s="73"/>
      <c r="S1387" s="73"/>
      <c r="T1387" s="73"/>
      <c r="U1387" s="73"/>
      <c r="V1387" s="73"/>
      <c r="W1387" s="73"/>
      <c r="X1387" s="73"/>
      <c r="Y1387" s="73"/>
      <c r="Z1387" s="73"/>
      <c r="AA1387" s="73"/>
      <c r="AB1387" s="73"/>
    </row>
    <row r="1388">
      <c r="A1388" s="73"/>
      <c r="B1388" s="73">
        <v>173541.6545</v>
      </c>
      <c r="C1388" s="73">
        <v>2.78088476875558E7</v>
      </c>
      <c r="D1388" s="73">
        <v>5337275.56499863</v>
      </c>
      <c r="E1388" s="73">
        <v>1305649.20936979</v>
      </c>
      <c r="F1388" s="73"/>
      <c r="G1388" s="73"/>
      <c r="H1388" s="73"/>
      <c r="I1388" s="73"/>
      <c r="J1388" s="73"/>
      <c r="K1388" s="73"/>
      <c r="L1388" s="73"/>
      <c r="M1388" s="73"/>
      <c r="N1388" s="73"/>
      <c r="O1388" s="73"/>
      <c r="P1388" s="73"/>
      <c r="Q1388" s="73"/>
      <c r="R1388" s="73"/>
      <c r="S1388" s="73"/>
      <c r="T1388" s="73"/>
      <c r="U1388" s="73"/>
      <c r="V1388" s="73"/>
      <c r="W1388" s="73"/>
      <c r="X1388" s="73"/>
      <c r="Y1388" s="73"/>
      <c r="Z1388" s="73"/>
      <c r="AA1388" s="73"/>
      <c r="AB1388" s="73"/>
    </row>
    <row r="1389">
      <c r="A1389" s="73"/>
      <c r="B1389" s="73">
        <v>173876.118</v>
      </c>
      <c r="C1389" s="73">
        <v>2.78634850660381E7</v>
      </c>
      <c r="D1389" s="73">
        <v>5354040.76899954</v>
      </c>
      <c r="E1389" s="73">
        <v>1308212.03853316</v>
      </c>
      <c r="F1389" s="73"/>
      <c r="G1389" s="73"/>
      <c r="H1389" s="73"/>
      <c r="I1389" s="73"/>
      <c r="J1389" s="73"/>
      <c r="K1389" s="73"/>
      <c r="L1389" s="73"/>
      <c r="M1389" s="73"/>
      <c r="N1389" s="73"/>
      <c r="O1389" s="73"/>
      <c r="P1389" s="73"/>
      <c r="Q1389" s="73"/>
      <c r="R1389" s="73"/>
      <c r="S1389" s="73"/>
      <c r="T1389" s="73"/>
      <c r="U1389" s="73"/>
      <c r="V1389" s="73"/>
      <c r="W1389" s="73"/>
      <c r="X1389" s="73"/>
      <c r="Y1389" s="73"/>
      <c r="Z1389" s="73"/>
      <c r="AA1389" s="73"/>
      <c r="AB1389" s="73"/>
    </row>
    <row r="1390">
      <c r="A1390" s="73"/>
      <c r="B1390" s="73">
        <v>174211.073</v>
      </c>
      <c r="C1390" s="73">
        <v>2.79181924845185E7</v>
      </c>
      <c r="D1390" s="73">
        <v>5370840.47500046</v>
      </c>
      <c r="E1390" s="73">
        <v>1310778.39397681</v>
      </c>
      <c r="F1390" s="73"/>
      <c r="G1390" s="73"/>
      <c r="H1390" s="73"/>
      <c r="I1390" s="73"/>
      <c r="J1390" s="73"/>
      <c r="K1390" s="73"/>
      <c r="L1390" s="73"/>
      <c r="M1390" s="73"/>
      <c r="N1390" s="73"/>
      <c r="O1390" s="73"/>
      <c r="P1390" s="73"/>
      <c r="Q1390" s="73"/>
      <c r="R1390" s="73"/>
      <c r="S1390" s="73"/>
      <c r="T1390" s="73"/>
      <c r="U1390" s="73"/>
      <c r="V1390" s="73"/>
      <c r="W1390" s="73"/>
      <c r="X1390" s="73"/>
      <c r="Y1390" s="73"/>
      <c r="Z1390" s="73"/>
      <c r="AA1390" s="73"/>
      <c r="AB1390" s="73"/>
    </row>
    <row r="1391">
      <c r="A1391" s="73"/>
      <c r="B1391" s="73">
        <v>174546.5145</v>
      </c>
      <c r="C1391" s="73">
        <v>2.79729658229971E7</v>
      </c>
      <c r="D1391" s="73">
        <v>5387674.36299756</v>
      </c>
      <c r="E1391" s="73">
        <v>1313348.3810399</v>
      </c>
      <c r="F1391" s="73"/>
      <c r="G1391" s="73"/>
      <c r="H1391" s="73"/>
      <c r="I1391" s="73"/>
      <c r="J1391" s="73"/>
      <c r="K1391" s="73"/>
      <c r="L1391" s="73"/>
      <c r="M1391" s="73"/>
      <c r="N1391" s="73"/>
      <c r="O1391" s="73"/>
      <c r="P1391" s="73"/>
      <c r="Q1391" s="73"/>
      <c r="R1391" s="73"/>
      <c r="S1391" s="73"/>
      <c r="T1391" s="73"/>
      <c r="U1391" s="73"/>
      <c r="V1391" s="73"/>
      <c r="W1391" s="73"/>
      <c r="X1391" s="73"/>
      <c r="Y1391" s="73"/>
      <c r="Z1391" s="73"/>
      <c r="AA1391" s="73"/>
      <c r="AB1391" s="73"/>
    </row>
    <row r="1392">
      <c r="A1392" s="73"/>
      <c r="B1392" s="73">
        <v>174882.4475</v>
      </c>
      <c r="C1392" s="73">
        <v>2.80278092014737E7</v>
      </c>
      <c r="D1392" s="73">
        <v>5404543.06299847</v>
      </c>
      <c r="E1392" s="73">
        <v>1315921.98038569</v>
      </c>
      <c r="F1392" s="73"/>
      <c r="G1392" s="73"/>
      <c r="H1392" s="73"/>
      <c r="I1392" s="73"/>
      <c r="J1392" s="73"/>
      <c r="K1392" s="73"/>
      <c r="L1392" s="73"/>
      <c r="M1392" s="73"/>
      <c r="N1392" s="73"/>
      <c r="O1392" s="73"/>
      <c r="P1392" s="73"/>
      <c r="Q1392" s="73"/>
      <c r="R1392" s="73"/>
      <c r="S1392" s="73"/>
      <c r="T1392" s="73"/>
      <c r="U1392" s="73"/>
      <c r="V1392" s="73"/>
      <c r="W1392" s="73"/>
      <c r="X1392" s="73"/>
      <c r="Y1392" s="73"/>
      <c r="Z1392" s="73"/>
      <c r="AA1392" s="73"/>
      <c r="AB1392" s="73"/>
    </row>
    <row r="1393">
      <c r="A1393" s="73"/>
      <c r="B1393" s="73">
        <v>175218.8695</v>
      </c>
      <c r="C1393" s="73">
        <v>2.80827205599484E7</v>
      </c>
      <c r="D1393" s="73">
        <v>5421445.92599939</v>
      </c>
      <c r="E1393" s="73">
        <v>1318499.11015238</v>
      </c>
      <c r="F1393" s="73"/>
      <c r="G1393" s="73"/>
      <c r="H1393" s="73"/>
      <c r="I1393" s="73"/>
      <c r="J1393" s="73"/>
      <c r="K1393" s="73"/>
      <c r="L1393" s="73"/>
      <c r="M1393" s="73"/>
      <c r="N1393" s="73"/>
      <c r="O1393" s="73"/>
      <c r="P1393" s="73"/>
      <c r="Q1393" s="73"/>
      <c r="R1393" s="73"/>
      <c r="S1393" s="73"/>
      <c r="T1393" s="73"/>
      <c r="U1393" s="73"/>
      <c r="V1393" s="73"/>
      <c r="W1393" s="73"/>
      <c r="X1393" s="73"/>
      <c r="Y1393" s="73"/>
      <c r="Z1393" s="73"/>
      <c r="AA1393" s="73"/>
      <c r="AB1393" s="73"/>
    </row>
    <row r="1394">
      <c r="A1394" s="73"/>
      <c r="B1394" s="73">
        <v>175555.7805</v>
      </c>
      <c r="C1394" s="73">
        <v>2.81376978384213E7</v>
      </c>
      <c r="D1394" s="73">
        <v>5438383.31000031</v>
      </c>
      <c r="E1394" s="73">
        <v>1321079.77220326</v>
      </c>
      <c r="F1394" s="73"/>
      <c r="G1394" s="73"/>
      <c r="H1394" s="73"/>
      <c r="I1394" s="73"/>
      <c r="J1394" s="73"/>
      <c r="K1394" s="73"/>
      <c r="L1394" s="73"/>
      <c r="M1394" s="73"/>
      <c r="N1394" s="73"/>
      <c r="O1394" s="73"/>
      <c r="P1394" s="73"/>
      <c r="Q1394" s="73"/>
      <c r="R1394" s="73"/>
      <c r="S1394" s="73"/>
      <c r="T1394" s="73"/>
      <c r="U1394" s="73"/>
      <c r="V1394" s="73"/>
      <c r="W1394" s="73"/>
      <c r="X1394" s="73"/>
      <c r="Y1394" s="73"/>
      <c r="Z1394" s="73"/>
      <c r="AA1394" s="73"/>
      <c r="AB1394" s="73"/>
    </row>
    <row r="1395">
      <c r="A1395" s="73"/>
      <c r="B1395" s="73">
        <v>175893.183</v>
      </c>
      <c r="C1395" s="73">
        <v>2.81927430968924E7</v>
      </c>
      <c r="D1395" s="73">
        <v>5455355.50599741</v>
      </c>
      <c r="E1395" s="73">
        <v>1323664.09328451</v>
      </c>
      <c r="F1395" s="73"/>
      <c r="G1395" s="73"/>
      <c r="H1395" s="73"/>
      <c r="I1395" s="73"/>
      <c r="J1395" s="73"/>
      <c r="K1395" s="73"/>
      <c r="L1395" s="73"/>
      <c r="M1395" s="73"/>
      <c r="N1395" s="73"/>
      <c r="O1395" s="73"/>
      <c r="P1395" s="73"/>
      <c r="Q1395" s="73"/>
      <c r="R1395" s="73"/>
      <c r="S1395" s="73"/>
      <c r="T1395" s="73"/>
      <c r="U1395" s="73"/>
      <c r="V1395" s="73"/>
      <c r="W1395" s="73"/>
      <c r="X1395" s="73"/>
      <c r="Y1395" s="73"/>
      <c r="Z1395" s="73"/>
      <c r="AA1395" s="73"/>
      <c r="AB1395" s="73"/>
    </row>
    <row r="1396">
      <c r="A1396" s="73"/>
      <c r="B1396" s="73">
        <v>176231.0745</v>
      </c>
      <c r="C1396" s="73">
        <v>2.82478583953614E7</v>
      </c>
      <c r="D1396" s="73">
        <v>5472362.19499832</v>
      </c>
      <c r="E1396" s="73">
        <v>1326251.99004534</v>
      </c>
      <c r="F1396" s="73"/>
      <c r="G1396" s="73"/>
      <c r="H1396" s="73"/>
      <c r="I1396" s="73"/>
      <c r="J1396" s="73"/>
      <c r="K1396" s="73"/>
      <c r="L1396" s="73"/>
      <c r="M1396" s="73"/>
      <c r="N1396" s="73"/>
      <c r="O1396" s="73"/>
      <c r="P1396" s="73"/>
      <c r="Q1396" s="73"/>
      <c r="R1396" s="73"/>
      <c r="S1396" s="73"/>
      <c r="T1396" s="73"/>
      <c r="U1396" s="73"/>
      <c r="V1396" s="73"/>
      <c r="W1396" s="73"/>
      <c r="X1396" s="73"/>
      <c r="Y1396" s="73"/>
      <c r="Z1396" s="73"/>
      <c r="AA1396" s="73"/>
      <c r="AB1396" s="73"/>
    </row>
    <row r="1397">
      <c r="A1397" s="73"/>
      <c r="B1397" s="73">
        <v>176569.4575</v>
      </c>
      <c r="C1397" s="73">
        <v>2.83030416738286E7</v>
      </c>
      <c r="D1397" s="73">
        <v>5489403.38499924</v>
      </c>
      <c r="E1397" s="73">
        <v>1328843.548942</v>
      </c>
      <c r="F1397" s="73"/>
      <c r="G1397" s="73"/>
      <c r="H1397" s="73"/>
      <c r="I1397" s="73"/>
      <c r="J1397" s="73"/>
      <c r="K1397" s="73"/>
      <c r="L1397" s="73"/>
      <c r="M1397" s="73"/>
      <c r="N1397" s="73"/>
      <c r="O1397" s="73"/>
      <c r="P1397" s="73"/>
      <c r="Q1397" s="73"/>
      <c r="R1397" s="73"/>
      <c r="S1397" s="73"/>
      <c r="T1397" s="73"/>
      <c r="U1397" s="73"/>
      <c r="V1397" s="73"/>
      <c r="W1397" s="73"/>
      <c r="X1397" s="73"/>
      <c r="Y1397" s="73"/>
      <c r="Z1397" s="73"/>
      <c r="AA1397" s="73"/>
      <c r="AB1397" s="73"/>
    </row>
    <row r="1398">
      <c r="A1398" s="73"/>
      <c r="B1398" s="73">
        <v>176908.3295</v>
      </c>
      <c r="C1398" s="73">
        <v>2.83582908722939E7</v>
      </c>
      <c r="D1398" s="73">
        <v>5506479.39800015</v>
      </c>
      <c r="E1398" s="73">
        <v>1331438.64591973</v>
      </c>
      <c r="F1398" s="73"/>
      <c r="G1398" s="73"/>
      <c r="H1398" s="73"/>
      <c r="I1398" s="73"/>
      <c r="J1398" s="73"/>
      <c r="K1398" s="73"/>
      <c r="L1398" s="73"/>
      <c r="M1398" s="73"/>
      <c r="N1398" s="73"/>
      <c r="O1398" s="73"/>
      <c r="P1398" s="73"/>
      <c r="Q1398" s="73"/>
      <c r="R1398" s="73"/>
      <c r="S1398" s="73"/>
      <c r="T1398" s="73"/>
      <c r="U1398" s="73"/>
      <c r="V1398" s="73"/>
      <c r="W1398" s="73"/>
      <c r="X1398" s="73"/>
      <c r="Y1398" s="73"/>
      <c r="Z1398" s="73"/>
      <c r="AA1398" s="73"/>
      <c r="AB1398" s="73"/>
    </row>
    <row r="1399">
      <c r="A1399" s="73"/>
      <c r="B1399" s="73">
        <v>177247.6905</v>
      </c>
      <c r="C1399" s="73">
        <v>2.84136101107574E7</v>
      </c>
      <c r="D1399" s="73">
        <v>5523590.23199725</v>
      </c>
      <c r="E1399" s="73">
        <v>1334037.36553173</v>
      </c>
      <c r="F1399" s="73"/>
      <c r="G1399" s="73"/>
      <c r="H1399" s="73"/>
      <c r="I1399" s="73"/>
      <c r="J1399" s="73"/>
      <c r="K1399" s="73"/>
      <c r="L1399" s="73"/>
      <c r="M1399" s="73"/>
      <c r="N1399" s="73"/>
      <c r="O1399" s="73"/>
      <c r="P1399" s="73"/>
      <c r="Q1399" s="73"/>
      <c r="R1399" s="73"/>
      <c r="S1399" s="73"/>
      <c r="T1399" s="73"/>
      <c r="U1399" s="73"/>
      <c r="V1399" s="73"/>
      <c r="W1399" s="73"/>
      <c r="X1399" s="73"/>
      <c r="Y1399" s="73"/>
      <c r="Z1399" s="73"/>
      <c r="AA1399" s="73"/>
      <c r="AB1399" s="73"/>
    </row>
    <row r="1400">
      <c r="A1400" s="73"/>
      <c r="B1400" s="73">
        <v>177587.543</v>
      </c>
      <c r="C1400" s="73">
        <v>2.84689952692189E7</v>
      </c>
      <c r="D1400" s="73">
        <v>5540735.55899817</v>
      </c>
      <c r="E1400" s="73">
        <v>1336639.62591619</v>
      </c>
      <c r="F1400" s="73"/>
      <c r="G1400" s="73"/>
      <c r="H1400" s="73"/>
      <c r="I1400" s="73"/>
      <c r="J1400" s="73"/>
      <c r="K1400" s="73"/>
      <c r="L1400" s="73"/>
      <c r="M1400" s="73"/>
      <c r="N1400" s="73"/>
      <c r="O1400" s="73"/>
      <c r="P1400" s="73"/>
      <c r="Q1400" s="73"/>
      <c r="R1400" s="73"/>
      <c r="S1400" s="73"/>
      <c r="T1400" s="73"/>
      <c r="U1400" s="73"/>
      <c r="V1400" s="73"/>
      <c r="W1400" s="73"/>
      <c r="X1400" s="73"/>
      <c r="Y1400" s="73"/>
      <c r="Z1400" s="73"/>
      <c r="AA1400" s="73"/>
      <c r="AB1400" s="73"/>
    </row>
    <row r="1401">
      <c r="A1401" s="73"/>
      <c r="B1401" s="73">
        <v>177927.8845</v>
      </c>
      <c r="C1401" s="73">
        <v>2.85244525276785E7</v>
      </c>
      <c r="D1401" s="73">
        <v>5557915.69799908</v>
      </c>
      <c r="E1401" s="73">
        <v>1339245.51162633</v>
      </c>
      <c r="F1401" s="73"/>
      <c r="G1401" s="73"/>
      <c r="H1401" s="73"/>
      <c r="I1401" s="73"/>
      <c r="J1401" s="73"/>
      <c r="K1401" s="73"/>
      <c r="L1401" s="73"/>
      <c r="M1401" s="73"/>
      <c r="N1401" s="73"/>
      <c r="O1401" s="73"/>
      <c r="P1401" s="73"/>
      <c r="Q1401" s="73"/>
      <c r="R1401" s="73"/>
      <c r="S1401" s="73"/>
      <c r="T1401" s="73"/>
      <c r="U1401" s="73"/>
      <c r="V1401" s="73"/>
      <c r="W1401" s="73"/>
      <c r="X1401" s="73"/>
      <c r="Y1401" s="73"/>
      <c r="Z1401" s="73"/>
      <c r="AA1401" s="73"/>
      <c r="AB1401" s="73"/>
    </row>
    <row r="1402">
      <c r="A1402" s="73"/>
      <c r="B1402" s="73">
        <v>178268.7175</v>
      </c>
      <c r="C1402" s="73">
        <v>2.85799757061362E7</v>
      </c>
      <c r="D1402" s="73">
        <v>5575130.358</v>
      </c>
      <c r="E1402" s="73">
        <v>1341855.02431841</v>
      </c>
      <c r="F1402" s="73"/>
      <c r="G1402" s="73"/>
      <c r="H1402" s="73"/>
      <c r="I1402" s="73"/>
      <c r="J1402" s="73"/>
      <c r="K1402" s="73"/>
      <c r="L1402" s="73"/>
      <c r="M1402" s="73"/>
      <c r="N1402" s="73"/>
      <c r="O1402" s="73"/>
      <c r="P1402" s="73"/>
      <c r="Q1402" s="73"/>
      <c r="R1402" s="73"/>
      <c r="S1402" s="73"/>
      <c r="T1402" s="73"/>
      <c r="U1402" s="73"/>
      <c r="V1402" s="73"/>
      <c r="W1402" s="73"/>
      <c r="X1402" s="73"/>
      <c r="Y1402" s="73"/>
      <c r="Z1402" s="73"/>
      <c r="AA1402" s="73"/>
      <c r="AB1402" s="73"/>
    </row>
    <row r="1403">
      <c r="A1403" s="73"/>
      <c r="B1403" s="73">
        <v>178610.042</v>
      </c>
      <c r="C1403" s="73">
        <v>2.8635568924592E7</v>
      </c>
      <c r="D1403" s="73">
        <v>5592380.1409971</v>
      </c>
      <c r="E1403" s="73">
        <v>1344468.1245306</v>
      </c>
      <c r="F1403" s="73"/>
      <c r="G1403" s="73"/>
      <c r="H1403" s="73"/>
      <c r="I1403" s="73"/>
      <c r="J1403" s="73"/>
      <c r="K1403" s="73"/>
      <c r="L1403" s="73"/>
      <c r="M1403" s="73"/>
      <c r="N1403" s="73"/>
      <c r="O1403" s="73"/>
      <c r="P1403" s="73"/>
      <c r="Q1403" s="73"/>
      <c r="R1403" s="73"/>
      <c r="S1403" s="73"/>
      <c r="T1403" s="73"/>
      <c r="U1403" s="73"/>
      <c r="V1403" s="73"/>
      <c r="W1403" s="73"/>
      <c r="X1403" s="73"/>
      <c r="Y1403" s="73"/>
      <c r="Z1403" s="73"/>
      <c r="AA1403" s="73"/>
      <c r="AB1403" s="73"/>
    </row>
    <row r="1404">
      <c r="A1404" s="73"/>
      <c r="B1404" s="73">
        <v>178951.8555</v>
      </c>
      <c r="C1404" s="73">
        <v>2.8691228063046E7</v>
      </c>
      <c r="D1404" s="73">
        <v>5609664.75499802</v>
      </c>
      <c r="E1404" s="73">
        <v>1347084.89491309</v>
      </c>
      <c r="F1404" s="73"/>
      <c r="G1404" s="73"/>
      <c r="H1404" s="73"/>
      <c r="I1404" s="73"/>
      <c r="J1404" s="73"/>
      <c r="K1404" s="73"/>
      <c r="L1404" s="73"/>
      <c r="M1404" s="73"/>
      <c r="N1404" s="73"/>
      <c r="O1404" s="73"/>
      <c r="P1404" s="73"/>
      <c r="Q1404" s="73"/>
      <c r="R1404" s="73"/>
      <c r="S1404" s="73"/>
      <c r="T1404" s="73"/>
      <c r="U1404" s="73"/>
      <c r="V1404" s="73"/>
      <c r="W1404" s="73"/>
      <c r="X1404" s="73"/>
      <c r="Y1404" s="73"/>
      <c r="Z1404" s="73"/>
      <c r="AA1404" s="73"/>
      <c r="AB1404" s="73"/>
    </row>
    <row r="1405">
      <c r="A1405" s="73"/>
      <c r="B1405" s="73">
        <v>179294.1605</v>
      </c>
      <c r="C1405" s="73">
        <v>2.87469551814981E7</v>
      </c>
      <c r="D1405" s="73">
        <v>5626984.17199893</v>
      </c>
      <c r="E1405" s="73">
        <v>1349705.17261014</v>
      </c>
      <c r="F1405" s="73"/>
      <c r="G1405" s="73"/>
      <c r="H1405" s="73"/>
      <c r="I1405" s="73"/>
      <c r="J1405" s="73"/>
      <c r="K1405" s="73"/>
      <c r="L1405" s="73"/>
      <c r="M1405" s="73"/>
      <c r="N1405" s="73"/>
      <c r="O1405" s="73"/>
      <c r="P1405" s="73"/>
      <c r="Q1405" s="73"/>
      <c r="R1405" s="73"/>
      <c r="S1405" s="73"/>
      <c r="T1405" s="73"/>
      <c r="U1405" s="73"/>
      <c r="V1405" s="73"/>
      <c r="W1405" s="73"/>
      <c r="X1405" s="73"/>
      <c r="Y1405" s="73"/>
      <c r="Z1405" s="73"/>
      <c r="AA1405" s="73"/>
      <c r="AB1405" s="73"/>
    </row>
    <row r="1406">
      <c r="A1406" s="73"/>
      <c r="B1406" s="73">
        <v>179636.957</v>
      </c>
      <c r="C1406" s="73">
        <v>2.88027523399482E7</v>
      </c>
      <c r="D1406" s="73">
        <v>5644338.74099985</v>
      </c>
      <c r="E1406" s="73">
        <v>1352329.16577593</v>
      </c>
      <c r="F1406" s="73"/>
      <c r="G1406" s="73"/>
      <c r="H1406" s="73"/>
      <c r="I1406" s="73"/>
      <c r="J1406" s="73"/>
      <c r="K1406" s="73"/>
      <c r="L1406" s="73"/>
      <c r="M1406" s="73"/>
      <c r="N1406" s="73"/>
      <c r="O1406" s="73"/>
      <c r="P1406" s="73"/>
      <c r="Q1406" s="73"/>
      <c r="R1406" s="73"/>
      <c r="S1406" s="73"/>
      <c r="T1406" s="73"/>
      <c r="U1406" s="73"/>
      <c r="V1406" s="73"/>
      <c r="W1406" s="73"/>
      <c r="X1406" s="73"/>
      <c r="Y1406" s="73"/>
      <c r="Z1406" s="73"/>
      <c r="AA1406" s="73"/>
      <c r="AB1406" s="73"/>
    </row>
    <row r="1407">
      <c r="A1407" s="73"/>
      <c r="B1407" s="73">
        <v>179980.2425</v>
      </c>
      <c r="C1407" s="73">
        <v>2.88586195383964E7</v>
      </c>
      <c r="D1407" s="73">
        <v>5661728.13099695</v>
      </c>
      <c r="E1407" s="73">
        <v>1354956.70965169</v>
      </c>
      <c r="F1407" s="73"/>
      <c r="G1407" s="73"/>
      <c r="H1407" s="73"/>
      <c r="I1407" s="73"/>
      <c r="J1407" s="73"/>
      <c r="K1407" s="73"/>
      <c r="L1407" s="73"/>
      <c r="M1407" s="73"/>
      <c r="N1407" s="73"/>
      <c r="O1407" s="73"/>
      <c r="P1407" s="73"/>
      <c r="Q1407" s="73"/>
      <c r="R1407" s="73"/>
      <c r="S1407" s="73"/>
      <c r="T1407" s="73"/>
      <c r="U1407" s="73"/>
      <c r="V1407" s="73"/>
      <c r="W1407" s="73"/>
      <c r="X1407" s="73"/>
      <c r="Y1407" s="73"/>
      <c r="Z1407" s="73"/>
      <c r="AA1407" s="73"/>
      <c r="AB1407" s="73"/>
    </row>
    <row r="1408">
      <c r="A1408" s="73"/>
      <c r="B1408" s="73">
        <v>180324.022</v>
      </c>
      <c r="C1408" s="73">
        <v>2.89145526568427E7</v>
      </c>
      <c r="D1408" s="73">
        <v>5679152.65399786</v>
      </c>
      <c r="E1408" s="73">
        <v>1357587.97148055</v>
      </c>
      <c r="F1408" s="73"/>
      <c r="G1408" s="73"/>
      <c r="H1408" s="73"/>
      <c r="I1408" s="73"/>
      <c r="J1408" s="73"/>
      <c r="K1408" s="73"/>
      <c r="L1408" s="73"/>
      <c r="M1408" s="73"/>
      <c r="N1408" s="73"/>
      <c r="O1408" s="73"/>
      <c r="P1408" s="73"/>
      <c r="Q1408" s="73"/>
      <c r="R1408" s="73"/>
      <c r="S1408" s="73"/>
      <c r="T1408" s="73"/>
      <c r="U1408" s="73"/>
      <c r="V1408" s="73"/>
      <c r="W1408" s="73"/>
      <c r="X1408" s="73"/>
      <c r="Y1408" s="73"/>
      <c r="Z1408" s="73"/>
      <c r="AA1408" s="73"/>
      <c r="AB1408" s="73"/>
    </row>
    <row r="1409">
      <c r="A1409" s="73"/>
      <c r="B1409" s="73">
        <v>180668.288</v>
      </c>
      <c r="C1409" s="73">
        <v>2.89705537552872E7</v>
      </c>
      <c r="D1409" s="73">
        <v>5696611.68799878</v>
      </c>
      <c r="E1409" s="73">
        <v>1360222.74600679</v>
      </c>
      <c r="F1409" s="73"/>
      <c r="G1409" s="73"/>
      <c r="H1409" s="73"/>
      <c r="I1409" s="73"/>
      <c r="J1409" s="73"/>
      <c r="K1409" s="73"/>
      <c r="L1409" s="73"/>
      <c r="M1409" s="73"/>
      <c r="N1409" s="73"/>
      <c r="O1409" s="73"/>
      <c r="P1409" s="73"/>
      <c r="Q1409" s="73"/>
      <c r="R1409" s="73"/>
      <c r="S1409" s="73"/>
      <c r="T1409" s="73"/>
      <c r="U1409" s="73"/>
      <c r="V1409" s="73"/>
      <c r="W1409" s="73"/>
      <c r="X1409" s="73"/>
      <c r="Y1409" s="73"/>
      <c r="Z1409" s="73"/>
      <c r="AA1409" s="73"/>
      <c r="AB1409" s="73"/>
    </row>
    <row r="1410">
      <c r="A1410" s="73"/>
      <c r="B1410" s="73">
        <v>181013.048</v>
      </c>
      <c r="C1410" s="73">
        <v>2.90266248937297E7</v>
      </c>
      <c r="D1410" s="73">
        <v>5714105.85399969</v>
      </c>
      <c r="E1410" s="73">
        <v>1362861.24138458</v>
      </c>
      <c r="F1410" s="73"/>
      <c r="G1410" s="73"/>
      <c r="H1410" s="73"/>
      <c r="I1410" s="73"/>
      <c r="J1410" s="73"/>
      <c r="K1410" s="73"/>
      <c r="L1410" s="73"/>
      <c r="M1410" s="73"/>
      <c r="N1410" s="73"/>
      <c r="O1410" s="73"/>
      <c r="P1410" s="73"/>
      <c r="Q1410" s="73"/>
      <c r="R1410" s="73"/>
      <c r="S1410" s="73"/>
      <c r="T1410" s="73"/>
      <c r="U1410" s="73"/>
      <c r="V1410" s="73"/>
      <c r="W1410" s="73"/>
      <c r="X1410" s="73"/>
      <c r="Y1410" s="73"/>
      <c r="Z1410" s="73"/>
      <c r="AA1410" s="73"/>
      <c r="AB1410" s="73"/>
    </row>
    <row r="1411">
      <c r="A1411" s="73"/>
      <c r="B1411" s="73">
        <v>181358.2995</v>
      </c>
      <c r="C1411" s="73">
        <v>2.90827660721703E7</v>
      </c>
      <c r="D1411" s="73">
        <v>5731635.80300061</v>
      </c>
      <c r="E1411" s="73">
        <v>1365503.33335211</v>
      </c>
      <c r="F1411" s="73"/>
      <c r="G1411" s="73"/>
      <c r="H1411" s="73"/>
      <c r="I1411" s="73"/>
      <c r="J1411" s="73"/>
      <c r="K1411" s="73"/>
      <c r="L1411" s="73"/>
      <c r="M1411" s="73"/>
      <c r="N1411" s="73"/>
      <c r="O1411" s="73"/>
      <c r="P1411" s="73"/>
      <c r="Q1411" s="73"/>
      <c r="R1411" s="73"/>
      <c r="S1411" s="73"/>
      <c r="T1411" s="73"/>
      <c r="U1411" s="73"/>
      <c r="V1411" s="73"/>
      <c r="W1411" s="73"/>
      <c r="X1411" s="73"/>
      <c r="Y1411" s="73"/>
      <c r="Z1411" s="73"/>
      <c r="AA1411" s="73"/>
      <c r="AB1411" s="73"/>
    </row>
    <row r="1412">
      <c r="A1412" s="73"/>
      <c r="B1412" s="73">
        <v>181704.0425</v>
      </c>
      <c r="C1412" s="73">
        <v>2.9138973170609E7</v>
      </c>
      <c r="D1412" s="73">
        <v>5749200.26199771</v>
      </c>
      <c r="E1412" s="73">
        <v>1368149.02505461</v>
      </c>
      <c r="F1412" s="73"/>
      <c r="G1412" s="73"/>
      <c r="H1412" s="73"/>
      <c r="I1412" s="73"/>
      <c r="J1412" s="73"/>
      <c r="K1412" s="73"/>
      <c r="L1412" s="73"/>
      <c r="M1412" s="73"/>
      <c r="N1412" s="73"/>
      <c r="O1412" s="73"/>
      <c r="P1412" s="73"/>
      <c r="Q1412" s="73"/>
      <c r="R1412" s="73"/>
      <c r="S1412" s="73"/>
      <c r="T1412" s="73"/>
      <c r="U1412" s="73"/>
      <c r="V1412" s="73"/>
      <c r="W1412" s="73"/>
      <c r="X1412" s="73"/>
      <c r="Y1412" s="73"/>
      <c r="Z1412" s="73"/>
      <c r="AA1412" s="73"/>
      <c r="AB1412" s="73"/>
    </row>
    <row r="1413">
      <c r="A1413" s="73"/>
      <c r="B1413" s="73">
        <v>182050.2745</v>
      </c>
      <c r="C1413" s="73">
        <v>2.91952482490458E7</v>
      </c>
      <c r="D1413" s="73">
        <v>5766799.85399863</v>
      </c>
      <c r="E1413" s="73">
        <v>1370798.35843825</v>
      </c>
      <c r="F1413" s="73"/>
      <c r="G1413" s="73"/>
      <c r="H1413" s="73"/>
      <c r="I1413" s="73"/>
      <c r="J1413" s="73"/>
      <c r="K1413" s="73"/>
      <c r="L1413" s="73"/>
      <c r="M1413" s="73"/>
      <c r="N1413" s="73"/>
      <c r="O1413" s="73"/>
      <c r="P1413" s="73"/>
      <c r="Q1413" s="73"/>
      <c r="R1413" s="73"/>
      <c r="S1413" s="73"/>
      <c r="T1413" s="73"/>
      <c r="U1413" s="73"/>
      <c r="V1413" s="73"/>
      <c r="W1413" s="73"/>
      <c r="X1413" s="73"/>
      <c r="Y1413" s="73"/>
      <c r="Z1413" s="73"/>
      <c r="AA1413" s="73"/>
      <c r="AB1413" s="73"/>
    </row>
    <row r="1414">
      <c r="A1414" s="73"/>
      <c r="B1414" s="73">
        <v>182397.0005</v>
      </c>
      <c r="C1414" s="73">
        <v>2.92515974874806E7</v>
      </c>
      <c r="D1414" s="73">
        <v>5784434.58799954</v>
      </c>
      <c r="E1414" s="73">
        <v>1373451.37693819</v>
      </c>
      <c r="F1414" s="73"/>
      <c r="G1414" s="73"/>
      <c r="H1414" s="73"/>
      <c r="I1414" s="73"/>
      <c r="J1414" s="73"/>
      <c r="K1414" s="73"/>
      <c r="L1414" s="73"/>
      <c r="M1414" s="73"/>
      <c r="N1414" s="73"/>
      <c r="O1414" s="73"/>
      <c r="P1414" s="73"/>
      <c r="Q1414" s="73"/>
      <c r="R1414" s="73"/>
      <c r="S1414" s="73"/>
      <c r="T1414" s="73"/>
      <c r="U1414" s="73"/>
      <c r="V1414" s="73"/>
      <c r="W1414" s="73"/>
      <c r="X1414" s="73"/>
      <c r="Y1414" s="73"/>
      <c r="Z1414" s="73"/>
      <c r="AA1414" s="73"/>
      <c r="AB1414" s="73"/>
    </row>
    <row r="1415">
      <c r="A1415" s="73"/>
      <c r="B1415" s="73">
        <v>182744.2155</v>
      </c>
      <c r="C1415" s="73">
        <v>2.93080085259137E7</v>
      </c>
      <c r="D1415" s="73">
        <v>5802105.10400046</v>
      </c>
      <c r="E1415" s="73">
        <v>1376107.99761772</v>
      </c>
      <c r="F1415" s="73"/>
      <c r="G1415" s="73"/>
      <c r="H1415" s="73"/>
      <c r="I1415" s="73"/>
      <c r="J1415" s="73"/>
      <c r="K1415" s="73"/>
      <c r="L1415" s="73"/>
      <c r="M1415" s="73"/>
      <c r="N1415" s="73"/>
      <c r="O1415" s="73"/>
      <c r="P1415" s="73"/>
      <c r="Q1415" s="73"/>
      <c r="R1415" s="73"/>
      <c r="S1415" s="73"/>
      <c r="T1415" s="73"/>
      <c r="U1415" s="73"/>
      <c r="V1415" s="73"/>
      <c r="W1415" s="73"/>
      <c r="X1415" s="73"/>
      <c r="Y1415" s="73"/>
      <c r="Z1415" s="73"/>
      <c r="AA1415" s="73"/>
      <c r="AB1415" s="73"/>
    </row>
    <row r="1416">
      <c r="A1416" s="73"/>
      <c r="B1416" s="73">
        <v>183091.9245</v>
      </c>
      <c r="C1416" s="73">
        <v>2.93644937243447E7</v>
      </c>
      <c r="D1416" s="73">
        <v>5819810.12199756</v>
      </c>
      <c r="E1416" s="73">
        <v>1378768.22279393</v>
      </c>
      <c r="F1416" s="73"/>
      <c r="G1416" s="73"/>
      <c r="H1416" s="73"/>
      <c r="I1416" s="73"/>
      <c r="J1416" s="73"/>
      <c r="K1416" s="73"/>
      <c r="L1416" s="73"/>
      <c r="M1416" s="73"/>
      <c r="N1416" s="73"/>
      <c r="O1416" s="73"/>
      <c r="P1416" s="73"/>
      <c r="Q1416" s="73"/>
      <c r="R1416" s="73"/>
      <c r="S1416" s="73"/>
      <c r="T1416" s="73"/>
      <c r="U1416" s="73"/>
      <c r="V1416" s="73"/>
      <c r="W1416" s="73"/>
      <c r="X1416" s="73"/>
      <c r="Y1416" s="73"/>
      <c r="Z1416" s="73"/>
      <c r="AA1416" s="73"/>
      <c r="AB1416" s="73"/>
    </row>
    <row r="1417">
      <c r="A1417" s="73"/>
      <c r="B1417" s="73">
        <v>183440.125</v>
      </c>
      <c r="C1417" s="73">
        <v>2.9421042782774E7</v>
      </c>
      <c r="D1417" s="73">
        <v>5837550.91199847</v>
      </c>
      <c r="E1417" s="73">
        <v>1381432.09482707</v>
      </c>
      <c r="F1417" s="73"/>
      <c r="G1417" s="73"/>
      <c r="H1417" s="73"/>
      <c r="I1417" s="73"/>
      <c r="J1417" s="73"/>
      <c r="K1417" s="73"/>
      <c r="L1417" s="73"/>
      <c r="M1417" s="73"/>
      <c r="N1417" s="73"/>
      <c r="O1417" s="73"/>
      <c r="P1417" s="73"/>
      <c r="Q1417" s="73"/>
      <c r="R1417" s="73"/>
      <c r="S1417" s="73"/>
      <c r="T1417" s="73"/>
      <c r="U1417" s="73"/>
      <c r="V1417" s="73"/>
      <c r="W1417" s="73"/>
      <c r="X1417" s="73"/>
      <c r="Y1417" s="73"/>
      <c r="Z1417" s="73"/>
      <c r="AA1417" s="73"/>
      <c r="AB1417" s="73"/>
    </row>
    <row r="1418">
      <c r="A1418" s="73"/>
      <c r="B1418" s="73">
        <v>183788.817</v>
      </c>
      <c r="C1418" s="73">
        <v>2.94776660012012E7</v>
      </c>
      <c r="D1418" s="73">
        <v>5855326.84399939</v>
      </c>
      <c r="E1418" s="73">
        <v>1384099.69806332</v>
      </c>
      <c r="F1418" s="73"/>
      <c r="G1418" s="73"/>
      <c r="H1418" s="73"/>
      <c r="I1418" s="73"/>
      <c r="J1418" s="73"/>
      <c r="K1418" s="73"/>
      <c r="L1418" s="73"/>
      <c r="M1418" s="73"/>
      <c r="N1418" s="73"/>
      <c r="O1418" s="73"/>
      <c r="P1418" s="73"/>
      <c r="Q1418" s="73"/>
      <c r="R1418" s="73"/>
      <c r="S1418" s="73"/>
      <c r="T1418" s="73"/>
      <c r="U1418" s="73"/>
      <c r="V1418" s="73"/>
      <c r="W1418" s="73"/>
      <c r="X1418" s="73"/>
      <c r="Y1418" s="73"/>
      <c r="Z1418" s="73"/>
      <c r="AA1418" s="73"/>
      <c r="AB1418" s="73"/>
    </row>
    <row r="1419">
      <c r="A1419" s="73"/>
      <c r="B1419" s="73">
        <v>184137.998</v>
      </c>
      <c r="C1419" s="73">
        <v>2.95343530796266E7</v>
      </c>
      <c r="D1419" s="73">
        <v>5873138.56800031</v>
      </c>
      <c r="E1419" s="73">
        <v>1386770.86712281</v>
      </c>
      <c r="F1419" s="73"/>
      <c r="G1419" s="73"/>
      <c r="H1419" s="73"/>
      <c r="I1419" s="73"/>
      <c r="J1419" s="73"/>
      <c r="K1419" s="73"/>
      <c r="L1419" s="73"/>
      <c r="M1419" s="73"/>
      <c r="N1419" s="73"/>
      <c r="O1419" s="73"/>
      <c r="P1419" s="73"/>
      <c r="Q1419" s="73"/>
      <c r="R1419" s="73"/>
      <c r="S1419" s="73"/>
      <c r="T1419" s="73"/>
      <c r="U1419" s="73"/>
      <c r="V1419" s="73"/>
      <c r="W1419" s="73"/>
      <c r="X1419" s="73"/>
      <c r="Y1419" s="73"/>
      <c r="Z1419" s="73"/>
      <c r="AA1419" s="73"/>
      <c r="AB1419" s="73"/>
    </row>
    <row r="1420">
      <c r="A1420" s="73"/>
      <c r="B1420" s="73">
        <v>184487.673</v>
      </c>
      <c r="C1420" s="73">
        <v>2.959111019805E7</v>
      </c>
      <c r="D1420" s="73">
        <v>5890984.80199741</v>
      </c>
      <c r="E1420" s="73">
        <v>1389445.72957985</v>
      </c>
      <c r="F1420" s="73"/>
      <c r="G1420" s="73"/>
      <c r="H1420" s="73"/>
      <c r="I1420" s="73"/>
      <c r="J1420" s="73"/>
      <c r="K1420" s="73"/>
      <c r="L1420" s="73"/>
      <c r="M1420" s="73"/>
      <c r="N1420" s="73"/>
      <c r="O1420" s="73"/>
      <c r="P1420" s="73"/>
      <c r="Q1420" s="73"/>
      <c r="R1420" s="73"/>
      <c r="S1420" s="73"/>
      <c r="T1420" s="73"/>
      <c r="U1420" s="73"/>
      <c r="V1420" s="73"/>
      <c r="W1420" s="73"/>
      <c r="X1420" s="73"/>
      <c r="Y1420" s="73"/>
      <c r="Z1420" s="73"/>
      <c r="AA1420" s="73"/>
      <c r="AB1420" s="73"/>
    </row>
    <row r="1421">
      <c r="A1421" s="73"/>
      <c r="B1421" s="73">
        <v>184837.842</v>
      </c>
      <c r="C1421" s="73">
        <v>2.96479394164715E7</v>
      </c>
      <c r="D1421" s="73">
        <v>5908866.79999832</v>
      </c>
      <c r="E1421" s="73">
        <v>1392124.24344851</v>
      </c>
      <c r="F1421" s="73"/>
      <c r="G1421" s="73"/>
      <c r="H1421" s="73"/>
      <c r="I1421" s="73"/>
      <c r="J1421" s="73"/>
      <c r="K1421" s="73"/>
      <c r="L1421" s="73"/>
      <c r="M1421" s="73"/>
      <c r="N1421" s="73"/>
      <c r="O1421" s="73"/>
      <c r="P1421" s="73"/>
      <c r="Q1421" s="73"/>
      <c r="R1421" s="73"/>
      <c r="S1421" s="73"/>
      <c r="T1421" s="73"/>
      <c r="U1421" s="73"/>
      <c r="V1421" s="73"/>
      <c r="W1421" s="73"/>
      <c r="X1421" s="73"/>
      <c r="Y1421" s="73"/>
      <c r="Z1421" s="73"/>
      <c r="AA1421" s="73"/>
      <c r="AB1421" s="73"/>
    </row>
    <row r="1422">
      <c r="A1422" s="73"/>
      <c r="B1422" s="73">
        <v>185188.5</v>
      </c>
      <c r="C1422" s="73">
        <v>2.97048345548911E7</v>
      </c>
      <c r="D1422" s="73">
        <v>5926784.59799924</v>
      </c>
      <c r="E1422" s="73">
        <v>1394806.36798504</v>
      </c>
      <c r="F1422" s="73"/>
      <c r="G1422" s="73"/>
      <c r="H1422" s="73"/>
      <c r="I1422" s="73"/>
      <c r="J1422" s="73"/>
      <c r="K1422" s="73"/>
      <c r="L1422" s="73"/>
      <c r="M1422" s="73"/>
      <c r="N1422" s="73"/>
      <c r="O1422" s="73"/>
      <c r="P1422" s="73"/>
      <c r="Q1422" s="73"/>
      <c r="R1422" s="73"/>
      <c r="S1422" s="73"/>
      <c r="T1422" s="73"/>
      <c r="U1422" s="73"/>
      <c r="V1422" s="73"/>
      <c r="W1422" s="73"/>
      <c r="X1422" s="73"/>
      <c r="Y1422" s="73"/>
      <c r="Z1422" s="73"/>
      <c r="AA1422" s="73"/>
      <c r="AB1422" s="73"/>
    </row>
    <row r="1423">
      <c r="A1423" s="73"/>
      <c r="B1423" s="73">
        <v>185539.652</v>
      </c>
      <c r="C1423" s="73">
        <v>2.97617997333088E7</v>
      </c>
      <c r="D1423" s="73">
        <v>5944737.52000015</v>
      </c>
      <c r="E1423" s="73">
        <v>1397492.14811356</v>
      </c>
      <c r="F1423" s="73"/>
      <c r="G1423" s="73"/>
      <c r="H1423" s="73"/>
      <c r="I1423" s="73"/>
      <c r="J1423" s="73"/>
      <c r="K1423" s="73"/>
      <c r="L1423" s="73"/>
      <c r="M1423" s="73"/>
      <c r="N1423" s="73"/>
      <c r="O1423" s="73"/>
      <c r="P1423" s="73"/>
      <c r="Q1423" s="73"/>
      <c r="R1423" s="73"/>
      <c r="S1423" s="73"/>
      <c r="T1423" s="73"/>
      <c r="U1423" s="73"/>
      <c r="V1423" s="73"/>
      <c r="W1423" s="73"/>
      <c r="X1423" s="73"/>
      <c r="Y1423" s="73"/>
      <c r="Z1423" s="73"/>
      <c r="AA1423" s="73"/>
      <c r="AB1423" s="73"/>
    </row>
    <row r="1424">
      <c r="A1424" s="73"/>
      <c r="B1424" s="73">
        <v>185891.2955</v>
      </c>
      <c r="C1424" s="73">
        <v>2.98188349517245E7</v>
      </c>
      <c r="D1424" s="73">
        <v>5962726.24199725</v>
      </c>
      <c r="E1424" s="73">
        <v>1400181.70760231</v>
      </c>
      <c r="F1424" s="73"/>
      <c r="G1424" s="73"/>
      <c r="H1424" s="73"/>
      <c r="I1424" s="73"/>
      <c r="J1424" s="73"/>
      <c r="K1424" s="73"/>
      <c r="L1424" s="73"/>
      <c r="M1424" s="73"/>
      <c r="N1424" s="73"/>
      <c r="O1424" s="73"/>
      <c r="P1424" s="73"/>
      <c r="Q1424" s="73"/>
      <c r="R1424" s="73"/>
      <c r="S1424" s="73"/>
      <c r="T1424" s="73"/>
      <c r="U1424" s="73"/>
      <c r="V1424" s="73"/>
      <c r="W1424" s="73"/>
      <c r="X1424" s="73"/>
      <c r="Y1424" s="73"/>
      <c r="Z1424" s="73"/>
      <c r="AA1424" s="73"/>
      <c r="AB1424" s="73"/>
    </row>
    <row r="1425">
      <c r="A1425" s="73"/>
      <c r="B1425" s="73">
        <v>186243.433</v>
      </c>
      <c r="C1425" s="73">
        <v>2.98759381501384E7</v>
      </c>
      <c r="D1425" s="73">
        <v>5980750.09599817</v>
      </c>
      <c r="E1425" s="73">
        <v>1402874.75726343</v>
      </c>
      <c r="F1425" s="73"/>
      <c r="G1425" s="73"/>
      <c r="H1425" s="73"/>
      <c r="I1425" s="73"/>
      <c r="J1425" s="73"/>
      <c r="K1425" s="73"/>
      <c r="L1425" s="73"/>
      <c r="M1425" s="73"/>
      <c r="N1425" s="73"/>
      <c r="O1425" s="73"/>
      <c r="P1425" s="73"/>
      <c r="Q1425" s="73"/>
      <c r="R1425" s="73"/>
      <c r="S1425" s="73"/>
      <c r="T1425" s="73"/>
      <c r="U1425" s="73"/>
      <c r="V1425" s="73"/>
      <c r="W1425" s="73"/>
      <c r="X1425" s="73"/>
      <c r="Y1425" s="73"/>
      <c r="Z1425" s="73"/>
      <c r="AA1425" s="73"/>
      <c r="AB1425" s="73"/>
    </row>
    <row r="1426">
      <c r="A1426" s="73"/>
      <c r="B1426" s="73">
        <v>186596.0595</v>
      </c>
      <c r="C1426" s="73">
        <v>2.99331113885503E7</v>
      </c>
      <c r="D1426" s="73">
        <v>5998809.72399908</v>
      </c>
      <c r="E1426" s="73">
        <v>1405571.59046517</v>
      </c>
      <c r="F1426" s="73"/>
      <c r="G1426" s="73"/>
      <c r="H1426" s="73"/>
      <c r="I1426" s="73"/>
      <c r="J1426" s="73"/>
      <c r="K1426" s="73"/>
      <c r="L1426" s="73"/>
      <c r="M1426" s="73"/>
      <c r="N1426" s="73"/>
      <c r="O1426" s="73"/>
      <c r="P1426" s="73"/>
      <c r="Q1426" s="73"/>
      <c r="R1426" s="73"/>
      <c r="S1426" s="73"/>
      <c r="T1426" s="73"/>
      <c r="U1426" s="73"/>
      <c r="V1426" s="73"/>
      <c r="W1426" s="73"/>
      <c r="X1426" s="73"/>
      <c r="Y1426" s="73"/>
      <c r="Z1426" s="73"/>
      <c r="AA1426" s="73"/>
      <c r="AB1426" s="73"/>
    </row>
    <row r="1427">
      <c r="A1427" s="73"/>
      <c r="B1427" s="73">
        <v>186949.18</v>
      </c>
      <c r="C1427" s="73">
        <v>2.99903505469604E7</v>
      </c>
      <c r="D1427" s="73">
        <v>6016904.502</v>
      </c>
      <c r="E1427" s="73">
        <v>1408272.08211758</v>
      </c>
      <c r="F1427" s="73"/>
      <c r="G1427" s="73"/>
      <c r="H1427" s="73"/>
      <c r="I1427" s="73"/>
      <c r="J1427" s="73"/>
      <c r="K1427" s="73"/>
      <c r="L1427" s="73"/>
      <c r="M1427" s="73"/>
      <c r="N1427" s="73"/>
      <c r="O1427" s="73"/>
      <c r="P1427" s="73"/>
      <c r="Q1427" s="73"/>
      <c r="R1427" s="73"/>
      <c r="S1427" s="73"/>
      <c r="T1427" s="73"/>
      <c r="U1427" s="73"/>
      <c r="V1427" s="73"/>
      <c r="W1427" s="73"/>
      <c r="X1427" s="73"/>
      <c r="Y1427" s="73"/>
      <c r="Z1427" s="73"/>
      <c r="AA1427" s="73"/>
      <c r="AB1427" s="73"/>
    </row>
    <row r="1428">
      <c r="A1428" s="73"/>
      <c r="B1428" s="73">
        <v>187302.7945</v>
      </c>
      <c r="C1428" s="73">
        <v>3.00476597453685E7</v>
      </c>
      <c r="D1428" s="73">
        <v>6035035.7119971</v>
      </c>
      <c r="E1428" s="73">
        <v>1410976.15118698</v>
      </c>
      <c r="F1428" s="73"/>
      <c r="G1428" s="73"/>
      <c r="H1428" s="73"/>
      <c r="I1428" s="73"/>
      <c r="J1428" s="73"/>
      <c r="K1428" s="73"/>
      <c r="L1428" s="73"/>
      <c r="M1428" s="73"/>
      <c r="N1428" s="73"/>
      <c r="O1428" s="73"/>
      <c r="P1428" s="73"/>
      <c r="Q1428" s="73"/>
      <c r="R1428" s="73"/>
      <c r="S1428" s="73"/>
      <c r="T1428" s="73"/>
      <c r="U1428" s="73"/>
      <c r="V1428" s="73"/>
      <c r="W1428" s="73"/>
      <c r="X1428" s="73"/>
      <c r="Y1428" s="73"/>
      <c r="Z1428" s="73"/>
      <c r="AA1428" s="73"/>
      <c r="AB1428" s="73"/>
    </row>
    <row r="1429">
      <c r="A1429" s="73"/>
      <c r="B1429" s="73">
        <v>187656.9005</v>
      </c>
      <c r="C1429" s="73">
        <v>3.01050410437746E7</v>
      </c>
      <c r="D1429" s="73">
        <v>6053202.07199802</v>
      </c>
      <c r="E1429" s="73">
        <v>1413684.00669543</v>
      </c>
      <c r="F1429" s="73"/>
      <c r="G1429" s="73"/>
      <c r="H1429" s="73"/>
      <c r="I1429" s="73"/>
      <c r="J1429" s="73"/>
      <c r="K1429" s="73"/>
      <c r="L1429" s="73"/>
      <c r="M1429" s="73"/>
      <c r="N1429" s="73"/>
      <c r="O1429" s="73"/>
      <c r="P1429" s="73"/>
      <c r="Q1429" s="73"/>
      <c r="R1429" s="73"/>
      <c r="S1429" s="73"/>
      <c r="T1429" s="73"/>
      <c r="U1429" s="73"/>
      <c r="V1429" s="73"/>
      <c r="W1429" s="73"/>
      <c r="X1429" s="73"/>
      <c r="Y1429" s="73"/>
      <c r="Z1429" s="73"/>
      <c r="AA1429" s="73"/>
      <c r="AB1429" s="73"/>
    </row>
    <row r="1430">
      <c r="A1430" s="73"/>
      <c r="B1430" s="73">
        <v>188011.498</v>
      </c>
      <c r="C1430" s="73">
        <v>3.01624923821788E7</v>
      </c>
      <c r="D1430" s="73">
        <v>6071404.20599893</v>
      </c>
      <c r="E1430" s="73">
        <v>1416395.48239519</v>
      </c>
      <c r="F1430" s="73"/>
      <c r="G1430" s="73"/>
      <c r="H1430" s="73"/>
      <c r="I1430" s="73"/>
      <c r="J1430" s="73"/>
      <c r="K1430" s="73"/>
      <c r="L1430" s="73"/>
      <c r="M1430" s="73"/>
      <c r="N1430" s="73"/>
      <c r="O1430" s="73"/>
      <c r="P1430" s="73"/>
      <c r="Q1430" s="73"/>
      <c r="R1430" s="73"/>
      <c r="S1430" s="73"/>
      <c r="T1430" s="73"/>
      <c r="U1430" s="73"/>
      <c r="V1430" s="73"/>
      <c r="W1430" s="73"/>
      <c r="X1430" s="73"/>
      <c r="Y1430" s="73"/>
      <c r="Z1430" s="73"/>
      <c r="AA1430" s="73"/>
      <c r="AB1430" s="73"/>
    </row>
    <row r="1431">
      <c r="A1431" s="73"/>
      <c r="B1431" s="73">
        <v>188366.592</v>
      </c>
      <c r="C1431" s="73">
        <v>3.02200096405811E7</v>
      </c>
      <c r="D1431" s="73">
        <v>6089642.11199985</v>
      </c>
      <c r="E1431" s="73">
        <v>1419110.58081037</v>
      </c>
      <c r="F1431" s="73"/>
      <c r="G1431" s="73"/>
      <c r="H1431" s="73"/>
      <c r="I1431" s="73"/>
      <c r="J1431" s="73"/>
      <c r="K1431" s="73"/>
      <c r="L1431" s="73"/>
      <c r="M1431" s="73"/>
      <c r="N1431" s="73"/>
      <c r="O1431" s="73"/>
      <c r="P1431" s="73"/>
      <c r="Q1431" s="73"/>
      <c r="R1431" s="73"/>
      <c r="S1431" s="73"/>
      <c r="T1431" s="73"/>
      <c r="U1431" s="73"/>
      <c r="V1431" s="73"/>
      <c r="W1431" s="73"/>
      <c r="X1431" s="73"/>
      <c r="Y1431" s="73"/>
      <c r="Z1431" s="73"/>
      <c r="AA1431" s="73"/>
      <c r="AB1431" s="73"/>
    </row>
    <row r="1432">
      <c r="A1432" s="73"/>
      <c r="B1432" s="73">
        <v>188722.175</v>
      </c>
      <c r="C1432" s="73">
        <v>3.02775969389815E7</v>
      </c>
      <c r="D1432" s="73">
        <v>6107915.81799695</v>
      </c>
      <c r="E1432" s="73">
        <v>1421829.46939117</v>
      </c>
      <c r="F1432" s="73"/>
      <c r="G1432" s="73"/>
      <c r="H1432" s="73"/>
      <c r="I1432" s="73"/>
      <c r="J1432" s="73"/>
      <c r="K1432" s="73"/>
      <c r="L1432" s="73"/>
      <c r="M1432" s="73"/>
      <c r="N1432" s="73"/>
      <c r="O1432" s="73"/>
      <c r="P1432" s="73"/>
      <c r="Q1432" s="73"/>
      <c r="R1432" s="73"/>
      <c r="S1432" s="73"/>
      <c r="T1432" s="73"/>
      <c r="U1432" s="73"/>
      <c r="V1432" s="73"/>
      <c r="W1432" s="73"/>
      <c r="X1432" s="73"/>
      <c r="Y1432" s="73"/>
      <c r="Z1432" s="73"/>
      <c r="AA1432" s="73"/>
      <c r="AB1432" s="73"/>
    </row>
    <row r="1433">
      <c r="A1433" s="73"/>
      <c r="B1433" s="73">
        <v>189078.252</v>
      </c>
      <c r="C1433" s="73">
        <v>3.033525427738E7</v>
      </c>
      <c r="D1433" s="73">
        <v>6126225.29799786</v>
      </c>
      <c r="E1433" s="73">
        <v>1424551.98188983</v>
      </c>
      <c r="F1433" s="73"/>
      <c r="G1433" s="73"/>
      <c r="H1433" s="73"/>
      <c r="I1433" s="73"/>
      <c r="J1433" s="73"/>
      <c r="K1433" s="73"/>
      <c r="L1433" s="73"/>
      <c r="M1433" s="73"/>
      <c r="N1433" s="73"/>
      <c r="O1433" s="73"/>
      <c r="P1433" s="73"/>
      <c r="Q1433" s="73"/>
      <c r="R1433" s="73"/>
      <c r="S1433" s="73"/>
      <c r="T1433" s="73"/>
      <c r="U1433" s="73"/>
      <c r="V1433" s="73"/>
      <c r="W1433" s="73"/>
      <c r="X1433" s="73"/>
      <c r="Y1433" s="73"/>
      <c r="Z1433" s="73"/>
      <c r="AA1433" s="73"/>
      <c r="AB1433" s="73"/>
    </row>
    <row r="1434">
      <c r="A1434" s="73"/>
      <c r="B1434" s="73">
        <v>189434.823</v>
      </c>
      <c r="C1434" s="73">
        <v>3.03929816557765E7</v>
      </c>
      <c r="D1434" s="73">
        <v>6144570.56799878</v>
      </c>
      <c r="E1434" s="73">
        <v>1427278.12041641</v>
      </c>
      <c r="F1434" s="73"/>
      <c r="G1434" s="73"/>
      <c r="H1434" s="73"/>
      <c r="I1434" s="73"/>
      <c r="J1434" s="73"/>
      <c r="K1434" s="73"/>
      <c r="L1434" s="73"/>
      <c r="M1434" s="73"/>
      <c r="N1434" s="73"/>
      <c r="O1434" s="73"/>
      <c r="P1434" s="73"/>
      <c r="Q1434" s="73"/>
      <c r="R1434" s="73"/>
      <c r="S1434" s="73"/>
      <c r="T1434" s="73"/>
      <c r="U1434" s="73"/>
      <c r="V1434" s="73"/>
      <c r="W1434" s="73"/>
      <c r="X1434" s="73"/>
      <c r="Y1434" s="73"/>
      <c r="Z1434" s="73"/>
      <c r="AA1434" s="73"/>
      <c r="AB1434" s="73"/>
    </row>
    <row r="1435">
      <c r="A1435" s="73"/>
      <c r="B1435" s="73">
        <v>189791.888</v>
      </c>
      <c r="C1435" s="73">
        <v>3.04507749541712E7</v>
      </c>
      <c r="D1435" s="73">
        <v>6162951.61999969</v>
      </c>
      <c r="E1435" s="73">
        <v>1430007.96720705</v>
      </c>
      <c r="F1435" s="73"/>
      <c r="G1435" s="73"/>
      <c r="H1435" s="73"/>
      <c r="I1435" s="73"/>
      <c r="J1435" s="73"/>
      <c r="K1435" s="73"/>
      <c r="L1435" s="73"/>
      <c r="M1435" s="73"/>
      <c r="N1435" s="73"/>
      <c r="O1435" s="73"/>
      <c r="P1435" s="73"/>
      <c r="Q1435" s="73"/>
      <c r="R1435" s="73"/>
      <c r="S1435" s="73"/>
      <c r="T1435" s="73"/>
      <c r="U1435" s="73"/>
      <c r="V1435" s="73"/>
      <c r="W1435" s="73"/>
      <c r="X1435" s="73"/>
      <c r="Y1435" s="73"/>
      <c r="Z1435" s="73"/>
      <c r="AA1435" s="73"/>
      <c r="AB1435" s="73"/>
    </row>
    <row r="1436">
      <c r="A1436" s="73"/>
      <c r="B1436" s="73">
        <v>190149.4445</v>
      </c>
      <c r="C1436" s="73">
        <v>3.05086424125638E7</v>
      </c>
      <c r="D1436" s="73">
        <v>6181368.45400061</v>
      </c>
      <c r="E1436" s="73">
        <v>1432741.56884211</v>
      </c>
      <c r="F1436" s="73"/>
      <c r="G1436" s="73"/>
      <c r="H1436" s="73"/>
      <c r="I1436" s="73"/>
      <c r="J1436" s="73"/>
      <c r="K1436" s="73"/>
      <c r="L1436" s="73"/>
      <c r="M1436" s="73"/>
      <c r="N1436" s="73"/>
      <c r="O1436" s="73"/>
      <c r="P1436" s="73"/>
      <c r="Q1436" s="73"/>
      <c r="R1436" s="73"/>
      <c r="S1436" s="73"/>
      <c r="T1436" s="73"/>
      <c r="U1436" s="73"/>
      <c r="V1436" s="73"/>
      <c r="W1436" s="73"/>
      <c r="X1436" s="73"/>
      <c r="Y1436" s="73"/>
      <c r="Z1436" s="73"/>
      <c r="AA1436" s="73"/>
      <c r="AB1436" s="73"/>
    </row>
    <row r="1437">
      <c r="A1437" s="73"/>
      <c r="B1437" s="73">
        <v>190507.495</v>
      </c>
      <c r="C1437" s="73">
        <v>3.05665757909546E7</v>
      </c>
      <c r="D1437" s="73">
        <v>6199821.71999771</v>
      </c>
      <c r="E1437" s="73">
        <v>1435478.79770754</v>
      </c>
      <c r="F1437" s="73"/>
      <c r="G1437" s="73"/>
      <c r="H1437" s="73"/>
      <c r="I1437" s="73"/>
      <c r="J1437" s="73"/>
      <c r="K1437" s="73"/>
      <c r="L1437" s="73"/>
      <c r="M1437" s="73"/>
      <c r="N1437" s="73"/>
      <c r="O1437" s="73"/>
      <c r="P1437" s="73"/>
      <c r="Q1437" s="73"/>
      <c r="R1437" s="73"/>
      <c r="S1437" s="73"/>
      <c r="T1437" s="73"/>
      <c r="U1437" s="73"/>
      <c r="V1437" s="73"/>
      <c r="W1437" s="73"/>
      <c r="X1437" s="73"/>
      <c r="Y1437" s="73"/>
      <c r="Z1437" s="73"/>
      <c r="AA1437" s="73"/>
      <c r="AB1437" s="73"/>
    </row>
    <row r="1438">
      <c r="A1438" s="73"/>
      <c r="B1438" s="73">
        <v>190866.037</v>
      </c>
      <c r="C1438" s="73">
        <v>3.06245833293433E7</v>
      </c>
      <c r="D1438" s="73">
        <v>6218310.75799863</v>
      </c>
      <c r="E1438" s="73">
        <v>1438219.69827365</v>
      </c>
      <c r="F1438" s="73"/>
      <c r="G1438" s="73"/>
      <c r="H1438" s="73"/>
      <c r="I1438" s="73"/>
      <c r="J1438" s="73"/>
      <c r="K1438" s="73"/>
      <c r="L1438" s="73"/>
      <c r="M1438" s="73"/>
      <c r="N1438" s="73"/>
      <c r="O1438" s="73"/>
      <c r="P1438" s="73"/>
      <c r="Q1438" s="73"/>
      <c r="R1438" s="73"/>
      <c r="S1438" s="73"/>
      <c r="T1438" s="73"/>
      <c r="U1438" s="73"/>
      <c r="V1438" s="73"/>
      <c r="W1438" s="73"/>
      <c r="X1438" s="73"/>
      <c r="Y1438" s="73"/>
      <c r="Z1438" s="73"/>
      <c r="AA1438" s="73"/>
      <c r="AB1438" s="73"/>
    </row>
    <row r="1439">
      <c r="A1439" s="73"/>
      <c r="B1439" s="73">
        <v>191225.073</v>
      </c>
      <c r="C1439" s="73">
        <v>3.06826547277303E7</v>
      </c>
      <c r="D1439" s="73">
        <v>6236835.57799954</v>
      </c>
      <c r="E1439" s="73">
        <v>1440964.39687254</v>
      </c>
      <c r="F1439" s="73"/>
      <c r="G1439" s="73"/>
      <c r="H1439" s="73"/>
      <c r="I1439" s="73"/>
      <c r="J1439" s="73"/>
      <c r="K1439" s="73"/>
      <c r="L1439" s="73"/>
      <c r="M1439" s="73"/>
      <c r="N1439" s="73"/>
      <c r="O1439" s="73"/>
      <c r="P1439" s="73"/>
      <c r="Q1439" s="73"/>
      <c r="R1439" s="73"/>
      <c r="S1439" s="73"/>
      <c r="T1439" s="73"/>
      <c r="U1439" s="73"/>
      <c r="V1439" s="73"/>
      <c r="W1439" s="73"/>
      <c r="X1439" s="73"/>
      <c r="Y1439" s="73"/>
      <c r="Z1439" s="73"/>
      <c r="AA1439" s="73"/>
      <c r="AB1439" s="73"/>
    </row>
    <row r="1440">
      <c r="A1440" s="73"/>
      <c r="B1440" s="73">
        <v>191584.6055</v>
      </c>
      <c r="C1440" s="73">
        <v>3.07408002861152E7</v>
      </c>
      <c r="D1440" s="73">
        <v>6255396.19800046</v>
      </c>
      <c r="E1440" s="73">
        <v>1443712.68572438</v>
      </c>
      <c r="F1440" s="73"/>
      <c r="G1440" s="73"/>
      <c r="H1440" s="73"/>
      <c r="I1440" s="73"/>
      <c r="J1440" s="73"/>
      <c r="K1440" s="73"/>
      <c r="L1440" s="73"/>
      <c r="M1440" s="73"/>
      <c r="N1440" s="73"/>
      <c r="O1440" s="73"/>
      <c r="P1440" s="73"/>
      <c r="Q1440" s="73"/>
      <c r="R1440" s="73"/>
      <c r="S1440" s="73"/>
      <c r="T1440" s="73"/>
      <c r="U1440" s="73"/>
      <c r="V1440" s="73"/>
      <c r="W1440" s="73"/>
      <c r="X1440" s="73"/>
      <c r="Y1440" s="73"/>
      <c r="Z1440" s="73"/>
      <c r="AA1440" s="73"/>
      <c r="AB1440" s="73"/>
    </row>
    <row r="1441">
      <c r="A1441" s="73"/>
      <c r="B1441" s="73">
        <v>191944.6295</v>
      </c>
      <c r="C1441" s="73">
        <v>3.07990117644982E7</v>
      </c>
      <c r="D1441" s="73">
        <v>6273993.24999756</v>
      </c>
      <c r="E1441" s="73">
        <v>1446464.69198938</v>
      </c>
      <c r="F1441" s="73"/>
      <c r="G1441" s="73"/>
      <c r="H1441" s="73"/>
      <c r="I1441" s="73"/>
      <c r="J1441" s="73"/>
      <c r="K1441" s="73"/>
      <c r="L1441" s="73"/>
      <c r="M1441" s="73"/>
      <c r="N1441" s="73"/>
      <c r="O1441" s="73"/>
      <c r="P1441" s="73"/>
      <c r="Q1441" s="73"/>
      <c r="R1441" s="73"/>
      <c r="S1441" s="73"/>
      <c r="T1441" s="73"/>
      <c r="U1441" s="73"/>
      <c r="V1441" s="73"/>
      <c r="W1441" s="73"/>
      <c r="X1441" s="73"/>
      <c r="Y1441" s="73"/>
      <c r="Z1441" s="73"/>
      <c r="AA1441" s="73"/>
      <c r="AB1441" s="73"/>
    </row>
    <row r="1442">
      <c r="A1442" s="73"/>
      <c r="B1442" s="73">
        <v>192305.145</v>
      </c>
      <c r="C1442" s="73">
        <v>3.08572932828794E7</v>
      </c>
      <c r="D1442" s="73">
        <v>6292626.71399847</v>
      </c>
      <c r="E1442" s="73">
        <v>1449220.45678562</v>
      </c>
      <c r="F1442" s="73"/>
      <c r="G1442" s="73"/>
      <c r="H1442" s="73"/>
      <c r="I1442" s="73"/>
      <c r="J1442" s="73"/>
      <c r="K1442" s="73"/>
      <c r="L1442" s="73"/>
      <c r="M1442" s="73"/>
      <c r="N1442" s="73"/>
      <c r="O1442" s="73"/>
      <c r="P1442" s="73"/>
      <c r="Q1442" s="73"/>
      <c r="R1442" s="73"/>
      <c r="S1442" s="73"/>
      <c r="T1442" s="73"/>
      <c r="U1442" s="73"/>
      <c r="V1442" s="73"/>
      <c r="W1442" s="73"/>
      <c r="X1442" s="73"/>
      <c r="Y1442" s="73"/>
      <c r="Z1442" s="73"/>
      <c r="AA1442" s="73"/>
      <c r="AB1442" s="73"/>
    </row>
    <row r="1443">
      <c r="A1443" s="73"/>
      <c r="B1443" s="73">
        <v>192666.157</v>
      </c>
      <c r="C1443" s="73">
        <v>3.09156469012585E7</v>
      </c>
      <c r="D1443" s="73">
        <v>6311295.32999939</v>
      </c>
      <c r="E1443" s="73">
        <v>1451979.85626535</v>
      </c>
      <c r="F1443" s="73"/>
      <c r="G1443" s="73"/>
      <c r="H1443" s="73"/>
      <c r="I1443" s="73"/>
      <c r="J1443" s="73"/>
      <c r="K1443" s="73"/>
      <c r="L1443" s="73"/>
      <c r="M1443" s="73"/>
      <c r="N1443" s="73"/>
      <c r="O1443" s="73"/>
      <c r="P1443" s="73"/>
      <c r="Q1443" s="73"/>
      <c r="R1443" s="73"/>
      <c r="S1443" s="73"/>
      <c r="T1443" s="73"/>
      <c r="U1443" s="73"/>
      <c r="V1443" s="73"/>
      <c r="W1443" s="73"/>
      <c r="X1443" s="73"/>
      <c r="Y1443" s="73"/>
      <c r="Z1443" s="73"/>
      <c r="AA1443" s="73"/>
      <c r="AB1443" s="73"/>
    </row>
    <row r="1444">
      <c r="A1444" s="73"/>
      <c r="B1444" s="73">
        <v>193027.663</v>
      </c>
      <c r="C1444" s="73">
        <v>3.09740705596356E7</v>
      </c>
      <c r="D1444" s="73">
        <v>6330000.99800031</v>
      </c>
      <c r="E1444" s="73">
        <v>1454743.01845669</v>
      </c>
      <c r="F1444" s="73"/>
      <c r="G1444" s="73"/>
      <c r="H1444" s="73"/>
      <c r="I1444" s="73"/>
      <c r="J1444" s="73"/>
      <c r="K1444" s="73"/>
      <c r="L1444" s="73"/>
      <c r="M1444" s="73"/>
      <c r="N1444" s="73"/>
      <c r="O1444" s="73"/>
      <c r="P1444" s="73"/>
      <c r="Q1444" s="73"/>
      <c r="R1444" s="73"/>
      <c r="S1444" s="73"/>
      <c r="T1444" s="73"/>
      <c r="U1444" s="73"/>
      <c r="V1444" s="73"/>
      <c r="W1444" s="73"/>
      <c r="X1444" s="73"/>
      <c r="Y1444" s="73"/>
      <c r="Z1444" s="73"/>
      <c r="AA1444" s="73"/>
      <c r="AB1444" s="73"/>
    </row>
    <row r="1445">
      <c r="A1445" s="73"/>
      <c r="B1445" s="73">
        <v>193389.663</v>
      </c>
      <c r="C1445" s="73">
        <v>3.1032560138011E7</v>
      </c>
      <c r="D1445" s="73">
        <v>6348742.45799741</v>
      </c>
      <c r="E1445" s="73">
        <v>1457509.81698777</v>
      </c>
      <c r="F1445" s="73"/>
      <c r="G1445" s="73"/>
      <c r="H1445" s="73"/>
      <c r="I1445" s="73"/>
      <c r="J1445" s="73"/>
      <c r="K1445" s="73"/>
      <c r="L1445" s="73"/>
      <c r="M1445" s="73"/>
      <c r="N1445" s="73"/>
      <c r="O1445" s="73"/>
      <c r="P1445" s="73"/>
      <c r="Q1445" s="73"/>
      <c r="R1445" s="73"/>
      <c r="S1445" s="73"/>
      <c r="T1445" s="73"/>
      <c r="U1445" s="73"/>
      <c r="V1445" s="73"/>
      <c r="W1445" s="73"/>
      <c r="X1445" s="73"/>
      <c r="Y1445" s="73"/>
      <c r="Z1445" s="73"/>
      <c r="AA1445" s="73"/>
      <c r="AB1445" s="73"/>
    </row>
    <row r="1446">
      <c r="A1446" s="73"/>
      <c r="B1446" s="73">
        <v>193752.1545</v>
      </c>
      <c r="C1446" s="73">
        <v>3.10911238763843E7</v>
      </c>
      <c r="D1446" s="73">
        <v>6367520.35799832</v>
      </c>
      <c r="E1446" s="73">
        <v>1460280.33790078</v>
      </c>
      <c r="F1446" s="73"/>
      <c r="G1446" s="73"/>
      <c r="H1446" s="73"/>
      <c r="I1446" s="73"/>
      <c r="J1446" s="73"/>
      <c r="K1446" s="73"/>
      <c r="L1446" s="73"/>
      <c r="M1446" s="73"/>
      <c r="N1446" s="73"/>
      <c r="O1446" s="73"/>
      <c r="P1446" s="73"/>
      <c r="Q1446" s="73"/>
      <c r="R1446" s="73"/>
      <c r="S1446" s="73"/>
      <c r="T1446" s="73"/>
      <c r="U1446" s="73"/>
      <c r="V1446" s="73"/>
      <c r="W1446" s="73"/>
      <c r="X1446" s="73"/>
      <c r="Y1446" s="73"/>
      <c r="Z1446" s="73"/>
      <c r="AA1446" s="73"/>
      <c r="AB1446" s="73"/>
    </row>
    <row r="1447">
      <c r="A1447" s="73"/>
      <c r="B1447" s="73">
        <v>194115.1425</v>
      </c>
      <c r="C1447" s="73">
        <v>3.11497555947557E7</v>
      </c>
      <c r="D1447" s="73">
        <v>6386334.00199924</v>
      </c>
      <c r="E1447" s="73">
        <v>1463054.62314189</v>
      </c>
      <c r="F1447" s="73"/>
      <c r="G1447" s="73"/>
      <c r="H1447" s="73"/>
      <c r="I1447" s="73"/>
      <c r="J1447" s="73"/>
      <c r="K1447" s="73"/>
      <c r="L1447" s="73"/>
      <c r="M1447" s="73"/>
      <c r="N1447" s="73"/>
      <c r="O1447" s="73"/>
      <c r="P1447" s="73"/>
      <c r="Q1447" s="73"/>
      <c r="R1447" s="73"/>
      <c r="S1447" s="73"/>
      <c r="T1447" s="73"/>
      <c r="U1447" s="73"/>
      <c r="V1447" s="73"/>
      <c r="W1447" s="73"/>
      <c r="X1447" s="73"/>
      <c r="Y1447" s="73"/>
      <c r="Z1447" s="73"/>
      <c r="AA1447" s="73"/>
      <c r="AB1447" s="73"/>
    </row>
    <row r="1448">
      <c r="A1448" s="73"/>
      <c r="B1448" s="73">
        <v>194478.622</v>
      </c>
      <c r="C1448" s="73">
        <v>3.12084573531251E7</v>
      </c>
      <c r="D1448" s="73">
        <v>6405184.11600015</v>
      </c>
      <c r="E1448" s="73">
        <v>1465832.59084931</v>
      </c>
      <c r="F1448" s="73"/>
      <c r="G1448" s="73"/>
      <c r="H1448" s="73"/>
      <c r="I1448" s="73"/>
      <c r="J1448" s="73"/>
      <c r="K1448" s="73"/>
      <c r="L1448" s="73"/>
      <c r="M1448" s="73"/>
      <c r="N1448" s="73"/>
      <c r="O1448" s="73"/>
      <c r="P1448" s="73"/>
      <c r="Q1448" s="73"/>
      <c r="R1448" s="73"/>
      <c r="S1448" s="73"/>
      <c r="T1448" s="73"/>
      <c r="U1448" s="73"/>
      <c r="V1448" s="73"/>
      <c r="W1448" s="73"/>
      <c r="X1448" s="73"/>
      <c r="Y1448" s="73"/>
      <c r="Z1448" s="73"/>
      <c r="AA1448" s="73"/>
      <c r="AB1448" s="73"/>
    </row>
    <row r="1449">
      <c r="A1449" s="73"/>
      <c r="B1449" s="73">
        <v>194842.598</v>
      </c>
      <c r="C1449" s="73">
        <v>3.12672270914927E7</v>
      </c>
      <c r="D1449" s="73">
        <v>6424070.64199725</v>
      </c>
      <c r="E1449" s="73">
        <v>1468614.28342302</v>
      </c>
      <c r="F1449" s="73"/>
      <c r="G1449" s="73"/>
      <c r="H1449" s="73"/>
      <c r="I1449" s="73"/>
      <c r="J1449" s="73"/>
      <c r="K1449" s="73"/>
      <c r="L1449" s="73"/>
      <c r="M1449" s="73"/>
      <c r="N1449" s="73"/>
      <c r="O1449" s="73"/>
      <c r="P1449" s="73"/>
      <c r="Q1449" s="73"/>
      <c r="R1449" s="73"/>
      <c r="S1449" s="73"/>
      <c r="T1449" s="73"/>
      <c r="U1449" s="73"/>
      <c r="V1449" s="73"/>
      <c r="W1449" s="73"/>
      <c r="X1449" s="73"/>
      <c r="Y1449" s="73"/>
      <c r="Z1449" s="73"/>
      <c r="AA1449" s="73"/>
      <c r="AB1449" s="73"/>
    </row>
    <row r="1450">
      <c r="A1450" s="73"/>
      <c r="B1450" s="73">
        <v>195207.068</v>
      </c>
      <c r="C1450" s="73">
        <v>3.13260709898582E7</v>
      </c>
      <c r="D1450" s="73">
        <v>6442993.57999817</v>
      </c>
      <c r="E1450" s="73">
        <v>1471399.66053335</v>
      </c>
      <c r="F1450" s="73"/>
      <c r="G1450" s="73"/>
      <c r="H1450" s="73"/>
      <c r="I1450" s="73"/>
      <c r="J1450" s="73"/>
      <c r="K1450" s="73"/>
      <c r="L1450" s="73"/>
      <c r="M1450" s="73"/>
      <c r="N1450" s="73"/>
      <c r="O1450" s="73"/>
      <c r="P1450" s="73"/>
      <c r="Q1450" s="73"/>
      <c r="R1450" s="73"/>
      <c r="S1450" s="73"/>
      <c r="T1450" s="73"/>
      <c r="U1450" s="73"/>
      <c r="V1450" s="73"/>
      <c r="W1450" s="73"/>
      <c r="X1450" s="73"/>
      <c r="Y1450" s="73"/>
      <c r="Z1450" s="73"/>
      <c r="AA1450" s="73"/>
      <c r="AB1450" s="73"/>
    </row>
    <row r="1451">
      <c r="A1451" s="73"/>
      <c r="B1451" s="73">
        <v>195572.032</v>
      </c>
      <c r="C1451" s="73">
        <v>3.13849787482219E7</v>
      </c>
      <c r="D1451" s="73">
        <v>6461952.96799908</v>
      </c>
      <c r="E1451" s="73">
        <v>1474188.80569835</v>
      </c>
      <c r="F1451" s="73"/>
      <c r="G1451" s="73"/>
      <c r="H1451" s="73"/>
      <c r="I1451" s="73"/>
      <c r="J1451" s="73"/>
      <c r="K1451" s="73"/>
      <c r="L1451" s="73"/>
      <c r="M1451" s="73"/>
      <c r="N1451" s="73"/>
      <c r="O1451" s="73"/>
      <c r="P1451" s="73"/>
      <c r="Q1451" s="73"/>
      <c r="R1451" s="73"/>
      <c r="S1451" s="73"/>
      <c r="T1451" s="73"/>
      <c r="U1451" s="73"/>
      <c r="V1451" s="73"/>
      <c r="W1451" s="73"/>
      <c r="X1451" s="73"/>
      <c r="Y1451" s="73"/>
      <c r="Z1451" s="73"/>
      <c r="AA1451" s="73"/>
      <c r="AB1451" s="73"/>
    </row>
    <row r="1452">
      <c r="A1452" s="73"/>
      <c r="B1452" s="73">
        <v>195937.49</v>
      </c>
      <c r="C1452" s="73">
        <v>3.14439606665835E7</v>
      </c>
      <c r="D1452" s="73">
        <v>6480948.77</v>
      </c>
      <c r="E1452" s="73">
        <v>1476981.55436628</v>
      </c>
      <c r="F1452" s="73"/>
      <c r="G1452" s="73"/>
      <c r="H1452" s="73"/>
      <c r="I1452" s="73"/>
      <c r="J1452" s="73"/>
      <c r="K1452" s="73"/>
      <c r="L1452" s="73"/>
      <c r="M1452" s="73"/>
      <c r="N1452" s="73"/>
      <c r="O1452" s="73"/>
      <c r="P1452" s="73"/>
      <c r="Q1452" s="73"/>
      <c r="R1452" s="73"/>
      <c r="S1452" s="73"/>
      <c r="T1452" s="73"/>
      <c r="U1452" s="73"/>
      <c r="V1452" s="73"/>
      <c r="W1452" s="73"/>
      <c r="X1452" s="73"/>
      <c r="Y1452" s="73"/>
      <c r="Z1452" s="73"/>
      <c r="AA1452" s="73"/>
      <c r="AB1452" s="73"/>
    </row>
    <row r="1453">
      <c r="A1453" s="73"/>
      <c r="B1453" s="73">
        <v>196303.4445</v>
      </c>
      <c r="C1453" s="73">
        <v>3.15030126249433E7</v>
      </c>
      <c r="D1453" s="73">
        <v>6499980.3619971</v>
      </c>
      <c r="E1453" s="73">
        <v>1479778.11555919</v>
      </c>
      <c r="F1453" s="73"/>
      <c r="G1453" s="73"/>
      <c r="H1453" s="73"/>
      <c r="I1453" s="73"/>
      <c r="J1453" s="73"/>
      <c r="K1453" s="73"/>
      <c r="L1453" s="73"/>
      <c r="M1453" s="73"/>
      <c r="N1453" s="73"/>
      <c r="O1453" s="73"/>
      <c r="P1453" s="73"/>
      <c r="Q1453" s="73"/>
      <c r="R1453" s="73"/>
      <c r="S1453" s="73"/>
      <c r="T1453" s="73"/>
      <c r="U1453" s="73"/>
      <c r="V1453" s="73"/>
      <c r="W1453" s="73"/>
      <c r="X1453" s="73"/>
      <c r="Y1453" s="73"/>
      <c r="Z1453" s="73"/>
      <c r="AA1453" s="73"/>
      <c r="AB1453" s="73"/>
    </row>
    <row r="1454">
      <c r="A1454" s="73"/>
      <c r="B1454" s="73">
        <v>196669.893</v>
      </c>
      <c r="C1454" s="73">
        <v>3.1562134623301E7</v>
      </c>
      <c r="D1454" s="73">
        <v>6519049.02599802</v>
      </c>
      <c r="E1454" s="73">
        <v>1482578.44811928</v>
      </c>
      <c r="F1454" s="73"/>
      <c r="G1454" s="73"/>
      <c r="H1454" s="73"/>
      <c r="I1454" s="73"/>
      <c r="J1454" s="73"/>
      <c r="K1454" s="73"/>
      <c r="L1454" s="73"/>
      <c r="M1454" s="73"/>
      <c r="N1454" s="73"/>
      <c r="O1454" s="73"/>
      <c r="P1454" s="73"/>
      <c r="Q1454" s="73"/>
      <c r="R1454" s="73"/>
      <c r="S1454" s="73"/>
      <c r="T1454" s="73"/>
      <c r="U1454" s="73"/>
      <c r="V1454" s="73"/>
      <c r="W1454" s="73"/>
      <c r="X1454" s="73"/>
      <c r="Y1454" s="73"/>
      <c r="Z1454" s="73"/>
      <c r="AA1454" s="73"/>
      <c r="AB1454" s="73"/>
    </row>
    <row r="1455">
      <c r="A1455" s="73"/>
      <c r="B1455" s="73">
        <v>197036.833</v>
      </c>
      <c r="C1455" s="73">
        <v>3.16213266616569E7</v>
      </c>
      <c r="D1455" s="73">
        <v>6538154.10199893</v>
      </c>
      <c r="E1455" s="73">
        <v>1485382.38666667</v>
      </c>
      <c r="F1455" s="73"/>
      <c r="G1455" s="73"/>
      <c r="H1455" s="73"/>
      <c r="I1455" s="73"/>
      <c r="J1455" s="73"/>
      <c r="K1455" s="73"/>
      <c r="L1455" s="73"/>
      <c r="M1455" s="73"/>
      <c r="N1455" s="73"/>
      <c r="O1455" s="73"/>
      <c r="P1455" s="73"/>
      <c r="Q1455" s="73"/>
      <c r="R1455" s="73"/>
      <c r="S1455" s="73"/>
      <c r="T1455" s="73"/>
      <c r="U1455" s="73"/>
      <c r="V1455" s="73"/>
      <c r="W1455" s="73"/>
      <c r="X1455" s="73"/>
      <c r="Y1455" s="73"/>
      <c r="Z1455" s="73"/>
      <c r="AA1455" s="73"/>
      <c r="AB1455" s="73"/>
    </row>
    <row r="1456">
      <c r="A1456" s="73"/>
      <c r="B1456" s="73">
        <v>197404.272</v>
      </c>
      <c r="C1456" s="73">
        <v>3.16805846200109E7</v>
      </c>
      <c r="D1456" s="73">
        <v>6557295.62799985</v>
      </c>
      <c r="E1456" s="73">
        <v>1488190.14105154</v>
      </c>
      <c r="F1456" s="73"/>
      <c r="G1456" s="73"/>
      <c r="H1456" s="73"/>
      <c r="I1456" s="73"/>
      <c r="J1456" s="73"/>
      <c r="K1456" s="73"/>
      <c r="L1456" s="73"/>
      <c r="M1456" s="73"/>
      <c r="N1456" s="73"/>
      <c r="O1456" s="73"/>
      <c r="P1456" s="73"/>
      <c r="Q1456" s="73"/>
      <c r="R1456" s="73"/>
      <c r="S1456" s="73"/>
      <c r="T1456" s="73"/>
      <c r="U1456" s="73"/>
      <c r="V1456" s="73"/>
      <c r="W1456" s="73"/>
      <c r="X1456" s="73"/>
      <c r="Y1456" s="73"/>
      <c r="Z1456" s="73"/>
      <c r="AA1456" s="73"/>
      <c r="AB1456" s="73"/>
    </row>
    <row r="1457">
      <c r="A1457" s="73"/>
      <c r="B1457" s="73">
        <v>197772.2025</v>
      </c>
      <c r="C1457" s="73">
        <v>3.17399187983627E7</v>
      </c>
      <c r="D1457" s="73">
        <v>6576474.18799695</v>
      </c>
      <c r="E1457" s="73">
        <v>1491001.58659802</v>
      </c>
      <c r="F1457" s="73"/>
      <c r="G1457" s="73"/>
      <c r="H1457" s="73"/>
      <c r="I1457" s="73"/>
      <c r="J1457" s="73"/>
      <c r="K1457" s="73"/>
      <c r="L1457" s="73"/>
      <c r="M1457" s="73"/>
      <c r="N1457" s="73"/>
      <c r="O1457" s="73"/>
      <c r="P1457" s="73"/>
      <c r="Q1457" s="73"/>
      <c r="R1457" s="73"/>
      <c r="S1457" s="73"/>
      <c r="T1457" s="73"/>
      <c r="U1457" s="73"/>
      <c r="V1457" s="73"/>
      <c r="W1457" s="73"/>
      <c r="X1457" s="73"/>
      <c r="Y1457" s="73"/>
      <c r="Z1457" s="73"/>
      <c r="AA1457" s="73"/>
      <c r="AB1457" s="73"/>
    </row>
    <row r="1458">
      <c r="A1458" s="73"/>
      <c r="B1458" s="73">
        <v>198140.6295</v>
      </c>
      <c r="C1458" s="73">
        <v>3.17993188967128E7</v>
      </c>
      <c r="D1458" s="73">
        <v>6595688.55799786</v>
      </c>
      <c r="E1458" s="73">
        <v>1493816.8076523</v>
      </c>
      <c r="F1458" s="73"/>
      <c r="G1458" s="73"/>
      <c r="H1458" s="73"/>
      <c r="I1458" s="73"/>
      <c r="J1458" s="73"/>
      <c r="K1458" s="73"/>
      <c r="L1458" s="73"/>
      <c r="M1458" s="73"/>
      <c r="N1458" s="73"/>
      <c r="O1458" s="73"/>
      <c r="P1458" s="73"/>
      <c r="Q1458" s="73"/>
      <c r="R1458" s="73"/>
      <c r="S1458" s="73"/>
      <c r="T1458" s="73"/>
      <c r="U1458" s="73"/>
      <c r="V1458" s="73"/>
      <c r="W1458" s="73"/>
      <c r="X1458" s="73"/>
      <c r="Y1458" s="73"/>
      <c r="Z1458" s="73"/>
      <c r="AA1458" s="73"/>
      <c r="AB1458" s="73"/>
    </row>
    <row r="1459">
      <c r="A1459" s="73"/>
      <c r="B1459" s="73">
        <v>198509.5505</v>
      </c>
      <c r="C1459" s="73">
        <v>3.18587952150607E7</v>
      </c>
      <c r="D1459" s="73">
        <v>6614939.97999878</v>
      </c>
      <c r="E1459" s="73">
        <v>1496635.76351038</v>
      </c>
      <c r="F1459" s="73"/>
      <c r="G1459" s="73"/>
      <c r="H1459" s="73"/>
      <c r="I1459" s="73"/>
      <c r="J1459" s="73"/>
      <c r="K1459" s="73"/>
      <c r="L1459" s="73"/>
      <c r="M1459" s="73"/>
      <c r="N1459" s="73"/>
      <c r="O1459" s="73"/>
      <c r="P1459" s="73"/>
      <c r="Q1459" s="73"/>
      <c r="R1459" s="73"/>
      <c r="S1459" s="73"/>
      <c r="T1459" s="73"/>
      <c r="U1459" s="73"/>
      <c r="V1459" s="73"/>
      <c r="W1459" s="73"/>
      <c r="X1459" s="73"/>
      <c r="Y1459" s="73"/>
      <c r="Z1459" s="73"/>
      <c r="AA1459" s="73"/>
      <c r="AB1459" s="73"/>
    </row>
    <row r="1460">
      <c r="A1460" s="73"/>
      <c r="B1460" s="73">
        <v>198878.968</v>
      </c>
      <c r="C1460" s="73">
        <v>3.19183374534068E7</v>
      </c>
      <c r="D1460" s="73">
        <v>6634228.4939997</v>
      </c>
      <c r="E1460" s="73">
        <v>1499458.41425663</v>
      </c>
      <c r="F1460" s="73"/>
      <c r="G1460" s="73"/>
      <c r="H1460" s="73"/>
      <c r="I1460" s="73"/>
      <c r="J1460" s="73"/>
      <c r="K1460" s="73"/>
      <c r="L1460" s="73"/>
      <c r="M1460" s="73"/>
      <c r="N1460" s="73"/>
      <c r="O1460" s="73"/>
      <c r="P1460" s="73"/>
      <c r="Q1460" s="73"/>
      <c r="R1460" s="73"/>
      <c r="S1460" s="73"/>
      <c r="T1460" s="73"/>
      <c r="U1460" s="73"/>
      <c r="V1460" s="73"/>
      <c r="W1460" s="73"/>
      <c r="X1460" s="73"/>
      <c r="Y1460" s="73"/>
      <c r="Z1460" s="73"/>
      <c r="AA1460" s="73"/>
      <c r="AB1460" s="73"/>
    </row>
    <row r="1461">
      <c r="A1461" s="73"/>
      <c r="B1461" s="73">
        <v>199248.8795</v>
      </c>
      <c r="C1461" s="73">
        <v>3.1977949731751E7</v>
      </c>
      <c r="D1461" s="73">
        <v>6653552.7779968</v>
      </c>
      <c r="E1461" s="73">
        <v>1502284.75989106</v>
      </c>
      <c r="F1461" s="73"/>
      <c r="G1461" s="73"/>
      <c r="H1461" s="73"/>
      <c r="I1461" s="73"/>
      <c r="J1461" s="73"/>
      <c r="K1461" s="73"/>
      <c r="L1461" s="73"/>
      <c r="M1461" s="73"/>
      <c r="N1461" s="73"/>
      <c r="O1461" s="73"/>
      <c r="P1461" s="73"/>
      <c r="Q1461" s="73"/>
      <c r="R1461" s="73"/>
      <c r="S1461" s="73"/>
      <c r="T1461" s="73"/>
      <c r="U1461" s="73"/>
      <c r="V1461" s="73"/>
      <c r="W1461" s="73"/>
      <c r="X1461" s="73"/>
      <c r="Y1461" s="73"/>
      <c r="Z1461" s="73"/>
      <c r="AA1461" s="73"/>
      <c r="AB1461" s="73"/>
    </row>
    <row r="1462">
      <c r="A1462" s="73"/>
      <c r="B1462" s="73">
        <v>199619.285</v>
      </c>
      <c r="C1462" s="73">
        <v>3.20376320500932E7</v>
      </c>
      <c r="D1462" s="73">
        <v>6672914.15399771</v>
      </c>
      <c r="E1462" s="73">
        <v>1505114.96827791</v>
      </c>
      <c r="F1462" s="73"/>
      <c r="G1462" s="73"/>
      <c r="H1462" s="73"/>
      <c r="I1462" s="73"/>
      <c r="J1462" s="73"/>
      <c r="K1462" s="73"/>
      <c r="L1462" s="73"/>
      <c r="M1462" s="73"/>
      <c r="N1462" s="73"/>
      <c r="O1462" s="73"/>
      <c r="P1462" s="73"/>
      <c r="Q1462" s="73"/>
      <c r="R1462" s="73"/>
      <c r="S1462" s="73"/>
      <c r="T1462" s="73"/>
      <c r="U1462" s="73"/>
      <c r="V1462" s="73"/>
      <c r="W1462" s="73"/>
      <c r="X1462" s="73"/>
      <c r="Y1462" s="73"/>
      <c r="Z1462" s="73"/>
      <c r="AA1462" s="73"/>
      <c r="AB1462" s="73"/>
    </row>
    <row r="1463">
      <c r="A1463" s="73"/>
      <c r="B1463" s="73">
        <v>199990.187</v>
      </c>
      <c r="C1463" s="73">
        <v>3.20973864684334E7</v>
      </c>
      <c r="D1463" s="73">
        <v>6692312.56199863</v>
      </c>
      <c r="E1463" s="73">
        <v>1507948.83250518</v>
      </c>
      <c r="F1463" s="73"/>
      <c r="G1463" s="73"/>
      <c r="H1463" s="73"/>
      <c r="I1463" s="73"/>
      <c r="J1463" s="73"/>
      <c r="K1463" s="73"/>
      <c r="L1463" s="73"/>
      <c r="M1463" s="73"/>
      <c r="N1463" s="73"/>
      <c r="O1463" s="73"/>
      <c r="P1463" s="73"/>
      <c r="Q1463" s="73"/>
      <c r="R1463" s="73"/>
      <c r="S1463" s="73"/>
      <c r="T1463" s="73"/>
      <c r="U1463" s="73"/>
      <c r="V1463" s="73"/>
      <c r="W1463" s="73"/>
      <c r="X1463" s="73"/>
      <c r="Y1463" s="73"/>
      <c r="Z1463" s="73"/>
      <c r="AA1463" s="73"/>
      <c r="AB1463" s="73"/>
    </row>
    <row r="1464">
      <c r="A1464" s="73"/>
      <c r="B1464" s="73">
        <v>200361.5855</v>
      </c>
      <c r="C1464" s="73">
        <v>3.21572109267716E7</v>
      </c>
      <c r="D1464" s="73">
        <v>6711747.42199954</v>
      </c>
      <c r="E1464" s="73">
        <v>1510786.43816125</v>
      </c>
      <c r="F1464" s="73"/>
      <c r="G1464" s="73"/>
      <c r="H1464" s="73"/>
      <c r="I1464" s="73"/>
      <c r="J1464" s="73"/>
      <c r="K1464" s="73"/>
      <c r="L1464" s="73"/>
      <c r="M1464" s="73"/>
      <c r="N1464" s="73"/>
      <c r="O1464" s="73"/>
      <c r="P1464" s="73"/>
      <c r="Q1464" s="73"/>
      <c r="R1464" s="73"/>
      <c r="S1464" s="73"/>
      <c r="T1464" s="73"/>
      <c r="U1464" s="73"/>
      <c r="V1464" s="73"/>
      <c r="W1464" s="73"/>
      <c r="X1464" s="73"/>
      <c r="Y1464" s="73"/>
      <c r="Z1464" s="73"/>
      <c r="AA1464" s="73"/>
      <c r="AB1464" s="73"/>
    </row>
    <row r="1465">
      <c r="A1465" s="73"/>
      <c r="B1465" s="73">
        <v>200733.478</v>
      </c>
      <c r="C1465" s="73">
        <v>3.2217105425108E7</v>
      </c>
      <c r="D1465" s="73">
        <v>6731219.33400046</v>
      </c>
      <c r="E1465" s="73">
        <v>1513627.86582599</v>
      </c>
      <c r="F1465" s="73"/>
      <c r="G1465" s="73"/>
      <c r="H1465" s="73"/>
      <c r="I1465" s="73"/>
      <c r="J1465" s="73"/>
      <c r="K1465" s="73"/>
      <c r="L1465" s="73"/>
      <c r="M1465" s="73"/>
      <c r="N1465" s="73"/>
      <c r="O1465" s="73"/>
      <c r="P1465" s="73"/>
      <c r="Q1465" s="73"/>
      <c r="R1465" s="73"/>
      <c r="S1465" s="73"/>
      <c r="T1465" s="73"/>
      <c r="U1465" s="73"/>
      <c r="V1465" s="73"/>
      <c r="W1465" s="73"/>
      <c r="X1465" s="73"/>
      <c r="Y1465" s="73"/>
      <c r="Z1465" s="73"/>
      <c r="AA1465" s="73"/>
      <c r="AB1465" s="73"/>
    </row>
    <row r="1466">
      <c r="A1466" s="73"/>
      <c r="B1466" s="73">
        <v>201105.867</v>
      </c>
      <c r="C1466" s="73">
        <v>3.22770699634423E7</v>
      </c>
      <c r="D1466" s="73">
        <v>6750728.33599756</v>
      </c>
      <c r="E1466" s="73">
        <v>1516472.95264366</v>
      </c>
      <c r="F1466" s="73"/>
      <c r="G1466" s="73"/>
      <c r="H1466" s="73"/>
      <c r="I1466" s="73"/>
      <c r="J1466" s="73"/>
      <c r="K1466" s="73"/>
      <c r="L1466" s="73"/>
      <c r="M1466" s="73"/>
      <c r="N1466" s="73"/>
      <c r="O1466" s="73"/>
      <c r="P1466" s="73"/>
      <c r="Q1466" s="73"/>
      <c r="R1466" s="73"/>
      <c r="S1466" s="73"/>
      <c r="T1466" s="73"/>
      <c r="U1466" s="73"/>
      <c r="V1466" s="73"/>
      <c r="W1466" s="73"/>
      <c r="X1466" s="73"/>
      <c r="Y1466" s="73"/>
      <c r="Z1466" s="73"/>
      <c r="AA1466" s="73"/>
      <c r="AB1466" s="73"/>
    </row>
    <row r="1467">
      <c r="A1467" s="73"/>
      <c r="B1467" s="73">
        <v>201478.75</v>
      </c>
      <c r="C1467" s="73">
        <v>3.23371066017747E7</v>
      </c>
      <c r="D1467" s="73">
        <v>6770273.74999847</v>
      </c>
      <c r="E1467" s="73">
        <v>1519321.82325038</v>
      </c>
      <c r="F1467" s="73"/>
      <c r="G1467" s="73"/>
      <c r="H1467" s="73"/>
      <c r="I1467" s="73"/>
      <c r="J1467" s="73"/>
      <c r="K1467" s="73"/>
      <c r="L1467" s="73"/>
      <c r="M1467" s="73"/>
      <c r="N1467" s="73"/>
      <c r="O1467" s="73"/>
      <c r="P1467" s="73"/>
      <c r="Q1467" s="73"/>
      <c r="R1467" s="73"/>
      <c r="S1467" s="73"/>
      <c r="T1467" s="73"/>
      <c r="U1467" s="73"/>
      <c r="V1467" s="73"/>
      <c r="W1467" s="73"/>
      <c r="X1467" s="73"/>
      <c r="Y1467" s="73"/>
      <c r="Z1467" s="73"/>
      <c r="AA1467" s="73"/>
      <c r="AB1467" s="73"/>
    </row>
    <row r="1468">
      <c r="A1468" s="73"/>
      <c r="B1468" s="73">
        <v>201852.1295</v>
      </c>
      <c r="C1468" s="73">
        <v>3.23972132801051E7</v>
      </c>
      <c r="D1468" s="73">
        <v>6789856.23599939</v>
      </c>
      <c r="E1468" s="73">
        <v>1522174.52170238</v>
      </c>
      <c r="F1468" s="73"/>
      <c r="G1468" s="73"/>
      <c r="H1468" s="73"/>
      <c r="I1468" s="73"/>
      <c r="J1468" s="73"/>
      <c r="K1468" s="73"/>
      <c r="L1468" s="73"/>
      <c r="M1468" s="73"/>
      <c r="N1468" s="73"/>
      <c r="O1468" s="73"/>
      <c r="P1468" s="73"/>
      <c r="Q1468" s="73"/>
      <c r="R1468" s="73"/>
      <c r="S1468" s="73"/>
      <c r="T1468" s="73"/>
      <c r="U1468" s="73"/>
      <c r="V1468" s="73"/>
      <c r="W1468" s="73"/>
      <c r="X1468" s="73"/>
      <c r="Y1468" s="73"/>
      <c r="Z1468" s="73"/>
      <c r="AA1468" s="73"/>
      <c r="AB1468" s="73"/>
    </row>
    <row r="1469">
      <c r="A1469" s="73"/>
      <c r="B1469" s="73">
        <v>202226.0055</v>
      </c>
      <c r="C1469" s="73">
        <v>3.24573899984336E7</v>
      </c>
      <c r="D1469" s="73">
        <v>6809475.79200031</v>
      </c>
      <c r="E1469" s="73">
        <v>1525030.92249569</v>
      </c>
      <c r="F1469" s="73"/>
      <c r="G1469" s="73"/>
      <c r="H1469" s="73"/>
      <c r="I1469" s="73"/>
      <c r="J1469" s="73"/>
      <c r="K1469" s="73"/>
      <c r="L1469" s="73"/>
      <c r="M1469" s="73"/>
      <c r="N1469" s="73"/>
      <c r="O1469" s="73"/>
      <c r="P1469" s="73"/>
      <c r="Q1469" s="73"/>
      <c r="R1469" s="73"/>
      <c r="S1469" s="73"/>
      <c r="T1469" s="73"/>
      <c r="U1469" s="73"/>
      <c r="V1469" s="73"/>
      <c r="W1469" s="73"/>
      <c r="X1469" s="73"/>
      <c r="Y1469" s="73"/>
      <c r="Z1469" s="73"/>
      <c r="AA1469" s="73"/>
      <c r="AB1469" s="73"/>
    </row>
    <row r="1470">
      <c r="A1470" s="73"/>
      <c r="B1470" s="73">
        <v>202600.3755</v>
      </c>
      <c r="C1470" s="73">
        <v>3.251764087676E7</v>
      </c>
      <c r="D1470" s="73">
        <v>6829132.40199741</v>
      </c>
      <c r="E1470" s="73">
        <v>1527891.02728655</v>
      </c>
      <c r="F1470" s="73"/>
      <c r="G1470" s="73"/>
      <c r="H1470" s="73"/>
      <c r="I1470" s="73"/>
      <c r="J1470" s="73"/>
      <c r="K1470" s="73"/>
      <c r="L1470" s="73"/>
      <c r="M1470" s="73"/>
      <c r="N1470" s="73"/>
      <c r="O1470" s="73"/>
      <c r="P1470" s="73"/>
      <c r="Q1470" s="73"/>
      <c r="R1470" s="73"/>
      <c r="S1470" s="73"/>
      <c r="T1470" s="73"/>
      <c r="U1470" s="73"/>
      <c r="V1470" s="73"/>
      <c r="W1470" s="73"/>
      <c r="X1470" s="73"/>
      <c r="Y1470" s="73"/>
      <c r="Z1470" s="73"/>
      <c r="AA1470" s="73"/>
      <c r="AB1470" s="73"/>
    </row>
    <row r="1471">
      <c r="A1471" s="73"/>
      <c r="B1471" s="73">
        <v>202975.242</v>
      </c>
      <c r="C1471" s="73">
        <v>3.25779556150846E7</v>
      </c>
      <c r="D1471" s="73">
        <v>6848825.46199832</v>
      </c>
      <c r="E1471" s="73">
        <v>1530754.91917895</v>
      </c>
      <c r="F1471" s="73"/>
      <c r="G1471" s="73"/>
      <c r="H1471" s="73"/>
      <c r="I1471" s="73"/>
      <c r="J1471" s="73"/>
      <c r="K1471" s="73"/>
      <c r="L1471" s="73"/>
      <c r="M1471" s="73"/>
      <c r="N1471" s="73"/>
      <c r="O1471" s="73"/>
      <c r="P1471" s="73"/>
      <c r="Q1471" s="73"/>
      <c r="R1471" s="73"/>
      <c r="S1471" s="73"/>
      <c r="T1471" s="73"/>
      <c r="U1471" s="73"/>
      <c r="V1471" s="73"/>
      <c r="W1471" s="73"/>
      <c r="X1471" s="73"/>
      <c r="Y1471" s="73"/>
      <c r="Z1471" s="73"/>
      <c r="AA1471" s="73"/>
      <c r="AB1471" s="73"/>
    </row>
    <row r="1472">
      <c r="A1472" s="73"/>
      <c r="B1472" s="73">
        <v>203350.605</v>
      </c>
      <c r="C1472" s="73">
        <v>3.26383445134072E7</v>
      </c>
      <c r="D1472" s="73">
        <v>6868556.23399924</v>
      </c>
      <c r="E1472" s="73">
        <v>1533622.55995327</v>
      </c>
      <c r="F1472" s="73"/>
      <c r="G1472" s="73"/>
      <c r="H1472" s="73"/>
      <c r="I1472" s="73"/>
      <c r="J1472" s="73"/>
      <c r="K1472" s="73"/>
      <c r="L1472" s="73"/>
      <c r="M1472" s="73"/>
      <c r="N1472" s="73"/>
      <c r="O1472" s="73"/>
      <c r="P1472" s="73"/>
      <c r="Q1472" s="73"/>
      <c r="R1472" s="73"/>
      <c r="S1472" s="73"/>
      <c r="T1472" s="73"/>
      <c r="U1472" s="73"/>
      <c r="V1472" s="73"/>
      <c r="W1472" s="73"/>
      <c r="X1472" s="73"/>
      <c r="Y1472" s="73"/>
      <c r="Z1472" s="73"/>
      <c r="AA1472" s="73"/>
      <c r="AB1472" s="73"/>
    </row>
    <row r="1473">
      <c r="A1473" s="73"/>
      <c r="B1473" s="73">
        <v>203726.4645</v>
      </c>
      <c r="C1473" s="73">
        <v>3.26988034517279E7</v>
      </c>
      <c r="D1473" s="73">
        <v>6888323.43600015</v>
      </c>
      <c r="E1473" s="73">
        <v>1536494.03188539</v>
      </c>
      <c r="F1473" s="73"/>
      <c r="G1473" s="73"/>
      <c r="H1473" s="73"/>
      <c r="I1473" s="73"/>
      <c r="J1473" s="73"/>
      <c r="K1473" s="73"/>
      <c r="L1473" s="73"/>
      <c r="M1473" s="73"/>
      <c r="N1473" s="73"/>
      <c r="O1473" s="73"/>
      <c r="P1473" s="73"/>
      <c r="Q1473" s="73"/>
      <c r="R1473" s="73"/>
      <c r="S1473" s="73"/>
      <c r="T1473" s="73"/>
      <c r="U1473" s="73"/>
      <c r="V1473" s="73"/>
      <c r="W1473" s="73"/>
      <c r="X1473" s="73"/>
      <c r="Y1473" s="73"/>
      <c r="Z1473" s="73"/>
      <c r="AA1473" s="73"/>
      <c r="AB1473" s="73"/>
    </row>
    <row r="1474">
      <c r="A1474" s="73"/>
      <c r="B1474" s="73">
        <v>204102.818</v>
      </c>
      <c r="C1474" s="73">
        <v>3.27593365500464E7</v>
      </c>
      <c r="D1474" s="73">
        <v>6908128.32999725</v>
      </c>
      <c r="E1474" s="73">
        <v>1539369.16955569</v>
      </c>
      <c r="F1474" s="73"/>
      <c r="G1474" s="73"/>
      <c r="H1474" s="73"/>
      <c r="I1474" s="73"/>
      <c r="J1474" s="73"/>
      <c r="K1474" s="73"/>
      <c r="L1474" s="73"/>
      <c r="M1474" s="73"/>
      <c r="N1474" s="73"/>
      <c r="O1474" s="73"/>
      <c r="P1474" s="73"/>
      <c r="Q1474" s="73"/>
      <c r="R1474" s="73"/>
      <c r="S1474" s="73"/>
      <c r="T1474" s="73"/>
      <c r="U1474" s="73"/>
      <c r="V1474" s="73"/>
      <c r="W1474" s="73"/>
      <c r="X1474" s="73"/>
      <c r="Y1474" s="73"/>
      <c r="Z1474" s="73"/>
      <c r="AA1474" s="73"/>
      <c r="AB1474" s="73"/>
    </row>
    <row r="1475">
      <c r="A1475" s="73"/>
      <c r="B1475" s="73">
        <v>204479.6705</v>
      </c>
      <c r="C1475" s="73">
        <v>3.28199355683632E7</v>
      </c>
      <c r="D1475" s="73">
        <v>6927970.29599817</v>
      </c>
      <c r="E1475" s="73">
        <v>1542248.22314402</v>
      </c>
      <c r="F1475" s="73"/>
      <c r="G1475" s="73"/>
      <c r="H1475" s="73"/>
      <c r="I1475" s="73"/>
      <c r="J1475" s="73"/>
      <c r="K1475" s="73"/>
      <c r="L1475" s="73"/>
      <c r="M1475" s="73"/>
      <c r="N1475" s="73"/>
      <c r="O1475" s="73"/>
      <c r="P1475" s="73"/>
      <c r="Q1475" s="73"/>
      <c r="R1475" s="73"/>
      <c r="S1475" s="73"/>
      <c r="T1475" s="73"/>
      <c r="U1475" s="73"/>
      <c r="V1475" s="73"/>
      <c r="W1475" s="73"/>
      <c r="X1475" s="73"/>
      <c r="Y1475" s="73"/>
      <c r="Z1475" s="73"/>
      <c r="AA1475" s="73"/>
      <c r="AB1475" s="73"/>
    </row>
    <row r="1476">
      <c r="A1476" s="73"/>
      <c r="B1476" s="73">
        <v>204857.017</v>
      </c>
      <c r="C1476" s="73">
        <v>3.28806087466779E7</v>
      </c>
      <c r="D1476" s="73">
        <v>6947849.33399908</v>
      </c>
      <c r="E1476" s="73">
        <v>1545130.94665091</v>
      </c>
      <c r="F1476" s="73"/>
      <c r="G1476" s="73"/>
      <c r="H1476" s="73"/>
      <c r="I1476" s="73"/>
      <c r="J1476" s="73"/>
      <c r="K1476" s="73"/>
      <c r="L1476" s="73"/>
      <c r="M1476" s="73"/>
      <c r="N1476" s="73"/>
      <c r="O1476" s="73"/>
      <c r="P1476" s="73"/>
      <c r="Q1476" s="73"/>
      <c r="R1476" s="73"/>
      <c r="S1476" s="73"/>
      <c r="T1476" s="73"/>
      <c r="U1476" s="73"/>
      <c r="V1476" s="73"/>
      <c r="W1476" s="73"/>
      <c r="X1476" s="73"/>
      <c r="Y1476" s="73"/>
      <c r="Z1476" s="73"/>
      <c r="AA1476" s="73"/>
      <c r="AB1476" s="73"/>
    </row>
    <row r="1477">
      <c r="A1477" s="73"/>
      <c r="B1477" s="73">
        <v>205234.86</v>
      </c>
      <c r="C1477" s="73">
        <v>3.29413499049907E7</v>
      </c>
      <c r="D1477" s="73">
        <v>6967765.462</v>
      </c>
      <c r="E1477" s="73">
        <v>1548017.41982809</v>
      </c>
      <c r="F1477" s="73"/>
      <c r="G1477" s="73"/>
      <c r="H1477" s="73"/>
      <c r="I1477" s="73"/>
      <c r="J1477" s="73"/>
      <c r="K1477" s="73"/>
      <c r="L1477" s="73"/>
      <c r="M1477" s="73"/>
      <c r="N1477" s="73"/>
      <c r="O1477" s="73"/>
      <c r="P1477" s="73"/>
      <c r="Q1477" s="73"/>
      <c r="R1477" s="73"/>
      <c r="S1477" s="73"/>
      <c r="T1477" s="73"/>
      <c r="U1477" s="73"/>
      <c r="V1477" s="73"/>
      <c r="W1477" s="73"/>
      <c r="X1477" s="73"/>
      <c r="Y1477" s="73"/>
      <c r="Z1477" s="73"/>
      <c r="AA1477" s="73"/>
      <c r="AB1477" s="73"/>
    </row>
    <row r="1478">
      <c r="A1478" s="73"/>
      <c r="B1478" s="73">
        <v>205613.1995</v>
      </c>
      <c r="C1478" s="73">
        <v>3.30021652233014E7</v>
      </c>
      <c r="D1478" s="73">
        <v>6987719.2819971</v>
      </c>
      <c r="E1478" s="73">
        <v>1550907.72913182</v>
      </c>
      <c r="F1478" s="73"/>
      <c r="G1478" s="73"/>
      <c r="H1478" s="73"/>
      <c r="I1478" s="73"/>
      <c r="J1478" s="73"/>
      <c r="K1478" s="73"/>
      <c r="L1478" s="73"/>
      <c r="M1478" s="73"/>
      <c r="N1478" s="73"/>
      <c r="O1478" s="73"/>
      <c r="P1478" s="73"/>
      <c r="Q1478" s="73"/>
      <c r="R1478" s="73"/>
      <c r="S1478" s="73"/>
      <c r="T1478" s="73"/>
      <c r="U1478" s="73"/>
      <c r="V1478" s="73"/>
      <c r="W1478" s="73"/>
      <c r="X1478" s="73"/>
      <c r="Y1478" s="73"/>
      <c r="Z1478" s="73"/>
      <c r="AA1478" s="73"/>
      <c r="AB1478" s="73"/>
    </row>
    <row r="1479">
      <c r="A1479" s="73"/>
      <c r="B1479" s="73">
        <v>205992.0355</v>
      </c>
      <c r="C1479" s="73">
        <v>3.30630485216103E7</v>
      </c>
      <c r="D1479" s="73">
        <v>7007709.53399802</v>
      </c>
      <c r="E1479" s="73">
        <v>1553801.71001035</v>
      </c>
      <c r="F1479" s="73"/>
      <c r="G1479" s="73"/>
      <c r="H1479" s="73"/>
      <c r="I1479" s="73"/>
      <c r="J1479" s="73"/>
      <c r="K1479" s="73"/>
      <c r="L1479" s="73"/>
      <c r="M1479" s="73"/>
      <c r="N1479" s="73"/>
      <c r="O1479" s="73"/>
      <c r="P1479" s="73"/>
      <c r="Q1479" s="73"/>
      <c r="R1479" s="73"/>
      <c r="S1479" s="73"/>
      <c r="T1479" s="73"/>
      <c r="U1479" s="73"/>
      <c r="V1479" s="73"/>
      <c r="W1479" s="73"/>
      <c r="X1479" s="73"/>
      <c r="Y1479" s="73"/>
      <c r="Z1479" s="73"/>
      <c r="AA1479" s="73"/>
      <c r="AB1479" s="73"/>
    </row>
    <row r="1480">
      <c r="A1480" s="73"/>
      <c r="B1480" s="73">
        <v>206371.368</v>
      </c>
      <c r="C1480" s="73">
        <v>3.3124005979917E7</v>
      </c>
      <c r="D1480" s="73">
        <v>7027738.13599893</v>
      </c>
      <c r="E1480" s="73">
        <v>1556699.57020379</v>
      </c>
      <c r="F1480" s="73"/>
      <c r="G1480" s="73"/>
      <c r="H1480" s="73"/>
      <c r="I1480" s="73"/>
      <c r="J1480" s="73"/>
      <c r="K1480" s="73"/>
      <c r="L1480" s="73"/>
      <c r="M1480" s="73"/>
      <c r="N1480" s="73"/>
      <c r="O1480" s="73"/>
      <c r="P1480" s="73"/>
      <c r="Q1480" s="73"/>
      <c r="R1480" s="73"/>
      <c r="S1480" s="73"/>
      <c r="T1480" s="73"/>
      <c r="U1480" s="73"/>
      <c r="V1480" s="73"/>
      <c r="W1480" s="73"/>
      <c r="X1480" s="73"/>
      <c r="Y1480" s="73"/>
      <c r="Z1480" s="73"/>
      <c r="AA1480" s="73"/>
      <c r="AB1480" s="73"/>
    </row>
    <row r="1481">
      <c r="A1481" s="73"/>
      <c r="B1481" s="73">
        <v>206751.197</v>
      </c>
      <c r="C1481" s="73">
        <v>3.3185031418222E7</v>
      </c>
      <c r="D1481" s="73">
        <v>7047803.15199985</v>
      </c>
      <c r="E1481" s="73">
        <v>1559601.14433228</v>
      </c>
      <c r="F1481" s="73"/>
      <c r="G1481" s="73"/>
      <c r="H1481" s="73"/>
      <c r="I1481" s="73"/>
      <c r="J1481" s="73"/>
      <c r="K1481" s="73"/>
      <c r="L1481" s="73"/>
      <c r="M1481" s="73"/>
      <c r="N1481" s="73"/>
      <c r="O1481" s="73"/>
      <c r="P1481" s="73"/>
      <c r="Q1481" s="73"/>
      <c r="R1481" s="73"/>
      <c r="S1481" s="73"/>
      <c r="T1481" s="73"/>
      <c r="U1481" s="73"/>
      <c r="V1481" s="73"/>
      <c r="W1481" s="73"/>
      <c r="X1481" s="73"/>
      <c r="Y1481" s="73"/>
      <c r="Z1481" s="73"/>
      <c r="AA1481" s="73"/>
      <c r="AB1481" s="73"/>
    </row>
    <row r="1482">
      <c r="A1482" s="73"/>
      <c r="B1482" s="73">
        <v>207131.5225</v>
      </c>
      <c r="C1482" s="73">
        <v>3.32461310165248E7</v>
      </c>
      <c r="D1482" s="73">
        <v>7067905.89799695</v>
      </c>
      <c r="E1482" s="73">
        <v>1562506.5570717</v>
      </c>
      <c r="F1482" s="73"/>
      <c r="G1482" s="73"/>
      <c r="H1482" s="73"/>
      <c r="I1482" s="73"/>
      <c r="J1482" s="73"/>
      <c r="K1482" s="73"/>
      <c r="L1482" s="73"/>
      <c r="M1482" s="73"/>
      <c r="N1482" s="73"/>
      <c r="O1482" s="73"/>
      <c r="P1482" s="73"/>
      <c r="Q1482" s="73"/>
      <c r="R1482" s="73"/>
      <c r="S1482" s="73"/>
      <c r="T1482" s="73"/>
      <c r="U1482" s="73"/>
      <c r="V1482" s="73"/>
      <c r="W1482" s="73"/>
      <c r="X1482" s="73"/>
      <c r="Y1482" s="73"/>
      <c r="Z1482" s="73"/>
      <c r="AA1482" s="73"/>
      <c r="AB1482" s="73"/>
    </row>
    <row r="1483">
      <c r="A1483" s="73"/>
      <c r="B1483" s="73">
        <v>207512.347</v>
      </c>
      <c r="C1483" s="73">
        <v>3.33072985948257E7</v>
      </c>
      <c r="D1483" s="73">
        <v>7088046.35399786</v>
      </c>
      <c r="E1483" s="73">
        <v>1565415.72776265</v>
      </c>
      <c r="F1483" s="73"/>
      <c r="G1483" s="73"/>
      <c r="H1483" s="73"/>
      <c r="I1483" s="73"/>
      <c r="J1483" s="73"/>
      <c r="K1483" s="73"/>
      <c r="L1483" s="73"/>
      <c r="M1483" s="73"/>
      <c r="N1483" s="73"/>
      <c r="O1483" s="73"/>
      <c r="P1483" s="73"/>
      <c r="Q1483" s="73"/>
      <c r="R1483" s="73"/>
      <c r="S1483" s="73"/>
      <c r="T1483" s="73"/>
      <c r="U1483" s="73"/>
      <c r="V1483" s="73"/>
      <c r="W1483" s="73"/>
      <c r="X1483" s="73"/>
      <c r="Y1483" s="73"/>
      <c r="Z1483" s="73"/>
      <c r="AA1483" s="73"/>
      <c r="AB1483" s="73"/>
    </row>
    <row r="1484">
      <c r="A1484" s="73"/>
      <c r="B1484" s="73">
        <v>207893.6655</v>
      </c>
      <c r="C1484" s="73">
        <v>3.33685403331246E7</v>
      </c>
      <c r="D1484" s="73">
        <v>7108223.90199878</v>
      </c>
      <c r="E1484" s="73">
        <v>1568328.69801678</v>
      </c>
      <c r="F1484" s="73"/>
      <c r="G1484" s="73"/>
      <c r="H1484" s="73"/>
      <c r="I1484" s="73"/>
      <c r="J1484" s="73"/>
      <c r="K1484" s="73"/>
      <c r="L1484" s="73"/>
      <c r="M1484" s="73"/>
      <c r="N1484" s="73"/>
      <c r="O1484" s="73"/>
      <c r="P1484" s="73"/>
      <c r="Q1484" s="73"/>
      <c r="R1484" s="73"/>
      <c r="S1484" s="73"/>
      <c r="T1484" s="73"/>
      <c r="U1484" s="73"/>
      <c r="V1484" s="73"/>
      <c r="W1484" s="73"/>
      <c r="X1484" s="73"/>
      <c r="Y1484" s="73"/>
      <c r="Z1484" s="73"/>
      <c r="AA1484" s="73"/>
      <c r="AB1484" s="73"/>
    </row>
    <row r="1485">
      <c r="A1485" s="73"/>
      <c r="B1485" s="73">
        <v>208275.4805</v>
      </c>
      <c r="C1485" s="73">
        <v>3.34298500514216E7</v>
      </c>
      <c r="D1485" s="73">
        <v>7128439.1219997</v>
      </c>
      <c r="E1485" s="73">
        <v>1571245.42622246</v>
      </c>
      <c r="F1485" s="73"/>
      <c r="G1485" s="73"/>
      <c r="H1485" s="73"/>
      <c r="I1485" s="73"/>
      <c r="J1485" s="73"/>
      <c r="K1485" s="73"/>
      <c r="L1485" s="73"/>
      <c r="M1485" s="73"/>
      <c r="N1485" s="73"/>
      <c r="O1485" s="73"/>
      <c r="P1485" s="73"/>
      <c r="Q1485" s="73"/>
      <c r="R1485" s="73"/>
      <c r="S1485" s="73"/>
      <c r="T1485" s="73"/>
      <c r="U1485" s="73"/>
      <c r="V1485" s="73"/>
      <c r="W1485" s="73"/>
      <c r="X1485" s="73"/>
      <c r="Y1485" s="73"/>
      <c r="Z1485" s="73"/>
      <c r="AA1485" s="73"/>
      <c r="AB1485" s="73"/>
    </row>
    <row r="1486">
      <c r="A1486" s="73"/>
      <c r="B1486" s="73">
        <v>208657.7945</v>
      </c>
      <c r="C1486" s="73">
        <v>3.34912339297166E7</v>
      </c>
      <c r="D1486" s="73">
        <v>7148691.4339968</v>
      </c>
      <c r="E1486" s="73">
        <v>1574165.95813193</v>
      </c>
      <c r="F1486" s="73"/>
      <c r="G1486" s="73"/>
      <c r="H1486" s="73"/>
      <c r="I1486" s="73"/>
      <c r="J1486" s="73"/>
      <c r="K1486" s="73"/>
      <c r="L1486" s="73"/>
      <c r="M1486" s="73"/>
      <c r="N1486" s="73"/>
      <c r="O1486" s="73"/>
      <c r="P1486" s="73"/>
      <c r="Q1486" s="73"/>
      <c r="R1486" s="73"/>
      <c r="S1486" s="73"/>
      <c r="T1486" s="73"/>
      <c r="U1486" s="73"/>
      <c r="V1486" s="73"/>
      <c r="W1486" s="73"/>
      <c r="X1486" s="73"/>
      <c r="Y1486" s="73"/>
      <c r="Z1486" s="73"/>
      <c r="AA1486" s="73"/>
      <c r="AB1486" s="73"/>
    </row>
    <row r="1487">
      <c r="A1487" s="73"/>
      <c r="B1487" s="73">
        <v>209040.605</v>
      </c>
      <c r="C1487" s="73">
        <v>3.35526857880096E7</v>
      </c>
      <c r="D1487" s="73">
        <v>7168981.45599771</v>
      </c>
      <c r="E1487" s="73">
        <v>1577090.24882107</v>
      </c>
      <c r="F1487" s="73"/>
      <c r="G1487" s="73"/>
      <c r="H1487" s="73"/>
      <c r="I1487" s="73"/>
      <c r="J1487" s="73"/>
      <c r="K1487" s="73"/>
      <c r="L1487" s="73"/>
      <c r="M1487" s="73"/>
      <c r="N1487" s="73"/>
      <c r="O1487" s="73"/>
      <c r="P1487" s="73"/>
      <c r="Q1487" s="73"/>
      <c r="R1487" s="73"/>
      <c r="S1487" s="73"/>
      <c r="T1487" s="73"/>
      <c r="U1487" s="73"/>
      <c r="V1487" s="73"/>
      <c r="W1487" s="73"/>
      <c r="X1487" s="73"/>
      <c r="Y1487" s="73"/>
      <c r="Z1487" s="73"/>
      <c r="AA1487" s="73"/>
      <c r="AB1487" s="73"/>
    </row>
    <row r="1488">
      <c r="A1488" s="73"/>
      <c r="B1488" s="73">
        <v>209423.912</v>
      </c>
      <c r="C1488" s="73">
        <v>3.36142118063006E7</v>
      </c>
      <c r="D1488" s="73">
        <v>7189309.18999863</v>
      </c>
      <c r="E1488" s="73">
        <v>1580018.38474613</v>
      </c>
      <c r="F1488" s="73"/>
      <c r="G1488" s="73"/>
      <c r="H1488" s="73"/>
      <c r="I1488" s="73"/>
      <c r="J1488" s="73"/>
      <c r="K1488" s="73"/>
      <c r="L1488" s="73"/>
      <c r="M1488" s="73"/>
      <c r="N1488" s="73"/>
      <c r="O1488" s="73"/>
      <c r="P1488" s="73"/>
      <c r="Q1488" s="73"/>
      <c r="R1488" s="73"/>
      <c r="S1488" s="73"/>
      <c r="T1488" s="73"/>
      <c r="U1488" s="73"/>
      <c r="V1488" s="73"/>
      <c r="W1488" s="73"/>
      <c r="X1488" s="73"/>
      <c r="Y1488" s="73"/>
      <c r="Z1488" s="73"/>
      <c r="AA1488" s="73"/>
      <c r="AB1488" s="73"/>
    </row>
    <row r="1489">
      <c r="A1489" s="73"/>
      <c r="B1489" s="73">
        <v>209807.7155</v>
      </c>
      <c r="C1489" s="73">
        <v>3.36758078645897E7</v>
      </c>
      <c r="D1489" s="73">
        <v>7209674.61599954</v>
      </c>
      <c r="E1489" s="73">
        <v>1582950.24205936</v>
      </c>
      <c r="F1489" s="73"/>
      <c r="G1489" s="73"/>
      <c r="H1489" s="73"/>
      <c r="I1489" s="73"/>
      <c r="J1489" s="73"/>
      <c r="K1489" s="73"/>
      <c r="L1489" s="73"/>
      <c r="M1489" s="73"/>
      <c r="N1489" s="73"/>
      <c r="O1489" s="73"/>
      <c r="P1489" s="73"/>
      <c r="Q1489" s="73"/>
      <c r="R1489" s="73"/>
      <c r="S1489" s="73"/>
      <c r="T1489" s="73"/>
      <c r="U1489" s="73"/>
      <c r="V1489" s="73"/>
      <c r="W1489" s="73"/>
      <c r="X1489" s="73"/>
      <c r="Y1489" s="73"/>
      <c r="Z1489" s="73"/>
      <c r="AA1489" s="73"/>
      <c r="AB1489" s="73"/>
    </row>
    <row r="1490">
      <c r="A1490" s="73"/>
      <c r="B1490" s="73">
        <v>210192.018</v>
      </c>
      <c r="C1490" s="73">
        <v>3.37374780828767E7</v>
      </c>
      <c r="D1490" s="73">
        <v>7230077.13200046</v>
      </c>
      <c r="E1490" s="73">
        <v>1585885.94543664</v>
      </c>
      <c r="F1490" s="73"/>
      <c r="G1490" s="73"/>
      <c r="H1490" s="73"/>
      <c r="I1490" s="73"/>
      <c r="J1490" s="73"/>
      <c r="K1490" s="73"/>
      <c r="L1490" s="73"/>
      <c r="M1490" s="73"/>
      <c r="N1490" s="73"/>
      <c r="O1490" s="73"/>
      <c r="P1490" s="73"/>
      <c r="Q1490" s="73"/>
      <c r="R1490" s="73"/>
      <c r="S1490" s="73"/>
      <c r="T1490" s="73"/>
      <c r="U1490" s="73"/>
      <c r="V1490" s="73"/>
      <c r="W1490" s="73"/>
      <c r="X1490" s="73"/>
      <c r="Y1490" s="73"/>
      <c r="Z1490" s="73"/>
      <c r="AA1490" s="73"/>
      <c r="AB1490" s="73"/>
    </row>
    <row r="1491">
      <c r="A1491" s="73"/>
      <c r="B1491" s="73">
        <v>210576.8145</v>
      </c>
      <c r="C1491" s="73">
        <v>3.37992142211618E7</v>
      </c>
      <c r="D1491" s="73">
        <v>7250517.35999756</v>
      </c>
      <c r="E1491" s="73">
        <v>1588825.45496234</v>
      </c>
      <c r="F1491" s="73"/>
      <c r="G1491" s="73"/>
      <c r="H1491" s="73"/>
      <c r="I1491" s="73"/>
      <c r="J1491" s="73"/>
      <c r="K1491" s="73"/>
      <c r="L1491" s="73"/>
      <c r="M1491" s="73"/>
      <c r="N1491" s="73"/>
      <c r="O1491" s="73"/>
      <c r="P1491" s="73"/>
      <c r="Q1491" s="73"/>
      <c r="R1491" s="73"/>
      <c r="S1491" s="73"/>
      <c r="T1491" s="73"/>
      <c r="U1491" s="73"/>
      <c r="V1491" s="73"/>
      <c r="W1491" s="73"/>
      <c r="X1491" s="73"/>
      <c r="Y1491" s="73"/>
      <c r="Z1491" s="73"/>
      <c r="AA1491" s="73"/>
      <c r="AB1491" s="73"/>
    </row>
    <row r="1492">
      <c r="A1492" s="73"/>
      <c r="B1492" s="73">
        <v>210962.11</v>
      </c>
      <c r="C1492" s="73">
        <v>3.38610245194449E7</v>
      </c>
      <c r="D1492" s="73">
        <v>7270995.91999847</v>
      </c>
      <c r="E1492" s="73">
        <v>1591768.81220832</v>
      </c>
      <c r="F1492" s="73"/>
      <c r="G1492" s="73"/>
      <c r="H1492" s="73"/>
      <c r="I1492" s="73"/>
      <c r="J1492" s="73"/>
      <c r="K1492" s="73"/>
      <c r="L1492" s="73"/>
      <c r="M1492" s="73"/>
      <c r="N1492" s="73"/>
      <c r="O1492" s="73"/>
      <c r="P1492" s="73"/>
      <c r="Q1492" s="73"/>
      <c r="R1492" s="73"/>
      <c r="S1492" s="73"/>
      <c r="T1492" s="73"/>
      <c r="U1492" s="73"/>
      <c r="V1492" s="73"/>
      <c r="W1492" s="73"/>
      <c r="X1492" s="73"/>
      <c r="Y1492" s="73"/>
      <c r="Z1492" s="73"/>
      <c r="AA1492" s="73"/>
      <c r="AB1492" s="73"/>
    </row>
    <row r="1493">
      <c r="A1493" s="73"/>
      <c r="B1493" s="73">
        <v>211347.9045</v>
      </c>
      <c r="C1493" s="73">
        <v>3.3922906917726E7</v>
      </c>
      <c r="D1493" s="73">
        <v>7291511.58999939</v>
      </c>
      <c r="E1493" s="73">
        <v>1594715.89415499</v>
      </c>
      <c r="F1493" s="73"/>
      <c r="G1493" s="73"/>
      <c r="H1493" s="73"/>
      <c r="I1493" s="73"/>
      <c r="J1493" s="73"/>
      <c r="K1493" s="73"/>
      <c r="L1493" s="73"/>
      <c r="M1493" s="73"/>
      <c r="N1493" s="73"/>
      <c r="O1493" s="73"/>
      <c r="P1493" s="73"/>
      <c r="Q1493" s="73"/>
      <c r="R1493" s="73"/>
      <c r="S1493" s="73"/>
      <c r="T1493" s="73"/>
      <c r="U1493" s="73"/>
      <c r="V1493" s="73"/>
      <c r="W1493" s="73"/>
      <c r="X1493" s="73"/>
      <c r="Y1493" s="73"/>
      <c r="Z1493" s="73"/>
      <c r="AA1493" s="73"/>
      <c r="AB1493" s="73"/>
    </row>
    <row r="1494">
      <c r="A1494" s="73"/>
      <c r="B1494" s="73">
        <v>211734.1955</v>
      </c>
      <c r="C1494" s="73">
        <v>3.39848593560052E7</v>
      </c>
      <c r="D1494" s="73">
        <v>7312065.5920003</v>
      </c>
      <c r="E1494" s="73">
        <v>1597666.78307819</v>
      </c>
      <c r="F1494" s="73"/>
      <c r="G1494" s="73"/>
      <c r="H1494" s="73"/>
      <c r="I1494" s="73"/>
      <c r="J1494" s="73"/>
      <c r="K1494" s="73"/>
      <c r="L1494" s="73"/>
      <c r="M1494" s="73"/>
      <c r="N1494" s="73"/>
      <c r="O1494" s="73"/>
      <c r="P1494" s="73"/>
      <c r="Q1494" s="73"/>
      <c r="R1494" s="73"/>
      <c r="S1494" s="73"/>
      <c r="T1494" s="73"/>
      <c r="U1494" s="73"/>
      <c r="V1494" s="73"/>
      <c r="W1494" s="73"/>
      <c r="X1494" s="73"/>
      <c r="Y1494" s="73"/>
      <c r="Z1494" s="73"/>
      <c r="AA1494" s="73"/>
      <c r="AB1494" s="73"/>
    </row>
    <row r="1495">
      <c r="A1495" s="73"/>
      <c r="B1495" s="73">
        <v>212120.983</v>
      </c>
      <c r="C1495" s="73">
        <v>3.40468859542823E7</v>
      </c>
      <c r="D1495" s="73">
        <v>7332656.66399741</v>
      </c>
      <c r="E1495" s="73">
        <v>1600621.44158644</v>
      </c>
      <c r="F1495" s="73"/>
      <c r="G1495" s="73"/>
      <c r="H1495" s="73"/>
      <c r="I1495" s="73"/>
      <c r="J1495" s="73"/>
      <c r="K1495" s="73"/>
      <c r="L1495" s="73"/>
      <c r="M1495" s="73"/>
      <c r="N1495" s="73"/>
      <c r="O1495" s="73"/>
      <c r="P1495" s="73"/>
      <c r="Q1495" s="73"/>
      <c r="R1495" s="73"/>
      <c r="S1495" s="73"/>
      <c r="T1495" s="73"/>
      <c r="U1495" s="73"/>
      <c r="V1495" s="73"/>
      <c r="W1495" s="73"/>
      <c r="X1495" s="73"/>
      <c r="Y1495" s="73"/>
      <c r="Z1495" s="73"/>
      <c r="AA1495" s="73"/>
      <c r="AB1495" s="73"/>
    </row>
    <row r="1496">
      <c r="A1496" s="73"/>
      <c r="B1496" s="73">
        <v>212508.2695</v>
      </c>
      <c r="C1496" s="73">
        <v>3.41089784725575E7</v>
      </c>
      <c r="D1496" s="73">
        <v>7353286.08799832</v>
      </c>
      <c r="E1496" s="73">
        <v>1603579.99183149</v>
      </c>
      <c r="F1496" s="73"/>
      <c r="G1496" s="73"/>
      <c r="H1496" s="73"/>
      <c r="I1496" s="73"/>
      <c r="J1496" s="73"/>
      <c r="K1496" s="73"/>
      <c r="L1496" s="73"/>
      <c r="M1496" s="73"/>
      <c r="N1496" s="73"/>
      <c r="O1496" s="73"/>
      <c r="P1496" s="73"/>
      <c r="Q1496" s="73"/>
      <c r="R1496" s="73"/>
      <c r="S1496" s="73"/>
      <c r="T1496" s="73"/>
      <c r="U1496" s="73"/>
      <c r="V1496" s="73"/>
      <c r="W1496" s="73"/>
      <c r="X1496" s="73"/>
      <c r="Y1496" s="73"/>
      <c r="Z1496" s="73"/>
      <c r="AA1496" s="73"/>
      <c r="AB1496" s="73"/>
    </row>
    <row r="1497">
      <c r="A1497" s="73"/>
      <c r="B1497" s="73">
        <v>212896.0525</v>
      </c>
      <c r="C1497" s="73">
        <v>3.41711492708306E7</v>
      </c>
      <c r="D1497" s="73">
        <v>7373953.22399924</v>
      </c>
      <c r="E1497" s="73">
        <v>1606542.26926158</v>
      </c>
      <c r="F1497" s="73"/>
      <c r="G1497" s="73"/>
      <c r="H1497" s="73"/>
      <c r="I1497" s="73"/>
      <c r="J1497" s="73"/>
      <c r="K1497" s="73"/>
      <c r="L1497" s="73"/>
      <c r="M1497" s="73"/>
      <c r="N1497" s="73"/>
      <c r="O1497" s="73"/>
      <c r="P1497" s="73"/>
      <c r="Q1497" s="73"/>
      <c r="R1497" s="73"/>
      <c r="S1497" s="73"/>
      <c r="T1497" s="73"/>
      <c r="U1497" s="73"/>
      <c r="V1497" s="73"/>
      <c r="W1497" s="73"/>
      <c r="X1497" s="73"/>
      <c r="Y1497" s="73"/>
      <c r="Z1497" s="73"/>
      <c r="AA1497" s="73"/>
      <c r="AB1497" s="73"/>
    </row>
    <row r="1498">
      <c r="A1498" s="73"/>
      <c r="B1498" s="73">
        <v>213284.3345</v>
      </c>
      <c r="C1498" s="73">
        <v>3.42333859891019E7</v>
      </c>
      <c r="D1498" s="73">
        <v>7394658.07200015</v>
      </c>
      <c r="E1498" s="73">
        <v>1609508.40020884</v>
      </c>
      <c r="F1498" s="73"/>
      <c r="G1498" s="73"/>
      <c r="H1498" s="73"/>
      <c r="I1498" s="73"/>
      <c r="J1498" s="73"/>
      <c r="K1498" s="73"/>
      <c r="L1498" s="73"/>
      <c r="M1498" s="73"/>
      <c r="N1498" s="73"/>
      <c r="O1498" s="73"/>
      <c r="P1498" s="73"/>
      <c r="Q1498" s="73"/>
      <c r="R1498" s="73"/>
      <c r="S1498" s="73"/>
      <c r="T1498" s="73"/>
      <c r="U1498" s="73"/>
      <c r="V1498" s="73"/>
      <c r="W1498" s="73"/>
      <c r="X1498" s="73"/>
      <c r="Y1498" s="73"/>
      <c r="Z1498" s="73"/>
      <c r="AA1498" s="73"/>
      <c r="AB1498" s="73"/>
    </row>
    <row r="1499">
      <c r="A1499" s="73"/>
      <c r="B1499" s="73">
        <v>213673.113</v>
      </c>
      <c r="C1499" s="73">
        <v>3.4295698927371E7</v>
      </c>
      <c r="D1499" s="73">
        <v>7415401.28999725</v>
      </c>
      <c r="E1499" s="73">
        <v>1612478.38550139</v>
      </c>
      <c r="F1499" s="73"/>
      <c r="G1499" s="73"/>
      <c r="H1499" s="73"/>
      <c r="I1499" s="73"/>
      <c r="J1499" s="73"/>
      <c r="K1499" s="73"/>
      <c r="L1499" s="73"/>
      <c r="M1499" s="73"/>
      <c r="N1499" s="73"/>
      <c r="O1499" s="73"/>
      <c r="P1499" s="73"/>
      <c r="Q1499" s="73"/>
      <c r="R1499" s="73"/>
      <c r="S1499" s="73"/>
      <c r="T1499" s="73"/>
      <c r="U1499" s="73"/>
      <c r="V1499" s="73"/>
      <c r="W1499" s="73"/>
      <c r="X1499" s="73"/>
      <c r="Y1499" s="73"/>
      <c r="Z1499" s="73"/>
      <c r="AA1499" s="73"/>
      <c r="AB1499" s="73"/>
    </row>
    <row r="1500">
      <c r="A1500" s="73"/>
      <c r="B1500" s="73">
        <v>214062.3905</v>
      </c>
      <c r="C1500" s="73">
        <v>3.43580819056382E7</v>
      </c>
      <c r="D1500" s="73">
        <v>7436182.19999817</v>
      </c>
      <c r="E1500" s="73">
        <v>1615452.18356736</v>
      </c>
      <c r="F1500" s="73"/>
      <c r="G1500" s="73"/>
      <c r="H1500" s="73"/>
      <c r="I1500" s="73"/>
      <c r="J1500" s="73"/>
      <c r="K1500" s="73"/>
      <c r="L1500" s="73"/>
      <c r="M1500" s="73"/>
      <c r="N1500" s="73"/>
      <c r="O1500" s="73"/>
      <c r="P1500" s="73"/>
      <c r="Q1500" s="73"/>
      <c r="R1500" s="73"/>
      <c r="S1500" s="73"/>
      <c r="T1500" s="73"/>
      <c r="U1500" s="73"/>
      <c r="V1500" s="73"/>
      <c r="W1500" s="73"/>
      <c r="X1500" s="73"/>
      <c r="Y1500" s="73"/>
      <c r="Z1500" s="73"/>
      <c r="AA1500" s="73"/>
      <c r="AB1500" s="73"/>
    </row>
    <row r="1501">
      <c r="A1501" s="73"/>
      <c r="B1501" s="73">
        <v>214452.167</v>
      </c>
      <c r="C1501" s="73">
        <v>3.44205349239035E7</v>
      </c>
      <c r="D1501" s="73">
        <v>7457000.83999908</v>
      </c>
      <c r="E1501" s="73">
        <v>1618429.712959</v>
      </c>
      <c r="F1501" s="73"/>
      <c r="G1501" s="73"/>
      <c r="H1501" s="73"/>
      <c r="I1501" s="73"/>
      <c r="J1501" s="73"/>
      <c r="K1501" s="73"/>
      <c r="L1501" s="73"/>
      <c r="M1501" s="73"/>
      <c r="N1501" s="73"/>
      <c r="O1501" s="73"/>
      <c r="P1501" s="73"/>
      <c r="Q1501" s="73"/>
      <c r="R1501" s="73"/>
      <c r="S1501" s="73"/>
      <c r="T1501" s="73"/>
      <c r="U1501" s="73"/>
      <c r="V1501" s="73"/>
      <c r="W1501" s="73"/>
      <c r="X1501" s="73"/>
      <c r="Y1501" s="73"/>
      <c r="Z1501" s="73"/>
      <c r="AA1501" s="73"/>
      <c r="AB1501" s="73"/>
    </row>
    <row r="1502">
      <c r="A1502" s="73"/>
      <c r="B1502" s="73">
        <v>214842.53</v>
      </c>
      <c r="C1502" s="73">
        <v>3.44830621021667E7</v>
      </c>
      <c r="D1502" s="73">
        <v>7477857.812</v>
      </c>
      <c r="E1502" s="73">
        <v>1621411.09835219</v>
      </c>
      <c r="F1502" s="73"/>
      <c r="G1502" s="73"/>
      <c r="H1502" s="73"/>
      <c r="I1502" s="73"/>
      <c r="J1502" s="73"/>
      <c r="K1502" s="73"/>
      <c r="L1502" s="73"/>
      <c r="M1502" s="73"/>
      <c r="N1502" s="73"/>
      <c r="O1502" s="73"/>
      <c r="P1502" s="73"/>
      <c r="Q1502" s="73"/>
      <c r="R1502" s="73"/>
      <c r="S1502" s="73"/>
      <c r="T1502" s="73"/>
      <c r="U1502" s="73"/>
      <c r="V1502" s="73"/>
      <c r="W1502" s="73"/>
      <c r="X1502" s="73"/>
      <c r="Y1502" s="73"/>
      <c r="Z1502" s="73"/>
      <c r="AA1502" s="73"/>
      <c r="AB1502" s="73"/>
    </row>
    <row r="1503">
      <c r="A1503" s="73"/>
      <c r="B1503" s="73">
        <v>215233.6032</v>
      </c>
      <c r="C1503" s="73">
        <v>3.45456613804278E7</v>
      </c>
      <c r="D1503" s="73">
        <v>7498752.5139971</v>
      </c>
      <c r="E1503" s="73">
        <v>1624396.38293529</v>
      </c>
      <c r="F1503" s="73"/>
      <c r="G1503" s="73"/>
      <c r="H1503" s="73"/>
      <c r="I1503" s="73"/>
      <c r="J1503" s="73"/>
      <c r="K1503" s="73"/>
      <c r="L1503" s="73"/>
      <c r="M1503" s="73"/>
      <c r="N1503" s="73"/>
      <c r="O1503" s="73"/>
      <c r="P1503" s="73"/>
      <c r="Q1503" s="73"/>
      <c r="R1503" s="73"/>
      <c r="S1503" s="73"/>
      <c r="T1503" s="73"/>
      <c r="U1503" s="73"/>
      <c r="V1503" s="73"/>
      <c r="W1503" s="73"/>
      <c r="X1503" s="73"/>
      <c r="Y1503" s="73"/>
      <c r="Z1503" s="73"/>
      <c r="AA1503" s="73"/>
      <c r="AB1503" s="73"/>
    </row>
    <row r="1504">
      <c r="A1504" s="73"/>
      <c r="B1504" s="73">
        <v>215625.4046</v>
      </c>
      <c r="C1504" s="73">
        <v>3.46083286386871E7</v>
      </c>
      <c r="D1504" s="73">
        <v>7519685.58799802</v>
      </c>
      <c r="E1504" s="73">
        <v>1627385.44207218</v>
      </c>
      <c r="F1504" s="73"/>
      <c r="G1504" s="73"/>
      <c r="H1504" s="73"/>
      <c r="I1504" s="73"/>
      <c r="J1504" s="73"/>
      <c r="K1504" s="73"/>
      <c r="L1504" s="73"/>
      <c r="M1504" s="73"/>
      <c r="N1504" s="73"/>
      <c r="O1504" s="73"/>
      <c r="P1504" s="73"/>
      <c r="Q1504" s="73"/>
      <c r="R1504" s="73"/>
      <c r="S1504" s="73"/>
      <c r="T1504" s="73"/>
      <c r="U1504" s="73"/>
      <c r="V1504" s="73"/>
      <c r="W1504" s="73"/>
      <c r="X1504" s="73"/>
      <c r="Y1504" s="73"/>
      <c r="Z1504" s="73"/>
      <c r="AA1504" s="73"/>
      <c r="AB1504" s="73"/>
    </row>
    <row r="1505">
      <c r="A1505" s="73"/>
      <c r="B1505" s="73">
        <v>216017.9486</v>
      </c>
      <c r="C1505" s="73">
        <v>3.46710679969444E7</v>
      </c>
      <c r="D1505" s="73">
        <v>7540656.97399893</v>
      </c>
      <c r="E1505" s="73">
        <v>1630378.31812312</v>
      </c>
      <c r="F1505" s="73"/>
      <c r="G1505" s="73"/>
      <c r="H1505" s="73"/>
      <c r="I1505" s="73"/>
      <c r="J1505" s="73"/>
      <c r="K1505" s="73"/>
      <c r="L1505" s="73"/>
      <c r="M1505" s="73"/>
      <c r="N1505" s="73"/>
      <c r="O1505" s="73"/>
      <c r="P1505" s="73"/>
      <c r="Q1505" s="73"/>
      <c r="R1505" s="73"/>
      <c r="S1505" s="73"/>
      <c r="T1505" s="73"/>
      <c r="U1505" s="73"/>
      <c r="V1505" s="73"/>
      <c r="W1505" s="73"/>
      <c r="X1505" s="73"/>
      <c r="Y1505" s="73"/>
      <c r="Z1505" s="73"/>
      <c r="AA1505" s="73"/>
      <c r="AB1505" s="73"/>
    </row>
    <row r="1506">
      <c r="A1506" s="73"/>
      <c r="B1506" s="73">
        <v>216411.2438</v>
      </c>
      <c r="C1506" s="73">
        <v>3.47338897551994E7</v>
      </c>
      <c r="D1506" s="73">
        <v>7561666.09199985</v>
      </c>
      <c r="E1506" s="73">
        <v>1633374.92964036</v>
      </c>
      <c r="F1506" s="73"/>
      <c r="G1506" s="73"/>
      <c r="H1506" s="73"/>
      <c r="I1506" s="73"/>
      <c r="J1506" s="73"/>
      <c r="K1506" s="73"/>
      <c r="L1506" s="73"/>
      <c r="M1506" s="73"/>
      <c r="N1506" s="73"/>
      <c r="O1506" s="73"/>
      <c r="P1506" s="73"/>
      <c r="Q1506" s="73"/>
      <c r="R1506" s="73"/>
      <c r="S1506" s="73"/>
      <c r="T1506" s="73"/>
      <c r="U1506" s="73"/>
      <c r="V1506" s="73"/>
      <c r="W1506" s="73"/>
      <c r="X1506" s="73"/>
      <c r="Y1506" s="73"/>
      <c r="Z1506" s="73"/>
      <c r="AA1506" s="73"/>
      <c r="AB1506" s="73"/>
    </row>
    <row r="1507">
      <c r="A1507" s="73"/>
      <c r="B1507" s="73">
        <v>216805.2947</v>
      </c>
      <c r="C1507" s="73">
        <v>3.47967691934528E7</v>
      </c>
      <c r="D1507" s="73">
        <v>7582712.91999695</v>
      </c>
      <c r="E1507" s="73">
        <v>1636375.48440376</v>
      </c>
      <c r="F1507" s="73"/>
      <c r="G1507" s="73"/>
      <c r="H1507" s="73"/>
      <c r="I1507" s="73"/>
      <c r="J1507" s="73"/>
      <c r="K1507" s="73"/>
      <c r="L1507" s="73"/>
      <c r="M1507" s="73"/>
      <c r="N1507" s="73"/>
      <c r="O1507" s="73"/>
      <c r="P1507" s="73"/>
      <c r="Q1507" s="73"/>
      <c r="R1507" s="73"/>
      <c r="S1507" s="73"/>
      <c r="T1507" s="73"/>
      <c r="U1507" s="73"/>
      <c r="V1507" s="73"/>
      <c r="W1507" s="73"/>
      <c r="X1507" s="73"/>
      <c r="Y1507" s="73"/>
      <c r="Z1507" s="73"/>
      <c r="AA1507" s="73"/>
      <c r="AB1507" s="73"/>
    </row>
    <row r="1508">
      <c r="A1508" s="73"/>
      <c r="B1508" s="73">
        <v>217200.1119</v>
      </c>
      <c r="C1508" s="73">
        <v>3.48597310317039E7</v>
      </c>
      <c r="D1508" s="73">
        <v>7603798.75799786</v>
      </c>
      <c r="E1508" s="73">
        <v>1639379.77546158</v>
      </c>
      <c r="F1508" s="73"/>
      <c r="G1508" s="73"/>
      <c r="H1508" s="73"/>
      <c r="I1508" s="73"/>
      <c r="J1508" s="73"/>
      <c r="K1508" s="73"/>
      <c r="L1508" s="73"/>
      <c r="M1508" s="73"/>
      <c r="N1508" s="73"/>
      <c r="O1508" s="73"/>
      <c r="P1508" s="73"/>
      <c r="Q1508" s="73"/>
      <c r="R1508" s="73"/>
      <c r="S1508" s="73"/>
      <c r="T1508" s="73"/>
      <c r="U1508" s="73"/>
      <c r="V1508" s="73"/>
      <c r="W1508" s="73"/>
      <c r="X1508" s="73"/>
      <c r="Y1508" s="73"/>
      <c r="Z1508" s="73"/>
      <c r="AA1508" s="73"/>
      <c r="AB1508" s="73"/>
    </row>
    <row r="1509">
      <c r="A1509" s="73"/>
      <c r="B1509" s="73">
        <v>217595.6955</v>
      </c>
      <c r="C1509" s="73">
        <v>3.49227587899532E7</v>
      </c>
      <c r="D1509" s="73">
        <v>7624922.30799878</v>
      </c>
      <c r="E1509" s="73">
        <v>1642388.01142182</v>
      </c>
      <c r="F1509" s="73"/>
      <c r="G1509" s="73"/>
      <c r="H1509" s="73"/>
      <c r="I1509" s="73"/>
      <c r="J1509" s="73"/>
      <c r="K1509" s="73"/>
      <c r="L1509" s="73"/>
      <c r="M1509" s="73"/>
      <c r="N1509" s="73"/>
      <c r="O1509" s="73"/>
      <c r="P1509" s="73"/>
      <c r="Q1509" s="73"/>
      <c r="R1509" s="73"/>
      <c r="S1509" s="73"/>
      <c r="T1509" s="73"/>
      <c r="U1509" s="73"/>
      <c r="V1509" s="73"/>
      <c r="W1509" s="73"/>
      <c r="X1509" s="73"/>
      <c r="Y1509" s="73"/>
      <c r="Z1509" s="73"/>
      <c r="AA1509" s="73"/>
      <c r="AB1509" s="73"/>
    </row>
    <row r="1510">
      <c r="A1510" s="73"/>
      <c r="B1510" s="73">
        <v>217992.0524</v>
      </c>
      <c r="C1510" s="73">
        <v>3.49858607082005E7</v>
      </c>
      <c r="D1510" s="73">
        <v>7646084.8299997</v>
      </c>
      <c r="E1510" s="73">
        <v>1645400.02856085</v>
      </c>
      <c r="F1510" s="73"/>
      <c r="G1510" s="73"/>
      <c r="H1510" s="73"/>
      <c r="I1510" s="73"/>
      <c r="J1510" s="73"/>
      <c r="K1510" s="73"/>
      <c r="L1510" s="73"/>
      <c r="M1510" s="73"/>
      <c r="N1510" s="73"/>
      <c r="O1510" s="73"/>
      <c r="P1510" s="73"/>
      <c r="Q1510" s="73"/>
      <c r="R1510" s="73"/>
      <c r="S1510" s="73"/>
      <c r="T1510" s="73"/>
      <c r="U1510" s="73"/>
      <c r="V1510" s="73"/>
      <c r="W1510" s="73"/>
      <c r="X1510" s="73"/>
      <c r="Y1510" s="73"/>
      <c r="Z1510" s="73"/>
      <c r="AA1510" s="73"/>
      <c r="AB1510" s="73"/>
    </row>
    <row r="1511">
      <c r="A1511" s="73"/>
      <c r="B1511" s="73">
        <v>218389.1838</v>
      </c>
      <c r="C1511" s="73">
        <v>3.50490367864456E7</v>
      </c>
      <c r="D1511" s="73">
        <v>7667285.0839968</v>
      </c>
      <c r="E1511" s="73">
        <v>1648415.82435455</v>
      </c>
      <c r="F1511" s="73"/>
      <c r="G1511" s="73"/>
      <c r="H1511" s="73"/>
      <c r="I1511" s="73"/>
      <c r="J1511" s="73"/>
      <c r="K1511" s="73"/>
      <c r="L1511" s="73"/>
      <c r="M1511" s="73"/>
      <c r="N1511" s="73"/>
      <c r="O1511" s="73"/>
      <c r="P1511" s="73"/>
      <c r="Q1511" s="73"/>
      <c r="R1511" s="73"/>
      <c r="S1511" s="73"/>
      <c r="T1511" s="73"/>
      <c r="U1511" s="73"/>
      <c r="V1511" s="73"/>
      <c r="W1511" s="73"/>
      <c r="X1511" s="73"/>
      <c r="Y1511" s="73"/>
      <c r="Z1511" s="73"/>
      <c r="AA1511" s="73"/>
      <c r="AB1511" s="73"/>
    </row>
    <row r="1512">
      <c r="A1512" s="73"/>
      <c r="B1512" s="73">
        <v>218787.0984</v>
      </c>
      <c r="C1512" s="73">
        <v>3.5112278784689E7</v>
      </c>
      <c r="D1512" s="73">
        <v>7688523.66799771</v>
      </c>
      <c r="E1512" s="73">
        <v>1651435.56836317</v>
      </c>
      <c r="F1512" s="73"/>
      <c r="G1512" s="73"/>
      <c r="H1512" s="73"/>
      <c r="I1512" s="73"/>
      <c r="J1512" s="73"/>
      <c r="K1512" s="73"/>
      <c r="L1512" s="73"/>
      <c r="M1512" s="73"/>
      <c r="N1512" s="73"/>
      <c r="O1512" s="73"/>
      <c r="P1512" s="73"/>
      <c r="Q1512" s="73"/>
      <c r="R1512" s="73"/>
      <c r="S1512" s="73"/>
      <c r="T1512" s="73"/>
      <c r="U1512" s="73"/>
      <c r="V1512" s="73"/>
      <c r="W1512" s="73"/>
      <c r="X1512" s="73"/>
      <c r="Y1512" s="73"/>
      <c r="Z1512" s="73"/>
      <c r="AA1512" s="73"/>
      <c r="AB1512" s="73"/>
    </row>
    <row r="1513">
      <c r="A1513" s="73"/>
      <c r="B1513" s="73">
        <v>219185.797</v>
      </c>
      <c r="C1513" s="73">
        <v>3.51755949429302E7</v>
      </c>
      <c r="D1513" s="73">
        <v>7709800.64199863</v>
      </c>
      <c r="E1513" s="73">
        <v>1654459.0943787</v>
      </c>
      <c r="F1513" s="73"/>
      <c r="G1513" s="73"/>
      <c r="H1513" s="73"/>
      <c r="I1513" s="73"/>
      <c r="J1513" s="73"/>
      <c r="K1513" s="73"/>
      <c r="L1513" s="73"/>
      <c r="M1513" s="73"/>
      <c r="N1513" s="73"/>
      <c r="O1513" s="73"/>
      <c r="P1513" s="73"/>
      <c r="Q1513" s="73"/>
      <c r="R1513" s="73"/>
      <c r="S1513" s="73"/>
      <c r="T1513" s="73"/>
      <c r="U1513" s="73"/>
      <c r="V1513" s="73"/>
      <c r="W1513" s="73"/>
      <c r="X1513" s="73"/>
      <c r="Y1513" s="73"/>
      <c r="Z1513" s="73"/>
      <c r="AA1513" s="73"/>
      <c r="AB1513" s="73"/>
    </row>
    <row r="1514">
      <c r="A1514" s="73"/>
      <c r="B1514" s="73">
        <v>219585.28</v>
      </c>
      <c r="C1514" s="73">
        <v>3.52389852611694E7</v>
      </c>
      <c r="D1514" s="73">
        <v>7731115.96799954</v>
      </c>
      <c r="E1514" s="73">
        <v>1657486.44393328</v>
      </c>
      <c r="F1514" s="73"/>
      <c r="G1514" s="73"/>
      <c r="H1514" s="73"/>
      <c r="I1514" s="73"/>
      <c r="J1514" s="73"/>
      <c r="K1514" s="73"/>
      <c r="L1514" s="73"/>
      <c r="M1514" s="73"/>
      <c r="N1514" s="73"/>
      <c r="O1514" s="73"/>
      <c r="P1514" s="73"/>
      <c r="Q1514" s="73"/>
      <c r="R1514" s="73"/>
      <c r="S1514" s="73"/>
      <c r="T1514" s="73"/>
      <c r="U1514" s="73"/>
      <c r="V1514" s="73"/>
      <c r="W1514" s="73"/>
      <c r="X1514" s="73"/>
      <c r="Y1514" s="73"/>
      <c r="Z1514" s="73"/>
      <c r="AA1514" s="73"/>
      <c r="AB1514" s="73"/>
    </row>
    <row r="1515">
      <c r="A1515" s="73"/>
      <c r="B1515" s="73">
        <v>219985.5552</v>
      </c>
      <c r="C1515" s="73">
        <v>3.53024497394066E7</v>
      </c>
      <c r="D1515" s="73">
        <v>7752469.62600046</v>
      </c>
      <c r="E1515" s="73">
        <v>1660517.66108315</v>
      </c>
      <c r="F1515" s="73"/>
      <c r="G1515" s="73"/>
      <c r="H1515" s="73"/>
      <c r="I1515" s="73"/>
      <c r="J1515" s="73"/>
      <c r="K1515" s="73"/>
      <c r="L1515" s="73"/>
      <c r="M1515" s="73"/>
      <c r="N1515" s="73"/>
      <c r="O1515" s="73"/>
      <c r="P1515" s="73"/>
      <c r="Q1515" s="73"/>
      <c r="R1515" s="73"/>
      <c r="S1515" s="73"/>
      <c r="T1515" s="73"/>
      <c r="U1515" s="73"/>
      <c r="V1515" s="73"/>
      <c r="W1515" s="73"/>
      <c r="X1515" s="73"/>
      <c r="Y1515" s="73"/>
      <c r="Z1515" s="73"/>
      <c r="AA1515" s="73"/>
      <c r="AB1515" s="73"/>
    </row>
    <row r="1516">
      <c r="A1516" s="73"/>
      <c r="B1516" s="73">
        <v>220386.6202</v>
      </c>
      <c r="C1516" s="73">
        <v>3.53659801376419E7</v>
      </c>
      <c r="D1516" s="73">
        <v>7773862.29399756</v>
      </c>
      <c r="E1516" s="73">
        <v>1663552.70508457</v>
      </c>
      <c r="F1516" s="73"/>
      <c r="G1516" s="73"/>
      <c r="H1516" s="73"/>
      <c r="I1516" s="73"/>
      <c r="J1516" s="73"/>
      <c r="K1516" s="73"/>
      <c r="L1516" s="73"/>
      <c r="M1516" s="73"/>
      <c r="N1516" s="73"/>
      <c r="O1516" s="73"/>
      <c r="P1516" s="73"/>
      <c r="Q1516" s="73"/>
      <c r="R1516" s="73"/>
      <c r="S1516" s="73"/>
      <c r="T1516" s="73"/>
      <c r="U1516" s="73"/>
      <c r="V1516" s="73"/>
      <c r="W1516" s="73"/>
      <c r="X1516" s="73"/>
      <c r="Y1516" s="73"/>
      <c r="Z1516" s="73"/>
      <c r="AA1516" s="73"/>
      <c r="AB1516" s="73"/>
    </row>
    <row r="1517">
      <c r="A1517" s="73"/>
      <c r="B1517" s="73">
        <v>220788.4824</v>
      </c>
      <c r="C1517" s="73">
        <v>3.54295846958752E7</v>
      </c>
      <c r="D1517" s="73">
        <v>7795293.31399847</v>
      </c>
      <c r="E1517" s="73">
        <v>1666591.61502502</v>
      </c>
      <c r="F1517" s="73"/>
      <c r="G1517" s="73"/>
      <c r="H1517" s="73"/>
      <c r="I1517" s="73"/>
      <c r="J1517" s="73"/>
      <c r="K1517" s="73"/>
      <c r="L1517" s="73"/>
      <c r="M1517" s="73"/>
      <c r="N1517" s="73"/>
      <c r="O1517" s="73"/>
      <c r="P1517" s="73"/>
      <c r="Q1517" s="73"/>
      <c r="R1517" s="73"/>
      <c r="S1517" s="73"/>
      <c r="T1517" s="73"/>
      <c r="U1517" s="73"/>
      <c r="V1517" s="73"/>
      <c r="W1517" s="73"/>
      <c r="X1517" s="73"/>
      <c r="Y1517" s="73"/>
      <c r="Z1517" s="73"/>
      <c r="AA1517" s="73"/>
      <c r="AB1517" s="73"/>
    </row>
    <row r="1518">
      <c r="A1518" s="73"/>
      <c r="B1518" s="73">
        <v>221191.1391</v>
      </c>
      <c r="C1518" s="73">
        <v>3.54932716541061E7</v>
      </c>
      <c r="D1518" s="73">
        <v>7816762.70399939</v>
      </c>
      <c r="E1518" s="73">
        <v>1669634.35347327</v>
      </c>
      <c r="F1518" s="73"/>
      <c r="G1518" s="73"/>
      <c r="H1518" s="73"/>
      <c r="I1518" s="73"/>
      <c r="J1518" s="73"/>
      <c r="K1518" s="73"/>
      <c r="L1518" s="73"/>
      <c r="M1518" s="73"/>
      <c r="N1518" s="73"/>
      <c r="O1518" s="73"/>
      <c r="P1518" s="73"/>
      <c r="Q1518" s="73"/>
      <c r="R1518" s="73"/>
      <c r="S1518" s="73"/>
      <c r="T1518" s="73"/>
      <c r="U1518" s="73"/>
      <c r="V1518" s="73"/>
      <c r="W1518" s="73"/>
      <c r="X1518" s="73"/>
      <c r="Y1518" s="73"/>
      <c r="Z1518" s="73"/>
      <c r="AA1518" s="73"/>
      <c r="AB1518" s="73"/>
    </row>
    <row r="1519">
      <c r="A1519" s="73"/>
      <c r="B1519" s="73">
        <v>221594.5976</v>
      </c>
      <c r="C1519" s="73">
        <v>3.55570162923355E7</v>
      </c>
      <c r="D1519" s="73">
        <v>7838270.42600031</v>
      </c>
      <c r="E1519" s="73">
        <v>1672680.96282931</v>
      </c>
      <c r="F1519" s="73"/>
      <c r="G1519" s="73"/>
      <c r="H1519" s="73"/>
      <c r="I1519" s="73"/>
      <c r="J1519" s="73"/>
      <c r="K1519" s="73"/>
      <c r="L1519" s="73"/>
      <c r="M1519" s="73"/>
      <c r="N1519" s="73"/>
      <c r="O1519" s="73"/>
      <c r="P1519" s="73"/>
      <c r="Q1519" s="73"/>
      <c r="R1519" s="73"/>
      <c r="S1519" s="73"/>
      <c r="T1519" s="73"/>
      <c r="U1519" s="73"/>
      <c r="V1519" s="73"/>
      <c r="W1519" s="73"/>
      <c r="X1519" s="73"/>
      <c r="Y1519" s="73"/>
      <c r="Z1519" s="73"/>
      <c r="AA1519" s="73"/>
      <c r="AB1519" s="73"/>
    </row>
    <row r="1520">
      <c r="A1520" s="73"/>
      <c r="B1520" s="73">
        <v>221998.8574</v>
      </c>
      <c r="C1520" s="73">
        <v>3.56208433305626E7</v>
      </c>
      <c r="D1520" s="73">
        <v>7859816.51799741</v>
      </c>
      <c r="E1520" s="73">
        <v>1675731.39903689</v>
      </c>
      <c r="F1520" s="73"/>
      <c r="G1520" s="73"/>
      <c r="H1520" s="73"/>
      <c r="I1520" s="73"/>
      <c r="J1520" s="73"/>
      <c r="K1520" s="73"/>
      <c r="L1520" s="73"/>
      <c r="M1520" s="73"/>
      <c r="N1520" s="73"/>
      <c r="O1520" s="73"/>
      <c r="P1520" s="73"/>
      <c r="Q1520" s="73"/>
      <c r="R1520" s="73"/>
      <c r="S1520" s="73"/>
      <c r="T1520" s="73"/>
      <c r="U1520" s="73"/>
      <c r="V1520" s="73"/>
      <c r="W1520" s="73"/>
      <c r="X1520" s="73"/>
      <c r="Y1520" s="73"/>
      <c r="Z1520" s="73"/>
      <c r="AA1520" s="73"/>
      <c r="AB1520" s="73"/>
    </row>
    <row r="1521">
      <c r="A1521" s="73"/>
      <c r="B1521" s="73">
        <v>222403.9204</v>
      </c>
      <c r="C1521" s="73">
        <v>3.56847362887878E7</v>
      </c>
      <c r="D1521" s="73">
        <v>7881401.60199832</v>
      </c>
      <c r="E1521" s="73">
        <v>1678785.74851251</v>
      </c>
      <c r="F1521" s="73"/>
      <c r="G1521" s="73"/>
      <c r="H1521" s="73"/>
      <c r="I1521" s="73"/>
      <c r="J1521" s="73"/>
      <c r="K1521" s="73"/>
      <c r="L1521" s="73"/>
      <c r="M1521" s="73"/>
      <c r="N1521" s="73"/>
      <c r="O1521" s="73"/>
      <c r="P1521" s="73"/>
      <c r="Q1521" s="73"/>
      <c r="R1521" s="73"/>
      <c r="S1521" s="73"/>
      <c r="T1521" s="73"/>
      <c r="U1521" s="73"/>
      <c r="V1521" s="73"/>
      <c r="W1521" s="73"/>
      <c r="X1521" s="73"/>
      <c r="Y1521" s="73"/>
      <c r="Z1521" s="73"/>
      <c r="AA1521" s="73"/>
      <c r="AB1521" s="73"/>
    </row>
    <row r="1522">
      <c r="A1522" s="73"/>
      <c r="B1522" s="73">
        <v>222809.7886</v>
      </c>
      <c r="C1522" s="73">
        <v>3.57487116470108E7</v>
      </c>
      <c r="D1522" s="73">
        <v>7903025.67799924</v>
      </c>
      <c r="E1522" s="73">
        <v>1681843.88744818</v>
      </c>
      <c r="F1522" s="73"/>
      <c r="G1522" s="73"/>
      <c r="H1522" s="73"/>
      <c r="I1522" s="73"/>
      <c r="J1522" s="73"/>
      <c r="K1522" s="73"/>
      <c r="L1522" s="73"/>
      <c r="M1522" s="73"/>
      <c r="N1522" s="73"/>
      <c r="O1522" s="73"/>
      <c r="P1522" s="73"/>
      <c r="Q1522" s="73"/>
      <c r="R1522" s="73"/>
      <c r="S1522" s="73"/>
      <c r="T1522" s="73"/>
      <c r="U1522" s="73"/>
      <c r="V1522" s="73"/>
      <c r="W1522" s="73"/>
      <c r="X1522" s="73"/>
      <c r="Y1522" s="73"/>
      <c r="Z1522" s="73"/>
      <c r="AA1522" s="73"/>
      <c r="AB1522" s="73"/>
    </row>
    <row r="1523">
      <c r="A1523" s="73"/>
      <c r="B1523" s="73">
        <v>223216.4637</v>
      </c>
      <c r="C1523" s="73">
        <v>3.58127529252319E7</v>
      </c>
      <c r="D1523" s="73">
        <v>7924688.10400015</v>
      </c>
      <c r="E1523" s="73">
        <v>1684905.85654789</v>
      </c>
      <c r="F1523" s="73"/>
      <c r="G1523" s="73"/>
      <c r="H1523" s="73"/>
      <c r="I1523" s="73"/>
      <c r="J1523" s="73"/>
      <c r="K1523" s="73"/>
      <c r="L1523" s="73"/>
      <c r="M1523" s="73"/>
      <c r="N1523" s="73"/>
      <c r="O1523" s="73"/>
      <c r="P1523" s="73"/>
      <c r="Q1523" s="73"/>
      <c r="R1523" s="73"/>
      <c r="S1523" s="73"/>
      <c r="T1523" s="73"/>
      <c r="U1523" s="73"/>
      <c r="V1523" s="73"/>
      <c r="W1523" s="73"/>
      <c r="X1523" s="73"/>
      <c r="Y1523" s="73"/>
      <c r="Z1523" s="73"/>
      <c r="AA1523" s="73"/>
      <c r="AB1523" s="73"/>
    </row>
    <row r="1524">
      <c r="A1524" s="73"/>
      <c r="B1524" s="73">
        <v>223623.9474</v>
      </c>
      <c r="C1524" s="73">
        <v>3.58768601234512E7</v>
      </c>
      <c r="D1524" s="73">
        <v>7946388.90199725</v>
      </c>
      <c r="E1524" s="73">
        <v>1687971.78297189</v>
      </c>
      <c r="F1524" s="73"/>
      <c r="G1524" s="73"/>
      <c r="H1524" s="73"/>
      <c r="I1524" s="73"/>
      <c r="J1524" s="73"/>
      <c r="K1524" s="73"/>
      <c r="L1524" s="73"/>
      <c r="M1524" s="73"/>
      <c r="N1524" s="73"/>
      <c r="O1524" s="73"/>
      <c r="P1524" s="73"/>
      <c r="Q1524" s="73"/>
      <c r="R1524" s="73"/>
      <c r="S1524" s="73"/>
      <c r="T1524" s="73"/>
      <c r="U1524" s="73"/>
      <c r="V1524" s="73"/>
      <c r="W1524" s="73"/>
      <c r="X1524" s="73"/>
      <c r="Y1524" s="73"/>
      <c r="Z1524" s="73"/>
      <c r="AA1524" s="73"/>
      <c r="AB1524" s="73"/>
    </row>
    <row r="1525">
      <c r="A1525" s="73"/>
      <c r="B1525" s="73">
        <v>224032.244</v>
      </c>
      <c r="C1525" s="73">
        <v>3.59410497216682E7</v>
      </c>
      <c r="D1525" s="73">
        <v>7968129.32999817</v>
      </c>
      <c r="E1525" s="73">
        <v>1691041.50051218</v>
      </c>
      <c r="F1525" s="73"/>
      <c r="G1525" s="73"/>
      <c r="H1525" s="73"/>
      <c r="I1525" s="73"/>
      <c r="J1525" s="73"/>
      <c r="K1525" s="73"/>
      <c r="L1525" s="73"/>
      <c r="M1525" s="73"/>
      <c r="N1525" s="73"/>
      <c r="O1525" s="73"/>
      <c r="P1525" s="73"/>
      <c r="Q1525" s="73"/>
      <c r="R1525" s="73"/>
      <c r="S1525" s="73"/>
      <c r="T1525" s="73"/>
      <c r="U1525" s="73"/>
      <c r="V1525" s="73"/>
      <c r="W1525" s="73"/>
      <c r="X1525" s="73"/>
      <c r="Y1525" s="73"/>
      <c r="Z1525" s="73"/>
      <c r="AA1525" s="73"/>
      <c r="AB1525" s="73"/>
    </row>
    <row r="1526">
      <c r="A1526" s="73"/>
      <c r="B1526" s="73">
        <v>224441.3524</v>
      </c>
      <c r="C1526" s="73">
        <v>3.60053052398834E7</v>
      </c>
      <c r="D1526" s="73">
        <v>7989907.48799908</v>
      </c>
      <c r="E1526" s="73">
        <v>1694115.13463301</v>
      </c>
      <c r="F1526" s="73"/>
      <c r="G1526" s="73"/>
      <c r="H1526" s="73"/>
      <c r="I1526" s="73"/>
      <c r="J1526" s="73"/>
      <c r="K1526" s="73"/>
      <c r="L1526" s="73"/>
      <c r="M1526" s="73"/>
      <c r="N1526" s="73"/>
      <c r="O1526" s="73"/>
      <c r="P1526" s="73"/>
      <c r="Q1526" s="73"/>
      <c r="R1526" s="73"/>
      <c r="S1526" s="73"/>
      <c r="T1526" s="73"/>
      <c r="U1526" s="73"/>
      <c r="V1526" s="73"/>
      <c r="W1526" s="73"/>
      <c r="X1526" s="73"/>
      <c r="Y1526" s="73"/>
      <c r="Z1526" s="73"/>
      <c r="AA1526" s="73"/>
      <c r="AB1526" s="73"/>
    </row>
    <row r="1527">
      <c r="A1527" s="73"/>
      <c r="B1527" s="73">
        <v>224851.2743</v>
      </c>
      <c r="C1527" s="73">
        <v>3.60696349180965E7</v>
      </c>
      <c r="D1527" s="73">
        <v>8011724.62</v>
      </c>
      <c r="E1527" s="73">
        <v>1697192.51912639</v>
      </c>
      <c r="F1527" s="73"/>
      <c r="G1527" s="73"/>
      <c r="H1527" s="73"/>
      <c r="I1527" s="73"/>
      <c r="J1527" s="73"/>
      <c r="K1527" s="73"/>
      <c r="L1527" s="73"/>
      <c r="M1527" s="73"/>
      <c r="N1527" s="73"/>
      <c r="O1527" s="73"/>
      <c r="P1527" s="73"/>
      <c r="Q1527" s="73"/>
      <c r="R1527" s="73"/>
      <c r="S1527" s="73"/>
      <c r="T1527" s="73"/>
      <c r="U1527" s="73"/>
      <c r="V1527" s="73"/>
      <c r="W1527" s="73"/>
      <c r="X1527" s="73"/>
      <c r="Y1527" s="73"/>
      <c r="Z1527" s="73"/>
      <c r="AA1527" s="73"/>
      <c r="AB1527" s="73"/>
    </row>
    <row r="1528">
      <c r="A1528" s="73"/>
      <c r="B1528" s="73">
        <v>225262.0137</v>
      </c>
      <c r="C1528" s="73">
        <v>3.61340387563076E7</v>
      </c>
      <c r="D1528" s="73">
        <v>8033581.3999971</v>
      </c>
      <c r="E1528" s="73">
        <v>1700273.8626003</v>
      </c>
      <c r="F1528" s="73"/>
      <c r="G1528" s="73"/>
      <c r="H1528" s="73"/>
      <c r="I1528" s="73"/>
      <c r="J1528" s="73"/>
      <c r="K1528" s="73"/>
      <c r="L1528" s="73"/>
      <c r="M1528" s="73"/>
      <c r="N1528" s="73"/>
      <c r="O1528" s="73"/>
      <c r="P1528" s="73"/>
      <c r="Q1528" s="73"/>
      <c r="R1528" s="73"/>
      <c r="S1528" s="73"/>
      <c r="T1528" s="73"/>
      <c r="U1528" s="73"/>
      <c r="V1528" s="73"/>
      <c r="W1528" s="73"/>
      <c r="X1528" s="73"/>
      <c r="Y1528" s="73"/>
      <c r="Z1528" s="73"/>
      <c r="AA1528" s="73"/>
      <c r="AB1528" s="73"/>
    </row>
    <row r="1529">
      <c r="A1529" s="73"/>
      <c r="B1529" s="73">
        <v>225673.5668</v>
      </c>
      <c r="C1529" s="73">
        <v>3.61985167545166E7</v>
      </c>
      <c r="D1529" s="73">
        <v>8055476.53399802</v>
      </c>
      <c r="E1529" s="73">
        <v>1703359.08526326</v>
      </c>
      <c r="F1529" s="73"/>
      <c r="G1529" s="73"/>
      <c r="H1529" s="73"/>
      <c r="I1529" s="73"/>
      <c r="J1529" s="73"/>
      <c r="K1529" s="73"/>
      <c r="L1529" s="73"/>
      <c r="M1529" s="73"/>
      <c r="N1529" s="73"/>
      <c r="O1529" s="73"/>
      <c r="P1529" s="73"/>
      <c r="Q1529" s="73"/>
      <c r="R1529" s="73"/>
      <c r="S1529" s="73"/>
      <c r="T1529" s="73"/>
      <c r="U1529" s="73"/>
      <c r="V1529" s="73"/>
      <c r="W1529" s="73"/>
      <c r="X1529" s="73"/>
      <c r="Y1529" s="73"/>
      <c r="Z1529" s="73"/>
      <c r="AA1529" s="73"/>
      <c r="AB1529" s="73"/>
    </row>
    <row r="1530">
      <c r="A1530" s="73"/>
      <c r="B1530" s="73">
        <v>226085.9428</v>
      </c>
      <c r="C1530" s="73">
        <v>3.62630689127235E7</v>
      </c>
      <c r="D1530" s="73">
        <v>8077410.67599893</v>
      </c>
      <c r="E1530" s="73">
        <v>1706448.143059</v>
      </c>
      <c r="F1530" s="73"/>
      <c r="G1530" s="73"/>
      <c r="H1530" s="73"/>
      <c r="I1530" s="73"/>
      <c r="J1530" s="73"/>
      <c r="K1530" s="73"/>
      <c r="L1530" s="73"/>
      <c r="M1530" s="73"/>
      <c r="N1530" s="73"/>
      <c r="O1530" s="73"/>
      <c r="P1530" s="73"/>
      <c r="Q1530" s="73"/>
      <c r="R1530" s="73"/>
      <c r="S1530" s="73"/>
      <c r="T1530" s="73"/>
      <c r="U1530" s="73"/>
      <c r="V1530" s="73"/>
      <c r="W1530" s="73"/>
      <c r="X1530" s="73"/>
      <c r="Y1530" s="73"/>
      <c r="Z1530" s="73"/>
      <c r="AA1530" s="73"/>
      <c r="AB1530" s="73"/>
    </row>
    <row r="1531">
      <c r="A1531" s="73"/>
      <c r="B1531" s="73">
        <v>226499.1378</v>
      </c>
      <c r="C1531" s="73">
        <v>3.63276869909287E7</v>
      </c>
      <c r="D1531" s="73">
        <v>8099383.15199985</v>
      </c>
      <c r="E1531" s="73">
        <v>1709541.03764379</v>
      </c>
      <c r="F1531" s="73"/>
      <c r="G1531" s="73"/>
      <c r="H1531" s="73"/>
      <c r="I1531" s="73"/>
      <c r="J1531" s="73"/>
      <c r="K1531" s="73"/>
      <c r="L1531" s="73"/>
      <c r="M1531" s="73"/>
      <c r="N1531" s="73"/>
      <c r="O1531" s="73"/>
      <c r="P1531" s="73"/>
      <c r="Q1531" s="73"/>
      <c r="R1531" s="73"/>
      <c r="S1531" s="73"/>
      <c r="T1531" s="73"/>
      <c r="U1531" s="73"/>
      <c r="V1531" s="73"/>
      <c r="W1531" s="73"/>
      <c r="X1531" s="73"/>
      <c r="Y1531" s="73"/>
      <c r="Z1531" s="73"/>
      <c r="AA1531" s="73"/>
      <c r="AB1531" s="73"/>
    </row>
    <row r="1532">
      <c r="A1532" s="73"/>
      <c r="B1532" s="73">
        <v>226913.1508</v>
      </c>
      <c r="C1532" s="73">
        <v>3.63923792291317E7</v>
      </c>
      <c r="D1532" s="73">
        <v>8121395.29599695</v>
      </c>
      <c r="E1532" s="73">
        <v>1712637.81141763</v>
      </c>
      <c r="F1532" s="73"/>
      <c r="G1532" s="73"/>
      <c r="H1532" s="73"/>
      <c r="I1532" s="73"/>
      <c r="J1532" s="73"/>
      <c r="K1532" s="73"/>
      <c r="L1532" s="73"/>
      <c r="M1532" s="73"/>
      <c r="N1532" s="73"/>
      <c r="O1532" s="73"/>
      <c r="P1532" s="73"/>
      <c r="Q1532" s="73"/>
      <c r="R1532" s="73"/>
      <c r="S1532" s="73"/>
      <c r="T1532" s="73"/>
      <c r="U1532" s="73"/>
      <c r="V1532" s="73"/>
      <c r="W1532" s="73"/>
      <c r="X1532" s="73"/>
      <c r="Y1532" s="73"/>
      <c r="Z1532" s="73"/>
      <c r="AA1532" s="73"/>
      <c r="AB1532" s="73"/>
    </row>
    <row r="1533">
      <c r="A1533" s="73"/>
      <c r="B1533" s="73">
        <v>227327.9904</v>
      </c>
      <c r="C1533" s="73">
        <v>3.64571456273327E7</v>
      </c>
      <c r="D1533" s="73">
        <v>8143446.39399786</v>
      </c>
      <c r="E1533" s="73">
        <v>1715738.54914074</v>
      </c>
      <c r="F1533" s="73"/>
      <c r="G1533" s="73"/>
      <c r="H1533" s="73"/>
      <c r="I1533" s="73"/>
      <c r="J1533" s="73"/>
      <c r="K1533" s="73"/>
      <c r="L1533" s="73"/>
      <c r="M1533" s="73"/>
      <c r="N1533" s="73"/>
      <c r="O1533" s="73"/>
      <c r="P1533" s="73"/>
      <c r="Q1533" s="73"/>
      <c r="R1533" s="73"/>
      <c r="S1533" s="73"/>
      <c r="T1533" s="73"/>
      <c r="U1533" s="73"/>
      <c r="V1533" s="73"/>
      <c r="W1533" s="73"/>
      <c r="X1533" s="73"/>
      <c r="Y1533" s="73"/>
      <c r="Z1533" s="73"/>
      <c r="AA1533" s="73"/>
      <c r="AB1533" s="73"/>
    </row>
    <row r="1534">
      <c r="A1534" s="73"/>
      <c r="B1534" s="73">
        <v>227743.6529</v>
      </c>
      <c r="C1534" s="73">
        <v>3.65219944255314E7</v>
      </c>
      <c r="D1534" s="73">
        <v>8165535.89999878</v>
      </c>
      <c r="E1534" s="73">
        <v>1718843.12530915</v>
      </c>
      <c r="F1534" s="73"/>
      <c r="G1534" s="73"/>
      <c r="H1534" s="73"/>
      <c r="I1534" s="73"/>
      <c r="J1534" s="73"/>
      <c r="K1534" s="73"/>
      <c r="L1534" s="73"/>
      <c r="M1534" s="73"/>
      <c r="N1534" s="73"/>
      <c r="O1534" s="73"/>
      <c r="P1534" s="73"/>
      <c r="Q1534" s="73"/>
      <c r="R1534" s="73"/>
      <c r="S1534" s="73"/>
      <c r="T1534" s="73"/>
      <c r="U1534" s="73"/>
      <c r="V1534" s="73"/>
      <c r="W1534" s="73"/>
      <c r="X1534" s="73"/>
      <c r="Y1534" s="73"/>
      <c r="Z1534" s="73"/>
      <c r="AA1534" s="73"/>
      <c r="AB1534" s="73"/>
    </row>
    <row r="1535">
      <c r="A1535" s="73"/>
      <c r="B1535" s="73">
        <v>228160.1395</v>
      </c>
      <c r="C1535" s="73">
        <v>3.65869009037285E7</v>
      </c>
      <c r="D1535" s="73">
        <v>8187665.6399997</v>
      </c>
      <c r="E1535" s="73">
        <v>1721951.58563535</v>
      </c>
      <c r="F1535" s="73"/>
      <c r="G1535" s="73"/>
      <c r="H1535" s="73"/>
      <c r="I1535" s="73"/>
      <c r="J1535" s="73"/>
      <c r="K1535" s="73"/>
      <c r="L1535" s="73"/>
      <c r="M1535" s="73"/>
      <c r="N1535" s="73"/>
      <c r="O1535" s="73"/>
      <c r="P1535" s="73"/>
      <c r="Q1535" s="73"/>
      <c r="R1535" s="73"/>
      <c r="S1535" s="73"/>
      <c r="T1535" s="73"/>
      <c r="U1535" s="73"/>
      <c r="V1535" s="73"/>
      <c r="W1535" s="73"/>
      <c r="X1535" s="73"/>
      <c r="Y1535" s="73"/>
      <c r="Z1535" s="73"/>
      <c r="AA1535" s="73"/>
      <c r="AB1535" s="73"/>
    </row>
    <row r="1536">
      <c r="A1536" s="73"/>
      <c r="B1536" s="73">
        <v>228577.4514</v>
      </c>
      <c r="C1536" s="73">
        <v>3.66518897819233E7</v>
      </c>
      <c r="D1536" s="73">
        <v>8209833.1279968</v>
      </c>
      <c r="E1536" s="73">
        <v>1725063.88440685</v>
      </c>
      <c r="F1536" s="73"/>
      <c r="G1536" s="73"/>
      <c r="H1536" s="73"/>
      <c r="I1536" s="73"/>
      <c r="J1536" s="73"/>
      <c r="K1536" s="73"/>
      <c r="L1536" s="73"/>
      <c r="M1536" s="73"/>
      <c r="N1536" s="73"/>
      <c r="O1536" s="73"/>
      <c r="P1536" s="73"/>
      <c r="Q1536" s="73"/>
      <c r="R1536" s="73"/>
      <c r="S1536" s="73"/>
      <c r="T1536" s="73"/>
      <c r="U1536" s="73"/>
      <c r="V1536" s="73"/>
      <c r="W1536" s="73"/>
      <c r="X1536" s="73"/>
      <c r="Y1536" s="73"/>
      <c r="Z1536" s="73"/>
      <c r="AA1536" s="73"/>
      <c r="AB1536" s="73"/>
    </row>
    <row r="1537">
      <c r="A1537" s="73"/>
      <c r="B1537" s="73">
        <v>228995.5946</v>
      </c>
      <c r="C1537" s="73">
        <v>3.67169445801163E7</v>
      </c>
      <c r="D1537" s="73">
        <v>8232040.86999771</v>
      </c>
      <c r="E1537" s="73">
        <v>1728180.02327988</v>
      </c>
      <c r="F1537" s="73"/>
      <c r="G1537" s="73"/>
      <c r="H1537" s="73"/>
      <c r="I1537" s="73"/>
      <c r="J1537" s="73"/>
      <c r="K1537" s="73"/>
      <c r="L1537" s="73"/>
      <c r="M1537" s="73"/>
      <c r="N1537" s="73"/>
      <c r="O1537" s="73"/>
      <c r="P1537" s="73"/>
      <c r="Q1537" s="73"/>
      <c r="R1537" s="73"/>
      <c r="S1537" s="73"/>
      <c r="T1537" s="73"/>
      <c r="U1537" s="73"/>
      <c r="V1537" s="73"/>
      <c r="W1537" s="73"/>
      <c r="X1537" s="73"/>
      <c r="Y1537" s="73"/>
      <c r="Z1537" s="73"/>
      <c r="AA1537" s="73"/>
      <c r="AB1537" s="73"/>
    </row>
    <row r="1538">
      <c r="A1538" s="73"/>
      <c r="B1538" s="73">
        <v>229414.5654</v>
      </c>
      <c r="C1538" s="73">
        <v>3.6782081778307E7</v>
      </c>
      <c r="D1538" s="73">
        <v>8254286.99999863</v>
      </c>
      <c r="E1538" s="73">
        <v>1731300.1718147</v>
      </c>
      <c r="F1538" s="73"/>
      <c r="G1538" s="73"/>
      <c r="H1538" s="73"/>
      <c r="I1538" s="73"/>
      <c r="J1538" s="73"/>
      <c r="K1538" s="73"/>
      <c r="L1538" s="73"/>
      <c r="M1538" s="73"/>
      <c r="N1538" s="73"/>
      <c r="O1538" s="73"/>
      <c r="P1538" s="73"/>
      <c r="Q1538" s="73"/>
      <c r="R1538" s="73"/>
      <c r="S1538" s="73"/>
      <c r="T1538" s="73"/>
      <c r="U1538" s="73"/>
      <c r="V1538" s="73"/>
      <c r="W1538" s="73"/>
      <c r="X1538" s="73"/>
      <c r="Y1538" s="73"/>
      <c r="Z1538" s="73"/>
      <c r="AA1538" s="73"/>
      <c r="AB1538" s="73"/>
    </row>
    <row r="1539">
      <c r="A1539" s="73"/>
      <c r="B1539" s="73">
        <v>229834.3698</v>
      </c>
      <c r="C1539" s="73">
        <v>3.68472848964958E7</v>
      </c>
      <c r="D1539" s="73">
        <v>8276572.10399954</v>
      </c>
      <c r="E1539" s="73">
        <v>1734424.12136357</v>
      </c>
      <c r="F1539" s="73"/>
      <c r="G1539" s="73"/>
      <c r="H1539" s="73"/>
      <c r="I1539" s="73"/>
      <c r="J1539" s="73"/>
      <c r="K1539" s="73"/>
      <c r="L1539" s="73"/>
      <c r="M1539" s="73"/>
      <c r="N1539" s="73"/>
      <c r="O1539" s="73"/>
      <c r="P1539" s="73"/>
      <c r="Q1539" s="73"/>
      <c r="R1539" s="73"/>
      <c r="S1539" s="73"/>
      <c r="T1539" s="73"/>
      <c r="U1539" s="73"/>
      <c r="V1539" s="73"/>
      <c r="W1539" s="73"/>
      <c r="X1539" s="73"/>
      <c r="Y1539" s="73"/>
      <c r="Z1539" s="73"/>
      <c r="AA1539" s="73"/>
      <c r="AB1539" s="73"/>
    </row>
    <row r="1540">
      <c r="A1540" s="73"/>
      <c r="B1540" s="73">
        <v>230254.9988</v>
      </c>
      <c r="C1540" s="73">
        <v>3.69125621746826E7</v>
      </c>
      <c r="D1540" s="73">
        <v>8298896.85600046</v>
      </c>
      <c r="E1540" s="73">
        <v>1737551.99912647</v>
      </c>
      <c r="F1540" s="73"/>
      <c r="G1540" s="73"/>
      <c r="H1540" s="73"/>
      <c r="I1540" s="73"/>
      <c r="J1540" s="73"/>
      <c r="K1540" s="73"/>
      <c r="L1540" s="73"/>
      <c r="M1540" s="73"/>
      <c r="N1540" s="73"/>
      <c r="O1540" s="73"/>
      <c r="P1540" s="73"/>
      <c r="Q1540" s="73"/>
      <c r="R1540" s="73"/>
      <c r="S1540" s="73"/>
      <c r="T1540" s="73"/>
      <c r="U1540" s="73"/>
      <c r="V1540" s="73"/>
      <c r="W1540" s="73"/>
      <c r="X1540" s="73"/>
      <c r="Y1540" s="73"/>
      <c r="Z1540" s="73"/>
      <c r="AA1540" s="73"/>
      <c r="AB1540" s="73"/>
    </row>
    <row r="1541">
      <c r="A1541" s="73"/>
      <c r="B1541" s="73">
        <v>230676.4635</v>
      </c>
      <c r="C1541" s="73">
        <v>3.69779136128674E7</v>
      </c>
      <c r="D1541" s="73">
        <v>8321261.24199756</v>
      </c>
      <c r="E1541" s="73">
        <v>1740683.67624717</v>
      </c>
      <c r="F1541" s="73"/>
      <c r="G1541" s="73"/>
      <c r="H1541" s="73"/>
      <c r="I1541" s="73"/>
      <c r="J1541" s="73"/>
      <c r="K1541" s="73"/>
      <c r="L1541" s="73"/>
      <c r="M1541" s="73"/>
      <c r="N1541" s="73"/>
      <c r="O1541" s="73"/>
      <c r="P1541" s="73"/>
      <c r="Q1541" s="73"/>
      <c r="R1541" s="73"/>
      <c r="S1541" s="73"/>
      <c r="T1541" s="73"/>
      <c r="U1541" s="73"/>
      <c r="V1541" s="73"/>
      <c r="W1541" s="73"/>
      <c r="X1541" s="73"/>
      <c r="Y1541" s="73"/>
      <c r="Z1541" s="73"/>
      <c r="AA1541" s="73"/>
      <c r="AB1541" s="73"/>
    </row>
    <row r="1542">
      <c r="A1542" s="73"/>
      <c r="B1542" s="73">
        <v>231098.7649</v>
      </c>
      <c r="C1542" s="73">
        <v>3.704333921105E7</v>
      </c>
      <c r="D1542" s="73">
        <v>8343664.63599847</v>
      </c>
      <c r="E1542" s="73">
        <v>1743819.3679984</v>
      </c>
      <c r="F1542" s="73"/>
      <c r="G1542" s="73"/>
      <c r="H1542" s="73"/>
      <c r="I1542" s="73"/>
      <c r="J1542" s="73"/>
      <c r="K1542" s="73"/>
      <c r="L1542" s="73"/>
      <c r="M1542" s="73"/>
      <c r="N1542" s="73"/>
      <c r="O1542" s="73"/>
      <c r="P1542" s="73"/>
      <c r="Q1542" s="73"/>
      <c r="R1542" s="73"/>
      <c r="S1542" s="73"/>
      <c r="T1542" s="73"/>
      <c r="U1542" s="73"/>
      <c r="V1542" s="73"/>
      <c r="W1542" s="73"/>
      <c r="X1542" s="73"/>
      <c r="Y1542" s="73"/>
      <c r="Z1542" s="73"/>
      <c r="AA1542" s="73"/>
      <c r="AB1542" s="73"/>
    </row>
    <row r="1543">
      <c r="A1543" s="73"/>
      <c r="B1543" s="73">
        <v>231521.894</v>
      </c>
      <c r="C1543" s="73">
        <v>3.71088389692307E7</v>
      </c>
      <c r="D1543" s="73">
        <v>8366107.02199939</v>
      </c>
      <c r="E1543" s="73">
        <v>1746958.90316367</v>
      </c>
      <c r="F1543" s="73"/>
      <c r="G1543" s="73"/>
      <c r="H1543" s="73"/>
      <c r="I1543" s="73"/>
      <c r="J1543" s="73"/>
      <c r="K1543" s="73"/>
      <c r="L1543" s="73"/>
      <c r="M1543" s="73"/>
      <c r="N1543" s="73"/>
      <c r="O1543" s="73"/>
      <c r="P1543" s="73"/>
      <c r="Q1543" s="73"/>
      <c r="R1543" s="73"/>
      <c r="S1543" s="73"/>
      <c r="T1543" s="73"/>
      <c r="U1543" s="73"/>
      <c r="V1543" s="73"/>
      <c r="W1543" s="73"/>
      <c r="X1543" s="73"/>
      <c r="Y1543" s="73"/>
      <c r="Z1543" s="73"/>
      <c r="AA1543" s="73"/>
      <c r="AB1543" s="73"/>
    </row>
    <row r="1544">
      <c r="A1544" s="73"/>
      <c r="B1544" s="73">
        <v>231945.8617</v>
      </c>
      <c r="C1544" s="73">
        <v>3.71744046474094E7</v>
      </c>
      <c r="D1544" s="73">
        <v>8388589.0400003</v>
      </c>
      <c r="E1544" s="73">
        <v>1750102.28505548</v>
      </c>
      <c r="F1544" s="73"/>
      <c r="G1544" s="73"/>
      <c r="H1544" s="73"/>
      <c r="I1544" s="73"/>
      <c r="J1544" s="73"/>
      <c r="K1544" s="73"/>
      <c r="L1544" s="73"/>
      <c r="M1544" s="73"/>
      <c r="N1544" s="73"/>
      <c r="O1544" s="73"/>
      <c r="P1544" s="73"/>
      <c r="Q1544" s="73"/>
      <c r="R1544" s="73"/>
      <c r="S1544" s="73"/>
      <c r="T1544" s="73"/>
      <c r="U1544" s="73"/>
      <c r="V1544" s="73"/>
      <c r="W1544" s="73"/>
      <c r="X1544" s="73"/>
      <c r="Y1544" s="73"/>
      <c r="Z1544" s="73"/>
      <c r="AA1544" s="73"/>
      <c r="AB1544" s="73"/>
    </row>
    <row r="1545">
      <c r="A1545" s="73"/>
      <c r="B1545" s="73">
        <v>232370.669</v>
      </c>
      <c r="C1545" s="73">
        <v>3.72400527255859E7</v>
      </c>
      <c r="D1545" s="73">
        <v>8411110.70799741</v>
      </c>
      <c r="E1545" s="73">
        <v>1753249.63917784</v>
      </c>
      <c r="F1545" s="73"/>
      <c r="G1545" s="73"/>
      <c r="H1545" s="73"/>
      <c r="I1545" s="73"/>
      <c r="J1545" s="73"/>
      <c r="K1545" s="73"/>
      <c r="L1545" s="73"/>
      <c r="M1545" s="73"/>
      <c r="N1545" s="73"/>
      <c r="O1545" s="73"/>
      <c r="P1545" s="73"/>
      <c r="Q1545" s="73"/>
      <c r="R1545" s="73"/>
      <c r="S1545" s="73"/>
      <c r="T1545" s="73"/>
      <c r="U1545" s="73"/>
      <c r="V1545" s="73"/>
      <c r="W1545" s="73"/>
      <c r="X1545" s="73"/>
      <c r="Y1545" s="73"/>
      <c r="Z1545" s="73"/>
      <c r="AA1545" s="73"/>
      <c r="AB1545" s="73"/>
    </row>
    <row r="1546">
      <c r="A1546" s="73"/>
      <c r="B1546" s="73">
        <v>232796.3069</v>
      </c>
      <c r="C1546" s="73">
        <v>3.73057667237606E7</v>
      </c>
      <c r="D1546" s="73">
        <v>8433671.36599832</v>
      </c>
      <c r="E1546" s="73">
        <v>1756400.75692273</v>
      </c>
      <c r="F1546" s="73"/>
      <c r="G1546" s="73"/>
      <c r="H1546" s="73"/>
      <c r="I1546" s="73"/>
      <c r="J1546" s="73"/>
      <c r="K1546" s="73"/>
      <c r="L1546" s="73"/>
      <c r="M1546" s="73"/>
      <c r="N1546" s="73"/>
      <c r="O1546" s="73"/>
      <c r="P1546" s="73"/>
      <c r="Q1546" s="73"/>
      <c r="R1546" s="73"/>
      <c r="S1546" s="73"/>
      <c r="T1546" s="73"/>
      <c r="U1546" s="73"/>
      <c r="V1546" s="73"/>
      <c r="W1546" s="73"/>
      <c r="X1546" s="73"/>
      <c r="Y1546" s="73"/>
      <c r="Z1546" s="73"/>
      <c r="AA1546" s="73"/>
      <c r="AB1546" s="73"/>
    </row>
    <row r="1547">
      <c r="A1547" s="73"/>
      <c r="B1547" s="73">
        <v>233222.7911</v>
      </c>
      <c r="C1547" s="73">
        <v>3.73715548819332E7</v>
      </c>
      <c r="D1547" s="73">
        <v>8456271.67599924</v>
      </c>
      <c r="E1547" s="73">
        <v>1759555.84855442</v>
      </c>
      <c r="F1547" s="73"/>
      <c r="G1547" s="73"/>
      <c r="H1547" s="73"/>
      <c r="I1547" s="73"/>
      <c r="J1547" s="73"/>
      <c r="K1547" s="73"/>
      <c r="L1547" s="73"/>
      <c r="M1547" s="73"/>
      <c r="N1547" s="73"/>
      <c r="O1547" s="73"/>
      <c r="P1547" s="73"/>
      <c r="Q1547" s="73"/>
      <c r="R1547" s="73"/>
      <c r="S1547" s="73"/>
      <c r="T1547" s="73"/>
      <c r="U1547" s="73"/>
      <c r="V1547" s="73"/>
      <c r="W1547" s="73"/>
      <c r="X1547" s="73"/>
      <c r="Y1547" s="73"/>
      <c r="Z1547" s="73"/>
      <c r="AA1547" s="73"/>
      <c r="AB1547" s="73"/>
    </row>
    <row r="1548">
      <c r="A1548" s="73"/>
      <c r="B1548" s="73">
        <v>233650.1077</v>
      </c>
      <c r="C1548" s="73">
        <v>3.74374254401035E7</v>
      </c>
      <c r="D1548" s="73">
        <v>8478910.95800015</v>
      </c>
      <c r="E1548" s="73">
        <v>1762714.91407289</v>
      </c>
      <c r="F1548" s="73"/>
      <c r="G1548" s="73"/>
      <c r="H1548" s="73"/>
      <c r="I1548" s="73"/>
      <c r="J1548" s="73"/>
      <c r="K1548" s="73"/>
      <c r="L1548" s="73"/>
      <c r="M1548" s="73"/>
      <c r="N1548" s="73"/>
      <c r="O1548" s="73"/>
      <c r="P1548" s="73"/>
      <c r="Q1548" s="73"/>
      <c r="R1548" s="73"/>
      <c r="S1548" s="73"/>
      <c r="T1548" s="73"/>
      <c r="U1548" s="73"/>
      <c r="V1548" s="73"/>
      <c r="W1548" s="73"/>
      <c r="X1548" s="73"/>
      <c r="Y1548" s="73"/>
      <c r="Z1548" s="73"/>
      <c r="AA1548" s="73"/>
      <c r="AB1548" s="73"/>
    </row>
    <row r="1549">
      <c r="A1549" s="73"/>
      <c r="B1549" s="73">
        <v>234078.2674</v>
      </c>
      <c r="C1549" s="73">
        <v>3.75033536782722E7</v>
      </c>
      <c r="D1549" s="73">
        <v>8501590.56799725</v>
      </c>
      <c r="E1549" s="73">
        <v>1765877.82797415</v>
      </c>
      <c r="F1549" s="73"/>
      <c r="G1549" s="73"/>
      <c r="H1549" s="73"/>
      <c r="I1549" s="73"/>
      <c r="J1549" s="73"/>
      <c r="K1549" s="73"/>
      <c r="L1549" s="73"/>
      <c r="M1549" s="73"/>
      <c r="N1549" s="73"/>
      <c r="O1549" s="73"/>
      <c r="P1549" s="73"/>
      <c r="Q1549" s="73"/>
      <c r="R1549" s="73"/>
      <c r="S1549" s="73"/>
      <c r="T1549" s="73"/>
      <c r="U1549" s="73"/>
      <c r="V1549" s="73"/>
      <c r="W1549" s="73"/>
      <c r="X1549" s="73"/>
      <c r="Y1549" s="73"/>
      <c r="Z1549" s="73"/>
      <c r="AA1549" s="73"/>
      <c r="AB1549" s="73"/>
    </row>
    <row r="1550">
      <c r="A1550" s="73"/>
      <c r="B1550" s="73">
        <v>234507.2713</v>
      </c>
      <c r="C1550" s="73">
        <v>3.75693725564384E7</v>
      </c>
      <c r="D1550" s="73">
        <v>8524309.13199817</v>
      </c>
      <c r="E1550" s="73">
        <v>1769044.63431445</v>
      </c>
      <c r="F1550" s="73"/>
      <c r="G1550" s="73"/>
      <c r="H1550" s="73"/>
      <c r="I1550" s="73"/>
      <c r="J1550" s="73"/>
      <c r="K1550" s="73"/>
      <c r="L1550" s="73"/>
      <c r="M1550" s="73"/>
      <c r="N1550" s="73"/>
      <c r="O1550" s="73"/>
      <c r="P1550" s="73"/>
      <c r="Q1550" s="73"/>
      <c r="R1550" s="73"/>
      <c r="S1550" s="73"/>
      <c r="T1550" s="73"/>
      <c r="U1550" s="73"/>
      <c r="V1550" s="73"/>
      <c r="W1550" s="73"/>
      <c r="X1550" s="73"/>
      <c r="Y1550" s="73"/>
      <c r="Z1550" s="73"/>
      <c r="AA1550" s="73"/>
      <c r="AB1550" s="73"/>
    </row>
    <row r="1551">
      <c r="A1551" s="73"/>
      <c r="B1551" s="73">
        <v>234937.115</v>
      </c>
      <c r="C1551" s="73">
        <v>3.7635449114603E7</v>
      </c>
      <c r="D1551" s="73">
        <v>8547067.36399908</v>
      </c>
      <c r="E1551" s="73">
        <v>1772215.37545404</v>
      </c>
      <c r="F1551" s="73"/>
      <c r="G1551" s="73"/>
      <c r="H1551" s="73"/>
      <c r="I1551" s="73"/>
      <c r="J1551" s="73"/>
      <c r="K1551" s="73"/>
      <c r="L1551" s="73"/>
      <c r="M1551" s="73"/>
      <c r="N1551" s="73"/>
      <c r="O1551" s="73"/>
      <c r="P1551" s="73"/>
      <c r="Q1551" s="73"/>
      <c r="R1551" s="73"/>
      <c r="S1551" s="73"/>
      <c r="T1551" s="73"/>
      <c r="U1551" s="73"/>
      <c r="V1551" s="73"/>
      <c r="W1551" s="73"/>
      <c r="X1551" s="73"/>
      <c r="Y1551" s="73"/>
      <c r="Z1551" s="73"/>
      <c r="AA1551" s="73"/>
      <c r="AB1551" s="73"/>
    </row>
    <row r="1552">
      <c r="A1552" s="73"/>
      <c r="B1552" s="73">
        <v>235367.7994</v>
      </c>
      <c r="C1552" s="73">
        <v>3.77016080727654E7</v>
      </c>
      <c r="D1552" s="73">
        <v>8569865.21</v>
      </c>
      <c r="E1552" s="73">
        <v>1775390.05143266</v>
      </c>
      <c r="F1552" s="73"/>
      <c r="G1552" s="73"/>
      <c r="H1552" s="73"/>
      <c r="I1552" s="73"/>
      <c r="J1552" s="73"/>
      <c r="K1552" s="73"/>
      <c r="L1552" s="73"/>
      <c r="M1552" s="73"/>
      <c r="N1552" s="73"/>
      <c r="O1552" s="73"/>
      <c r="P1552" s="73"/>
      <c r="Q1552" s="73"/>
      <c r="R1552" s="73"/>
      <c r="S1552" s="73"/>
      <c r="T1552" s="73"/>
      <c r="U1552" s="73"/>
      <c r="V1552" s="73"/>
      <c r="W1552" s="73"/>
      <c r="X1552" s="73"/>
      <c r="Y1552" s="73"/>
      <c r="Z1552" s="73"/>
      <c r="AA1552" s="73"/>
      <c r="AB1552" s="73"/>
    </row>
    <row r="1553">
      <c r="A1553" s="73"/>
      <c r="B1553" s="73">
        <v>235799.3304</v>
      </c>
      <c r="C1553" s="73">
        <v>3.77678411909256E7</v>
      </c>
      <c r="D1553" s="73">
        <v>8592702.7239971</v>
      </c>
      <c r="E1553" s="73">
        <v>1778568.53836283</v>
      </c>
      <c r="F1553" s="73"/>
      <c r="G1553" s="73"/>
      <c r="H1553" s="73"/>
      <c r="I1553" s="73"/>
      <c r="J1553" s="73"/>
      <c r="K1553" s="73"/>
      <c r="L1553" s="73"/>
      <c r="M1553" s="73"/>
      <c r="N1553" s="73"/>
      <c r="O1553" s="73"/>
      <c r="P1553" s="73"/>
      <c r="Q1553" s="73"/>
      <c r="R1553" s="73"/>
      <c r="S1553" s="73"/>
      <c r="T1553" s="73"/>
      <c r="U1553" s="73"/>
      <c r="V1553" s="73"/>
      <c r="W1553" s="73"/>
      <c r="X1553" s="73"/>
      <c r="Y1553" s="73"/>
      <c r="Z1553" s="73"/>
      <c r="AA1553" s="73"/>
      <c r="AB1553" s="73"/>
    </row>
    <row r="1554">
      <c r="A1554" s="73"/>
      <c r="B1554" s="73">
        <v>236231.7037</v>
      </c>
      <c r="C1554" s="73">
        <v>3.78341484690838E7</v>
      </c>
      <c r="D1554" s="73">
        <v>8615579.86999802</v>
      </c>
      <c r="E1554" s="73">
        <v>1781751.00249229</v>
      </c>
      <c r="F1554" s="73"/>
      <c r="G1554" s="73"/>
      <c r="H1554" s="73"/>
      <c r="I1554" s="73"/>
      <c r="J1554" s="73"/>
      <c r="K1554" s="73"/>
      <c r="L1554" s="73"/>
      <c r="M1554" s="73"/>
      <c r="N1554" s="73"/>
      <c r="O1554" s="73"/>
      <c r="P1554" s="73"/>
      <c r="Q1554" s="73"/>
      <c r="R1554" s="73"/>
      <c r="S1554" s="73"/>
      <c r="T1554" s="73"/>
      <c r="U1554" s="73"/>
      <c r="V1554" s="73"/>
      <c r="W1554" s="73"/>
      <c r="X1554" s="73"/>
      <c r="Y1554" s="73"/>
      <c r="Z1554" s="73"/>
      <c r="AA1554" s="73"/>
      <c r="AB1554" s="73"/>
    </row>
    <row r="1555">
      <c r="A1555" s="73"/>
      <c r="B1555" s="73">
        <v>236664.9251</v>
      </c>
      <c r="C1555" s="73">
        <v>3.79005216672401E7</v>
      </c>
      <c r="D1555" s="73">
        <v>8638496.62799893</v>
      </c>
      <c r="E1555" s="73">
        <v>1784937.44547728</v>
      </c>
      <c r="F1555" s="73"/>
      <c r="G1555" s="73"/>
      <c r="H1555" s="73"/>
      <c r="I1555" s="73"/>
      <c r="J1555" s="73"/>
      <c r="K1555" s="73"/>
      <c r="L1555" s="73"/>
      <c r="M1555" s="73"/>
      <c r="N1555" s="73"/>
      <c r="O1555" s="73"/>
      <c r="P1555" s="73"/>
      <c r="Q1555" s="73"/>
      <c r="R1555" s="73"/>
      <c r="S1555" s="73"/>
      <c r="T1555" s="73"/>
      <c r="U1555" s="73"/>
      <c r="V1555" s="73"/>
      <c r="W1555" s="73"/>
      <c r="X1555" s="73"/>
      <c r="Y1555" s="73"/>
      <c r="Z1555" s="73"/>
      <c r="AA1555" s="73"/>
      <c r="AB1555" s="73"/>
    </row>
    <row r="1556">
      <c r="A1556" s="73"/>
      <c r="B1556" s="73">
        <v>237098.9904</v>
      </c>
      <c r="C1556" s="73">
        <v>3.79669772653942E7</v>
      </c>
      <c r="D1556" s="73">
        <v>8661453.05599985</v>
      </c>
      <c r="E1556" s="73">
        <v>1788127.66036607</v>
      </c>
      <c r="F1556" s="73"/>
      <c r="G1556" s="73"/>
      <c r="H1556" s="73"/>
      <c r="I1556" s="73"/>
      <c r="J1556" s="73"/>
      <c r="K1556" s="73"/>
      <c r="L1556" s="73"/>
      <c r="M1556" s="73"/>
      <c r="N1556" s="73"/>
      <c r="O1556" s="73"/>
      <c r="P1556" s="73"/>
      <c r="Q1556" s="73"/>
      <c r="R1556" s="73"/>
      <c r="S1556" s="73"/>
      <c r="T1556" s="73"/>
      <c r="U1556" s="73"/>
      <c r="V1556" s="73"/>
      <c r="W1556" s="73"/>
      <c r="X1556" s="73"/>
      <c r="Y1556" s="73"/>
      <c r="Z1556" s="73"/>
      <c r="AA1556" s="73"/>
      <c r="AB1556" s="73"/>
    </row>
    <row r="1557">
      <c r="A1557" s="73"/>
      <c r="B1557" s="73">
        <v>237533.9053</v>
      </c>
      <c r="C1557" s="73">
        <v>3.80334987835464E7</v>
      </c>
      <c r="D1557" s="73">
        <v>8684449.75399695</v>
      </c>
      <c r="E1557" s="73">
        <v>1791321.85576664</v>
      </c>
      <c r="F1557" s="73"/>
      <c r="G1557" s="73"/>
      <c r="H1557" s="73"/>
      <c r="I1557" s="73"/>
      <c r="J1557" s="73"/>
      <c r="K1557" s="73"/>
      <c r="L1557" s="73"/>
      <c r="M1557" s="73"/>
      <c r="N1557" s="73"/>
      <c r="O1557" s="73"/>
      <c r="P1557" s="73"/>
      <c r="Q1557" s="73"/>
      <c r="R1557" s="73"/>
      <c r="S1557" s="73"/>
      <c r="T1557" s="73"/>
      <c r="U1557" s="73"/>
      <c r="V1557" s="73"/>
      <c r="W1557" s="73"/>
      <c r="X1557" s="73"/>
      <c r="Y1557" s="73"/>
      <c r="Z1557" s="73"/>
      <c r="AA1557" s="73"/>
      <c r="AB1557" s="73"/>
    </row>
    <row r="1558">
      <c r="A1558" s="73"/>
      <c r="B1558" s="73">
        <v>237969.6707</v>
      </c>
      <c r="C1558" s="73">
        <v>3.81001027016964E7</v>
      </c>
      <c r="D1558" s="73">
        <v>8707486.10399786</v>
      </c>
      <c r="E1558" s="73">
        <v>1794519.98762275</v>
      </c>
      <c r="F1558" s="73"/>
      <c r="G1558" s="73"/>
      <c r="H1558" s="73"/>
      <c r="I1558" s="73"/>
      <c r="J1558" s="73"/>
      <c r="K1558" s="73"/>
      <c r="L1558" s="73"/>
      <c r="M1558" s="73"/>
      <c r="N1558" s="73"/>
      <c r="O1558" s="73"/>
      <c r="P1558" s="73"/>
      <c r="Q1558" s="73"/>
      <c r="R1558" s="73"/>
      <c r="S1558" s="73"/>
      <c r="T1558" s="73"/>
      <c r="U1558" s="73"/>
      <c r="V1558" s="73"/>
      <c r="W1558" s="73"/>
      <c r="X1558" s="73"/>
      <c r="Y1558" s="73"/>
      <c r="Z1558" s="73"/>
      <c r="AA1558" s="73"/>
      <c r="AB1558" s="73"/>
    </row>
    <row r="1559">
      <c r="A1559" s="73"/>
      <c r="B1559" s="73">
        <v>238406.2822</v>
      </c>
      <c r="C1559" s="73">
        <v>3.81667725398445E7</v>
      </c>
      <c r="D1559" s="73">
        <v>8730562.08399878</v>
      </c>
      <c r="E1559" s="73">
        <v>1797722.0185429</v>
      </c>
      <c r="F1559" s="73"/>
      <c r="G1559" s="73"/>
      <c r="H1559" s="73"/>
      <c r="I1559" s="73"/>
      <c r="J1559" s="73"/>
      <c r="K1559" s="73"/>
      <c r="L1559" s="73"/>
      <c r="M1559" s="73"/>
      <c r="N1559" s="73"/>
      <c r="O1559" s="73"/>
      <c r="P1559" s="73"/>
      <c r="Q1559" s="73"/>
      <c r="R1559" s="73"/>
      <c r="S1559" s="73"/>
      <c r="T1559" s="73"/>
      <c r="U1559" s="73"/>
      <c r="V1559" s="73"/>
      <c r="W1559" s="73"/>
      <c r="X1559" s="73"/>
      <c r="Y1559" s="73"/>
      <c r="Z1559" s="73"/>
      <c r="AA1559" s="73"/>
      <c r="AB1559" s="73"/>
    </row>
    <row r="1560">
      <c r="A1560" s="73"/>
      <c r="B1560" s="73">
        <v>238843.7406</v>
      </c>
      <c r="C1560" s="73">
        <v>3.82335165379906E7</v>
      </c>
      <c r="D1560" s="73">
        <v>8753677.7139997</v>
      </c>
      <c r="E1560" s="73">
        <v>1800928.03163108</v>
      </c>
      <c r="F1560" s="73"/>
      <c r="G1560" s="73"/>
      <c r="H1560" s="73"/>
      <c r="I1560" s="73"/>
      <c r="J1560" s="73"/>
      <c r="K1560" s="73"/>
      <c r="L1560" s="73"/>
      <c r="M1560" s="73"/>
      <c r="N1560" s="73"/>
      <c r="O1560" s="73"/>
      <c r="P1560" s="73"/>
      <c r="Q1560" s="73"/>
      <c r="R1560" s="73"/>
      <c r="S1560" s="73"/>
      <c r="T1560" s="73"/>
      <c r="U1560" s="73"/>
      <c r="V1560" s="73"/>
      <c r="W1560" s="73"/>
      <c r="X1560" s="73"/>
      <c r="Y1560" s="73"/>
      <c r="Z1560" s="73"/>
      <c r="AA1560" s="73"/>
      <c r="AB1560" s="73"/>
    </row>
    <row r="1561">
      <c r="A1561" s="73"/>
      <c r="B1561" s="73">
        <v>239282.0565</v>
      </c>
      <c r="C1561" s="73">
        <v>3.83003346961346E7</v>
      </c>
      <c r="D1561" s="73">
        <v>8776832.9759968</v>
      </c>
      <c r="E1561" s="73">
        <v>1804137.90303956</v>
      </c>
      <c r="F1561" s="73"/>
      <c r="G1561" s="73"/>
      <c r="H1561" s="73"/>
      <c r="I1561" s="73"/>
      <c r="J1561" s="73"/>
      <c r="K1561" s="73"/>
      <c r="L1561" s="73"/>
      <c r="M1561" s="73"/>
      <c r="N1561" s="73"/>
      <c r="O1561" s="73"/>
      <c r="P1561" s="73"/>
      <c r="Q1561" s="73"/>
      <c r="R1561" s="73"/>
      <c r="S1561" s="73"/>
      <c r="T1561" s="73"/>
      <c r="U1561" s="73"/>
      <c r="V1561" s="73"/>
      <c r="W1561" s="73"/>
      <c r="X1561" s="73"/>
      <c r="Y1561" s="73"/>
      <c r="Z1561" s="73"/>
      <c r="AA1561" s="73"/>
      <c r="AB1561" s="73"/>
    </row>
    <row r="1562">
      <c r="A1562" s="73"/>
      <c r="B1562" s="73">
        <v>239721.2157</v>
      </c>
      <c r="C1562" s="73">
        <v>3.83672352542763E7</v>
      </c>
      <c r="D1562" s="73">
        <v>8800029.16799771</v>
      </c>
      <c r="E1562" s="73">
        <v>1807351.67351207</v>
      </c>
      <c r="F1562" s="73"/>
      <c r="G1562" s="73"/>
      <c r="H1562" s="73"/>
      <c r="I1562" s="73"/>
      <c r="J1562" s="73"/>
      <c r="K1562" s="73"/>
      <c r="L1562" s="73"/>
      <c r="M1562" s="73"/>
      <c r="N1562" s="73"/>
      <c r="O1562" s="73"/>
      <c r="P1562" s="73"/>
      <c r="Q1562" s="73"/>
      <c r="R1562" s="73"/>
      <c r="S1562" s="73"/>
      <c r="T1562" s="73"/>
      <c r="U1562" s="73"/>
      <c r="V1562" s="73"/>
      <c r="W1562" s="73"/>
      <c r="X1562" s="73"/>
      <c r="Y1562" s="73"/>
      <c r="Z1562" s="73"/>
      <c r="AA1562" s="73"/>
      <c r="AB1562" s="73"/>
    </row>
    <row r="1563">
      <c r="A1563" s="73"/>
      <c r="B1563" s="73">
        <v>240161.2289</v>
      </c>
      <c r="C1563" s="73">
        <v>3.84342017324162E7</v>
      </c>
      <c r="D1563" s="73">
        <v>8823264.35199863</v>
      </c>
      <c r="E1563" s="73">
        <v>1810569.38706513</v>
      </c>
      <c r="F1563" s="73"/>
      <c r="G1563" s="73"/>
      <c r="H1563" s="73"/>
      <c r="I1563" s="73"/>
      <c r="J1563" s="73"/>
      <c r="K1563" s="73"/>
      <c r="L1563" s="73"/>
      <c r="M1563" s="73"/>
      <c r="N1563" s="73"/>
      <c r="O1563" s="73"/>
      <c r="P1563" s="73"/>
      <c r="Q1563" s="73"/>
      <c r="R1563" s="73"/>
      <c r="S1563" s="73"/>
      <c r="T1563" s="73"/>
      <c r="U1563" s="73"/>
      <c r="V1563" s="73"/>
      <c r="W1563" s="73"/>
      <c r="X1563" s="73"/>
      <c r="Y1563" s="73"/>
      <c r="Z1563" s="73"/>
      <c r="AA1563" s="73"/>
      <c r="AB1563" s="73"/>
    </row>
    <row r="1564">
      <c r="A1564" s="73"/>
      <c r="B1564" s="73">
        <v>240602.0967</v>
      </c>
      <c r="C1564" s="73">
        <v>3.8501242370554E7</v>
      </c>
      <c r="D1564" s="73">
        <v>8846540.46599954</v>
      </c>
      <c r="E1564" s="73">
        <v>1813791.08444246</v>
      </c>
      <c r="F1564" s="73"/>
      <c r="G1564" s="73"/>
      <c r="H1564" s="73"/>
      <c r="I1564" s="73"/>
      <c r="J1564" s="73"/>
      <c r="K1564" s="73"/>
      <c r="L1564" s="73"/>
      <c r="M1564" s="73"/>
      <c r="N1564" s="73"/>
      <c r="O1564" s="73"/>
      <c r="P1564" s="73"/>
      <c r="Q1564" s="73"/>
      <c r="R1564" s="73"/>
      <c r="S1564" s="73"/>
      <c r="T1564" s="73"/>
      <c r="U1564" s="73"/>
      <c r="V1564" s="73"/>
      <c r="W1564" s="73"/>
      <c r="X1564" s="73"/>
      <c r="Y1564" s="73"/>
      <c r="Z1564" s="73"/>
      <c r="AA1564" s="73"/>
      <c r="AB1564" s="73"/>
    </row>
    <row r="1565">
      <c r="A1565" s="73"/>
      <c r="B1565" s="73">
        <v>241043.8199</v>
      </c>
      <c r="C1565" s="73">
        <v>3.85683571686897E7</v>
      </c>
      <c r="D1565" s="73">
        <v>8869855.59000046</v>
      </c>
      <c r="E1565" s="73">
        <v>1817016.64179634</v>
      </c>
      <c r="F1565" s="73"/>
      <c r="G1565" s="73"/>
      <c r="H1565" s="73"/>
      <c r="I1565" s="73"/>
      <c r="J1565" s="73"/>
      <c r="K1565" s="73"/>
      <c r="L1565" s="73"/>
      <c r="M1565" s="73"/>
      <c r="N1565" s="73"/>
      <c r="O1565" s="73"/>
      <c r="P1565" s="73"/>
      <c r="Q1565" s="73"/>
      <c r="R1565" s="73"/>
      <c r="S1565" s="73"/>
      <c r="T1565" s="73"/>
      <c r="U1565" s="73"/>
      <c r="V1565" s="73"/>
      <c r="W1565" s="73"/>
      <c r="X1565" s="73"/>
      <c r="Y1565" s="73"/>
      <c r="Z1565" s="73"/>
      <c r="AA1565" s="73"/>
      <c r="AB1565" s="73"/>
    </row>
    <row r="1566">
      <c r="A1566" s="73"/>
      <c r="B1566" s="73">
        <v>241486.3941</v>
      </c>
      <c r="C1566" s="73">
        <v>3.86355461268234E7</v>
      </c>
      <c r="D1566" s="73">
        <v>8893210.98599756</v>
      </c>
      <c r="E1566" s="73">
        <v>1820246.22703075</v>
      </c>
      <c r="F1566" s="73"/>
      <c r="G1566" s="73"/>
      <c r="H1566" s="73"/>
      <c r="I1566" s="73"/>
      <c r="J1566" s="73"/>
      <c r="K1566" s="73"/>
      <c r="L1566" s="73"/>
      <c r="M1566" s="73"/>
      <c r="N1566" s="73"/>
      <c r="O1566" s="73"/>
      <c r="P1566" s="73"/>
      <c r="Q1566" s="73"/>
      <c r="R1566" s="73"/>
      <c r="S1566" s="73"/>
      <c r="T1566" s="73"/>
      <c r="U1566" s="73"/>
      <c r="V1566" s="73"/>
      <c r="W1566" s="73"/>
      <c r="X1566" s="73"/>
      <c r="Y1566" s="73"/>
      <c r="Z1566" s="73"/>
      <c r="AA1566" s="73"/>
      <c r="AB1566" s="73"/>
    </row>
    <row r="1567">
      <c r="A1567" s="73"/>
      <c r="B1567" s="73">
        <v>241929.8249</v>
      </c>
      <c r="C1567" s="73">
        <v>3.87028092449551E7</v>
      </c>
      <c r="D1567" s="73">
        <v>8916606.65199848</v>
      </c>
      <c r="E1567" s="73">
        <v>1823479.67555421</v>
      </c>
      <c r="F1567" s="73"/>
      <c r="G1567" s="73"/>
      <c r="H1567" s="73"/>
      <c r="I1567" s="73"/>
      <c r="J1567" s="73"/>
      <c r="K1567" s="73"/>
      <c r="L1567" s="73"/>
      <c r="M1567" s="73"/>
      <c r="N1567" s="73"/>
      <c r="O1567" s="73"/>
      <c r="P1567" s="73"/>
      <c r="Q1567" s="73"/>
      <c r="R1567" s="73"/>
      <c r="S1567" s="73"/>
      <c r="T1567" s="73"/>
      <c r="U1567" s="73"/>
      <c r="V1567" s="73"/>
      <c r="W1567" s="73"/>
      <c r="X1567" s="73"/>
      <c r="Y1567" s="73"/>
      <c r="Z1567" s="73"/>
      <c r="AA1567" s="73"/>
      <c r="AB1567" s="73"/>
    </row>
    <row r="1568">
      <c r="A1568" s="73"/>
      <c r="B1568" s="73">
        <v>242374.113</v>
      </c>
      <c r="C1568" s="73">
        <v>3.87701465230846E7</v>
      </c>
      <c r="D1568" s="73">
        <v>8940042.60999939</v>
      </c>
      <c r="E1568" s="73">
        <v>1826717.0671582</v>
      </c>
      <c r="F1568" s="73"/>
      <c r="G1568" s="73"/>
      <c r="H1568" s="73"/>
      <c r="I1568" s="73"/>
      <c r="J1568" s="73"/>
      <c r="K1568" s="73"/>
      <c r="L1568" s="73"/>
      <c r="M1568" s="73"/>
      <c r="N1568" s="73"/>
      <c r="O1568" s="73"/>
      <c r="P1568" s="73"/>
      <c r="Q1568" s="73"/>
      <c r="R1568" s="73"/>
      <c r="S1568" s="73"/>
      <c r="T1568" s="73"/>
      <c r="U1568" s="73"/>
      <c r="V1568" s="73"/>
      <c r="W1568" s="73"/>
      <c r="X1568" s="73"/>
      <c r="Y1568" s="73"/>
      <c r="Z1568" s="73"/>
      <c r="AA1568" s="73"/>
      <c r="AB1568" s="73"/>
    </row>
    <row r="1569">
      <c r="A1569" s="73"/>
      <c r="B1569" s="73">
        <v>242819.254</v>
      </c>
      <c r="C1569" s="73">
        <v>3.88375579612122E7</v>
      </c>
      <c r="D1569" s="73">
        <v>8963518.85800031</v>
      </c>
      <c r="E1569" s="73">
        <v>1829958.36279498</v>
      </c>
      <c r="F1569" s="73"/>
      <c r="G1569" s="73"/>
      <c r="H1569" s="73"/>
      <c r="I1569" s="73"/>
      <c r="J1569" s="73"/>
      <c r="K1569" s="73"/>
      <c r="L1569" s="73"/>
      <c r="M1569" s="73"/>
      <c r="N1569" s="73"/>
      <c r="O1569" s="73"/>
      <c r="P1569" s="73"/>
      <c r="Q1569" s="73"/>
      <c r="R1569" s="73"/>
      <c r="S1569" s="73"/>
      <c r="T1569" s="73"/>
      <c r="U1569" s="73"/>
      <c r="V1569" s="73"/>
      <c r="W1569" s="73"/>
      <c r="X1569" s="73"/>
      <c r="Y1569" s="73"/>
      <c r="Z1569" s="73"/>
      <c r="AA1569" s="73"/>
      <c r="AB1569" s="73"/>
    </row>
    <row r="1570">
      <c r="A1570" s="73"/>
      <c r="B1570" s="73">
        <v>243265.2537</v>
      </c>
      <c r="C1570" s="73">
        <v>3.89050435593376E7</v>
      </c>
      <c r="D1570" s="73">
        <v>8987034.73599741</v>
      </c>
      <c r="E1570" s="73">
        <v>1833203.64888104</v>
      </c>
      <c r="F1570" s="73"/>
      <c r="G1570" s="73"/>
      <c r="H1570" s="73"/>
      <c r="I1570" s="73"/>
      <c r="J1570" s="73"/>
      <c r="K1570" s="73"/>
      <c r="L1570" s="73"/>
      <c r="M1570" s="73"/>
      <c r="N1570" s="73"/>
      <c r="O1570" s="73"/>
      <c r="P1570" s="73"/>
      <c r="Q1570" s="73"/>
      <c r="R1570" s="73"/>
      <c r="S1570" s="73"/>
      <c r="T1570" s="73"/>
      <c r="U1570" s="73"/>
      <c r="V1570" s="73"/>
      <c r="W1570" s="73"/>
      <c r="X1570" s="73"/>
      <c r="Y1570" s="73"/>
      <c r="Z1570" s="73"/>
      <c r="AA1570" s="73"/>
      <c r="AB1570" s="73"/>
    </row>
    <row r="1571">
      <c r="A1571" s="73"/>
      <c r="B1571" s="73">
        <v>243712.1075</v>
      </c>
      <c r="C1571" s="73">
        <v>3.8972603317461E7</v>
      </c>
      <c r="D1571" s="73">
        <v>9010590.90599832</v>
      </c>
      <c r="E1571" s="73">
        <v>1836452.88136014</v>
      </c>
      <c r="F1571" s="73"/>
      <c r="G1571" s="73"/>
      <c r="H1571" s="73"/>
      <c r="I1571" s="73"/>
      <c r="J1571" s="73"/>
      <c r="K1571" s="73"/>
      <c r="L1571" s="73"/>
      <c r="M1571" s="73"/>
      <c r="N1571" s="73"/>
      <c r="O1571" s="73"/>
      <c r="P1571" s="73"/>
      <c r="Q1571" s="73"/>
      <c r="R1571" s="73"/>
      <c r="S1571" s="73"/>
      <c r="T1571" s="73"/>
      <c r="U1571" s="73"/>
      <c r="V1571" s="73"/>
      <c r="W1571" s="73"/>
      <c r="X1571" s="73"/>
      <c r="Y1571" s="73"/>
      <c r="Z1571" s="73"/>
      <c r="AA1571" s="73"/>
      <c r="AB1571" s="73"/>
    </row>
    <row r="1572">
      <c r="A1572" s="73"/>
      <c r="B1572" s="73">
        <v>244159.8261</v>
      </c>
      <c r="C1572" s="73">
        <v>3.90402372355824E7</v>
      </c>
      <c r="D1572" s="73">
        <v>9034187.34599924</v>
      </c>
      <c r="E1572" s="73">
        <v>1839706.02118453</v>
      </c>
      <c r="F1572" s="73"/>
      <c r="G1572" s="73"/>
      <c r="H1572" s="73"/>
      <c r="I1572" s="73"/>
      <c r="J1572" s="73"/>
      <c r="K1572" s="73"/>
      <c r="L1572" s="73"/>
      <c r="M1572" s="73"/>
      <c r="N1572" s="73"/>
      <c r="O1572" s="73"/>
      <c r="P1572" s="73"/>
      <c r="Q1572" s="73"/>
      <c r="R1572" s="73"/>
      <c r="S1572" s="73"/>
      <c r="T1572" s="73"/>
      <c r="U1572" s="73"/>
      <c r="V1572" s="73"/>
      <c r="W1572" s="73"/>
      <c r="X1572" s="73"/>
      <c r="Y1572" s="73"/>
      <c r="Z1572" s="73"/>
      <c r="AA1572" s="73"/>
      <c r="AB1572" s="73"/>
    </row>
    <row r="1573">
      <c r="A1573" s="73"/>
      <c r="B1573" s="73">
        <v>244608.4001</v>
      </c>
      <c r="C1573" s="73">
        <v>3.91079453137016E7</v>
      </c>
      <c r="D1573" s="73">
        <v>9057824.07600015</v>
      </c>
      <c r="E1573" s="73">
        <v>1842963.06835421</v>
      </c>
      <c r="F1573" s="73"/>
      <c r="G1573" s="73"/>
      <c r="H1573" s="73"/>
      <c r="I1573" s="73"/>
      <c r="J1573" s="73"/>
      <c r="K1573" s="73"/>
      <c r="L1573" s="73"/>
      <c r="M1573" s="73"/>
      <c r="N1573" s="73"/>
      <c r="O1573" s="73"/>
      <c r="P1573" s="73"/>
      <c r="Q1573" s="73"/>
      <c r="R1573" s="73"/>
      <c r="S1573" s="73"/>
      <c r="T1573" s="73"/>
      <c r="U1573" s="73"/>
      <c r="V1573" s="73"/>
      <c r="W1573" s="73"/>
      <c r="X1573" s="73"/>
      <c r="Y1573" s="73"/>
      <c r="Z1573" s="73"/>
      <c r="AA1573" s="73"/>
      <c r="AB1573" s="73"/>
    </row>
    <row r="1574">
      <c r="A1574" s="73"/>
      <c r="B1574" s="73">
        <v>245057.8351</v>
      </c>
      <c r="C1574" s="73">
        <v>3.91757275518188E7</v>
      </c>
      <c r="D1574" s="73">
        <v>9081501.73799725</v>
      </c>
      <c r="E1574" s="73">
        <v>1846224.14667718</v>
      </c>
      <c r="F1574" s="73"/>
      <c r="G1574" s="73"/>
      <c r="H1574" s="73"/>
      <c r="I1574" s="73"/>
      <c r="J1574" s="73"/>
      <c r="K1574" s="73"/>
      <c r="L1574" s="73"/>
      <c r="M1574" s="73"/>
      <c r="N1574" s="73"/>
      <c r="O1574" s="73"/>
      <c r="P1574" s="73"/>
      <c r="Q1574" s="73"/>
      <c r="R1574" s="73"/>
      <c r="S1574" s="73"/>
      <c r="T1574" s="73"/>
      <c r="U1574" s="73"/>
      <c r="V1574" s="73"/>
      <c r="W1574" s="73"/>
      <c r="X1574" s="73"/>
      <c r="Y1574" s="73"/>
      <c r="Z1574" s="73"/>
      <c r="AA1574" s="73"/>
      <c r="AB1574" s="73"/>
    </row>
    <row r="1575">
      <c r="A1575" s="73"/>
      <c r="B1575" s="73">
        <v>245508.1267</v>
      </c>
      <c r="C1575" s="73">
        <v>3.9243583949934E7</v>
      </c>
      <c r="D1575" s="73">
        <v>9105218.38999817</v>
      </c>
      <c r="E1575" s="73">
        <v>1849489.09160168</v>
      </c>
      <c r="F1575" s="73"/>
      <c r="G1575" s="73"/>
      <c r="H1575" s="73"/>
      <c r="I1575" s="73"/>
      <c r="J1575" s="73"/>
      <c r="K1575" s="73"/>
      <c r="L1575" s="73"/>
      <c r="M1575" s="73"/>
      <c r="N1575" s="73"/>
      <c r="O1575" s="73"/>
      <c r="P1575" s="73"/>
      <c r="Q1575" s="73"/>
      <c r="R1575" s="73"/>
      <c r="S1575" s="73"/>
      <c r="T1575" s="73"/>
      <c r="U1575" s="73"/>
      <c r="V1575" s="73"/>
      <c r="W1575" s="73"/>
      <c r="X1575" s="73"/>
      <c r="Y1575" s="73"/>
      <c r="Z1575" s="73"/>
      <c r="AA1575" s="73"/>
      <c r="AB1575" s="73"/>
    </row>
    <row r="1576">
      <c r="A1576" s="73"/>
      <c r="B1576" s="73">
        <v>245959.2805</v>
      </c>
      <c r="C1576" s="73">
        <v>3.93115145080471E7</v>
      </c>
      <c r="D1576" s="73">
        <v>9128976.61199909</v>
      </c>
      <c r="E1576" s="73">
        <v>1852758.07103171</v>
      </c>
      <c r="F1576" s="73"/>
      <c r="G1576" s="73"/>
      <c r="H1576" s="73"/>
      <c r="I1576" s="73"/>
      <c r="J1576" s="73"/>
      <c r="K1576" s="73"/>
      <c r="L1576" s="73"/>
      <c r="M1576" s="73"/>
      <c r="N1576" s="73"/>
      <c r="O1576" s="73"/>
      <c r="P1576" s="73"/>
      <c r="Q1576" s="73"/>
      <c r="R1576" s="73"/>
      <c r="S1576" s="73"/>
      <c r="T1576" s="73"/>
      <c r="U1576" s="73"/>
      <c r="V1576" s="73"/>
      <c r="W1576" s="73"/>
      <c r="X1576" s="73"/>
      <c r="Y1576" s="73"/>
      <c r="Z1576" s="73"/>
      <c r="AA1576" s="73"/>
      <c r="AB1576" s="73"/>
    </row>
    <row r="1577">
      <c r="A1577" s="73"/>
      <c r="B1577" s="73">
        <v>246411.2971</v>
      </c>
      <c r="C1577" s="73">
        <v>3.93795192261581E7</v>
      </c>
      <c r="D1577" s="73">
        <v>9152775.106</v>
      </c>
      <c r="E1577" s="73">
        <v>1856030.91871954</v>
      </c>
      <c r="F1577" s="73"/>
      <c r="G1577" s="73"/>
      <c r="H1577" s="73"/>
      <c r="I1577" s="73"/>
      <c r="J1577" s="73"/>
      <c r="K1577" s="73"/>
      <c r="L1577" s="73"/>
      <c r="M1577" s="73"/>
      <c r="N1577" s="73"/>
      <c r="O1577" s="73"/>
      <c r="P1577" s="73"/>
      <c r="Q1577" s="73"/>
      <c r="R1577" s="73"/>
      <c r="S1577" s="73"/>
      <c r="T1577" s="73"/>
      <c r="U1577" s="73"/>
      <c r="V1577" s="73"/>
      <c r="W1577" s="73"/>
      <c r="X1577" s="73"/>
      <c r="Y1577" s="73"/>
      <c r="Z1577" s="73"/>
      <c r="AA1577" s="73"/>
      <c r="AB1577" s="73"/>
    </row>
    <row r="1578">
      <c r="A1578" s="73"/>
      <c r="B1578" s="73">
        <v>246864.177</v>
      </c>
      <c r="C1578" s="73">
        <v>3.94475981042671E7</v>
      </c>
      <c r="D1578" s="73">
        <v>9176613.2499971</v>
      </c>
      <c r="E1578" s="73">
        <v>1859307.71776915</v>
      </c>
      <c r="F1578" s="73"/>
      <c r="G1578" s="73"/>
      <c r="H1578" s="73"/>
      <c r="I1578" s="73"/>
      <c r="J1578" s="73"/>
      <c r="K1578" s="73"/>
      <c r="L1578" s="73"/>
      <c r="M1578" s="73"/>
      <c r="N1578" s="73"/>
      <c r="O1578" s="73"/>
      <c r="P1578" s="73"/>
      <c r="Q1578" s="73"/>
      <c r="R1578" s="73"/>
      <c r="S1578" s="73"/>
      <c r="T1578" s="73"/>
      <c r="U1578" s="73"/>
      <c r="V1578" s="73"/>
      <c r="W1578" s="73"/>
      <c r="X1578" s="73"/>
      <c r="Y1578" s="73"/>
      <c r="Z1578" s="73"/>
      <c r="AA1578" s="73"/>
      <c r="AB1578" s="73"/>
    </row>
    <row r="1579">
      <c r="A1579" s="73"/>
      <c r="B1579" s="73">
        <v>247317.9208</v>
      </c>
      <c r="C1579" s="73">
        <v>3.9515751142374E7</v>
      </c>
      <c r="D1579" s="73">
        <v>9200492.32599802</v>
      </c>
      <c r="E1579" s="73">
        <v>1862588.55298055</v>
      </c>
      <c r="F1579" s="73"/>
      <c r="G1579" s="73"/>
      <c r="H1579" s="73"/>
      <c r="I1579" s="73"/>
      <c r="J1579" s="73"/>
      <c r="K1579" s="73"/>
      <c r="L1579" s="73"/>
      <c r="M1579" s="73"/>
      <c r="N1579" s="73"/>
      <c r="O1579" s="73"/>
      <c r="P1579" s="73"/>
      <c r="Q1579" s="73"/>
      <c r="R1579" s="73"/>
      <c r="S1579" s="73"/>
      <c r="T1579" s="73"/>
      <c r="U1579" s="73"/>
      <c r="V1579" s="73"/>
      <c r="W1579" s="73"/>
      <c r="X1579" s="73"/>
      <c r="Y1579" s="73"/>
      <c r="Z1579" s="73"/>
      <c r="AA1579" s="73"/>
      <c r="AB1579" s="73"/>
    </row>
    <row r="1580">
      <c r="A1580" s="73"/>
      <c r="B1580" s="73">
        <v>247772.5239</v>
      </c>
      <c r="C1580" s="73">
        <v>3.95839783404789E7</v>
      </c>
      <c r="D1580" s="73">
        <v>9224411.67199893</v>
      </c>
      <c r="E1580" s="73">
        <v>1865873.25644974</v>
      </c>
      <c r="F1580" s="73"/>
      <c r="G1580" s="73"/>
      <c r="H1580" s="73"/>
      <c r="I1580" s="73"/>
      <c r="J1580" s="73"/>
      <c r="K1580" s="73"/>
      <c r="L1580" s="73"/>
      <c r="M1580" s="73"/>
      <c r="N1580" s="73"/>
      <c r="O1580" s="73"/>
      <c r="P1580" s="73"/>
      <c r="Q1580" s="73"/>
      <c r="R1580" s="73"/>
      <c r="S1580" s="73"/>
      <c r="T1580" s="73"/>
      <c r="U1580" s="73"/>
      <c r="V1580" s="73"/>
      <c r="W1580" s="73"/>
      <c r="X1580" s="73"/>
      <c r="Y1580" s="73"/>
      <c r="Z1580" s="73"/>
      <c r="AA1580" s="73"/>
      <c r="AB1580" s="73"/>
    </row>
    <row r="1581">
      <c r="A1581" s="73"/>
      <c r="B1581" s="73">
        <v>248227.9972</v>
      </c>
      <c r="C1581" s="73">
        <v>3.96522796985817E7</v>
      </c>
      <c r="D1581" s="73">
        <v>9248371.94799985</v>
      </c>
      <c r="E1581" s="73">
        <v>1869161.91459321</v>
      </c>
      <c r="F1581" s="73"/>
      <c r="G1581" s="73"/>
      <c r="H1581" s="73"/>
      <c r="I1581" s="73"/>
      <c r="J1581" s="73"/>
      <c r="K1581" s="73"/>
      <c r="L1581" s="73"/>
      <c r="M1581" s="73"/>
      <c r="N1581" s="73"/>
      <c r="O1581" s="73"/>
      <c r="P1581" s="73"/>
      <c r="Q1581" s="73"/>
      <c r="R1581" s="73"/>
      <c r="S1581" s="73"/>
      <c r="T1581" s="73"/>
      <c r="U1581" s="73"/>
      <c r="V1581" s="73"/>
      <c r="W1581" s="73"/>
      <c r="X1581" s="73"/>
      <c r="Y1581" s="73"/>
      <c r="Z1581" s="73"/>
      <c r="AA1581" s="73"/>
      <c r="AB1581" s="73"/>
    </row>
    <row r="1582">
      <c r="A1582" s="73"/>
      <c r="B1582" s="73">
        <v>248684.331</v>
      </c>
      <c r="C1582" s="73">
        <v>3.97206634566822E7</v>
      </c>
      <c r="D1582" s="73">
        <v>9272372.51399695</v>
      </c>
      <c r="E1582" s="73">
        <v>1872454.61055471</v>
      </c>
      <c r="F1582" s="73"/>
      <c r="G1582" s="73"/>
      <c r="H1582" s="73"/>
      <c r="I1582" s="73"/>
      <c r="J1582" s="73"/>
      <c r="K1582" s="73"/>
      <c r="L1582" s="73"/>
      <c r="M1582" s="73"/>
      <c r="N1582" s="73"/>
      <c r="O1582" s="73"/>
      <c r="P1582" s="73"/>
      <c r="Q1582" s="73"/>
      <c r="R1582" s="73"/>
      <c r="S1582" s="73"/>
      <c r="T1582" s="73"/>
      <c r="U1582" s="73"/>
      <c r="V1582" s="73"/>
      <c r="W1582" s="73"/>
      <c r="X1582" s="73"/>
      <c r="Y1582" s="73"/>
      <c r="Z1582" s="73"/>
      <c r="AA1582" s="73"/>
      <c r="AB1582" s="73"/>
    </row>
    <row r="1583">
      <c r="A1583" s="73"/>
      <c r="B1583" s="73">
        <v>249141.5309</v>
      </c>
      <c r="C1583" s="73">
        <v>3.97891131347809E7</v>
      </c>
      <c r="D1583" s="73">
        <v>9296413.35199787</v>
      </c>
      <c r="E1583" s="73">
        <v>1875751.26119051</v>
      </c>
      <c r="F1583" s="73"/>
      <c r="G1583" s="73"/>
      <c r="H1583" s="73"/>
      <c r="I1583" s="73"/>
      <c r="J1583" s="73"/>
      <c r="K1583" s="73"/>
      <c r="L1583" s="73"/>
      <c r="M1583" s="73"/>
      <c r="N1583" s="73"/>
      <c r="O1583" s="73"/>
      <c r="P1583" s="73"/>
      <c r="Q1583" s="73"/>
      <c r="R1583" s="73"/>
      <c r="S1583" s="73"/>
      <c r="T1583" s="73"/>
      <c r="U1583" s="73"/>
      <c r="V1583" s="73"/>
      <c r="W1583" s="73"/>
      <c r="X1583" s="73"/>
      <c r="Y1583" s="73"/>
      <c r="Z1583" s="73"/>
      <c r="AA1583" s="73"/>
      <c r="AB1583" s="73"/>
    </row>
    <row r="1584">
      <c r="A1584" s="73"/>
      <c r="B1584" s="73">
        <v>249599.5973</v>
      </c>
      <c r="C1584" s="73">
        <v>3.98576369728775E7</v>
      </c>
      <c r="D1584" s="73">
        <v>9320495.11999878</v>
      </c>
      <c r="E1584" s="73">
        <v>1879051.78505284</v>
      </c>
      <c r="F1584" s="73"/>
      <c r="G1584" s="73"/>
      <c r="H1584" s="73"/>
      <c r="I1584" s="73"/>
      <c r="J1584" s="73"/>
      <c r="K1584" s="73"/>
      <c r="L1584" s="73"/>
      <c r="M1584" s="73"/>
      <c r="N1584" s="73"/>
      <c r="O1584" s="73"/>
      <c r="P1584" s="73"/>
      <c r="Q1584" s="73"/>
      <c r="R1584" s="73"/>
      <c r="S1584" s="73"/>
      <c r="T1584" s="73"/>
      <c r="U1584" s="73"/>
      <c r="V1584" s="73"/>
      <c r="W1584" s="73"/>
      <c r="X1584" s="73"/>
      <c r="Y1584" s="73"/>
      <c r="Z1584" s="73"/>
      <c r="AA1584" s="73"/>
      <c r="AB1584" s="73"/>
    </row>
    <row r="1585">
      <c r="A1585" s="73"/>
      <c r="B1585" s="73">
        <v>250058.526</v>
      </c>
      <c r="C1585" s="73">
        <v>3.99262349709721E7</v>
      </c>
      <c r="D1585" s="73">
        <v>9344617.8179997</v>
      </c>
      <c r="E1585" s="73">
        <v>1882356.30598946</v>
      </c>
      <c r="F1585" s="73"/>
      <c r="G1585" s="73"/>
      <c r="H1585" s="73"/>
      <c r="I1585" s="73"/>
      <c r="J1585" s="73"/>
      <c r="K1585" s="73"/>
      <c r="L1585" s="73"/>
      <c r="M1585" s="73"/>
      <c r="N1585" s="73"/>
      <c r="O1585" s="73"/>
      <c r="P1585" s="73"/>
      <c r="Q1585" s="73"/>
      <c r="R1585" s="73"/>
      <c r="S1585" s="73"/>
      <c r="T1585" s="73"/>
      <c r="U1585" s="73"/>
      <c r="V1585" s="73"/>
      <c r="W1585" s="73"/>
      <c r="X1585" s="73"/>
      <c r="Y1585" s="73"/>
      <c r="Z1585" s="73"/>
      <c r="AA1585" s="73"/>
      <c r="AB1585" s="73"/>
    </row>
    <row r="1586">
      <c r="A1586" s="73"/>
      <c r="B1586" s="73">
        <v>250518.3273</v>
      </c>
      <c r="C1586" s="73">
        <v>3.99949153690643E7</v>
      </c>
      <c r="D1586" s="73">
        <v>9368780.80799679</v>
      </c>
      <c r="E1586" s="73">
        <v>1885664.82400036</v>
      </c>
      <c r="F1586" s="73"/>
      <c r="G1586" s="73"/>
      <c r="H1586" s="73"/>
      <c r="I1586" s="73"/>
      <c r="J1586" s="73"/>
      <c r="K1586" s="73"/>
      <c r="L1586" s="73"/>
      <c r="M1586" s="73"/>
      <c r="N1586" s="73"/>
      <c r="O1586" s="73"/>
      <c r="P1586" s="73"/>
      <c r="Q1586" s="73"/>
      <c r="R1586" s="73"/>
      <c r="S1586" s="73"/>
      <c r="T1586" s="73"/>
      <c r="U1586" s="73"/>
      <c r="V1586" s="73"/>
      <c r="W1586" s="73"/>
      <c r="X1586" s="73"/>
      <c r="Y1586" s="73"/>
      <c r="Z1586" s="73"/>
      <c r="AA1586" s="73"/>
      <c r="AB1586" s="73"/>
    </row>
    <row r="1587">
      <c r="A1587" s="73"/>
      <c r="B1587" s="73">
        <v>250978.9918</v>
      </c>
      <c r="C1587" s="73">
        <v>4.00636616871548E7</v>
      </c>
      <c r="D1587" s="73">
        <v>9392984.68799771</v>
      </c>
      <c r="E1587" s="73">
        <v>1888977.34405429</v>
      </c>
      <c r="F1587" s="73"/>
      <c r="G1587" s="73"/>
      <c r="H1587" s="73"/>
      <c r="I1587" s="73"/>
      <c r="J1587" s="73"/>
      <c r="K1587" s="73"/>
      <c r="L1587" s="73"/>
      <c r="M1587" s="73"/>
      <c r="N1587" s="73"/>
      <c r="O1587" s="73"/>
      <c r="P1587" s="73"/>
      <c r="Q1587" s="73"/>
      <c r="R1587" s="73"/>
      <c r="S1587" s="73"/>
      <c r="T1587" s="73"/>
      <c r="U1587" s="73"/>
      <c r="V1587" s="73"/>
      <c r="W1587" s="73"/>
      <c r="X1587" s="73"/>
      <c r="Y1587" s="73"/>
      <c r="Z1587" s="73"/>
      <c r="AA1587" s="73"/>
      <c r="AB1587" s="73"/>
    </row>
    <row r="1588">
      <c r="A1588" s="73"/>
      <c r="B1588" s="73">
        <v>251440.53</v>
      </c>
      <c r="C1588" s="73">
        <v>4.01324904052429E7</v>
      </c>
      <c r="D1588" s="73">
        <v>9417228.87799863</v>
      </c>
      <c r="E1588" s="73">
        <v>1892293.81878251</v>
      </c>
      <c r="F1588" s="73"/>
      <c r="G1588" s="73"/>
      <c r="H1588" s="73"/>
      <c r="I1588" s="73"/>
      <c r="J1588" s="73"/>
      <c r="K1588" s="73"/>
      <c r="L1588" s="73"/>
      <c r="M1588" s="73"/>
      <c r="N1588" s="73"/>
      <c r="O1588" s="73"/>
      <c r="P1588" s="73"/>
      <c r="Q1588" s="73"/>
      <c r="R1588" s="73"/>
      <c r="S1588" s="73"/>
      <c r="T1588" s="73"/>
      <c r="U1588" s="73"/>
      <c r="V1588" s="73"/>
      <c r="W1588" s="73"/>
      <c r="X1588" s="73"/>
      <c r="Y1588" s="73"/>
      <c r="Z1588" s="73"/>
      <c r="AA1588" s="73"/>
      <c r="AB1588" s="73"/>
    </row>
    <row r="1589">
      <c r="A1589" s="73"/>
      <c r="B1589" s="73">
        <v>251902.9324</v>
      </c>
      <c r="C1589" s="73">
        <v>4.02013850433292E7</v>
      </c>
      <c r="D1589" s="73">
        <v>9441514.63999954</v>
      </c>
      <c r="E1589" s="73">
        <v>1895614.17004977</v>
      </c>
      <c r="F1589" s="73"/>
      <c r="G1589" s="73"/>
      <c r="H1589" s="73"/>
      <c r="I1589" s="73"/>
      <c r="J1589" s="73"/>
      <c r="K1589" s="73"/>
      <c r="L1589" s="73"/>
      <c r="M1589" s="73"/>
      <c r="N1589" s="73"/>
      <c r="O1589" s="73"/>
      <c r="P1589" s="73"/>
      <c r="Q1589" s="73"/>
      <c r="R1589" s="73"/>
      <c r="S1589" s="73"/>
      <c r="T1589" s="73"/>
      <c r="U1589" s="73"/>
      <c r="V1589" s="73"/>
      <c r="W1589" s="73"/>
      <c r="X1589" s="73"/>
      <c r="Y1589" s="73"/>
      <c r="Z1589" s="73"/>
      <c r="AA1589" s="73"/>
      <c r="AB1589" s="73"/>
    </row>
    <row r="1590">
      <c r="A1590" s="73"/>
      <c r="B1590" s="73">
        <v>252366.2045</v>
      </c>
      <c r="C1590" s="73">
        <v>4.02703620814133E7</v>
      </c>
      <c r="D1590" s="73">
        <v>9465840.67200046</v>
      </c>
      <c r="E1590" s="73">
        <v>1898938.56410382</v>
      </c>
      <c r="F1590" s="73"/>
      <c r="G1590" s="73"/>
      <c r="H1590" s="73"/>
      <c r="I1590" s="73"/>
      <c r="J1590" s="73"/>
      <c r="K1590" s="73"/>
      <c r="L1590" s="73"/>
      <c r="M1590" s="73"/>
      <c r="N1590" s="73"/>
      <c r="O1590" s="73"/>
      <c r="P1590" s="73"/>
      <c r="Q1590" s="73"/>
      <c r="R1590" s="73"/>
      <c r="S1590" s="73"/>
      <c r="T1590" s="73"/>
      <c r="U1590" s="73"/>
      <c r="V1590" s="73"/>
      <c r="W1590" s="73"/>
      <c r="X1590" s="73"/>
      <c r="Y1590" s="73"/>
      <c r="Z1590" s="73"/>
      <c r="AA1590" s="73"/>
      <c r="AB1590" s="73"/>
    </row>
    <row r="1591">
      <c r="A1591" s="73"/>
      <c r="B1591" s="73">
        <v>252830.3468</v>
      </c>
      <c r="C1591" s="73">
        <v>4.03394132794952E7</v>
      </c>
      <c r="D1591" s="73">
        <v>9490207.63399756</v>
      </c>
      <c r="E1591" s="73">
        <v>1902266.9178009</v>
      </c>
      <c r="F1591" s="73"/>
      <c r="G1591" s="73"/>
      <c r="H1591" s="73"/>
      <c r="I1591" s="73"/>
      <c r="J1591" s="73"/>
      <c r="K1591" s="73"/>
      <c r="L1591" s="73"/>
      <c r="M1591" s="73"/>
      <c r="N1591" s="73"/>
      <c r="O1591" s="73"/>
      <c r="P1591" s="73"/>
      <c r="Q1591" s="73"/>
      <c r="R1591" s="73"/>
      <c r="S1591" s="73"/>
      <c r="T1591" s="73"/>
      <c r="U1591" s="73"/>
      <c r="V1591" s="73"/>
      <c r="W1591" s="73"/>
      <c r="X1591" s="73"/>
      <c r="Y1591" s="73"/>
      <c r="Z1591" s="73"/>
      <c r="AA1591" s="73"/>
      <c r="AB1591" s="73"/>
    </row>
    <row r="1592">
      <c r="A1592" s="73"/>
      <c r="B1592" s="73">
        <v>253295.3648</v>
      </c>
      <c r="C1592" s="73">
        <v>4.04085303975754E7</v>
      </c>
      <c r="D1592" s="73">
        <v>9514615.50799847</v>
      </c>
      <c r="E1592" s="73">
        <v>1905599.19209327</v>
      </c>
      <c r="F1592" s="73"/>
      <c r="G1592" s="73"/>
      <c r="H1592" s="73"/>
      <c r="I1592" s="73"/>
      <c r="J1592" s="73"/>
      <c r="K1592" s="73"/>
      <c r="L1592" s="73"/>
      <c r="M1592" s="73"/>
      <c r="N1592" s="73"/>
      <c r="O1592" s="73"/>
      <c r="P1592" s="73"/>
      <c r="Q1592" s="73"/>
      <c r="R1592" s="73"/>
      <c r="S1592" s="73"/>
      <c r="T1592" s="73"/>
      <c r="U1592" s="73"/>
      <c r="V1592" s="73"/>
      <c r="W1592" s="73"/>
      <c r="X1592" s="73"/>
      <c r="Y1592" s="73"/>
      <c r="Z1592" s="73"/>
      <c r="AA1592" s="73"/>
      <c r="AB1592" s="73"/>
    </row>
    <row r="1593">
      <c r="A1593" s="73"/>
      <c r="B1593" s="73">
        <v>253761.249</v>
      </c>
      <c r="C1593" s="73">
        <v>4.04777299156532E7</v>
      </c>
      <c r="D1593" s="73">
        <v>9539064.32999939</v>
      </c>
      <c r="E1593" s="73">
        <v>1908935.55153267</v>
      </c>
      <c r="F1593" s="73"/>
      <c r="G1593" s="73"/>
      <c r="H1593" s="73"/>
      <c r="I1593" s="73"/>
      <c r="J1593" s="73"/>
      <c r="K1593" s="73"/>
      <c r="L1593" s="73"/>
      <c r="M1593" s="73"/>
      <c r="N1593" s="73"/>
      <c r="O1593" s="73"/>
      <c r="P1593" s="73"/>
      <c r="Q1593" s="73"/>
      <c r="R1593" s="73"/>
      <c r="S1593" s="73"/>
      <c r="T1593" s="73"/>
      <c r="U1593" s="73"/>
      <c r="V1593" s="73"/>
      <c r="W1593" s="73"/>
      <c r="X1593" s="73"/>
      <c r="Y1593" s="73"/>
      <c r="Z1593" s="73"/>
      <c r="AA1593" s="73"/>
      <c r="AB1593" s="73"/>
    </row>
    <row r="1594">
      <c r="A1594" s="73"/>
      <c r="B1594" s="73">
        <v>254228.0048</v>
      </c>
      <c r="C1594" s="73">
        <v>4.0547003593729E7</v>
      </c>
      <c r="D1594" s="73">
        <v>9563554.0640003</v>
      </c>
      <c r="E1594" s="73">
        <v>1912275.78585485</v>
      </c>
      <c r="F1594" s="73"/>
      <c r="G1594" s="73"/>
      <c r="H1594" s="73"/>
      <c r="I1594" s="73"/>
      <c r="J1594" s="73"/>
      <c r="K1594" s="73"/>
      <c r="L1594" s="73"/>
      <c r="M1594" s="73"/>
      <c r="N1594" s="73"/>
      <c r="O1594" s="73"/>
      <c r="P1594" s="73"/>
      <c r="Q1594" s="73"/>
      <c r="R1594" s="73"/>
      <c r="S1594" s="73"/>
      <c r="T1594" s="73"/>
      <c r="U1594" s="73"/>
      <c r="V1594" s="73"/>
      <c r="W1594" s="73"/>
      <c r="X1594" s="73"/>
      <c r="Y1594" s="73"/>
      <c r="Z1594" s="73"/>
      <c r="AA1594" s="73"/>
      <c r="AB1594" s="73"/>
    </row>
    <row r="1595">
      <c r="A1595" s="73"/>
      <c r="B1595" s="73">
        <v>254695.6328</v>
      </c>
      <c r="C1595" s="73">
        <v>4.06163514318028E7</v>
      </c>
      <c r="D1595" s="73">
        <v>9588084.10799741</v>
      </c>
      <c r="E1595" s="73">
        <v>1915620.11029282</v>
      </c>
      <c r="F1595" s="73"/>
      <c r="G1595" s="73"/>
      <c r="H1595" s="73"/>
      <c r="I1595" s="73"/>
      <c r="J1595" s="73"/>
      <c r="K1595" s="73"/>
      <c r="L1595" s="73"/>
      <c r="M1595" s="73"/>
      <c r="N1595" s="73"/>
      <c r="O1595" s="73"/>
      <c r="P1595" s="73"/>
      <c r="Q1595" s="73"/>
      <c r="R1595" s="73"/>
      <c r="S1595" s="73"/>
      <c r="T1595" s="73"/>
      <c r="U1595" s="73"/>
      <c r="V1595" s="73"/>
      <c r="W1595" s="73"/>
      <c r="X1595" s="73"/>
      <c r="Y1595" s="73"/>
      <c r="Z1595" s="73"/>
      <c r="AA1595" s="73"/>
      <c r="AB1595" s="73"/>
    </row>
    <row r="1596">
      <c r="A1596" s="73"/>
      <c r="B1596" s="73">
        <v>255164.1335</v>
      </c>
      <c r="C1596" s="73">
        <v>4.06857816698742E7</v>
      </c>
      <c r="D1596" s="73">
        <v>9612655.68399832</v>
      </c>
      <c r="E1596" s="73">
        <v>1918968.35532608</v>
      </c>
      <c r="F1596" s="73"/>
      <c r="G1596" s="73"/>
      <c r="H1596" s="73"/>
      <c r="I1596" s="73"/>
      <c r="J1596" s="73"/>
      <c r="K1596" s="73"/>
      <c r="L1596" s="73"/>
      <c r="M1596" s="73"/>
      <c r="N1596" s="73"/>
      <c r="O1596" s="73"/>
      <c r="P1596" s="73"/>
      <c r="Q1596" s="73"/>
      <c r="R1596" s="73"/>
      <c r="S1596" s="73"/>
      <c r="T1596" s="73"/>
      <c r="U1596" s="73"/>
      <c r="V1596" s="73"/>
      <c r="W1596" s="73"/>
      <c r="X1596" s="73"/>
      <c r="Y1596" s="73"/>
      <c r="Z1596" s="73"/>
      <c r="AA1596" s="73"/>
      <c r="AB1596" s="73"/>
    </row>
    <row r="1597">
      <c r="A1597" s="73"/>
      <c r="B1597" s="73">
        <v>255633.5072</v>
      </c>
      <c r="C1597" s="73">
        <v>4.07552778279438E7</v>
      </c>
      <c r="D1597" s="73">
        <v>9637268.18999924</v>
      </c>
      <c r="E1597" s="73">
        <v>1922320.56497112</v>
      </c>
      <c r="F1597" s="73"/>
      <c r="G1597" s="73"/>
      <c r="H1597" s="73"/>
      <c r="I1597" s="73"/>
      <c r="J1597" s="73"/>
      <c r="K1597" s="73"/>
      <c r="L1597" s="73"/>
      <c r="M1597" s="73"/>
      <c r="N1597" s="73"/>
      <c r="O1597" s="73"/>
      <c r="P1597" s="73"/>
      <c r="Q1597" s="73"/>
      <c r="R1597" s="73"/>
      <c r="S1597" s="73"/>
      <c r="T1597" s="73"/>
      <c r="U1597" s="73"/>
      <c r="V1597" s="73"/>
      <c r="W1597" s="73"/>
      <c r="X1597" s="73"/>
      <c r="Y1597" s="73"/>
      <c r="Z1597" s="73"/>
      <c r="AA1597" s="73"/>
      <c r="AB1597" s="73"/>
    </row>
    <row r="1598">
      <c r="A1598" s="73"/>
      <c r="B1598" s="73">
        <v>256103.7543</v>
      </c>
      <c r="C1598" s="73">
        <v>4.08248481460114E7</v>
      </c>
      <c r="D1598" s="73">
        <v>9661922.28600015</v>
      </c>
      <c r="E1598" s="73">
        <v>1925676.77831545</v>
      </c>
      <c r="F1598" s="73"/>
      <c r="G1598" s="73"/>
      <c r="H1598" s="73"/>
      <c r="I1598" s="73"/>
      <c r="J1598" s="73"/>
      <c r="K1598" s="73"/>
      <c r="L1598" s="73"/>
      <c r="M1598" s="73"/>
      <c r="N1598" s="73"/>
      <c r="O1598" s="73"/>
      <c r="P1598" s="73"/>
      <c r="Q1598" s="73"/>
      <c r="R1598" s="73"/>
      <c r="S1598" s="73"/>
      <c r="T1598" s="73"/>
      <c r="U1598" s="73"/>
      <c r="V1598" s="73"/>
      <c r="W1598" s="73"/>
      <c r="X1598" s="73"/>
      <c r="Y1598" s="73"/>
      <c r="Z1598" s="73"/>
      <c r="AA1598" s="73"/>
      <c r="AB1598" s="73"/>
    </row>
    <row r="1599">
      <c r="A1599" s="73"/>
      <c r="B1599" s="73">
        <v>256574.8756</v>
      </c>
      <c r="C1599" s="73">
        <v>4.08945008640766E7</v>
      </c>
      <c r="D1599" s="73">
        <v>9686616.65199726</v>
      </c>
      <c r="E1599" s="73">
        <v>1929036.99867156</v>
      </c>
      <c r="F1599" s="73"/>
      <c r="G1599" s="73"/>
      <c r="H1599" s="73"/>
      <c r="I1599" s="73"/>
      <c r="J1599" s="73"/>
      <c r="K1599" s="73"/>
      <c r="L1599" s="73"/>
      <c r="M1599" s="73"/>
      <c r="N1599" s="73"/>
      <c r="O1599" s="73"/>
      <c r="P1599" s="73"/>
      <c r="Q1599" s="73"/>
      <c r="R1599" s="73"/>
      <c r="S1599" s="73"/>
      <c r="T1599" s="73"/>
      <c r="U1599" s="73"/>
      <c r="V1599" s="73"/>
      <c r="W1599" s="73"/>
      <c r="X1599" s="73"/>
      <c r="Y1599" s="73"/>
      <c r="Z1599" s="73"/>
      <c r="AA1599" s="73"/>
      <c r="AB1599" s="73"/>
    </row>
    <row r="1600">
      <c r="A1600" s="73"/>
      <c r="B1600" s="73">
        <v>257046.8764</v>
      </c>
      <c r="C1600" s="73">
        <v>4.096421950214E7</v>
      </c>
      <c r="D1600" s="73">
        <v>9711352.56999817</v>
      </c>
      <c r="E1600" s="73">
        <v>1932401.18363945</v>
      </c>
      <c r="F1600" s="73"/>
      <c r="G1600" s="73"/>
      <c r="H1600" s="73"/>
      <c r="I1600" s="73"/>
      <c r="J1600" s="73"/>
      <c r="K1600" s="73"/>
      <c r="L1600" s="73"/>
      <c r="M1600" s="73"/>
      <c r="N1600" s="73"/>
      <c r="O1600" s="73"/>
      <c r="P1600" s="73"/>
      <c r="Q1600" s="73"/>
      <c r="R1600" s="73"/>
      <c r="S1600" s="73"/>
      <c r="T1600" s="73"/>
      <c r="U1600" s="73"/>
      <c r="V1600" s="73"/>
      <c r="W1600" s="73"/>
      <c r="X1600" s="73"/>
      <c r="Y1600" s="73"/>
      <c r="Z1600" s="73"/>
      <c r="AA1600" s="73"/>
      <c r="AB1600" s="73"/>
    </row>
    <row r="1601">
      <c r="A1601" s="73"/>
      <c r="B1601" s="73">
        <v>257519.747</v>
      </c>
      <c r="C1601" s="73">
        <v>4.10340205402012E7</v>
      </c>
      <c r="D1601" s="73">
        <v>9736129.41799908</v>
      </c>
      <c r="E1601" s="73">
        <v>1935769.29251514</v>
      </c>
      <c r="F1601" s="73"/>
      <c r="G1601" s="73"/>
      <c r="H1601" s="73"/>
      <c r="I1601" s="73"/>
      <c r="J1601" s="73"/>
      <c r="K1601" s="73"/>
      <c r="L1601" s="73"/>
      <c r="M1601" s="73"/>
      <c r="N1601" s="73"/>
      <c r="O1601" s="73"/>
      <c r="P1601" s="73"/>
      <c r="Q1601" s="73"/>
      <c r="R1601" s="73"/>
      <c r="S1601" s="73"/>
      <c r="T1601" s="73"/>
      <c r="U1601" s="73"/>
      <c r="V1601" s="73"/>
      <c r="W1601" s="73"/>
      <c r="X1601" s="73"/>
      <c r="Y1601" s="73"/>
      <c r="Z1601" s="73"/>
      <c r="AA1601" s="73"/>
      <c r="AB1601" s="73"/>
    </row>
    <row r="1602">
      <c r="A1602" s="73"/>
      <c r="B1602" s="73">
        <v>257993.4929</v>
      </c>
      <c r="C1602" s="73">
        <v>4.11038957382603E7</v>
      </c>
      <c r="D1602" s="73">
        <v>9760947.856</v>
      </c>
      <c r="E1602" s="73">
        <v>1939141.4948191</v>
      </c>
      <c r="F1602" s="73"/>
      <c r="G1602" s="73"/>
      <c r="H1602" s="73"/>
      <c r="I1602" s="73"/>
      <c r="J1602" s="73"/>
      <c r="K1602" s="73"/>
      <c r="L1602" s="73"/>
      <c r="M1602" s="73"/>
      <c r="N1602" s="73"/>
      <c r="O1602" s="73"/>
      <c r="P1602" s="73"/>
      <c r="Q1602" s="73"/>
      <c r="R1602" s="73"/>
      <c r="S1602" s="73"/>
      <c r="T1602" s="73"/>
      <c r="U1602" s="73"/>
      <c r="V1602" s="73"/>
      <c r="W1602" s="73"/>
      <c r="X1602" s="73"/>
      <c r="Y1602" s="73"/>
      <c r="Z1602" s="73"/>
      <c r="AA1602" s="73"/>
      <c r="AB1602" s="73"/>
    </row>
    <row r="1603">
      <c r="A1603" s="73"/>
      <c r="B1603" s="73">
        <v>258468.1147</v>
      </c>
      <c r="C1603" s="73">
        <v>4.11738450963173E7</v>
      </c>
      <c r="D1603" s="73">
        <v>9785807.20400091</v>
      </c>
      <c r="E1603" s="73">
        <v>1942517.66173485</v>
      </c>
      <c r="F1603" s="73"/>
      <c r="G1603" s="73"/>
      <c r="H1603" s="73"/>
      <c r="I1603" s="73"/>
      <c r="J1603" s="73"/>
      <c r="K1603" s="73"/>
      <c r="L1603" s="73"/>
      <c r="M1603" s="73"/>
      <c r="N1603" s="73"/>
      <c r="O1603" s="73"/>
      <c r="P1603" s="73"/>
      <c r="Q1603" s="73"/>
      <c r="R1603" s="73"/>
      <c r="S1603" s="73"/>
      <c r="T1603" s="73"/>
      <c r="U1603" s="73"/>
      <c r="V1603" s="73"/>
      <c r="W1603" s="73"/>
      <c r="X1603" s="73"/>
      <c r="Y1603" s="73"/>
      <c r="Z1603" s="73"/>
      <c r="AA1603" s="73"/>
      <c r="AB1603" s="73"/>
    </row>
    <row r="1604">
      <c r="A1604" s="73"/>
      <c r="B1604" s="73">
        <v>258943.6177</v>
      </c>
      <c r="C1604" s="73">
        <v>4.12438686143723E7</v>
      </c>
      <c r="D1604" s="73">
        <v>9810708.12400183</v>
      </c>
      <c r="E1604" s="73">
        <v>1945897.79827089</v>
      </c>
      <c r="F1604" s="73"/>
      <c r="G1604" s="73"/>
      <c r="H1604" s="73"/>
      <c r="I1604" s="73"/>
      <c r="J1604" s="73"/>
      <c r="K1604" s="73"/>
      <c r="L1604" s="73"/>
      <c r="M1604" s="73"/>
      <c r="N1604" s="73"/>
      <c r="O1604" s="73"/>
      <c r="P1604" s="73"/>
      <c r="Q1604" s="73"/>
      <c r="R1604" s="73"/>
      <c r="S1604" s="73"/>
      <c r="T1604" s="73"/>
      <c r="U1604" s="73"/>
      <c r="V1604" s="73"/>
      <c r="W1604" s="73"/>
      <c r="X1604" s="73"/>
      <c r="Y1604" s="73"/>
      <c r="Z1604" s="73"/>
      <c r="AA1604" s="73"/>
      <c r="AB1604" s="73"/>
    </row>
    <row r="1605">
      <c r="A1605" s="73"/>
      <c r="B1605" s="73">
        <v>259419.9973</v>
      </c>
      <c r="C1605" s="73">
        <v>4.13139662924252E7</v>
      </c>
      <c r="D1605" s="73">
        <v>9835649.97399512</v>
      </c>
      <c r="E1605" s="73">
        <v>1949281.9825227</v>
      </c>
      <c r="F1605" s="73"/>
      <c r="G1605" s="73"/>
      <c r="H1605" s="73"/>
      <c r="I1605" s="73"/>
      <c r="J1605" s="73"/>
      <c r="K1605" s="73"/>
      <c r="L1605" s="73"/>
      <c r="M1605" s="73"/>
      <c r="N1605" s="73"/>
      <c r="O1605" s="73"/>
      <c r="P1605" s="73"/>
      <c r="Q1605" s="73"/>
      <c r="R1605" s="73"/>
      <c r="S1605" s="73"/>
      <c r="T1605" s="73"/>
      <c r="U1605" s="73"/>
      <c r="V1605" s="73"/>
      <c r="W1605" s="73"/>
      <c r="X1605" s="73"/>
      <c r="Y1605" s="73"/>
      <c r="Z1605" s="73"/>
      <c r="AA1605" s="73"/>
      <c r="AB1605" s="73"/>
    </row>
    <row r="1606">
      <c r="A1606" s="73"/>
      <c r="B1606" s="73">
        <v>259897.2491</v>
      </c>
      <c r="C1606" s="73">
        <v>4.13841463704758E7</v>
      </c>
      <c r="D1606" s="73">
        <v>9860632.75399603</v>
      </c>
      <c r="E1606" s="73">
        <v>1952670.1804113</v>
      </c>
      <c r="F1606" s="73"/>
      <c r="G1606" s="73"/>
      <c r="H1606" s="73"/>
      <c r="I1606" s="73"/>
      <c r="J1606" s="73"/>
      <c r="K1606" s="73"/>
      <c r="L1606" s="73"/>
      <c r="M1606" s="73"/>
      <c r="N1606" s="73"/>
      <c r="O1606" s="73"/>
      <c r="P1606" s="73"/>
      <c r="Q1606" s="73"/>
      <c r="R1606" s="73"/>
      <c r="S1606" s="73"/>
      <c r="T1606" s="73"/>
      <c r="U1606" s="73"/>
      <c r="V1606" s="73"/>
      <c r="W1606" s="73"/>
      <c r="X1606" s="73"/>
      <c r="Y1606" s="73"/>
      <c r="Z1606" s="73"/>
      <c r="AA1606" s="73"/>
      <c r="AB1606" s="73"/>
    </row>
    <row r="1607">
      <c r="A1607" s="73"/>
      <c r="B1607" s="73">
        <v>260375.3837</v>
      </c>
      <c r="C1607" s="73">
        <v>4.14543923685246E7</v>
      </c>
      <c r="D1607" s="73">
        <v>9885657.08399695</v>
      </c>
      <c r="E1607" s="73">
        <v>1956062.26312019</v>
      </c>
      <c r="F1607" s="73"/>
      <c r="G1607" s="73"/>
      <c r="H1607" s="73"/>
      <c r="I1607" s="73"/>
      <c r="J1607" s="73"/>
      <c r="K1607" s="73"/>
      <c r="L1607" s="73"/>
      <c r="M1607" s="73"/>
      <c r="N1607" s="73"/>
      <c r="O1607" s="73"/>
      <c r="P1607" s="73"/>
      <c r="Q1607" s="73"/>
      <c r="R1607" s="73"/>
      <c r="S1607" s="73"/>
      <c r="T1607" s="73"/>
      <c r="U1607" s="73"/>
      <c r="V1607" s="73"/>
      <c r="W1607" s="73"/>
      <c r="X1607" s="73"/>
      <c r="Y1607" s="73"/>
      <c r="Z1607" s="73"/>
      <c r="AA1607" s="73"/>
      <c r="AB1607" s="73"/>
    </row>
    <row r="1608">
      <c r="A1608" s="73"/>
      <c r="B1608" s="73">
        <v>260854.3959</v>
      </c>
      <c r="C1608" s="73">
        <v>4.15247125265713E7</v>
      </c>
      <c r="D1608" s="73">
        <v>9910723.62599787</v>
      </c>
      <c r="E1608" s="73">
        <v>1959458.35615337</v>
      </c>
      <c r="F1608" s="73"/>
      <c r="G1608" s="73"/>
      <c r="H1608" s="73"/>
      <c r="I1608" s="73"/>
      <c r="J1608" s="73"/>
      <c r="K1608" s="73"/>
      <c r="L1608" s="73"/>
      <c r="M1608" s="73"/>
      <c r="N1608" s="73"/>
      <c r="O1608" s="73"/>
      <c r="P1608" s="73"/>
      <c r="Q1608" s="73"/>
      <c r="R1608" s="73"/>
      <c r="S1608" s="73"/>
      <c r="T1608" s="73"/>
      <c r="U1608" s="73"/>
      <c r="V1608" s="73"/>
      <c r="W1608" s="73"/>
      <c r="X1608" s="73"/>
      <c r="Y1608" s="73"/>
      <c r="Z1608" s="73"/>
      <c r="AA1608" s="73"/>
      <c r="AB1608" s="73"/>
    </row>
    <row r="1609">
      <c r="A1609" s="73"/>
      <c r="B1609" s="73">
        <v>261334.2916</v>
      </c>
      <c r="C1609" s="73">
        <v>4.15951150846157E7</v>
      </c>
      <c r="D1609" s="73">
        <v>9935830.45799878</v>
      </c>
      <c r="E1609" s="73">
        <v>1962858.42042332</v>
      </c>
      <c r="F1609" s="73"/>
      <c r="G1609" s="73"/>
      <c r="H1609" s="73"/>
      <c r="I1609" s="73"/>
      <c r="J1609" s="73"/>
      <c r="K1609" s="73"/>
      <c r="L1609" s="73"/>
      <c r="M1609" s="73"/>
      <c r="N1609" s="73"/>
      <c r="O1609" s="73"/>
      <c r="P1609" s="73"/>
      <c r="Q1609" s="73"/>
      <c r="R1609" s="73"/>
      <c r="S1609" s="73"/>
      <c r="T1609" s="73"/>
      <c r="U1609" s="73"/>
      <c r="V1609" s="73"/>
      <c r="W1609" s="73"/>
      <c r="X1609" s="73"/>
      <c r="Y1609" s="73"/>
      <c r="Z1609" s="73"/>
      <c r="AA1609" s="73"/>
      <c r="AB1609" s="73"/>
    </row>
    <row r="1610">
      <c r="A1610" s="73"/>
      <c r="B1610" s="73">
        <v>261815.0611</v>
      </c>
      <c r="C1610" s="73">
        <v>4.16655918026581E7</v>
      </c>
      <c r="D1610" s="73">
        <v>9960979.49999969</v>
      </c>
      <c r="E1610" s="73">
        <v>1966262.70693806</v>
      </c>
      <c r="F1610" s="73"/>
      <c r="G1610" s="73"/>
      <c r="H1610" s="73"/>
      <c r="I1610" s="73"/>
      <c r="J1610" s="73"/>
      <c r="K1610" s="73"/>
      <c r="L1610" s="73"/>
      <c r="M1610" s="73"/>
      <c r="N1610" s="73"/>
      <c r="O1610" s="73"/>
      <c r="P1610" s="73"/>
      <c r="Q1610" s="73"/>
      <c r="R1610" s="73"/>
      <c r="S1610" s="73"/>
      <c r="T1610" s="73"/>
      <c r="U1610" s="73"/>
      <c r="V1610" s="73"/>
      <c r="W1610" s="73"/>
      <c r="X1610" s="73"/>
      <c r="Y1610" s="73"/>
      <c r="Z1610" s="73"/>
      <c r="AA1610" s="73"/>
      <c r="AB1610" s="73"/>
    </row>
    <row r="1611">
      <c r="A1611" s="73"/>
      <c r="B1611" s="73">
        <v>262296.7099</v>
      </c>
      <c r="C1611" s="73">
        <v>4.17361426806984E7</v>
      </c>
      <c r="D1611" s="73">
        <v>9986169.47200061</v>
      </c>
      <c r="E1611" s="73">
        <v>1969670.79516908</v>
      </c>
      <c r="F1611" s="73"/>
      <c r="G1611" s="73"/>
      <c r="H1611" s="73"/>
      <c r="I1611" s="73"/>
      <c r="J1611" s="73"/>
      <c r="K1611" s="73"/>
      <c r="L1611" s="73"/>
      <c r="M1611" s="73"/>
      <c r="N1611" s="73"/>
      <c r="O1611" s="73"/>
      <c r="P1611" s="73"/>
      <c r="Q1611" s="73"/>
      <c r="R1611" s="73"/>
      <c r="S1611" s="73"/>
      <c r="T1611" s="73"/>
      <c r="U1611" s="73"/>
      <c r="V1611" s="73"/>
      <c r="W1611" s="73"/>
      <c r="X1611" s="73"/>
      <c r="Y1611" s="73"/>
      <c r="Z1611" s="73"/>
      <c r="AA1611" s="73"/>
      <c r="AB1611" s="73"/>
    </row>
    <row r="1612">
      <c r="A1612" s="73"/>
      <c r="B1612" s="73">
        <v>262779.2432</v>
      </c>
      <c r="C1612" s="73">
        <v>4.18067759587364E7</v>
      </c>
      <c r="D1612" s="73">
        <v>1.00114009960015E7</v>
      </c>
      <c r="E1612" s="73">
        <v>1973082.90034939</v>
      </c>
      <c r="F1612" s="73"/>
      <c r="G1612" s="73"/>
      <c r="H1612" s="73"/>
      <c r="I1612" s="73"/>
      <c r="J1612" s="73"/>
      <c r="K1612" s="73"/>
      <c r="L1612" s="73"/>
      <c r="M1612" s="73"/>
      <c r="N1612" s="73"/>
      <c r="O1612" s="73"/>
      <c r="P1612" s="73"/>
      <c r="Q1612" s="73"/>
      <c r="R1612" s="73"/>
      <c r="S1612" s="73"/>
      <c r="T1612" s="73"/>
      <c r="U1612" s="73"/>
      <c r="V1612" s="73"/>
      <c r="W1612" s="73"/>
      <c r="X1612" s="73"/>
      <c r="Y1612" s="73"/>
      <c r="Z1612" s="73"/>
      <c r="AA1612" s="73"/>
      <c r="AB1612" s="73"/>
    </row>
    <row r="1613">
      <c r="A1613" s="73"/>
      <c r="B1613" s="73">
        <v>263262.6567</v>
      </c>
      <c r="C1613" s="73">
        <v>4.18774751567726E7</v>
      </c>
      <c r="D1613" s="73">
        <v>1.00366747479948E7</v>
      </c>
      <c r="E1613" s="73">
        <v>1976499.18537447</v>
      </c>
      <c r="F1613" s="73"/>
      <c r="G1613" s="73"/>
      <c r="H1613" s="73"/>
      <c r="I1613" s="73"/>
      <c r="J1613" s="73"/>
      <c r="K1613" s="73"/>
      <c r="L1613" s="73"/>
      <c r="M1613" s="73"/>
      <c r="N1613" s="73"/>
      <c r="O1613" s="73"/>
      <c r="P1613" s="73"/>
      <c r="Q1613" s="73"/>
      <c r="R1613" s="73"/>
      <c r="S1613" s="73"/>
      <c r="T1613" s="73"/>
      <c r="U1613" s="73"/>
      <c r="V1613" s="73"/>
      <c r="W1613" s="73"/>
      <c r="X1613" s="73"/>
      <c r="Y1613" s="73"/>
      <c r="Z1613" s="73"/>
      <c r="AA1613" s="73"/>
      <c r="AB1613" s="73"/>
    </row>
    <row r="1614">
      <c r="A1614" s="73"/>
      <c r="B1614" s="73">
        <v>263746.9504</v>
      </c>
      <c r="C1614" s="73">
        <v>4.19482567548065E7</v>
      </c>
      <c r="D1614" s="73">
        <v>1.00619894319957E7</v>
      </c>
      <c r="E1614" s="73">
        <v>1979919.27542835</v>
      </c>
      <c r="F1614" s="73"/>
      <c r="G1614" s="73"/>
      <c r="H1614" s="73"/>
      <c r="I1614" s="73"/>
      <c r="J1614" s="73"/>
      <c r="K1614" s="73"/>
      <c r="L1614" s="73"/>
      <c r="M1614" s="73"/>
      <c r="N1614" s="73"/>
      <c r="O1614" s="73"/>
      <c r="P1614" s="73"/>
      <c r="Q1614" s="73"/>
      <c r="R1614" s="73"/>
      <c r="S1614" s="73"/>
      <c r="T1614" s="73"/>
      <c r="U1614" s="73"/>
      <c r="V1614" s="73"/>
      <c r="W1614" s="73"/>
      <c r="X1614" s="73"/>
      <c r="Y1614" s="73"/>
      <c r="Z1614" s="73"/>
      <c r="AA1614" s="73"/>
      <c r="AB1614" s="73"/>
    </row>
    <row r="1615">
      <c r="A1615" s="73"/>
      <c r="B1615" s="73">
        <v>264232.1252</v>
      </c>
      <c r="C1615" s="73">
        <v>4.20191125128384E7</v>
      </c>
      <c r="D1615" s="73">
        <v>1.00873456479966E7</v>
      </c>
      <c r="E1615" s="73">
        <v>1983343.54863951</v>
      </c>
      <c r="F1615" s="73"/>
      <c r="G1615" s="73"/>
      <c r="H1615" s="73"/>
      <c r="I1615" s="73"/>
      <c r="J1615" s="73"/>
      <c r="K1615" s="73"/>
      <c r="L1615" s="73"/>
      <c r="M1615" s="73"/>
      <c r="N1615" s="73"/>
      <c r="O1615" s="73"/>
      <c r="P1615" s="73"/>
      <c r="Q1615" s="73"/>
      <c r="R1615" s="73"/>
      <c r="S1615" s="73"/>
      <c r="T1615" s="73"/>
      <c r="U1615" s="73"/>
      <c r="V1615" s="73"/>
      <c r="W1615" s="73"/>
      <c r="X1615" s="73"/>
      <c r="Y1615" s="73"/>
      <c r="Z1615" s="73"/>
      <c r="AA1615" s="73"/>
      <c r="AB1615" s="73"/>
    </row>
    <row r="1616">
      <c r="A1616" s="73"/>
      <c r="B1616" s="73">
        <v>264718.1861</v>
      </c>
      <c r="C1616" s="73">
        <v>4.20900424308681E7</v>
      </c>
      <c r="D1616" s="73">
        <v>1.01127434719976E7</v>
      </c>
      <c r="E1616" s="73">
        <v>1986771.71499195</v>
      </c>
      <c r="F1616" s="73"/>
      <c r="G1616" s="73"/>
      <c r="H1616" s="73"/>
      <c r="I1616" s="73"/>
      <c r="J1616" s="73"/>
      <c r="K1616" s="73"/>
      <c r="L1616" s="73"/>
      <c r="M1616" s="73"/>
      <c r="N1616" s="73"/>
      <c r="O1616" s="73"/>
      <c r="P1616" s="73"/>
      <c r="Q1616" s="73"/>
      <c r="R1616" s="73"/>
      <c r="S1616" s="73"/>
      <c r="T1616" s="73"/>
      <c r="U1616" s="73"/>
      <c r="V1616" s="73"/>
      <c r="W1616" s="73"/>
      <c r="X1616" s="73"/>
      <c r="Y1616" s="73"/>
      <c r="Z1616" s="73"/>
      <c r="AA1616" s="73"/>
      <c r="AB1616" s="73"/>
    </row>
    <row r="1617">
      <c r="A1617" s="73"/>
      <c r="B1617" s="73">
        <v>265205.1289</v>
      </c>
      <c r="C1617" s="73">
        <v>4.21610465088959E7</v>
      </c>
      <c r="D1617" s="73">
        <v>1.01381828459985E7</v>
      </c>
      <c r="E1617" s="73">
        <v>1990203.97970167</v>
      </c>
      <c r="F1617" s="73"/>
      <c r="G1617" s="73"/>
      <c r="H1617" s="73"/>
      <c r="I1617" s="73"/>
      <c r="J1617" s="73"/>
      <c r="K1617" s="73"/>
      <c r="L1617" s="73"/>
      <c r="M1617" s="73"/>
      <c r="N1617" s="73"/>
      <c r="O1617" s="73"/>
      <c r="P1617" s="73"/>
      <c r="Q1617" s="73"/>
      <c r="R1617" s="73"/>
      <c r="S1617" s="73"/>
      <c r="T1617" s="73"/>
      <c r="U1617" s="73"/>
      <c r="V1617" s="73"/>
      <c r="W1617" s="73"/>
      <c r="X1617" s="73"/>
      <c r="Y1617" s="73"/>
      <c r="Z1617" s="73"/>
      <c r="AA1617" s="73"/>
      <c r="AB1617" s="73"/>
    </row>
    <row r="1618">
      <c r="A1618" s="73"/>
      <c r="B1618" s="73">
        <v>265692.9533</v>
      </c>
      <c r="C1618" s="73">
        <v>4.22321247469215E7</v>
      </c>
      <c r="D1618" s="73">
        <v>1.01636644319994E7</v>
      </c>
      <c r="E1618" s="73">
        <v>1993640.13424018</v>
      </c>
      <c r="F1618" s="73"/>
      <c r="G1618" s="73"/>
      <c r="H1618" s="73"/>
      <c r="I1618" s="73"/>
      <c r="J1618" s="73"/>
      <c r="K1618" s="73"/>
      <c r="L1618" s="73"/>
      <c r="M1618" s="73"/>
      <c r="N1618" s="73"/>
      <c r="O1618" s="73"/>
      <c r="P1618" s="73"/>
      <c r="Q1618" s="73"/>
      <c r="R1618" s="73"/>
      <c r="S1618" s="73"/>
      <c r="T1618" s="73"/>
      <c r="U1618" s="73"/>
      <c r="V1618" s="73"/>
      <c r="W1618" s="73"/>
      <c r="X1618" s="73"/>
      <c r="Y1618" s="73"/>
      <c r="Z1618" s="73"/>
      <c r="AA1618" s="73"/>
      <c r="AB1618" s="73"/>
    </row>
    <row r="1619">
      <c r="A1619" s="73"/>
      <c r="B1619" s="73">
        <v>266181.6605</v>
      </c>
      <c r="C1619" s="73">
        <v>4.23032853849449E7</v>
      </c>
      <c r="D1619" s="73">
        <v>1.01891875680003E7</v>
      </c>
      <c r="E1619" s="73">
        <v>1997080.39044847</v>
      </c>
      <c r="F1619" s="73"/>
      <c r="G1619" s="73"/>
      <c r="H1619" s="73"/>
      <c r="I1619" s="73"/>
      <c r="J1619" s="73"/>
      <c r="K1619" s="73"/>
      <c r="L1619" s="73"/>
      <c r="M1619" s="73"/>
      <c r="N1619" s="73"/>
      <c r="O1619" s="73"/>
      <c r="P1619" s="73"/>
      <c r="Q1619" s="73"/>
      <c r="R1619" s="73"/>
      <c r="S1619" s="73"/>
      <c r="T1619" s="73"/>
      <c r="U1619" s="73"/>
      <c r="V1619" s="73"/>
      <c r="W1619" s="73"/>
      <c r="X1619" s="73"/>
      <c r="Y1619" s="73"/>
      <c r="Z1619" s="73"/>
      <c r="AA1619" s="73"/>
      <c r="AB1619" s="73"/>
    </row>
    <row r="1620">
      <c r="A1620" s="73"/>
      <c r="B1620" s="73">
        <v>266671.2554</v>
      </c>
      <c r="C1620" s="73">
        <v>4.23745119429665E7</v>
      </c>
      <c r="D1620" s="73">
        <v>1.02147522940012E7</v>
      </c>
      <c r="E1620" s="73">
        <v>2000524.70931854</v>
      </c>
      <c r="F1620" s="73"/>
      <c r="G1620" s="73"/>
      <c r="H1620" s="73"/>
      <c r="I1620" s="73"/>
      <c r="J1620" s="73"/>
      <c r="K1620" s="73"/>
      <c r="L1620" s="73"/>
      <c r="M1620" s="73"/>
      <c r="N1620" s="73"/>
      <c r="O1620" s="73"/>
      <c r="P1620" s="73"/>
      <c r="Q1620" s="73"/>
      <c r="R1620" s="73"/>
      <c r="S1620" s="73"/>
      <c r="T1620" s="73"/>
      <c r="U1620" s="73"/>
      <c r="V1620" s="73"/>
      <c r="W1620" s="73"/>
      <c r="X1620" s="73"/>
      <c r="Y1620" s="73"/>
      <c r="Z1620" s="73"/>
      <c r="AA1620" s="73"/>
      <c r="AB1620" s="73"/>
    </row>
    <row r="1621">
      <c r="A1621" s="73"/>
      <c r="B1621" s="73">
        <v>267161.7333</v>
      </c>
      <c r="C1621" s="73">
        <v>4.24458209009857E7</v>
      </c>
      <c r="D1621" s="73">
        <v>1.02403585900021E7</v>
      </c>
      <c r="E1621" s="73">
        <v>2003973.04513789</v>
      </c>
      <c r="F1621" s="73"/>
      <c r="G1621" s="73"/>
      <c r="H1621" s="73"/>
      <c r="I1621" s="73"/>
      <c r="J1621" s="73"/>
      <c r="K1621" s="73"/>
      <c r="L1621" s="73"/>
      <c r="M1621" s="73"/>
      <c r="N1621" s="73"/>
      <c r="O1621" s="73"/>
      <c r="P1621" s="73"/>
      <c r="Q1621" s="73"/>
      <c r="R1621" s="73"/>
      <c r="S1621" s="73"/>
      <c r="T1621" s="73"/>
      <c r="U1621" s="73"/>
      <c r="V1621" s="73"/>
      <c r="W1621" s="73"/>
      <c r="X1621" s="73"/>
      <c r="Y1621" s="73"/>
      <c r="Z1621" s="73"/>
      <c r="AA1621" s="73"/>
      <c r="AB1621" s="73"/>
    </row>
    <row r="1622">
      <c r="A1622" s="73"/>
      <c r="B1622" s="73">
        <v>267653.0949</v>
      </c>
      <c r="C1622" s="73">
        <v>4.25172122590027E7</v>
      </c>
      <c r="D1622" s="73">
        <v>1.02660071159954E7</v>
      </c>
      <c r="E1622" s="73">
        <v>2007425.35881903</v>
      </c>
      <c r="F1622" s="73"/>
      <c r="G1622" s="73"/>
      <c r="H1622" s="73"/>
      <c r="I1622" s="73"/>
      <c r="J1622" s="73"/>
      <c r="K1622" s="73"/>
      <c r="L1622" s="73"/>
      <c r="M1622" s="73"/>
      <c r="N1622" s="73"/>
      <c r="O1622" s="73"/>
      <c r="P1622" s="73"/>
      <c r="Q1622" s="73"/>
      <c r="R1622" s="73"/>
      <c r="S1622" s="73"/>
      <c r="T1622" s="73"/>
      <c r="U1622" s="73"/>
      <c r="V1622" s="73"/>
      <c r="W1622" s="73"/>
      <c r="X1622" s="73"/>
      <c r="Y1622" s="73"/>
      <c r="Z1622" s="73"/>
      <c r="AA1622" s="73"/>
      <c r="AB1622" s="73"/>
    </row>
    <row r="1623">
      <c r="A1623" s="73"/>
      <c r="B1623" s="73">
        <v>268145.3405</v>
      </c>
      <c r="C1623" s="73">
        <v>4.25886695370178E7</v>
      </c>
      <c r="D1623" s="73">
        <v>1.02916971539963E7</v>
      </c>
      <c r="E1623" s="73">
        <v>2010881.68944945</v>
      </c>
      <c r="F1623" s="73"/>
      <c r="G1623" s="73"/>
      <c r="H1623" s="73"/>
      <c r="I1623" s="73"/>
      <c r="J1623" s="73"/>
      <c r="K1623" s="73"/>
      <c r="L1623" s="73"/>
      <c r="M1623" s="73"/>
      <c r="N1623" s="73"/>
      <c r="O1623" s="73"/>
      <c r="P1623" s="73"/>
      <c r="Q1623" s="73"/>
      <c r="R1623" s="73"/>
      <c r="S1623" s="73"/>
      <c r="T1623" s="73"/>
      <c r="U1623" s="73"/>
      <c r="V1623" s="73"/>
      <c r="W1623" s="73"/>
      <c r="X1623" s="73"/>
      <c r="Y1623" s="73"/>
      <c r="Z1623" s="73"/>
      <c r="AA1623" s="73"/>
      <c r="AB1623" s="73"/>
    </row>
    <row r="1624">
      <c r="A1624" s="73"/>
      <c r="B1624" s="73">
        <v>268638.4755</v>
      </c>
      <c r="C1624" s="73">
        <v>4.26602009750309E7</v>
      </c>
      <c r="D1624" s="73">
        <v>1.03174294419973E7</v>
      </c>
      <c r="E1624" s="73">
        <v>2014342.08936666</v>
      </c>
      <c r="F1624" s="73"/>
      <c r="G1624" s="73"/>
      <c r="H1624" s="73"/>
      <c r="I1624" s="73"/>
      <c r="J1624" s="73"/>
      <c r="K1624" s="73"/>
      <c r="L1624" s="73"/>
      <c r="M1624" s="73"/>
      <c r="N1624" s="73"/>
      <c r="O1624" s="73"/>
      <c r="P1624" s="73"/>
      <c r="Q1624" s="73"/>
      <c r="R1624" s="73"/>
      <c r="S1624" s="73"/>
      <c r="T1624" s="73"/>
      <c r="U1624" s="73"/>
      <c r="V1624" s="73"/>
      <c r="W1624" s="73"/>
      <c r="X1624" s="73"/>
      <c r="Y1624" s="73"/>
      <c r="Z1624" s="73"/>
      <c r="AA1624" s="73"/>
      <c r="AB1624" s="73"/>
    </row>
    <row r="1625">
      <c r="A1625" s="73"/>
      <c r="B1625" s="73">
        <v>269132.495</v>
      </c>
      <c r="C1625" s="73">
        <v>4.27318148130417E7</v>
      </c>
      <c r="D1625" s="73">
        <v>1.03432032799982E7</v>
      </c>
      <c r="E1625" s="73">
        <v>2017806.42143315</v>
      </c>
      <c r="F1625" s="73"/>
      <c r="G1625" s="73"/>
      <c r="H1625" s="73"/>
      <c r="I1625" s="73"/>
      <c r="J1625" s="73"/>
      <c r="K1625" s="73"/>
      <c r="L1625" s="73"/>
      <c r="M1625" s="73"/>
      <c r="N1625" s="73"/>
      <c r="O1625" s="73"/>
      <c r="P1625" s="73"/>
      <c r="Q1625" s="73"/>
      <c r="R1625" s="73"/>
      <c r="S1625" s="73"/>
      <c r="T1625" s="73"/>
      <c r="U1625" s="73"/>
      <c r="V1625" s="73"/>
      <c r="W1625" s="73"/>
      <c r="X1625" s="73"/>
      <c r="Y1625" s="73"/>
      <c r="Z1625" s="73"/>
      <c r="AA1625" s="73"/>
      <c r="AB1625" s="73"/>
    </row>
    <row r="1626">
      <c r="A1626" s="73"/>
      <c r="B1626" s="73">
        <v>269627.4048</v>
      </c>
      <c r="C1626" s="73">
        <v>4.28035028110504E7</v>
      </c>
      <c r="D1626" s="73">
        <v>1.03690193479991E7</v>
      </c>
      <c r="E1626" s="73">
        <v>2021274.81616142</v>
      </c>
      <c r="F1626" s="73"/>
      <c r="G1626" s="73"/>
      <c r="H1626" s="73"/>
      <c r="I1626" s="73"/>
      <c r="J1626" s="73"/>
      <c r="K1626" s="73"/>
      <c r="L1626" s="73"/>
      <c r="M1626" s="73"/>
      <c r="N1626" s="73"/>
      <c r="O1626" s="73"/>
      <c r="P1626" s="73"/>
      <c r="Q1626" s="73"/>
      <c r="R1626" s="73"/>
      <c r="S1626" s="73"/>
      <c r="T1626" s="73"/>
      <c r="U1626" s="73"/>
      <c r="V1626" s="73"/>
      <c r="W1626" s="73"/>
      <c r="X1626" s="73"/>
      <c r="Y1626" s="73"/>
      <c r="Z1626" s="73"/>
      <c r="AA1626" s="73"/>
      <c r="AB1626" s="73"/>
    </row>
    <row r="1627">
      <c r="A1627" s="73"/>
      <c r="B1627" s="73">
        <v>270123.1998</v>
      </c>
      <c r="C1627" s="73">
        <v>4.28752649690571E7</v>
      </c>
      <c r="D1627" s="73">
        <v>1.0394876966E7</v>
      </c>
      <c r="E1627" s="73">
        <v>2024747.31918446</v>
      </c>
      <c r="F1627" s="73"/>
      <c r="G1627" s="73"/>
      <c r="H1627" s="73"/>
      <c r="I1627" s="73"/>
      <c r="J1627" s="73"/>
      <c r="K1627" s="73"/>
      <c r="L1627" s="73"/>
      <c r="M1627" s="73"/>
      <c r="N1627" s="73"/>
      <c r="O1627" s="73"/>
      <c r="P1627" s="73"/>
      <c r="Q1627" s="73"/>
      <c r="R1627" s="73"/>
      <c r="S1627" s="73"/>
      <c r="T1627" s="73"/>
      <c r="U1627" s="73"/>
      <c r="V1627" s="73"/>
      <c r="W1627" s="73"/>
      <c r="X1627" s="73"/>
      <c r="Y1627" s="73"/>
      <c r="Z1627" s="73"/>
      <c r="AA1627" s="73"/>
      <c r="AB1627" s="73"/>
    </row>
    <row r="1628">
      <c r="A1628" s="73"/>
      <c r="B1628" s="73">
        <v>270619.8809</v>
      </c>
      <c r="C1628" s="73">
        <v>4.29471012870617E7</v>
      </c>
      <c r="D1628" s="73">
        <v>1.04207768160009E7</v>
      </c>
      <c r="E1628" s="73">
        <v>2028223.7186613</v>
      </c>
      <c r="F1628" s="73"/>
      <c r="G1628" s="73"/>
      <c r="H1628" s="73"/>
      <c r="I1628" s="73"/>
      <c r="J1628" s="73"/>
      <c r="K1628" s="73"/>
      <c r="L1628" s="73"/>
      <c r="M1628" s="73"/>
      <c r="N1628" s="73"/>
      <c r="O1628" s="73"/>
      <c r="P1628" s="73"/>
      <c r="Q1628" s="73"/>
      <c r="R1628" s="73"/>
      <c r="S1628" s="73"/>
      <c r="T1628" s="73"/>
      <c r="U1628" s="73"/>
      <c r="V1628" s="73"/>
      <c r="W1628" s="73"/>
      <c r="X1628" s="73"/>
      <c r="Y1628" s="73"/>
      <c r="Z1628" s="73"/>
      <c r="AA1628" s="73"/>
      <c r="AB1628" s="73"/>
    </row>
    <row r="1629">
      <c r="A1629" s="73"/>
      <c r="B1629" s="73">
        <v>271117.4479</v>
      </c>
      <c r="C1629" s="73">
        <v>4.3019020005064E7</v>
      </c>
      <c r="D1629" s="73">
        <v>1.04467188740018E7</v>
      </c>
      <c r="E1629" s="73">
        <v>2031704.30792042</v>
      </c>
      <c r="F1629" s="73"/>
      <c r="G1629" s="73"/>
      <c r="H1629" s="73"/>
      <c r="I1629" s="73"/>
      <c r="J1629" s="73"/>
      <c r="K1629" s="73"/>
      <c r="L1629" s="73"/>
      <c r="M1629" s="73"/>
      <c r="N1629" s="73"/>
      <c r="O1629" s="73"/>
      <c r="P1629" s="73"/>
      <c r="Q1629" s="73"/>
      <c r="R1629" s="73"/>
      <c r="S1629" s="73"/>
      <c r="T1629" s="73"/>
      <c r="U1629" s="73"/>
      <c r="V1629" s="73"/>
      <c r="W1629" s="73"/>
      <c r="X1629" s="73"/>
      <c r="Y1629" s="73"/>
      <c r="Z1629" s="73"/>
      <c r="AA1629" s="73"/>
      <c r="AB1629" s="73"/>
    </row>
    <row r="1630">
      <c r="A1630" s="73"/>
      <c r="B1630" s="73">
        <v>271615.9115</v>
      </c>
      <c r="C1630" s="73">
        <v>4.3091021123064E7</v>
      </c>
      <c r="D1630" s="73">
        <v>1.04727031039951E7</v>
      </c>
      <c r="E1630" s="73">
        <v>2035188.75454582</v>
      </c>
      <c r="F1630" s="73"/>
      <c r="G1630" s="73"/>
      <c r="H1630" s="73"/>
      <c r="I1630" s="73"/>
      <c r="J1630" s="73"/>
      <c r="K1630" s="73"/>
      <c r="L1630" s="73"/>
      <c r="M1630" s="73"/>
      <c r="N1630" s="73"/>
      <c r="O1630" s="73"/>
      <c r="P1630" s="73"/>
      <c r="Q1630" s="73"/>
      <c r="R1630" s="73"/>
      <c r="S1630" s="73"/>
      <c r="T1630" s="73"/>
      <c r="U1630" s="73"/>
      <c r="V1630" s="73"/>
      <c r="W1630" s="73"/>
      <c r="X1630" s="73"/>
      <c r="Y1630" s="73"/>
      <c r="Z1630" s="73"/>
      <c r="AA1630" s="73"/>
      <c r="AB1630" s="73"/>
    </row>
    <row r="1631">
      <c r="A1631" s="73"/>
      <c r="B1631" s="73">
        <v>272115.2569</v>
      </c>
      <c r="C1631" s="73">
        <v>4.31630799210625E7</v>
      </c>
      <c r="D1631" s="73">
        <v>1.0498728943996E7</v>
      </c>
      <c r="E1631" s="73">
        <v>2038677.351866</v>
      </c>
      <c r="F1631" s="73"/>
      <c r="G1631" s="73"/>
      <c r="H1631" s="73"/>
      <c r="I1631" s="73"/>
      <c r="J1631" s="73"/>
      <c r="K1631" s="73"/>
      <c r="L1631" s="73"/>
      <c r="M1631" s="73"/>
      <c r="N1631" s="73"/>
      <c r="O1631" s="73"/>
      <c r="P1631" s="73"/>
      <c r="Q1631" s="73"/>
      <c r="R1631" s="73"/>
      <c r="S1631" s="73"/>
      <c r="T1631" s="73"/>
      <c r="U1631" s="73"/>
      <c r="V1631" s="73"/>
      <c r="W1631" s="73"/>
      <c r="X1631" s="73"/>
      <c r="Y1631" s="73"/>
      <c r="Z1631" s="73"/>
      <c r="AA1631" s="73"/>
      <c r="AB1631" s="73"/>
    </row>
    <row r="1632">
      <c r="A1632" s="73"/>
      <c r="B1632" s="73">
        <v>272615.4947</v>
      </c>
      <c r="C1632" s="73">
        <v>4.32352211190586E7</v>
      </c>
      <c r="D1632" s="73">
        <v>1.05247969739969E7</v>
      </c>
      <c r="E1632" s="73">
        <v>2042169.97276046</v>
      </c>
      <c r="F1632" s="73"/>
      <c r="G1632" s="73"/>
      <c r="H1632" s="73"/>
      <c r="I1632" s="73"/>
      <c r="J1632" s="73"/>
      <c r="K1632" s="73"/>
      <c r="L1632" s="73"/>
      <c r="M1632" s="73"/>
      <c r="N1632" s="73"/>
      <c r="O1632" s="73"/>
      <c r="P1632" s="73"/>
      <c r="Q1632" s="73"/>
      <c r="R1632" s="73"/>
      <c r="S1632" s="73"/>
      <c r="T1632" s="73"/>
      <c r="U1632" s="73"/>
      <c r="V1632" s="73"/>
      <c r="W1632" s="73"/>
      <c r="X1632" s="73"/>
      <c r="Y1632" s="73"/>
      <c r="Z1632" s="73"/>
      <c r="AA1632" s="73"/>
      <c r="AB1632" s="73"/>
    </row>
    <row r="1633">
      <c r="A1633" s="73"/>
      <c r="B1633" s="73">
        <v>273116.6201</v>
      </c>
      <c r="C1633" s="73">
        <v>4.33074447170525E7</v>
      </c>
      <c r="D1633" s="73">
        <v>1.05509072139979E7</v>
      </c>
      <c r="E1633" s="73">
        <v>2045666.7834372</v>
      </c>
      <c r="F1633" s="73"/>
      <c r="G1633" s="73"/>
      <c r="H1633" s="73"/>
      <c r="I1633" s="73"/>
      <c r="J1633" s="73"/>
      <c r="K1633" s="73"/>
      <c r="L1633" s="73"/>
      <c r="M1633" s="73"/>
      <c r="N1633" s="73"/>
      <c r="O1633" s="73"/>
      <c r="P1633" s="73"/>
      <c r="Q1633" s="73"/>
      <c r="R1633" s="73"/>
      <c r="S1633" s="73"/>
      <c r="T1633" s="73"/>
      <c r="U1633" s="73"/>
      <c r="V1633" s="73"/>
      <c r="W1633" s="73"/>
      <c r="X1633" s="73"/>
      <c r="Y1633" s="73"/>
      <c r="Z1633" s="73"/>
      <c r="AA1633" s="73"/>
      <c r="AB1633" s="73"/>
    </row>
    <row r="1634">
      <c r="A1634" s="73"/>
      <c r="B1634" s="73">
        <v>273618.6384</v>
      </c>
      <c r="C1634" s="73">
        <v>4.3379750715044E7</v>
      </c>
      <c r="D1634" s="73">
        <v>1.05770596839988E7</v>
      </c>
      <c r="E1634" s="73">
        <v>2049167.41239273</v>
      </c>
      <c r="F1634" s="73"/>
      <c r="G1634" s="73"/>
      <c r="H1634" s="73"/>
      <c r="I1634" s="73"/>
      <c r="J1634" s="73"/>
      <c r="K1634" s="73"/>
      <c r="L1634" s="73"/>
      <c r="M1634" s="73"/>
      <c r="N1634" s="73"/>
      <c r="O1634" s="73"/>
      <c r="P1634" s="73"/>
      <c r="Q1634" s="73"/>
      <c r="R1634" s="73"/>
      <c r="S1634" s="73"/>
      <c r="T1634" s="73"/>
      <c r="U1634" s="73"/>
      <c r="V1634" s="73"/>
      <c r="W1634" s="73"/>
      <c r="X1634" s="73"/>
      <c r="Y1634" s="73"/>
      <c r="Z1634" s="73"/>
      <c r="AA1634" s="73"/>
      <c r="AB1634" s="73"/>
    </row>
    <row r="1635">
      <c r="A1635" s="73"/>
      <c r="B1635" s="73">
        <v>274121.5449</v>
      </c>
      <c r="C1635" s="73">
        <v>4.3452114393034E7</v>
      </c>
      <c r="D1635" s="73">
        <v>1.06032543639997E7</v>
      </c>
      <c r="E1635" s="73">
        <v>2052672.11063504</v>
      </c>
      <c r="F1635" s="73"/>
      <c r="G1635" s="73"/>
      <c r="H1635" s="73"/>
      <c r="I1635" s="73"/>
      <c r="J1635" s="73"/>
      <c r="K1635" s="73"/>
      <c r="L1635" s="73"/>
      <c r="M1635" s="73"/>
      <c r="N1635" s="73"/>
      <c r="O1635" s="73"/>
      <c r="P1635" s="73"/>
      <c r="Q1635" s="73"/>
      <c r="R1635" s="73"/>
      <c r="S1635" s="73"/>
      <c r="T1635" s="73"/>
      <c r="U1635" s="73"/>
      <c r="V1635" s="73"/>
      <c r="W1635" s="73"/>
      <c r="X1635" s="73"/>
      <c r="Y1635" s="73"/>
      <c r="Z1635" s="73"/>
      <c r="AA1635" s="73"/>
      <c r="AB1635" s="73"/>
    </row>
    <row r="1636">
      <c r="A1636" s="73"/>
      <c r="B1636" s="73">
        <v>274625.3452</v>
      </c>
      <c r="C1636" s="73">
        <v>4.35245687110214E7</v>
      </c>
      <c r="D1636" s="73">
        <v>1.06294912360006E7</v>
      </c>
      <c r="E1636" s="73">
        <v>2056180.95957213</v>
      </c>
      <c r="F1636" s="73"/>
      <c r="G1636" s="73"/>
      <c r="H1636" s="73"/>
      <c r="I1636" s="73"/>
      <c r="J1636" s="73"/>
      <c r="K1636" s="73"/>
      <c r="L1636" s="73"/>
      <c r="M1636" s="73"/>
      <c r="N1636" s="73"/>
      <c r="O1636" s="73"/>
      <c r="P1636" s="73"/>
      <c r="Q1636" s="73"/>
      <c r="R1636" s="73"/>
      <c r="S1636" s="73"/>
      <c r="T1636" s="73"/>
      <c r="U1636" s="73"/>
      <c r="V1636" s="73"/>
      <c r="W1636" s="73"/>
      <c r="X1636" s="73"/>
      <c r="Y1636" s="73"/>
      <c r="Z1636" s="73"/>
      <c r="AA1636" s="73"/>
      <c r="AB1636" s="73"/>
    </row>
    <row r="1637">
      <c r="A1637" s="73"/>
      <c r="B1637" s="73">
        <v>275130.0343</v>
      </c>
      <c r="C1637" s="73">
        <v>4.3597088949007E7</v>
      </c>
      <c r="D1637" s="73">
        <v>1.06557709580015E7</v>
      </c>
      <c r="E1637" s="73">
        <v>2059693.8387085</v>
      </c>
      <c r="F1637" s="73"/>
      <c r="G1637" s="73"/>
      <c r="H1637" s="73"/>
      <c r="I1637" s="73"/>
      <c r="J1637" s="73"/>
      <c r="K1637" s="73"/>
      <c r="L1637" s="73"/>
      <c r="M1637" s="73"/>
      <c r="N1637" s="73"/>
      <c r="O1637" s="73"/>
      <c r="P1637" s="73"/>
      <c r="Q1637" s="73"/>
      <c r="R1637" s="73"/>
      <c r="S1637" s="73"/>
      <c r="T1637" s="73"/>
      <c r="U1637" s="73"/>
      <c r="V1637" s="73"/>
      <c r="W1637" s="73"/>
      <c r="X1637" s="73"/>
      <c r="Y1637" s="73"/>
      <c r="Z1637" s="73"/>
      <c r="AA1637" s="73"/>
      <c r="AB1637" s="73"/>
    </row>
    <row r="1638">
      <c r="A1638" s="73"/>
      <c r="B1638" s="73">
        <v>275635.6177</v>
      </c>
      <c r="C1638" s="73">
        <v>4.36696998269901E7</v>
      </c>
      <c r="D1638" s="73">
        <v>1.06820922499948E7</v>
      </c>
      <c r="E1638" s="73">
        <v>2063210.74473165</v>
      </c>
      <c r="F1638" s="73"/>
      <c r="G1638" s="73"/>
      <c r="H1638" s="73"/>
      <c r="I1638" s="73"/>
      <c r="J1638" s="73"/>
      <c r="K1638" s="73"/>
      <c r="L1638" s="73"/>
      <c r="M1638" s="73"/>
      <c r="N1638" s="73"/>
      <c r="O1638" s="73"/>
      <c r="P1638" s="73"/>
      <c r="Q1638" s="73"/>
      <c r="R1638" s="73"/>
      <c r="S1638" s="73"/>
      <c r="T1638" s="73"/>
      <c r="U1638" s="73"/>
      <c r="V1638" s="73"/>
      <c r="W1638" s="73"/>
      <c r="X1638" s="73"/>
      <c r="Y1638" s="73"/>
      <c r="Z1638" s="73"/>
      <c r="AA1638" s="73"/>
      <c r="AB1638" s="73"/>
    </row>
    <row r="1639">
      <c r="A1639" s="73"/>
      <c r="B1639" s="73">
        <v>276142.0858</v>
      </c>
      <c r="C1639" s="73">
        <v>4.37423766249714E7</v>
      </c>
      <c r="D1639" s="73">
        <v>1.07084557719957E7</v>
      </c>
      <c r="E1639" s="73">
        <v>2066731.67764158</v>
      </c>
      <c r="F1639" s="73"/>
      <c r="G1639" s="73"/>
      <c r="H1639" s="73"/>
      <c r="I1639" s="73"/>
      <c r="J1639" s="73"/>
      <c r="K1639" s="73"/>
      <c r="L1639" s="73"/>
      <c r="M1639" s="73"/>
      <c r="N1639" s="73"/>
      <c r="O1639" s="73"/>
      <c r="P1639" s="73"/>
      <c r="Q1639" s="73"/>
      <c r="R1639" s="73"/>
      <c r="S1639" s="73"/>
      <c r="T1639" s="73"/>
      <c r="U1639" s="73"/>
      <c r="V1639" s="73"/>
      <c r="W1639" s="73"/>
      <c r="X1639" s="73"/>
      <c r="Y1639" s="73"/>
      <c r="Z1639" s="73"/>
      <c r="AA1639" s="73"/>
      <c r="AB1639" s="73"/>
    </row>
    <row r="1640">
      <c r="A1640" s="73"/>
      <c r="B1640" s="73">
        <v>276649.4539</v>
      </c>
      <c r="C1640" s="73">
        <v>4.38151275829506E7</v>
      </c>
      <c r="D1640" s="73">
        <v>1.07348621239966E7</v>
      </c>
      <c r="E1640" s="73">
        <v>2070256.5983508</v>
      </c>
      <c r="F1640" s="73"/>
      <c r="G1640" s="73"/>
      <c r="H1640" s="73"/>
      <c r="I1640" s="73"/>
      <c r="J1640" s="73"/>
      <c r="K1640" s="73"/>
      <c r="L1640" s="73"/>
      <c r="M1640" s="73"/>
      <c r="N1640" s="73"/>
      <c r="O1640" s="73"/>
      <c r="P1640" s="73"/>
      <c r="Q1640" s="73"/>
      <c r="R1640" s="73"/>
      <c r="S1640" s="73"/>
      <c r="T1640" s="73"/>
      <c r="U1640" s="73"/>
      <c r="V1640" s="73"/>
      <c r="W1640" s="73"/>
      <c r="X1640" s="73"/>
      <c r="Y1640" s="73"/>
      <c r="Z1640" s="73"/>
      <c r="AA1640" s="73"/>
      <c r="AB1640" s="73"/>
    </row>
    <row r="1641">
      <c r="A1641" s="73"/>
      <c r="B1641" s="73">
        <v>277157.7127</v>
      </c>
      <c r="C1641" s="73">
        <v>4.38879609409275E7</v>
      </c>
      <c r="D1641" s="73">
        <v>1.07613107059976E7</v>
      </c>
      <c r="E1641" s="73">
        <v>2073785.7187798</v>
      </c>
      <c r="F1641" s="73"/>
      <c r="G1641" s="73"/>
      <c r="H1641" s="73"/>
      <c r="I1641" s="73"/>
      <c r="J1641" s="73"/>
      <c r="K1641" s="73"/>
      <c r="L1641" s="73"/>
      <c r="M1641" s="73"/>
      <c r="N1641" s="73"/>
      <c r="O1641" s="73"/>
      <c r="P1641" s="73"/>
      <c r="Q1641" s="73"/>
      <c r="R1641" s="73"/>
      <c r="S1641" s="73"/>
      <c r="T1641" s="73"/>
      <c r="U1641" s="73"/>
      <c r="V1641" s="73"/>
      <c r="W1641" s="73"/>
      <c r="X1641" s="73"/>
      <c r="Y1641" s="73"/>
      <c r="Z1641" s="73"/>
      <c r="AA1641" s="73"/>
      <c r="AB1641" s="73"/>
    </row>
    <row r="1642">
      <c r="A1642" s="73"/>
      <c r="B1642" s="73">
        <v>277666.8615</v>
      </c>
      <c r="C1642" s="73">
        <v>4.39608684589024E7</v>
      </c>
      <c r="D1642" s="73">
        <v>1.07878021579985E7</v>
      </c>
      <c r="E1642" s="73">
        <v>2077318.69657508</v>
      </c>
      <c r="F1642" s="73"/>
      <c r="G1642" s="73"/>
      <c r="H1642" s="73"/>
      <c r="I1642" s="73"/>
      <c r="J1642" s="73"/>
      <c r="K1642" s="73"/>
      <c r="L1642" s="73"/>
      <c r="M1642" s="73"/>
      <c r="N1642" s="73"/>
      <c r="O1642" s="73"/>
      <c r="P1642" s="73"/>
      <c r="Q1642" s="73"/>
      <c r="R1642" s="73"/>
      <c r="S1642" s="73"/>
      <c r="T1642" s="73"/>
      <c r="U1642" s="73"/>
      <c r="V1642" s="73"/>
      <c r="W1642" s="73"/>
      <c r="X1642" s="73"/>
      <c r="Y1642" s="73"/>
      <c r="Z1642" s="73"/>
      <c r="AA1642" s="73"/>
      <c r="AB1642" s="73"/>
    </row>
    <row r="1643">
      <c r="A1643" s="73"/>
      <c r="B1643" s="73">
        <v>278176.9117</v>
      </c>
      <c r="C1643" s="73">
        <v>4.40338583768749E7</v>
      </c>
      <c r="D1643" s="73">
        <v>1.08143357999994E7</v>
      </c>
      <c r="E1643" s="73">
        <v>2080855.87740264</v>
      </c>
      <c r="F1643" s="73"/>
      <c r="G1643" s="73"/>
      <c r="H1643" s="73"/>
      <c r="I1643" s="73"/>
      <c r="J1643" s="73"/>
      <c r="K1643" s="73"/>
      <c r="L1643" s="73"/>
      <c r="M1643" s="73"/>
      <c r="N1643" s="73"/>
      <c r="O1643" s="73"/>
      <c r="P1643" s="73"/>
      <c r="Q1643" s="73"/>
      <c r="R1643" s="73"/>
      <c r="S1643" s="73"/>
      <c r="T1643" s="73"/>
      <c r="U1643" s="73"/>
      <c r="V1643" s="73"/>
      <c r="W1643" s="73"/>
      <c r="X1643" s="73"/>
      <c r="Y1643" s="73"/>
      <c r="Z1643" s="73"/>
      <c r="AA1643" s="73"/>
      <c r="AB1643" s="73"/>
    </row>
    <row r="1644">
      <c r="A1644" s="73"/>
      <c r="B1644" s="73">
        <v>278687.8534</v>
      </c>
      <c r="C1644" s="73">
        <v>4.41069142148457E7</v>
      </c>
      <c r="D1644" s="73">
        <v>1.08409116340003E7</v>
      </c>
      <c r="E1644" s="73">
        <v>2084397.04271698</v>
      </c>
      <c r="F1644" s="73"/>
      <c r="G1644" s="73"/>
      <c r="H1644" s="73"/>
      <c r="I1644" s="73"/>
      <c r="J1644" s="73"/>
      <c r="K1644" s="73"/>
      <c r="L1644" s="73"/>
      <c r="M1644" s="73"/>
      <c r="N1644" s="73"/>
      <c r="O1644" s="73"/>
      <c r="P1644" s="73"/>
      <c r="Q1644" s="73"/>
      <c r="R1644" s="73"/>
      <c r="S1644" s="73"/>
      <c r="T1644" s="73"/>
      <c r="U1644" s="73"/>
      <c r="V1644" s="73"/>
      <c r="W1644" s="73"/>
      <c r="X1644" s="73"/>
      <c r="Y1644" s="73"/>
      <c r="Z1644" s="73"/>
      <c r="AA1644" s="73"/>
      <c r="AB1644" s="73"/>
    </row>
    <row r="1645">
      <c r="A1645" s="73"/>
      <c r="B1645" s="73">
        <v>279199.6861</v>
      </c>
      <c r="C1645" s="73">
        <v>4.41800524528141E7</v>
      </c>
      <c r="D1645" s="73">
        <v>1.08675303560012E7</v>
      </c>
      <c r="E1645" s="73">
        <v>2087942.45346359</v>
      </c>
      <c r="F1645" s="73"/>
      <c r="G1645" s="73"/>
      <c r="H1645" s="73"/>
      <c r="I1645" s="73"/>
      <c r="J1645" s="73"/>
      <c r="K1645" s="73"/>
      <c r="L1645" s="73"/>
      <c r="M1645" s="73"/>
      <c r="N1645" s="73"/>
      <c r="O1645" s="73"/>
      <c r="P1645" s="73"/>
      <c r="Q1645" s="73"/>
      <c r="R1645" s="73"/>
      <c r="S1645" s="73"/>
      <c r="T1645" s="73"/>
      <c r="U1645" s="73"/>
      <c r="V1645" s="73"/>
      <c r="W1645" s="73"/>
      <c r="X1645" s="73"/>
      <c r="Y1645" s="73"/>
      <c r="Z1645" s="73"/>
      <c r="AA1645" s="73"/>
      <c r="AB1645" s="73"/>
    </row>
    <row r="1646">
      <c r="A1646" s="73"/>
      <c r="B1646" s="73">
        <v>279712.4113</v>
      </c>
      <c r="C1646" s="73">
        <v>4.42532730907803E7</v>
      </c>
      <c r="D1646" s="73">
        <v>1.08941912320021E7</v>
      </c>
      <c r="E1646" s="73">
        <v>2091491.682489</v>
      </c>
      <c r="F1646" s="73"/>
      <c r="G1646" s="73"/>
      <c r="H1646" s="73"/>
      <c r="I1646" s="73"/>
      <c r="J1646" s="73"/>
      <c r="K1646" s="73"/>
      <c r="L1646" s="73"/>
      <c r="M1646" s="73"/>
      <c r="N1646" s="73"/>
      <c r="O1646" s="73"/>
      <c r="P1646" s="73"/>
      <c r="Q1646" s="73"/>
      <c r="R1646" s="73"/>
      <c r="S1646" s="73"/>
      <c r="T1646" s="73"/>
      <c r="U1646" s="73"/>
      <c r="V1646" s="73"/>
      <c r="W1646" s="73"/>
      <c r="X1646" s="73"/>
      <c r="Y1646" s="73"/>
      <c r="Z1646" s="73"/>
      <c r="AA1646" s="73"/>
      <c r="AB1646" s="73"/>
    </row>
    <row r="1647">
      <c r="A1647" s="73"/>
      <c r="B1647" s="73">
        <v>280226.0387</v>
      </c>
      <c r="C1647" s="73">
        <v>4.43265596487446E7</v>
      </c>
      <c r="D1647" s="73">
        <v>1.09208950139954E7</v>
      </c>
      <c r="E1647" s="73">
        <v>2095045.11785918</v>
      </c>
      <c r="F1647" s="73"/>
      <c r="G1647" s="73"/>
      <c r="H1647" s="73"/>
      <c r="I1647" s="73"/>
      <c r="J1647" s="73"/>
      <c r="K1647" s="73"/>
      <c r="L1647" s="73"/>
      <c r="M1647" s="73"/>
      <c r="N1647" s="73"/>
      <c r="O1647" s="73"/>
      <c r="P1647" s="73"/>
      <c r="Q1647" s="73"/>
      <c r="R1647" s="73"/>
      <c r="S1647" s="73"/>
      <c r="T1647" s="73"/>
      <c r="U1647" s="73"/>
      <c r="V1647" s="73"/>
      <c r="W1647" s="73"/>
      <c r="X1647" s="73"/>
      <c r="Y1647" s="73"/>
      <c r="Z1647" s="73"/>
      <c r="AA1647" s="73"/>
      <c r="AB1647" s="73"/>
    </row>
    <row r="1648">
      <c r="A1648" s="73"/>
      <c r="B1648" s="73">
        <v>280740.5588</v>
      </c>
      <c r="C1648" s="73">
        <v>4.43999286067066E7</v>
      </c>
      <c r="D1648" s="73">
        <v>1.09476416279963E7</v>
      </c>
      <c r="E1648" s="73">
        <v>2098602.58011614</v>
      </c>
      <c r="F1648" s="73"/>
      <c r="G1648" s="73"/>
      <c r="H1648" s="73"/>
      <c r="I1648" s="73"/>
      <c r="J1648" s="73"/>
      <c r="K1648" s="73"/>
      <c r="L1648" s="73"/>
      <c r="M1648" s="73"/>
      <c r="N1648" s="73"/>
      <c r="O1648" s="73"/>
      <c r="P1648" s="73"/>
      <c r="Q1648" s="73"/>
      <c r="R1648" s="73"/>
      <c r="S1648" s="73"/>
      <c r="T1648" s="73"/>
      <c r="U1648" s="73"/>
      <c r="V1648" s="73"/>
      <c r="W1648" s="73"/>
      <c r="X1648" s="73"/>
      <c r="Y1648" s="73"/>
      <c r="Z1648" s="73"/>
      <c r="AA1648" s="73"/>
      <c r="AB1648" s="73"/>
    </row>
    <row r="1649">
      <c r="A1649" s="73"/>
      <c r="B1649" s="73">
        <v>281255.9715</v>
      </c>
      <c r="C1649" s="73">
        <v>4.44733717246666E7</v>
      </c>
      <c r="D1649" s="73">
        <v>1.09744304719973E7</v>
      </c>
      <c r="E1649" s="73">
        <v>2102164.03679739</v>
      </c>
      <c r="F1649" s="73"/>
      <c r="G1649" s="73"/>
      <c r="H1649" s="73"/>
      <c r="I1649" s="73"/>
      <c r="J1649" s="73"/>
      <c r="K1649" s="73"/>
      <c r="L1649" s="73"/>
      <c r="M1649" s="73"/>
      <c r="N1649" s="73"/>
      <c r="O1649" s="73"/>
      <c r="P1649" s="73"/>
      <c r="Q1649" s="73"/>
      <c r="R1649" s="73"/>
      <c r="S1649" s="73"/>
      <c r="T1649" s="73"/>
      <c r="U1649" s="73"/>
      <c r="V1649" s="73"/>
      <c r="W1649" s="73"/>
      <c r="X1649" s="73"/>
      <c r="Y1649" s="73"/>
      <c r="Z1649" s="73"/>
      <c r="AA1649" s="73"/>
      <c r="AB1649" s="73"/>
    </row>
    <row r="1650">
      <c r="A1650" s="73"/>
      <c r="B1650" s="73">
        <v>281772.2876</v>
      </c>
      <c r="C1650" s="73">
        <v>4.45468890026245E7</v>
      </c>
      <c r="D1650" s="73">
        <v>1.10012621459982E7</v>
      </c>
      <c r="E1650" s="73">
        <v>2105729.73559841</v>
      </c>
      <c r="F1650" s="73"/>
      <c r="G1650" s="73"/>
      <c r="H1650" s="73"/>
      <c r="I1650" s="73"/>
      <c r="J1650" s="73"/>
      <c r="K1650" s="73"/>
      <c r="L1650" s="73"/>
      <c r="M1650" s="73"/>
      <c r="N1650" s="73"/>
      <c r="O1650" s="73"/>
      <c r="P1650" s="73"/>
      <c r="Q1650" s="73"/>
      <c r="R1650" s="73"/>
      <c r="S1650" s="73"/>
      <c r="T1650" s="73"/>
      <c r="U1650" s="73"/>
      <c r="V1650" s="73"/>
      <c r="W1650" s="73"/>
      <c r="X1650" s="73"/>
      <c r="Y1650" s="73"/>
      <c r="Z1650" s="73"/>
      <c r="AA1650" s="73"/>
      <c r="AB1650" s="73"/>
    </row>
    <row r="1651">
      <c r="A1651" s="73"/>
      <c r="B1651" s="73">
        <v>282289.4977</v>
      </c>
      <c r="C1651" s="73">
        <v>4.46204886805801E7</v>
      </c>
      <c r="D1651" s="73">
        <v>1.10281366899991E7</v>
      </c>
      <c r="E1651" s="73">
        <v>2109299.26261572</v>
      </c>
      <c r="F1651" s="73"/>
      <c r="G1651" s="73"/>
      <c r="H1651" s="73"/>
      <c r="I1651" s="73"/>
      <c r="J1651" s="73"/>
      <c r="K1651" s="73"/>
      <c r="L1651" s="73"/>
      <c r="M1651" s="73"/>
      <c r="N1651" s="73"/>
      <c r="O1651" s="73"/>
      <c r="P1651" s="73"/>
      <c r="Q1651" s="73"/>
      <c r="R1651" s="73"/>
      <c r="S1651" s="73"/>
      <c r="T1651" s="73"/>
      <c r="U1651" s="73"/>
      <c r="V1651" s="73"/>
      <c r="W1651" s="73"/>
      <c r="X1651" s="73"/>
      <c r="Y1651" s="73"/>
      <c r="Z1651" s="73"/>
      <c r="AA1651" s="73"/>
      <c r="AB1651" s="73"/>
    </row>
    <row r="1652">
      <c r="A1652" s="73"/>
      <c r="B1652" s="73">
        <v>282807.6009</v>
      </c>
      <c r="C1652" s="73">
        <v>4.46941625185337E7</v>
      </c>
      <c r="D1652" s="73">
        <v>1.1055053424E7</v>
      </c>
      <c r="E1652" s="73">
        <v>2112872.9893528</v>
      </c>
      <c r="F1652" s="73"/>
      <c r="G1652" s="73"/>
      <c r="H1652" s="73"/>
      <c r="I1652" s="73"/>
      <c r="J1652" s="73"/>
      <c r="K1652" s="73"/>
      <c r="L1652" s="73"/>
      <c r="M1652" s="73"/>
      <c r="N1652" s="73"/>
      <c r="O1652" s="73"/>
      <c r="P1652" s="73"/>
      <c r="Q1652" s="73"/>
      <c r="R1652" s="73"/>
      <c r="S1652" s="73"/>
      <c r="T1652" s="73"/>
      <c r="U1652" s="73"/>
      <c r="V1652" s="73"/>
      <c r="W1652" s="73"/>
      <c r="X1652" s="73"/>
      <c r="Y1652" s="73"/>
      <c r="Z1652" s="73"/>
      <c r="AA1652" s="73"/>
      <c r="AB1652" s="73"/>
    </row>
    <row r="1653">
      <c r="A1653" s="73"/>
      <c r="B1653" s="73">
        <v>283326.6038</v>
      </c>
      <c r="C1653" s="73">
        <v>4.4767918756485E7</v>
      </c>
      <c r="D1653" s="73">
        <v>1.10820136680009E7</v>
      </c>
      <c r="E1653" s="73">
        <v>2116450.75622667</v>
      </c>
      <c r="F1653" s="73"/>
      <c r="G1653" s="73"/>
      <c r="H1653" s="73"/>
      <c r="I1653" s="73"/>
      <c r="J1653" s="73"/>
      <c r="K1653" s="73"/>
      <c r="L1653" s="73"/>
      <c r="M1653" s="73"/>
      <c r="N1653" s="73"/>
      <c r="O1653" s="73"/>
      <c r="P1653" s="73"/>
      <c r="Q1653" s="73"/>
      <c r="R1653" s="73"/>
      <c r="S1653" s="73"/>
      <c r="T1653" s="73"/>
      <c r="U1653" s="73"/>
      <c r="V1653" s="73"/>
      <c r="W1653" s="73"/>
      <c r="X1653" s="73"/>
      <c r="Y1653" s="73"/>
      <c r="Z1653" s="73"/>
      <c r="AA1653" s="73"/>
      <c r="AB1653" s="73"/>
    </row>
    <row r="1654">
      <c r="A1654" s="73"/>
      <c r="B1654" s="73">
        <v>283846.5062</v>
      </c>
      <c r="C1654" s="73">
        <v>4.48417491544342E7</v>
      </c>
      <c r="D1654" s="73">
        <v>1.11090161240018E7</v>
      </c>
      <c r="E1654" s="73">
        <v>2120032.72282031</v>
      </c>
      <c r="F1654" s="73"/>
      <c r="G1654" s="73"/>
      <c r="H1654" s="73"/>
      <c r="I1654" s="73"/>
      <c r="J1654" s="73"/>
      <c r="K1654" s="73"/>
      <c r="L1654" s="73"/>
      <c r="M1654" s="73"/>
      <c r="N1654" s="73"/>
      <c r="O1654" s="73"/>
      <c r="P1654" s="73"/>
      <c r="Q1654" s="73"/>
      <c r="R1654" s="73"/>
      <c r="S1654" s="73"/>
      <c r="T1654" s="73"/>
      <c r="U1654" s="73"/>
      <c r="V1654" s="73"/>
      <c r="W1654" s="73"/>
      <c r="X1654" s="73"/>
      <c r="Y1654" s="73"/>
      <c r="Z1654" s="73"/>
      <c r="AA1654" s="73"/>
      <c r="AB1654" s="73"/>
    </row>
    <row r="1655">
      <c r="A1655" s="73"/>
      <c r="B1655" s="73">
        <v>284367.3082</v>
      </c>
      <c r="C1655" s="73">
        <v>4.49156537123814E7</v>
      </c>
      <c r="D1655" s="73">
        <v>1.11360620679951E7</v>
      </c>
      <c r="E1655" s="73">
        <v>2123618.56003024</v>
      </c>
      <c r="F1655" s="73"/>
      <c r="G1655" s="73"/>
      <c r="H1655" s="73"/>
      <c r="I1655" s="73"/>
      <c r="J1655" s="73"/>
      <c r="K1655" s="73"/>
      <c r="L1655" s="73"/>
      <c r="M1655" s="73"/>
      <c r="N1655" s="73"/>
      <c r="O1655" s="73"/>
      <c r="P1655" s="73"/>
      <c r="Q1655" s="73"/>
      <c r="R1655" s="73"/>
      <c r="S1655" s="73"/>
      <c r="T1655" s="73"/>
      <c r="U1655" s="73"/>
      <c r="V1655" s="73"/>
      <c r="W1655" s="73"/>
      <c r="X1655" s="73"/>
      <c r="Y1655" s="73"/>
      <c r="Z1655" s="73"/>
      <c r="AA1655" s="73"/>
      <c r="AB1655" s="73"/>
    </row>
    <row r="1656">
      <c r="A1656" s="73"/>
      <c r="B1656" s="73">
        <v>284889.0054</v>
      </c>
      <c r="C1656" s="73">
        <v>4.49896324303265E7</v>
      </c>
      <c r="D1656" s="73">
        <v>1.1163150223996E7</v>
      </c>
      <c r="E1656" s="73">
        <v>2127208.55787245</v>
      </c>
      <c r="F1656" s="73"/>
      <c r="G1656" s="73"/>
      <c r="H1656" s="73"/>
      <c r="I1656" s="73"/>
      <c r="J1656" s="73"/>
      <c r="K1656" s="73"/>
      <c r="L1656" s="73"/>
      <c r="M1656" s="73"/>
      <c r="N1656" s="73"/>
      <c r="O1656" s="73"/>
      <c r="P1656" s="73"/>
      <c r="Q1656" s="73"/>
      <c r="R1656" s="73"/>
      <c r="S1656" s="73"/>
      <c r="T1656" s="73"/>
      <c r="U1656" s="73"/>
      <c r="V1656" s="73"/>
      <c r="W1656" s="73"/>
      <c r="X1656" s="73"/>
      <c r="Y1656" s="73"/>
      <c r="Z1656" s="73"/>
      <c r="AA1656" s="73"/>
      <c r="AB1656" s="73"/>
    </row>
    <row r="1657">
      <c r="A1657" s="73"/>
      <c r="B1657" s="73">
        <v>285411.598</v>
      </c>
      <c r="C1657" s="73">
        <v>4.50636935482693E7</v>
      </c>
      <c r="D1657" s="73">
        <v>1.11902818879969E7</v>
      </c>
      <c r="E1657" s="73">
        <v>2130802.59585143</v>
      </c>
      <c r="F1657" s="73"/>
      <c r="G1657" s="73"/>
      <c r="H1657" s="73"/>
      <c r="I1657" s="73"/>
      <c r="J1657" s="73"/>
      <c r="K1657" s="73"/>
      <c r="L1657" s="73"/>
      <c r="M1657" s="73"/>
      <c r="N1657" s="73"/>
      <c r="O1657" s="73"/>
      <c r="P1657" s="73"/>
      <c r="Q1657" s="73"/>
      <c r="R1657" s="73"/>
      <c r="S1657" s="73"/>
      <c r="T1657" s="73"/>
      <c r="U1657" s="73"/>
      <c r="V1657" s="73"/>
      <c r="W1657" s="73"/>
      <c r="X1657" s="73"/>
      <c r="Y1657" s="73"/>
      <c r="Z1657" s="73"/>
      <c r="AA1657" s="73"/>
      <c r="AB1657" s="73"/>
    </row>
    <row r="1658">
      <c r="A1658" s="73"/>
      <c r="B1658" s="73">
        <v>285935.0962</v>
      </c>
      <c r="C1658" s="73">
        <v>4.513782882621E7</v>
      </c>
      <c r="D1658" s="73">
        <v>1.12174563839979E7</v>
      </c>
      <c r="E1658" s="73">
        <v>2134400.87926269</v>
      </c>
      <c r="F1658" s="73"/>
      <c r="G1658" s="73"/>
      <c r="H1658" s="73"/>
      <c r="I1658" s="73"/>
      <c r="J1658" s="73"/>
      <c r="K1658" s="73"/>
      <c r="L1658" s="73"/>
      <c r="M1658" s="73"/>
      <c r="N1658" s="73"/>
      <c r="O1658" s="73"/>
      <c r="P1658" s="73"/>
      <c r="Q1658" s="73"/>
      <c r="R1658" s="73"/>
      <c r="S1658" s="73"/>
      <c r="T1658" s="73"/>
      <c r="U1658" s="73"/>
      <c r="V1658" s="73"/>
      <c r="W1658" s="73"/>
      <c r="X1658" s="73"/>
      <c r="Y1658" s="73"/>
      <c r="Z1658" s="73"/>
      <c r="AA1658" s="73"/>
      <c r="AB1658" s="73"/>
    </row>
    <row r="1659">
      <c r="A1659" s="73"/>
      <c r="B1659" s="73">
        <v>286459.4908</v>
      </c>
      <c r="C1659" s="73">
        <v>4.52120465041485E7</v>
      </c>
      <c r="D1659" s="73">
        <v>1.12446737479988E7</v>
      </c>
      <c r="E1659" s="73">
        <v>2138003.16041074</v>
      </c>
      <c r="F1659" s="73"/>
      <c r="G1659" s="73"/>
      <c r="H1659" s="73"/>
      <c r="I1659" s="73"/>
      <c r="J1659" s="73"/>
      <c r="K1659" s="73"/>
      <c r="L1659" s="73"/>
      <c r="M1659" s="73"/>
      <c r="N1659" s="73"/>
      <c r="O1659" s="73"/>
      <c r="P1659" s="73"/>
      <c r="Q1659" s="73"/>
      <c r="R1659" s="73"/>
      <c r="S1659" s="73"/>
      <c r="T1659" s="73"/>
      <c r="U1659" s="73"/>
      <c r="V1659" s="73"/>
      <c r="W1659" s="73"/>
      <c r="X1659" s="73"/>
      <c r="Y1659" s="73"/>
      <c r="Z1659" s="73"/>
      <c r="AA1659" s="73"/>
      <c r="AB1659" s="73"/>
    </row>
    <row r="1660">
      <c r="A1660" s="73"/>
      <c r="B1660" s="73">
        <v>286984.7863</v>
      </c>
      <c r="C1660" s="73">
        <v>4.52863301020851E7</v>
      </c>
      <c r="D1660" s="73">
        <v>1.12719339639997E7</v>
      </c>
      <c r="E1660" s="73">
        <v>2141609.48169556</v>
      </c>
      <c r="F1660" s="73"/>
      <c r="G1660" s="73"/>
      <c r="H1660" s="73"/>
      <c r="I1660" s="73"/>
      <c r="J1660" s="73"/>
      <c r="K1660" s="73"/>
      <c r="L1660" s="73"/>
      <c r="M1660" s="73"/>
      <c r="N1660" s="73"/>
      <c r="O1660" s="73"/>
      <c r="P1660" s="73"/>
      <c r="Q1660" s="73"/>
      <c r="R1660" s="73"/>
      <c r="S1660" s="73"/>
      <c r="T1660" s="73"/>
      <c r="U1660" s="73"/>
      <c r="V1660" s="73"/>
      <c r="W1660" s="73"/>
      <c r="X1660" s="73"/>
      <c r="Y1660" s="73"/>
      <c r="Z1660" s="73"/>
      <c r="AA1660" s="73"/>
      <c r="AB1660" s="73"/>
    </row>
    <row r="1661">
      <c r="A1661" s="73"/>
      <c r="B1661" s="73">
        <v>287510.9836</v>
      </c>
      <c r="C1661" s="73">
        <v>4.53607043400192E7</v>
      </c>
      <c r="D1661" s="73">
        <v>1.12992370280006E7</v>
      </c>
      <c r="E1661" s="73">
        <v>2145219.80071717</v>
      </c>
      <c r="F1661" s="73"/>
      <c r="G1661" s="73"/>
      <c r="H1661" s="73"/>
      <c r="I1661" s="73"/>
      <c r="J1661" s="73"/>
      <c r="K1661" s="73"/>
      <c r="L1661" s="73"/>
      <c r="M1661" s="73"/>
      <c r="N1661" s="73"/>
      <c r="O1661" s="73"/>
      <c r="P1661" s="73"/>
      <c r="Q1661" s="73"/>
      <c r="R1661" s="73"/>
      <c r="S1661" s="73"/>
      <c r="T1661" s="73"/>
      <c r="U1661" s="73"/>
      <c r="V1661" s="73"/>
      <c r="W1661" s="73"/>
      <c r="X1661" s="73"/>
      <c r="Y1661" s="73"/>
      <c r="Z1661" s="73"/>
      <c r="AA1661" s="73"/>
      <c r="AB1661" s="73"/>
    </row>
    <row r="1662">
      <c r="A1662" s="73"/>
      <c r="B1662" s="73">
        <v>288038.0779</v>
      </c>
      <c r="C1662" s="73">
        <v>4.54351527379513E7</v>
      </c>
      <c r="D1662" s="73">
        <v>1.13265829640015E7</v>
      </c>
      <c r="E1662" s="73">
        <v>2148834.36848355</v>
      </c>
      <c r="F1662" s="73"/>
      <c r="G1662" s="73"/>
      <c r="H1662" s="73"/>
      <c r="I1662" s="73"/>
      <c r="J1662" s="73"/>
      <c r="K1662" s="73"/>
      <c r="L1662" s="73"/>
      <c r="M1662" s="73"/>
      <c r="N1662" s="73"/>
      <c r="O1662" s="73"/>
      <c r="P1662" s="73"/>
      <c r="Q1662" s="73"/>
      <c r="R1662" s="73"/>
      <c r="S1662" s="73"/>
      <c r="T1662" s="73"/>
      <c r="U1662" s="73"/>
      <c r="V1662" s="73"/>
      <c r="W1662" s="73"/>
      <c r="X1662" s="73"/>
      <c r="Y1662" s="73"/>
      <c r="Z1662" s="73"/>
      <c r="AA1662" s="73"/>
      <c r="AB1662" s="73"/>
    </row>
    <row r="1663">
      <c r="A1663" s="73"/>
      <c r="B1663" s="73">
        <v>288566.0742</v>
      </c>
      <c r="C1663" s="73">
        <v>4.55096752958813E7</v>
      </c>
      <c r="D1663" s="73">
        <v>1.13539730099948E7</v>
      </c>
      <c r="E1663" s="73">
        <v>2152452.93729922</v>
      </c>
      <c r="F1663" s="73"/>
      <c r="G1663" s="73"/>
      <c r="H1663" s="73"/>
      <c r="I1663" s="73"/>
      <c r="J1663" s="73"/>
      <c r="K1663" s="73"/>
      <c r="L1663" s="73"/>
      <c r="M1663" s="73"/>
      <c r="N1663" s="73"/>
      <c r="O1663" s="73"/>
      <c r="P1663" s="73"/>
      <c r="Q1663" s="73"/>
      <c r="R1663" s="73"/>
      <c r="S1663" s="73"/>
      <c r="T1663" s="73"/>
      <c r="U1663" s="73"/>
      <c r="V1663" s="73"/>
      <c r="W1663" s="73"/>
      <c r="X1663" s="73"/>
      <c r="Y1663" s="73"/>
      <c r="Z1663" s="73"/>
      <c r="AA1663" s="73"/>
      <c r="AB1663" s="73"/>
    </row>
    <row r="1664">
      <c r="A1664" s="73"/>
      <c r="B1664" s="73">
        <v>289094.9779</v>
      </c>
      <c r="C1664" s="73">
        <v>4.55842720138092E7</v>
      </c>
      <c r="D1664" s="73">
        <v>1.13814046639957E7</v>
      </c>
      <c r="E1664" s="73">
        <v>2156075.58865166</v>
      </c>
      <c r="F1664" s="73"/>
      <c r="G1664" s="73"/>
      <c r="H1664" s="73"/>
      <c r="I1664" s="73"/>
      <c r="J1664" s="73"/>
      <c r="K1664" s="73"/>
      <c r="L1664" s="73"/>
      <c r="M1664" s="73"/>
      <c r="N1664" s="73"/>
      <c r="O1664" s="73"/>
      <c r="P1664" s="73"/>
      <c r="Q1664" s="73"/>
      <c r="R1664" s="73"/>
      <c r="S1664" s="73"/>
      <c r="T1664" s="73"/>
      <c r="U1664" s="73"/>
      <c r="V1664" s="73"/>
      <c r="W1664" s="73"/>
      <c r="X1664" s="73"/>
      <c r="Y1664" s="73"/>
      <c r="Z1664" s="73"/>
      <c r="AA1664" s="73"/>
      <c r="AB1664" s="73"/>
    </row>
    <row r="1665">
      <c r="A1665" s="73"/>
      <c r="B1665" s="73">
        <v>289624.7748</v>
      </c>
      <c r="C1665" s="73">
        <v>4.56589511317348E7</v>
      </c>
      <c r="D1665" s="73">
        <v>1.14088803919966E7</v>
      </c>
      <c r="E1665" s="73">
        <v>2159702.40394888</v>
      </c>
      <c r="F1665" s="73"/>
      <c r="G1665" s="73"/>
      <c r="H1665" s="73"/>
      <c r="I1665" s="73"/>
      <c r="J1665" s="73"/>
      <c r="K1665" s="73"/>
      <c r="L1665" s="73"/>
      <c r="M1665" s="73"/>
      <c r="N1665" s="73"/>
      <c r="O1665" s="73"/>
      <c r="P1665" s="73"/>
      <c r="Q1665" s="73"/>
      <c r="R1665" s="73"/>
      <c r="S1665" s="73"/>
      <c r="T1665" s="73"/>
      <c r="U1665" s="73"/>
      <c r="V1665" s="73"/>
      <c r="W1665" s="73"/>
      <c r="X1665" s="73"/>
      <c r="Y1665" s="73"/>
      <c r="Z1665" s="73"/>
      <c r="AA1665" s="73"/>
      <c r="AB1665" s="73"/>
    </row>
    <row r="1666">
      <c r="A1666" s="73"/>
      <c r="B1666" s="73">
        <v>290155.4793</v>
      </c>
      <c r="C1666" s="73">
        <v>4.57337044096584E7</v>
      </c>
      <c r="D1666" s="73">
        <v>1.14364003059976E7</v>
      </c>
      <c r="E1666" s="73">
        <v>2163333.26269538</v>
      </c>
      <c r="F1666" s="73"/>
      <c r="G1666" s="73"/>
      <c r="H1666" s="73"/>
      <c r="I1666" s="73"/>
      <c r="J1666" s="73"/>
      <c r="K1666" s="73"/>
      <c r="L1666" s="73"/>
      <c r="M1666" s="73"/>
      <c r="N1666" s="73"/>
      <c r="O1666" s="73"/>
      <c r="P1666" s="73"/>
      <c r="Q1666" s="73"/>
      <c r="R1666" s="73"/>
      <c r="S1666" s="73"/>
      <c r="T1666" s="73"/>
      <c r="U1666" s="73"/>
      <c r="V1666" s="73"/>
      <c r="W1666" s="73"/>
      <c r="X1666" s="73"/>
      <c r="Y1666" s="73"/>
      <c r="Z1666" s="73"/>
      <c r="AA1666" s="73"/>
      <c r="AB1666" s="73"/>
    </row>
    <row r="1667">
      <c r="A1667" s="73"/>
      <c r="B1667" s="73">
        <v>290687.0824</v>
      </c>
      <c r="C1667" s="73">
        <v>4.58085400875797E7</v>
      </c>
      <c r="D1667" s="73">
        <v>1.14639617919985E7</v>
      </c>
      <c r="E1667" s="73">
        <v>2166968.16820366</v>
      </c>
      <c r="F1667" s="73"/>
      <c r="G1667" s="73"/>
      <c r="H1667" s="73"/>
      <c r="I1667" s="73"/>
      <c r="J1667" s="73"/>
      <c r="K1667" s="73"/>
      <c r="L1667" s="73"/>
      <c r="M1667" s="73"/>
      <c r="N1667" s="73"/>
      <c r="O1667" s="73"/>
      <c r="P1667" s="73"/>
      <c r="Q1667" s="73"/>
      <c r="R1667" s="73"/>
      <c r="S1667" s="73"/>
      <c r="T1667" s="73"/>
      <c r="U1667" s="73"/>
      <c r="V1667" s="73"/>
      <c r="W1667" s="73"/>
      <c r="X1667" s="73"/>
      <c r="Y1667" s="73"/>
      <c r="Z1667" s="73"/>
      <c r="AA1667" s="73"/>
      <c r="AB1667" s="73"/>
    </row>
    <row r="1668">
      <c r="A1668" s="73"/>
      <c r="B1668" s="73">
        <v>291219.5892</v>
      </c>
      <c r="C1668" s="73">
        <v>4.58834416854992E7</v>
      </c>
      <c r="D1668" s="73">
        <v>1.14915673879994E7</v>
      </c>
      <c r="E1668" s="73">
        <v>2170607.11384872</v>
      </c>
      <c r="F1668" s="73"/>
      <c r="G1668" s="73"/>
      <c r="H1668" s="73"/>
      <c r="I1668" s="73"/>
      <c r="J1668" s="73"/>
      <c r="K1668" s="73"/>
      <c r="L1668" s="73"/>
      <c r="M1668" s="73"/>
      <c r="N1668" s="73"/>
      <c r="O1668" s="73"/>
      <c r="P1668" s="73"/>
      <c r="Q1668" s="73"/>
      <c r="R1668" s="73"/>
      <c r="S1668" s="73"/>
      <c r="T1668" s="73"/>
      <c r="U1668" s="73"/>
      <c r="V1668" s="73"/>
      <c r="W1668" s="73"/>
      <c r="X1668" s="73"/>
      <c r="Y1668" s="73"/>
      <c r="Z1668" s="73"/>
      <c r="AA1668" s="73"/>
      <c r="AB1668" s="73"/>
    </row>
    <row r="1669">
      <c r="A1669" s="73"/>
      <c r="B1669" s="73">
        <v>291752.9999</v>
      </c>
      <c r="C1669" s="73">
        <v>4.59584339234161E7</v>
      </c>
      <c r="D1669" s="73">
        <v>1.15192158720003E7</v>
      </c>
      <c r="E1669" s="73">
        <v>2174250.22675106</v>
      </c>
      <c r="F1669" s="73"/>
      <c r="G1669" s="73"/>
      <c r="H1669" s="73"/>
      <c r="I1669" s="73"/>
      <c r="J1669" s="73"/>
      <c r="K1669" s="73"/>
      <c r="L1669" s="73"/>
      <c r="M1669" s="73"/>
      <c r="N1669" s="73"/>
      <c r="O1669" s="73"/>
      <c r="P1669" s="73"/>
      <c r="Q1669" s="73"/>
      <c r="R1669" s="73"/>
      <c r="S1669" s="73"/>
      <c r="T1669" s="73"/>
      <c r="U1669" s="73"/>
      <c r="V1669" s="73"/>
      <c r="W1669" s="73"/>
      <c r="X1669" s="73"/>
      <c r="Y1669" s="73"/>
      <c r="Z1669" s="73"/>
      <c r="AA1669" s="73"/>
      <c r="AB1669" s="73"/>
    </row>
    <row r="1670">
      <c r="A1670" s="73"/>
      <c r="B1670" s="73">
        <v>292287.3147</v>
      </c>
      <c r="C1670" s="73">
        <v>4.60334920813313E7</v>
      </c>
      <c r="D1670" s="73">
        <v>1.15469084680012E7</v>
      </c>
      <c r="E1670" s="73">
        <v>2177897.59502317</v>
      </c>
      <c r="F1670" s="73"/>
      <c r="G1670" s="73"/>
      <c r="H1670" s="73"/>
      <c r="I1670" s="73"/>
      <c r="J1670" s="73"/>
      <c r="K1670" s="73"/>
      <c r="L1670" s="73"/>
      <c r="M1670" s="73"/>
      <c r="N1670" s="73"/>
      <c r="O1670" s="73"/>
      <c r="P1670" s="73"/>
      <c r="Q1670" s="73"/>
      <c r="R1670" s="73"/>
      <c r="S1670" s="73"/>
      <c r="T1670" s="73"/>
      <c r="U1670" s="73"/>
      <c r="V1670" s="73"/>
      <c r="W1670" s="73"/>
      <c r="X1670" s="73"/>
      <c r="Y1670" s="73"/>
      <c r="Z1670" s="73"/>
      <c r="AA1670" s="73"/>
      <c r="AB1670" s="73"/>
    </row>
    <row r="1671">
      <c r="A1671" s="73"/>
      <c r="B1671" s="73">
        <v>292822.5293</v>
      </c>
      <c r="C1671" s="73">
        <v>4.61086326392441E7</v>
      </c>
      <c r="D1671" s="73">
        <v>1.15746426360021E7</v>
      </c>
      <c r="E1671" s="73">
        <v>2181548.79813658</v>
      </c>
      <c r="F1671" s="73"/>
      <c r="G1671" s="73"/>
      <c r="H1671" s="73"/>
      <c r="I1671" s="73"/>
      <c r="J1671" s="73"/>
      <c r="K1671" s="73"/>
      <c r="L1671" s="73"/>
      <c r="M1671" s="73"/>
      <c r="N1671" s="73"/>
      <c r="O1671" s="73"/>
      <c r="P1671" s="73"/>
      <c r="Q1671" s="73"/>
      <c r="R1671" s="73"/>
      <c r="S1671" s="73"/>
      <c r="T1671" s="73"/>
      <c r="U1671" s="73"/>
      <c r="V1671" s="73"/>
      <c r="W1671" s="73"/>
      <c r="X1671" s="73"/>
      <c r="Y1671" s="73"/>
      <c r="Z1671" s="73"/>
      <c r="AA1671" s="73"/>
      <c r="AB1671" s="73"/>
    </row>
    <row r="1672">
      <c r="A1672" s="73"/>
      <c r="B1672" s="73">
        <v>293358.6532</v>
      </c>
      <c r="C1672" s="73">
        <v>4.61838555971546E7</v>
      </c>
      <c r="D1672" s="73">
        <v>1.16024222119954E7</v>
      </c>
      <c r="E1672" s="73">
        <v>2185204.21753225</v>
      </c>
      <c r="F1672" s="73"/>
      <c r="G1672" s="73"/>
      <c r="H1672" s="73"/>
      <c r="I1672" s="73"/>
      <c r="J1672" s="73"/>
      <c r="K1672" s="73"/>
      <c r="L1672" s="73"/>
      <c r="M1672" s="73"/>
      <c r="N1672" s="73"/>
      <c r="O1672" s="73"/>
      <c r="P1672" s="73"/>
      <c r="Q1672" s="73"/>
      <c r="R1672" s="73"/>
      <c r="S1672" s="73"/>
      <c r="T1672" s="73"/>
      <c r="U1672" s="73"/>
      <c r="V1672" s="73"/>
      <c r="W1672" s="73"/>
      <c r="X1672" s="73"/>
      <c r="Y1672" s="73"/>
      <c r="Z1672" s="73"/>
      <c r="AA1672" s="73"/>
      <c r="AB1672" s="73"/>
    </row>
    <row r="1673">
      <c r="A1673" s="73"/>
      <c r="B1673" s="73">
        <v>293895.6775</v>
      </c>
      <c r="C1673" s="73">
        <v>4.62591527150631E7</v>
      </c>
      <c r="D1673" s="73">
        <v>1.16302433959963E7</v>
      </c>
      <c r="E1673" s="73">
        <v>2188863.67706471</v>
      </c>
      <c r="F1673" s="73"/>
      <c r="G1673" s="73"/>
      <c r="H1673" s="73"/>
      <c r="I1673" s="73"/>
      <c r="J1673" s="73"/>
      <c r="K1673" s="73"/>
      <c r="L1673" s="73"/>
      <c r="M1673" s="73"/>
      <c r="N1673" s="73"/>
      <c r="O1673" s="73"/>
      <c r="P1673" s="73"/>
      <c r="Q1673" s="73"/>
      <c r="R1673" s="73"/>
      <c r="S1673" s="73"/>
      <c r="T1673" s="73"/>
      <c r="U1673" s="73"/>
      <c r="V1673" s="73"/>
      <c r="W1673" s="73"/>
      <c r="X1673" s="73"/>
      <c r="Y1673" s="73"/>
      <c r="Z1673" s="73"/>
      <c r="AA1673" s="73"/>
      <c r="AB1673" s="73"/>
    </row>
    <row r="1674">
      <c r="A1674" s="73"/>
      <c r="B1674" s="73">
        <v>294433.6071</v>
      </c>
      <c r="C1674" s="73">
        <v>4.63345239929695E7</v>
      </c>
      <c r="D1674" s="73">
        <v>1.16581099719973E7</v>
      </c>
      <c r="E1674" s="73">
        <v>2192527.35287944</v>
      </c>
      <c r="F1674" s="73"/>
      <c r="G1674" s="73"/>
      <c r="H1674" s="73"/>
      <c r="I1674" s="73"/>
      <c r="J1674" s="73"/>
      <c r="K1674" s="73"/>
      <c r="L1674" s="73"/>
      <c r="M1674" s="73"/>
      <c r="N1674" s="73"/>
      <c r="O1674" s="73"/>
      <c r="P1674" s="73"/>
      <c r="Q1674" s="73"/>
      <c r="R1674" s="73"/>
      <c r="S1674" s="73"/>
      <c r="T1674" s="73"/>
      <c r="U1674" s="73"/>
      <c r="V1674" s="73"/>
      <c r="W1674" s="73"/>
      <c r="X1674" s="73"/>
      <c r="Y1674" s="73"/>
      <c r="Z1674" s="73"/>
      <c r="AA1674" s="73"/>
      <c r="AB1674" s="73"/>
    </row>
    <row r="1675">
      <c r="A1675" s="73"/>
      <c r="B1675" s="73">
        <v>294972.4473</v>
      </c>
      <c r="C1675" s="73">
        <v>4.64099776708736E7</v>
      </c>
      <c r="D1675" s="73">
        <v>1.16860181379982E7</v>
      </c>
      <c r="E1675" s="73">
        <v>2196195.07545595</v>
      </c>
      <c r="F1675" s="73"/>
      <c r="G1675" s="73"/>
      <c r="H1675" s="73"/>
      <c r="I1675" s="73"/>
      <c r="J1675" s="73"/>
      <c r="K1675" s="73"/>
      <c r="L1675" s="73"/>
      <c r="M1675" s="73"/>
      <c r="N1675" s="73"/>
      <c r="O1675" s="73"/>
      <c r="P1675" s="73"/>
      <c r="Q1675" s="73"/>
      <c r="R1675" s="73"/>
      <c r="S1675" s="73"/>
      <c r="T1675" s="73"/>
      <c r="U1675" s="73"/>
      <c r="V1675" s="73"/>
      <c r="W1675" s="73"/>
      <c r="X1675" s="73"/>
      <c r="Y1675" s="73"/>
      <c r="Z1675" s="73"/>
      <c r="AA1675" s="73"/>
      <c r="AB1675" s="73"/>
    </row>
    <row r="1676">
      <c r="A1676" s="73"/>
      <c r="B1676" s="73">
        <v>295512.183</v>
      </c>
      <c r="C1676" s="73">
        <v>4.64855055087757E7</v>
      </c>
      <c r="D1676" s="73">
        <v>1.17139704139991E7</v>
      </c>
      <c r="E1676" s="73">
        <v>2199867.01431473</v>
      </c>
      <c r="F1676" s="73"/>
      <c r="G1676" s="73"/>
      <c r="H1676" s="73"/>
      <c r="I1676" s="73"/>
      <c r="J1676" s="73"/>
      <c r="K1676" s="73"/>
      <c r="L1676" s="73"/>
      <c r="M1676" s="73"/>
      <c r="N1676" s="73"/>
      <c r="O1676" s="73"/>
      <c r="P1676" s="73"/>
      <c r="Q1676" s="73"/>
      <c r="R1676" s="73"/>
      <c r="S1676" s="73"/>
      <c r="T1676" s="73"/>
      <c r="U1676" s="73"/>
      <c r="V1676" s="73"/>
      <c r="W1676" s="73"/>
      <c r="X1676" s="73"/>
      <c r="Y1676" s="73"/>
      <c r="Z1676" s="73"/>
      <c r="AA1676" s="73"/>
      <c r="AB1676" s="73"/>
    </row>
    <row r="1677">
      <c r="A1677" s="73"/>
      <c r="B1677" s="73">
        <v>296052.8304</v>
      </c>
      <c r="C1677" s="73">
        <v>4.65611157466755E7</v>
      </c>
      <c r="D1677" s="73">
        <v>1.174196684E7</v>
      </c>
      <c r="E1677" s="73">
        <v>2203542.8304148</v>
      </c>
      <c r="F1677" s="73"/>
      <c r="G1677" s="73"/>
      <c r="H1677" s="73"/>
      <c r="I1677" s="73"/>
      <c r="J1677" s="73"/>
      <c r="K1677" s="73"/>
      <c r="L1677" s="73"/>
      <c r="M1677" s="73"/>
      <c r="N1677" s="73"/>
      <c r="O1677" s="73"/>
      <c r="P1677" s="73"/>
      <c r="Q1677" s="73"/>
      <c r="R1677" s="73"/>
      <c r="S1677" s="73"/>
      <c r="T1677" s="73"/>
      <c r="U1677" s="73"/>
      <c r="V1677" s="73"/>
      <c r="W1677" s="73"/>
      <c r="X1677" s="73"/>
      <c r="Y1677" s="73"/>
      <c r="Z1677" s="73"/>
      <c r="AA1677" s="73"/>
      <c r="AB1677" s="73"/>
    </row>
    <row r="1678">
      <c r="A1678" s="73"/>
      <c r="B1678" s="73">
        <v>296594.384</v>
      </c>
      <c r="C1678" s="73">
        <v>4.66368001445732E7</v>
      </c>
      <c r="D1678" s="73">
        <v>1.17700061160009E7</v>
      </c>
      <c r="E1678" s="73">
        <v>2207222.98660514</v>
      </c>
      <c r="F1678" s="73"/>
      <c r="G1678" s="73"/>
      <c r="H1678" s="73"/>
      <c r="I1678" s="73"/>
      <c r="J1678" s="73"/>
      <c r="K1678" s="73"/>
      <c r="L1678" s="73"/>
      <c r="M1678" s="73"/>
      <c r="N1678" s="73"/>
      <c r="O1678" s="73"/>
      <c r="P1678" s="73"/>
      <c r="Q1678" s="73"/>
      <c r="R1678" s="73"/>
      <c r="S1678" s="73"/>
      <c r="T1678" s="73"/>
      <c r="U1678" s="73"/>
      <c r="V1678" s="73"/>
      <c r="W1678" s="73"/>
      <c r="X1678" s="73"/>
      <c r="Y1678" s="73"/>
      <c r="Z1678" s="73"/>
      <c r="AA1678" s="73"/>
      <c r="AB1678" s="73"/>
    </row>
    <row r="1679">
      <c r="A1679" s="73"/>
      <c r="B1679" s="73">
        <v>297136.8392</v>
      </c>
      <c r="C1679" s="73">
        <v>4.67125587024689E7</v>
      </c>
      <c r="D1679" s="73">
        <v>1.17980895600018E7</v>
      </c>
      <c r="E1679" s="73">
        <v>2210907.06906177</v>
      </c>
      <c r="F1679" s="73"/>
      <c r="G1679" s="73"/>
      <c r="H1679" s="73"/>
      <c r="I1679" s="73"/>
      <c r="J1679" s="73"/>
      <c r="K1679" s="73"/>
      <c r="L1679" s="73"/>
      <c r="M1679" s="73"/>
      <c r="N1679" s="73"/>
      <c r="O1679" s="73"/>
      <c r="P1679" s="73"/>
      <c r="Q1679" s="73"/>
      <c r="R1679" s="73"/>
      <c r="S1679" s="73"/>
      <c r="T1679" s="73"/>
      <c r="U1679" s="73"/>
      <c r="V1679" s="73"/>
      <c r="W1679" s="73"/>
      <c r="X1679" s="73"/>
      <c r="Y1679" s="73"/>
      <c r="Z1679" s="73"/>
      <c r="AA1679" s="73"/>
      <c r="AB1679" s="73"/>
    </row>
    <row r="1680">
      <c r="A1680" s="73"/>
      <c r="B1680" s="73">
        <v>297680.2067</v>
      </c>
      <c r="C1680" s="73">
        <v>4.67883996603622E7</v>
      </c>
      <c r="D1680" s="73">
        <v>1.18262158359951E7</v>
      </c>
      <c r="E1680" s="73">
        <v>2214595.32540067</v>
      </c>
      <c r="F1680" s="73"/>
      <c r="G1680" s="73"/>
      <c r="H1680" s="73"/>
      <c r="I1680" s="73"/>
      <c r="J1680" s="73"/>
      <c r="K1680" s="73"/>
      <c r="L1680" s="73"/>
      <c r="M1680" s="73"/>
      <c r="N1680" s="73"/>
      <c r="O1680" s="73"/>
      <c r="P1680" s="73"/>
      <c r="Q1680" s="73"/>
      <c r="R1680" s="73"/>
      <c r="S1680" s="73"/>
      <c r="T1680" s="73"/>
      <c r="U1680" s="73"/>
      <c r="V1680" s="73"/>
      <c r="W1680" s="73"/>
      <c r="X1680" s="73"/>
      <c r="Y1680" s="73"/>
      <c r="Z1680" s="73"/>
      <c r="AA1680" s="73"/>
      <c r="AB1680" s="73"/>
    </row>
    <row r="1681">
      <c r="A1681" s="73"/>
      <c r="B1681" s="73">
        <v>298224.4812</v>
      </c>
      <c r="C1681" s="73">
        <v>4.68643230182533E7</v>
      </c>
      <c r="D1681" s="73">
        <v>1.1854386241996E7</v>
      </c>
      <c r="E1681" s="73">
        <v>2218287.79802185</v>
      </c>
      <c r="F1681" s="73"/>
      <c r="G1681" s="73"/>
      <c r="H1681" s="73"/>
      <c r="I1681" s="73"/>
      <c r="J1681" s="73"/>
      <c r="K1681" s="73"/>
      <c r="L1681" s="73"/>
      <c r="M1681" s="73"/>
      <c r="N1681" s="73"/>
      <c r="O1681" s="73"/>
      <c r="P1681" s="73"/>
      <c r="Q1681" s="73"/>
      <c r="R1681" s="73"/>
      <c r="S1681" s="73"/>
      <c r="T1681" s="73"/>
      <c r="U1681" s="73"/>
      <c r="V1681" s="73"/>
      <c r="W1681" s="73"/>
      <c r="X1681" s="73"/>
      <c r="Y1681" s="73"/>
      <c r="Z1681" s="73"/>
      <c r="AA1681" s="73"/>
      <c r="AB1681" s="73"/>
    </row>
    <row r="1682">
      <c r="A1682" s="73"/>
      <c r="B1682" s="73">
        <v>298769.658</v>
      </c>
      <c r="C1682" s="73">
        <v>4.69403205361423E7</v>
      </c>
      <c r="D1682" s="73">
        <v>1.18826007959969E7</v>
      </c>
      <c r="E1682" s="73">
        <v>2221984.15450931</v>
      </c>
      <c r="F1682" s="73"/>
      <c r="G1682" s="73"/>
      <c r="H1682" s="73"/>
      <c r="I1682" s="73"/>
      <c r="J1682" s="73"/>
      <c r="K1682" s="73"/>
      <c r="L1682" s="73"/>
      <c r="M1682" s="73"/>
      <c r="N1682" s="73"/>
      <c r="O1682" s="73"/>
      <c r="P1682" s="73"/>
      <c r="Q1682" s="73"/>
      <c r="R1682" s="73"/>
      <c r="S1682" s="73"/>
      <c r="T1682" s="73"/>
      <c r="U1682" s="73"/>
      <c r="V1682" s="73"/>
      <c r="W1682" s="73"/>
      <c r="X1682" s="73"/>
      <c r="Y1682" s="73"/>
      <c r="Z1682" s="73"/>
      <c r="AA1682" s="73"/>
      <c r="AB1682" s="73"/>
    </row>
    <row r="1683">
      <c r="A1683" s="73"/>
      <c r="B1683" s="73">
        <v>299315.7479</v>
      </c>
      <c r="C1683" s="73">
        <v>4.70163922140293E7</v>
      </c>
      <c r="D1683" s="73">
        <v>1.19108582019979E7</v>
      </c>
      <c r="E1683" s="73">
        <v>2225684.89348704</v>
      </c>
      <c r="F1683" s="73"/>
      <c r="G1683" s="73"/>
      <c r="H1683" s="73"/>
      <c r="I1683" s="73"/>
      <c r="J1683" s="73"/>
      <c r="K1683" s="73"/>
      <c r="L1683" s="73"/>
      <c r="M1683" s="73"/>
      <c r="N1683" s="73"/>
      <c r="O1683" s="73"/>
      <c r="P1683" s="73"/>
      <c r="Q1683" s="73"/>
      <c r="R1683" s="73"/>
      <c r="S1683" s="73"/>
      <c r="T1683" s="73"/>
      <c r="U1683" s="73"/>
      <c r="V1683" s="73"/>
      <c r="W1683" s="73"/>
      <c r="X1683" s="73"/>
      <c r="Y1683" s="73"/>
      <c r="Z1683" s="73"/>
      <c r="AA1683" s="73"/>
      <c r="AB1683" s="73"/>
    </row>
    <row r="1684">
      <c r="A1684" s="73"/>
      <c r="B1684" s="73">
        <v>299862.7408</v>
      </c>
      <c r="C1684" s="73">
        <v>4.7092546291914E7</v>
      </c>
      <c r="D1684" s="73">
        <v>1.19391597379988E7</v>
      </c>
      <c r="E1684" s="73">
        <v>2229389.56204356</v>
      </c>
      <c r="F1684" s="73"/>
      <c r="G1684" s="73"/>
      <c r="H1684" s="73"/>
      <c r="I1684" s="73"/>
      <c r="J1684" s="73"/>
      <c r="K1684" s="73"/>
      <c r="L1684" s="73"/>
      <c r="M1684" s="73"/>
      <c r="N1684" s="73"/>
      <c r="O1684" s="73"/>
      <c r="P1684" s="73"/>
      <c r="Q1684" s="73"/>
      <c r="R1684" s="73"/>
      <c r="S1684" s="73"/>
      <c r="T1684" s="73"/>
      <c r="U1684" s="73"/>
      <c r="V1684" s="73"/>
      <c r="W1684" s="73"/>
      <c r="X1684" s="73"/>
      <c r="Y1684" s="73"/>
      <c r="Z1684" s="73"/>
      <c r="AA1684" s="73"/>
      <c r="AB1684" s="73"/>
    </row>
    <row r="1685">
      <c r="A1685" s="73"/>
      <c r="B1685" s="73">
        <v>300410.6467</v>
      </c>
      <c r="C1685" s="73">
        <v>4.71687745297966E7</v>
      </c>
      <c r="D1685" s="73">
        <v>1.19675054039997E7</v>
      </c>
      <c r="E1685" s="73">
        <v>2233098.40448235</v>
      </c>
      <c r="F1685" s="73"/>
      <c r="G1685" s="73"/>
      <c r="H1685" s="73"/>
      <c r="I1685" s="73"/>
      <c r="J1685" s="73"/>
      <c r="K1685" s="73"/>
      <c r="L1685" s="73"/>
      <c r="M1685" s="73"/>
      <c r="N1685" s="73"/>
      <c r="O1685" s="73"/>
      <c r="P1685" s="73"/>
      <c r="Q1685" s="73"/>
      <c r="R1685" s="73"/>
      <c r="S1685" s="73"/>
      <c r="T1685" s="73"/>
      <c r="U1685" s="73"/>
      <c r="V1685" s="73"/>
      <c r="W1685" s="73"/>
      <c r="X1685" s="73"/>
      <c r="Y1685" s="73"/>
      <c r="Z1685" s="73"/>
      <c r="AA1685" s="73"/>
      <c r="AB1685" s="73"/>
    </row>
    <row r="1686">
      <c r="A1686" s="73"/>
      <c r="B1686" s="73">
        <v>300959.4563</v>
      </c>
      <c r="C1686" s="73">
        <v>4.72450851676769E7</v>
      </c>
      <c r="D1686" s="73">
        <v>1.19958952380006E7</v>
      </c>
      <c r="E1686" s="73">
        <v>2236811.42411591</v>
      </c>
      <c r="F1686" s="73"/>
      <c r="G1686" s="73"/>
      <c r="H1686" s="73"/>
      <c r="I1686" s="73"/>
      <c r="J1686" s="73"/>
      <c r="K1686" s="73"/>
      <c r="L1686" s="73"/>
      <c r="M1686" s="73"/>
      <c r="N1686" s="73"/>
      <c r="O1686" s="73"/>
      <c r="P1686" s="73"/>
      <c r="Q1686" s="73"/>
      <c r="R1686" s="73"/>
      <c r="S1686" s="73"/>
      <c r="T1686" s="73"/>
      <c r="U1686" s="73"/>
      <c r="V1686" s="73"/>
      <c r="W1686" s="73"/>
      <c r="X1686" s="73"/>
      <c r="Y1686" s="73"/>
      <c r="Z1686" s="73"/>
      <c r="AA1686" s="73"/>
      <c r="AB1686" s="73"/>
    </row>
    <row r="1687">
      <c r="A1687" s="73"/>
      <c r="B1687" s="73">
        <v>301509.18</v>
      </c>
      <c r="C1687" s="73">
        <v>4.73214699655552E7</v>
      </c>
      <c r="D1687" s="73">
        <v>1.20243279040015E7</v>
      </c>
      <c r="E1687" s="73">
        <v>2240528.53953626</v>
      </c>
      <c r="F1687" s="73"/>
      <c r="G1687" s="73"/>
      <c r="H1687" s="73"/>
      <c r="I1687" s="73"/>
      <c r="J1687" s="73"/>
      <c r="K1687" s="73"/>
      <c r="L1687" s="73"/>
      <c r="M1687" s="73"/>
      <c r="N1687" s="73"/>
      <c r="O1687" s="73"/>
      <c r="P1687" s="73"/>
      <c r="Q1687" s="73"/>
      <c r="R1687" s="73"/>
      <c r="S1687" s="73"/>
      <c r="T1687" s="73"/>
      <c r="U1687" s="73"/>
      <c r="V1687" s="73"/>
      <c r="W1687" s="73"/>
      <c r="X1687" s="73"/>
      <c r="Y1687" s="73"/>
      <c r="Z1687" s="73"/>
      <c r="AA1687" s="73"/>
      <c r="AB1687" s="73"/>
    </row>
    <row r="1688">
      <c r="A1688" s="73"/>
      <c r="B1688" s="73">
        <v>302059.8074</v>
      </c>
      <c r="C1688" s="73">
        <v>4.73979289234314E7</v>
      </c>
      <c r="D1688" s="73">
        <v>1.20528047179948E7</v>
      </c>
      <c r="E1688" s="73">
        <v>2244249.70834338</v>
      </c>
      <c r="F1688" s="73"/>
      <c r="G1688" s="73"/>
      <c r="H1688" s="73"/>
      <c r="I1688" s="73"/>
      <c r="J1688" s="73"/>
      <c r="K1688" s="73"/>
      <c r="L1688" s="73"/>
      <c r="M1688" s="73"/>
      <c r="N1688" s="73"/>
      <c r="O1688" s="73"/>
      <c r="P1688" s="73"/>
      <c r="Q1688" s="73"/>
      <c r="R1688" s="73"/>
      <c r="S1688" s="73"/>
      <c r="T1688" s="73"/>
      <c r="U1688" s="73"/>
      <c r="V1688" s="73"/>
      <c r="W1688" s="73"/>
      <c r="X1688" s="73"/>
      <c r="Y1688" s="73"/>
      <c r="Z1688" s="73"/>
      <c r="AA1688" s="73"/>
      <c r="AB1688" s="73"/>
    </row>
    <row r="1689">
      <c r="A1689" s="73"/>
      <c r="B1689" s="73">
        <v>302611.3489</v>
      </c>
      <c r="C1689" s="73">
        <v>4.74744702813053E7</v>
      </c>
      <c r="D1689" s="73">
        <v>1.20813256439957E7</v>
      </c>
      <c r="E1689" s="73">
        <v>2247975.05434528</v>
      </c>
      <c r="F1689" s="73"/>
      <c r="G1689" s="73"/>
      <c r="H1689" s="73"/>
      <c r="I1689" s="73"/>
      <c r="J1689" s="73"/>
      <c r="K1689" s="73"/>
      <c r="L1689" s="73"/>
      <c r="M1689" s="73"/>
      <c r="N1689" s="73"/>
      <c r="O1689" s="73"/>
      <c r="P1689" s="73"/>
      <c r="Q1689" s="73"/>
      <c r="R1689" s="73"/>
      <c r="S1689" s="73"/>
      <c r="T1689" s="73"/>
      <c r="U1689" s="73"/>
      <c r="V1689" s="73"/>
      <c r="W1689" s="73"/>
      <c r="X1689" s="73"/>
      <c r="Y1689" s="73"/>
      <c r="Z1689" s="73"/>
      <c r="AA1689" s="73"/>
      <c r="AB1689" s="73"/>
    </row>
    <row r="1690">
      <c r="A1690" s="73"/>
      <c r="B1690" s="73">
        <v>303163.7956</v>
      </c>
      <c r="C1690" s="73">
        <v>4.75510940391769E7</v>
      </c>
      <c r="D1690" s="73">
        <v>1.21098894579966E7</v>
      </c>
      <c r="E1690" s="73">
        <v>2251704.49613396</v>
      </c>
      <c r="F1690" s="73"/>
      <c r="G1690" s="73"/>
      <c r="H1690" s="73"/>
      <c r="I1690" s="73"/>
      <c r="J1690" s="73"/>
      <c r="K1690" s="73"/>
      <c r="L1690" s="73"/>
      <c r="M1690" s="73"/>
      <c r="N1690" s="73"/>
      <c r="O1690" s="73"/>
      <c r="P1690" s="73"/>
      <c r="Q1690" s="73"/>
      <c r="R1690" s="73"/>
      <c r="S1690" s="73"/>
      <c r="T1690" s="73"/>
      <c r="U1690" s="73"/>
      <c r="V1690" s="73"/>
      <c r="W1690" s="73"/>
      <c r="X1690" s="73"/>
      <c r="Y1690" s="73"/>
      <c r="Z1690" s="73"/>
      <c r="AA1690" s="73"/>
      <c r="AB1690" s="73"/>
    </row>
    <row r="1691">
      <c r="A1691" s="73"/>
      <c r="B1691" s="73">
        <v>303717.157</v>
      </c>
      <c r="C1691" s="73">
        <v>4.76277919570465E7</v>
      </c>
      <c r="D1691" s="73">
        <v>1.21384987019976E7</v>
      </c>
      <c r="E1691" s="73">
        <v>2255438.11842991</v>
      </c>
      <c r="F1691" s="73"/>
      <c r="G1691" s="73"/>
      <c r="H1691" s="73"/>
      <c r="I1691" s="73"/>
      <c r="J1691" s="73"/>
      <c r="K1691" s="73"/>
      <c r="L1691" s="73"/>
      <c r="M1691" s="73"/>
      <c r="N1691" s="73"/>
      <c r="O1691" s="73"/>
      <c r="P1691" s="73"/>
      <c r="Q1691" s="73"/>
      <c r="R1691" s="73"/>
      <c r="S1691" s="73"/>
      <c r="T1691" s="73"/>
      <c r="U1691" s="73"/>
      <c r="V1691" s="73"/>
      <c r="W1691" s="73"/>
      <c r="X1691" s="73"/>
      <c r="Y1691" s="73"/>
      <c r="Z1691" s="73"/>
      <c r="AA1691" s="73"/>
      <c r="AB1691" s="73"/>
    </row>
    <row r="1692">
      <c r="A1692" s="73"/>
      <c r="B1692" s="73">
        <v>304271.4232</v>
      </c>
      <c r="C1692" s="73">
        <v>4.7704564034914E7</v>
      </c>
      <c r="D1692" s="73">
        <v>1.21671507759985E7</v>
      </c>
      <c r="E1692" s="73">
        <v>2259175.79411265</v>
      </c>
      <c r="F1692" s="73"/>
      <c r="G1692" s="73"/>
      <c r="H1692" s="73"/>
      <c r="I1692" s="73"/>
      <c r="J1692" s="73"/>
      <c r="K1692" s="73"/>
      <c r="L1692" s="73"/>
      <c r="M1692" s="73"/>
      <c r="N1692" s="73"/>
      <c r="O1692" s="73"/>
      <c r="P1692" s="73"/>
      <c r="Q1692" s="73"/>
      <c r="R1692" s="73"/>
      <c r="S1692" s="73"/>
      <c r="T1692" s="73"/>
      <c r="U1692" s="73"/>
      <c r="V1692" s="73"/>
      <c r="W1692" s="73"/>
      <c r="X1692" s="73"/>
      <c r="Y1692" s="73"/>
      <c r="Z1692" s="73"/>
      <c r="AA1692" s="73"/>
      <c r="AB1692" s="73"/>
    </row>
    <row r="1693">
      <c r="A1693" s="73"/>
      <c r="B1693" s="73">
        <v>304826.6049</v>
      </c>
      <c r="C1693" s="73">
        <v>4.77814185127792E7</v>
      </c>
      <c r="D1693" s="73">
        <v>1.21958482799994E7</v>
      </c>
      <c r="E1693" s="73">
        <v>2262917.73510265</v>
      </c>
      <c r="F1693" s="73"/>
      <c r="G1693" s="73"/>
      <c r="H1693" s="73"/>
      <c r="I1693" s="73"/>
      <c r="J1693" s="73"/>
      <c r="K1693" s="73"/>
      <c r="L1693" s="73"/>
      <c r="M1693" s="73"/>
      <c r="N1693" s="73"/>
      <c r="O1693" s="73"/>
      <c r="P1693" s="73"/>
      <c r="Q1693" s="73"/>
      <c r="R1693" s="73"/>
      <c r="S1693" s="73"/>
      <c r="T1693" s="73"/>
      <c r="U1693" s="73"/>
      <c r="V1693" s="73"/>
      <c r="W1693" s="73"/>
      <c r="X1693" s="73"/>
      <c r="Y1693" s="73"/>
      <c r="Z1693" s="73"/>
      <c r="AA1693" s="73"/>
      <c r="AB1693" s="73"/>
    </row>
    <row r="1694">
      <c r="A1694" s="73"/>
      <c r="B1694" s="73">
        <v>305382.6971</v>
      </c>
      <c r="C1694" s="73">
        <v>4.78583553906422E7</v>
      </c>
      <c r="D1694" s="73">
        <v>1.22245886160003E7</v>
      </c>
      <c r="E1694" s="73">
        <v>2266663.69039194</v>
      </c>
      <c r="F1694" s="73"/>
      <c r="G1694" s="73"/>
      <c r="H1694" s="73"/>
      <c r="I1694" s="73"/>
      <c r="J1694" s="73"/>
      <c r="K1694" s="73"/>
      <c r="L1694" s="73"/>
      <c r="M1694" s="73"/>
      <c r="N1694" s="73"/>
      <c r="O1694" s="73"/>
      <c r="P1694" s="73"/>
      <c r="Q1694" s="73"/>
      <c r="R1694" s="73"/>
      <c r="S1694" s="73"/>
      <c r="T1694" s="73"/>
      <c r="U1694" s="73"/>
      <c r="V1694" s="73"/>
      <c r="W1694" s="73"/>
      <c r="X1694" s="73"/>
      <c r="Y1694" s="73"/>
      <c r="Z1694" s="73"/>
      <c r="AA1694" s="73"/>
      <c r="AB1694" s="73"/>
    </row>
    <row r="1695">
      <c r="A1695" s="73"/>
      <c r="B1695" s="73">
        <v>305939.7004</v>
      </c>
      <c r="C1695" s="73">
        <v>4.7935366428503E7</v>
      </c>
      <c r="D1695" s="73">
        <v>1.22533731200012E7</v>
      </c>
      <c r="E1695" s="73">
        <v>2270413.70238051</v>
      </c>
      <c r="F1695" s="73"/>
      <c r="G1695" s="73"/>
      <c r="H1695" s="73"/>
      <c r="I1695" s="73"/>
      <c r="J1695" s="73"/>
      <c r="K1695" s="73"/>
      <c r="L1695" s="73"/>
      <c r="M1695" s="73"/>
      <c r="N1695" s="73"/>
      <c r="O1695" s="73"/>
      <c r="P1695" s="73"/>
      <c r="Q1695" s="73"/>
      <c r="R1695" s="73"/>
      <c r="S1695" s="73"/>
      <c r="T1695" s="73"/>
      <c r="U1695" s="73"/>
      <c r="V1695" s="73"/>
      <c r="W1695" s="73"/>
      <c r="X1695" s="73"/>
      <c r="Y1695" s="73"/>
      <c r="Z1695" s="73"/>
      <c r="AA1695" s="73"/>
      <c r="AB1695" s="73"/>
    </row>
    <row r="1696">
      <c r="A1696" s="73"/>
      <c r="B1696" s="73">
        <v>306497.615</v>
      </c>
      <c r="C1696" s="73">
        <v>4.80124516263618E7</v>
      </c>
      <c r="D1696" s="73">
        <v>1.22822030320021E7</v>
      </c>
      <c r="E1696" s="73">
        <v>2274167.93727635</v>
      </c>
      <c r="F1696" s="73"/>
      <c r="G1696" s="73"/>
      <c r="H1696" s="73"/>
      <c r="I1696" s="73"/>
      <c r="J1696" s="73"/>
      <c r="K1696" s="73"/>
      <c r="L1696" s="73"/>
      <c r="M1696" s="73"/>
      <c r="N1696" s="73"/>
      <c r="O1696" s="73"/>
      <c r="P1696" s="73"/>
      <c r="Q1696" s="73"/>
      <c r="R1696" s="73"/>
      <c r="S1696" s="73"/>
      <c r="T1696" s="73"/>
      <c r="U1696" s="73"/>
      <c r="V1696" s="73"/>
      <c r="W1696" s="73"/>
      <c r="X1696" s="73"/>
      <c r="Y1696" s="73"/>
      <c r="Z1696" s="73"/>
      <c r="AA1696" s="73"/>
      <c r="AB1696" s="73"/>
    </row>
    <row r="1697">
      <c r="A1697" s="73"/>
      <c r="B1697" s="73">
        <v>307056.4407</v>
      </c>
      <c r="C1697" s="73">
        <v>4.80896192242184E7</v>
      </c>
      <c r="D1697" s="73">
        <v>1.23110757959954E7</v>
      </c>
      <c r="E1697" s="73">
        <v>2277926.39839196</v>
      </c>
      <c r="F1697" s="73"/>
      <c r="G1697" s="73"/>
      <c r="H1697" s="73"/>
      <c r="I1697" s="73"/>
      <c r="J1697" s="73"/>
      <c r="K1697" s="73"/>
      <c r="L1697" s="73"/>
      <c r="M1697" s="73"/>
      <c r="N1697" s="73"/>
      <c r="O1697" s="73"/>
      <c r="P1697" s="73"/>
      <c r="Q1697" s="73"/>
      <c r="R1697" s="73"/>
      <c r="S1697" s="73"/>
      <c r="T1697" s="73"/>
      <c r="U1697" s="73"/>
      <c r="V1697" s="73"/>
      <c r="W1697" s="73"/>
      <c r="X1697" s="73"/>
      <c r="Y1697" s="73"/>
      <c r="Z1697" s="73"/>
      <c r="AA1697" s="73"/>
      <c r="AB1697" s="73"/>
    </row>
    <row r="1698">
      <c r="A1698" s="73"/>
      <c r="B1698" s="73">
        <v>307616.1776</v>
      </c>
      <c r="C1698" s="73">
        <v>4.81668692220726E7</v>
      </c>
      <c r="D1698" s="73">
        <v>1.23399927099963E7</v>
      </c>
      <c r="E1698" s="73">
        <v>2281688.91620685</v>
      </c>
      <c r="F1698" s="73"/>
      <c r="G1698" s="73"/>
      <c r="H1698" s="73"/>
      <c r="I1698" s="73"/>
      <c r="J1698" s="73"/>
      <c r="K1698" s="73"/>
      <c r="L1698" s="73"/>
      <c r="M1698" s="73"/>
      <c r="N1698" s="73"/>
      <c r="O1698" s="73"/>
      <c r="P1698" s="73"/>
      <c r="Q1698" s="73"/>
      <c r="R1698" s="73"/>
      <c r="S1698" s="73"/>
      <c r="T1698" s="73"/>
      <c r="U1698" s="73"/>
      <c r="V1698" s="73"/>
      <c r="W1698" s="73"/>
      <c r="X1698" s="73"/>
      <c r="Y1698" s="73"/>
      <c r="Z1698" s="73"/>
      <c r="AA1698" s="73"/>
      <c r="AB1698" s="73"/>
    </row>
    <row r="1699">
      <c r="A1699" s="73"/>
      <c r="B1699" s="73">
        <v>308176.8264</v>
      </c>
      <c r="C1699" s="73">
        <v>4.82441933799248E7</v>
      </c>
      <c r="D1699" s="73">
        <v>1.23689537719973E7</v>
      </c>
      <c r="E1699" s="73">
        <v>2285455.66024152</v>
      </c>
      <c r="F1699" s="73"/>
      <c r="G1699" s="73"/>
      <c r="H1699" s="73"/>
      <c r="I1699" s="73"/>
      <c r="J1699" s="73"/>
      <c r="K1699" s="73"/>
      <c r="L1699" s="73"/>
      <c r="M1699" s="73"/>
      <c r="N1699" s="73"/>
      <c r="O1699" s="73"/>
      <c r="P1699" s="73"/>
      <c r="Q1699" s="73"/>
      <c r="R1699" s="73"/>
      <c r="S1699" s="73"/>
      <c r="T1699" s="73"/>
      <c r="U1699" s="73"/>
      <c r="V1699" s="73"/>
      <c r="W1699" s="73"/>
      <c r="X1699" s="73"/>
      <c r="Y1699" s="73"/>
      <c r="Z1699" s="73"/>
      <c r="AA1699" s="73"/>
      <c r="AB1699" s="73"/>
    </row>
    <row r="1700">
      <c r="A1700" s="73"/>
      <c r="B1700" s="73">
        <v>308738.3928</v>
      </c>
      <c r="C1700" s="73">
        <v>4.83215999377747E7</v>
      </c>
      <c r="D1700" s="73">
        <v>1.23979602259982E7</v>
      </c>
      <c r="E1700" s="73">
        <v>2289226.45766297</v>
      </c>
      <c r="F1700" s="73"/>
      <c r="G1700" s="73"/>
      <c r="H1700" s="73"/>
      <c r="I1700" s="73"/>
      <c r="J1700" s="73"/>
      <c r="K1700" s="73"/>
      <c r="L1700" s="73"/>
      <c r="M1700" s="73"/>
      <c r="N1700" s="73"/>
      <c r="O1700" s="73"/>
      <c r="P1700" s="73"/>
      <c r="Q1700" s="73"/>
      <c r="R1700" s="73"/>
      <c r="S1700" s="73"/>
      <c r="T1700" s="73"/>
      <c r="U1700" s="73"/>
      <c r="V1700" s="73"/>
      <c r="W1700" s="73"/>
      <c r="X1700" s="73"/>
      <c r="Y1700" s="73"/>
      <c r="Z1700" s="73"/>
      <c r="AA1700" s="73"/>
      <c r="AB1700" s="73"/>
    </row>
    <row r="1701">
      <c r="A1701" s="73"/>
      <c r="B1701" s="73">
        <v>309300.8661</v>
      </c>
      <c r="C1701" s="73">
        <v>4.83990806556225E7</v>
      </c>
      <c r="D1701" s="73">
        <v>1.24270095679991E7</v>
      </c>
      <c r="E1701" s="73">
        <v>2293001.32172119</v>
      </c>
      <c r="F1701" s="73"/>
      <c r="G1701" s="73"/>
      <c r="H1701" s="73"/>
      <c r="I1701" s="73"/>
      <c r="J1701" s="73"/>
      <c r="K1701" s="73"/>
      <c r="L1701" s="73"/>
      <c r="M1701" s="73"/>
      <c r="N1701" s="73"/>
      <c r="O1701" s="73"/>
      <c r="P1701" s="73"/>
      <c r="Q1701" s="73"/>
      <c r="R1701" s="73"/>
      <c r="S1701" s="73"/>
      <c r="T1701" s="73"/>
      <c r="U1701" s="73"/>
      <c r="V1701" s="73"/>
      <c r="W1701" s="73"/>
      <c r="X1701" s="73"/>
      <c r="Y1701" s="73"/>
      <c r="Z1701" s="73"/>
      <c r="AA1701" s="73"/>
      <c r="AB1701" s="73"/>
    </row>
    <row r="1702">
      <c r="A1702" s="73"/>
      <c r="B1702" s="73">
        <v>309864.257</v>
      </c>
      <c r="C1702" s="73">
        <v>4.8476643773468E7</v>
      </c>
      <c r="D1702" s="73">
        <v>1.2456104302E7</v>
      </c>
      <c r="E1702" s="73">
        <v>2296780.40537419</v>
      </c>
      <c r="F1702" s="73"/>
      <c r="G1702" s="73"/>
      <c r="H1702" s="73"/>
      <c r="I1702" s="73"/>
      <c r="J1702" s="73"/>
      <c r="K1702" s="73"/>
      <c r="L1702" s="73"/>
      <c r="M1702" s="73"/>
      <c r="N1702" s="73"/>
      <c r="O1702" s="73"/>
      <c r="P1702" s="73"/>
      <c r="Q1702" s="73"/>
      <c r="R1702" s="73"/>
      <c r="S1702" s="73"/>
      <c r="T1702" s="73"/>
      <c r="U1702" s="73"/>
      <c r="V1702" s="73"/>
      <c r="W1702" s="73"/>
      <c r="X1702" s="73"/>
      <c r="Y1702" s="73"/>
      <c r="Z1702" s="73"/>
      <c r="AA1702" s="73"/>
      <c r="AB1702" s="73"/>
    </row>
    <row r="1703">
      <c r="A1703" s="73"/>
      <c r="B1703" s="73">
        <v>310428.5612</v>
      </c>
      <c r="C1703" s="73">
        <v>4.85542810513115E7</v>
      </c>
      <c r="D1703" s="73">
        <v>1.24852431840009E7</v>
      </c>
      <c r="E1703" s="73">
        <v>2300563.67947197</v>
      </c>
      <c r="F1703" s="73"/>
      <c r="G1703" s="73"/>
      <c r="H1703" s="73"/>
      <c r="I1703" s="73"/>
      <c r="J1703" s="73"/>
      <c r="K1703" s="73"/>
      <c r="L1703" s="73"/>
      <c r="M1703" s="73"/>
      <c r="N1703" s="73"/>
      <c r="O1703" s="73"/>
      <c r="P1703" s="73"/>
      <c r="Q1703" s="73"/>
      <c r="R1703" s="73"/>
      <c r="S1703" s="73"/>
      <c r="T1703" s="73"/>
      <c r="U1703" s="73"/>
      <c r="V1703" s="73"/>
      <c r="W1703" s="73"/>
      <c r="X1703" s="73"/>
      <c r="Y1703" s="73"/>
      <c r="Z1703" s="73"/>
      <c r="AA1703" s="73"/>
      <c r="AB1703" s="73"/>
    </row>
    <row r="1704">
      <c r="A1704" s="73"/>
      <c r="B1704" s="73">
        <v>310993.783</v>
      </c>
      <c r="C1704" s="73">
        <v>4.86319924891529E7</v>
      </c>
      <c r="D1704" s="73">
        <v>1.25144262160018E7</v>
      </c>
      <c r="E1704" s="73">
        <v>2304351.05598152</v>
      </c>
      <c r="F1704" s="73"/>
      <c r="G1704" s="73"/>
      <c r="H1704" s="73"/>
      <c r="I1704" s="73"/>
      <c r="J1704" s="73"/>
      <c r="K1704" s="73"/>
      <c r="L1704" s="73"/>
      <c r="M1704" s="73"/>
      <c r="N1704" s="73"/>
      <c r="O1704" s="73"/>
      <c r="P1704" s="73"/>
      <c r="Q1704" s="73"/>
      <c r="R1704" s="73"/>
      <c r="S1704" s="73"/>
      <c r="T1704" s="73"/>
      <c r="U1704" s="73"/>
      <c r="V1704" s="73"/>
      <c r="W1704" s="73"/>
      <c r="X1704" s="73"/>
      <c r="Y1704" s="73"/>
      <c r="Z1704" s="73"/>
      <c r="AA1704" s="73"/>
      <c r="AB1704" s="73"/>
    </row>
    <row r="1705">
      <c r="A1705" s="73"/>
      <c r="B1705" s="73">
        <v>311559.9131</v>
      </c>
      <c r="C1705" s="73">
        <v>4.87097945669918E7</v>
      </c>
      <c r="D1705" s="73">
        <v>1.25436533779951E7</v>
      </c>
      <c r="E1705" s="73">
        <v>2308142.65871084</v>
      </c>
      <c r="F1705" s="73"/>
      <c r="G1705" s="73"/>
      <c r="H1705" s="73"/>
      <c r="I1705" s="73"/>
      <c r="J1705" s="73"/>
      <c r="K1705" s="73"/>
      <c r="L1705" s="73"/>
      <c r="M1705" s="73"/>
      <c r="N1705" s="73"/>
      <c r="O1705" s="73"/>
      <c r="P1705" s="73"/>
      <c r="Q1705" s="73"/>
      <c r="R1705" s="73"/>
      <c r="S1705" s="73"/>
      <c r="T1705" s="73"/>
      <c r="U1705" s="73"/>
      <c r="V1705" s="73"/>
      <c r="W1705" s="73"/>
      <c r="X1705" s="73"/>
      <c r="Y1705" s="73"/>
      <c r="Z1705" s="73"/>
      <c r="AA1705" s="73"/>
      <c r="AB1705" s="73"/>
    </row>
    <row r="1706">
      <c r="A1706" s="73"/>
      <c r="B1706" s="73">
        <v>312126.9572</v>
      </c>
      <c r="C1706" s="73">
        <v>4.87876708048286E7</v>
      </c>
      <c r="D1706" s="73">
        <v>1.2572924669996E7</v>
      </c>
      <c r="E1706" s="73">
        <v>2311938.27905195</v>
      </c>
      <c r="F1706" s="73"/>
      <c r="G1706" s="73"/>
      <c r="H1706" s="73"/>
      <c r="I1706" s="73"/>
      <c r="J1706" s="73"/>
      <c r="K1706" s="73"/>
      <c r="L1706" s="73"/>
      <c r="M1706" s="73"/>
      <c r="N1706" s="73"/>
      <c r="O1706" s="73"/>
      <c r="P1706" s="73"/>
      <c r="Q1706" s="73"/>
      <c r="R1706" s="73"/>
      <c r="S1706" s="73"/>
      <c r="T1706" s="73"/>
      <c r="U1706" s="73"/>
      <c r="V1706" s="73"/>
      <c r="W1706" s="73"/>
      <c r="X1706" s="73"/>
      <c r="Y1706" s="73"/>
      <c r="Z1706" s="73"/>
      <c r="AA1706" s="73"/>
      <c r="AB1706" s="73"/>
    </row>
    <row r="1707">
      <c r="A1707" s="73"/>
      <c r="B1707" s="73">
        <v>312694.9195</v>
      </c>
      <c r="C1707" s="73">
        <v>4.88656212026634E7</v>
      </c>
      <c r="D1707" s="73">
        <v>1.2602241391997E7</v>
      </c>
      <c r="E1707" s="73">
        <v>2315738.16801282</v>
      </c>
      <c r="F1707" s="73"/>
      <c r="G1707" s="73"/>
      <c r="H1707" s="73"/>
      <c r="I1707" s="73"/>
      <c r="J1707" s="73"/>
      <c r="K1707" s="73"/>
      <c r="L1707" s="73"/>
      <c r="M1707" s="73"/>
      <c r="N1707" s="73"/>
      <c r="O1707" s="73"/>
      <c r="P1707" s="73"/>
      <c r="Q1707" s="73"/>
      <c r="R1707" s="73"/>
      <c r="S1707" s="73"/>
      <c r="T1707" s="73"/>
      <c r="U1707" s="73"/>
      <c r="V1707" s="73"/>
      <c r="W1707" s="73"/>
      <c r="X1707" s="73"/>
      <c r="Y1707" s="73"/>
      <c r="Z1707" s="73"/>
      <c r="AA1707" s="73"/>
      <c r="AB1707" s="73"/>
    </row>
    <row r="1708">
      <c r="A1708" s="73"/>
      <c r="B1708" s="73">
        <v>313263.7959</v>
      </c>
      <c r="C1708" s="73">
        <v>4.89436540004959E7</v>
      </c>
      <c r="D1708" s="73">
        <v>1.26316022439979E7</v>
      </c>
      <c r="E1708" s="73">
        <v>2319542.08121048</v>
      </c>
      <c r="F1708" s="73"/>
      <c r="G1708" s="73"/>
      <c r="H1708" s="73"/>
      <c r="I1708" s="73"/>
      <c r="J1708" s="73"/>
      <c r="K1708" s="73"/>
      <c r="L1708" s="73"/>
      <c r="M1708" s="73"/>
      <c r="N1708" s="73"/>
      <c r="O1708" s="73"/>
      <c r="P1708" s="73"/>
      <c r="Q1708" s="73"/>
      <c r="R1708" s="73"/>
      <c r="S1708" s="73"/>
      <c r="T1708" s="73"/>
      <c r="U1708" s="73"/>
      <c r="V1708" s="73"/>
      <c r="W1708" s="73"/>
      <c r="X1708" s="73"/>
      <c r="Y1708" s="73"/>
      <c r="Z1708" s="73"/>
      <c r="AA1708" s="73"/>
      <c r="AB1708" s="73"/>
    </row>
    <row r="1709">
      <c r="A1709" s="73"/>
      <c r="B1709" s="73">
        <v>313833.587</v>
      </c>
      <c r="C1709" s="73">
        <v>4.90217609583263E7</v>
      </c>
      <c r="D1709" s="73">
        <v>1.26610072439988E7</v>
      </c>
      <c r="E1709" s="73">
        <v>2323350.26965291</v>
      </c>
      <c r="F1709" s="73"/>
      <c r="G1709" s="73"/>
      <c r="H1709" s="73"/>
      <c r="I1709" s="73"/>
      <c r="J1709" s="73"/>
      <c r="K1709" s="73"/>
      <c r="L1709" s="73"/>
      <c r="M1709" s="73"/>
      <c r="N1709" s="73"/>
      <c r="O1709" s="73"/>
      <c r="P1709" s="73"/>
      <c r="Q1709" s="73"/>
      <c r="R1709" s="73"/>
      <c r="S1709" s="73"/>
      <c r="T1709" s="73"/>
      <c r="U1709" s="73"/>
      <c r="V1709" s="73"/>
      <c r="W1709" s="73"/>
      <c r="X1709" s="73"/>
      <c r="Y1709" s="73"/>
      <c r="Z1709" s="73"/>
      <c r="AA1709" s="73"/>
      <c r="AB1709" s="73"/>
    </row>
    <row r="1710">
      <c r="A1710" s="73"/>
      <c r="B1710" s="73">
        <v>314404.2971</v>
      </c>
      <c r="C1710" s="73">
        <v>4.90999503161545E7</v>
      </c>
      <c r="D1710" s="73">
        <v>1.26904576559997E7</v>
      </c>
      <c r="E1710" s="73">
        <v>2327162.47570712</v>
      </c>
      <c r="F1710" s="73"/>
      <c r="G1710" s="73"/>
      <c r="H1710" s="73"/>
      <c r="I1710" s="73"/>
      <c r="J1710" s="73"/>
      <c r="K1710" s="73"/>
      <c r="L1710" s="73"/>
      <c r="M1710" s="73"/>
      <c r="N1710" s="73"/>
      <c r="O1710" s="73"/>
      <c r="P1710" s="73"/>
      <c r="Q1710" s="73"/>
      <c r="R1710" s="73"/>
      <c r="S1710" s="73"/>
      <c r="T1710" s="73"/>
      <c r="U1710" s="73"/>
      <c r="V1710" s="73"/>
      <c r="W1710" s="73"/>
      <c r="X1710" s="73"/>
      <c r="Y1710" s="73"/>
      <c r="Z1710" s="73"/>
      <c r="AA1710" s="73"/>
      <c r="AB1710" s="73"/>
    </row>
    <row r="1711">
      <c r="A1711" s="73"/>
      <c r="B1711" s="73">
        <v>314975.9168</v>
      </c>
      <c r="C1711" s="73">
        <v>4.91782220739803E7</v>
      </c>
      <c r="D1711" s="73">
        <v>1.27199522360006E7</v>
      </c>
      <c r="E1711" s="73">
        <v>2330978.9570061</v>
      </c>
      <c r="F1711" s="73"/>
      <c r="G1711" s="73"/>
      <c r="H1711" s="73"/>
      <c r="I1711" s="73"/>
      <c r="J1711" s="73"/>
      <c r="K1711" s="73"/>
      <c r="L1711" s="73"/>
      <c r="M1711" s="73"/>
      <c r="N1711" s="73"/>
      <c r="O1711" s="73"/>
      <c r="P1711" s="73"/>
      <c r="Q1711" s="73"/>
      <c r="R1711" s="73"/>
      <c r="S1711" s="73"/>
      <c r="T1711" s="73"/>
      <c r="U1711" s="73"/>
      <c r="V1711" s="73"/>
      <c r="W1711" s="73"/>
      <c r="X1711" s="73"/>
      <c r="Y1711" s="73"/>
      <c r="Z1711" s="73"/>
      <c r="AA1711" s="73"/>
      <c r="AB1711" s="73"/>
    </row>
    <row r="1712">
      <c r="A1712" s="73"/>
      <c r="B1712" s="73">
        <v>315548.457</v>
      </c>
      <c r="C1712" s="73">
        <v>4.92565679918041E7</v>
      </c>
      <c r="D1712" s="73">
        <v>1.27494909260015E7</v>
      </c>
      <c r="E1712" s="73">
        <v>2334799.62212486</v>
      </c>
      <c r="F1712" s="73"/>
      <c r="G1712" s="73"/>
      <c r="H1712" s="73"/>
      <c r="I1712" s="73"/>
      <c r="J1712" s="73"/>
      <c r="K1712" s="73"/>
      <c r="L1712" s="73"/>
      <c r="M1712" s="73"/>
      <c r="N1712" s="73"/>
      <c r="O1712" s="73"/>
      <c r="P1712" s="73"/>
      <c r="Q1712" s="73"/>
      <c r="R1712" s="73"/>
      <c r="S1712" s="73"/>
      <c r="T1712" s="73"/>
      <c r="U1712" s="73"/>
      <c r="V1712" s="73"/>
      <c r="W1712" s="73"/>
      <c r="X1712" s="73"/>
      <c r="Y1712" s="73"/>
      <c r="Z1712" s="73"/>
      <c r="AA1712" s="73"/>
      <c r="AB1712" s="73"/>
    </row>
    <row r="1713">
      <c r="A1713" s="73"/>
      <c r="B1713" s="73">
        <v>316121.9169</v>
      </c>
      <c r="C1713" s="73">
        <v>4.93349880696259E7</v>
      </c>
      <c r="D1713" s="73">
        <v>1.27790750459948E7</v>
      </c>
      <c r="E1713" s="73">
        <v>2338624.39628039</v>
      </c>
      <c r="F1713" s="73"/>
      <c r="G1713" s="73"/>
      <c r="H1713" s="73"/>
      <c r="I1713" s="73"/>
      <c r="J1713" s="73"/>
      <c r="K1713" s="73"/>
      <c r="L1713" s="73"/>
      <c r="M1713" s="73"/>
      <c r="N1713" s="73"/>
      <c r="O1713" s="73"/>
      <c r="P1713" s="73"/>
      <c r="Q1713" s="73"/>
      <c r="R1713" s="73"/>
      <c r="S1713" s="73"/>
      <c r="T1713" s="73"/>
      <c r="U1713" s="73"/>
      <c r="V1713" s="73"/>
      <c r="W1713" s="73"/>
      <c r="X1713" s="73"/>
      <c r="Y1713" s="73"/>
      <c r="Z1713" s="73"/>
      <c r="AA1713" s="73"/>
      <c r="AB1713" s="73"/>
    </row>
    <row r="1714">
      <c r="A1714" s="73"/>
      <c r="B1714" s="73">
        <v>316696.2872</v>
      </c>
      <c r="C1714" s="73">
        <v>4.94134987874451E7</v>
      </c>
      <c r="D1714" s="73">
        <v>1.28087033159957E7</v>
      </c>
      <c r="E1714" s="73">
        <v>2342453.36088069</v>
      </c>
      <c r="F1714" s="73"/>
      <c r="G1714" s="73"/>
      <c r="H1714" s="73"/>
      <c r="I1714" s="73"/>
      <c r="J1714" s="73"/>
      <c r="K1714" s="73"/>
      <c r="L1714" s="73"/>
      <c r="M1714" s="73"/>
      <c r="N1714" s="73"/>
      <c r="O1714" s="73"/>
      <c r="P1714" s="73"/>
      <c r="Q1714" s="73"/>
      <c r="R1714" s="73"/>
      <c r="S1714" s="73"/>
      <c r="T1714" s="73"/>
      <c r="U1714" s="73"/>
      <c r="V1714" s="73"/>
      <c r="W1714" s="73"/>
      <c r="X1714" s="73"/>
      <c r="Y1714" s="73"/>
      <c r="Z1714" s="73"/>
      <c r="AA1714" s="73"/>
      <c r="AB1714" s="73"/>
    </row>
    <row r="1715">
      <c r="A1715" s="73"/>
      <c r="B1715" s="73">
        <v>317271.5786</v>
      </c>
      <c r="C1715" s="73">
        <v>4.94920836652622E7</v>
      </c>
      <c r="D1715" s="73">
        <v>1.28383757159966E7</v>
      </c>
      <c r="E1715" s="73">
        <v>2346286.39211778</v>
      </c>
      <c r="F1715" s="73"/>
      <c r="G1715" s="73"/>
      <c r="H1715" s="73"/>
      <c r="I1715" s="73"/>
      <c r="J1715" s="73"/>
      <c r="K1715" s="73"/>
      <c r="L1715" s="73"/>
      <c r="M1715" s="73"/>
      <c r="N1715" s="73"/>
      <c r="O1715" s="73"/>
      <c r="P1715" s="73"/>
      <c r="Q1715" s="73"/>
      <c r="R1715" s="73"/>
      <c r="S1715" s="73"/>
      <c r="T1715" s="73"/>
      <c r="U1715" s="73"/>
      <c r="V1715" s="73"/>
      <c r="W1715" s="73"/>
      <c r="X1715" s="73"/>
      <c r="Y1715" s="73"/>
      <c r="Z1715" s="73"/>
      <c r="AA1715" s="73"/>
      <c r="AB1715" s="73"/>
    </row>
    <row r="1716">
      <c r="A1716" s="73"/>
      <c r="B1716" s="73">
        <v>317847.7854</v>
      </c>
      <c r="C1716" s="73">
        <v>4.95707427030773E7</v>
      </c>
      <c r="D1716" s="73">
        <v>1.28680935439976E7</v>
      </c>
      <c r="E1716" s="73">
        <v>2350123.69859964</v>
      </c>
      <c r="F1716" s="73"/>
      <c r="G1716" s="73"/>
      <c r="H1716" s="73"/>
      <c r="I1716" s="73"/>
      <c r="J1716" s="73"/>
      <c r="K1716" s="73"/>
      <c r="L1716" s="73"/>
      <c r="M1716" s="73"/>
      <c r="N1716" s="73"/>
      <c r="O1716" s="73"/>
      <c r="P1716" s="73"/>
      <c r="Q1716" s="73"/>
      <c r="R1716" s="73"/>
      <c r="S1716" s="73"/>
      <c r="T1716" s="73"/>
      <c r="U1716" s="73"/>
      <c r="V1716" s="73"/>
      <c r="W1716" s="73"/>
      <c r="X1716" s="73"/>
      <c r="Y1716" s="73"/>
      <c r="Z1716" s="73"/>
      <c r="AA1716" s="73"/>
      <c r="AB1716" s="73"/>
    </row>
    <row r="1717">
      <c r="A1717" s="73"/>
      <c r="B1717" s="73">
        <v>318424.9134</v>
      </c>
      <c r="C1717" s="73">
        <v>4.96494841408901E7</v>
      </c>
      <c r="D1717" s="73">
        <v>1.28978567639985E7</v>
      </c>
      <c r="E1717" s="73">
        <v>2353965.19552627</v>
      </c>
      <c r="F1717" s="73"/>
      <c r="G1717" s="73"/>
      <c r="H1717" s="73"/>
      <c r="I1717" s="73"/>
      <c r="J1717" s="73"/>
      <c r="K1717" s="73"/>
      <c r="L1717" s="73"/>
      <c r="M1717" s="73"/>
      <c r="N1717" s="73"/>
      <c r="O1717" s="73"/>
      <c r="P1717" s="73"/>
      <c r="Q1717" s="73"/>
      <c r="R1717" s="73"/>
      <c r="S1717" s="73"/>
      <c r="T1717" s="73"/>
      <c r="U1717" s="73"/>
      <c r="V1717" s="73"/>
      <c r="W1717" s="73"/>
      <c r="X1717" s="73"/>
      <c r="Y1717" s="73"/>
      <c r="Z1717" s="73"/>
      <c r="AA1717" s="73"/>
      <c r="AB1717" s="73"/>
    </row>
    <row r="1718">
      <c r="A1718" s="73"/>
      <c r="B1718" s="73">
        <v>319002.9524</v>
      </c>
      <c r="C1718" s="73">
        <v>4.97283079787006E7</v>
      </c>
      <c r="D1718" s="73">
        <v>1.29276641719994E7</v>
      </c>
      <c r="E1718" s="73">
        <v>2357810.75908968</v>
      </c>
      <c r="F1718" s="73"/>
      <c r="G1718" s="73"/>
      <c r="H1718" s="73"/>
      <c r="I1718" s="73"/>
      <c r="J1718" s="73"/>
      <c r="K1718" s="73"/>
      <c r="L1718" s="73"/>
      <c r="M1718" s="73"/>
      <c r="N1718" s="73"/>
      <c r="O1718" s="73"/>
      <c r="P1718" s="73"/>
      <c r="Q1718" s="73"/>
      <c r="R1718" s="73"/>
      <c r="S1718" s="73"/>
      <c r="T1718" s="73"/>
      <c r="U1718" s="73"/>
      <c r="V1718" s="73"/>
      <c r="W1718" s="73"/>
      <c r="X1718" s="73"/>
      <c r="Y1718" s="73"/>
      <c r="Z1718" s="73"/>
      <c r="AA1718" s="73"/>
      <c r="AB1718" s="73"/>
    </row>
    <row r="1719">
      <c r="A1719" s="73"/>
      <c r="B1719" s="73">
        <v>319581.9132</v>
      </c>
      <c r="C1719" s="73">
        <v>4.98072059765091E7</v>
      </c>
      <c r="D1719" s="73">
        <v>1.29575169700003E7</v>
      </c>
      <c r="E1719" s="73">
        <v>2361660.43168987</v>
      </c>
      <c r="F1719" s="73"/>
      <c r="G1719" s="73"/>
      <c r="H1719" s="73"/>
      <c r="I1719" s="73"/>
      <c r="J1719" s="73"/>
      <c r="K1719" s="73"/>
      <c r="L1719" s="73"/>
      <c r="M1719" s="73"/>
      <c r="N1719" s="73"/>
      <c r="O1719" s="73"/>
      <c r="P1719" s="73"/>
      <c r="Q1719" s="73"/>
      <c r="R1719" s="73"/>
      <c r="S1719" s="73"/>
      <c r="T1719" s="73"/>
      <c r="U1719" s="73"/>
      <c r="V1719" s="73"/>
      <c r="W1719" s="73"/>
      <c r="X1719" s="73"/>
      <c r="Y1719" s="73"/>
      <c r="Z1719" s="73"/>
      <c r="AA1719" s="73"/>
      <c r="AB1719" s="73"/>
    </row>
    <row r="1720">
      <c r="A1720" s="73"/>
      <c r="B1720" s="73">
        <v>320161.7959</v>
      </c>
      <c r="C1720" s="73">
        <v>4.98861863743153E7</v>
      </c>
      <c r="D1720" s="73">
        <v>1.29874139180012E7</v>
      </c>
      <c r="E1720" s="73">
        <v>2365514.46094282</v>
      </c>
      <c r="F1720" s="73"/>
      <c r="G1720" s="73"/>
      <c r="H1720" s="73"/>
      <c r="I1720" s="73"/>
      <c r="J1720" s="73"/>
      <c r="K1720" s="73"/>
      <c r="L1720" s="73"/>
      <c r="M1720" s="73"/>
      <c r="N1720" s="73"/>
      <c r="O1720" s="73"/>
      <c r="P1720" s="73"/>
      <c r="Q1720" s="73"/>
      <c r="R1720" s="73"/>
      <c r="S1720" s="73"/>
      <c r="T1720" s="73"/>
      <c r="U1720" s="73"/>
      <c r="V1720" s="73"/>
      <c r="W1720" s="73"/>
      <c r="X1720" s="73"/>
      <c r="Y1720" s="73"/>
      <c r="Z1720" s="73"/>
      <c r="AA1720" s="73"/>
      <c r="AB1720" s="73"/>
    </row>
    <row r="1721">
      <c r="A1721" s="73"/>
      <c r="B1721" s="73">
        <v>320742.5911</v>
      </c>
      <c r="C1721" s="73">
        <v>4.99652409321194E7</v>
      </c>
      <c r="D1721" s="73">
        <v>1.30173549960021E7</v>
      </c>
      <c r="E1721" s="73">
        <v>2369372.56345755</v>
      </c>
      <c r="F1721" s="73"/>
      <c r="G1721" s="73"/>
      <c r="H1721" s="73"/>
      <c r="I1721" s="73"/>
      <c r="J1721" s="73"/>
      <c r="K1721" s="73"/>
      <c r="L1721" s="73"/>
      <c r="M1721" s="73"/>
      <c r="N1721" s="73"/>
      <c r="O1721" s="73"/>
      <c r="P1721" s="73"/>
      <c r="Q1721" s="73"/>
      <c r="R1721" s="73"/>
      <c r="S1721" s="73"/>
      <c r="T1721" s="73"/>
      <c r="U1721" s="73"/>
      <c r="V1721" s="73"/>
      <c r="W1721" s="73"/>
      <c r="X1721" s="73"/>
      <c r="Y1721" s="73"/>
      <c r="Z1721" s="73"/>
      <c r="AA1721" s="73"/>
      <c r="AB1721" s="73"/>
    </row>
    <row r="1722">
      <c r="A1722" s="73"/>
      <c r="B1722" s="73">
        <v>321324.3123</v>
      </c>
      <c r="C1722" s="73">
        <v>5.00443778899212E7</v>
      </c>
      <c r="D1722" s="73">
        <v>1.30473428019954E7</v>
      </c>
      <c r="E1722" s="73">
        <v>2373234.77500907</v>
      </c>
      <c r="F1722" s="73"/>
      <c r="G1722" s="73"/>
      <c r="H1722" s="73"/>
      <c r="I1722" s="73"/>
      <c r="J1722" s="73"/>
      <c r="K1722" s="73"/>
      <c r="L1722" s="73"/>
      <c r="M1722" s="73"/>
      <c r="N1722" s="73"/>
      <c r="O1722" s="73"/>
      <c r="P1722" s="73"/>
      <c r="Q1722" s="73"/>
      <c r="R1722" s="73"/>
      <c r="S1722" s="73"/>
      <c r="T1722" s="73"/>
      <c r="U1722" s="73"/>
      <c r="V1722" s="73"/>
      <c r="W1722" s="73"/>
      <c r="X1722" s="73"/>
      <c r="Y1722" s="73"/>
      <c r="Z1722" s="73"/>
      <c r="AA1722" s="73"/>
      <c r="AB1722" s="73"/>
    </row>
    <row r="1723">
      <c r="A1723" s="73"/>
      <c r="B1723" s="73">
        <v>321906.9468</v>
      </c>
      <c r="C1723" s="73">
        <v>5.01235972477207E7</v>
      </c>
      <c r="D1723" s="73">
        <v>1.30773747199963E7</v>
      </c>
      <c r="E1723" s="73">
        <v>2377101.18363035</v>
      </c>
      <c r="F1723" s="73"/>
      <c r="G1723" s="73"/>
      <c r="H1723" s="73"/>
      <c r="I1723" s="73"/>
      <c r="J1723" s="73"/>
      <c r="K1723" s="73"/>
      <c r="L1723" s="73"/>
      <c r="M1723" s="73"/>
      <c r="N1723" s="73"/>
      <c r="O1723" s="73"/>
      <c r="P1723" s="73"/>
      <c r="Q1723" s="73"/>
      <c r="R1723" s="73"/>
      <c r="S1723" s="73"/>
      <c r="T1723" s="73"/>
      <c r="U1723" s="73"/>
      <c r="V1723" s="73"/>
      <c r="W1723" s="73"/>
      <c r="X1723" s="73"/>
      <c r="Y1723" s="73"/>
      <c r="Z1723" s="73"/>
      <c r="AA1723" s="73"/>
      <c r="AB1723" s="73"/>
    </row>
    <row r="1724">
      <c r="A1724" s="73"/>
      <c r="B1724" s="73">
        <v>322490.5039</v>
      </c>
      <c r="C1724" s="73">
        <v>5.02028907655182E7</v>
      </c>
      <c r="D1724" s="73">
        <v>1.31074507859973E7</v>
      </c>
      <c r="E1724" s="73">
        <v>2380971.82509641</v>
      </c>
      <c r="F1724" s="73"/>
      <c r="G1724" s="73"/>
      <c r="H1724" s="73"/>
      <c r="I1724" s="73"/>
      <c r="J1724" s="73"/>
      <c r="K1724" s="73"/>
      <c r="L1724" s="73"/>
      <c r="M1724" s="73"/>
      <c r="N1724" s="73"/>
      <c r="O1724" s="73"/>
      <c r="P1724" s="73"/>
      <c r="Q1724" s="73"/>
      <c r="R1724" s="73"/>
      <c r="S1724" s="73"/>
      <c r="T1724" s="73"/>
      <c r="U1724" s="73"/>
      <c r="V1724" s="73"/>
      <c r="W1724" s="73"/>
      <c r="X1724" s="73"/>
      <c r="Y1724" s="73"/>
      <c r="Z1724" s="73"/>
      <c r="AA1724" s="73"/>
      <c r="AB1724" s="73"/>
    </row>
    <row r="1725">
      <c r="A1725" s="73"/>
      <c r="B1725" s="73">
        <v>323074.9784</v>
      </c>
      <c r="C1725" s="73">
        <v>5.02822666833134E7</v>
      </c>
      <c r="D1725" s="73">
        <v>1.31375735619982E7</v>
      </c>
      <c r="E1725" s="73">
        <v>2384846.74843223</v>
      </c>
      <c r="F1725" s="73"/>
      <c r="G1725" s="73"/>
      <c r="H1725" s="73"/>
      <c r="I1725" s="73"/>
      <c r="J1725" s="73"/>
      <c r="K1725" s="73"/>
      <c r="L1725" s="73"/>
      <c r="M1725" s="73"/>
      <c r="N1725" s="73"/>
      <c r="O1725" s="73"/>
      <c r="P1725" s="73"/>
      <c r="Q1725" s="73"/>
      <c r="R1725" s="73"/>
      <c r="S1725" s="73"/>
      <c r="T1725" s="73"/>
      <c r="U1725" s="73"/>
      <c r="V1725" s="73"/>
      <c r="W1725" s="73"/>
      <c r="X1725" s="73"/>
      <c r="Y1725" s="73"/>
      <c r="Z1725" s="73"/>
      <c r="AA1725" s="73"/>
      <c r="AB1725" s="73"/>
    </row>
    <row r="1726">
      <c r="A1726" s="73"/>
      <c r="B1726" s="73">
        <v>323660.3768</v>
      </c>
      <c r="C1726" s="73">
        <v>5.03617250011063E7</v>
      </c>
      <c r="D1726" s="73">
        <v>1.31677404879991E7</v>
      </c>
      <c r="E1726" s="73">
        <v>2388725.69600484</v>
      </c>
      <c r="F1726" s="73"/>
      <c r="G1726" s="73"/>
      <c r="H1726" s="73"/>
      <c r="I1726" s="73"/>
      <c r="J1726" s="73"/>
      <c r="K1726" s="73"/>
      <c r="L1726" s="73"/>
      <c r="M1726" s="73"/>
      <c r="N1726" s="73"/>
      <c r="O1726" s="73"/>
      <c r="P1726" s="73"/>
      <c r="Q1726" s="73"/>
      <c r="R1726" s="73"/>
      <c r="S1726" s="73"/>
      <c r="T1726" s="73"/>
      <c r="U1726" s="73"/>
      <c r="V1726" s="73"/>
      <c r="W1726" s="73"/>
      <c r="X1726" s="73"/>
      <c r="Y1726" s="73"/>
      <c r="Z1726" s="73"/>
      <c r="AA1726" s="73"/>
      <c r="AB1726" s="73"/>
    </row>
    <row r="1727">
      <c r="A1727" s="73"/>
      <c r="B1727" s="73">
        <v>324246.6928</v>
      </c>
      <c r="C1727" s="73">
        <v>5.04412574788971E7</v>
      </c>
      <c r="D1727" s="73">
        <v>1.3197951524E7</v>
      </c>
      <c r="E1727" s="73">
        <v>2392608.71683923</v>
      </c>
      <c r="F1727" s="73"/>
      <c r="G1727" s="73"/>
      <c r="H1727" s="73"/>
      <c r="I1727" s="73"/>
      <c r="J1727" s="73"/>
      <c r="K1727" s="73"/>
      <c r="L1727" s="73"/>
      <c r="M1727" s="73"/>
      <c r="N1727" s="73"/>
      <c r="O1727" s="73"/>
      <c r="P1727" s="73"/>
      <c r="Q1727" s="73"/>
      <c r="R1727" s="73"/>
      <c r="S1727" s="73"/>
      <c r="T1727" s="73"/>
      <c r="U1727" s="73"/>
      <c r="V1727" s="73"/>
      <c r="W1727" s="73"/>
      <c r="X1727" s="73"/>
      <c r="Y1727" s="73"/>
      <c r="Z1727" s="73"/>
      <c r="AA1727" s="73"/>
      <c r="AB1727" s="73"/>
    </row>
    <row r="1728">
      <c r="A1728" s="73"/>
      <c r="B1728" s="73">
        <v>324833.932</v>
      </c>
      <c r="C1728" s="73">
        <v>5.05208723566856E7</v>
      </c>
      <c r="D1728" s="73">
        <v>1.32282093080009E7</v>
      </c>
      <c r="E1728" s="73">
        <v>2396496.18575138</v>
      </c>
      <c r="F1728" s="73"/>
      <c r="G1728" s="73"/>
      <c r="H1728" s="73"/>
      <c r="I1728" s="73"/>
      <c r="J1728" s="73"/>
      <c r="K1728" s="73"/>
      <c r="L1728" s="73"/>
      <c r="M1728" s="73"/>
      <c r="N1728" s="73"/>
      <c r="O1728" s="73"/>
      <c r="P1728" s="73"/>
      <c r="Q1728" s="73"/>
      <c r="R1728" s="73"/>
      <c r="S1728" s="73"/>
      <c r="T1728" s="73"/>
      <c r="U1728" s="73"/>
      <c r="V1728" s="73"/>
      <c r="W1728" s="73"/>
      <c r="X1728" s="73"/>
      <c r="Y1728" s="73"/>
      <c r="Z1728" s="73"/>
      <c r="AA1728" s="73"/>
      <c r="AB1728" s="73"/>
    </row>
    <row r="1729">
      <c r="A1729" s="73"/>
      <c r="B1729" s="73">
        <v>325422.0858</v>
      </c>
      <c r="C1729" s="73">
        <v>5.06005613944721E7</v>
      </c>
      <c r="D1729" s="73">
        <v>1.32585112020018E7</v>
      </c>
      <c r="E1729" s="73">
        <v>2400387.67890031</v>
      </c>
      <c r="F1729" s="73"/>
      <c r="G1729" s="73"/>
      <c r="H1729" s="73"/>
      <c r="I1729" s="73"/>
      <c r="J1729" s="73"/>
      <c r="K1729" s="73"/>
      <c r="L1729" s="73"/>
      <c r="M1729" s="73"/>
      <c r="N1729" s="73"/>
      <c r="O1729" s="73"/>
      <c r="P1729" s="73"/>
      <c r="Q1729" s="73"/>
      <c r="R1729" s="73"/>
      <c r="S1729" s="73"/>
      <c r="T1729" s="73"/>
      <c r="U1729" s="73"/>
      <c r="V1729" s="73"/>
      <c r="W1729" s="73"/>
      <c r="X1729" s="73"/>
      <c r="Y1729" s="73"/>
      <c r="Z1729" s="73"/>
      <c r="AA1729" s="73"/>
      <c r="AB1729" s="73"/>
    </row>
    <row r="1730">
      <c r="A1730" s="73"/>
      <c r="B1730" s="73">
        <v>326011.1685</v>
      </c>
      <c r="C1730" s="73">
        <v>5.06803410722561E7</v>
      </c>
      <c r="D1730" s="73">
        <v>1.32888585259951E7</v>
      </c>
      <c r="E1730" s="73">
        <v>2404283.46054401</v>
      </c>
      <c r="F1730" s="73"/>
      <c r="G1730" s="73"/>
      <c r="H1730" s="73"/>
      <c r="I1730" s="73"/>
      <c r="J1730" s="73"/>
      <c r="K1730" s="73"/>
      <c r="L1730" s="73"/>
      <c r="M1730" s="73"/>
      <c r="N1730" s="73"/>
      <c r="O1730" s="73"/>
      <c r="P1730" s="73"/>
      <c r="Q1730" s="73"/>
      <c r="R1730" s="73"/>
      <c r="S1730" s="73"/>
      <c r="T1730" s="73"/>
      <c r="U1730" s="73"/>
      <c r="V1730" s="73"/>
      <c r="W1730" s="73"/>
      <c r="X1730" s="73"/>
      <c r="Y1730" s="73"/>
      <c r="Z1730" s="73"/>
      <c r="AA1730" s="73"/>
      <c r="AB1730" s="73"/>
    </row>
    <row r="1731">
      <c r="A1731" s="73"/>
      <c r="B1731" s="73">
        <v>326601.1702</v>
      </c>
      <c r="C1731" s="73">
        <v>5.0760194910038E7</v>
      </c>
      <c r="D1731" s="73">
        <v>1.3319251279996E7</v>
      </c>
      <c r="E1731" s="73">
        <v>2408183.26642449</v>
      </c>
      <c r="F1731" s="73"/>
      <c r="G1731" s="73"/>
      <c r="H1731" s="73"/>
      <c r="I1731" s="73"/>
      <c r="J1731" s="73"/>
      <c r="K1731" s="73"/>
      <c r="L1731" s="73"/>
      <c r="M1731" s="73"/>
      <c r="N1731" s="73"/>
      <c r="O1731" s="73"/>
      <c r="P1731" s="73"/>
      <c r="Q1731" s="73"/>
      <c r="R1731" s="73"/>
      <c r="S1731" s="73"/>
      <c r="T1731" s="73"/>
      <c r="U1731" s="73"/>
      <c r="V1731" s="73"/>
      <c r="W1731" s="73"/>
      <c r="X1731" s="73"/>
      <c r="Y1731" s="73"/>
      <c r="Z1731" s="73"/>
      <c r="AA1731" s="73"/>
      <c r="AB1731" s="73"/>
    </row>
    <row r="1732">
      <c r="A1732" s="73"/>
      <c r="B1732" s="73">
        <v>327192.0908</v>
      </c>
      <c r="C1732" s="73">
        <v>5.08401229078178E7</v>
      </c>
      <c r="D1732" s="73">
        <v>1.33496894439969E7</v>
      </c>
      <c r="E1732" s="73">
        <v>2412087.36079974</v>
      </c>
      <c r="F1732" s="73"/>
      <c r="G1732" s="73"/>
      <c r="H1732" s="73"/>
      <c r="I1732" s="73"/>
      <c r="J1732" s="73"/>
      <c r="K1732" s="73"/>
      <c r="L1732" s="73"/>
      <c r="M1732" s="73"/>
      <c r="N1732" s="73"/>
      <c r="O1732" s="73"/>
      <c r="P1732" s="73"/>
      <c r="Q1732" s="73"/>
      <c r="R1732" s="73"/>
      <c r="S1732" s="73"/>
      <c r="T1732" s="73"/>
      <c r="U1732" s="73"/>
      <c r="V1732" s="73"/>
      <c r="W1732" s="73"/>
      <c r="X1732" s="73"/>
      <c r="Y1732" s="73"/>
      <c r="Z1732" s="73"/>
      <c r="AA1732" s="73"/>
      <c r="AB1732" s="73"/>
    </row>
    <row r="1733">
      <c r="A1733" s="73"/>
      <c r="B1733" s="73">
        <v>327783.9367</v>
      </c>
      <c r="C1733" s="73">
        <v>5.09201333055954E7</v>
      </c>
      <c r="D1733" s="73">
        <v>1.33801730559979E7</v>
      </c>
      <c r="E1733" s="73">
        <v>2415995.64561977</v>
      </c>
      <c r="F1733" s="73"/>
      <c r="G1733" s="73"/>
      <c r="H1733" s="73"/>
      <c r="I1733" s="73"/>
      <c r="J1733" s="73"/>
      <c r="K1733" s="73"/>
      <c r="L1733" s="73"/>
      <c r="M1733" s="73"/>
      <c r="N1733" s="73"/>
      <c r="O1733" s="73"/>
      <c r="P1733" s="73"/>
      <c r="Q1733" s="73"/>
      <c r="R1733" s="73"/>
      <c r="S1733" s="73"/>
      <c r="T1733" s="73"/>
      <c r="U1733" s="73"/>
      <c r="V1733" s="73"/>
      <c r="W1733" s="73"/>
      <c r="X1733" s="73"/>
      <c r="Y1733" s="73"/>
      <c r="Z1733" s="73"/>
      <c r="AA1733" s="73"/>
      <c r="AB1733" s="73"/>
    </row>
    <row r="1734">
      <c r="A1734" s="73"/>
      <c r="B1734" s="73">
        <v>328376.7022</v>
      </c>
      <c r="C1734" s="73">
        <v>5.10002261033707E7</v>
      </c>
      <c r="D1734" s="73">
        <v>1.34107007599988E7</v>
      </c>
      <c r="E1734" s="73">
        <v>2419908.05272657</v>
      </c>
      <c r="F1734" s="73"/>
      <c r="G1734" s="73"/>
      <c r="H1734" s="73"/>
      <c r="I1734" s="73"/>
      <c r="J1734" s="73"/>
      <c r="K1734" s="73"/>
      <c r="L1734" s="73"/>
      <c r="M1734" s="73"/>
      <c r="N1734" s="73"/>
      <c r="O1734" s="73"/>
      <c r="P1734" s="73"/>
      <c r="Q1734" s="73"/>
      <c r="R1734" s="73"/>
      <c r="S1734" s="73"/>
      <c r="T1734" s="73"/>
      <c r="U1734" s="73"/>
      <c r="V1734" s="73"/>
      <c r="W1734" s="73"/>
      <c r="X1734" s="73"/>
      <c r="Y1734" s="73"/>
      <c r="Z1734" s="73"/>
      <c r="AA1734" s="73"/>
      <c r="AB1734" s="73"/>
    </row>
    <row r="1735">
      <c r="A1735" s="73"/>
      <c r="B1735" s="73">
        <v>328970.3924</v>
      </c>
      <c r="C1735" s="73">
        <v>5.10803930611439E7</v>
      </c>
      <c r="D1735" s="73">
        <v>1.34412751919997E7</v>
      </c>
      <c r="E1735" s="73">
        <v>2423824.65690314</v>
      </c>
      <c r="F1735" s="73"/>
      <c r="G1735" s="73"/>
      <c r="H1735" s="73"/>
      <c r="I1735" s="73"/>
      <c r="J1735" s="73"/>
      <c r="K1735" s="73"/>
      <c r="L1735" s="73"/>
      <c r="M1735" s="73"/>
      <c r="N1735" s="73"/>
      <c r="O1735" s="73"/>
      <c r="P1735" s="73"/>
      <c r="Q1735" s="73"/>
      <c r="R1735" s="73"/>
      <c r="S1735" s="73"/>
      <c r="T1735" s="73"/>
      <c r="U1735" s="73"/>
      <c r="V1735" s="73"/>
      <c r="W1735" s="73"/>
      <c r="X1735" s="73"/>
      <c r="Y1735" s="73"/>
      <c r="Z1735" s="73"/>
      <c r="AA1735" s="73"/>
      <c r="AB1735" s="73"/>
    </row>
    <row r="1736">
      <c r="A1736" s="73"/>
      <c r="B1736" s="73">
        <v>329565.0036</v>
      </c>
      <c r="C1736" s="73">
        <v>5.11606424189148E7</v>
      </c>
      <c r="D1736" s="73">
        <v>1.34718938120006E7</v>
      </c>
      <c r="E1736" s="73">
        <v>2427745.54957449</v>
      </c>
      <c r="F1736" s="73"/>
      <c r="G1736" s="73"/>
      <c r="H1736" s="73"/>
      <c r="I1736" s="73"/>
      <c r="J1736" s="73"/>
      <c r="K1736" s="73"/>
      <c r="L1736" s="73"/>
      <c r="M1736" s="73"/>
      <c r="N1736" s="73"/>
      <c r="O1736" s="73"/>
      <c r="P1736" s="73"/>
      <c r="Q1736" s="73"/>
      <c r="R1736" s="73"/>
      <c r="S1736" s="73"/>
      <c r="T1736" s="73"/>
      <c r="U1736" s="73"/>
      <c r="V1736" s="73"/>
      <c r="W1736" s="73"/>
      <c r="X1736" s="73"/>
      <c r="Y1736" s="73"/>
      <c r="Z1736" s="73"/>
      <c r="AA1736" s="73"/>
      <c r="AB1736" s="73"/>
    </row>
    <row r="1737">
      <c r="A1737" s="73"/>
      <c r="B1737" s="73">
        <v>330160.5394</v>
      </c>
      <c r="C1737" s="73">
        <v>5.12409659366837E7</v>
      </c>
      <c r="D1737" s="73">
        <v>1.35025590840015E7</v>
      </c>
      <c r="E1737" s="73">
        <v>2431670.63269061</v>
      </c>
      <c r="F1737" s="73"/>
      <c r="G1737" s="73"/>
      <c r="H1737" s="73"/>
      <c r="I1737" s="73"/>
      <c r="J1737" s="73"/>
      <c r="K1737" s="73"/>
      <c r="L1737" s="73"/>
      <c r="M1737" s="73"/>
      <c r="N1737" s="73"/>
      <c r="O1737" s="73"/>
      <c r="P1737" s="73"/>
      <c r="Q1737" s="73"/>
      <c r="R1737" s="73"/>
      <c r="S1737" s="73"/>
      <c r="T1737" s="73"/>
      <c r="U1737" s="73"/>
      <c r="V1737" s="73"/>
      <c r="W1737" s="73"/>
      <c r="X1737" s="73"/>
      <c r="Y1737" s="73"/>
      <c r="Z1737" s="73"/>
      <c r="AA1737" s="73"/>
      <c r="AB1737" s="73"/>
    </row>
    <row r="1738">
      <c r="A1738" s="73"/>
      <c r="B1738" s="73">
        <v>330756.9912</v>
      </c>
      <c r="C1738" s="73">
        <v>5.132138009445E7</v>
      </c>
      <c r="D1738" s="73">
        <v>1.35332685039948E7</v>
      </c>
      <c r="E1738" s="73">
        <v>2435599.8380935</v>
      </c>
      <c r="F1738" s="73"/>
      <c r="G1738" s="73"/>
      <c r="H1738" s="73"/>
      <c r="I1738" s="73"/>
      <c r="J1738" s="73"/>
      <c r="K1738" s="73"/>
      <c r="L1738" s="73"/>
      <c r="M1738" s="73"/>
      <c r="N1738" s="73"/>
      <c r="O1738" s="73"/>
      <c r="P1738" s="73"/>
      <c r="Q1738" s="73"/>
      <c r="R1738" s="73"/>
      <c r="S1738" s="73"/>
      <c r="T1738" s="73"/>
      <c r="U1738" s="73"/>
      <c r="V1738" s="73"/>
      <c r="W1738" s="73"/>
      <c r="X1738" s="73"/>
      <c r="Y1738" s="73"/>
      <c r="Z1738" s="73"/>
      <c r="AA1738" s="73"/>
      <c r="AB1738" s="73"/>
    </row>
    <row r="1739">
      <c r="A1739" s="73"/>
      <c r="B1739" s="73">
        <v>331354.3741</v>
      </c>
      <c r="C1739" s="73">
        <v>5.14018684122143E7</v>
      </c>
      <c r="D1739" s="73">
        <v>1.35640246159957E7</v>
      </c>
      <c r="E1739" s="73">
        <v>2439533.28959117</v>
      </c>
      <c r="F1739" s="73"/>
      <c r="G1739" s="73"/>
      <c r="H1739" s="73"/>
      <c r="I1739" s="73"/>
      <c r="J1739" s="73"/>
      <c r="K1739" s="73"/>
      <c r="L1739" s="73"/>
      <c r="M1739" s="73"/>
      <c r="N1739" s="73"/>
      <c r="O1739" s="73"/>
      <c r="P1739" s="73"/>
      <c r="Q1739" s="73"/>
      <c r="R1739" s="73"/>
      <c r="S1739" s="73"/>
      <c r="T1739" s="73"/>
      <c r="U1739" s="73"/>
      <c r="V1739" s="73"/>
      <c r="W1739" s="73"/>
      <c r="X1739" s="73"/>
      <c r="Y1739" s="73"/>
      <c r="Z1739" s="73"/>
      <c r="AA1739" s="73"/>
      <c r="AB1739" s="73"/>
    </row>
    <row r="1740">
      <c r="A1740" s="73"/>
      <c r="B1740" s="73">
        <v>331952.683</v>
      </c>
      <c r="C1740" s="73">
        <v>5.14824391299763E7</v>
      </c>
      <c r="D1740" s="73">
        <v>1.35948248959966E7</v>
      </c>
      <c r="E1740" s="73">
        <v>2443470.9805586</v>
      </c>
      <c r="F1740" s="73"/>
      <c r="G1740" s="73"/>
      <c r="H1740" s="73"/>
      <c r="I1740" s="73"/>
      <c r="J1740" s="73"/>
      <c r="K1740" s="73"/>
      <c r="L1740" s="73"/>
      <c r="M1740" s="73"/>
      <c r="N1740" s="73"/>
      <c r="O1740" s="73"/>
      <c r="P1740" s="73"/>
      <c r="Q1740" s="73"/>
      <c r="R1740" s="73"/>
      <c r="S1740" s="73"/>
      <c r="T1740" s="73"/>
      <c r="U1740" s="73"/>
      <c r="V1740" s="73"/>
      <c r="W1740" s="73"/>
      <c r="X1740" s="73"/>
      <c r="Y1740" s="73"/>
      <c r="Z1740" s="73"/>
      <c r="AA1740" s="73"/>
      <c r="AB1740" s="73"/>
    </row>
    <row r="1741">
      <c r="A1741" s="73"/>
      <c r="B1741" s="73">
        <v>332551.9079</v>
      </c>
      <c r="C1741" s="73">
        <v>5.15630840077362E7</v>
      </c>
      <c r="D1741" s="73">
        <v>1.36256718839976E7</v>
      </c>
      <c r="E1741" s="73">
        <v>2447412.70901282</v>
      </c>
      <c r="F1741" s="73"/>
      <c r="G1741" s="73"/>
      <c r="H1741" s="73"/>
      <c r="I1741" s="73"/>
      <c r="J1741" s="73"/>
      <c r="K1741" s="73"/>
      <c r="L1741" s="73"/>
      <c r="M1741" s="73"/>
      <c r="N1741" s="73"/>
      <c r="O1741" s="73"/>
      <c r="P1741" s="73"/>
      <c r="Q1741" s="73"/>
      <c r="R1741" s="73"/>
      <c r="S1741" s="73"/>
      <c r="T1741" s="73"/>
      <c r="U1741" s="73"/>
      <c r="V1741" s="73"/>
      <c r="W1741" s="73"/>
      <c r="X1741" s="73"/>
      <c r="Y1741" s="73"/>
      <c r="Z1741" s="73"/>
      <c r="AA1741" s="73"/>
      <c r="AB1741" s="73"/>
    </row>
    <row r="1742">
      <c r="A1742" s="73"/>
      <c r="B1742" s="73">
        <v>333152.0703</v>
      </c>
      <c r="C1742" s="73">
        <v>5.16438195254936E7</v>
      </c>
      <c r="D1742" s="73">
        <v>1.36565630039985E7</v>
      </c>
      <c r="E1742" s="73">
        <v>2451358.72596181</v>
      </c>
      <c r="F1742" s="73"/>
      <c r="G1742" s="73"/>
      <c r="H1742" s="73"/>
      <c r="I1742" s="73"/>
      <c r="J1742" s="73"/>
      <c r="K1742" s="73"/>
      <c r="L1742" s="73"/>
      <c r="M1742" s="73"/>
      <c r="N1742" s="73"/>
      <c r="O1742" s="73"/>
      <c r="P1742" s="73"/>
      <c r="Q1742" s="73"/>
      <c r="R1742" s="73"/>
      <c r="S1742" s="73"/>
      <c r="T1742" s="73"/>
      <c r="U1742" s="73"/>
      <c r="V1742" s="73"/>
      <c r="W1742" s="73"/>
      <c r="X1742" s="73"/>
      <c r="Y1742" s="73"/>
      <c r="Z1742" s="73"/>
      <c r="AA1742" s="73"/>
      <c r="AB1742" s="73"/>
    </row>
    <row r="1743">
      <c r="A1743" s="73"/>
      <c r="B1743" s="73">
        <v>333753.1487</v>
      </c>
      <c r="C1743" s="73">
        <v>5.17246209632492E7</v>
      </c>
      <c r="D1743" s="73">
        <v>1.36875008319994E7</v>
      </c>
      <c r="E1743" s="73">
        <v>2455308.98238057</v>
      </c>
      <c r="F1743" s="73"/>
      <c r="G1743" s="73"/>
      <c r="H1743" s="73"/>
      <c r="I1743" s="73"/>
      <c r="J1743" s="73"/>
      <c r="K1743" s="73"/>
      <c r="L1743" s="73"/>
      <c r="M1743" s="73"/>
      <c r="N1743" s="73"/>
      <c r="O1743" s="73"/>
      <c r="P1743" s="73"/>
      <c r="Q1743" s="73"/>
      <c r="R1743" s="73"/>
      <c r="S1743" s="73"/>
      <c r="T1743" s="73"/>
      <c r="U1743" s="73"/>
      <c r="V1743" s="73"/>
      <c r="W1743" s="73"/>
      <c r="X1743" s="73"/>
      <c r="Y1743" s="73"/>
      <c r="Z1743" s="73"/>
      <c r="AA1743" s="73"/>
      <c r="AB1743" s="73"/>
    </row>
    <row r="1744">
      <c r="A1744" s="73"/>
      <c r="B1744" s="73">
        <v>334355.1432</v>
      </c>
      <c r="C1744" s="73">
        <v>5.18055130410023E7</v>
      </c>
      <c r="D1744" s="73">
        <v>1.37184840700003E7</v>
      </c>
      <c r="E1744" s="73">
        <v>2459263.4848941</v>
      </c>
      <c r="F1744" s="73"/>
      <c r="G1744" s="73"/>
      <c r="H1744" s="73"/>
      <c r="I1744" s="73"/>
      <c r="J1744" s="73"/>
      <c r="K1744" s="73"/>
      <c r="L1744" s="73"/>
      <c r="M1744" s="73"/>
      <c r="N1744" s="73"/>
      <c r="O1744" s="73"/>
      <c r="P1744" s="73"/>
      <c r="Q1744" s="73"/>
      <c r="R1744" s="73"/>
      <c r="S1744" s="73"/>
      <c r="T1744" s="73"/>
      <c r="U1744" s="73"/>
      <c r="V1744" s="73"/>
      <c r="W1744" s="73"/>
      <c r="X1744" s="73"/>
      <c r="Y1744" s="73"/>
      <c r="Z1744" s="73"/>
      <c r="AA1744" s="73"/>
      <c r="AB1744" s="73"/>
    </row>
    <row r="1745">
      <c r="A1745" s="73"/>
      <c r="B1745" s="73">
        <v>334958.0757</v>
      </c>
      <c r="C1745" s="73">
        <v>5.18864710387535E7</v>
      </c>
      <c r="D1745" s="73">
        <v>1.37495127560012E7</v>
      </c>
      <c r="E1745" s="73">
        <v>2463222.06729441</v>
      </c>
      <c r="F1745" s="73"/>
      <c r="G1745" s="73"/>
      <c r="H1745" s="73"/>
      <c r="I1745" s="73"/>
      <c r="J1745" s="73"/>
      <c r="K1745" s="73"/>
      <c r="L1745" s="73"/>
      <c r="M1745" s="73"/>
      <c r="N1745" s="73"/>
      <c r="O1745" s="73"/>
      <c r="P1745" s="73"/>
      <c r="Q1745" s="73"/>
      <c r="R1745" s="73"/>
      <c r="S1745" s="73"/>
      <c r="T1745" s="73"/>
      <c r="U1745" s="73"/>
      <c r="V1745" s="73"/>
      <c r="W1745" s="73"/>
      <c r="X1745" s="73"/>
      <c r="Y1745" s="73"/>
      <c r="Z1745" s="73"/>
      <c r="AA1745" s="73"/>
      <c r="AB1745" s="73"/>
    </row>
    <row r="1746">
      <c r="A1746" s="73"/>
      <c r="B1746" s="73">
        <v>335561.9258</v>
      </c>
      <c r="C1746" s="73">
        <v>5.1967527916502E7</v>
      </c>
      <c r="D1746" s="73">
        <v>1.37805868540021E7</v>
      </c>
      <c r="E1746" s="73">
        <v>2467184.89578949</v>
      </c>
      <c r="F1746" s="73"/>
      <c r="G1746" s="73"/>
      <c r="H1746" s="73"/>
      <c r="I1746" s="73"/>
      <c r="J1746" s="73"/>
      <c r="K1746" s="73"/>
      <c r="L1746" s="73"/>
      <c r="M1746" s="73"/>
      <c r="N1746" s="73"/>
      <c r="O1746" s="73"/>
      <c r="P1746" s="73"/>
      <c r="Q1746" s="73"/>
      <c r="R1746" s="73"/>
      <c r="S1746" s="73"/>
      <c r="T1746" s="73"/>
      <c r="U1746" s="73"/>
      <c r="V1746" s="73"/>
      <c r="W1746" s="73"/>
      <c r="X1746" s="73"/>
      <c r="Y1746" s="73"/>
      <c r="Z1746" s="73"/>
      <c r="AA1746" s="73"/>
      <c r="AB1746" s="73"/>
    </row>
    <row r="1747">
      <c r="A1747" s="73"/>
      <c r="B1747" s="73">
        <v>336166.7125</v>
      </c>
      <c r="C1747" s="73">
        <v>5.20486507142487E7</v>
      </c>
      <c r="D1747" s="73">
        <v>1.38117076599954E7</v>
      </c>
      <c r="E1747" s="73">
        <v>2471151.97037934</v>
      </c>
      <c r="F1747" s="73"/>
      <c r="G1747" s="73"/>
      <c r="H1747" s="73"/>
      <c r="I1747" s="73"/>
      <c r="J1747" s="73"/>
      <c r="K1747" s="73"/>
      <c r="L1747" s="73"/>
      <c r="M1747" s="73"/>
      <c r="N1747" s="73"/>
      <c r="O1747" s="73"/>
      <c r="P1747" s="73"/>
      <c r="Q1747" s="73"/>
      <c r="R1747" s="73"/>
      <c r="S1747" s="73"/>
      <c r="T1747" s="73"/>
      <c r="U1747" s="73"/>
      <c r="V1747" s="73"/>
      <c r="W1747" s="73"/>
      <c r="X1747" s="73"/>
      <c r="Y1747" s="73"/>
      <c r="Z1747" s="73"/>
      <c r="AA1747" s="73"/>
      <c r="AB1747" s="73"/>
    </row>
    <row r="1748">
      <c r="A1748" s="73"/>
      <c r="B1748" s="73">
        <v>336772.4174</v>
      </c>
      <c r="C1748" s="73">
        <v>5.21298641519928E7</v>
      </c>
      <c r="D1748" s="73">
        <v>1.38428726159963E7</v>
      </c>
      <c r="E1748" s="73">
        <v>2475123.33346396</v>
      </c>
      <c r="F1748" s="73"/>
      <c r="G1748" s="73"/>
      <c r="H1748" s="73"/>
      <c r="I1748" s="73"/>
      <c r="J1748" s="73"/>
      <c r="K1748" s="73"/>
      <c r="L1748" s="73"/>
      <c r="M1748" s="73"/>
      <c r="N1748" s="73"/>
      <c r="O1748" s="73"/>
      <c r="P1748" s="73"/>
      <c r="Q1748" s="73"/>
      <c r="R1748" s="73"/>
      <c r="S1748" s="73"/>
      <c r="T1748" s="73"/>
      <c r="U1748" s="73"/>
      <c r="V1748" s="73"/>
      <c r="W1748" s="73"/>
      <c r="X1748" s="73"/>
      <c r="Y1748" s="73"/>
      <c r="Z1748" s="73"/>
      <c r="AA1748" s="73"/>
      <c r="AB1748" s="73"/>
    </row>
    <row r="1749">
      <c r="A1749" s="73"/>
      <c r="B1749" s="73">
        <v>337379.0404</v>
      </c>
      <c r="C1749" s="73">
        <v>5.22111435097351E7</v>
      </c>
      <c r="D1749" s="73">
        <v>1.38740855419973E7</v>
      </c>
      <c r="E1749" s="73">
        <v>2479098.74066036</v>
      </c>
      <c r="F1749" s="73"/>
      <c r="G1749" s="73"/>
      <c r="H1749" s="73"/>
      <c r="I1749" s="73"/>
      <c r="J1749" s="73"/>
      <c r="K1749" s="73"/>
      <c r="L1749" s="73"/>
      <c r="M1749" s="73"/>
      <c r="N1749" s="73"/>
      <c r="O1749" s="73"/>
      <c r="P1749" s="73"/>
      <c r="Q1749" s="73"/>
      <c r="R1749" s="73"/>
      <c r="S1749" s="73"/>
      <c r="T1749" s="73"/>
      <c r="U1749" s="73"/>
      <c r="V1749" s="73"/>
      <c r="W1749" s="73"/>
      <c r="X1749" s="73"/>
      <c r="Y1749" s="73"/>
      <c r="Z1749" s="73"/>
      <c r="AA1749" s="73"/>
      <c r="AB1749" s="73"/>
    </row>
    <row r="1750">
      <c r="A1750" s="73"/>
      <c r="B1750" s="73">
        <v>337986.6016</v>
      </c>
      <c r="C1750" s="73">
        <v>5.22925217474747E7</v>
      </c>
      <c r="D1750" s="73">
        <v>1.39053426159982E7</v>
      </c>
      <c r="E1750" s="73">
        <v>2483078.38732654</v>
      </c>
      <c r="F1750" s="73"/>
      <c r="G1750" s="73"/>
      <c r="H1750" s="73"/>
      <c r="I1750" s="73"/>
      <c r="J1750" s="73"/>
      <c r="K1750" s="73"/>
      <c r="L1750" s="73"/>
      <c r="M1750" s="73"/>
      <c r="N1750" s="73"/>
      <c r="O1750" s="73"/>
      <c r="P1750" s="73"/>
      <c r="Q1750" s="73"/>
      <c r="R1750" s="73"/>
      <c r="S1750" s="73"/>
      <c r="T1750" s="73"/>
      <c r="U1750" s="73"/>
      <c r="V1750" s="73"/>
      <c r="W1750" s="73"/>
      <c r="X1750" s="73"/>
      <c r="Y1750" s="73"/>
      <c r="Z1750" s="73"/>
      <c r="AA1750" s="73"/>
      <c r="AB1750" s="73"/>
    </row>
    <row r="1751">
      <c r="A1751" s="73"/>
      <c r="B1751" s="73">
        <v>338595.0809</v>
      </c>
      <c r="C1751" s="73">
        <v>5.23739659052124E7</v>
      </c>
      <c r="D1751" s="73">
        <v>1.39366451199991E7</v>
      </c>
      <c r="E1751" s="73">
        <v>2487062.49532047</v>
      </c>
      <c r="F1751" s="73"/>
      <c r="G1751" s="73"/>
      <c r="H1751" s="73"/>
      <c r="I1751" s="73"/>
      <c r="J1751" s="73"/>
      <c r="K1751" s="73"/>
      <c r="L1751" s="73"/>
      <c r="M1751" s="73"/>
      <c r="N1751" s="73"/>
      <c r="O1751" s="73"/>
      <c r="P1751" s="73"/>
      <c r="Q1751" s="73"/>
      <c r="R1751" s="73"/>
      <c r="S1751" s="73"/>
      <c r="T1751" s="73"/>
      <c r="U1751" s="73"/>
      <c r="V1751" s="73"/>
      <c r="W1751" s="73"/>
      <c r="X1751" s="73"/>
      <c r="Y1751" s="73"/>
      <c r="Z1751" s="73"/>
      <c r="AA1751" s="73"/>
      <c r="AB1751" s="73"/>
    </row>
    <row r="1752">
      <c r="A1752" s="73"/>
      <c r="B1752" s="73">
        <v>339204.4984</v>
      </c>
      <c r="C1752" s="73">
        <v>5.24554924629478E7</v>
      </c>
      <c r="D1752" s="73">
        <v>1.3967994314E7</v>
      </c>
      <c r="E1752" s="73">
        <v>2491050.47459319</v>
      </c>
      <c r="F1752" s="73"/>
      <c r="G1752" s="73"/>
      <c r="H1752" s="73"/>
      <c r="I1752" s="73"/>
      <c r="J1752" s="73"/>
      <c r="K1752" s="73"/>
      <c r="L1752" s="73"/>
      <c r="M1752" s="73"/>
      <c r="N1752" s="73"/>
      <c r="O1752" s="73"/>
      <c r="P1752" s="73"/>
      <c r="Q1752" s="73"/>
      <c r="R1752" s="73"/>
      <c r="S1752" s="73"/>
      <c r="T1752" s="73"/>
      <c r="U1752" s="73"/>
      <c r="V1752" s="73"/>
      <c r="W1752" s="73"/>
      <c r="X1752" s="73"/>
      <c r="Y1752" s="73"/>
      <c r="Z1752" s="73"/>
      <c r="AA1752" s="73"/>
      <c r="AB1752" s="73"/>
    </row>
    <row r="1753">
      <c r="A1753" s="73"/>
      <c r="B1753" s="73">
        <v>339814.8354</v>
      </c>
      <c r="C1753" s="73">
        <v>5.2537101420681E7</v>
      </c>
      <c r="D1753" s="73">
        <v>1.39993889380009E7</v>
      </c>
      <c r="E1753" s="73">
        <v>2495042.90856867</v>
      </c>
      <c r="F1753" s="73"/>
      <c r="G1753" s="73"/>
      <c r="H1753" s="73"/>
      <c r="I1753" s="73"/>
      <c r="J1753" s="73"/>
      <c r="K1753" s="73"/>
      <c r="L1753" s="73"/>
      <c r="M1753" s="73"/>
      <c r="N1753" s="73"/>
      <c r="O1753" s="73"/>
      <c r="P1753" s="73"/>
      <c r="Q1753" s="73"/>
      <c r="R1753" s="73"/>
      <c r="S1753" s="73"/>
      <c r="T1753" s="73"/>
      <c r="U1753" s="73"/>
      <c r="V1753" s="73"/>
      <c r="W1753" s="73"/>
      <c r="X1753" s="73"/>
      <c r="Y1753" s="73"/>
      <c r="Z1753" s="73"/>
      <c r="AA1753" s="73"/>
      <c r="AB1753" s="73"/>
    </row>
    <row r="1754">
      <c r="A1754" s="73"/>
      <c r="B1754" s="73">
        <v>340426.1005</v>
      </c>
      <c r="C1754" s="73">
        <v>5.26187927784119E7</v>
      </c>
      <c r="D1754" s="73">
        <v>1.40308302900018E7</v>
      </c>
      <c r="E1754" s="73">
        <v>2499039.38665594</v>
      </c>
      <c r="F1754" s="73"/>
      <c r="G1754" s="73"/>
      <c r="H1754" s="73"/>
      <c r="I1754" s="73"/>
      <c r="J1754" s="73"/>
      <c r="K1754" s="73"/>
      <c r="L1754" s="73"/>
      <c r="M1754" s="73"/>
      <c r="N1754" s="73"/>
      <c r="O1754" s="73"/>
      <c r="P1754" s="73"/>
      <c r="Q1754" s="73"/>
      <c r="R1754" s="73"/>
      <c r="S1754" s="73"/>
      <c r="T1754" s="73"/>
      <c r="U1754" s="73"/>
      <c r="V1754" s="73"/>
      <c r="W1754" s="73"/>
      <c r="X1754" s="73"/>
      <c r="Y1754" s="73"/>
      <c r="Z1754" s="73"/>
      <c r="AA1754" s="73"/>
      <c r="AB1754" s="73"/>
    </row>
    <row r="1755">
      <c r="A1755" s="73"/>
      <c r="B1755" s="73">
        <v>341038.2852</v>
      </c>
      <c r="C1755" s="73">
        <v>5.27005582961407E7</v>
      </c>
      <c r="D1755" s="73">
        <v>1.40623170519951E7</v>
      </c>
      <c r="E1755" s="73">
        <v>2503040.15986297</v>
      </c>
      <c r="F1755" s="73"/>
      <c r="G1755" s="73"/>
      <c r="H1755" s="73"/>
      <c r="I1755" s="73"/>
      <c r="J1755" s="73"/>
      <c r="K1755" s="73"/>
      <c r="L1755" s="73"/>
      <c r="M1755" s="73"/>
      <c r="N1755" s="73"/>
      <c r="O1755" s="73"/>
      <c r="P1755" s="73"/>
      <c r="Q1755" s="73"/>
      <c r="R1755" s="73"/>
      <c r="S1755" s="73"/>
      <c r="T1755" s="73"/>
      <c r="U1755" s="73"/>
      <c r="V1755" s="73"/>
      <c r="W1755" s="73"/>
      <c r="X1755" s="73"/>
      <c r="Y1755" s="73"/>
      <c r="Z1755" s="73"/>
      <c r="AA1755" s="73"/>
      <c r="AB1755" s="73"/>
    </row>
    <row r="1756">
      <c r="A1756" s="73"/>
      <c r="B1756" s="73">
        <v>341651.4087</v>
      </c>
      <c r="C1756" s="73">
        <v>5.27824062138672E7</v>
      </c>
      <c r="D1756" s="73">
        <v>1.4093850523996E7</v>
      </c>
      <c r="E1756" s="73">
        <v>2507045.17916477</v>
      </c>
      <c r="F1756" s="73"/>
      <c r="G1756" s="73"/>
      <c r="H1756" s="73"/>
      <c r="I1756" s="73"/>
      <c r="J1756" s="73"/>
      <c r="K1756" s="73"/>
      <c r="L1756" s="73"/>
      <c r="M1756" s="73"/>
      <c r="N1756" s="73"/>
      <c r="O1756" s="73"/>
      <c r="P1756" s="73"/>
      <c r="Q1756" s="73"/>
      <c r="R1756" s="73"/>
      <c r="S1756" s="73"/>
      <c r="T1756" s="73"/>
      <c r="U1756" s="73"/>
      <c r="V1756" s="73"/>
      <c r="W1756" s="73"/>
      <c r="X1756" s="73"/>
      <c r="Y1756" s="73"/>
      <c r="Z1756" s="73"/>
      <c r="AA1756" s="73"/>
      <c r="AB1756" s="73"/>
    </row>
    <row r="1757">
      <c r="A1757" s="73"/>
      <c r="B1757" s="73">
        <v>342265.4625</v>
      </c>
      <c r="C1757" s="73">
        <v>5.28643365315914E7</v>
      </c>
      <c r="D1757" s="73">
        <v>1.41254294239969E7</v>
      </c>
      <c r="E1757" s="73">
        <v>2511054.44456134</v>
      </c>
      <c r="F1757" s="73"/>
      <c r="G1757" s="73"/>
      <c r="H1757" s="73"/>
      <c r="I1757" s="73"/>
      <c r="J1757" s="73"/>
      <c r="K1757" s="73"/>
      <c r="L1757" s="73"/>
      <c r="M1757" s="73"/>
      <c r="N1757" s="73"/>
      <c r="O1757" s="73"/>
      <c r="P1757" s="73"/>
      <c r="Q1757" s="73"/>
      <c r="R1757" s="73"/>
      <c r="S1757" s="73"/>
      <c r="T1757" s="73"/>
      <c r="U1757" s="73"/>
      <c r="V1757" s="73"/>
      <c r="W1757" s="73"/>
      <c r="X1757" s="73"/>
      <c r="Y1757" s="73"/>
      <c r="Z1757" s="73"/>
      <c r="AA1757" s="73"/>
      <c r="AB1757" s="73"/>
    </row>
    <row r="1758">
      <c r="A1758" s="73"/>
      <c r="B1758" s="73">
        <v>342880.4351</v>
      </c>
      <c r="C1758" s="73">
        <v>5.29463574893131E7</v>
      </c>
      <c r="D1758" s="73">
        <v>1.41570537159979E7</v>
      </c>
      <c r="E1758" s="73">
        <v>2515067.8030947</v>
      </c>
      <c r="F1758" s="73"/>
      <c r="G1758" s="73"/>
      <c r="H1758" s="73"/>
      <c r="I1758" s="73"/>
      <c r="J1758" s="73"/>
      <c r="K1758" s="73"/>
      <c r="L1758" s="73"/>
      <c r="M1758" s="73"/>
      <c r="N1758" s="73"/>
      <c r="O1758" s="73"/>
      <c r="P1758" s="73"/>
      <c r="Q1758" s="73"/>
      <c r="R1758" s="73"/>
      <c r="S1758" s="73"/>
      <c r="T1758" s="73"/>
      <c r="U1758" s="73"/>
      <c r="V1758" s="73"/>
      <c r="W1758" s="73"/>
      <c r="X1758" s="73"/>
      <c r="Y1758" s="73"/>
      <c r="Z1758" s="73"/>
      <c r="AA1758" s="73"/>
      <c r="AB1758" s="73"/>
    </row>
    <row r="1759">
      <c r="A1759" s="73"/>
      <c r="B1759" s="73">
        <v>343496.3387</v>
      </c>
      <c r="C1759" s="73">
        <v>5.30284361270332E7</v>
      </c>
      <c r="D1759" s="73">
        <v>1.41887247539988E7</v>
      </c>
      <c r="E1759" s="73">
        <v>2519085.57393081</v>
      </c>
      <c r="F1759" s="73"/>
      <c r="G1759" s="73"/>
      <c r="H1759" s="73"/>
      <c r="I1759" s="73"/>
      <c r="J1759" s="73"/>
      <c r="K1759" s="73"/>
      <c r="L1759" s="73"/>
      <c r="M1759" s="73"/>
      <c r="N1759" s="73"/>
      <c r="O1759" s="73"/>
      <c r="P1759" s="73"/>
      <c r="Q1759" s="73"/>
      <c r="R1759" s="73"/>
      <c r="S1759" s="73"/>
      <c r="T1759" s="73"/>
      <c r="U1759" s="73"/>
      <c r="V1759" s="73"/>
      <c r="W1759" s="73"/>
      <c r="X1759" s="73"/>
      <c r="Y1759" s="73"/>
      <c r="Z1759" s="73"/>
      <c r="AA1759" s="73"/>
      <c r="AB1759" s="73"/>
    </row>
    <row r="1760">
      <c r="A1760" s="73"/>
      <c r="B1760" s="73">
        <v>344113.1718</v>
      </c>
      <c r="C1760" s="73">
        <v>5.31106136447506E7</v>
      </c>
      <c r="D1760" s="73">
        <v>1.42204424839997E7</v>
      </c>
      <c r="E1760" s="73">
        <v>2523107.43127871</v>
      </c>
      <c r="F1760" s="73"/>
      <c r="G1760" s="73"/>
      <c r="H1760" s="73"/>
      <c r="I1760" s="73"/>
      <c r="J1760" s="73"/>
      <c r="K1760" s="73"/>
      <c r="L1760" s="73"/>
      <c r="M1760" s="73"/>
      <c r="N1760" s="73"/>
      <c r="O1760" s="73"/>
      <c r="P1760" s="73"/>
      <c r="Q1760" s="73"/>
      <c r="R1760" s="73"/>
      <c r="S1760" s="73"/>
      <c r="T1760" s="73"/>
      <c r="U1760" s="73"/>
      <c r="V1760" s="73"/>
      <c r="W1760" s="73"/>
      <c r="X1760" s="73"/>
      <c r="Y1760" s="73"/>
      <c r="Z1760" s="73"/>
      <c r="AA1760" s="73"/>
      <c r="AB1760" s="73"/>
    </row>
    <row r="1761">
      <c r="A1761" s="73"/>
      <c r="B1761" s="73">
        <v>344730.9345</v>
      </c>
      <c r="C1761" s="73">
        <v>5.31928570824661E7</v>
      </c>
      <c r="D1761" s="73">
        <v>1.42522056420006E7</v>
      </c>
      <c r="E1761" s="73">
        <v>2527133.54134637</v>
      </c>
      <c r="F1761" s="73"/>
      <c r="G1761" s="73"/>
      <c r="H1761" s="73"/>
      <c r="I1761" s="73"/>
      <c r="J1761" s="73"/>
      <c r="K1761" s="73"/>
      <c r="L1761" s="73"/>
      <c r="M1761" s="73"/>
      <c r="N1761" s="73"/>
      <c r="O1761" s="73"/>
      <c r="P1761" s="73"/>
      <c r="Q1761" s="73"/>
      <c r="R1761" s="73"/>
      <c r="S1761" s="73"/>
      <c r="T1761" s="73"/>
      <c r="U1761" s="73"/>
      <c r="V1761" s="73"/>
      <c r="W1761" s="73"/>
      <c r="X1761" s="73"/>
      <c r="Y1761" s="73"/>
      <c r="Z1761" s="73"/>
      <c r="AA1761" s="73"/>
      <c r="AB1761" s="73"/>
    </row>
    <row r="1762">
      <c r="A1762" s="73"/>
      <c r="B1762" s="73">
        <v>345349.6281</v>
      </c>
      <c r="C1762" s="73">
        <v>5.32751994001789E7</v>
      </c>
      <c r="D1762" s="73">
        <v>1.42840142300015E7</v>
      </c>
      <c r="E1762" s="73">
        <v>2531163.9041338</v>
      </c>
      <c r="F1762" s="73"/>
      <c r="G1762" s="73"/>
      <c r="H1762" s="73"/>
      <c r="I1762" s="73"/>
      <c r="J1762" s="73"/>
      <c r="K1762" s="73"/>
      <c r="L1762" s="73"/>
      <c r="M1762" s="73"/>
      <c r="N1762" s="73"/>
      <c r="O1762" s="73"/>
      <c r="P1762" s="73"/>
      <c r="Q1762" s="73"/>
      <c r="R1762" s="73"/>
      <c r="S1762" s="73"/>
      <c r="T1762" s="73"/>
      <c r="U1762" s="73"/>
      <c r="V1762" s="73"/>
      <c r="W1762" s="73"/>
      <c r="X1762" s="73"/>
      <c r="Y1762" s="73"/>
      <c r="Z1762" s="73"/>
      <c r="AA1762" s="73"/>
      <c r="AB1762" s="73"/>
    </row>
    <row r="1763">
      <c r="A1763" s="73"/>
      <c r="B1763" s="73">
        <v>345969.2534</v>
      </c>
      <c r="C1763" s="73">
        <v>5.33576076378899E7</v>
      </c>
      <c r="D1763" s="73">
        <v>1.43158707879948E7</v>
      </c>
      <c r="E1763" s="73">
        <v>2535198.56204101</v>
      </c>
      <c r="F1763" s="73"/>
      <c r="G1763" s="73"/>
      <c r="H1763" s="73"/>
      <c r="I1763" s="73"/>
      <c r="J1763" s="73"/>
      <c r="K1763" s="73"/>
      <c r="L1763" s="73"/>
      <c r="M1763" s="73"/>
      <c r="N1763" s="73"/>
      <c r="O1763" s="73"/>
      <c r="P1763" s="73"/>
      <c r="Q1763" s="73"/>
      <c r="R1763" s="73"/>
      <c r="S1763" s="73"/>
      <c r="T1763" s="73"/>
      <c r="U1763" s="73"/>
      <c r="V1763" s="73"/>
      <c r="W1763" s="73"/>
      <c r="X1763" s="73"/>
      <c r="Y1763" s="73"/>
      <c r="Z1763" s="73"/>
      <c r="AA1763" s="73"/>
      <c r="AB1763" s="73"/>
    </row>
    <row r="1764">
      <c r="A1764" s="73"/>
      <c r="B1764" s="73">
        <v>346589.7989</v>
      </c>
      <c r="C1764" s="73">
        <v>5.34400982755985E7</v>
      </c>
      <c r="D1764" s="73">
        <v>1.43477715139957E7</v>
      </c>
      <c r="E1764" s="73">
        <v>2539237.26405999</v>
      </c>
      <c r="F1764" s="73"/>
      <c r="G1764" s="73"/>
      <c r="H1764" s="73"/>
      <c r="I1764" s="73"/>
      <c r="J1764" s="73"/>
      <c r="K1764" s="73"/>
      <c r="L1764" s="73"/>
      <c r="M1764" s="73"/>
      <c r="N1764" s="73"/>
      <c r="O1764" s="73"/>
      <c r="P1764" s="73"/>
      <c r="Q1764" s="73"/>
      <c r="R1764" s="73"/>
      <c r="S1764" s="73"/>
      <c r="T1764" s="73"/>
      <c r="U1764" s="73"/>
      <c r="V1764" s="73"/>
      <c r="W1764" s="73"/>
      <c r="X1764" s="73"/>
      <c r="Y1764" s="73"/>
      <c r="Z1764" s="73"/>
      <c r="AA1764" s="73"/>
      <c r="AB1764" s="73"/>
    </row>
    <row r="1765">
      <c r="A1765" s="73"/>
      <c r="B1765" s="73">
        <v>347211.2847</v>
      </c>
      <c r="C1765" s="73">
        <v>5.35226713133049E7</v>
      </c>
      <c r="D1765" s="73">
        <v>1.43797202099966E7</v>
      </c>
      <c r="E1765" s="73">
        <v>2543280.43403173</v>
      </c>
      <c r="F1765" s="73"/>
      <c r="G1765" s="73"/>
      <c r="H1765" s="73"/>
      <c r="I1765" s="73"/>
      <c r="J1765" s="73"/>
      <c r="K1765" s="73"/>
      <c r="L1765" s="73"/>
      <c r="M1765" s="73"/>
      <c r="N1765" s="73"/>
      <c r="O1765" s="73"/>
      <c r="P1765" s="73"/>
      <c r="Q1765" s="73"/>
      <c r="R1765" s="73"/>
      <c r="S1765" s="73"/>
      <c r="T1765" s="73"/>
      <c r="U1765" s="73"/>
      <c r="V1765" s="73"/>
      <c r="W1765" s="73"/>
      <c r="X1765" s="73"/>
      <c r="Y1765" s="73"/>
      <c r="Z1765" s="73"/>
      <c r="AA1765" s="73"/>
      <c r="AB1765" s="73"/>
    </row>
    <row r="1766">
      <c r="A1766" s="73"/>
      <c r="B1766" s="73">
        <v>347833.6922</v>
      </c>
      <c r="C1766" s="73">
        <v>5.3605326751009E7</v>
      </c>
      <c r="D1766" s="73">
        <v>1.44117143359976E7</v>
      </c>
      <c r="E1766" s="73">
        <v>2547327.68389026</v>
      </c>
      <c r="F1766" s="73"/>
      <c r="G1766" s="73"/>
      <c r="H1766" s="73"/>
      <c r="I1766" s="73"/>
      <c r="J1766" s="73"/>
      <c r="K1766" s="73"/>
      <c r="L1766" s="73"/>
      <c r="M1766" s="73"/>
      <c r="N1766" s="73"/>
      <c r="O1766" s="73"/>
      <c r="P1766" s="73"/>
      <c r="Q1766" s="73"/>
      <c r="R1766" s="73"/>
      <c r="S1766" s="73"/>
      <c r="T1766" s="73"/>
      <c r="U1766" s="73"/>
      <c r="V1766" s="73"/>
      <c r="W1766" s="73"/>
      <c r="X1766" s="73"/>
      <c r="Y1766" s="73"/>
      <c r="Z1766" s="73"/>
      <c r="AA1766" s="73"/>
      <c r="AB1766" s="73"/>
    </row>
    <row r="1767">
      <c r="A1767" s="73"/>
      <c r="B1767" s="73">
        <v>348457.0313</v>
      </c>
      <c r="C1767" s="73">
        <v>5.36880645887108E7</v>
      </c>
      <c r="D1767" s="73">
        <v>1.44437551699985E7</v>
      </c>
      <c r="E1767" s="73">
        <v>2551379.19309355</v>
      </c>
      <c r="F1767" s="73"/>
      <c r="G1767" s="73"/>
      <c r="H1767" s="73"/>
      <c r="I1767" s="73"/>
      <c r="J1767" s="73"/>
      <c r="K1767" s="73"/>
      <c r="L1767" s="73"/>
      <c r="M1767" s="73"/>
      <c r="N1767" s="73"/>
      <c r="O1767" s="73"/>
      <c r="P1767" s="73"/>
      <c r="Q1767" s="73"/>
      <c r="R1767" s="73"/>
      <c r="S1767" s="73"/>
      <c r="T1767" s="73"/>
      <c r="U1767" s="73"/>
      <c r="V1767" s="73"/>
      <c r="W1767" s="73"/>
      <c r="X1767" s="73"/>
      <c r="Y1767" s="73"/>
      <c r="Z1767" s="73"/>
      <c r="AA1767" s="73"/>
      <c r="AB1767" s="73"/>
    </row>
    <row r="1768">
      <c r="A1768" s="73"/>
      <c r="B1768" s="73">
        <v>349081.302</v>
      </c>
      <c r="C1768" s="73">
        <v>5.37708848264103E7</v>
      </c>
      <c r="D1768" s="73">
        <v>1.44758414339994E7</v>
      </c>
      <c r="E1768" s="73">
        <v>2555434.95501661</v>
      </c>
      <c r="F1768" s="73"/>
      <c r="G1768" s="73"/>
      <c r="H1768" s="73"/>
      <c r="I1768" s="73"/>
      <c r="J1768" s="73"/>
      <c r="K1768" s="73"/>
      <c r="L1768" s="73"/>
      <c r="M1768" s="73"/>
      <c r="N1768" s="73"/>
      <c r="O1768" s="73"/>
      <c r="P1768" s="73"/>
      <c r="Q1768" s="73"/>
      <c r="R1768" s="73"/>
      <c r="S1768" s="73"/>
      <c r="T1768" s="73"/>
      <c r="U1768" s="73"/>
      <c r="V1768" s="73"/>
      <c r="W1768" s="73"/>
      <c r="X1768" s="73"/>
      <c r="Y1768" s="73"/>
      <c r="Z1768" s="73"/>
      <c r="AA1768" s="73"/>
      <c r="AB1768" s="73"/>
    </row>
    <row r="1769">
      <c r="A1769" s="73"/>
      <c r="B1769" s="73">
        <v>349706.5058</v>
      </c>
      <c r="C1769" s="73">
        <v>5.3853770984108E7</v>
      </c>
      <c r="D1769" s="73">
        <v>1.45079756880003E7</v>
      </c>
      <c r="E1769" s="73">
        <v>2559494.96965945</v>
      </c>
      <c r="F1769" s="73"/>
      <c r="G1769" s="73"/>
      <c r="H1769" s="73"/>
      <c r="I1769" s="73"/>
      <c r="J1769" s="73"/>
      <c r="K1769" s="73"/>
      <c r="L1769" s="73"/>
      <c r="M1769" s="73"/>
      <c r="N1769" s="73"/>
      <c r="O1769" s="73"/>
      <c r="P1769" s="73"/>
      <c r="Q1769" s="73"/>
      <c r="R1769" s="73"/>
      <c r="S1769" s="73"/>
      <c r="T1769" s="73"/>
      <c r="U1769" s="73"/>
      <c r="V1769" s="73"/>
      <c r="W1769" s="73"/>
      <c r="X1769" s="73"/>
      <c r="Y1769" s="73"/>
      <c r="Z1769" s="73"/>
      <c r="AA1769" s="73"/>
      <c r="AB1769" s="73"/>
    </row>
    <row r="1770">
      <c r="A1770" s="73"/>
      <c r="B1770" s="73">
        <v>350332.6399</v>
      </c>
      <c r="C1770" s="73">
        <v>5.39367560218029E7</v>
      </c>
      <c r="D1770" s="73">
        <v>1.45401553700012E7</v>
      </c>
      <c r="E1770" s="73">
        <v>2563559.24364705</v>
      </c>
      <c r="F1770" s="73"/>
      <c r="G1770" s="73"/>
      <c r="H1770" s="73"/>
      <c r="I1770" s="73"/>
      <c r="J1770" s="73"/>
      <c r="K1770" s="73"/>
      <c r="L1770" s="73"/>
      <c r="M1770" s="73"/>
      <c r="N1770" s="73"/>
      <c r="O1770" s="73"/>
      <c r="P1770" s="73"/>
      <c r="Q1770" s="73"/>
      <c r="R1770" s="73"/>
      <c r="S1770" s="73"/>
      <c r="T1770" s="73"/>
      <c r="U1770" s="73"/>
      <c r="V1770" s="73"/>
      <c r="W1770" s="73"/>
      <c r="X1770" s="73"/>
      <c r="Y1770" s="73"/>
      <c r="Z1770" s="73"/>
      <c r="AA1770" s="73"/>
      <c r="AB1770" s="73"/>
    </row>
    <row r="1771">
      <c r="A1771" s="73"/>
      <c r="B1771" s="73">
        <v>350959.707</v>
      </c>
      <c r="C1771" s="73">
        <v>5.40198152194958E7</v>
      </c>
      <c r="D1771" s="73">
        <v>1.45723817420021E7</v>
      </c>
      <c r="E1771" s="73">
        <v>2567627.61077144</v>
      </c>
      <c r="F1771" s="73"/>
      <c r="G1771" s="73"/>
      <c r="H1771" s="73"/>
      <c r="I1771" s="73"/>
      <c r="J1771" s="73"/>
      <c r="K1771" s="73"/>
      <c r="L1771" s="73"/>
      <c r="M1771" s="73"/>
      <c r="N1771" s="73"/>
      <c r="O1771" s="73"/>
      <c r="P1771" s="73"/>
      <c r="Q1771" s="73"/>
      <c r="R1771" s="73"/>
      <c r="S1771" s="73"/>
      <c r="T1771" s="73"/>
      <c r="U1771" s="73"/>
      <c r="V1771" s="73"/>
      <c r="W1771" s="73"/>
      <c r="X1771" s="73"/>
      <c r="Y1771" s="73"/>
      <c r="Z1771" s="73"/>
      <c r="AA1771" s="73"/>
      <c r="AB1771" s="73"/>
    </row>
    <row r="1772">
      <c r="A1772" s="73"/>
      <c r="B1772" s="73">
        <v>351587.7058</v>
      </c>
      <c r="C1772" s="73">
        <v>5.41029485771866E7</v>
      </c>
      <c r="D1772" s="73">
        <v>1.46046535439954E7</v>
      </c>
      <c r="E1772" s="73">
        <v>2571700.43922358</v>
      </c>
      <c r="F1772" s="73"/>
      <c r="G1772" s="73"/>
      <c r="H1772" s="73"/>
      <c r="I1772" s="73"/>
      <c r="J1772" s="73"/>
      <c r="K1772" s="73"/>
      <c r="L1772" s="73"/>
      <c r="M1772" s="73"/>
      <c r="N1772" s="73"/>
      <c r="O1772" s="73"/>
      <c r="P1772" s="73"/>
      <c r="Q1772" s="73"/>
      <c r="R1772" s="73"/>
      <c r="S1772" s="73"/>
      <c r="T1772" s="73"/>
      <c r="U1772" s="73"/>
      <c r="V1772" s="73"/>
      <c r="W1772" s="73"/>
      <c r="X1772" s="73"/>
      <c r="Y1772" s="73"/>
      <c r="Z1772" s="73"/>
      <c r="AA1772" s="73"/>
      <c r="AB1772" s="73"/>
    </row>
    <row r="1773">
      <c r="A1773" s="73"/>
      <c r="B1773" s="73">
        <v>352216.6376</v>
      </c>
      <c r="C1773" s="73">
        <v>5.41861725748749E7</v>
      </c>
      <c r="D1773" s="73">
        <v>1.46369733539963E7</v>
      </c>
      <c r="E1773" s="73">
        <v>2575777.3117875</v>
      </c>
      <c r="F1773" s="73"/>
      <c r="G1773" s="73"/>
      <c r="H1773" s="73"/>
      <c r="I1773" s="73"/>
      <c r="J1773" s="73"/>
      <c r="K1773" s="73"/>
      <c r="L1773" s="73"/>
      <c r="M1773" s="73"/>
      <c r="N1773" s="73"/>
      <c r="O1773" s="73"/>
      <c r="P1773" s="73"/>
      <c r="Q1773" s="73"/>
      <c r="R1773" s="73"/>
      <c r="S1773" s="73"/>
      <c r="T1773" s="73"/>
      <c r="U1773" s="73"/>
      <c r="V1773" s="73"/>
      <c r="W1773" s="73"/>
      <c r="X1773" s="73"/>
      <c r="Y1773" s="73"/>
      <c r="Z1773" s="73"/>
      <c r="AA1773" s="73"/>
      <c r="AB1773" s="73"/>
    </row>
    <row r="1774">
      <c r="A1774" s="73"/>
      <c r="B1774" s="73">
        <v>352846.4911</v>
      </c>
      <c r="C1774" s="73">
        <v>5.42694707325611E7</v>
      </c>
      <c r="D1774" s="73">
        <v>1.46693385939973E7</v>
      </c>
      <c r="E1774" s="73">
        <v>2579858.65892918</v>
      </c>
      <c r="F1774" s="73"/>
      <c r="G1774" s="73"/>
      <c r="H1774" s="73"/>
      <c r="I1774" s="73"/>
      <c r="J1774" s="73"/>
      <c r="K1774" s="73"/>
      <c r="L1774" s="73"/>
      <c r="M1774" s="73"/>
      <c r="N1774" s="73"/>
      <c r="O1774" s="73"/>
      <c r="P1774" s="73"/>
      <c r="Q1774" s="73"/>
      <c r="R1774" s="73"/>
      <c r="S1774" s="73"/>
      <c r="T1774" s="73"/>
      <c r="U1774" s="73"/>
      <c r="V1774" s="73"/>
      <c r="W1774" s="73"/>
      <c r="X1774" s="73"/>
      <c r="Y1774" s="73"/>
      <c r="Z1774" s="73"/>
      <c r="AA1774" s="73"/>
      <c r="AB1774" s="73"/>
    </row>
    <row r="1775">
      <c r="A1775" s="73"/>
      <c r="B1775" s="73">
        <v>353477.2891</v>
      </c>
      <c r="C1775" s="73">
        <v>5.43528512902451E7</v>
      </c>
      <c r="D1775" s="73">
        <v>1.47017517839982E7</v>
      </c>
      <c r="E1775" s="73">
        <v>2583944.09258265</v>
      </c>
      <c r="F1775" s="73"/>
      <c r="G1775" s="73"/>
      <c r="H1775" s="73"/>
      <c r="I1775" s="73"/>
      <c r="J1775" s="73"/>
      <c r="K1775" s="73"/>
      <c r="L1775" s="73"/>
      <c r="M1775" s="73"/>
      <c r="N1775" s="73"/>
      <c r="O1775" s="73"/>
      <c r="P1775" s="73"/>
      <c r="Q1775" s="73"/>
      <c r="R1775" s="73"/>
      <c r="S1775" s="73"/>
      <c r="T1775" s="73"/>
      <c r="U1775" s="73"/>
      <c r="V1775" s="73"/>
      <c r="W1775" s="73"/>
      <c r="X1775" s="73"/>
      <c r="Y1775" s="73"/>
      <c r="Z1775" s="73"/>
      <c r="AA1775" s="73"/>
      <c r="AB1775" s="73"/>
    </row>
    <row r="1776">
      <c r="A1776" s="73"/>
      <c r="B1776" s="73">
        <v>354109.0087</v>
      </c>
      <c r="C1776" s="73">
        <v>5.44363142479267E7</v>
      </c>
      <c r="D1776" s="73">
        <v>1.47342104419991E7</v>
      </c>
      <c r="E1776" s="73">
        <v>2588033.79220588</v>
      </c>
      <c r="F1776" s="73"/>
      <c r="G1776" s="73"/>
      <c r="H1776" s="73"/>
      <c r="I1776" s="73"/>
      <c r="J1776" s="73"/>
      <c r="K1776" s="73"/>
      <c r="L1776" s="73"/>
      <c r="M1776" s="73"/>
      <c r="N1776" s="73"/>
      <c r="O1776" s="73"/>
      <c r="P1776" s="73"/>
      <c r="Q1776" s="73"/>
      <c r="R1776" s="73"/>
      <c r="S1776" s="73"/>
      <c r="T1776" s="73"/>
      <c r="U1776" s="73"/>
      <c r="V1776" s="73"/>
      <c r="W1776" s="73"/>
      <c r="X1776" s="73"/>
      <c r="Y1776" s="73"/>
      <c r="Z1776" s="73"/>
      <c r="AA1776" s="73"/>
      <c r="AB1776" s="73"/>
    </row>
    <row r="1777">
      <c r="A1777" s="73"/>
      <c r="B1777" s="73">
        <v>354741.6728</v>
      </c>
      <c r="C1777" s="73">
        <v>5.45198596056061E7</v>
      </c>
      <c r="D1777" s="73">
        <v>1.476671579E7</v>
      </c>
      <c r="E1777" s="73">
        <v>2592127.90413187</v>
      </c>
      <c r="F1777" s="73"/>
      <c r="G1777" s="73"/>
      <c r="H1777" s="73"/>
      <c r="I1777" s="73"/>
      <c r="J1777" s="73"/>
      <c r="K1777" s="73"/>
      <c r="L1777" s="73"/>
      <c r="M1777" s="73"/>
      <c r="N1777" s="73"/>
      <c r="O1777" s="73"/>
      <c r="P1777" s="73"/>
      <c r="Q1777" s="73"/>
      <c r="R1777" s="73"/>
      <c r="S1777" s="73"/>
      <c r="T1777" s="73"/>
      <c r="U1777" s="73"/>
      <c r="V1777" s="73"/>
      <c r="W1777" s="73"/>
      <c r="X1777" s="73"/>
      <c r="Y1777" s="73"/>
      <c r="Z1777" s="73"/>
      <c r="AA1777" s="73"/>
      <c r="AB1777" s="73"/>
    </row>
    <row r="1778">
      <c r="A1778" s="73"/>
      <c r="B1778" s="73">
        <v>355375.26</v>
      </c>
      <c r="C1778" s="73">
        <v>5.46034873632832E7</v>
      </c>
      <c r="D1778" s="73">
        <v>1.47992678280009E7</v>
      </c>
      <c r="E1778" s="73">
        <v>2596225.94961165</v>
      </c>
      <c r="F1778" s="73"/>
      <c r="G1778" s="73"/>
      <c r="H1778" s="73"/>
      <c r="I1778" s="73"/>
      <c r="J1778" s="73"/>
      <c r="K1778" s="73"/>
      <c r="L1778" s="73"/>
      <c r="M1778" s="73"/>
      <c r="N1778" s="73"/>
      <c r="O1778" s="73"/>
      <c r="P1778" s="73"/>
      <c r="Q1778" s="73"/>
      <c r="R1778" s="73"/>
      <c r="S1778" s="73"/>
      <c r="T1778" s="73"/>
      <c r="U1778" s="73"/>
      <c r="V1778" s="73"/>
      <c r="W1778" s="73"/>
      <c r="X1778" s="73"/>
      <c r="Y1778" s="73"/>
      <c r="Z1778" s="73"/>
      <c r="AA1778" s="73"/>
      <c r="AB1778" s="73"/>
    </row>
    <row r="1779">
      <c r="A1779" s="73"/>
      <c r="B1779" s="73">
        <v>356009.7902</v>
      </c>
      <c r="C1779" s="73">
        <v>5.46871892809582E7</v>
      </c>
      <c r="D1779" s="73">
        <v>1.48318665940018E7</v>
      </c>
      <c r="E1779" s="73">
        <v>2600328.42064419</v>
      </c>
      <c r="F1779" s="73"/>
      <c r="G1779" s="73"/>
      <c r="H1779" s="73"/>
      <c r="I1779" s="73"/>
      <c r="J1779" s="73"/>
      <c r="K1779" s="73"/>
      <c r="L1779" s="73"/>
      <c r="M1779" s="73"/>
      <c r="N1779" s="73"/>
      <c r="O1779" s="73"/>
      <c r="P1779" s="73"/>
      <c r="Q1779" s="73"/>
      <c r="R1779" s="73"/>
      <c r="S1779" s="73"/>
      <c r="T1779" s="73"/>
      <c r="U1779" s="73"/>
      <c r="V1779" s="73"/>
      <c r="W1779" s="73"/>
      <c r="X1779" s="73"/>
      <c r="Y1779" s="73"/>
      <c r="Z1779" s="73"/>
      <c r="AA1779" s="73"/>
      <c r="AB1779" s="73"/>
    </row>
    <row r="1780">
      <c r="A1780" s="73"/>
      <c r="B1780" s="73">
        <v>356645.2449</v>
      </c>
      <c r="C1780" s="73">
        <v>5.47709735986309E7</v>
      </c>
      <c r="D1780" s="73">
        <v>1.48645120879951E7</v>
      </c>
      <c r="E1780" s="73">
        <v>2604435.1934215</v>
      </c>
      <c r="F1780" s="73"/>
      <c r="G1780" s="73"/>
      <c r="H1780" s="73"/>
      <c r="I1780" s="73"/>
      <c r="J1780" s="73"/>
      <c r="K1780" s="73"/>
      <c r="L1780" s="73"/>
      <c r="M1780" s="73"/>
      <c r="N1780" s="73"/>
      <c r="O1780" s="73"/>
      <c r="P1780" s="73"/>
      <c r="Q1780" s="73"/>
      <c r="R1780" s="73"/>
      <c r="S1780" s="73"/>
      <c r="T1780" s="73"/>
      <c r="U1780" s="73"/>
      <c r="V1780" s="73"/>
      <c r="W1780" s="73"/>
      <c r="X1780" s="73"/>
      <c r="Y1780" s="73"/>
      <c r="Z1780" s="73"/>
      <c r="AA1780" s="73"/>
      <c r="AB1780" s="73"/>
    </row>
    <row r="1781">
      <c r="A1781" s="73"/>
      <c r="B1781" s="73">
        <v>357281.634</v>
      </c>
      <c r="C1781" s="73">
        <v>5.48548403163013E7</v>
      </c>
      <c r="D1781" s="73">
        <v>1.4897204273996E7</v>
      </c>
      <c r="E1781" s="73">
        <v>2608546.18976859</v>
      </c>
      <c r="F1781" s="73"/>
      <c r="G1781" s="73"/>
      <c r="H1781" s="73"/>
      <c r="I1781" s="73"/>
      <c r="J1781" s="73"/>
      <c r="K1781" s="73"/>
      <c r="L1781" s="73"/>
      <c r="M1781" s="73"/>
      <c r="N1781" s="73"/>
      <c r="O1781" s="73"/>
      <c r="P1781" s="73"/>
      <c r="Q1781" s="73"/>
      <c r="R1781" s="73"/>
      <c r="S1781" s="73"/>
      <c r="T1781" s="73"/>
      <c r="U1781" s="73"/>
      <c r="V1781" s="73"/>
      <c r="W1781" s="73"/>
      <c r="X1781" s="73"/>
      <c r="Y1781" s="73"/>
      <c r="Z1781" s="73"/>
      <c r="AA1781" s="73"/>
      <c r="AB1781" s="73"/>
    </row>
    <row r="1782">
      <c r="A1782" s="73"/>
      <c r="B1782" s="73">
        <v>357918.9677</v>
      </c>
      <c r="C1782" s="73">
        <v>5.49387976739693E7</v>
      </c>
      <c r="D1782" s="73">
        <v>1.49299431479969E7</v>
      </c>
      <c r="E1782" s="73">
        <v>2612661.48123544</v>
      </c>
      <c r="F1782" s="73"/>
      <c r="G1782" s="73"/>
      <c r="H1782" s="73"/>
      <c r="I1782" s="73"/>
      <c r="J1782" s="73"/>
      <c r="K1782" s="73"/>
      <c r="L1782" s="73"/>
      <c r="M1782" s="73"/>
      <c r="N1782" s="73"/>
      <c r="O1782" s="73"/>
      <c r="P1782" s="73"/>
      <c r="Q1782" s="73"/>
      <c r="R1782" s="73"/>
      <c r="S1782" s="73"/>
      <c r="T1782" s="73"/>
      <c r="U1782" s="73"/>
      <c r="V1782" s="73"/>
      <c r="W1782" s="73"/>
      <c r="X1782" s="73"/>
      <c r="Y1782" s="73"/>
      <c r="Z1782" s="73"/>
      <c r="AA1782" s="73"/>
      <c r="AB1782" s="73"/>
    </row>
    <row r="1783">
      <c r="A1783" s="73"/>
      <c r="B1783" s="73">
        <v>358557.2243</v>
      </c>
      <c r="C1783" s="73">
        <v>5.50228209516354E7</v>
      </c>
      <c r="D1783" s="73">
        <v>1.49627287519979E7</v>
      </c>
      <c r="E1783" s="73">
        <v>2616781.03867206</v>
      </c>
      <c r="F1783" s="73"/>
      <c r="G1783" s="73"/>
      <c r="H1783" s="73"/>
      <c r="I1783" s="73"/>
      <c r="J1783" s="73"/>
      <c r="K1783" s="73"/>
      <c r="L1783" s="73"/>
      <c r="M1783" s="73"/>
      <c r="N1783" s="73"/>
      <c r="O1783" s="73"/>
      <c r="P1783" s="73"/>
      <c r="Q1783" s="73"/>
      <c r="R1783" s="73"/>
      <c r="S1783" s="73"/>
      <c r="T1783" s="73"/>
      <c r="U1783" s="73"/>
      <c r="V1783" s="73"/>
      <c r="W1783" s="73"/>
      <c r="X1783" s="73"/>
      <c r="Y1783" s="73"/>
      <c r="Z1783" s="73"/>
      <c r="AA1783" s="73"/>
      <c r="AB1783" s="73"/>
    </row>
    <row r="1784">
      <c r="A1784" s="73"/>
      <c r="B1784" s="73">
        <v>359196.4155</v>
      </c>
      <c r="C1784" s="73">
        <v>5.51069348692989E7</v>
      </c>
      <c r="D1784" s="73">
        <v>1.49955623439988E7</v>
      </c>
      <c r="E1784" s="73">
        <v>2620904.68924546</v>
      </c>
      <c r="F1784" s="73"/>
      <c r="G1784" s="73"/>
      <c r="H1784" s="73"/>
      <c r="I1784" s="73"/>
      <c r="J1784" s="73"/>
      <c r="K1784" s="73"/>
      <c r="L1784" s="73"/>
      <c r="M1784" s="73"/>
      <c r="N1784" s="73"/>
      <c r="O1784" s="73"/>
      <c r="P1784" s="73"/>
      <c r="Q1784" s="73"/>
      <c r="R1784" s="73"/>
      <c r="S1784" s="73"/>
      <c r="T1784" s="73"/>
      <c r="U1784" s="73"/>
      <c r="V1784" s="73"/>
      <c r="W1784" s="73"/>
      <c r="X1784" s="73"/>
      <c r="Y1784" s="73"/>
      <c r="Z1784" s="73"/>
      <c r="AA1784" s="73"/>
      <c r="AB1784" s="73"/>
    </row>
    <row r="1785">
      <c r="A1785" s="73"/>
      <c r="B1785" s="73">
        <v>359836.5425</v>
      </c>
      <c r="C1785" s="73">
        <v>5.51911311869602E7</v>
      </c>
      <c r="D1785" s="73">
        <v>1.50284413659997E7</v>
      </c>
      <c r="E1785" s="73">
        <v>2625032.76537162</v>
      </c>
      <c r="F1785" s="73"/>
      <c r="G1785" s="73"/>
      <c r="H1785" s="73"/>
      <c r="I1785" s="73"/>
      <c r="J1785" s="73"/>
      <c r="K1785" s="73"/>
      <c r="L1785" s="73"/>
      <c r="M1785" s="73"/>
      <c r="N1785" s="73"/>
      <c r="O1785" s="73"/>
      <c r="P1785" s="73"/>
      <c r="Q1785" s="73"/>
      <c r="R1785" s="73"/>
      <c r="S1785" s="73"/>
      <c r="T1785" s="73"/>
      <c r="U1785" s="73"/>
      <c r="V1785" s="73"/>
      <c r="W1785" s="73"/>
      <c r="X1785" s="73"/>
      <c r="Y1785" s="73"/>
      <c r="Z1785" s="73"/>
      <c r="AA1785" s="73"/>
      <c r="AB1785" s="73"/>
    </row>
    <row r="1786">
      <c r="A1786" s="73"/>
      <c r="B1786" s="73">
        <v>360477.604</v>
      </c>
      <c r="C1786" s="73">
        <v>5.52754016646194E7</v>
      </c>
      <c r="D1786" s="73">
        <v>1.50613683760006E7</v>
      </c>
      <c r="E1786" s="73">
        <v>2629164.98365955</v>
      </c>
      <c r="F1786" s="73"/>
      <c r="G1786" s="73"/>
      <c r="H1786" s="73"/>
      <c r="I1786" s="73"/>
      <c r="J1786" s="73"/>
      <c r="K1786" s="73"/>
      <c r="L1786" s="73"/>
      <c r="M1786" s="73"/>
      <c r="N1786" s="73"/>
      <c r="O1786" s="73"/>
      <c r="P1786" s="73"/>
      <c r="Q1786" s="73"/>
      <c r="R1786" s="73"/>
      <c r="S1786" s="73"/>
      <c r="T1786" s="73"/>
      <c r="U1786" s="73"/>
      <c r="V1786" s="73"/>
      <c r="W1786" s="73"/>
      <c r="X1786" s="73"/>
      <c r="Y1786" s="73"/>
      <c r="Z1786" s="73"/>
      <c r="AA1786" s="73"/>
      <c r="AB1786" s="73"/>
    </row>
    <row r="1787">
      <c r="A1787" s="73"/>
      <c r="B1787" s="73">
        <v>361119.6114</v>
      </c>
      <c r="C1787" s="73">
        <v>5.53597627822762E7</v>
      </c>
      <c r="D1787" s="73">
        <v>1.50943420780015E7</v>
      </c>
      <c r="E1787" s="73">
        <v>2633301.58510025</v>
      </c>
      <c r="F1787" s="73"/>
      <c r="G1787" s="73"/>
      <c r="H1787" s="73"/>
      <c r="I1787" s="73"/>
      <c r="J1787" s="73"/>
      <c r="K1787" s="73"/>
      <c r="L1787" s="73"/>
      <c r="M1787" s="73"/>
      <c r="N1787" s="73"/>
      <c r="O1787" s="73"/>
      <c r="P1787" s="73"/>
      <c r="Q1787" s="73"/>
      <c r="R1787" s="73"/>
      <c r="S1787" s="73"/>
      <c r="T1787" s="73"/>
      <c r="U1787" s="73"/>
      <c r="V1787" s="73"/>
      <c r="W1787" s="73"/>
      <c r="X1787" s="73"/>
      <c r="Y1787" s="73"/>
      <c r="Z1787" s="73"/>
      <c r="AA1787" s="73"/>
      <c r="AB1787" s="73"/>
    </row>
    <row r="1788">
      <c r="A1788" s="73"/>
      <c r="B1788" s="73">
        <v>361762.5433</v>
      </c>
      <c r="C1788" s="73">
        <v>5.54441980599308E7</v>
      </c>
      <c r="D1788" s="73">
        <v>1.51273625259948E7</v>
      </c>
      <c r="E1788" s="73">
        <v>2637442.32870273</v>
      </c>
      <c r="F1788" s="73"/>
      <c r="G1788" s="73"/>
      <c r="H1788" s="73"/>
      <c r="I1788" s="73"/>
      <c r="J1788" s="73"/>
      <c r="K1788" s="73"/>
      <c r="L1788" s="73"/>
      <c r="M1788" s="73"/>
      <c r="N1788" s="73"/>
      <c r="O1788" s="73"/>
      <c r="P1788" s="73"/>
      <c r="Q1788" s="73"/>
      <c r="R1788" s="73"/>
      <c r="S1788" s="73"/>
      <c r="T1788" s="73"/>
      <c r="U1788" s="73"/>
      <c r="V1788" s="73"/>
      <c r="W1788" s="73"/>
      <c r="X1788" s="73"/>
      <c r="Y1788" s="73"/>
      <c r="Z1788" s="73"/>
      <c r="AA1788" s="73"/>
      <c r="AB1788" s="73"/>
    </row>
    <row r="1789">
      <c r="A1789" s="73"/>
      <c r="B1789" s="73">
        <v>362406.4096</v>
      </c>
      <c r="C1789" s="73">
        <v>5.55287157375832E7</v>
      </c>
      <c r="D1789" s="73">
        <v>1.51604296459957E7</v>
      </c>
      <c r="E1789" s="73">
        <v>2641587.49785796</v>
      </c>
      <c r="F1789" s="73"/>
      <c r="G1789" s="73"/>
      <c r="H1789" s="73"/>
      <c r="I1789" s="73"/>
      <c r="J1789" s="73"/>
      <c r="K1789" s="73"/>
      <c r="L1789" s="73"/>
      <c r="M1789" s="73"/>
      <c r="N1789" s="73"/>
      <c r="O1789" s="73"/>
      <c r="P1789" s="73"/>
      <c r="Q1789" s="73"/>
      <c r="R1789" s="73"/>
      <c r="S1789" s="73"/>
      <c r="T1789" s="73"/>
      <c r="U1789" s="73"/>
      <c r="V1789" s="73"/>
      <c r="W1789" s="73"/>
      <c r="X1789" s="73"/>
      <c r="Y1789" s="73"/>
      <c r="Z1789" s="73"/>
      <c r="AA1789" s="73"/>
      <c r="AB1789" s="73"/>
    </row>
    <row r="1790">
      <c r="A1790" s="73"/>
      <c r="B1790" s="73">
        <v>363051.2132</v>
      </c>
      <c r="C1790" s="73">
        <v>5.56133158152332E7</v>
      </c>
      <c r="D1790" s="73">
        <v>1.51935434939966E7</v>
      </c>
      <c r="E1790" s="73">
        <v>2645736.76677498</v>
      </c>
      <c r="F1790" s="73"/>
      <c r="G1790" s="73"/>
      <c r="H1790" s="73"/>
      <c r="I1790" s="73"/>
      <c r="J1790" s="73"/>
      <c r="K1790" s="73"/>
      <c r="L1790" s="73"/>
      <c r="M1790" s="73"/>
      <c r="N1790" s="73"/>
      <c r="O1790" s="73"/>
      <c r="P1790" s="73"/>
      <c r="Q1790" s="73"/>
      <c r="R1790" s="73"/>
      <c r="S1790" s="73"/>
      <c r="T1790" s="73"/>
      <c r="U1790" s="73"/>
      <c r="V1790" s="73"/>
      <c r="W1790" s="73"/>
      <c r="X1790" s="73"/>
      <c r="Y1790" s="73"/>
      <c r="Z1790" s="73"/>
      <c r="AA1790" s="73"/>
      <c r="AB1790" s="73"/>
    </row>
    <row r="1791">
      <c r="A1791" s="73"/>
      <c r="B1791" s="73">
        <v>363696.9512</v>
      </c>
      <c r="C1791" s="73">
        <v>5.56979900528812E7</v>
      </c>
      <c r="D1791" s="73">
        <v>1.52267053299976E7</v>
      </c>
      <c r="E1791" s="73">
        <v>2649890.46786976</v>
      </c>
      <c r="F1791" s="73"/>
      <c r="G1791" s="73"/>
      <c r="H1791" s="73"/>
      <c r="I1791" s="73"/>
      <c r="J1791" s="73"/>
      <c r="K1791" s="73"/>
      <c r="L1791" s="73"/>
      <c r="M1791" s="73"/>
      <c r="N1791" s="73"/>
      <c r="O1791" s="73"/>
      <c r="P1791" s="73"/>
      <c r="Q1791" s="73"/>
      <c r="R1791" s="73"/>
      <c r="S1791" s="73"/>
      <c r="T1791" s="73"/>
      <c r="U1791" s="73"/>
      <c r="V1791" s="73"/>
      <c r="W1791" s="73"/>
      <c r="X1791" s="73"/>
      <c r="Y1791" s="73"/>
      <c r="Z1791" s="73"/>
      <c r="AA1791" s="73"/>
      <c r="AB1791" s="73"/>
    </row>
    <row r="1792">
      <c r="A1792" s="73"/>
      <c r="B1792" s="73">
        <v>364343.6266</v>
      </c>
      <c r="C1792" s="73">
        <v>5.57827549305267E7</v>
      </c>
      <c r="D1792" s="73">
        <v>1.52599138759985E7</v>
      </c>
      <c r="E1792" s="73">
        <v>2654048.26872631</v>
      </c>
      <c r="F1792" s="73"/>
      <c r="G1792" s="73"/>
      <c r="H1792" s="73"/>
      <c r="I1792" s="73"/>
      <c r="J1792" s="73"/>
      <c r="K1792" s="73"/>
      <c r="L1792" s="73"/>
      <c r="M1792" s="73"/>
      <c r="N1792" s="73"/>
      <c r="O1792" s="73"/>
      <c r="P1792" s="73"/>
      <c r="Q1792" s="73"/>
      <c r="R1792" s="73"/>
      <c r="S1792" s="73"/>
      <c r="T1792" s="73"/>
      <c r="U1792" s="73"/>
      <c r="V1792" s="73"/>
      <c r="W1792" s="73"/>
      <c r="X1792" s="73"/>
      <c r="Y1792" s="73"/>
      <c r="Z1792" s="73"/>
      <c r="AA1792" s="73"/>
      <c r="AB1792" s="73"/>
    </row>
    <row r="1793">
      <c r="A1793" s="73"/>
      <c r="B1793" s="73">
        <v>364991.2464</v>
      </c>
      <c r="C1793" s="73">
        <v>5.58675939681702E7</v>
      </c>
      <c r="D1793" s="73">
        <v>1.52931691119994E7</v>
      </c>
      <c r="E1793" s="73">
        <v>2658210.49513563</v>
      </c>
      <c r="F1793" s="73"/>
      <c r="G1793" s="73"/>
      <c r="H1793" s="73"/>
      <c r="I1793" s="73"/>
      <c r="J1793" s="73"/>
      <c r="K1793" s="73"/>
      <c r="L1793" s="73"/>
      <c r="M1793" s="73"/>
      <c r="N1793" s="73"/>
      <c r="O1793" s="73"/>
      <c r="P1793" s="73"/>
      <c r="Q1793" s="73"/>
      <c r="R1793" s="73"/>
      <c r="S1793" s="73"/>
      <c r="T1793" s="73"/>
      <c r="U1793" s="73"/>
      <c r="V1793" s="73"/>
      <c r="W1793" s="73"/>
      <c r="X1793" s="73"/>
      <c r="Y1793" s="73"/>
      <c r="Z1793" s="73"/>
      <c r="AA1793" s="73"/>
      <c r="AB1793" s="73"/>
    </row>
    <row r="1794">
      <c r="A1794" s="73"/>
      <c r="B1794" s="73">
        <v>365639.7949</v>
      </c>
      <c r="C1794" s="73">
        <v>5.59525236458111E7</v>
      </c>
      <c r="D1794" s="73">
        <v>1.53264723760003E7</v>
      </c>
      <c r="E1794" s="73">
        <v>2662376.87033172</v>
      </c>
      <c r="F1794" s="73"/>
      <c r="G1794" s="73"/>
      <c r="H1794" s="73"/>
      <c r="I1794" s="73"/>
      <c r="J1794" s="73"/>
      <c r="K1794" s="73"/>
      <c r="L1794" s="73"/>
      <c r="M1794" s="73"/>
      <c r="N1794" s="73"/>
      <c r="O1794" s="73"/>
      <c r="P1794" s="73"/>
      <c r="Q1794" s="73"/>
      <c r="R1794" s="73"/>
      <c r="S1794" s="73"/>
      <c r="T1794" s="73"/>
      <c r="U1794" s="73"/>
      <c r="V1794" s="73"/>
      <c r="W1794" s="73"/>
      <c r="X1794" s="73"/>
      <c r="Y1794" s="73"/>
      <c r="Z1794" s="73"/>
      <c r="AA1794" s="73"/>
      <c r="AB1794" s="73"/>
    </row>
    <row r="1795">
      <c r="A1795" s="73"/>
      <c r="B1795" s="73">
        <v>366289.2778</v>
      </c>
      <c r="C1795" s="73">
        <v>5.60375357234497E7</v>
      </c>
      <c r="D1795" s="73">
        <v>1.53598223300012E7</v>
      </c>
      <c r="E1795" s="73">
        <v>2666547.67108058</v>
      </c>
      <c r="F1795" s="73"/>
      <c r="G1795" s="73"/>
      <c r="H1795" s="73"/>
      <c r="I1795" s="73"/>
      <c r="J1795" s="73"/>
      <c r="K1795" s="73"/>
      <c r="L1795" s="73"/>
      <c r="M1795" s="73"/>
      <c r="N1795" s="73"/>
      <c r="O1795" s="73"/>
      <c r="P1795" s="73"/>
      <c r="Q1795" s="73"/>
      <c r="R1795" s="73"/>
      <c r="S1795" s="73"/>
      <c r="T1795" s="73"/>
      <c r="U1795" s="73"/>
      <c r="V1795" s="73"/>
      <c r="W1795" s="73"/>
      <c r="X1795" s="73"/>
      <c r="Y1795" s="73"/>
      <c r="Z1795" s="73"/>
      <c r="AA1795" s="73"/>
      <c r="AB1795" s="73"/>
    </row>
    <row r="1796">
      <c r="A1796" s="73"/>
      <c r="B1796" s="73">
        <v>366939.6981</v>
      </c>
      <c r="C1796" s="73">
        <v>5.61226219610863E7</v>
      </c>
      <c r="D1796" s="73">
        <v>1.53932202540021E7</v>
      </c>
      <c r="E1796" s="73">
        <v>2670722.57821621</v>
      </c>
      <c r="F1796" s="73"/>
      <c r="G1796" s="73"/>
      <c r="H1796" s="73"/>
      <c r="I1796" s="73"/>
      <c r="J1796" s="73"/>
      <c r="K1796" s="73"/>
      <c r="L1796" s="73"/>
      <c r="M1796" s="73"/>
      <c r="N1796" s="73"/>
      <c r="O1796" s="73"/>
      <c r="P1796" s="73"/>
      <c r="Q1796" s="73"/>
      <c r="R1796" s="73"/>
      <c r="S1796" s="73"/>
      <c r="T1796" s="73"/>
      <c r="U1796" s="73"/>
      <c r="V1796" s="73"/>
      <c r="W1796" s="73"/>
      <c r="X1796" s="73"/>
      <c r="Y1796" s="73"/>
      <c r="Z1796" s="73"/>
      <c r="AA1796" s="73"/>
      <c r="AB1796" s="73"/>
    </row>
    <row r="1797">
      <c r="A1797" s="73"/>
      <c r="B1797" s="73">
        <v>367591.0656</v>
      </c>
      <c r="C1797" s="73">
        <v>5.62077905987206E7</v>
      </c>
      <c r="D1797" s="73">
        <v>1.54266649059954E7</v>
      </c>
      <c r="E1797" s="73">
        <v>2674901.9109046</v>
      </c>
      <c r="F1797" s="73"/>
      <c r="G1797" s="73"/>
      <c r="H1797" s="73"/>
      <c r="I1797" s="73"/>
      <c r="J1797" s="73"/>
      <c r="K1797" s="73"/>
      <c r="L1797" s="73"/>
      <c r="M1797" s="73"/>
      <c r="N1797" s="73"/>
      <c r="O1797" s="73"/>
      <c r="P1797" s="73"/>
      <c r="Q1797" s="73"/>
      <c r="R1797" s="73"/>
      <c r="S1797" s="73"/>
      <c r="T1797" s="73"/>
      <c r="U1797" s="73"/>
      <c r="V1797" s="73"/>
      <c r="W1797" s="73"/>
      <c r="X1797" s="73"/>
      <c r="Y1797" s="73"/>
      <c r="Z1797" s="73"/>
      <c r="AA1797" s="73"/>
      <c r="AB1797" s="73"/>
    </row>
    <row r="1798">
      <c r="A1798" s="73"/>
      <c r="B1798" s="73">
        <v>368243.359</v>
      </c>
      <c r="C1798" s="73">
        <v>5.62930416363525E7</v>
      </c>
      <c r="D1798" s="73">
        <v>1.54601562859963E7</v>
      </c>
      <c r="E1798" s="73">
        <v>2679085.39237977</v>
      </c>
      <c r="F1798" s="73"/>
      <c r="G1798" s="73"/>
      <c r="H1798" s="73"/>
      <c r="I1798" s="73"/>
      <c r="J1798" s="73"/>
      <c r="K1798" s="73"/>
      <c r="L1798" s="73"/>
      <c r="M1798" s="73"/>
      <c r="N1798" s="73"/>
      <c r="O1798" s="73"/>
      <c r="P1798" s="73"/>
      <c r="Q1798" s="73"/>
      <c r="R1798" s="73"/>
      <c r="S1798" s="73"/>
      <c r="T1798" s="73"/>
      <c r="U1798" s="73"/>
      <c r="V1798" s="73"/>
      <c r="W1798" s="73"/>
      <c r="X1798" s="73"/>
      <c r="Y1798" s="73"/>
      <c r="Z1798" s="73"/>
      <c r="AA1798" s="73"/>
      <c r="AB1798" s="73"/>
    </row>
    <row r="1799">
      <c r="A1799" s="73"/>
      <c r="B1799" s="73">
        <v>368896.5911</v>
      </c>
      <c r="C1799" s="73">
        <v>5.6378383313982E7</v>
      </c>
      <c r="D1799" s="73">
        <v>1.54936943559973E7</v>
      </c>
      <c r="E1799" s="73">
        <v>2683273.2636327</v>
      </c>
      <c r="F1799" s="73"/>
      <c r="G1799" s="73"/>
      <c r="H1799" s="73"/>
      <c r="I1799" s="73"/>
      <c r="J1799" s="73"/>
      <c r="K1799" s="73"/>
      <c r="L1799" s="73"/>
      <c r="M1799" s="73"/>
      <c r="N1799" s="73"/>
      <c r="O1799" s="73"/>
      <c r="P1799" s="73"/>
      <c r="Q1799" s="73"/>
      <c r="R1799" s="73"/>
      <c r="S1799" s="73"/>
      <c r="T1799" s="73"/>
      <c r="U1799" s="73"/>
      <c r="V1799" s="73"/>
      <c r="W1799" s="73"/>
      <c r="X1799" s="73"/>
      <c r="Y1799" s="73"/>
      <c r="Z1799" s="73"/>
      <c r="AA1799" s="73"/>
      <c r="AB1799" s="73"/>
    </row>
    <row r="1800">
      <c r="A1800" s="73"/>
      <c r="B1800" s="73">
        <v>369550.7691</v>
      </c>
      <c r="C1800" s="73">
        <v>5.64637909116097E7</v>
      </c>
      <c r="D1800" s="73">
        <v>1.55272816959982E7</v>
      </c>
      <c r="E1800" s="73">
        <v>2687465.4498804</v>
      </c>
      <c r="F1800" s="73"/>
      <c r="G1800" s="73"/>
      <c r="H1800" s="73"/>
      <c r="I1800" s="73"/>
      <c r="J1800" s="73"/>
      <c r="K1800" s="73"/>
      <c r="L1800" s="73"/>
      <c r="M1800" s="73"/>
      <c r="N1800" s="73"/>
      <c r="O1800" s="73"/>
      <c r="P1800" s="73"/>
      <c r="Q1800" s="73"/>
      <c r="R1800" s="73"/>
      <c r="S1800" s="73"/>
      <c r="T1800" s="73"/>
      <c r="U1800" s="73"/>
      <c r="V1800" s="73"/>
      <c r="W1800" s="73"/>
      <c r="X1800" s="73"/>
      <c r="Y1800" s="73"/>
      <c r="Z1800" s="73"/>
      <c r="AA1800" s="73"/>
      <c r="AB1800" s="73"/>
    </row>
    <row r="1801">
      <c r="A1801" s="73"/>
      <c r="B1801" s="73">
        <v>370205.8858</v>
      </c>
      <c r="C1801" s="73">
        <v>5.65492891492348E7</v>
      </c>
      <c r="D1801" s="73">
        <v>1.55609157639991E7</v>
      </c>
      <c r="E1801" s="73">
        <v>2691661.68686488</v>
      </c>
      <c r="F1801" s="73"/>
      <c r="G1801" s="73"/>
      <c r="H1801" s="73"/>
      <c r="I1801" s="73"/>
      <c r="J1801" s="73"/>
      <c r="K1801" s="73"/>
      <c r="L1801" s="73"/>
      <c r="M1801" s="73"/>
      <c r="N1801" s="73"/>
      <c r="O1801" s="73"/>
      <c r="P1801" s="73"/>
      <c r="Q1801" s="73"/>
      <c r="R1801" s="73"/>
      <c r="S1801" s="73"/>
      <c r="T1801" s="73"/>
      <c r="U1801" s="73"/>
      <c r="V1801" s="73"/>
      <c r="W1801" s="73"/>
      <c r="X1801" s="73"/>
      <c r="Y1801" s="73"/>
      <c r="Z1801" s="73"/>
      <c r="AA1801" s="73"/>
      <c r="AB1801" s="73"/>
    </row>
    <row r="1802">
      <c r="A1802" s="73"/>
      <c r="B1802" s="73">
        <v>370861.9297</v>
      </c>
      <c r="C1802" s="73">
        <v>5.66348697868576E7</v>
      </c>
      <c r="D1802" s="73">
        <v>1.5594596542E7</v>
      </c>
      <c r="E1802" s="73">
        <v>2695862.57465211</v>
      </c>
      <c r="F1802" s="73"/>
      <c r="G1802" s="73"/>
      <c r="H1802" s="73"/>
      <c r="I1802" s="73"/>
      <c r="J1802" s="73"/>
      <c r="K1802" s="73"/>
      <c r="L1802" s="73"/>
      <c r="M1802" s="73"/>
      <c r="N1802" s="73"/>
      <c r="O1802" s="73"/>
      <c r="P1802" s="73"/>
      <c r="Q1802" s="73"/>
      <c r="R1802" s="73"/>
      <c r="S1802" s="73"/>
      <c r="T1802" s="73"/>
      <c r="U1802" s="73"/>
      <c r="V1802" s="73"/>
      <c r="W1802" s="73"/>
      <c r="X1802" s="73"/>
      <c r="Y1802" s="73"/>
      <c r="Z1802" s="73"/>
      <c r="AA1802" s="73"/>
      <c r="AB1802" s="73"/>
    </row>
    <row r="1803">
      <c r="A1803" s="73"/>
      <c r="B1803" s="73">
        <v>371518.9209</v>
      </c>
      <c r="C1803" s="73">
        <v>5.67205328244781E7</v>
      </c>
      <c r="D1803" s="73">
        <v>1.56283239900009E7</v>
      </c>
      <c r="E1803" s="73">
        <v>2700068.0517491</v>
      </c>
      <c r="F1803" s="73"/>
      <c r="G1803" s="73"/>
      <c r="H1803" s="73"/>
      <c r="I1803" s="73"/>
      <c r="J1803" s="73"/>
      <c r="K1803" s="73"/>
      <c r="L1803" s="73"/>
      <c r="M1803" s="73"/>
      <c r="N1803" s="73"/>
      <c r="O1803" s="73"/>
      <c r="P1803" s="73"/>
      <c r="Q1803" s="73"/>
      <c r="R1803" s="73"/>
      <c r="S1803" s="73"/>
      <c r="T1803" s="73"/>
      <c r="U1803" s="73"/>
      <c r="V1803" s="73"/>
      <c r="W1803" s="73"/>
      <c r="X1803" s="73"/>
      <c r="Y1803" s="73"/>
      <c r="Z1803" s="73"/>
      <c r="AA1803" s="73"/>
      <c r="AB1803" s="73"/>
    </row>
    <row r="1804">
      <c r="A1804" s="73"/>
      <c r="B1804" s="73">
        <v>372176.8508</v>
      </c>
      <c r="C1804" s="73">
        <v>5.68062782620964E7</v>
      </c>
      <c r="D1804" s="73">
        <v>1.56621007460018E7</v>
      </c>
      <c r="E1804" s="73">
        <v>2704278.10466493</v>
      </c>
      <c r="F1804" s="73"/>
      <c r="G1804" s="73"/>
      <c r="H1804" s="73"/>
      <c r="I1804" s="73"/>
      <c r="J1804" s="73"/>
      <c r="K1804" s="73"/>
      <c r="L1804" s="73"/>
      <c r="M1804" s="73"/>
      <c r="N1804" s="73"/>
      <c r="O1804" s="73"/>
      <c r="P1804" s="73"/>
      <c r="Q1804" s="73"/>
      <c r="R1804" s="73"/>
      <c r="S1804" s="73"/>
      <c r="T1804" s="73"/>
      <c r="U1804" s="73"/>
      <c r="V1804" s="73"/>
      <c r="W1804" s="73"/>
      <c r="X1804" s="73"/>
      <c r="Y1804" s="73"/>
      <c r="Z1804" s="73"/>
      <c r="AA1804" s="73"/>
      <c r="AB1804" s="73"/>
    </row>
    <row r="1805">
      <c r="A1805" s="73"/>
      <c r="B1805" s="73">
        <v>372835.7094</v>
      </c>
      <c r="C1805" s="73">
        <v>5.68920978597126E7</v>
      </c>
      <c r="D1805" s="73">
        <v>1.56959242099951E7</v>
      </c>
      <c r="E1805" s="73">
        <v>2708493.21923204</v>
      </c>
      <c r="F1805" s="73"/>
      <c r="G1805" s="73"/>
      <c r="H1805" s="73"/>
      <c r="I1805" s="73"/>
      <c r="J1805" s="73"/>
      <c r="K1805" s="73"/>
      <c r="L1805" s="73"/>
      <c r="M1805" s="73"/>
      <c r="N1805" s="73"/>
      <c r="O1805" s="73"/>
      <c r="P1805" s="73"/>
      <c r="Q1805" s="73"/>
      <c r="R1805" s="73"/>
      <c r="S1805" s="73"/>
      <c r="T1805" s="73"/>
      <c r="U1805" s="73"/>
      <c r="V1805" s="73"/>
      <c r="W1805" s="73"/>
      <c r="X1805" s="73"/>
      <c r="Y1805" s="73"/>
      <c r="Z1805" s="73"/>
      <c r="AA1805" s="73"/>
      <c r="AB1805" s="73"/>
    </row>
    <row r="1806">
      <c r="A1806" s="73"/>
      <c r="B1806" s="73">
        <v>373495.5153</v>
      </c>
      <c r="C1806" s="73">
        <v>5.69780080973263E7</v>
      </c>
      <c r="D1806" s="73">
        <v>1.5729794383996E7</v>
      </c>
      <c r="E1806" s="73">
        <v>2712713.00858663</v>
      </c>
      <c r="F1806" s="73"/>
      <c r="G1806" s="73"/>
      <c r="H1806" s="73"/>
      <c r="I1806" s="73"/>
      <c r="J1806" s="73"/>
      <c r="K1806" s="73"/>
      <c r="L1806" s="73"/>
      <c r="M1806" s="73"/>
      <c r="N1806" s="73"/>
      <c r="O1806" s="73"/>
      <c r="P1806" s="73"/>
      <c r="Q1806" s="73"/>
      <c r="R1806" s="73"/>
      <c r="S1806" s="73"/>
      <c r="T1806" s="73"/>
      <c r="U1806" s="73"/>
      <c r="V1806" s="73"/>
      <c r="W1806" s="73"/>
      <c r="X1806" s="73"/>
      <c r="Y1806" s="73"/>
      <c r="Z1806" s="73"/>
      <c r="AA1806" s="73"/>
      <c r="AB1806" s="73"/>
    </row>
    <row r="1807">
      <c r="A1807" s="73"/>
      <c r="B1807" s="73">
        <v>374156.2613</v>
      </c>
      <c r="C1807" s="73">
        <v>5.70639924949379E7</v>
      </c>
      <c r="D1807" s="73">
        <v>1.57637138279969E7</v>
      </c>
      <c r="E1807" s="73">
        <v>2716937.51264361</v>
      </c>
      <c r="F1807" s="73"/>
      <c r="G1807" s="73"/>
      <c r="H1807" s="73"/>
      <c r="I1807" s="73"/>
      <c r="J1807" s="73"/>
      <c r="K1807" s="73"/>
      <c r="L1807" s="73"/>
      <c r="M1807" s="73"/>
      <c r="N1807" s="73"/>
      <c r="O1807" s="73"/>
      <c r="P1807" s="73"/>
      <c r="Q1807" s="73"/>
      <c r="R1807" s="73"/>
      <c r="S1807" s="73"/>
      <c r="T1807" s="73"/>
      <c r="U1807" s="73"/>
      <c r="V1807" s="73"/>
      <c r="W1807" s="73"/>
      <c r="X1807" s="73"/>
      <c r="Y1807" s="73"/>
      <c r="Z1807" s="73"/>
      <c r="AA1807" s="73"/>
      <c r="AB1807" s="73"/>
    </row>
    <row r="1808">
      <c r="A1808" s="73"/>
      <c r="B1808" s="73">
        <v>374817.9445</v>
      </c>
      <c r="C1808" s="73">
        <v>5.7150067532547E7</v>
      </c>
      <c r="D1808" s="73">
        <v>1.57976799799979E7</v>
      </c>
      <c r="E1808" s="73">
        <v>2721167.00106883</v>
      </c>
      <c r="F1808" s="73"/>
      <c r="G1808" s="73"/>
      <c r="H1808" s="73"/>
      <c r="I1808" s="73"/>
      <c r="J1808" s="73"/>
      <c r="K1808" s="73"/>
      <c r="L1808" s="73"/>
      <c r="M1808" s="73"/>
      <c r="N1808" s="73"/>
      <c r="O1808" s="73"/>
      <c r="P1808" s="73"/>
      <c r="Q1808" s="73"/>
      <c r="R1808" s="73"/>
      <c r="S1808" s="73"/>
      <c r="T1808" s="73"/>
      <c r="U1808" s="73"/>
      <c r="V1808" s="73"/>
      <c r="W1808" s="73"/>
      <c r="X1808" s="73"/>
      <c r="Y1808" s="73"/>
      <c r="Z1808" s="73"/>
      <c r="AA1808" s="73"/>
      <c r="AB1808" s="73"/>
    </row>
    <row r="1809">
      <c r="A1809" s="73"/>
      <c r="B1809" s="73">
        <v>375480.5664</v>
      </c>
      <c r="C1809" s="73">
        <v>5.7236216730154E7</v>
      </c>
      <c r="D1809" s="73">
        <v>1.58316928419988E7</v>
      </c>
      <c r="E1809" s="73">
        <v>2725401.59063374</v>
      </c>
      <c r="F1809" s="73"/>
      <c r="G1809" s="73"/>
      <c r="H1809" s="73"/>
      <c r="I1809" s="73"/>
      <c r="J1809" s="73"/>
      <c r="K1809" s="73"/>
      <c r="L1809" s="73"/>
      <c r="M1809" s="73"/>
      <c r="N1809" s="73"/>
      <c r="O1809" s="73"/>
      <c r="P1809" s="73"/>
      <c r="Q1809" s="73"/>
      <c r="R1809" s="73"/>
      <c r="S1809" s="73"/>
      <c r="T1809" s="73"/>
      <c r="U1809" s="73"/>
      <c r="V1809" s="73"/>
      <c r="W1809" s="73"/>
      <c r="X1809" s="73"/>
      <c r="Y1809" s="73"/>
      <c r="Z1809" s="73"/>
      <c r="AA1809" s="73"/>
      <c r="AB1809" s="73"/>
    </row>
    <row r="1810">
      <c r="A1810" s="73"/>
      <c r="B1810" s="73">
        <v>376144.1271</v>
      </c>
      <c r="C1810" s="73">
        <v>5.73224565677586E7</v>
      </c>
      <c r="D1810" s="73">
        <v>1.58657549919997E7</v>
      </c>
      <c r="E1810" s="73">
        <v>2729640.89355509</v>
      </c>
      <c r="F1810" s="73"/>
      <c r="G1810" s="73"/>
      <c r="H1810" s="73"/>
      <c r="I1810" s="73"/>
      <c r="J1810" s="73"/>
      <c r="K1810" s="73"/>
      <c r="L1810" s="73"/>
      <c r="M1810" s="73"/>
      <c r="N1810" s="73"/>
      <c r="O1810" s="73"/>
      <c r="P1810" s="73"/>
      <c r="Q1810" s="73"/>
      <c r="R1810" s="73"/>
      <c r="S1810" s="73"/>
      <c r="T1810" s="73"/>
      <c r="U1810" s="73"/>
      <c r="V1810" s="73"/>
      <c r="W1810" s="73"/>
      <c r="X1810" s="73"/>
      <c r="Y1810" s="73"/>
      <c r="Z1810" s="73"/>
      <c r="AA1810" s="73"/>
      <c r="AB1810" s="73"/>
    </row>
    <row r="1811">
      <c r="A1811" s="73"/>
      <c r="B1811" s="73">
        <v>376808.6392</v>
      </c>
      <c r="C1811" s="73">
        <v>5.74087788053608E7</v>
      </c>
      <c r="D1811" s="73">
        <v>1.58998638320006E7</v>
      </c>
      <c r="E1811" s="73">
        <v>2733885.33460646</v>
      </c>
      <c r="F1811" s="73"/>
      <c r="G1811" s="73"/>
      <c r="H1811" s="73"/>
      <c r="I1811" s="73"/>
      <c r="J1811" s="73"/>
      <c r="K1811" s="73"/>
      <c r="L1811" s="73"/>
      <c r="M1811" s="73"/>
      <c r="N1811" s="73"/>
      <c r="O1811" s="73"/>
      <c r="P1811" s="73"/>
      <c r="Q1811" s="73"/>
      <c r="R1811" s="73"/>
      <c r="S1811" s="73"/>
      <c r="T1811" s="73"/>
      <c r="U1811" s="73"/>
      <c r="V1811" s="73"/>
      <c r="W1811" s="73"/>
      <c r="X1811" s="73"/>
      <c r="Y1811" s="73"/>
      <c r="Z1811" s="73"/>
      <c r="AA1811" s="73"/>
      <c r="AB1811" s="73"/>
    </row>
    <row r="1812">
      <c r="A1812" s="73"/>
      <c r="B1812" s="73">
        <v>377474.0786</v>
      </c>
      <c r="C1812" s="73">
        <v>5.74951669629612E7</v>
      </c>
      <c r="D1812" s="73">
        <v>1.59340206800015E7</v>
      </c>
      <c r="E1812" s="73">
        <v>2738134.52236635</v>
      </c>
      <c r="F1812" s="73"/>
      <c r="G1812" s="73"/>
      <c r="H1812" s="73"/>
      <c r="I1812" s="73"/>
      <c r="J1812" s="73"/>
      <c r="K1812" s="73"/>
      <c r="L1812" s="73"/>
      <c r="M1812" s="73"/>
      <c r="N1812" s="73"/>
      <c r="O1812" s="73"/>
      <c r="P1812" s="73"/>
      <c r="Q1812" s="73"/>
      <c r="R1812" s="73"/>
      <c r="S1812" s="73"/>
      <c r="T1812" s="73"/>
      <c r="U1812" s="73"/>
      <c r="V1812" s="73"/>
      <c r="W1812" s="73"/>
      <c r="X1812" s="73"/>
      <c r="Y1812" s="73"/>
      <c r="Z1812" s="73"/>
      <c r="AA1812" s="73"/>
      <c r="AB1812" s="73"/>
    </row>
    <row r="1813">
      <c r="A1813" s="73"/>
      <c r="B1813" s="73">
        <v>378140.4681</v>
      </c>
      <c r="C1813" s="73">
        <v>5.75816540005589E7</v>
      </c>
      <c r="D1813" s="73">
        <v>1.59682242379948E7</v>
      </c>
      <c r="E1813" s="73">
        <v>2742388.97667224</v>
      </c>
      <c r="F1813" s="73"/>
      <c r="G1813" s="73"/>
      <c r="H1813" s="73"/>
      <c r="I1813" s="73"/>
      <c r="J1813" s="73"/>
      <c r="K1813" s="73"/>
      <c r="L1813" s="73"/>
      <c r="M1813" s="73"/>
      <c r="N1813" s="73"/>
      <c r="O1813" s="73"/>
      <c r="P1813" s="73"/>
      <c r="Q1813" s="73"/>
      <c r="R1813" s="73"/>
      <c r="S1813" s="73"/>
      <c r="T1813" s="73"/>
      <c r="U1813" s="73"/>
      <c r="V1813" s="73"/>
      <c r="W1813" s="73"/>
      <c r="X1813" s="73"/>
      <c r="Y1813" s="73"/>
      <c r="Z1813" s="73"/>
      <c r="AA1813" s="73"/>
      <c r="AB1813" s="73"/>
    </row>
    <row r="1814">
      <c r="A1814" s="73"/>
      <c r="B1814" s="73">
        <v>378807.7877</v>
      </c>
      <c r="C1814" s="73">
        <v>5.76682151981544E7</v>
      </c>
      <c r="D1814" s="73">
        <v>1.60024770639957E7</v>
      </c>
      <c r="E1814" s="73">
        <v>2746648.12737289</v>
      </c>
      <c r="F1814" s="73"/>
      <c r="G1814" s="73"/>
      <c r="H1814" s="73"/>
      <c r="I1814" s="73"/>
      <c r="J1814" s="73"/>
      <c r="K1814" s="73"/>
      <c r="L1814" s="73"/>
      <c r="M1814" s="73"/>
      <c r="N1814" s="73"/>
      <c r="O1814" s="73"/>
      <c r="P1814" s="73"/>
      <c r="Q1814" s="73"/>
      <c r="R1814" s="73"/>
      <c r="S1814" s="73"/>
      <c r="T1814" s="73"/>
      <c r="U1814" s="73"/>
      <c r="V1814" s="73"/>
      <c r="W1814" s="73"/>
      <c r="X1814" s="73"/>
      <c r="Y1814" s="73"/>
      <c r="Z1814" s="73"/>
      <c r="AA1814" s="73"/>
      <c r="AB1814" s="73"/>
    </row>
    <row r="1815">
      <c r="A1815" s="73"/>
      <c r="B1815" s="73">
        <v>379476.0574</v>
      </c>
      <c r="C1815" s="73">
        <v>5.77548670357475E7</v>
      </c>
      <c r="D1815" s="73">
        <v>1.60367765999966E7</v>
      </c>
      <c r="E1815" s="73">
        <v>2750912.58359187</v>
      </c>
      <c r="F1815" s="73"/>
      <c r="G1815" s="73"/>
      <c r="H1815" s="73"/>
      <c r="I1815" s="73"/>
      <c r="J1815" s="73"/>
      <c r="K1815" s="73"/>
      <c r="L1815" s="73"/>
      <c r="M1815" s="73"/>
      <c r="N1815" s="73"/>
      <c r="O1815" s="73"/>
      <c r="P1815" s="73"/>
      <c r="Q1815" s="73"/>
      <c r="R1815" s="73"/>
      <c r="S1815" s="73"/>
      <c r="T1815" s="73"/>
      <c r="U1815" s="73"/>
      <c r="V1815" s="73"/>
      <c r="W1815" s="73"/>
      <c r="X1815" s="73"/>
      <c r="Y1815" s="73"/>
      <c r="Z1815" s="73"/>
      <c r="AA1815" s="73"/>
      <c r="AB1815" s="73"/>
    </row>
    <row r="1816">
      <c r="A1816" s="73"/>
      <c r="B1816" s="73">
        <v>380145.2658</v>
      </c>
      <c r="C1816" s="73">
        <v>5.78415930333385E7</v>
      </c>
      <c r="D1816" s="73">
        <v>1.60711254239976E7</v>
      </c>
      <c r="E1816" s="73">
        <v>2755182.01109207</v>
      </c>
      <c r="F1816" s="73"/>
      <c r="G1816" s="73"/>
      <c r="H1816" s="73"/>
      <c r="I1816" s="73"/>
      <c r="J1816" s="73"/>
      <c r="K1816" s="73"/>
      <c r="L1816" s="73"/>
      <c r="M1816" s="73"/>
      <c r="N1816" s="73"/>
      <c r="O1816" s="73"/>
      <c r="P1816" s="73"/>
      <c r="Q1816" s="73"/>
      <c r="R1816" s="73"/>
      <c r="S1816" s="73"/>
      <c r="T1816" s="73"/>
      <c r="U1816" s="73"/>
      <c r="V1816" s="73"/>
      <c r="W1816" s="73"/>
      <c r="X1816" s="73"/>
      <c r="Y1816" s="73"/>
      <c r="Z1816" s="73"/>
      <c r="AA1816" s="73"/>
      <c r="AB1816" s="73"/>
    </row>
    <row r="1817">
      <c r="A1817" s="73"/>
      <c r="B1817" s="73">
        <v>380815.4156</v>
      </c>
      <c r="C1817" s="73">
        <v>5.79284014309273E7</v>
      </c>
      <c r="D1817" s="73">
        <v>1.61055209379985E7</v>
      </c>
      <c r="E1817" s="73">
        <v>2759456.437199</v>
      </c>
      <c r="F1817" s="73"/>
      <c r="G1817" s="73"/>
      <c r="H1817" s="73"/>
      <c r="I1817" s="73"/>
      <c r="J1817" s="73"/>
      <c r="K1817" s="73"/>
      <c r="L1817" s="73"/>
      <c r="M1817" s="73"/>
      <c r="N1817" s="73"/>
      <c r="O1817" s="73"/>
      <c r="P1817" s="73"/>
      <c r="Q1817" s="73"/>
      <c r="R1817" s="73"/>
      <c r="S1817" s="73"/>
      <c r="T1817" s="73"/>
      <c r="U1817" s="73"/>
      <c r="V1817" s="73"/>
      <c r="W1817" s="73"/>
      <c r="X1817" s="73"/>
      <c r="Y1817" s="73"/>
      <c r="Z1817" s="73"/>
      <c r="AA1817" s="73"/>
      <c r="AB1817" s="73"/>
    </row>
    <row r="1818">
      <c r="A1818" s="73"/>
      <c r="B1818" s="73">
        <v>381486.5042</v>
      </c>
      <c r="C1818" s="73">
        <v>5.80152922285137E7</v>
      </c>
      <c r="D1818" s="73">
        <v>1.61399644599994E7</v>
      </c>
      <c r="E1818" s="73">
        <v>2763736.03827224</v>
      </c>
      <c r="F1818" s="73"/>
      <c r="G1818" s="73"/>
      <c r="H1818" s="73"/>
      <c r="I1818" s="73"/>
      <c r="J1818" s="73"/>
      <c r="K1818" s="73"/>
      <c r="L1818" s="73"/>
      <c r="M1818" s="73"/>
      <c r="N1818" s="73"/>
      <c r="O1818" s="73"/>
      <c r="P1818" s="73"/>
      <c r="Q1818" s="73"/>
      <c r="R1818" s="73"/>
      <c r="S1818" s="73"/>
      <c r="T1818" s="73"/>
      <c r="U1818" s="73"/>
      <c r="V1818" s="73"/>
      <c r="W1818" s="73"/>
      <c r="X1818" s="73"/>
      <c r="Y1818" s="73"/>
      <c r="Z1818" s="73"/>
      <c r="AA1818" s="73"/>
      <c r="AB1818" s="73"/>
    </row>
    <row r="1819">
      <c r="A1819" s="73"/>
      <c r="B1819" s="73">
        <v>382158.5343</v>
      </c>
      <c r="C1819" s="73">
        <v>5.81022736660976E7</v>
      </c>
      <c r="D1819" s="73">
        <v>1.61744559720003E7</v>
      </c>
      <c r="E1819" s="73">
        <v>2768020.74554707</v>
      </c>
      <c r="F1819" s="73"/>
      <c r="G1819" s="73"/>
      <c r="H1819" s="73"/>
      <c r="I1819" s="73"/>
      <c r="J1819" s="73"/>
      <c r="K1819" s="73"/>
      <c r="L1819" s="73"/>
      <c r="M1819" s="73"/>
      <c r="N1819" s="73"/>
      <c r="O1819" s="73"/>
      <c r="P1819" s="73"/>
      <c r="Q1819" s="73"/>
      <c r="R1819" s="73"/>
      <c r="S1819" s="73"/>
      <c r="T1819" s="73"/>
      <c r="U1819" s="73"/>
      <c r="V1819" s="73"/>
      <c r="W1819" s="73"/>
      <c r="X1819" s="73"/>
      <c r="Y1819" s="73"/>
      <c r="Z1819" s="73"/>
      <c r="AA1819" s="73"/>
      <c r="AB1819" s="73"/>
    </row>
    <row r="1820">
      <c r="A1820" s="73"/>
      <c r="B1820" s="73">
        <v>382831.5158</v>
      </c>
      <c r="C1820" s="73">
        <v>5.81893292636795E7</v>
      </c>
      <c r="D1820" s="73">
        <v>1.62089954720012E7</v>
      </c>
      <c r="E1820" s="73">
        <v>2772310.48664912</v>
      </c>
      <c r="F1820" s="73"/>
      <c r="G1820" s="73"/>
      <c r="H1820" s="73"/>
      <c r="I1820" s="73"/>
      <c r="J1820" s="73"/>
      <c r="K1820" s="73"/>
      <c r="L1820" s="73"/>
      <c r="M1820" s="73"/>
      <c r="N1820" s="73"/>
      <c r="O1820" s="73"/>
      <c r="P1820" s="73"/>
      <c r="Q1820" s="73"/>
      <c r="R1820" s="73"/>
      <c r="S1820" s="73"/>
      <c r="T1820" s="73"/>
      <c r="U1820" s="73"/>
      <c r="V1820" s="73"/>
      <c r="W1820" s="73"/>
      <c r="X1820" s="73"/>
      <c r="Y1820" s="73"/>
      <c r="Z1820" s="73"/>
      <c r="AA1820" s="73"/>
      <c r="AB1820" s="73"/>
    </row>
    <row r="1821">
      <c r="A1821" s="73"/>
      <c r="B1821" s="73">
        <v>383505.4275</v>
      </c>
      <c r="C1821" s="73">
        <v>5.82764672612591E7</v>
      </c>
      <c r="D1821" s="73">
        <v>1.62435829820021E7</v>
      </c>
      <c r="E1821" s="73">
        <v>2776605.43615632</v>
      </c>
      <c r="F1821" s="73"/>
      <c r="G1821" s="73"/>
      <c r="H1821" s="73"/>
      <c r="I1821" s="73"/>
      <c r="J1821" s="73"/>
      <c r="K1821" s="73"/>
      <c r="L1821" s="73"/>
      <c r="M1821" s="73"/>
      <c r="N1821" s="73"/>
      <c r="O1821" s="73"/>
      <c r="P1821" s="73"/>
      <c r="Q1821" s="73"/>
      <c r="R1821" s="73"/>
      <c r="S1821" s="73"/>
      <c r="T1821" s="73"/>
      <c r="U1821" s="73"/>
      <c r="V1821" s="73"/>
      <c r="W1821" s="73"/>
      <c r="X1821" s="73"/>
      <c r="Y1821" s="73"/>
      <c r="Z1821" s="73"/>
      <c r="AA1821" s="73"/>
      <c r="AB1821" s="73"/>
    </row>
    <row r="1822">
      <c r="A1822" s="73"/>
      <c r="B1822" s="73">
        <v>384180.2906</v>
      </c>
      <c r="C1822" s="73">
        <v>5.83636876588364E7</v>
      </c>
      <c r="D1822" s="73">
        <v>1.62782184599954E7</v>
      </c>
      <c r="E1822" s="73">
        <v>2780905.53062842</v>
      </c>
      <c r="F1822" s="73"/>
      <c r="G1822" s="73"/>
      <c r="H1822" s="73"/>
      <c r="I1822" s="73"/>
      <c r="J1822" s="73"/>
      <c r="K1822" s="73"/>
      <c r="L1822" s="73"/>
      <c r="M1822" s="73"/>
      <c r="N1822" s="73"/>
      <c r="O1822" s="73"/>
      <c r="P1822" s="73"/>
      <c r="Q1822" s="73"/>
      <c r="R1822" s="73"/>
      <c r="S1822" s="73"/>
      <c r="T1822" s="73"/>
      <c r="U1822" s="73"/>
      <c r="V1822" s="73"/>
      <c r="W1822" s="73"/>
      <c r="X1822" s="73"/>
      <c r="Y1822" s="73"/>
      <c r="Z1822" s="73"/>
      <c r="AA1822" s="73"/>
      <c r="AB1822" s="73"/>
    </row>
    <row r="1823">
      <c r="A1823" s="73"/>
      <c r="B1823" s="73">
        <v>384856.0939</v>
      </c>
      <c r="C1823" s="73">
        <v>5.84509986964111E7</v>
      </c>
      <c r="D1823" s="73">
        <v>1.63129019479963E7</v>
      </c>
      <c r="E1823" s="73">
        <v>2785210.6961656</v>
      </c>
      <c r="F1823" s="73"/>
      <c r="G1823" s="73"/>
      <c r="H1823" s="73"/>
      <c r="I1823" s="73"/>
      <c r="J1823" s="73"/>
      <c r="K1823" s="73"/>
      <c r="L1823" s="73"/>
      <c r="M1823" s="73"/>
      <c r="N1823" s="73"/>
      <c r="O1823" s="73"/>
      <c r="P1823" s="73"/>
      <c r="Q1823" s="73"/>
      <c r="R1823" s="73"/>
      <c r="S1823" s="73"/>
      <c r="T1823" s="73"/>
      <c r="U1823" s="73"/>
      <c r="V1823" s="73"/>
      <c r="W1823" s="73"/>
      <c r="X1823" s="73"/>
      <c r="Y1823" s="73"/>
      <c r="Z1823" s="73"/>
      <c r="AA1823" s="73"/>
      <c r="AB1823" s="73"/>
    </row>
    <row r="1824">
      <c r="A1824" s="73"/>
      <c r="B1824" s="73">
        <v>385532.8386</v>
      </c>
      <c r="C1824" s="73">
        <v>5.85383838939838E7</v>
      </c>
      <c r="D1824" s="73">
        <v>1.63476334239973E7</v>
      </c>
      <c r="E1824" s="73">
        <v>2789521.02151698</v>
      </c>
      <c r="F1824" s="73"/>
      <c r="G1824" s="73"/>
      <c r="H1824" s="73"/>
      <c r="I1824" s="73"/>
      <c r="J1824" s="73"/>
      <c r="K1824" s="73"/>
      <c r="L1824" s="73"/>
      <c r="M1824" s="73"/>
      <c r="N1824" s="73"/>
      <c r="O1824" s="73"/>
      <c r="P1824" s="73"/>
      <c r="Q1824" s="73"/>
      <c r="R1824" s="73"/>
      <c r="S1824" s="73"/>
      <c r="T1824" s="73"/>
      <c r="U1824" s="73"/>
      <c r="V1824" s="73"/>
      <c r="W1824" s="73"/>
      <c r="X1824" s="73"/>
      <c r="Y1824" s="73"/>
      <c r="Z1824" s="73"/>
      <c r="AA1824" s="73"/>
      <c r="AB1824" s="73"/>
    </row>
    <row r="1825">
      <c r="A1825" s="73"/>
      <c r="B1825" s="73">
        <v>386210.5249</v>
      </c>
      <c r="C1825" s="73">
        <v>5.86258514915543E7</v>
      </c>
      <c r="D1825" s="73">
        <v>1.63824128899982E7</v>
      </c>
      <c r="E1825" s="73">
        <v>2793836.43868575</v>
      </c>
      <c r="F1825" s="73"/>
      <c r="G1825" s="73"/>
      <c r="H1825" s="73"/>
      <c r="I1825" s="73"/>
      <c r="J1825" s="73"/>
      <c r="K1825" s="73"/>
      <c r="L1825" s="73"/>
      <c r="M1825" s="73"/>
      <c r="N1825" s="73"/>
      <c r="O1825" s="73"/>
      <c r="P1825" s="73"/>
      <c r="Q1825" s="73"/>
      <c r="R1825" s="73"/>
      <c r="S1825" s="73"/>
      <c r="T1825" s="73"/>
      <c r="U1825" s="73"/>
      <c r="V1825" s="73"/>
      <c r="W1825" s="73"/>
      <c r="X1825" s="73"/>
      <c r="Y1825" s="73"/>
      <c r="Z1825" s="73"/>
      <c r="AA1825" s="73"/>
      <c r="AB1825" s="73"/>
    </row>
    <row r="1826">
      <c r="A1826" s="73"/>
      <c r="B1826" s="73">
        <v>386889.154</v>
      </c>
      <c r="C1826" s="73">
        <v>5.87134097291222E7</v>
      </c>
      <c r="D1826" s="73">
        <v>1.64172403639991E7</v>
      </c>
      <c r="E1826" s="73">
        <v>2798157.29337079</v>
      </c>
      <c r="F1826" s="73"/>
      <c r="G1826" s="73"/>
      <c r="H1826" s="73"/>
      <c r="I1826" s="73"/>
      <c r="J1826" s="73"/>
      <c r="K1826" s="73"/>
      <c r="L1826" s="73"/>
      <c r="M1826" s="73"/>
      <c r="N1826" s="73"/>
      <c r="O1826" s="73"/>
      <c r="P1826" s="73"/>
      <c r="Q1826" s="73"/>
      <c r="R1826" s="73"/>
      <c r="S1826" s="73"/>
      <c r="T1826" s="73"/>
      <c r="U1826" s="73"/>
      <c r="V1826" s="73"/>
      <c r="W1826" s="73"/>
      <c r="X1826" s="73"/>
      <c r="Y1826" s="73"/>
      <c r="Z1826" s="73"/>
      <c r="AA1826" s="73"/>
      <c r="AB1826" s="73"/>
    </row>
    <row r="1827">
      <c r="A1827" s="73"/>
      <c r="B1827" s="73">
        <v>387568.7333</v>
      </c>
      <c r="C1827" s="73">
        <v>5.8801042126688E7</v>
      </c>
      <c r="D1827" s="73">
        <v>1.6452117088E7</v>
      </c>
      <c r="E1827" s="73">
        <v>2802483.16793504</v>
      </c>
      <c r="F1827" s="73"/>
      <c r="G1827" s="73"/>
      <c r="H1827" s="73"/>
      <c r="I1827" s="73"/>
      <c r="J1827" s="73"/>
      <c r="K1827" s="73"/>
      <c r="L1827" s="73"/>
      <c r="M1827" s="73"/>
      <c r="N1827" s="73"/>
      <c r="O1827" s="73"/>
      <c r="P1827" s="73"/>
      <c r="Q1827" s="73"/>
      <c r="R1827" s="73"/>
      <c r="S1827" s="73"/>
      <c r="T1827" s="73"/>
      <c r="U1827" s="73"/>
      <c r="V1827" s="73"/>
      <c r="W1827" s="73"/>
      <c r="X1827" s="73"/>
      <c r="Y1827" s="73"/>
      <c r="Z1827" s="73"/>
      <c r="AA1827" s="73"/>
      <c r="AB1827" s="73"/>
    </row>
    <row r="1828">
      <c r="A1828" s="73"/>
      <c r="B1828" s="73">
        <v>388249.2454</v>
      </c>
      <c r="C1828" s="73">
        <v>5.88887651642513E7</v>
      </c>
      <c r="D1828" s="73">
        <v>1.64870405600009E7</v>
      </c>
      <c r="E1828" s="73">
        <v>2806814.17312136</v>
      </c>
      <c r="F1828" s="73"/>
      <c r="G1828" s="73"/>
      <c r="H1828" s="73"/>
      <c r="I1828" s="73"/>
      <c r="J1828" s="73"/>
      <c r="K1828" s="73"/>
      <c r="L1828" s="73"/>
      <c r="M1828" s="73"/>
      <c r="N1828" s="73"/>
      <c r="O1828" s="73"/>
      <c r="P1828" s="73"/>
      <c r="Q1828" s="73"/>
      <c r="R1828" s="73"/>
      <c r="S1828" s="73"/>
      <c r="T1828" s="73"/>
      <c r="U1828" s="73"/>
      <c r="V1828" s="73"/>
      <c r="W1828" s="73"/>
      <c r="X1828" s="73"/>
      <c r="Y1828" s="73"/>
      <c r="Z1828" s="73"/>
      <c r="AA1828" s="73"/>
      <c r="AB1828" s="73"/>
    </row>
    <row r="1829">
      <c r="A1829" s="73"/>
      <c r="B1829" s="73">
        <v>388930.7091</v>
      </c>
      <c r="C1829" s="73">
        <v>5.89765623618126E7</v>
      </c>
      <c r="D1829" s="73">
        <v>1.65220132620018E7</v>
      </c>
      <c r="E1829" s="73">
        <v>2811150.46754819</v>
      </c>
      <c r="F1829" s="73"/>
      <c r="G1829" s="73"/>
      <c r="H1829" s="73"/>
      <c r="I1829" s="73"/>
      <c r="J1829" s="73"/>
      <c r="K1829" s="73"/>
      <c r="L1829" s="73"/>
      <c r="M1829" s="73"/>
      <c r="N1829" s="73"/>
      <c r="O1829" s="73"/>
      <c r="P1829" s="73"/>
      <c r="Q1829" s="73"/>
      <c r="R1829" s="73"/>
      <c r="S1829" s="73"/>
      <c r="T1829" s="73"/>
      <c r="U1829" s="73"/>
      <c r="V1829" s="73"/>
      <c r="W1829" s="73"/>
      <c r="X1829" s="73"/>
      <c r="Y1829" s="73"/>
      <c r="Z1829" s="73"/>
      <c r="AA1829" s="73"/>
      <c r="AB1829" s="73"/>
    </row>
    <row r="1830">
      <c r="A1830" s="73"/>
      <c r="B1830" s="73">
        <v>389613.1157</v>
      </c>
      <c r="C1830" s="73">
        <v>5.90644501993713E7</v>
      </c>
      <c r="D1830" s="73">
        <v>1.65570339919951E7</v>
      </c>
      <c r="E1830" s="73">
        <v>2815492.15147558</v>
      </c>
      <c r="F1830" s="73"/>
      <c r="G1830" s="73"/>
      <c r="H1830" s="73"/>
      <c r="I1830" s="73"/>
      <c r="J1830" s="73"/>
      <c r="K1830" s="73"/>
      <c r="L1830" s="73"/>
      <c r="M1830" s="73"/>
      <c r="N1830" s="73"/>
      <c r="O1830" s="73"/>
      <c r="P1830" s="73"/>
      <c r="Q1830" s="73"/>
      <c r="R1830" s="73"/>
      <c r="S1830" s="73"/>
      <c r="T1830" s="73"/>
      <c r="U1830" s="73"/>
      <c r="V1830" s="73"/>
      <c r="W1830" s="73"/>
      <c r="X1830" s="73"/>
      <c r="Y1830" s="73"/>
      <c r="Z1830" s="73"/>
      <c r="AA1830" s="73"/>
      <c r="AB1830" s="73"/>
    </row>
    <row r="1831">
      <c r="A1831" s="73"/>
      <c r="B1831" s="73">
        <v>390296.4651</v>
      </c>
      <c r="C1831" s="73">
        <v>5.9152412196928E7</v>
      </c>
      <c r="D1831" s="73">
        <v>1.6592102711996E7</v>
      </c>
      <c r="E1831" s="73">
        <v>2819838.82286812</v>
      </c>
      <c r="F1831" s="73"/>
      <c r="G1831" s="73"/>
      <c r="H1831" s="73"/>
      <c r="I1831" s="73"/>
      <c r="J1831" s="73"/>
      <c r="K1831" s="73"/>
      <c r="L1831" s="73"/>
      <c r="M1831" s="73"/>
      <c r="N1831" s="73"/>
      <c r="O1831" s="73"/>
      <c r="P1831" s="73"/>
      <c r="Q1831" s="73"/>
      <c r="R1831" s="73"/>
      <c r="S1831" s="73"/>
      <c r="T1831" s="73"/>
      <c r="U1831" s="73"/>
      <c r="V1831" s="73"/>
      <c r="W1831" s="73"/>
      <c r="X1831" s="73"/>
      <c r="Y1831" s="73"/>
      <c r="Z1831" s="73"/>
      <c r="AA1831" s="73"/>
      <c r="AB1831" s="73"/>
    </row>
    <row r="1832">
      <c r="A1832" s="73"/>
      <c r="B1832" s="73">
        <v>390980.7661</v>
      </c>
      <c r="C1832" s="73">
        <v>5.92404565944824E7</v>
      </c>
      <c r="D1832" s="73">
        <v>1.66272194199969E7</v>
      </c>
      <c r="E1832" s="73">
        <v>2824190.89406103</v>
      </c>
      <c r="F1832" s="73"/>
      <c r="G1832" s="73"/>
      <c r="H1832" s="73"/>
      <c r="I1832" s="73"/>
      <c r="J1832" s="73"/>
      <c r="K1832" s="73"/>
      <c r="L1832" s="73"/>
      <c r="M1832" s="73"/>
      <c r="N1832" s="73"/>
      <c r="O1832" s="73"/>
      <c r="P1832" s="73"/>
      <c r="Q1832" s="73"/>
      <c r="R1832" s="73"/>
      <c r="S1832" s="73"/>
      <c r="T1832" s="73"/>
      <c r="U1832" s="73"/>
      <c r="V1832" s="73"/>
      <c r="W1832" s="73"/>
      <c r="X1832" s="73"/>
      <c r="Y1832" s="73"/>
      <c r="Z1832" s="73"/>
      <c r="AA1832" s="73"/>
      <c r="AB1832" s="73"/>
    </row>
    <row r="1833">
      <c r="A1833" s="73"/>
      <c r="B1833" s="73">
        <v>391666.01</v>
      </c>
      <c r="C1833" s="73">
        <v>5.93285916320343E7</v>
      </c>
      <c r="D1833" s="73">
        <v>1.66623853959979E7</v>
      </c>
      <c r="E1833" s="73">
        <v>2828547.96928676</v>
      </c>
      <c r="F1833" s="73"/>
      <c r="G1833" s="73"/>
      <c r="H1833" s="73"/>
      <c r="I1833" s="73"/>
      <c r="J1833" s="73"/>
      <c r="K1833" s="73"/>
      <c r="L1833" s="73"/>
      <c r="M1833" s="73"/>
      <c r="N1833" s="73"/>
      <c r="O1833" s="73"/>
      <c r="P1833" s="73"/>
      <c r="Q1833" s="73"/>
      <c r="R1833" s="73"/>
      <c r="S1833" s="73"/>
      <c r="T1833" s="73"/>
      <c r="U1833" s="73"/>
      <c r="V1833" s="73"/>
      <c r="W1833" s="73"/>
      <c r="X1833" s="73"/>
      <c r="Y1833" s="73"/>
      <c r="Z1833" s="73"/>
      <c r="AA1833" s="73"/>
      <c r="AB1833" s="73"/>
    </row>
    <row r="1834">
      <c r="A1834" s="73"/>
      <c r="B1834" s="73">
        <v>392352.1868</v>
      </c>
      <c r="C1834" s="73">
        <v>5.94168090695839E7</v>
      </c>
      <c r="D1834" s="73">
        <v>1.66975993819988E7</v>
      </c>
      <c r="E1834" s="73">
        <v>2832910.55188628</v>
      </c>
      <c r="F1834" s="73"/>
      <c r="G1834" s="73"/>
      <c r="H1834" s="73"/>
      <c r="I1834" s="73"/>
      <c r="J1834" s="73"/>
      <c r="K1834" s="73"/>
      <c r="L1834" s="73"/>
      <c r="M1834" s="73"/>
      <c r="N1834" s="73"/>
      <c r="O1834" s="73"/>
      <c r="P1834" s="73"/>
      <c r="Q1834" s="73"/>
      <c r="R1834" s="73"/>
      <c r="S1834" s="73"/>
      <c r="T1834" s="73"/>
      <c r="U1834" s="73"/>
      <c r="V1834" s="73"/>
      <c r="W1834" s="73"/>
      <c r="X1834" s="73"/>
      <c r="Y1834" s="73"/>
      <c r="Z1834" s="73"/>
      <c r="AA1834" s="73"/>
      <c r="AB1834" s="73"/>
    </row>
    <row r="1835">
      <c r="A1835" s="73"/>
      <c r="B1835" s="73">
        <v>393039.3164</v>
      </c>
      <c r="C1835" s="73">
        <v>5.95051089071312E7</v>
      </c>
      <c r="D1835" s="73">
        <v>1.67328613559997E7</v>
      </c>
      <c r="E1835" s="73">
        <v>2837278.3952854</v>
      </c>
      <c r="F1835" s="73"/>
      <c r="G1835" s="73"/>
      <c r="H1835" s="73"/>
      <c r="I1835" s="73"/>
      <c r="J1835" s="73"/>
      <c r="K1835" s="73"/>
      <c r="L1835" s="73"/>
      <c r="M1835" s="73"/>
      <c r="N1835" s="73"/>
      <c r="O1835" s="73"/>
      <c r="P1835" s="73"/>
      <c r="Q1835" s="73"/>
      <c r="R1835" s="73"/>
      <c r="S1835" s="73"/>
      <c r="T1835" s="73"/>
      <c r="U1835" s="73"/>
      <c r="V1835" s="73"/>
      <c r="W1835" s="73"/>
      <c r="X1835" s="73"/>
      <c r="Y1835" s="73"/>
      <c r="Z1835" s="73"/>
      <c r="AA1835" s="73"/>
      <c r="AB1835" s="73"/>
    </row>
    <row r="1836">
      <c r="A1836" s="73"/>
      <c r="B1836" s="73">
        <v>393727.389</v>
      </c>
      <c r="C1836" s="73">
        <v>5.95934829046764E7</v>
      </c>
      <c r="D1836" s="73">
        <v>1.67681713200006E7</v>
      </c>
      <c r="E1836" s="73">
        <v>2841651.4357015</v>
      </c>
      <c r="F1836" s="73"/>
      <c r="G1836" s="73"/>
      <c r="H1836" s="73"/>
      <c r="I1836" s="73"/>
      <c r="J1836" s="73"/>
      <c r="K1836" s="73"/>
      <c r="L1836" s="73"/>
      <c r="M1836" s="73"/>
      <c r="N1836" s="73"/>
      <c r="O1836" s="73"/>
      <c r="P1836" s="73"/>
      <c r="Q1836" s="73"/>
      <c r="R1836" s="73"/>
      <c r="S1836" s="73"/>
      <c r="T1836" s="73"/>
      <c r="U1836" s="73"/>
      <c r="V1836" s="73"/>
      <c r="W1836" s="73"/>
      <c r="X1836" s="73"/>
      <c r="Y1836" s="73"/>
      <c r="Z1836" s="73"/>
      <c r="AA1836" s="73"/>
      <c r="AB1836" s="73"/>
    </row>
    <row r="1837">
      <c r="A1837" s="73"/>
      <c r="B1837" s="73">
        <v>394416.4159</v>
      </c>
      <c r="C1837" s="73">
        <v>5.96819475422192E7</v>
      </c>
      <c r="D1837" s="73">
        <v>1.68035318340015E7</v>
      </c>
      <c r="E1837" s="73">
        <v>2846029.83680978</v>
      </c>
      <c r="F1837" s="73"/>
      <c r="G1837" s="73"/>
      <c r="H1837" s="73"/>
      <c r="I1837" s="73"/>
      <c r="J1837" s="73"/>
      <c r="K1837" s="73"/>
      <c r="L1837" s="73"/>
      <c r="M1837" s="73"/>
      <c r="N1837" s="73"/>
      <c r="O1837" s="73"/>
      <c r="P1837" s="73"/>
      <c r="Q1837" s="73"/>
      <c r="R1837" s="73"/>
      <c r="S1837" s="73"/>
      <c r="T1837" s="73"/>
      <c r="U1837" s="73"/>
      <c r="V1837" s="73"/>
      <c r="W1837" s="73"/>
      <c r="X1837" s="73"/>
      <c r="Y1837" s="73"/>
      <c r="Z1837" s="73"/>
      <c r="AA1837" s="73"/>
      <c r="AB1837" s="73"/>
    </row>
    <row r="1838">
      <c r="A1838" s="73"/>
      <c r="B1838" s="73">
        <v>395106.3858</v>
      </c>
      <c r="C1838" s="73">
        <v>5.97705028197594E7</v>
      </c>
      <c r="D1838" s="73">
        <v>1.68389390739948E7</v>
      </c>
      <c r="E1838" s="73">
        <v>2850413.52450007</v>
      </c>
      <c r="F1838" s="73"/>
      <c r="G1838" s="73"/>
      <c r="H1838" s="73"/>
      <c r="I1838" s="73"/>
      <c r="J1838" s="73"/>
      <c r="K1838" s="73"/>
      <c r="L1838" s="73"/>
      <c r="M1838" s="73"/>
      <c r="N1838" s="73"/>
      <c r="O1838" s="73"/>
      <c r="P1838" s="73"/>
      <c r="Q1838" s="73"/>
      <c r="R1838" s="73"/>
      <c r="S1838" s="73"/>
      <c r="T1838" s="73"/>
      <c r="U1838" s="73"/>
      <c r="V1838" s="73"/>
      <c r="W1838" s="73"/>
      <c r="X1838" s="73"/>
      <c r="Y1838" s="73"/>
      <c r="Z1838" s="73"/>
      <c r="AA1838" s="73"/>
      <c r="AB1838" s="73"/>
    </row>
    <row r="1839">
      <c r="A1839" s="73"/>
      <c r="B1839" s="73">
        <v>395797.2999</v>
      </c>
      <c r="C1839" s="73">
        <v>5.98591322572975E7</v>
      </c>
      <c r="D1839" s="73">
        <v>1.68743956039957E7</v>
      </c>
      <c r="E1839" s="73">
        <v>2854802.59397901</v>
      </c>
      <c r="F1839" s="73"/>
      <c r="G1839" s="73"/>
      <c r="H1839" s="73"/>
      <c r="I1839" s="73"/>
      <c r="J1839" s="73"/>
      <c r="K1839" s="73"/>
      <c r="L1839" s="73"/>
      <c r="M1839" s="73"/>
      <c r="N1839" s="73"/>
      <c r="O1839" s="73"/>
      <c r="P1839" s="73"/>
      <c r="Q1839" s="73"/>
      <c r="R1839" s="73"/>
      <c r="S1839" s="73"/>
      <c r="T1839" s="73"/>
      <c r="U1839" s="73"/>
      <c r="V1839" s="73"/>
      <c r="W1839" s="73"/>
      <c r="X1839" s="73"/>
      <c r="Y1839" s="73"/>
      <c r="Z1839" s="73"/>
      <c r="AA1839" s="73"/>
      <c r="AB1839" s="73"/>
    </row>
    <row r="1840">
      <c r="A1840" s="73"/>
      <c r="B1840" s="73">
        <v>396489.1569</v>
      </c>
      <c r="C1840" s="73">
        <v>5.99478358548336E7</v>
      </c>
      <c r="D1840" s="73">
        <v>1.69099001039966E7</v>
      </c>
      <c r="E1840" s="73">
        <v>2859196.79802396</v>
      </c>
      <c r="F1840" s="73"/>
      <c r="G1840" s="73"/>
      <c r="H1840" s="73"/>
      <c r="I1840" s="73"/>
      <c r="J1840" s="73"/>
      <c r="K1840" s="73"/>
      <c r="L1840" s="73"/>
      <c r="M1840" s="73"/>
      <c r="N1840" s="73"/>
      <c r="O1840" s="73"/>
      <c r="P1840" s="73"/>
      <c r="Q1840" s="73"/>
      <c r="R1840" s="73"/>
      <c r="S1840" s="73"/>
      <c r="T1840" s="73"/>
      <c r="U1840" s="73"/>
      <c r="V1840" s="73"/>
      <c r="W1840" s="73"/>
      <c r="X1840" s="73"/>
      <c r="Y1840" s="73"/>
      <c r="Z1840" s="73"/>
      <c r="AA1840" s="73"/>
      <c r="AB1840" s="73"/>
    </row>
    <row r="1841">
      <c r="A1841" s="73"/>
      <c r="B1841" s="73">
        <v>397181.9583</v>
      </c>
      <c r="C1841" s="73">
        <v>6.00366383323669E7</v>
      </c>
      <c r="D1841" s="73">
        <v>1.69454538919976E7</v>
      </c>
      <c r="E1841" s="73">
        <v>2863596.48260112</v>
      </c>
      <c r="F1841" s="73"/>
      <c r="G1841" s="73"/>
      <c r="H1841" s="73"/>
      <c r="I1841" s="73"/>
      <c r="J1841" s="73"/>
      <c r="K1841" s="73"/>
      <c r="L1841" s="73"/>
      <c r="M1841" s="73"/>
      <c r="N1841" s="73"/>
      <c r="O1841" s="73"/>
      <c r="P1841" s="73"/>
      <c r="Q1841" s="73"/>
      <c r="R1841" s="73"/>
      <c r="S1841" s="73"/>
      <c r="T1841" s="73"/>
      <c r="U1841" s="73"/>
      <c r="V1841" s="73"/>
      <c r="W1841" s="73"/>
      <c r="X1841" s="73"/>
      <c r="Y1841" s="73"/>
      <c r="Z1841" s="73"/>
      <c r="AA1841" s="73"/>
      <c r="AB1841" s="73"/>
    </row>
    <row r="1842">
      <c r="A1842" s="73"/>
      <c r="B1842" s="73">
        <v>397875.7025</v>
      </c>
      <c r="C1842" s="73">
        <v>6.01255149698982E7</v>
      </c>
      <c r="D1842" s="73">
        <v>1.69810556679985E7</v>
      </c>
      <c r="E1842" s="73">
        <v>2868001.40337924</v>
      </c>
      <c r="F1842" s="73"/>
      <c r="G1842" s="73"/>
      <c r="H1842" s="73"/>
      <c r="I1842" s="73"/>
      <c r="J1842" s="73"/>
      <c r="K1842" s="73"/>
      <c r="L1842" s="73"/>
      <c r="M1842" s="73"/>
      <c r="N1842" s="73"/>
      <c r="O1842" s="73"/>
      <c r="P1842" s="73"/>
      <c r="Q1842" s="73"/>
      <c r="R1842" s="73"/>
      <c r="S1842" s="73"/>
      <c r="T1842" s="73"/>
      <c r="U1842" s="73"/>
      <c r="V1842" s="73"/>
      <c r="W1842" s="73"/>
      <c r="X1842" s="73"/>
      <c r="Y1842" s="73"/>
      <c r="Z1842" s="73"/>
      <c r="AA1842" s="73"/>
      <c r="AB1842" s="73"/>
    </row>
    <row r="1843">
      <c r="A1843" s="73"/>
      <c r="B1843" s="73">
        <v>398570.4025</v>
      </c>
      <c r="C1843" s="73">
        <v>6.0214482247427E7</v>
      </c>
      <c r="D1843" s="73">
        <v>1.70167054339994E7</v>
      </c>
      <c r="E1843" s="73">
        <v>2872411.64530325</v>
      </c>
      <c r="F1843" s="73"/>
      <c r="G1843" s="73"/>
      <c r="H1843" s="73"/>
      <c r="I1843" s="73"/>
      <c r="J1843" s="73"/>
      <c r="K1843" s="73"/>
      <c r="L1843" s="73"/>
      <c r="M1843" s="73"/>
      <c r="N1843" s="73"/>
      <c r="O1843" s="73"/>
      <c r="P1843" s="73"/>
      <c r="Q1843" s="73"/>
      <c r="R1843" s="73"/>
      <c r="S1843" s="73"/>
      <c r="T1843" s="73"/>
      <c r="U1843" s="73"/>
      <c r="V1843" s="73"/>
      <c r="W1843" s="73"/>
      <c r="X1843" s="73"/>
      <c r="Y1843" s="73"/>
      <c r="Z1843" s="73"/>
      <c r="AA1843" s="73"/>
      <c r="AB1843" s="73"/>
    </row>
    <row r="1844">
      <c r="A1844" s="73"/>
      <c r="B1844" s="73">
        <v>399266.0468</v>
      </c>
      <c r="C1844" s="73">
        <v>6.03035236849537E7</v>
      </c>
      <c r="D1844" s="73">
        <v>1.70524057500003E7</v>
      </c>
      <c r="E1844" s="73">
        <v>2876827.3094284</v>
      </c>
      <c r="F1844" s="73"/>
      <c r="G1844" s="73"/>
      <c r="H1844" s="73"/>
      <c r="I1844" s="73"/>
      <c r="J1844" s="73"/>
      <c r="K1844" s="73"/>
      <c r="L1844" s="73"/>
      <c r="M1844" s="73"/>
      <c r="N1844" s="73"/>
      <c r="O1844" s="73"/>
      <c r="P1844" s="73"/>
      <c r="Q1844" s="73"/>
      <c r="R1844" s="73"/>
      <c r="S1844" s="73"/>
      <c r="T1844" s="73"/>
      <c r="U1844" s="73"/>
      <c r="V1844" s="73"/>
      <c r="W1844" s="73"/>
      <c r="X1844" s="73"/>
      <c r="Y1844" s="73"/>
      <c r="Z1844" s="73"/>
      <c r="AA1844" s="73"/>
      <c r="AB1844" s="73"/>
    </row>
    <row r="1845">
      <c r="A1845" s="73"/>
      <c r="B1845" s="73">
        <v>399962.6453</v>
      </c>
      <c r="C1845" s="73">
        <v>6.03926475224781E7</v>
      </c>
      <c r="D1845" s="73">
        <v>1.70881528120012E7</v>
      </c>
      <c r="E1845" s="73">
        <v>2881248.39241818</v>
      </c>
      <c r="F1845" s="73"/>
      <c r="G1845" s="73"/>
      <c r="H1845" s="73"/>
      <c r="I1845" s="73"/>
      <c r="J1845" s="73"/>
      <c r="K1845" s="73"/>
      <c r="L1845" s="73"/>
      <c r="M1845" s="73"/>
      <c r="N1845" s="73"/>
      <c r="O1845" s="73"/>
      <c r="P1845" s="73"/>
      <c r="Q1845" s="73"/>
      <c r="R1845" s="73"/>
      <c r="S1845" s="73"/>
      <c r="T1845" s="73"/>
      <c r="U1845" s="73"/>
      <c r="V1845" s="73"/>
      <c r="W1845" s="73"/>
      <c r="X1845" s="73"/>
      <c r="Y1845" s="73"/>
      <c r="Z1845" s="73"/>
      <c r="AA1845" s="73"/>
      <c r="AB1845" s="73"/>
    </row>
    <row r="1846">
      <c r="A1846" s="73"/>
      <c r="B1846" s="73">
        <v>400660.1783</v>
      </c>
      <c r="C1846" s="73">
        <v>6.0481862E7</v>
      </c>
      <c r="D1846" s="73">
        <v>1.71239504240021E7</v>
      </c>
      <c r="E1846" s="73">
        <v>2885674.56467554</v>
      </c>
      <c r="F1846" s="73"/>
      <c r="G1846" s="73"/>
      <c r="H1846" s="73"/>
      <c r="I1846" s="73"/>
      <c r="J1846" s="73"/>
      <c r="K1846" s="73"/>
      <c r="L1846" s="73"/>
      <c r="M1846" s="73"/>
      <c r="N1846" s="73"/>
      <c r="O1846" s="73"/>
      <c r="P1846" s="73"/>
      <c r="Q1846" s="73"/>
      <c r="R1846" s="73"/>
      <c r="S1846" s="73"/>
      <c r="T1846" s="73"/>
      <c r="U1846" s="73"/>
      <c r="V1846" s="73"/>
      <c r="W1846" s="73"/>
      <c r="X1846" s="73"/>
      <c r="Y1846" s="73"/>
      <c r="Z1846" s="73"/>
      <c r="AA1846" s="73"/>
      <c r="AB1846" s="73"/>
    </row>
    <row r="1847">
      <c r="A1847" s="73"/>
      <c r="B1847" s="73">
        <v>401358.6669</v>
      </c>
      <c r="C1847" s="73">
        <v>6.05711588775196E7</v>
      </c>
      <c r="D1847" s="73">
        <v>1.71597960059954E7</v>
      </c>
      <c r="E1847" s="73">
        <v>2890106.34434751</v>
      </c>
      <c r="F1847" s="73"/>
      <c r="G1847" s="73"/>
      <c r="H1847" s="73"/>
      <c r="I1847" s="73"/>
      <c r="J1847" s="73"/>
      <c r="K1847" s="73"/>
      <c r="L1847" s="73"/>
      <c r="M1847" s="73"/>
      <c r="N1847" s="73"/>
      <c r="O1847" s="73"/>
      <c r="P1847" s="73"/>
      <c r="Q1847" s="73"/>
      <c r="R1847" s="73"/>
      <c r="S1847" s="73"/>
      <c r="T1847" s="73"/>
      <c r="U1847" s="73"/>
      <c r="V1847" s="73"/>
      <c r="W1847" s="73"/>
      <c r="X1847" s="73"/>
      <c r="Y1847" s="73"/>
      <c r="Z1847" s="73"/>
      <c r="AA1847" s="73"/>
      <c r="AB1847" s="73"/>
    </row>
    <row r="1848">
      <c r="A1848" s="73"/>
      <c r="B1848" s="73">
        <v>402058.0998</v>
      </c>
      <c r="C1848" s="73">
        <v>6.06605381550369E7</v>
      </c>
      <c r="D1848" s="73">
        <v>1.71956908759963E7</v>
      </c>
      <c r="E1848" s="73">
        <v>2894543.31700972</v>
      </c>
      <c r="F1848" s="73"/>
      <c r="G1848" s="73"/>
      <c r="H1848" s="73"/>
      <c r="I1848" s="73"/>
      <c r="J1848" s="73"/>
      <c r="K1848" s="73"/>
      <c r="L1848" s="73"/>
      <c r="M1848" s="73"/>
      <c r="N1848" s="73"/>
      <c r="O1848" s="73"/>
      <c r="P1848" s="73"/>
      <c r="Q1848" s="73"/>
      <c r="R1848" s="73"/>
      <c r="S1848" s="73"/>
      <c r="T1848" s="73"/>
      <c r="U1848" s="73"/>
      <c r="V1848" s="73"/>
      <c r="W1848" s="73"/>
      <c r="X1848" s="73"/>
      <c r="Y1848" s="73"/>
      <c r="Z1848" s="73"/>
      <c r="AA1848" s="73"/>
      <c r="AB1848" s="73"/>
    </row>
    <row r="1849">
      <c r="A1849" s="73"/>
      <c r="B1849" s="73">
        <v>402758.4785</v>
      </c>
      <c r="C1849" s="73">
        <v>6.0749999832552E7</v>
      </c>
      <c r="D1849" s="73">
        <v>1.72316337539973E7</v>
      </c>
      <c r="E1849" s="73">
        <v>2898985.98074785</v>
      </c>
      <c r="F1849" s="73"/>
      <c r="G1849" s="73"/>
      <c r="H1849" s="73"/>
      <c r="I1849" s="73"/>
      <c r="J1849" s="73"/>
      <c r="K1849" s="73"/>
      <c r="L1849" s="73"/>
      <c r="M1849" s="73"/>
      <c r="N1849" s="73"/>
      <c r="O1849" s="73"/>
      <c r="P1849" s="73"/>
      <c r="Q1849" s="73"/>
      <c r="R1849" s="73"/>
      <c r="S1849" s="73"/>
      <c r="T1849" s="73"/>
      <c r="U1849" s="73"/>
      <c r="V1849" s="73"/>
      <c r="W1849" s="73"/>
      <c r="X1849" s="73"/>
      <c r="Y1849" s="73"/>
      <c r="Z1849" s="73"/>
      <c r="AA1849" s="73"/>
      <c r="AB1849" s="73"/>
    </row>
    <row r="1850">
      <c r="A1850" s="73"/>
      <c r="B1850" s="73">
        <v>403459.8114</v>
      </c>
      <c r="C1850" s="73">
        <v>6.08395439100647E7</v>
      </c>
      <c r="D1850" s="73">
        <v>1.72676259019982E7</v>
      </c>
      <c r="E1850" s="73">
        <v>2903433.77122622</v>
      </c>
      <c r="F1850" s="73"/>
      <c r="G1850" s="73"/>
      <c r="H1850" s="73"/>
      <c r="I1850" s="73"/>
      <c r="J1850" s="73"/>
      <c r="K1850" s="73"/>
      <c r="L1850" s="73"/>
      <c r="M1850" s="73"/>
      <c r="N1850" s="73"/>
      <c r="O1850" s="73"/>
      <c r="P1850" s="73"/>
      <c r="Q1850" s="73"/>
      <c r="R1850" s="73"/>
      <c r="S1850" s="73"/>
      <c r="T1850" s="73"/>
      <c r="U1850" s="73"/>
      <c r="V1850" s="73"/>
      <c r="W1850" s="73"/>
      <c r="X1850" s="73"/>
      <c r="Y1850" s="73"/>
      <c r="Z1850" s="73"/>
      <c r="AA1850" s="73"/>
      <c r="AB1850" s="73"/>
    </row>
    <row r="1851">
      <c r="A1851" s="73"/>
      <c r="B1851" s="73">
        <v>404162.0915</v>
      </c>
      <c r="C1851" s="73">
        <v>6.09291703875752E7</v>
      </c>
      <c r="D1851" s="73">
        <v>1.73036660579991E7</v>
      </c>
      <c r="E1851" s="73">
        <v>2907887.0301532</v>
      </c>
      <c r="F1851" s="73"/>
      <c r="G1851" s="73"/>
      <c r="H1851" s="73"/>
      <c r="I1851" s="73"/>
      <c r="J1851" s="73"/>
      <c r="K1851" s="73"/>
      <c r="L1851" s="73"/>
      <c r="M1851" s="73"/>
      <c r="N1851" s="73"/>
      <c r="O1851" s="73"/>
      <c r="P1851" s="73"/>
      <c r="Q1851" s="73"/>
      <c r="R1851" s="73"/>
      <c r="S1851" s="73"/>
      <c r="T1851" s="73"/>
      <c r="U1851" s="73"/>
      <c r="V1851" s="73"/>
      <c r="W1851" s="73"/>
      <c r="X1851" s="73"/>
      <c r="Y1851" s="73"/>
      <c r="Z1851" s="73"/>
      <c r="AA1851" s="73"/>
      <c r="AB1851" s="73"/>
    </row>
    <row r="1852">
      <c r="A1852" s="73"/>
      <c r="B1852" s="73">
        <v>404865.3159</v>
      </c>
      <c r="C1852" s="73">
        <v>6.10188792650833E7</v>
      </c>
      <c r="D1852" s="73">
        <v>1.7339755482E7</v>
      </c>
      <c r="E1852" s="73">
        <v>2912345.66180086</v>
      </c>
      <c r="F1852" s="73"/>
      <c r="G1852" s="73"/>
      <c r="H1852" s="73"/>
      <c r="I1852" s="73"/>
      <c r="J1852" s="73"/>
      <c r="K1852" s="73"/>
      <c r="L1852" s="73"/>
      <c r="M1852" s="73"/>
      <c r="N1852" s="73"/>
      <c r="O1852" s="73"/>
      <c r="P1852" s="73"/>
      <c r="Q1852" s="73"/>
      <c r="R1852" s="73"/>
      <c r="S1852" s="73"/>
      <c r="T1852" s="73"/>
      <c r="U1852" s="73"/>
      <c r="V1852" s="73"/>
      <c r="W1852" s="73"/>
      <c r="X1852" s="73"/>
      <c r="Y1852" s="73"/>
      <c r="Z1852" s="73"/>
      <c r="AA1852" s="73"/>
      <c r="AB1852" s="73"/>
    </row>
    <row r="1853">
      <c r="A1853" s="73"/>
      <c r="B1853" s="73">
        <v>405569.4961</v>
      </c>
      <c r="C1853" s="73">
        <v>6.1108678782589E7</v>
      </c>
      <c r="D1853" s="73">
        <v>1.73758954560009E7</v>
      </c>
      <c r="E1853" s="73">
        <v>2916809.77320103</v>
      </c>
      <c r="F1853" s="73"/>
      <c r="G1853" s="73"/>
      <c r="H1853" s="73"/>
      <c r="I1853" s="73"/>
      <c r="J1853" s="73"/>
      <c r="K1853" s="73"/>
      <c r="L1853" s="73"/>
      <c r="M1853" s="73"/>
      <c r="N1853" s="73"/>
      <c r="O1853" s="73"/>
      <c r="P1853" s="73"/>
      <c r="Q1853" s="73"/>
      <c r="R1853" s="73"/>
      <c r="S1853" s="73"/>
      <c r="T1853" s="73"/>
      <c r="U1853" s="73"/>
      <c r="V1853" s="73"/>
      <c r="W1853" s="73"/>
      <c r="X1853" s="73"/>
      <c r="Y1853" s="73"/>
      <c r="Z1853" s="73"/>
      <c r="AA1853" s="73"/>
      <c r="AB1853" s="73"/>
    </row>
    <row r="1854">
      <c r="A1854" s="73"/>
      <c r="B1854" s="73">
        <v>406274.6133</v>
      </c>
      <c r="C1854" s="73">
        <v>6.11985607000923E7</v>
      </c>
      <c r="D1854" s="73">
        <v>1.74120821580018E7</v>
      </c>
      <c r="E1854" s="73">
        <v>2921279.35330157</v>
      </c>
      <c r="F1854" s="73"/>
      <c r="G1854" s="73"/>
      <c r="H1854" s="73"/>
      <c r="I1854" s="73"/>
      <c r="J1854" s="73"/>
      <c r="K1854" s="73"/>
      <c r="L1854" s="73"/>
      <c r="M1854" s="73"/>
      <c r="N1854" s="73"/>
      <c r="O1854" s="73"/>
      <c r="P1854" s="73"/>
      <c r="Q1854" s="73"/>
      <c r="R1854" s="73"/>
      <c r="S1854" s="73"/>
      <c r="T1854" s="73"/>
      <c r="U1854" s="73"/>
      <c r="V1854" s="73"/>
      <c r="W1854" s="73"/>
      <c r="X1854" s="73"/>
      <c r="Y1854" s="73"/>
      <c r="Z1854" s="73"/>
      <c r="AA1854" s="73"/>
      <c r="AB1854" s="73"/>
    </row>
    <row r="1855">
      <c r="A1855" s="73"/>
      <c r="B1855" s="73">
        <v>406980.6849</v>
      </c>
      <c r="C1855" s="73">
        <v>6.12885250175934E7</v>
      </c>
      <c r="D1855" s="73">
        <v>1.74483194099951E7</v>
      </c>
      <c r="E1855" s="73">
        <v>2925754.26798432</v>
      </c>
      <c r="F1855" s="73"/>
      <c r="G1855" s="73"/>
      <c r="H1855" s="73"/>
      <c r="I1855" s="73"/>
      <c r="J1855" s="73"/>
      <c r="K1855" s="73"/>
      <c r="L1855" s="73"/>
      <c r="M1855" s="73"/>
      <c r="N1855" s="73"/>
      <c r="O1855" s="73"/>
      <c r="P1855" s="73"/>
      <c r="Q1855" s="73"/>
      <c r="R1855" s="73"/>
      <c r="S1855" s="73"/>
      <c r="T1855" s="73"/>
      <c r="U1855" s="73"/>
      <c r="V1855" s="73"/>
      <c r="W1855" s="73"/>
      <c r="X1855" s="73"/>
      <c r="Y1855" s="73"/>
      <c r="Z1855" s="73"/>
      <c r="AA1855" s="73"/>
      <c r="AB1855" s="73"/>
    </row>
    <row r="1856">
      <c r="A1856" s="73"/>
      <c r="B1856" s="73">
        <v>407687.7136</v>
      </c>
      <c r="C1856" s="73">
        <v>6.13785634950924E7</v>
      </c>
      <c r="D1856" s="73">
        <v>1.7484605929996E7</v>
      </c>
      <c r="E1856" s="73">
        <v>2930234.65244068</v>
      </c>
      <c r="F1856" s="73"/>
      <c r="G1856" s="73"/>
      <c r="H1856" s="73"/>
      <c r="I1856" s="73"/>
      <c r="J1856" s="73"/>
      <c r="K1856" s="73"/>
      <c r="L1856" s="73"/>
      <c r="M1856" s="73"/>
      <c r="N1856" s="73"/>
      <c r="O1856" s="73"/>
      <c r="P1856" s="73"/>
      <c r="Q1856" s="73"/>
      <c r="R1856" s="73"/>
      <c r="S1856" s="73"/>
      <c r="T1856" s="73"/>
      <c r="U1856" s="73"/>
      <c r="V1856" s="73"/>
      <c r="W1856" s="73"/>
      <c r="X1856" s="73"/>
      <c r="Y1856" s="73"/>
      <c r="Z1856" s="73"/>
      <c r="AA1856" s="73"/>
      <c r="AB1856" s="73"/>
    </row>
    <row r="1857">
      <c r="A1857" s="73"/>
      <c r="B1857" s="73">
        <v>408395.678</v>
      </c>
      <c r="C1857" s="73">
        <v>6.14687008525887E7</v>
      </c>
      <c r="D1857" s="73">
        <v>1.75209404579969E7</v>
      </c>
      <c r="E1857" s="73">
        <v>2934720.38216207</v>
      </c>
      <c r="F1857" s="73"/>
      <c r="G1857" s="73"/>
      <c r="H1857" s="73"/>
      <c r="I1857" s="73"/>
      <c r="J1857" s="73"/>
      <c r="K1857" s="73"/>
      <c r="L1857" s="73"/>
      <c r="M1857" s="73"/>
      <c r="N1857" s="73"/>
      <c r="O1857" s="73"/>
      <c r="P1857" s="73"/>
      <c r="Q1857" s="73"/>
      <c r="R1857" s="73"/>
      <c r="S1857" s="73"/>
      <c r="T1857" s="73"/>
      <c r="U1857" s="73"/>
      <c r="V1857" s="73"/>
      <c r="W1857" s="73"/>
      <c r="X1857" s="73"/>
      <c r="Y1857" s="73"/>
      <c r="Z1857" s="73"/>
      <c r="AA1857" s="73"/>
      <c r="AB1857" s="73"/>
    </row>
    <row r="1858">
      <c r="A1858" s="73"/>
      <c r="B1858" s="73">
        <v>409104.5995</v>
      </c>
      <c r="C1858" s="73">
        <v>6.15589123700829E7</v>
      </c>
      <c r="D1858" s="73">
        <v>1.75573242559979E7</v>
      </c>
      <c r="E1858" s="73">
        <v>2939211.68687365</v>
      </c>
      <c r="F1858" s="73"/>
      <c r="G1858" s="73"/>
      <c r="H1858" s="73"/>
      <c r="I1858" s="73"/>
      <c r="J1858" s="73"/>
      <c r="K1858" s="73"/>
      <c r="L1858" s="73"/>
      <c r="M1858" s="73"/>
      <c r="N1858" s="73"/>
      <c r="O1858" s="73"/>
      <c r="P1858" s="73"/>
      <c r="Q1858" s="73"/>
      <c r="R1858" s="73"/>
      <c r="S1858" s="73"/>
      <c r="T1858" s="73"/>
      <c r="U1858" s="73"/>
      <c r="V1858" s="73"/>
      <c r="W1858" s="73"/>
      <c r="X1858" s="73"/>
      <c r="Y1858" s="73"/>
      <c r="Z1858" s="73"/>
      <c r="AA1858" s="73"/>
      <c r="AB1858" s="73"/>
    </row>
    <row r="1859">
      <c r="A1859" s="73"/>
      <c r="B1859" s="73">
        <v>409814.4682</v>
      </c>
      <c r="C1859" s="73">
        <v>6.16492145275745E7</v>
      </c>
      <c r="D1859" s="73">
        <v>1.75937573419988E7</v>
      </c>
      <c r="E1859" s="73">
        <v>2943708.50036684</v>
      </c>
      <c r="F1859" s="73"/>
      <c r="G1859" s="73"/>
      <c r="H1859" s="73"/>
      <c r="I1859" s="73"/>
      <c r="J1859" s="73"/>
      <c r="K1859" s="73"/>
      <c r="L1859" s="73"/>
      <c r="M1859" s="73"/>
      <c r="N1859" s="73"/>
      <c r="O1859" s="73"/>
      <c r="P1859" s="73"/>
      <c r="Q1859" s="73"/>
      <c r="R1859" s="73"/>
      <c r="S1859" s="73"/>
      <c r="T1859" s="73"/>
      <c r="U1859" s="73"/>
      <c r="V1859" s="73"/>
      <c r="W1859" s="73"/>
      <c r="X1859" s="73"/>
      <c r="Y1859" s="73"/>
      <c r="Z1859" s="73"/>
      <c r="AA1859" s="73"/>
      <c r="AB1859" s="73"/>
    </row>
    <row r="1860">
      <c r="A1860" s="73"/>
      <c r="B1860" s="73">
        <v>410525.2925</v>
      </c>
      <c r="C1860" s="73">
        <v>6.17395908450642E7</v>
      </c>
      <c r="D1860" s="73">
        <v>1.76302396979997E7</v>
      </c>
      <c r="E1860" s="73">
        <v>2948210.58024285</v>
      </c>
      <c r="F1860" s="73"/>
      <c r="G1860" s="73"/>
      <c r="H1860" s="73"/>
      <c r="I1860" s="73"/>
      <c r="J1860" s="73"/>
      <c r="K1860" s="73"/>
      <c r="L1860" s="73"/>
      <c r="M1860" s="73"/>
      <c r="N1860" s="73"/>
      <c r="O1860" s="73"/>
      <c r="P1860" s="73"/>
      <c r="Q1860" s="73"/>
      <c r="R1860" s="73"/>
      <c r="S1860" s="73"/>
      <c r="T1860" s="73"/>
      <c r="U1860" s="73"/>
      <c r="V1860" s="73"/>
      <c r="W1860" s="73"/>
      <c r="X1860" s="73"/>
      <c r="Y1860" s="73"/>
      <c r="Z1860" s="73"/>
      <c r="AA1860" s="73"/>
      <c r="AB1860" s="73"/>
    </row>
    <row r="1861">
      <c r="A1861" s="73"/>
      <c r="B1861" s="73">
        <v>411237.0654</v>
      </c>
      <c r="C1861" s="73">
        <v>6.18300578025513E7</v>
      </c>
      <c r="D1861" s="73">
        <v>1.76667713220006E7</v>
      </c>
      <c r="E1861" s="73">
        <v>2952718.26363795</v>
      </c>
      <c r="F1861" s="73"/>
      <c r="G1861" s="73"/>
      <c r="H1861" s="73"/>
      <c r="I1861" s="73"/>
      <c r="J1861" s="73"/>
      <c r="K1861" s="73"/>
      <c r="L1861" s="73"/>
      <c r="M1861" s="73"/>
      <c r="N1861" s="73"/>
      <c r="O1861" s="73"/>
      <c r="P1861" s="73"/>
      <c r="Q1861" s="73"/>
      <c r="R1861" s="73"/>
      <c r="S1861" s="73"/>
      <c r="T1861" s="73"/>
      <c r="U1861" s="73"/>
      <c r="V1861" s="73"/>
      <c r="W1861" s="73"/>
      <c r="X1861" s="73"/>
      <c r="Y1861" s="73"/>
      <c r="Z1861" s="73"/>
      <c r="AA1861" s="73"/>
      <c r="AB1861" s="73"/>
    </row>
    <row r="1862">
      <c r="A1862" s="73"/>
      <c r="B1862" s="73">
        <v>411949.7841</v>
      </c>
      <c r="C1862" s="73">
        <v>6.19206071600361E7</v>
      </c>
      <c r="D1862" s="73">
        <v>1.77033522540015E7</v>
      </c>
      <c r="E1862" s="73">
        <v>2957231.30488558</v>
      </c>
      <c r="F1862" s="73"/>
      <c r="G1862" s="73"/>
      <c r="H1862" s="73"/>
      <c r="I1862" s="73"/>
      <c r="J1862" s="73"/>
      <c r="K1862" s="73"/>
      <c r="L1862" s="73"/>
      <c r="M1862" s="73"/>
      <c r="N1862" s="73"/>
      <c r="O1862" s="73"/>
      <c r="P1862" s="73"/>
      <c r="Q1862" s="73"/>
      <c r="R1862" s="73"/>
      <c r="S1862" s="73"/>
      <c r="T1862" s="73"/>
      <c r="U1862" s="73"/>
      <c r="V1862" s="73"/>
      <c r="W1862" s="73"/>
      <c r="X1862" s="73"/>
      <c r="Y1862" s="73"/>
      <c r="Z1862" s="73"/>
      <c r="AA1862" s="73"/>
      <c r="AB1862" s="73"/>
    </row>
    <row r="1863">
      <c r="A1863" s="73"/>
      <c r="B1863" s="73">
        <v>412663.4498</v>
      </c>
      <c r="C1863" s="73">
        <v>6.20112389175186E7</v>
      </c>
      <c r="D1863" s="73">
        <v>1.77399824539948E7</v>
      </c>
      <c r="E1863" s="73">
        <v>2961749.94671247</v>
      </c>
      <c r="F1863" s="73"/>
      <c r="G1863" s="73"/>
      <c r="H1863" s="73"/>
      <c r="I1863" s="73"/>
      <c r="J1863" s="73"/>
      <c r="K1863" s="73"/>
      <c r="L1863" s="73"/>
      <c r="M1863" s="73"/>
      <c r="N1863" s="73"/>
      <c r="O1863" s="73"/>
      <c r="P1863" s="73"/>
      <c r="Q1863" s="73"/>
      <c r="R1863" s="73"/>
      <c r="S1863" s="73"/>
      <c r="T1863" s="73"/>
      <c r="U1863" s="73"/>
      <c r="V1863" s="73"/>
      <c r="W1863" s="73"/>
      <c r="X1863" s="73"/>
      <c r="Y1863" s="73"/>
      <c r="Z1863" s="73"/>
      <c r="AA1863" s="73"/>
      <c r="AB1863" s="73"/>
    </row>
    <row r="1864">
      <c r="A1864" s="73"/>
      <c r="B1864" s="73">
        <v>413378.0727</v>
      </c>
      <c r="C1864" s="73">
        <v>6.21019530749989E7</v>
      </c>
      <c r="D1864" s="73">
        <v>1.77766619239957E7</v>
      </c>
      <c r="E1864" s="73">
        <v>2966274.05413094</v>
      </c>
      <c r="F1864" s="73"/>
      <c r="G1864" s="73"/>
      <c r="H1864" s="73"/>
      <c r="I1864" s="73"/>
      <c r="J1864" s="73"/>
      <c r="K1864" s="73"/>
      <c r="L1864" s="73"/>
      <c r="M1864" s="73"/>
      <c r="N1864" s="73"/>
      <c r="O1864" s="73"/>
      <c r="P1864" s="73"/>
      <c r="Q1864" s="73"/>
      <c r="R1864" s="73"/>
      <c r="S1864" s="73"/>
      <c r="T1864" s="73"/>
      <c r="U1864" s="73"/>
      <c r="V1864" s="73"/>
      <c r="W1864" s="73"/>
      <c r="X1864" s="73"/>
      <c r="Y1864" s="73"/>
      <c r="Z1864" s="73"/>
      <c r="AA1864" s="73"/>
      <c r="AB1864" s="73"/>
    </row>
    <row r="1865">
      <c r="A1865" s="73"/>
      <c r="B1865" s="73">
        <v>414093.6427</v>
      </c>
      <c r="C1865" s="73">
        <v>6.21927496324768E7</v>
      </c>
      <c r="D1865" s="73">
        <v>1.78133906639966E7</v>
      </c>
      <c r="E1865" s="73">
        <v>2970803.52056131</v>
      </c>
      <c r="F1865" s="73"/>
      <c r="G1865" s="73"/>
      <c r="H1865" s="73"/>
      <c r="I1865" s="73"/>
      <c r="J1865" s="73"/>
      <c r="K1865" s="73"/>
      <c r="L1865" s="73"/>
      <c r="M1865" s="73"/>
      <c r="N1865" s="73"/>
      <c r="O1865" s="73"/>
      <c r="P1865" s="73"/>
      <c r="Q1865" s="73"/>
      <c r="R1865" s="73"/>
      <c r="S1865" s="73"/>
      <c r="T1865" s="73"/>
      <c r="U1865" s="73"/>
      <c r="V1865" s="73"/>
      <c r="W1865" s="73"/>
      <c r="X1865" s="73"/>
      <c r="Y1865" s="73"/>
      <c r="Z1865" s="73"/>
      <c r="AA1865" s="73"/>
      <c r="AB1865" s="73"/>
    </row>
    <row r="1866">
      <c r="A1866" s="73"/>
      <c r="B1866" s="73">
        <v>414810.1726</v>
      </c>
      <c r="C1866" s="73">
        <v>6.22836368299522E7</v>
      </c>
      <c r="D1866" s="73">
        <v>1.78501686899976E7</v>
      </c>
      <c r="E1866" s="73">
        <v>2975338.62872874</v>
      </c>
      <c r="F1866" s="73"/>
      <c r="G1866" s="73"/>
      <c r="H1866" s="73"/>
      <c r="I1866" s="73"/>
      <c r="J1866" s="73"/>
      <c r="K1866" s="73"/>
      <c r="L1866" s="73"/>
      <c r="M1866" s="73"/>
      <c r="N1866" s="73"/>
      <c r="O1866" s="73"/>
      <c r="P1866" s="73"/>
      <c r="Q1866" s="73"/>
      <c r="R1866" s="73"/>
      <c r="S1866" s="73"/>
      <c r="T1866" s="73"/>
      <c r="U1866" s="73"/>
      <c r="V1866" s="73"/>
      <c r="W1866" s="73"/>
      <c r="X1866" s="73"/>
      <c r="Y1866" s="73"/>
      <c r="Z1866" s="73"/>
      <c r="AA1866" s="73"/>
      <c r="AB1866" s="73"/>
    </row>
    <row r="1867">
      <c r="A1867" s="73"/>
      <c r="B1867" s="73">
        <v>415527.6497</v>
      </c>
      <c r="C1867" s="73">
        <v>6.23746064274254E7</v>
      </c>
      <c r="D1867" s="73">
        <v>1.78869960059985E7</v>
      </c>
      <c r="E1867" s="73">
        <v>2979879.1053487</v>
      </c>
      <c r="F1867" s="73"/>
      <c r="G1867" s="73"/>
      <c r="H1867" s="73"/>
      <c r="I1867" s="73"/>
      <c r="J1867" s="73"/>
      <c r="K1867" s="73"/>
      <c r="L1867" s="73"/>
      <c r="M1867" s="73"/>
      <c r="N1867" s="73"/>
      <c r="O1867" s="73"/>
      <c r="P1867" s="73"/>
      <c r="Q1867" s="73"/>
      <c r="R1867" s="73"/>
      <c r="S1867" s="73"/>
      <c r="T1867" s="73"/>
      <c r="U1867" s="73"/>
      <c r="V1867" s="73"/>
      <c r="W1867" s="73"/>
      <c r="X1867" s="73"/>
      <c r="Y1867" s="73"/>
      <c r="Z1867" s="73"/>
      <c r="AA1867" s="73"/>
      <c r="AB1867" s="73"/>
    </row>
    <row r="1868">
      <c r="A1868" s="73"/>
      <c r="B1868" s="73">
        <v>416246.0739</v>
      </c>
      <c r="C1868" s="73">
        <v>6.24656584248962E7</v>
      </c>
      <c r="D1868" s="73">
        <v>1.79238725899994E7</v>
      </c>
      <c r="E1868" s="73">
        <v>2984425.31782214</v>
      </c>
      <c r="F1868" s="73"/>
      <c r="G1868" s="73"/>
      <c r="H1868" s="73"/>
      <c r="I1868" s="73"/>
      <c r="J1868" s="73"/>
      <c r="K1868" s="73"/>
      <c r="L1868" s="73"/>
      <c r="M1868" s="73"/>
      <c r="N1868" s="73"/>
      <c r="O1868" s="73"/>
      <c r="P1868" s="73"/>
      <c r="Q1868" s="73"/>
      <c r="R1868" s="73"/>
      <c r="S1868" s="73"/>
      <c r="T1868" s="73"/>
      <c r="U1868" s="73"/>
      <c r="V1868" s="73"/>
      <c r="W1868" s="73"/>
      <c r="X1868" s="73"/>
      <c r="Y1868" s="73"/>
      <c r="Z1868" s="73"/>
      <c r="AA1868" s="73"/>
      <c r="AB1868" s="73"/>
    </row>
    <row r="1869">
      <c r="A1869" s="73"/>
      <c r="B1869" s="73">
        <v>416965.4452</v>
      </c>
      <c r="C1869" s="73">
        <v>6.25567928223648E7</v>
      </c>
      <c r="D1869" s="73">
        <v>1.79607984440003E7</v>
      </c>
      <c r="E1869" s="73">
        <v>2988976.90831293</v>
      </c>
      <c r="F1869" s="73"/>
      <c r="G1869" s="73"/>
      <c r="H1869" s="73"/>
      <c r="I1869" s="73"/>
      <c r="J1869" s="73"/>
      <c r="K1869" s="73"/>
      <c r="L1869" s="73"/>
      <c r="M1869" s="73"/>
      <c r="N1869" s="73"/>
      <c r="O1869" s="73"/>
      <c r="P1869" s="73"/>
      <c r="Q1869" s="73"/>
      <c r="R1869" s="73"/>
      <c r="S1869" s="73"/>
      <c r="T1869" s="73"/>
      <c r="U1869" s="73"/>
      <c r="V1869" s="73"/>
      <c r="W1869" s="73"/>
      <c r="X1869" s="73"/>
      <c r="Y1869" s="73"/>
      <c r="Z1869" s="73"/>
      <c r="AA1869" s="73"/>
      <c r="AB1869" s="73"/>
    </row>
    <row r="1870">
      <c r="A1870" s="73"/>
      <c r="B1870" s="73">
        <v>417685.7764</v>
      </c>
      <c r="C1870" s="73">
        <v>6.26480178598309E7</v>
      </c>
      <c r="D1870" s="73">
        <v>1.79977735860012E7</v>
      </c>
      <c r="E1870" s="73">
        <v>2993533.99259297</v>
      </c>
      <c r="F1870" s="73"/>
      <c r="G1870" s="73"/>
      <c r="H1870" s="73"/>
      <c r="I1870" s="73"/>
      <c r="J1870" s="73"/>
      <c r="K1870" s="73"/>
      <c r="L1870" s="73"/>
      <c r="M1870" s="73"/>
      <c r="N1870" s="73"/>
      <c r="O1870" s="73"/>
      <c r="P1870" s="73"/>
      <c r="Q1870" s="73"/>
      <c r="R1870" s="73"/>
      <c r="S1870" s="73"/>
      <c r="T1870" s="73"/>
      <c r="U1870" s="73"/>
      <c r="V1870" s="73"/>
      <c r="W1870" s="73"/>
      <c r="X1870" s="73"/>
      <c r="Y1870" s="73"/>
      <c r="Z1870" s="73"/>
      <c r="AA1870" s="73"/>
      <c r="AB1870" s="73"/>
    </row>
    <row r="1871">
      <c r="A1871" s="73"/>
      <c r="B1871" s="73">
        <v>418407.0548</v>
      </c>
      <c r="C1871" s="73">
        <v>6.27393170572948E7</v>
      </c>
      <c r="D1871" s="73">
        <v>1.80347992960021E7</v>
      </c>
      <c r="E1871" s="73">
        <v>2998096.64354054</v>
      </c>
      <c r="F1871" s="73"/>
      <c r="G1871" s="73"/>
      <c r="H1871" s="73"/>
      <c r="I1871" s="73"/>
      <c r="J1871" s="73"/>
      <c r="K1871" s="73"/>
      <c r="L1871" s="73"/>
      <c r="M1871" s="73"/>
      <c r="N1871" s="73"/>
      <c r="O1871" s="73"/>
      <c r="P1871" s="73"/>
      <c r="Q1871" s="73"/>
      <c r="R1871" s="73"/>
      <c r="S1871" s="73"/>
      <c r="T1871" s="73"/>
      <c r="U1871" s="73"/>
      <c r="V1871" s="73"/>
      <c r="W1871" s="73"/>
      <c r="X1871" s="73"/>
      <c r="Y1871" s="73"/>
      <c r="Z1871" s="73"/>
      <c r="AA1871" s="73"/>
      <c r="AB1871" s="73"/>
    </row>
    <row r="1872">
      <c r="A1872" s="73"/>
      <c r="B1872" s="73">
        <v>419129.2903</v>
      </c>
      <c r="C1872" s="73">
        <v>6.28307068947563E7</v>
      </c>
      <c r="D1872" s="73">
        <v>1.80718742559954E7</v>
      </c>
      <c r="E1872" s="73">
        <v>3002664.7839711</v>
      </c>
      <c r="F1872" s="73"/>
      <c r="G1872" s="73"/>
      <c r="H1872" s="73"/>
      <c r="I1872" s="73"/>
      <c r="J1872" s="73"/>
      <c r="K1872" s="73"/>
      <c r="L1872" s="73"/>
      <c r="M1872" s="73"/>
      <c r="N1872" s="73"/>
      <c r="O1872" s="73"/>
      <c r="P1872" s="73"/>
      <c r="Q1872" s="73"/>
      <c r="R1872" s="73"/>
      <c r="S1872" s="73"/>
      <c r="T1872" s="73"/>
      <c r="U1872" s="73"/>
      <c r="V1872" s="73"/>
      <c r="W1872" s="73"/>
      <c r="X1872" s="73"/>
      <c r="Y1872" s="73"/>
      <c r="Z1872" s="73"/>
      <c r="AA1872" s="73"/>
      <c r="AB1872" s="73"/>
    </row>
    <row r="1873">
      <c r="A1873" s="73"/>
      <c r="B1873" s="73">
        <v>419852.4786</v>
      </c>
      <c r="C1873" s="73">
        <v>6.29221791322155E7</v>
      </c>
      <c r="D1873" s="73">
        <v>1.81089985239963E7</v>
      </c>
      <c r="E1873" s="73">
        <v>3007238.58468873</v>
      </c>
      <c r="F1873" s="73"/>
      <c r="G1873" s="73"/>
      <c r="H1873" s="73"/>
      <c r="I1873" s="73"/>
      <c r="J1873" s="73"/>
      <c r="K1873" s="73"/>
      <c r="L1873" s="73"/>
      <c r="M1873" s="73"/>
      <c r="N1873" s="73"/>
      <c r="O1873" s="73"/>
      <c r="P1873" s="73"/>
      <c r="Q1873" s="73"/>
      <c r="R1873" s="73"/>
      <c r="S1873" s="73"/>
      <c r="T1873" s="73"/>
      <c r="U1873" s="73"/>
      <c r="V1873" s="73"/>
      <c r="W1873" s="73"/>
      <c r="X1873" s="73"/>
      <c r="Y1873" s="73"/>
      <c r="Z1873" s="73"/>
      <c r="AA1873" s="73"/>
      <c r="AB1873" s="73"/>
    </row>
    <row r="1874">
      <c r="A1874" s="73"/>
      <c r="B1874" s="73">
        <v>420576.6111</v>
      </c>
      <c r="C1874" s="73">
        <v>6.30137337696724E7</v>
      </c>
      <c r="D1874" s="73">
        <v>1.81461720599973E7</v>
      </c>
      <c r="E1874" s="73">
        <v>3011817.79928154</v>
      </c>
      <c r="F1874" s="73"/>
      <c r="G1874" s="73"/>
      <c r="H1874" s="73"/>
      <c r="I1874" s="73"/>
      <c r="J1874" s="73"/>
      <c r="K1874" s="73"/>
      <c r="L1874" s="73"/>
      <c r="M1874" s="73"/>
      <c r="N1874" s="73"/>
      <c r="O1874" s="73"/>
      <c r="P1874" s="73"/>
      <c r="Q1874" s="73"/>
      <c r="R1874" s="73"/>
      <c r="S1874" s="73"/>
      <c r="T1874" s="73"/>
      <c r="U1874" s="73"/>
      <c r="V1874" s="73"/>
      <c r="W1874" s="73"/>
      <c r="X1874" s="73"/>
      <c r="Y1874" s="73"/>
      <c r="Z1874" s="73"/>
      <c r="AA1874" s="73"/>
      <c r="AB1874" s="73"/>
    </row>
    <row r="1875">
      <c r="A1875" s="73"/>
      <c r="B1875" s="73">
        <v>421301.7064</v>
      </c>
      <c r="C1875" s="73">
        <v>6.31053790471268E7</v>
      </c>
      <c r="D1875" s="73">
        <v>1.81833961459982E7</v>
      </c>
      <c r="E1875" s="73">
        <v>3016402.5296503</v>
      </c>
      <c r="F1875" s="73"/>
      <c r="G1875" s="73"/>
      <c r="H1875" s="73"/>
      <c r="I1875" s="73"/>
      <c r="J1875" s="73"/>
      <c r="K1875" s="73"/>
      <c r="L1875" s="73"/>
      <c r="M1875" s="73"/>
      <c r="N1875" s="73"/>
      <c r="O1875" s="73"/>
      <c r="P1875" s="73"/>
      <c r="Q1875" s="73"/>
      <c r="R1875" s="73"/>
      <c r="S1875" s="73"/>
      <c r="T1875" s="73"/>
      <c r="U1875" s="73"/>
      <c r="V1875" s="73"/>
      <c r="W1875" s="73"/>
      <c r="X1875" s="73"/>
      <c r="Y1875" s="73"/>
      <c r="Z1875" s="73"/>
      <c r="AA1875" s="73"/>
      <c r="AB1875" s="73"/>
    </row>
    <row r="1876">
      <c r="A1876" s="73"/>
      <c r="B1876" s="73">
        <v>422027.7489</v>
      </c>
      <c r="C1876" s="73">
        <v>6.31970984845791E7</v>
      </c>
      <c r="D1876" s="73">
        <v>1.82206695399991E7</v>
      </c>
      <c r="E1876" s="73">
        <v>3020992.92022332</v>
      </c>
      <c r="F1876" s="73"/>
      <c r="G1876" s="73"/>
      <c r="H1876" s="73"/>
      <c r="I1876" s="73"/>
      <c r="J1876" s="73"/>
      <c r="K1876" s="73"/>
      <c r="L1876" s="73"/>
      <c r="M1876" s="73"/>
      <c r="N1876" s="73"/>
      <c r="O1876" s="73"/>
      <c r="P1876" s="73"/>
      <c r="Q1876" s="73"/>
      <c r="R1876" s="73"/>
      <c r="S1876" s="73"/>
      <c r="T1876" s="73"/>
      <c r="U1876" s="73"/>
      <c r="V1876" s="73"/>
      <c r="W1876" s="73"/>
      <c r="X1876" s="73"/>
      <c r="Y1876" s="73"/>
      <c r="Z1876" s="73"/>
      <c r="AA1876" s="73"/>
      <c r="AB1876" s="73"/>
    </row>
    <row r="1877">
      <c r="A1877" s="73"/>
      <c r="B1877" s="73">
        <v>422754.7513</v>
      </c>
      <c r="C1877" s="73">
        <v>6.32889085620289E7</v>
      </c>
      <c r="D1877" s="73">
        <v>1.8257992182E7</v>
      </c>
      <c r="E1877" s="73">
        <v>3025588.91667559</v>
      </c>
      <c r="F1877" s="73"/>
      <c r="G1877" s="73"/>
      <c r="H1877" s="73"/>
      <c r="I1877" s="73"/>
      <c r="J1877" s="73"/>
      <c r="K1877" s="73"/>
      <c r="L1877" s="73"/>
      <c r="M1877" s="73"/>
      <c r="N1877" s="73"/>
      <c r="O1877" s="73"/>
      <c r="P1877" s="73"/>
      <c r="Q1877" s="73"/>
      <c r="R1877" s="73"/>
      <c r="S1877" s="73"/>
      <c r="T1877" s="73"/>
      <c r="U1877" s="73"/>
      <c r="V1877" s="73"/>
      <c r="W1877" s="73"/>
      <c r="X1877" s="73"/>
      <c r="Y1877" s="73"/>
      <c r="Z1877" s="73"/>
      <c r="AA1877" s="73"/>
      <c r="AB1877" s="73"/>
    </row>
    <row r="1878">
      <c r="A1878" s="73"/>
      <c r="B1878" s="73">
        <v>423482.7008</v>
      </c>
      <c r="C1878" s="73">
        <v>6.33808010394764E7</v>
      </c>
      <c r="D1878" s="73">
        <v>1.82953641520009E7</v>
      </c>
      <c r="E1878" s="73">
        <v>3030190.27586301</v>
      </c>
      <c r="F1878" s="73"/>
      <c r="G1878" s="73"/>
      <c r="H1878" s="73"/>
      <c r="I1878" s="73"/>
      <c r="J1878" s="73"/>
      <c r="K1878" s="73"/>
      <c r="L1878" s="73"/>
      <c r="M1878" s="73"/>
      <c r="N1878" s="73"/>
      <c r="O1878" s="73"/>
      <c r="P1878" s="73"/>
      <c r="Q1878" s="73"/>
      <c r="R1878" s="73"/>
      <c r="S1878" s="73"/>
      <c r="T1878" s="73"/>
      <c r="U1878" s="73"/>
      <c r="V1878" s="73"/>
      <c r="W1878" s="73"/>
      <c r="X1878" s="73"/>
      <c r="Y1878" s="73"/>
      <c r="Z1878" s="73"/>
      <c r="AA1878" s="73"/>
      <c r="AB1878" s="73"/>
    </row>
    <row r="1879">
      <c r="A1879" s="73"/>
      <c r="B1879" s="73">
        <v>424211.603</v>
      </c>
      <c r="C1879" s="73">
        <v>6.34727841569214E7</v>
      </c>
      <c r="D1879" s="73">
        <v>1.83327866320018E7</v>
      </c>
      <c r="E1879" s="73">
        <v>3034797.47388456</v>
      </c>
      <c r="F1879" s="73"/>
      <c r="G1879" s="73"/>
      <c r="H1879" s="73"/>
      <c r="I1879" s="73"/>
      <c r="J1879" s="73"/>
      <c r="K1879" s="73"/>
      <c r="L1879" s="73"/>
      <c r="M1879" s="73"/>
      <c r="N1879" s="73"/>
      <c r="O1879" s="73"/>
      <c r="P1879" s="73"/>
      <c r="Q1879" s="73"/>
      <c r="R1879" s="73"/>
      <c r="S1879" s="73"/>
      <c r="T1879" s="73"/>
      <c r="U1879" s="73"/>
      <c r="V1879" s="73"/>
      <c r="W1879" s="73"/>
      <c r="X1879" s="73"/>
      <c r="Y1879" s="73"/>
      <c r="Z1879" s="73"/>
      <c r="AA1879" s="73"/>
      <c r="AB1879" s="73"/>
    </row>
    <row r="1880">
      <c r="A1880" s="73"/>
      <c r="B1880" s="73">
        <v>424941.4524</v>
      </c>
      <c r="C1880" s="73">
        <v>6.35648414343643E7</v>
      </c>
      <c r="D1880" s="73">
        <v>1.83702583999951E7</v>
      </c>
      <c r="E1880" s="73">
        <v>3039409.95779126</v>
      </c>
      <c r="F1880" s="73"/>
      <c r="G1880" s="73"/>
      <c r="H1880" s="73"/>
      <c r="I1880" s="73"/>
      <c r="J1880" s="73"/>
      <c r="K1880" s="73"/>
      <c r="L1880" s="73"/>
      <c r="M1880" s="73"/>
      <c r="N1880" s="73"/>
      <c r="O1880" s="73"/>
      <c r="P1880" s="73"/>
      <c r="Q1880" s="73"/>
      <c r="R1880" s="73"/>
      <c r="S1880" s="73"/>
      <c r="T1880" s="73"/>
      <c r="U1880" s="73"/>
      <c r="V1880" s="73"/>
      <c r="W1880" s="73"/>
      <c r="X1880" s="73"/>
      <c r="Y1880" s="73"/>
      <c r="Z1880" s="73"/>
      <c r="AA1880" s="73"/>
      <c r="AB1880" s="73"/>
    </row>
    <row r="1881">
      <c r="A1881" s="73"/>
      <c r="B1881" s="73">
        <v>425672.2717</v>
      </c>
      <c r="C1881" s="73">
        <v>6.36569893518047E7</v>
      </c>
      <c r="D1881" s="73">
        <v>1.8407780717996E7</v>
      </c>
      <c r="E1881" s="73">
        <v>3044028.40052739</v>
      </c>
      <c r="F1881" s="73"/>
      <c r="G1881" s="73"/>
      <c r="H1881" s="73"/>
      <c r="I1881" s="73"/>
      <c r="J1881" s="73"/>
      <c r="K1881" s="73"/>
      <c r="L1881" s="73"/>
      <c r="M1881" s="73"/>
      <c r="N1881" s="73"/>
      <c r="O1881" s="73"/>
      <c r="P1881" s="73"/>
      <c r="Q1881" s="73"/>
      <c r="R1881" s="73"/>
      <c r="S1881" s="73"/>
      <c r="T1881" s="73"/>
      <c r="U1881" s="73"/>
      <c r="V1881" s="73"/>
      <c r="W1881" s="73"/>
      <c r="X1881" s="73"/>
      <c r="Y1881" s="73"/>
      <c r="Z1881" s="73"/>
      <c r="AA1881" s="73"/>
      <c r="AB1881" s="73"/>
    </row>
    <row r="1882">
      <c r="A1882" s="73"/>
      <c r="B1882" s="73">
        <v>426404.0338</v>
      </c>
      <c r="C1882" s="73">
        <v>6.37492196692429E7</v>
      </c>
      <c r="D1882" s="73">
        <v>1.84453523419969E7</v>
      </c>
      <c r="E1882" s="73">
        <v>3048652.02604711</v>
      </c>
      <c r="F1882" s="73"/>
      <c r="G1882" s="73"/>
      <c r="H1882" s="73"/>
      <c r="I1882" s="73"/>
      <c r="J1882" s="73"/>
      <c r="K1882" s="73"/>
      <c r="L1882" s="73"/>
      <c r="M1882" s="73"/>
      <c r="N1882" s="73"/>
      <c r="O1882" s="73"/>
      <c r="P1882" s="73"/>
      <c r="Q1882" s="73"/>
      <c r="R1882" s="73"/>
      <c r="S1882" s="73"/>
      <c r="T1882" s="73"/>
      <c r="U1882" s="73"/>
      <c r="V1882" s="73"/>
      <c r="W1882" s="73"/>
      <c r="X1882" s="73"/>
      <c r="Y1882" s="73"/>
      <c r="Z1882" s="73"/>
      <c r="AA1882" s="73"/>
      <c r="AB1882" s="73"/>
    </row>
    <row r="1883">
      <c r="A1883" s="73"/>
      <c r="B1883" s="73">
        <v>427136.7529</v>
      </c>
      <c r="C1883" s="73">
        <v>6.38415323866787E7</v>
      </c>
      <c r="D1883" s="73">
        <v>1.84829732359979E7</v>
      </c>
      <c r="E1883" s="73">
        <v>3053281.45188983</v>
      </c>
      <c r="F1883" s="73"/>
      <c r="G1883" s="73"/>
      <c r="H1883" s="73"/>
      <c r="I1883" s="73"/>
      <c r="J1883" s="73"/>
      <c r="K1883" s="73"/>
      <c r="L1883" s="73"/>
      <c r="M1883" s="73"/>
      <c r="N1883" s="73"/>
      <c r="O1883" s="73"/>
      <c r="P1883" s="73"/>
      <c r="Q1883" s="73"/>
      <c r="R1883" s="73"/>
      <c r="S1883" s="73"/>
      <c r="T1883" s="73"/>
      <c r="U1883" s="73"/>
      <c r="V1883" s="73"/>
      <c r="W1883" s="73"/>
      <c r="X1883" s="73"/>
      <c r="Y1883" s="73"/>
      <c r="Z1883" s="73"/>
      <c r="AA1883" s="73"/>
      <c r="AB1883" s="73"/>
    </row>
    <row r="1884">
      <c r="A1884" s="73"/>
      <c r="B1884" s="73">
        <v>427870.4221</v>
      </c>
      <c r="C1884" s="73">
        <v>6.3933935744112E7</v>
      </c>
      <c r="D1884" s="73">
        <v>1.85206459599988E7</v>
      </c>
      <c r="E1884" s="73">
        <v>3057916.51218212</v>
      </c>
      <c r="F1884" s="73"/>
      <c r="G1884" s="73"/>
      <c r="H1884" s="73"/>
      <c r="I1884" s="73"/>
      <c r="J1884" s="73"/>
      <c r="K1884" s="73"/>
      <c r="L1884" s="73"/>
      <c r="M1884" s="73"/>
      <c r="N1884" s="73"/>
      <c r="O1884" s="73"/>
      <c r="P1884" s="73"/>
      <c r="Q1884" s="73"/>
      <c r="R1884" s="73"/>
      <c r="S1884" s="73"/>
      <c r="T1884" s="73"/>
      <c r="U1884" s="73"/>
      <c r="V1884" s="73"/>
      <c r="W1884" s="73"/>
      <c r="X1884" s="73"/>
      <c r="Y1884" s="73"/>
      <c r="Z1884" s="73"/>
      <c r="AA1884" s="73"/>
      <c r="AB1884" s="73"/>
    </row>
    <row r="1885">
      <c r="A1885" s="73"/>
      <c r="B1885" s="73">
        <v>428605.0511</v>
      </c>
      <c r="C1885" s="73">
        <v>6.40264132615433E7</v>
      </c>
      <c r="D1885" s="73">
        <v>1.85583667099997E7</v>
      </c>
      <c r="E1885" s="73">
        <v>3062557.11673786</v>
      </c>
      <c r="F1885" s="73"/>
      <c r="G1885" s="73"/>
      <c r="H1885" s="73"/>
      <c r="I1885" s="73"/>
      <c r="J1885" s="73"/>
      <c r="K1885" s="73"/>
      <c r="L1885" s="73"/>
      <c r="M1885" s="73"/>
      <c r="N1885" s="73"/>
      <c r="O1885" s="73"/>
      <c r="P1885" s="73"/>
      <c r="Q1885" s="73"/>
      <c r="R1885" s="73"/>
      <c r="S1885" s="73"/>
      <c r="T1885" s="73"/>
      <c r="U1885" s="73"/>
      <c r="V1885" s="73"/>
      <c r="W1885" s="73"/>
      <c r="X1885" s="73"/>
      <c r="Y1885" s="73"/>
      <c r="Z1885" s="73"/>
      <c r="AA1885" s="73"/>
      <c r="AB1885" s="73"/>
    </row>
    <row r="1886">
      <c r="A1886" s="73"/>
      <c r="B1886" s="73">
        <v>429340.6329</v>
      </c>
      <c r="C1886" s="73">
        <v>6.41189896589718E7</v>
      </c>
      <c r="D1886" s="73">
        <v>1.85961380280006E7</v>
      </c>
      <c r="E1886" s="73">
        <v>3067203.36369318</v>
      </c>
      <c r="F1886" s="73"/>
      <c r="G1886" s="73"/>
      <c r="H1886" s="73"/>
      <c r="I1886" s="73"/>
      <c r="J1886" s="73"/>
      <c r="K1886" s="73"/>
      <c r="L1886" s="73"/>
      <c r="M1886" s="73"/>
      <c r="N1886" s="73"/>
      <c r="O1886" s="73"/>
      <c r="P1886" s="73"/>
      <c r="Q1886" s="73"/>
      <c r="R1886" s="73"/>
      <c r="S1886" s="73"/>
      <c r="T1886" s="73"/>
      <c r="U1886" s="73"/>
      <c r="V1886" s="73"/>
      <c r="W1886" s="73"/>
      <c r="X1886" s="73"/>
      <c r="Y1886" s="73"/>
      <c r="Z1886" s="73"/>
      <c r="AA1886" s="73"/>
      <c r="AB1886" s="73"/>
    </row>
    <row r="1887">
      <c r="A1887" s="73"/>
      <c r="B1887" s="73">
        <v>430077.1647</v>
      </c>
      <c r="C1887" s="73">
        <v>6.42116402163982E7</v>
      </c>
      <c r="D1887" s="73">
        <v>1.86339598600015E7</v>
      </c>
      <c r="E1887" s="73">
        <v>3071855.2474135</v>
      </c>
      <c r="F1887" s="73"/>
      <c r="G1887" s="73"/>
      <c r="H1887" s="73"/>
      <c r="I1887" s="73"/>
      <c r="J1887" s="73"/>
      <c r="K1887" s="73"/>
      <c r="L1887" s="73"/>
      <c r="M1887" s="73"/>
      <c r="N1887" s="73"/>
      <c r="O1887" s="73"/>
      <c r="P1887" s="73"/>
      <c r="Q1887" s="73"/>
      <c r="R1887" s="73"/>
      <c r="S1887" s="73"/>
      <c r="T1887" s="73"/>
      <c r="U1887" s="73"/>
      <c r="V1887" s="73"/>
      <c r="W1887" s="73"/>
      <c r="X1887" s="73"/>
      <c r="Y1887" s="73"/>
      <c r="Z1887" s="73"/>
      <c r="AA1887" s="73"/>
      <c r="AB1887" s="73"/>
    </row>
    <row r="1888">
      <c r="A1888" s="73"/>
      <c r="B1888" s="73">
        <v>430814.6564</v>
      </c>
      <c r="C1888" s="73">
        <v>6.43043731738224E7</v>
      </c>
      <c r="D1888" s="73">
        <v>1.86718310159948E7</v>
      </c>
      <c r="E1888" s="73">
        <v>3076512.76823339</v>
      </c>
      <c r="F1888" s="73"/>
      <c r="G1888" s="73"/>
      <c r="H1888" s="73"/>
      <c r="I1888" s="73"/>
      <c r="J1888" s="73"/>
      <c r="K1888" s="73"/>
      <c r="L1888" s="73"/>
      <c r="M1888" s="73"/>
      <c r="N1888" s="73"/>
      <c r="O1888" s="73"/>
      <c r="P1888" s="73"/>
      <c r="Q1888" s="73"/>
      <c r="R1888" s="73"/>
      <c r="S1888" s="73"/>
      <c r="T1888" s="73"/>
      <c r="U1888" s="73"/>
      <c r="V1888" s="73"/>
      <c r="W1888" s="73"/>
      <c r="X1888" s="73"/>
      <c r="Y1888" s="73"/>
      <c r="Z1888" s="73"/>
      <c r="AA1888" s="73"/>
      <c r="AB1888" s="73"/>
    </row>
    <row r="1889">
      <c r="A1889" s="73"/>
      <c r="B1889" s="73">
        <v>431553.1108</v>
      </c>
      <c r="C1889" s="73">
        <v>6.43972050112438E7</v>
      </c>
      <c r="D1889" s="73">
        <v>1.87097526999957E7</v>
      </c>
      <c r="E1889" s="73">
        <v>3081175.623715</v>
      </c>
      <c r="F1889" s="73"/>
      <c r="G1889" s="73"/>
      <c r="H1889" s="73"/>
      <c r="I1889" s="73"/>
      <c r="J1889" s="73"/>
      <c r="K1889" s="73"/>
      <c r="L1889" s="73"/>
      <c r="M1889" s="73"/>
      <c r="N1889" s="73"/>
      <c r="O1889" s="73"/>
      <c r="P1889" s="73"/>
      <c r="Q1889" s="73"/>
      <c r="R1889" s="73"/>
      <c r="S1889" s="73"/>
      <c r="T1889" s="73"/>
      <c r="U1889" s="73"/>
      <c r="V1889" s="73"/>
      <c r="W1889" s="73"/>
      <c r="X1889" s="73"/>
      <c r="Y1889" s="73"/>
      <c r="Z1889" s="73"/>
      <c r="AA1889" s="73"/>
      <c r="AB1889" s="73"/>
    </row>
    <row r="1890">
      <c r="A1890" s="73"/>
      <c r="B1890" s="73">
        <v>432292.5124</v>
      </c>
      <c r="C1890" s="73">
        <v>6.44901110086632E7</v>
      </c>
      <c r="D1890" s="73">
        <v>1.87477237119966E7</v>
      </c>
      <c r="E1890" s="73">
        <v>3085844.45980571</v>
      </c>
      <c r="F1890" s="73"/>
      <c r="G1890" s="73"/>
      <c r="H1890" s="73"/>
      <c r="I1890" s="73"/>
      <c r="J1890" s="73"/>
      <c r="K1890" s="73"/>
      <c r="L1890" s="73"/>
      <c r="M1890" s="73"/>
      <c r="N1890" s="73"/>
      <c r="O1890" s="73"/>
      <c r="P1890" s="73"/>
      <c r="Q1890" s="73"/>
      <c r="R1890" s="73"/>
      <c r="S1890" s="73"/>
      <c r="T1890" s="73"/>
      <c r="U1890" s="73"/>
      <c r="V1890" s="73"/>
      <c r="W1890" s="73"/>
      <c r="X1890" s="73"/>
      <c r="Y1890" s="73"/>
      <c r="Z1890" s="73"/>
      <c r="AA1890" s="73"/>
      <c r="AB1890" s="73"/>
    </row>
    <row r="1891">
      <c r="A1891" s="73"/>
      <c r="B1891" s="73">
        <v>433032.8695</v>
      </c>
      <c r="C1891" s="73">
        <v>6.45830994060802E7</v>
      </c>
      <c r="D1891" s="73">
        <v>1.87857452559976E7</v>
      </c>
      <c r="E1891" s="73">
        <v>3090518.7779677</v>
      </c>
      <c r="F1891" s="73"/>
      <c r="G1891" s="73"/>
      <c r="H1891" s="73"/>
      <c r="I1891" s="73"/>
      <c r="J1891" s="73"/>
      <c r="K1891" s="73"/>
      <c r="L1891" s="73"/>
      <c r="M1891" s="73"/>
      <c r="N1891" s="73"/>
      <c r="O1891" s="73"/>
      <c r="P1891" s="73"/>
      <c r="Q1891" s="73"/>
      <c r="R1891" s="73"/>
      <c r="S1891" s="73"/>
      <c r="T1891" s="73"/>
      <c r="U1891" s="73"/>
      <c r="V1891" s="73"/>
      <c r="W1891" s="73"/>
      <c r="X1891" s="73"/>
      <c r="Y1891" s="73"/>
      <c r="Z1891" s="73"/>
      <c r="AA1891" s="73"/>
      <c r="AB1891" s="73"/>
    </row>
    <row r="1892">
      <c r="A1892" s="73"/>
      <c r="B1892" s="73">
        <v>433774.1738</v>
      </c>
      <c r="C1892" s="73">
        <v>6.46761784434948E7</v>
      </c>
      <c r="D1892" s="73">
        <v>1.88238173279985E7</v>
      </c>
      <c r="E1892" s="73">
        <v>3095198.59542595</v>
      </c>
      <c r="F1892" s="73"/>
      <c r="G1892" s="73"/>
      <c r="H1892" s="73"/>
      <c r="I1892" s="73"/>
      <c r="J1892" s="73"/>
      <c r="K1892" s="73"/>
      <c r="L1892" s="73"/>
      <c r="M1892" s="73"/>
      <c r="N1892" s="73"/>
      <c r="O1892" s="73"/>
      <c r="P1892" s="73"/>
      <c r="Q1892" s="73"/>
      <c r="R1892" s="73"/>
      <c r="S1892" s="73"/>
      <c r="T1892" s="73"/>
      <c r="U1892" s="73"/>
      <c r="V1892" s="73"/>
      <c r="W1892" s="73"/>
      <c r="X1892" s="73"/>
      <c r="Y1892" s="73"/>
      <c r="Z1892" s="73"/>
      <c r="AA1892" s="73"/>
      <c r="AB1892" s="73"/>
    </row>
    <row r="1893">
      <c r="A1893" s="73"/>
      <c r="B1893" s="73">
        <v>434516.4536</v>
      </c>
      <c r="C1893" s="73">
        <v>6.47693398809071E7</v>
      </c>
      <c r="D1893" s="73">
        <v>1.88619387279994E7</v>
      </c>
      <c r="E1893" s="73">
        <v>3099884.41767457</v>
      </c>
      <c r="F1893" s="73"/>
      <c r="G1893" s="73"/>
      <c r="H1893" s="73"/>
      <c r="I1893" s="73"/>
      <c r="J1893" s="73"/>
      <c r="K1893" s="73"/>
      <c r="L1893" s="73"/>
      <c r="M1893" s="73"/>
      <c r="N1893" s="73"/>
      <c r="O1893" s="73"/>
      <c r="P1893" s="73"/>
      <c r="Q1893" s="73"/>
      <c r="R1893" s="73"/>
      <c r="S1893" s="73"/>
      <c r="T1893" s="73"/>
      <c r="U1893" s="73"/>
      <c r="V1893" s="73"/>
      <c r="W1893" s="73"/>
      <c r="X1893" s="73"/>
      <c r="Y1893" s="73"/>
      <c r="Z1893" s="73"/>
      <c r="AA1893" s="73"/>
      <c r="AB1893" s="73"/>
    </row>
    <row r="1894">
      <c r="A1894" s="73"/>
      <c r="B1894" s="73">
        <v>435259.6805</v>
      </c>
      <c r="C1894" s="73">
        <v>6.48625919583168E7</v>
      </c>
      <c r="D1894" s="73">
        <v>1.89001119360003E7</v>
      </c>
      <c r="E1894" s="73">
        <v>3104575.58021614</v>
      </c>
      <c r="F1894" s="73"/>
      <c r="G1894" s="73"/>
      <c r="H1894" s="73"/>
      <c r="I1894" s="73"/>
      <c r="J1894" s="73"/>
      <c r="K1894" s="73"/>
      <c r="L1894" s="73"/>
      <c r="M1894" s="73"/>
      <c r="N1894" s="73"/>
      <c r="O1894" s="73"/>
      <c r="P1894" s="73"/>
      <c r="Q1894" s="73"/>
      <c r="R1894" s="73"/>
      <c r="S1894" s="73"/>
      <c r="T1894" s="73"/>
      <c r="U1894" s="73"/>
      <c r="V1894" s="73"/>
      <c r="W1894" s="73"/>
      <c r="X1894" s="73"/>
      <c r="Y1894" s="73"/>
      <c r="Z1894" s="73"/>
      <c r="AA1894" s="73"/>
      <c r="AB1894" s="73"/>
    </row>
    <row r="1895">
      <c r="A1895" s="73"/>
      <c r="B1895" s="73">
        <v>436003.853</v>
      </c>
      <c r="C1895" s="73">
        <v>6.49559181957245E7</v>
      </c>
      <c r="D1895" s="73">
        <v>1.89383344720012E7</v>
      </c>
      <c r="E1895" s="73">
        <v>3109272.65695121</v>
      </c>
      <c r="F1895" s="73"/>
      <c r="G1895" s="73"/>
      <c r="H1895" s="73"/>
      <c r="I1895" s="73"/>
      <c r="J1895" s="73"/>
      <c r="K1895" s="73"/>
      <c r="L1895" s="73"/>
      <c r="M1895" s="73"/>
      <c r="N1895" s="73"/>
      <c r="O1895" s="73"/>
      <c r="P1895" s="73"/>
      <c r="Q1895" s="73"/>
      <c r="R1895" s="73"/>
      <c r="S1895" s="73"/>
      <c r="T1895" s="73"/>
      <c r="U1895" s="73"/>
      <c r="V1895" s="73"/>
      <c r="W1895" s="73"/>
      <c r="X1895" s="73"/>
      <c r="Y1895" s="73"/>
      <c r="Z1895" s="73"/>
      <c r="AA1895" s="73"/>
      <c r="AB1895" s="73"/>
    </row>
    <row r="1896">
      <c r="A1896" s="73"/>
      <c r="B1896" s="73">
        <v>436748.9954</v>
      </c>
      <c r="C1896" s="73">
        <v>6.50493350731297E7</v>
      </c>
      <c r="D1896" s="73">
        <v>1.89766062559945E7</v>
      </c>
      <c r="E1896" s="73">
        <v>3113975.08093549</v>
      </c>
      <c r="F1896" s="73"/>
      <c r="G1896" s="73"/>
      <c r="H1896" s="73"/>
      <c r="I1896" s="73"/>
      <c r="J1896" s="73"/>
      <c r="K1896" s="73"/>
      <c r="L1896" s="73"/>
      <c r="M1896" s="73"/>
      <c r="N1896" s="73"/>
      <c r="O1896" s="73"/>
      <c r="P1896" s="73"/>
      <c r="Q1896" s="73"/>
      <c r="R1896" s="73"/>
      <c r="S1896" s="73"/>
      <c r="T1896" s="73"/>
      <c r="U1896" s="73"/>
      <c r="V1896" s="73"/>
      <c r="W1896" s="73"/>
      <c r="X1896" s="73"/>
      <c r="Y1896" s="73"/>
      <c r="Z1896" s="73"/>
      <c r="AA1896" s="73"/>
      <c r="AB1896" s="73"/>
    </row>
    <row r="1897">
      <c r="A1897" s="73"/>
      <c r="B1897" s="73">
        <v>437495.0906</v>
      </c>
      <c r="C1897" s="73">
        <v>6.51428343505325E7</v>
      </c>
      <c r="D1897" s="73">
        <v>1.90149298879954E7</v>
      </c>
      <c r="E1897" s="73">
        <v>3118683.52461639</v>
      </c>
      <c r="F1897" s="73"/>
      <c r="G1897" s="73"/>
      <c r="H1897" s="73"/>
      <c r="I1897" s="73"/>
      <c r="J1897" s="73"/>
      <c r="K1897" s="73"/>
      <c r="L1897" s="73"/>
      <c r="M1897" s="73"/>
      <c r="N1897" s="73"/>
      <c r="O1897" s="73"/>
      <c r="P1897" s="73"/>
      <c r="Q1897" s="73"/>
      <c r="R1897" s="73"/>
      <c r="S1897" s="73"/>
      <c r="T1897" s="73"/>
      <c r="U1897" s="73"/>
      <c r="V1897" s="73"/>
      <c r="W1897" s="73"/>
      <c r="X1897" s="73"/>
      <c r="Y1897" s="73"/>
      <c r="Z1897" s="73"/>
      <c r="AA1897" s="73"/>
      <c r="AB1897" s="73"/>
    </row>
    <row r="1898">
      <c r="A1898" s="73"/>
      <c r="B1898" s="73">
        <v>438242.1358</v>
      </c>
      <c r="C1898" s="73">
        <v>6.52364242679329E7</v>
      </c>
      <c r="D1898" s="73">
        <v>1.90533027719963E7</v>
      </c>
      <c r="E1898" s="73">
        <v>3123397.23795118</v>
      </c>
      <c r="F1898" s="73"/>
      <c r="G1898" s="73"/>
      <c r="H1898" s="73"/>
      <c r="I1898" s="73"/>
      <c r="J1898" s="73"/>
      <c r="K1898" s="73"/>
      <c r="L1898" s="73"/>
      <c r="M1898" s="73"/>
      <c r="N1898" s="73"/>
      <c r="O1898" s="73"/>
      <c r="P1898" s="73"/>
      <c r="Q1898" s="73"/>
      <c r="R1898" s="73"/>
      <c r="S1898" s="73"/>
      <c r="T1898" s="73"/>
      <c r="U1898" s="73"/>
      <c r="V1898" s="73"/>
      <c r="W1898" s="73"/>
      <c r="X1898" s="73"/>
      <c r="Y1898" s="73"/>
      <c r="Z1898" s="73"/>
      <c r="AA1898" s="73"/>
      <c r="AB1898" s="73"/>
    </row>
    <row r="1899">
      <c r="A1899" s="73"/>
      <c r="B1899" s="73">
        <v>438990.1536</v>
      </c>
      <c r="C1899" s="73">
        <v>6.5330096585331E7</v>
      </c>
      <c r="D1899" s="73">
        <v>1.90917262999973E7</v>
      </c>
      <c r="E1899" s="73">
        <v>3128116.96468884</v>
      </c>
      <c r="F1899" s="73"/>
      <c r="G1899" s="73"/>
      <c r="H1899" s="73"/>
      <c r="I1899" s="73"/>
      <c r="J1899" s="73"/>
      <c r="K1899" s="73"/>
      <c r="L1899" s="73"/>
      <c r="M1899" s="73"/>
      <c r="N1899" s="73"/>
      <c r="O1899" s="73"/>
      <c r="P1899" s="73"/>
      <c r="Q1899" s="73"/>
      <c r="R1899" s="73"/>
      <c r="S1899" s="73"/>
      <c r="T1899" s="73"/>
      <c r="U1899" s="73"/>
      <c r="V1899" s="73"/>
      <c r="W1899" s="73"/>
      <c r="X1899" s="73"/>
      <c r="Y1899" s="73"/>
      <c r="Z1899" s="73"/>
      <c r="AA1899" s="73"/>
      <c r="AB1899" s="73"/>
    </row>
    <row r="1900">
      <c r="A1900" s="73"/>
      <c r="B1900" s="73">
        <v>439739.1143</v>
      </c>
      <c r="C1900" s="73">
        <v>6.54238513027267E7</v>
      </c>
      <c r="D1900" s="73">
        <v>1.91302003199982E7</v>
      </c>
      <c r="E1900" s="73">
        <v>3132842.23229464</v>
      </c>
      <c r="F1900" s="73"/>
      <c r="G1900" s="73"/>
      <c r="H1900" s="73"/>
      <c r="I1900" s="73"/>
      <c r="J1900" s="73"/>
      <c r="K1900" s="73"/>
      <c r="L1900" s="73"/>
      <c r="M1900" s="73"/>
      <c r="N1900" s="73"/>
      <c r="O1900" s="73"/>
      <c r="P1900" s="73"/>
      <c r="Q1900" s="73"/>
      <c r="R1900" s="73"/>
      <c r="S1900" s="73"/>
      <c r="T1900" s="73"/>
      <c r="U1900" s="73"/>
      <c r="V1900" s="73"/>
      <c r="W1900" s="73"/>
      <c r="X1900" s="73"/>
      <c r="Y1900" s="73"/>
      <c r="Z1900" s="73"/>
      <c r="AA1900" s="73"/>
      <c r="AB1900" s="73"/>
    </row>
    <row r="1901">
      <c r="A1901" s="73"/>
      <c r="B1901" s="73">
        <v>440489.0376</v>
      </c>
      <c r="C1901" s="73">
        <v>6.55176884201202E7</v>
      </c>
      <c r="D1901" s="73">
        <v>1.91687249079991E7</v>
      </c>
      <c r="E1901" s="73">
        <v>3137573.10329201</v>
      </c>
      <c r="F1901" s="73"/>
      <c r="G1901" s="73"/>
      <c r="H1901" s="73"/>
      <c r="I1901" s="73"/>
      <c r="J1901" s="73"/>
      <c r="K1901" s="73"/>
      <c r="L1901" s="73"/>
      <c r="M1901" s="73"/>
      <c r="N1901" s="73"/>
      <c r="O1901" s="73"/>
      <c r="P1901" s="73"/>
      <c r="Q1901" s="73"/>
      <c r="R1901" s="73"/>
      <c r="S1901" s="73"/>
      <c r="T1901" s="73"/>
      <c r="U1901" s="73"/>
      <c r="V1901" s="73"/>
      <c r="W1901" s="73"/>
      <c r="X1901" s="73"/>
      <c r="Y1901" s="73"/>
      <c r="Z1901" s="73"/>
      <c r="AA1901" s="73"/>
      <c r="AB1901" s="73"/>
    </row>
    <row r="1902">
      <c r="A1902" s="73"/>
      <c r="B1902" s="73">
        <v>441239.9138</v>
      </c>
      <c r="C1902" s="73">
        <v>6.56116161775112E7</v>
      </c>
      <c r="D1902" s="73">
        <v>1.9207300064E7</v>
      </c>
      <c r="E1902" s="73">
        <v>3142309.92583131</v>
      </c>
      <c r="F1902" s="73"/>
      <c r="G1902" s="73"/>
      <c r="H1902" s="73"/>
      <c r="I1902" s="73"/>
      <c r="J1902" s="73"/>
      <c r="K1902" s="73"/>
      <c r="L1902" s="73"/>
      <c r="M1902" s="73"/>
      <c r="N1902" s="73"/>
      <c r="O1902" s="73"/>
      <c r="P1902" s="73"/>
      <c r="Q1902" s="73"/>
      <c r="R1902" s="73"/>
      <c r="S1902" s="73"/>
      <c r="T1902" s="73"/>
      <c r="U1902" s="73"/>
      <c r="V1902" s="73"/>
      <c r="W1902" s="73"/>
      <c r="X1902" s="73"/>
      <c r="Y1902" s="73"/>
      <c r="Z1902" s="73"/>
      <c r="AA1902" s="73"/>
      <c r="AB1902" s="73"/>
    </row>
    <row r="1903">
      <c r="A1903" s="73"/>
      <c r="B1903" s="73">
        <v>441991.7526</v>
      </c>
      <c r="C1903" s="73">
        <v>6.57056263348999E7</v>
      </c>
      <c r="D1903" s="73">
        <v>1.92459245080009E7</v>
      </c>
      <c r="E1903" s="73">
        <v>3147052.20526356</v>
      </c>
      <c r="F1903" s="73"/>
      <c r="G1903" s="73"/>
      <c r="H1903" s="73"/>
      <c r="I1903" s="73"/>
      <c r="J1903" s="73"/>
      <c r="K1903" s="73"/>
      <c r="L1903" s="73"/>
      <c r="M1903" s="73"/>
      <c r="N1903" s="73"/>
      <c r="O1903" s="73"/>
      <c r="P1903" s="73"/>
      <c r="Q1903" s="73"/>
      <c r="R1903" s="73"/>
      <c r="S1903" s="73"/>
      <c r="T1903" s="73"/>
      <c r="U1903" s="73"/>
      <c r="V1903" s="73"/>
      <c r="W1903" s="73"/>
      <c r="X1903" s="73"/>
      <c r="Y1903" s="73"/>
      <c r="Z1903" s="73"/>
      <c r="AA1903" s="73"/>
      <c r="AB1903" s="73"/>
    </row>
    <row r="1904">
      <c r="A1904" s="73"/>
      <c r="B1904" s="73">
        <v>442744.5543</v>
      </c>
      <c r="C1904" s="73">
        <v>6.57997271322861E7</v>
      </c>
      <c r="D1904" s="73">
        <v>1.92846008000018E7</v>
      </c>
      <c r="E1904" s="73">
        <v>3151800.19268288</v>
      </c>
      <c r="F1904" s="73"/>
      <c r="G1904" s="73"/>
      <c r="H1904" s="73"/>
      <c r="I1904" s="73"/>
      <c r="J1904" s="73"/>
      <c r="K1904" s="73"/>
      <c r="L1904" s="73"/>
      <c r="M1904" s="73"/>
      <c r="N1904" s="73"/>
      <c r="O1904" s="73"/>
      <c r="P1904" s="73"/>
      <c r="Q1904" s="73"/>
      <c r="R1904" s="73"/>
      <c r="S1904" s="73"/>
      <c r="T1904" s="73"/>
      <c r="U1904" s="73"/>
      <c r="V1904" s="73"/>
      <c r="W1904" s="73"/>
      <c r="X1904" s="73"/>
      <c r="Y1904" s="73"/>
      <c r="Z1904" s="73"/>
      <c r="AA1904" s="73"/>
      <c r="AB1904" s="73"/>
    </row>
    <row r="1905">
      <c r="A1905" s="73"/>
      <c r="B1905" s="73">
        <v>443498.3086</v>
      </c>
      <c r="C1905" s="73">
        <v>6.58939020896702E7</v>
      </c>
      <c r="D1905" s="73">
        <v>1.93233276599951E7</v>
      </c>
      <c r="E1905" s="73">
        <v>3156553.97587052</v>
      </c>
      <c r="F1905" s="73"/>
      <c r="G1905" s="73"/>
      <c r="H1905" s="73"/>
      <c r="I1905" s="73"/>
      <c r="J1905" s="73"/>
      <c r="K1905" s="73"/>
      <c r="L1905" s="73"/>
      <c r="M1905" s="73"/>
      <c r="N1905" s="73"/>
      <c r="O1905" s="73"/>
      <c r="P1905" s="73"/>
      <c r="Q1905" s="73"/>
      <c r="R1905" s="73"/>
      <c r="S1905" s="73"/>
      <c r="T1905" s="73"/>
      <c r="U1905" s="73"/>
      <c r="V1905" s="73"/>
      <c r="W1905" s="73"/>
      <c r="X1905" s="73"/>
      <c r="Y1905" s="73"/>
      <c r="Z1905" s="73"/>
      <c r="AA1905" s="73"/>
      <c r="AB1905" s="73"/>
    </row>
    <row r="1906">
      <c r="A1906" s="73"/>
      <c r="B1906" s="73">
        <v>444253.0186</v>
      </c>
      <c r="C1906" s="73">
        <v>6.59881759270515E7</v>
      </c>
      <c r="D1906" s="73">
        <v>1.9362103771996E7</v>
      </c>
      <c r="E1906" s="73">
        <v>3161313.47400147</v>
      </c>
      <c r="F1906" s="73"/>
      <c r="G1906" s="73"/>
      <c r="H1906" s="73"/>
      <c r="I1906" s="73"/>
      <c r="J1906" s="73"/>
      <c r="K1906" s="73"/>
      <c r="L1906" s="73"/>
      <c r="M1906" s="73"/>
      <c r="N1906" s="73"/>
      <c r="O1906" s="73"/>
      <c r="P1906" s="73"/>
      <c r="Q1906" s="73"/>
      <c r="R1906" s="73"/>
      <c r="S1906" s="73"/>
      <c r="T1906" s="73"/>
      <c r="U1906" s="73"/>
      <c r="V1906" s="73"/>
      <c r="W1906" s="73"/>
      <c r="X1906" s="73"/>
      <c r="Y1906" s="73"/>
      <c r="Z1906" s="73"/>
      <c r="AA1906" s="73"/>
      <c r="AB1906" s="73"/>
    </row>
    <row r="1907">
      <c r="A1907" s="73"/>
      <c r="B1907" s="73">
        <v>445008.6884</v>
      </c>
      <c r="C1907" s="73">
        <v>6.60825239244308E7</v>
      </c>
      <c r="D1907" s="73">
        <v>1.94009317679969E7</v>
      </c>
      <c r="E1907" s="73">
        <v>3166078.54049099</v>
      </c>
      <c r="F1907" s="73"/>
      <c r="G1907" s="73"/>
      <c r="H1907" s="73"/>
      <c r="I1907" s="73"/>
      <c r="J1907" s="73"/>
      <c r="K1907" s="73"/>
      <c r="L1907" s="73"/>
      <c r="M1907" s="73"/>
      <c r="N1907" s="73"/>
      <c r="O1907" s="73"/>
      <c r="P1907" s="73"/>
      <c r="Q1907" s="73"/>
      <c r="R1907" s="73"/>
      <c r="S1907" s="73"/>
      <c r="T1907" s="73"/>
      <c r="U1907" s="73"/>
      <c r="V1907" s="73"/>
      <c r="W1907" s="73"/>
      <c r="X1907" s="73"/>
      <c r="Y1907" s="73"/>
      <c r="Z1907" s="73"/>
      <c r="AA1907" s="73"/>
      <c r="AB1907" s="73"/>
    </row>
    <row r="1908">
      <c r="A1908" s="73"/>
      <c r="B1908" s="73">
        <v>445765.3139</v>
      </c>
      <c r="C1908" s="73">
        <v>6.61769625618076E7</v>
      </c>
      <c r="D1908" s="73">
        <v>1.94398102959979E7</v>
      </c>
      <c r="E1908" s="73">
        <v>3170849.38279433</v>
      </c>
      <c r="F1908" s="73"/>
      <c r="G1908" s="73"/>
      <c r="H1908" s="73"/>
      <c r="I1908" s="73"/>
      <c r="J1908" s="73"/>
      <c r="K1908" s="73"/>
      <c r="L1908" s="73"/>
      <c r="M1908" s="73"/>
      <c r="N1908" s="73"/>
      <c r="O1908" s="73"/>
      <c r="P1908" s="73"/>
      <c r="Q1908" s="73"/>
      <c r="R1908" s="73"/>
      <c r="S1908" s="73"/>
      <c r="T1908" s="73"/>
      <c r="U1908" s="73"/>
      <c r="V1908" s="73"/>
      <c r="W1908" s="73"/>
      <c r="X1908" s="73"/>
      <c r="Y1908" s="73"/>
      <c r="Z1908" s="73"/>
      <c r="AA1908" s="73"/>
      <c r="AB1908" s="73"/>
    </row>
    <row r="1909">
      <c r="A1909" s="73"/>
      <c r="B1909" s="73">
        <v>446522.8993</v>
      </c>
      <c r="C1909" s="73">
        <v>6.62714835991821E7</v>
      </c>
      <c r="D1909" s="73">
        <v>1.94787394279988E7</v>
      </c>
      <c r="E1909" s="73">
        <v>3175626.1455816</v>
      </c>
      <c r="F1909" s="73"/>
      <c r="G1909" s="73"/>
      <c r="H1909" s="73"/>
      <c r="I1909" s="73"/>
      <c r="J1909" s="73"/>
      <c r="K1909" s="73"/>
      <c r="L1909" s="73"/>
      <c r="M1909" s="73"/>
      <c r="N1909" s="73"/>
      <c r="O1909" s="73"/>
      <c r="P1909" s="73"/>
      <c r="Q1909" s="73"/>
      <c r="R1909" s="73"/>
      <c r="S1909" s="73"/>
      <c r="T1909" s="73"/>
      <c r="U1909" s="73"/>
      <c r="V1909" s="73"/>
      <c r="W1909" s="73"/>
      <c r="X1909" s="73"/>
      <c r="Y1909" s="73"/>
      <c r="Z1909" s="73"/>
      <c r="AA1909" s="73"/>
      <c r="AB1909" s="73"/>
    </row>
    <row r="1910">
      <c r="A1910" s="73"/>
      <c r="B1910" s="73">
        <v>447281.443</v>
      </c>
      <c r="C1910" s="73">
        <v>6.63660952765541E7</v>
      </c>
      <c r="D1910" s="73">
        <v>1.95177178119997E7</v>
      </c>
      <c r="E1910" s="73">
        <v>3180408.37536494</v>
      </c>
      <c r="F1910" s="73"/>
      <c r="G1910" s="73"/>
      <c r="H1910" s="73"/>
      <c r="I1910" s="73"/>
      <c r="J1910" s="73"/>
      <c r="K1910" s="73"/>
      <c r="L1910" s="73"/>
      <c r="M1910" s="73"/>
      <c r="N1910" s="73"/>
      <c r="O1910" s="73"/>
      <c r="P1910" s="73"/>
      <c r="Q1910" s="73"/>
      <c r="R1910" s="73"/>
      <c r="S1910" s="73"/>
      <c r="T1910" s="73"/>
      <c r="U1910" s="73"/>
      <c r="V1910" s="73"/>
      <c r="W1910" s="73"/>
      <c r="X1910" s="73"/>
      <c r="Y1910" s="73"/>
      <c r="Z1910" s="73"/>
      <c r="AA1910" s="73"/>
      <c r="AB1910" s="73"/>
    </row>
    <row r="1911">
      <c r="A1911" s="73"/>
      <c r="B1911" s="73">
        <v>448040.9567</v>
      </c>
      <c r="C1911" s="73">
        <v>6.64607893539238E7</v>
      </c>
      <c r="D1911" s="73">
        <v>1.95567480440006E7</v>
      </c>
      <c r="E1911" s="73">
        <v>3185196.5154496</v>
      </c>
      <c r="F1911" s="73"/>
      <c r="G1911" s="73"/>
      <c r="H1911" s="73"/>
      <c r="I1911" s="73"/>
      <c r="J1911" s="73"/>
      <c r="K1911" s="73"/>
      <c r="L1911" s="73"/>
      <c r="M1911" s="73"/>
      <c r="N1911" s="73"/>
      <c r="O1911" s="73"/>
      <c r="P1911" s="73"/>
      <c r="Q1911" s="73"/>
      <c r="R1911" s="73"/>
      <c r="S1911" s="73"/>
      <c r="T1911" s="73"/>
      <c r="U1911" s="73"/>
      <c r="V1911" s="73"/>
      <c r="W1911" s="73"/>
      <c r="X1911" s="73"/>
      <c r="Y1911" s="73"/>
      <c r="Z1911" s="73"/>
      <c r="AA1911" s="73"/>
      <c r="AB1911" s="73"/>
    </row>
    <row r="1912">
      <c r="A1912" s="73"/>
      <c r="B1912" s="73">
        <v>448801.4159</v>
      </c>
      <c r="C1912" s="73">
        <v>6.65555658312912E7</v>
      </c>
      <c r="D1912" s="73">
        <v>1.95958300840015E7</v>
      </c>
      <c r="E1912" s="73">
        <v>3189990.29569457</v>
      </c>
      <c r="F1912" s="73"/>
      <c r="G1912" s="73"/>
      <c r="H1912" s="73"/>
      <c r="I1912" s="73"/>
      <c r="J1912" s="73"/>
      <c r="K1912" s="73"/>
      <c r="L1912" s="73"/>
      <c r="M1912" s="73"/>
      <c r="N1912" s="73"/>
      <c r="O1912" s="73"/>
      <c r="P1912" s="73"/>
      <c r="Q1912" s="73"/>
      <c r="R1912" s="73"/>
      <c r="S1912" s="73"/>
      <c r="T1912" s="73"/>
      <c r="U1912" s="73"/>
      <c r="V1912" s="73"/>
      <c r="W1912" s="73"/>
      <c r="X1912" s="73"/>
      <c r="Y1912" s="73"/>
      <c r="Z1912" s="73"/>
      <c r="AA1912" s="73"/>
      <c r="AB1912" s="73"/>
    </row>
    <row r="1913">
      <c r="A1913" s="73"/>
      <c r="B1913" s="73">
        <v>449562.8379</v>
      </c>
      <c r="C1913" s="73">
        <v>6.66504329486561E7</v>
      </c>
      <c r="D1913" s="73">
        <v>1.96349614519948E7</v>
      </c>
      <c r="E1913" s="73">
        <v>3194789.65978737</v>
      </c>
      <c r="F1913" s="73"/>
      <c r="G1913" s="73"/>
      <c r="H1913" s="73"/>
      <c r="I1913" s="73"/>
      <c r="J1913" s="73"/>
      <c r="K1913" s="73"/>
      <c r="L1913" s="73"/>
      <c r="M1913" s="73"/>
      <c r="N1913" s="73"/>
      <c r="O1913" s="73"/>
      <c r="P1913" s="73"/>
      <c r="Q1913" s="73"/>
      <c r="R1913" s="73"/>
      <c r="S1913" s="73"/>
      <c r="T1913" s="73"/>
      <c r="U1913" s="73"/>
      <c r="V1913" s="73"/>
      <c r="W1913" s="73"/>
      <c r="X1913" s="73"/>
      <c r="Y1913" s="73"/>
      <c r="Z1913" s="73"/>
      <c r="AA1913" s="73"/>
      <c r="AB1913" s="73"/>
    </row>
    <row r="1914">
      <c r="A1914" s="73"/>
      <c r="B1914" s="73">
        <v>450325.2255</v>
      </c>
      <c r="C1914" s="73">
        <v>6.67453824660187E7</v>
      </c>
      <c r="D1914" s="73">
        <v>1.96741433879957E7</v>
      </c>
      <c r="E1914" s="73">
        <v>3199595.09997209</v>
      </c>
      <c r="F1914" s="73"/>
      <c r="G1914" s="73"/>
      <c r="H1914" s="73"/>
      <c r="I1914" s="73"/>
      <c r="J1914" s="73"/>
      <c r="K1914" s="73"/>
      <c r="L1914" s="73"/>
      <c r="M1914" s="73"/>
      <c r="N1914" s="73"/>
      <c r="O1914" s="73"/>
      <c r="P1914" s="73"/>
      <c r="Q1914" s="73"/>
      <c r="R1914" s="73"/>
      <c r="S1914" s="73"/>
      <c r="T1914" s="73"/>
      <c r="U1914" s="73"/>
      <c r="V1914" s="73"/>
      <c r="W1914" s="73"/>
      <c r="X1914" s="73"/>
      <c r="Y1914" s="73"/>
      <c r="Z1914" s="73"/>
      <c r="AA1914" s="73"/>
      <c r="AB1914" s="73"/>
    </row>
    <row r="1915">
      <c r="A1915" s="73"/>
      <c r="B1915" s="73">
        <v>451088.5586</v>
      </c>
      <c r="C1915" s="73">
        <v>6.6840414383379E7</v>
      </c>
      <c r="D1915" s="73">
        <v>1.97133771359966E7</v>
      </c>
      <c r="E1915" s="73">
        <v>3204406.13096088</v>
      </c>
      <c r="F1915" s="73"/>
      <c r="G1915" s="73"/>
      <c r="H1915" s="73"/>
      <c r="I1915" s="73"/>
      <c r="J1915" s="73"/>
      <c r="K1915" s="73"/>
      <c r="L1915" s="73"/>
      <c r="M1915" s="73"/>
      <c r="N1915" s="73"/>
      <c r="O1915" s="73"/>
      <c r="P1915" s="73"/>
      <c r="Q1915" s="73"/>
      <c r="R1915" s="73"/>
      <c r="S1915" s="73"/>
      <c r="T1915" s="73"/>
      <c r="U1915" s="73"/>
      <c r="V1915" s="73"/>
      <c r="W1915" s="73"/>
      <c r="X1915" s="73"/>
      <c r="Y1915" s="73"/>
      <c r="Z1915" s="73"/>
      <c r="AA1915" s="73"/>
      <c r="AB1915" s="73"/>
    </row>
    <row r="1916">
      <c r="A1916" s="73"/>
      <c r="B1916" s="73">
        <v>451852.8645</v>
      </c>
      <c r="C1916" s="73">
        <v>6.69355369407368E7</v>
      </c>
      <c r="D1916" s="73">
        <v>1.97526614479976E7</v>
      </c>
      <c r="E1916" s="73">
        <v>3209222.74298187</v>
      </c>
      <c r="F1916" s="73"/>
      <c r="G1916" s="73"/>
      <c r="H1916" s="73"/>
      <c r="I1916" s="73"/>
      <c r="J1916" s="73"/>
      <c r="K1916" s="73"/>
      <c r="L1916" s="73"/>
      <c r="M1916" s="73"/>
      <c r="N1916" s="73"/>
      <c r="O1916" s="73"/>
      <c r="P1916" s="73"/>
      <c r="Q1916" s="73"/>
      <c r="R1916" s="73"/>
      <c r="S1916" s="73"/>
      <c r="T1916" s="73"/>
      <c r="U1916" s="73"/>
      <c r="V1916" s="73"/>
      <c r="W1916" s="73"/>
      <c r="X1916" s="73"/>
      <c r="Y1916" s="73"/>
      <c r="Z1916" s="73"/>
      <c r="AA1916" s="73"/>
      <c r="AB1916" s="73"/>
    </row>
    <row r="1917">
      <c r="A1917" s="73"/>
      <c r="B1917" s="73">
        <v>452618.1231</v>
      </c>
      <c r="C1917" s="73">
        <v>6.70307336580925E7</v>
      </c>
      <c r="D1917" s="73">
        <v>1.97919963679985E7</v>
      </c>
      <c r="E1917" s="73">
        <v>3214045.42728541</v>
      </c>
      <c r="F1917" s="73"/>
      <c r="G1917" s="73"/>
      <c r="H1917" s="73"/>
      <c r="I1917" s="73"/>
      <c r="J1917" s="73"/>
      <c r="K1917" s="73"/>
      <c r="L1917" s="73"/>
      <c r="M1917" s="73"/>
      <c r="N1917" s="73"/>
      <c r="O1917" s="73"/>
      <c r="P1917" s="73"/>
      <c r="Q1917" s="73"/>
      <c r="R1917" s="73"/>
      <c r="S1917" s="73"/>
      <c r="T1917" s="73"/>
      <c r="U1917" s="73"/>
      <c r="V1917" s="73"/>
      <c r="W1917" s="73"/>
      <c r="X1917" s="73"/>
      <c r="Y1917" s="73"/>
      <c r="Z1917" s="73"/>
      <c r="AA1917" s="73"/>
      <c r="AB1917" s="73"/>
    </row>
    <row r="1918">
      <c r="A1918" s="73"/>
      <c r="B1918" s="73">
        <v>453384.3473</v>
      </c>
      <c r="C1918" s="73">
        <v>6.71260374954453E7</v>
      </c>
      <c r="D1918" s="73">
        <v>1.98313830999994E7</v>
      </c>
      <c r="E1918" s="73">
        <v>3218873.72508365</v>
      </c>
      <c r="F1918" s="73"/>
      <c r="G1918" s="73"/>
      <c r="H1918" s="73"/>
      <c r="I1918" s="73"/>
      <c r="J1918" s="73"/>
      <c r="K1918" s="73"/>
      <c r="L1918" s="73"/>
      <c r="M1918" s="73"/>
      <c r="N1918" s="73"/>
      <c r="O1918" s="73"/>
      <c r="P1918" s="73"/>
      <c r="Q1918" s="73"/>
      <c r="R1918" s="73"/>
      <c r="S1918" s="73"/>
      <c r="T1918" s="73"/>
      <c r="U1918" s="73"/>
      <c r="V1918" s="73"/>
      <c r="W1918" s="73"/>
      <c r="X1918" s="73"/>
      <c r="Y1918" s="73"/>
      <c r="Z1918" s="73"/>
      <c r="AA1918" s="73"/>
      <c r="AB1918" s="73"/>
    </row>
    <row r="1919">
      <c r="A1919" s="73"/>
      <c r="B1919" s="73">
        <v>454151.5271</v>
      </c>
      <c r="C1919" s="73">
        <v>6.72214154927959E7</v>
      </c>
      <c r="D1919" s="73">
        <v>1.98708203600003E7</v>
      </c>
      <c r="E1919" s="73">
        <v>3223707.68391095</v>
      </c>
      <c r="F1919" s="73"/>
      <c r="G1919" s="73"/>
      <c r="H1919" s="73"/>
      <c r="I1919" s="73"/>
      <c r="J1919" s="73"/>
      <c r="K1919" s="73"/>
      <c r="L1919" s="73"/>
      <c r="M1919" s="73"/>
      <c r="N1919" s="73"/>
      <c r="O1919" s="73"/>
      <c r="P1919" s="73"/>
      <c r="Q1919" s="73"/>
      <c r="R1919" s="73"/>
      <c r="S1919" s="73"/>
      <c r="T1919" s="73"/>
      <c r="U1919" s="73"/>
      <c r="V1919" s="73"/>
      <c r="W1919" s="73"/>
      <c r="X1919" s="73"/>
      <c r="Y1919" s="73"/>
      <c r="Z1919" s="73"/>
      <c r="AA1919" s="73"/>
      <c r="AB1919" s="73"/>
    </row>
    <row r="1920">
      <c r="A1920" s="73"/>
      <c r="B1920" s="73">
        <v>454919.6724</v>
      </c>
      <c r="C1920" s="73">
        <v>6.73168758901443E7</v>
      </c>
      <c r="D1920" s="73">
        <v>1.99103082640012E7</v>
      </c>
      <c r="E1920" s="73">
        <v>3228547.66665831</v>
      </c>
      <c r="F1920" s="73"/>
      <c r="G1920" s="73"/>
      <c r="H1920" s="73"/>
      <c r="I1920" s="73"/>
      <c r="J1920" s="73"/>
      <c r="K1920" s="73"/>
      <c r="L1920" s="73"/>
      <c r="M1920" s="73"/>
      <c r="N1920" s="73"/>
      <c r="O1920" s="73"/>
      <c r="P1920" s="73"/>
      <c r="Q1920" s="73"/>
      <c r="R1920" s="73"/>
      <c r="S1920" s="73"/>
      <c r="T1920" s="73"/>
      <c r="U1920" s="73"/>
      <c r="V1920" s="73"/>
      <c r="W1920" s="73"/>
      <c r="X1920" s="73"/>
      <c r="Y1920" s="73"/>
      <c r="Z1920" s="73"/>
      <c r="AA1920" s="73"/>
      <c r="AB1920" s="73"/>
    </row>
    <row r="1921">
      <c r="A1921" s="73"/>
      <c r="B1921" s="73">
        <v>455688.7733</v>
      </c>
      <c r="C1921" s="73">
        <v>6.74124186874905E7</v>
      </c>
      <c r="D1921" s="73">
        <v>1.99498466999945E7</v>
      </c>
      <c r="E1921" s="73">
        <v>3233393.25809724</v>
      </c>
      <c r="F1921" s="73"/>
      <c r="G1921" s="73"/>
      <c r="H1921" s="73"/>
      <c r="I1921" s="73"/>
      <c r="J1921" s="73"/>
      <c r="K1921" s="73"/>
      <c r="L1921" s="73"/>
      <c r="M1921" s="73"/>
      <c r="N1921" s="73"/>
      <c r="O1921" s="73"/>
      <c r="P1921" s="73"/>
      <c r="Q1921" s="73"/>
      <c r="R1921" s="73"/>
      <c r="S1921" s="73"/>
      <c r="T1921" s="73"/>
      <c r="U1921" s="73"/>
      <c r="V1921" s="73"/>
      <c r="W1921" s="73"/>
      <c r="X1921" s="73"/>
      <c r="Y1921" s="73"/>
      <c r="Z1921" s="73"/>
      <c r="AA1921" s="73"/>
      <c r="AB1921" s="73"/>
    </row>
    <row r="1922">
      <c r="A1922" s="73"/>
      <c r="B1922" s="73">
        <v>456458.8469</v>
      </c>
      <c r="C1922" s="73">
        <v>6.75080603648338E7</v>
      </c>
      <c r="D1922" s="73">
        <v>1.99894369439954E7</v>
      </c>
      <c r="E1922" s="73">
        <v>3238244.52050273</v>
      </c>
      <c r="F1922" s="73"/>
      <c r="G1922" s="73"/>
      <c r="H1922" s="73"/>
      <c r="I1922" s="73"/>
      <c r="J1922" s="73"/>
      <c r="K1922" s="73"/>
      <c r="L1922" s="73"/>
      <c r="M1922" s="73"/>
      <c r="N1922" s="73"/>
      <c r="O1922" s="73"/>
      <c r="P1922" s="73"/>
      <c r="Q1922" s="73"/>
      <c r="R1922" s="73"/>
      <c r="S1922" s="73"/>
      <c r="T1922" s="73"/>
      <c r="U1922" s="73"/>
      <c r="V1922" s="73"/>
      <c r="W1922" s="73"/>
      <c r="X1922" s="73"/>
      <c r="Y1922" s="73"/>
      <c r="Z1922" s="73"/>
      <c r="AA1922" s="73"/>
      <c r="AB1922" s="73"/>
    </row>
    <row r="1923">
      <c r="A1923" s="73"/>
      <c r="B1923" s="73">
        <v>457229.8661</v>
      </c>
      <c r="C1923" s="73">
        <v>6.76037762021751E7</v>
      </c>
      <c r="D1923" s="73">
        <v>2.00290790759963E7</v>
      </c>
      <c r="E1923" s="73">
        <v>3243101.64857029</v>
      </c>
      <c r="F1923" s="73"/>
      <c r="G1923" s="73"/>
      <c r="H1923" s="73"/>
      <c r="I1923" s="73"/>
      <c r="J1923" s="73"/>
      <c r="K1923" s="73"/>
      <c r="L1923" s="73"/>
      <c r="M1923" s="73"/>
      <c r="N1923" s="73"/>
      <c r="O1923" s="73"/>
      <c r="P1923" s="73"/>
      <c r="Q1923" s="73"/>
      <c r="R1923" s="73"/>
      <c r="S1923" s="73"/>
      <c r="T1923" s="73"/>
      <c r="U1923" s="73"/>
      <c r="V1923" s="73"/>
      <c r="W1923" s="73"/>
      <c r="X1923" s="73"/>
      <c r="Y1923" s="73"/>
      <c r="Z1923" s="73"/>
      <c r="AA1923" s="73"/>
      <c r="AB1923" s="73"/>
    </row>
    <row r="1924">
      <c r="A1924" s="73"/>
      <c r="B1924" s="73">
        <v>458001.8536</v>
      </c>
      <c r="C1924" s="73">
        <v>6.76995826795139E7</v>
      </c>
      <c r="D1924" s="73">
        <v>2.00687704959973E7</v>
      </c>
      <c r="E1924" s="73">
        <v>3247964.6462749</v>
      </c>
      <c r="F1924" s="73"/>
      <c r="G1924" s="73"/>
      <c r="H1924" s="73"/>
      <c r="I1924" s="73"/>
      <c r="J1924" s="73"/>
      <c r="K1924" s="73"/>
      <c r="L1924" s="73"/>
      <c r="M1924" s="73"/>
      <c r="N1924" s="73"/>
      <c r="O1924" s="73"/>
      <c r="P1924" s="73"/>
      <c r="Q1924" s="73"/>
      <c r="R1924" s="73"/>
      <c r="S1924" s="73"/>
      <c r="T1924" s="73"/>
      <c r="U1924" s="73"/>
      <c r="V1924" s="73"/>
      <c r="W1924" s="73"/>
      <c r="X1924" s="73"/>
      <c r="Y1924" s="73"/>
      <c r="Z1924" s="73"/>
      <c r="AA1924" s="73"/>
      <c r="AB1924" s="73"/>
    </row>
    <row r="1925">
      <c r="A1925" s="73"/>
      <c r="B1925" s="73">
        <v>458774.8011</v>
      </c>
      <c r="C1925" s="73">
        <v>6.77954715568504E7</v>
      </c>
      <c r="D1925" s="73">
        <v>2.01085150039982E7</v>
      </c>
      <c r="E1925" s="73">
        <v>3252833.41805095</v>
      </c>
      <c r="F1925" s="73"/>
      <c r="G1925" s="73"/>
      <c r="H1925" s="73"/>
      <c r="I1925" s="73"/>
      <c r="J1925" s="73"/>
      <c r="K1925" s="73"/>
      <c r="L1925" s="73"/>
      <c r="M1925" s="73"/>
      <c r="N1925" s="73"/>
      <c r="O1925" s="73"/>
      <c r="P1925" s="73"/>
      <c r="Q1925" s="73"/>
      <c r="R1925" s="73"/>
      <c r="S1925" s="73"/>
      <c r="T1925" s="73"/>
      <c r="U1925" s="73"/>
      <c r="V1925" s="73"/>
      <c r="W1925" s="73"/>
      <c r="X1925" s="73"/>
      <c r="Y1925" s="73"/>
      <c r="Z1925" s="73"/>
      <c r="AA1925" s="73"/>
      <c r="AB1925" s="73"/>
    </row>
    <row r="1926">
      <c r="A1926" s="73"/>
      <c r="B1926" s="73">
        <v>459548.7098</v>
      </c>
      <c r="C1926" s="73">
        <v>6.78914593141842E7</v>
      </c>
      <c r="D1926" s="73">
        <v>2.01483088399991E7</v>
      </c>
      <c r="E1926" s="73">
        <v>3257707.89872169</v>
      </c>
      <c r="F1926" s="73"/>
      <c r="G1926" s="73"/>
      <c r="H1926" s="73"/>
      <c r="I1926" s="73"/>
      <c r="J1926" s="73"/>
      <c r="K1926" s="73"/>
      <c r="L1926" s="73"/>
      <c r="M1926" s="73"/>
      <c r="N1926" s="73"/>
      <c r="O1926" s="73"/>
      <c r="P1926" s="73"/>
      <c r="Q1926" s="73"/>
      <c r="R1926" s="73"/>
      <c r="S1926" s="73"/>
      <c r="T1926" s="73"/>
      <c r="U1926" s="73"/>
      <c r="V1926" s="73"/>
      <c r="W1926" s="73"/>
      <c r="X1926" s="73"/>
      <c r="Y1926" s="73"/>
      <c r="Z1926" s="73"/>
      <c r="AA1926" s="73"/>
      <c r="AB1926" s="73"/>
    </row>
    <row r="1927">
      <c r="A1927" s="73"/>
      <c r="B1927" s="73">
        <v>460323.5813</v>
      </c>
      <c r="C1927" s="73">
        <v>6.79875129915161E7</v>
      </c>
      <c r="D1927" s="73">
        <v>2.0188154484E7</v>
      </c>
      <c r="E1927" s="73">
        <v>3262588.24422637</v>
      </c>
      <c r="F1927" s="73"/>
      <c r="G1927" s="73"/>
      <c r="H1927" s="73"/>
      <c r="I1927" s="73"/>
      <c r="J1927" s="73"/>
      <c r="K1927" s="73"/>
      <c r="L1927" s="73"/>
      <c r="M1927" s="73"/>
      <c r="N1927" s="73"/>
      <c r="O1927" s="73"/>
      <c r="P1927" s="73"/>
      <c r="Q1927" s="73"/>
      <c r="R1927" s="73"/>
      <c r="S1927" s="73"/>
      <c r="T1927" s="73"/>
      <c r="U1927" s="73"/>
      <c r="V1927" s="73"/>
      <c r="W1927" s="73"/>
      <c r="X1927" s="73"/>
      <c r="Y1927" s="73"/>
      <c r="Z1927" s="73"/>
      <c r="AA1927" s="73"/>
      <c r="AB1927" s="73"/>
    </row>
    <row r="1928">
      <c r="A1928" s="73"/>
      <c r="B1928" s="73">
        <v>461099.4183</v>
      </c>
      <c r="C1928" s="73">
        <v>6.80836655488453E7</v>
      </c>
      <c r="D1928" s="73">
        <v>2.02280519800009E7</v>
      </c>
      <c r="E1928" s="73">
        <v>3267474.37224936</v>
      </c>
      <c r="F1928" s="73"/>
      <c r="G1928" s="73"/>
      <c r="H1928" s="73"/>
      <c r="I1928" s="73"/>
      <c r="J1928" s="73"/>
      <c r="K1928" s="73"/>
      <c r="L1928" s="73"/>
      <c r="M1928" s="73"/>
      <c r="N1928" s="73"/>
      <c r="O1928" s="73"/>
      <c r="P1928" s="73"/>
      <c r="Q1928" s="73"/>
      <c r="R1928" s="73"/>
      <c r="S1928" s="73"/>
      <c r="T1928" s="73"/>
      <c r="U1928" s="73"/>
      <c r="V1928" s="73"/>
      <c r="W1928" s="73"/>
      <c r="X1928" s="73"/>
      <c r="Y1928" s="73"/>
      <c r="Z1928" s="73"/>
      <c r="AA1928" s="73"/>
      <c r="AB1928" s="73"/>
    </row>
    <row r="1929">
      <c r="A1929" s="73"/>
      <c r="B1929" s="73">
        <v>461876.2036</v>
      </c>
      <c r="C1929" s="73">
        <v>6.81799005061722E7</v>
      </c>
      <c r="D1929" s="73">
        <v>2.02680000800018E7</v>
      </c>
      <c r="E1929" s="73">
        <v>3272366.48286565</v>
      </c>
      <c r="F1929" s="73"/>
      <c r="G1929" s="73"/>
      <c r="H1929" s="73"/>
      <c r="I1929" s="73"/>
      <c r="J1929" s="73"/>
      <c r="K1929" s="73"/>
      <c r="L1929" s="73"/>
      <c r="M1929" s="73"/>
      <c r="N1929" s="73"/>
      <c r="O1929" s="73"/>
      <c r="P1929" s="73"/>
      <c r="Q1929" s="73"/>
      <c r="R1929" s="73"/>
      <c r="S1929" s="73"/>
      <c r="T1929" s="73"/>
      <c r="U1929" s="73"/>
      <c r="V1929" s="73"/>
      <c r="W1929" s="73"/>
      <c r="X1929" s="73"/>
      <c r="Y1929" s="73"/>
      <c r="Z1929" s="73"/>
      <c r="AA1929" s="73"/>
      <c r="AB1929" s="73"/>
    </row>
    <row r="1930">
      <c r="A1930" s="73"/>
      <c r="B1930" s="73">
        <v>462653.9646</v>
      </c>
      <c r="C1930" s="73">
        <v>6.82762261034966E7</v>
      </c>
      <c r="D1930" s="73">
        <v>2.03079999519951E7</v>
      </c>
      <c r="E1930" s="73">
        <v>3277264.13045789</v>
      </c>
      <c r="F1930" s="73"/>
      <c r="G1930" s="73"/>
      <c r="H1930" s="73"/>
      <c r="I1930" s="73"/>
      <c r="J1930" s="73"/>
      <c r="K1930" s="73"/>
      <c r="L1930" s="73"/>
      <c r="M1930" s="73"/>
      <c r="N1930" s="73"/>
      <c r="O1930" s="73"/>
      <c r="P1930" s="73"/>
      <c r="Q1930" s="73"/>
      <c r="R1930" s="73"/>
      <c r="S1930" s="73"/>
      <c r="T1930" s="73"/>
      <c r="U1930" s="73"/>
      <c r="V1930" s="73"/>
      <c r="W1930" s="73"/>
      <c r="X1930" s="73"/>
      <c r="Y1930" s="73"/>
      <c r="Z1930" s="73"/>
      <c r="AA1930" s="73"/>
      <c r="AB1930" s="73"/>
    </row>
    <row r="1931">
      <c r="A1931" s="73"/>
      <c r="B1931" s="73">
        <v>463432.6811</v>
      </c>
      <c r="C1931" s="73">
        <v>6.83726258608189E7</v>
      </c>
      <c r="D1931" s="73">
        <v>2.0348050467996E7</v>
      </c>
      <c r="E1931" s="73">
        <v>3282167.75285906</v>
      </c>
      <c r="F1931" s="73"/>
      <c r="G1931" s="73"/>
      <c r="H1931" s="73"/>
      <c r="I1931" s="73"/>
      <c r="J1931" s="73"/>
      <c r="K1931" s="73"/>
      <c r="L1931" s="73"/>
      <c r="M1931" s="73"/>
      <c r="N1931" s="73"/>
      <c r="O1931" s="73"/>
      <c r="P1931" s="73"/>
      <c r="Q1931" s="73"/>
      <c r="R1931" s="73"/>
      <c r="S1931" s="73"/>
      <c r="T1931" s="73"/>
      <c r="U1931" s="73"/>
      <c r="V1931" s="73"/>
      <c r="W1931" s="73"/>
      <c r="X1931" s="73"/>
      <c r="Y1931" s="73"/>
      <c r="Z1931" s="73"/>
      <c r="AA1931" s="73"/>
      <c r="AB1931" s="73"/>
    </row>
    <row r="1932">
      <c r="A1932" s="73"/>
      <c r="B1932" s="73">
        <v>464212.3631</v>
      </c>
      <c r="C1932" s="73">
        <v>6.84691244981384E7</v>
      </c>
      <c r="D1932" s="73">
        <v>2.0388152755997E7</v>
      </c>
      <c r="E1932" s="73">
        <v>3287077.08779867</v>
      </c>
      <c r="F1932" s="73"/>
      <c r="G1932" s="73"/>
      <c r="H1932" s="73"/>
      <c r="I1932" s="73"/>
      <c r="J1932" s="73"/>
      <c r="K1932" s="73"/>
      <c r="L1932" s="73"/>
      <c r="M1932" s="73"/>
      <c r="N1932" s="73"/>
      <c r="O1932" s="73"/>
      <c r="P1932" s="73"/>
      <c r="Q1932" s="73"/>
      <c r="R1932" s="73"/>
      <c r="S1932" s="73"/>
      <c r="T1932" s="73"/>
      <c r="U1932" s="73"/>
      <c r="V1932" s="73"/>
      <c r="W1932" s="73"/>
      <c r="X1932" s="73"/>
      <c r="Y1932" s="73"/>
      <c r="Z1932" s="73"/>
      <c r="AA1932" s="73"/>
      <c r="AB1932" s="73"/>
    </row>
    <row r="1933">
      <c r="A1933" s="73"/>
      <c r="B1933" s="73">
        <v>464993.0136</v>
      </c>
      <c r="C1933" s="73">
        <v>6.85657055354557E7</v>
      </c>
      <c r="D1933" s="73">
        <v>2.04283069679979E7</v>
      </c>
      <c r="E1933" s="73">
        <v>3291992.22016285</v>
      </c>
      <c r="F1933" s="73"/>
      <c r="G1933" s="73"/>
      <c r="H1933" s="73"/>
      <c r="I1933" s="73"/>
      <c r="J1933" s="73"/>
      <c r="K1933" s="73"/>
      <c r="L1933" s="73"/>
      <c r="M1933" s="73"/>
      <c r="N1933" s="73"/>
      <c r="O1933" s="73"/>
      <c r="P1933" s="73"/>
      <c r="Q1933" s="73"/>
      <c r="R1933" s="73"/>
      <c r="S1933" s="73"/>
      <c r="T1933" s="73"/>
      <c r="U1933" s="73"/>
      <c r="V1933" s="73"/>
      <c r="W1933" s="73"/>
      <c r="X1933" s="73"/>
      <c r="Y1933" s="73"/>
      <c r="Z1933" s="73"/>
      <c r="AA1933" s="73"/>
      <c r="AB1933" s="73"/>
    </row>
    <row r="1934">
      <c r="A1934" s="73"/>
      <c r="B1934" s="73">
        <v>465774.6224</v>
      </c>
      <c r="C1934" s="73">
        <v>6.86623689727707E7</v>
      </c>
      <c r="D1934" s="73">
        <v>2.04685117119988E7</v>
      </c>
      <c r="E1934" s="73">
        <v>3296913.42994394</v>
      </c>
      <c r="F1934" s="73"/>
      <c r="G1934" s="73"/>
      <c r="H1934" s="73"/>
      <c r="I1934" s="73"/>
      <c r="J1934" s="73"/>
      <c r="K1934" s="73"/>
      <c r="L1934" s="73"/>
      <c r="M1934" s="73"/>
      <c r="N1934" s="73"/>
      <c r="O1934" s="73"/>
      <c r="P1934" s="73"/>
      <c r="Q1934" s="73"/>
      <c r="R1934" s="73"/>
      <c r="S1934" s="73"/>
      <c r="T1934" s="73"/>
      <c r="U1934" s="73"/>
      <c r="V1934" s="73"/>
      <c r="W1934" s="73"/>
      <c r="X1934" s="73"/>
      <c r="Y1934" s="73"/>
      <c r="Z1934" s="73"/>
      <c r="AA1934" s="73"/>
      <c r="AB1934" s="73"/>
    </row>
    <row r="1935">
      <c r="A1935" s="73"/>
      <c r="B1935" s="73">
        <v>466557.1939</v>
      </c>
      <c r="C1935" s="73">
        <v>6.87591230500832E7</v>
      </c>
      <c r="D1935" s="73">
        <v>2.05087682639997E7</v>
      </c>
      <c r="E1935" s="73">
        <v>3301840.11019924</v>
      </c>
      <c r="F1935" s="73"/>
      <c r="G1935" s="73"/>
      <c r="H1935" s="73"/>
      <c r="I1935" s="73"/>
      <c r="J1935" s="73"/>
      <c r="K1935" s="73"/>
      <c r="L1935" s="73"/>
      <c r="M1935" s="73"/>
      <c r="N1935" s="73"/>
      <c r="O1935" s="73"/>
      <c r="P1935" s="73"/>
      <c r="Q1935" s="73"/>
      <c r="R1935" s="73"/>
      <c r="S1935" s="73"/>
      <c r="T1935" s="73"/>
      <c r="U1935" s="73"/>
      <c r="V1935" s="73"/>
      <c r="W1935" s="73"/>
      <c r="X1935" s="73"/>
      <c r="Y1935" s="73"/>
      <c r="Z1935" s="73"/>
      <c r="AA1935" s="73"/>
      <c r="AB1935" s="73"/>
    </row>
    <row r="1936">
      <c r="A1936" s="73"/>
      <c r="B1936" s="73">
        <v>467340.7239</v>
      </c>
      <c r="C1936" s="73">
        <v>6.88559512873936E7</v>
      </c>
      <c r="D1936" s="73">
        <v>2.05490767040006E7</v>
      </c>
      <c r="E1936" s="73">
        <v>3306772.95863396</v>
      </c>
      <c r="F1936" s="73"/>
      <c r="G1936" s="73"/>
      <c r="H1936" s="73"/>
      <c r="I1936" s="73"/>
      <c r="J1936" s="73"/>
      <c r="K1936" s="73"/>
      <c r="L1936" s="73"/>
      <c r="M1936" s="73"/>
      <c r="N1936" s="73"/>
      <c r="O1936" s="73"/>
      <c r="P1936" s="73"/>
      <c r="Q1936" s="73"/>
      <c r="R1936" s="73"/>
      <c r="S1936" s="73"/>
      <c r="T1936" s="73"/>
      <c r="U1936" s="73"/>
      <c r="V1936" s="73"/>
      <c r="W1936" s="73"/>
      <c r="X1936" s="73"/>
      <c r="Y1936" s="73"/>
      <c r="Z1936" s="73"/>
      <c r="AA1936" s="73"/>
      <c r="AB1936" s="73"/>
    </row>
    <row r="1937">
      <c r="A1937" s="73"/>
      <c r="B1937" s="73">
        <v>468125.2194</v>
      </c>
      <c r="C1937" s="73">
        <v>6.8952886644701E7</v>
      </c>
      <c r="D1937" s="73">
        <v>2.05894369920015E7</v>
      </c>
      <c r="E1937" s="73">
        <v>3311711.61492761</v>
      </c>
      <c r="F1937" s="73"/>
      <c r="G1937" s="73"/>
      <c r="H1937" s="73"/>
      <c r="I1937" s="73"/>
      <c r="J1937" s="73"/>
      <c r="K1937" s="73"/>
      <c r="L1937" s="73"/>
      <c r="M1937" s="73"/>
      <c r="N1937" s="73"/>
      <c r="O1937" s="73"/>
      <c r="P1937" s="73"/>
      <c r="Q1937" s="73"/>
      <c r="R1937" s="73"/>
      <c r="S1937" s="73"/>
      <c r="T1937" s="73"/>
      <c r="U1937" s="73"/>
      <c r="V1937" s="73"/>
      <c r="W1937" s="73"/>
      <c r="X1937" s="73"/>
      <c r="Y1937" s="73"/>
      <c r="Z1937" s="73"/>
      <c r="AA1937" s="73"/>
      <c r="AB1937" s="73"/>
    </row>
    <row r="1938">
      <c r="A1938" s="73"/>
      <c r="B1938" s="73">
        <v>468910.6733</v>
      </c>
      <c r="C1938" s="73">
        <v>6.90498961620064E7</v>
      </c>
      <c r="D1938" s="73">
        <v>2.06298478079948E7</v>
      </c>
      <c r="E1938" s="73">
        <v>3316655.83543922</v>
      </c>
      <c r="F1938" s="73"/>
      <c r="G1938" s="73"/>
      <c r="H1938" s="73"/>
      <c r="I1938" s="73"/>
      <c r="J1938" s="73"/>
      <c r="K1938" s="73"/>
      <c r="L1938" s="73"/>
      <c r="M1938" s="73"/>
      <c r="N1938" s="73"/>
      <c r="O1938" s="73"/>
      <c r="P1938" s="73"/>
      <c r="Q1938" s="73"/>
      <c r="R1938" s="73"/>
      <c r="S1938" s="73"/>
      <c r="T1938" s="73"/>
      <c r="U1938" s="73"/>
      <c r="V1938" s="73"/>
      <c r="W1938" s="73"/>
      <c r="X1938" s="73"/>
      <c r="Y1938" s="73"/>
      <c r="Z1938" s="73"/>
      <c r="AA1938" s="73"/>
      <c r="AB1938" s="73"/>
    </row>
    <row r="1939">
      <c r="A1939" s="73"/>
      <c r="B1939" s="73">
        <v>469697.0955</v>
      </c>
      <c r="C1939" s="73">
        <v>6.91469880793095E7</v>
      </c>
      <c r="D1939" s="73">
        <v>2.06703105119957E7</v>
      </c>
      <c r="E1939" s="73">
        <v>3321606.14628649</v>
      </c>
      <c r="F1939" s="73"/>
      <c r="G1939" s="73"/>
      <c r="H1939" s="73"/>
      <c r="I1939" s="73"/>
      <c r="J1939" s="73"/>
      <c r="K1939" s="73"/>
      <c r="L1939" s="73"/>
      <c r="M1939" s="73"/>
      <c r="N1939" s="73"/>
      <c r="O1939" s="73"/>
      <c r="P1939" s="73"/>
      <c r="Q1939" s="73"/>
      <c r="R1939" s="73"/>
      <c r="S1939" s="73"/>
      <c r="T1939" s="73"/>
      <c r="U1939" s="73"/>
      <c r="V1939" s="73"/>
      <c r="W1939" s="73"/>
      <c r="X1939" s="73"/>
      <c r="Y1939" s="73"/>
      <c r="Z1939" s="73"/>
      <c r="AA1939" s="73"/>
      <c r="AB1939" s="73"/>
    </row>
    <row r="1940">
      <c r="A1940" s="73"/>
      <c r="B1940" s="73">
        <v>470484.4861</v>
      </c>
      <c r="C1940" s="73">
        <v>6.924417063661E7</v>
      </c>
      <c r="D1940" s="73">
        <v>2.07108237439966E7</v>
      </c>
      <c r="E1940" s="73">
        <v>3326562.27393645</v>
      </c>
      <c r="F1940" s="73"/>
      <c r="G1940" s="73"/>
      <c r="H1940" s="73"/>
      <c r="I1940" s="73"/>
      <c r="J1940" s="73"/>
      <c r="K1940" s="73"/>
      <c r="L1940" s="73"/>
      <c r="M1940" s="73"/>
      <c r="N1940" s="73"/>
      <c r="O1940" s="73"/>
      <c r="P1940" s="73"/>
      <c r="Q1940" s="73"/>
      <c r="R1940" s="73"/>
      <c r="S1940" s="73"/>
      <c r="T1940" s="73"/>
      <c r="U1940" s="73"/>
      <c r="V1940" s="73"/>
      <c r="W1940" s="73"/>
      <c r="X1940" s="73"/>
      <c r="Y1940" s="73"/>
      <c r="Z1940" s="73"/>
      <c r="AA1940" s="73"/>
      <c r="AB1940" s="73"/>
    </row>
    <row r="1941">
      <c r="A1941" s="73"/>
      <c r="B1941" s="73">
        <v>471272.8395</v>
      </c>
      <c r="C1941" s="73">
        <v>6.93414355939083E7</v>
      </c>
      <c r="D1941" s="73">
        <v>2.07513901439976E7</v>
      </c>
      <c r="E1941" s="73">
        <v>3331524.15321235</v>
      </c>
      <c r="F1941" s="73"/>
      <c r="G1941" s="73"/>
      <c r="H1941" s="73"/>
      <c r="I1941" s="73"/>
      <c r="J1941" s="73"/>
      <c r="K1941" s="73"/>
      <c r="L1941" s="73"/>
      <c r="M1941" s="73"/>
      <c r="N1941" s="73"/>
      <c r="O1941" s="73"/>
      <c r="P1941" s="73"/>
      <c r="Q1941" s="73"/>
      <c r="R1941" s="73"/>
      <c r="S1941" s="73"/>
      <c r="T1941" s="73"/>
      <c r="U1941" s="73"/>
      <c r="V1941" s="73"/>
      <c r="W1941" s="73"/>
      <c r="X1941" s="73"/>
      <c r="Y1941" s="73"/>
      <c r="Z1941" s="73"/>
      <c r="AA1941" s="73"/>
      <c r="AB1941" s="73"/>
    </row>
    <row r="1942">
      <c r="A1942" s="73"/>
      <c r="B1942" s="73">
        <v>472062.1541</v>
      </c>
      <c r="C1942" s="73">
        <v>6.94387911912041E7</v>
      </c>
      <c r="D1942" s="73">
        <v>2.07920071119985E7</v>
      </c>
      <c r="E1942" s="73">
        <v>3336491.96555968</v>
      </c>
      <c r="F1942" s="73"/>
      <c r="G1942" s="73"/>
      <c r="H1942" s="73"/>
      <c r="I1942" s="73"/>
      <c r="J1942" s="73"/>
      <c r="K1942" s="73"/>
      <c r="L1942" s="73"/>
      <c r="M1942" s="73"/>
      <c r="N1942" s="73"/>
      <c r="O1942" s="73"/>
      <c r="P1942" s="73"/>
      <c r="Q1942" s="73"/>
      <c r="R1942" s="73"/>
      <c r="S1942" s="73"/>
      <c r="T1942" s="73"/>
      <c r="U1942" s="73"/>
      <c r="V1942" s="73"/>
      <c r="W1942" s="73"/>
      <c r="X1942" s="73"/>
      <c r="Y1942" s="73"/>
      <c r="Z1942" s="73"/>
      <c r="AA1942" s="73"/>
      <c r="AB1942" s="73"/>
    </row>
    <row r="1943">
      <c r="A1943" s="73"/>
      <c r="B1943" s="73">
        <v>472852.437</v>
      </c>
      <c r="C1943" s="73">
        <v>6.95362456684971E7</v>
      </c>
      <c r="D1943" s="73">
        <v>2.08326772079994E7</v>
      </c>
      <c r="E1943" s="73">
        <v>3341465.67420969</v>
      </c>
      <c r="F1943" s="73"/>
      <c r="G1943" s="73"/>
      <c r="H1943" s="73"/>
      <c r="I1943" s="73"/>
      <c r="J1943" s="73"/>
      <c r="K1943" s="73"/>
      <c r="L1943" s="73"/>
      <c r="M1943" s="73"/>
      <c r="N1943" s="73"/>
      <c r="O1943" s="73"/>
      <c r="P1943" s="73"/>
      <c r="Q1943" s="73"/>
      <c r="R1943" s="73"/>
      <c r="S1943" s="73"/>
      <c r="T1943" s="73"/>
      <c r="U1943" s="73"/>
      <c r="V1943" s="73"/>
      <c r="W1943" s="73"/>
      <c r="X1943" s="73"/>
      <c r="Y1943" s="73"/>
      <c r="Z1943" s="73"/>
      <c r="AA1943" s="73"/>
      <c r="AB1943" s="73"/>
    </row>
    <row r="1944">
      <c r="A1944" s="73"/>
      <c r="B1944" s="73">
        <v>473643.6755</v>
      </c>
      <c r="C1944" s="73">
        <v>6.96337660657883E7</v>
      </c>
      <c r="D1944" s="73">
        <v>2.08733977960003E7</v>
      </c>
      <c r="E1944" s="73">
        <v>3346445.23609989</v>
      </c>
      <c r="F1944" s="73"/>
      <c r="G1944" s="73"/>
      <c r="H1944" s="73"/>
      <c r="I1944" s="73"/>
      <c r="J1944" s="73"/>
      <c r="K1944" s="73"/>
      <c r="L1944" s="73"/>
      <c r="M1944" s="73"/>
      <c r="N1944" s="73"/>
      <c r="O1944" s="73"/>
      <c r="P1944" s="73"/>
      <c r="Q1944" s="73"/>
      <c r="R1944" s="73"/>
      <c r="S1944" s="73"/>
      <c r="T1944" s="73"/>
      <c r="U1944" s="73"/>
      <c r="V1944" s="73"/>
      <c r="W1944" s="73"/>
      <c r="X1944" s="73"/>
      <c r="Y1944" s="73"/>
      <c r="Z1944" s="73"/>
      <c r="AA1944" s="73"/>
      <c r="AB1944" s="73"/>
    </row>
    <row r="1945">
      <c r="A1945" s="73"/>
      <c r="B1945" s="73">
        <v>474435.8824</v>
      </c>
      <c r="C1945" s="73">
        <v>6.97313853430767E7</v>
      </c>
      <c r="D1945" s="73">
        <v>2.09141703080012E7</v>
      </c>
      <c r="E1945" s="73">
        <v>3351430.74000526</v>
      </c>
      <c r="F1945" s="73"/>
      <c r="G1945" s="73"/>
      <c r="H1945" s="73"/>
      <c r="I1945" s="73"/>
      <c r="J1945" s="73"/>
      <c r="K1945" s="73"/>
      <c r="L1945" s="73"/>
      <c r="M1945" s="73"/>
      <c r="N1945" s="73"/>
      <c r="O1945" s="73"/>
      <c r="P1945" s="73"/>
      <c r="Q1945" s="73"/>
      <c r="R1945" s="73"/>
      <c r="S1945" s="73"/>
      <c r="T1945" s="73"/>
      <c r="U1945" s="73"/>
      <c r="V1945" s="73"/>
      <c r="W1945" s="73"/>
      <c r="X1945" s="73"/>
      <c r="Y1945" s="73"/>
      <c r="Z1945" s="73"/>
      <c r="AA1945" s="73"/>
      <c r="AB1945" s="73"/>
    </row>
    <row r="1946">
      <c r="A1946" s="73"/>
      <c r="B1946" s="73">
        <v>475229.0576</v>
      </c>
      <c r="C1946" s="73">
        <v>6.98290787803631E7</v>
      </c>
      <c r="D1946" s="73">
        <v>2.09549946679945E7</v>
      </c>
      <c r="E1946" s="73">
        <v>3356421.99421158</v>
      </c>
      <c r="F1946" s="73"/>
      <c r="G1946" s="73"/>
      <c r="H1946" s="73"/>
      <c r="I1946" s="73"/>
      <c r="J1946" s="73"/>
      <c r="K1946" s="73"/>
      <c r="L1946" s="73"/>
      <c r="M1946" s="73"/>
      <c r="N1946" s="73"/>
      <c r="O1946" s="73"/>
      <c r="P1946" s="73"/>
      <c r="Q1946" s="73"/>
      <c r="R1946" s="73"/>
      <c r="S1946" s="73"/>
      <c r="T1946" s="73"/>
      <c r="U1946" s="73"/>
      <c r="V1946" s="73"/>
      <c r="W1946" s="73"/>
      <c r="X1946" s="73"/>
      <c r="Y1946" s="73"/>
      <c r="Z1946" s="73"/>
      <c r="AA1946" s="73"/>
      <c r="AB1946" s="73"/>
    </row>
    <row r="1947">
      <c r="A1947" s="73"/>
      <c r="B1947" s="73">
        <v>476023.1913</v>
      </c>
      <c r="C1947" s="73">
        <v>6.99268710976467E7</v>
      </c>
      <c r="D1947" s="73">
        <v>2.09958708399954E7</v>
      </c>
      <c r="E1947" s="73">
        <v>3361419.16890182</v>
      </c>
      <c r="F1947" s="73"/>
      <c r="G1947" s="73"/>
      <c r="H1947" s="73"/>
      <c r="I1947" s="73"/>
      <c r="J1947" s="73"/>
      <c r="K1947" s="73"/>
      <c r="L1947" s="73"/>
      <c r="M1947" s="73"/>
      <c r="N1947" s="73"/>
      <c r="O1947" s="73"/>
      <c r="P1947" s="73"/>
      <c r="Q1947" s="73"/>
      <c r="R1947" s="73"/>
      <c r="S1947" s="73"/>
      <c r="T1947" s="73"/>
      <c r="U1947" s="73"/>
      <c r="V1947" s="73"/>
      <c r="W1947" s="73"/>
      <c r="X1947" s="73"/>
      <c r="Y1947" s="73"/>
      <c r="Z1947" s="73"/>
      <c r="AA1947" s="73"/>
      <c r="AB1947" s="73"/>
    </row>
    <row r="1948">
      <c r="A1948" s="73"/>
      <c r="B1948" s="73">
        <v>476818.2933</v>
      </c>
      <c r="C1948" s="73">
        <v>7.00247458149281E7</v>
      </c>
      <c r="D1948" s="73">
        <v>2.10367988959963E7</v>
      </c>
      <c r="E1948" s="73">
        <v>3366422.2077635</v>
      </c>
      <c r="F1948" s="73"/>
      <c r="G1948" s="73"/>
      <c r="H1948" s="73"/>
      <c r="I1948" s="73"/>
      <c r="J1948" s="73"/>
      <c r="K1948" s="73"/>
      <c r="L1948" s="73"/>
      <c r="M1948" s="73"/>
      <c r="N1948" s="73"/>
      <c r="O1948" s="73"/>
      <c r="P1948" s="73"/>
      <c r="Q1948" s="73"/>
      <c r="R1948" s="73"/>
      <c r="S1948" s="73"/>
      <c r="T1948" s="73"/>
      <c r="U1948" s="73"/>
      <c r="V1948" s="73"/>
      <c r="W1948" s="73"/>
      <c r="X1948" s="73"/>
      <c r="Y1948" s="73"/>
      <c r="Z1948" s="73"/>
      <c r="AA1948" s="73"/>
      <c r="AB1948" s="73"/>
    </row>
    <row r="1949">
      <c r="A1949" s="73"/>
      <c r="B1949" s="73">
        <v>477614.3636</v>
      </c>
      <c r="C1949" s="73">
        <v>7.01227029322071E7</v>
      </c>
      <c r="D1949" s="73">
        <v>2.10777787599973E7</v>
      </c>
      <c r="E1949" s="73">
        <v>3371431.19857786</v>
      </c>
      <c r="F1949" s="73"/>
      <c r="G1949" s="73"/>
      <c r="H1949" s="73"/>
      <c r="I1949" s="73"/>
      <c r="J1949" s="73"/>
      <c r="K1949" s="73"/>
      <c r="L1949" s="73"/>
      <c r="M1949" s="73"/>
      <c r="N1949" s="73"/>
      <c r="O1949" s="73"/>
      <c r="P1949" s="73"/>
      <c r="Q1949" s="73"/>
      <c r="R1949" s="73"/>
      <c r="S1949" s="73"/>
      <c r="T1949" s="73"/>
      <c r="U1949" s="73"/>
      <c r="V1949" s="73"/>
      <c r="W1949" s="73"/>
      <c r="X1949" s="73"/>
      <c r="Y1949" s="73"/>
      <c r="Z1949" s="73"/>
      <c r="AA1949" s="73"/>
      <c r="AB1949" s="73"/>
    </row>
    <row r="1950">
      <c r="A1950" s="73"/>
      <c r="B1950" s="73">
        <v>478411.3924</v>
      </c>
      <c r="C1950" s="73">
        <v>7.02207506894836E7</v>
      </c>
      <c r="D1950" s="73">
        <v>2.11188117559982E7</v>
      </c>
      <c r="E1950" s="73">
        <v>3376445.9506244</v>
      </c>
      <c r="F1950" s="73"/>
      <c r="G1950" s="73"/>
      <c r="H1950" s="73"/>
      <c r="I1950" s="73"/>
      <c r="J1950" s="73"/>
      <c r="K1950" s="73"/>
      <c r="L1950" s="73"/>
      <c r="M1950" s="73"/>
      <c r="N1950" s="73"/>
      <c r="O1950" s="73"/>
      <c r="P1950" s="73"/>
      <c r="Q1950" s="73"/>
      <c r="R1950" s="73"/>
      <c r="S1950" s="73"/>
      <c r="T1950" s="73"/>
      <c r="U1950" s="73"/>
      <c r="V1950" s="73"/>
      <c r="W1950" s="73"/>
      <c r="X1950" s="73"/>
      <c r="Y1950" s="73"/>
      <c r="Z1950" s="73"/>
      <c r="AA1950" s="73"/>
      <c r="AB1950" s="73"/>
    </row>
    <row r="1951">
      <c r="A1951" s="73"/>
      <c r="B1951" s="73">
        <v>479209.4023</v>
      </c>
      <c r="C1951" s="73">
        <v>7.03188808467579E7</v>
      </c>
      <c r="D1951" s="73">
        <v>2.11598953199991E7</v>
      </c>
      <c r="E1951" s="73">
        <v>3381466.81255037</v>
      </c>
      <c r="F1951" s="73"/>
      <c r="G1951" s="73"/>
      <c r="H1951" s="73"/>
      <c r="I1951" s="73"/>
      <c r="J1951" s="73"/>
      <c r="K1951" s="73"/>
      <c r="L1951" s="73"/>
      <c r="M1951" s="73"/>
      <c r="N1951" s="73"/>
      <c r="O1951" s="73"/>
      <c r="P1951" s="73"/>
      <c r="Q1951" s="73"/>
      <c r="R1951" s="73"/>
      <c r="S1951" s="73"/>
      <c r="T1951" s="73"/>
      <c r="U1951" s="73"/>
      <c r="V1951" s="73"/>
      <c r="W1951" s="73"/>
      <c r="X1951" s="73"/>
      <c r="Y1951" s="73"/>
      <c r="Z1951" s="73"/>
      <c r="AA1951" s="73"/>
      <c r="AB1951" s="73"/>
    </row>
    <row r="1952">
      <c r="A1952" s="73"/>
      <c r="B1952" s="73">
        <v>480008.3678</v>
      </c>
      <c r="C1952" s="73">
        <v>7.04171098840294E7</v>
      </c>
      <c r="D1952" s="73">
        <v>2.1201030768E7</v>
      </c>
      <c r="E1952" s="73">
        <v>3386493.46817102</v>
      </c>
      <c r="F1952" s="73"/>
      <c r="G1952" s="73"/>
      <c r="H1952" s="73"/>
      <c r="I1952" s="73"/>
      <c r="J1952" s="73"/>
      <c r="K1952" s="73"/>
      <c r="L1952" s="73"/>
      <c r="M1952" s="73"/>
      <c r="N1952" s="73"/>
      <c r="O1952" s="73"/>
      <c r="P1952" s="73"/>
      <c r="Q1952" s="73"/>
      <c r="R1952" s="73"/>
      <c r="S1952" s="73"/>
      <c r="T1952" s="73"/>
      <c r="U1952" s="73"/>
      <c r="V1952" s="73"/>
      <c r="W1952" s="73"/>
      <c r="X1952" s="73"/>
      <c r="Y1952" s="73"/>
      <c r="Z1952" s="73"/>
      <c r="AA1952" s="73"/>
      <c r="AB1952" s="73"/>
    </row>
    <row r="1953">
      <c r="A1953" s="73"/>
      <c r="B1953" s="73">
        <v>480808.2945</v>
      </c>
      <c r="C1953" s="73">
        <v>7.05154130812988E7</v>
      </c>
      <c r="D1953" s="73">
        <v>2.12422180280009E7</v>
      </c>
      <c r="E1953" s="73">
        <v>3391525.97438186</v>
      </c>
      <c r="F1953" s="73"/>
      <c r="G1953" s="73"/>
      <c r="H1953" s="73"/>
      <c r="I1953" s="73"/>
      <c r="J1953" s="73"/>
      <c r="K1953" s="73"/>
      <c r="L1953" s="73"/>
      <c r="M1953" s="73"/>
      <c r="N1953" s="73"/>
      <c r="O1953" s="73"/>
      <c r="P1953" s="73"/>
      <c r="Q1953" s="73"/>
      <c r="R1953" s="73"/>
      <c r="S1953" s="73"/>
      <c r="T1953" s="73"/>
      <c r="U1953" s="73"/>
      <c r="V1953" s="73"/>
      <c r="W1953" s="73"/>
      <c r="X1953" s="73"/>
      <c r="Y1953" s="73"/>
      <c r="Z1953" s="73"/>
      <c r="AA1953" s="73"/>
      <c r="AB1953" s="73"/>
    </row>
    <row r="1954">
      <c r="A1954" s="73"/>
      <c r="B1954" s="73">
        <v>481609.1868</v>
      </c>
      <c r="C1954" s="73">
        <v>7.06138069185658E7</v>
      </c>
      <c r="D1954" s="73">
        <v>2.12834584520018E7</v>
      </c>
      <c r="E1954" s="73">
        <v>3396564.44447038</v>
      </c>
      <c r="F1954" s="73"/>
      <c r="G1954" s="73"/>
      <c r="H1954" s="73"/>
      <c r="I1954" s="73"/>
      <c r="J1954" s="73"/>
      <c r="K1954" s="73"/>
      <c r="L1954" s="73"/>
      <c r="M1954" s="73"/>
      <c r="N1954" s="73"/>
      <c r="O1954" s="73"/>
      <c r="P1954" s="73"/>
      <c r="Q1954" s="73"/>
      <c r="R1954" s="73"/>
      <c r="S1954" s="73"/>
      <c r="T1954" s="73"/>
      <c r="U1954" s="73"/>
      <c r="V1954" s="73"/>
      <c r="W1954" s="73"/>
      <c r="X1954" s="73"/>
      <c r="Y1954" s="73"/>
      <c r="Z1954" s="73"/>
      <c r="AA1954" s="73"/>
      <c r="AB1954" s="73"/>
    </row>
    <row r="1955">
      <c r="A1955" s="73"/>
      <c r="B1955" s="73">
        <v>482411.053</v>
      </c>
      <c r="C1955" s="73">
        <v>7.07122913958302E7</v>
      </c>
      <c r="D1955" s="73">
        <v>2.13247506879951E7</v>
      </c>
      <c r="E1955" s="73">
        <v>3401608.86816782</v>
      </c>
      <c r="F1955" s="73"/>
      <c r="G1955" s="73"/>
      <c r="H1955" s="73"/>
      <c r="I1955" s="73"/>
      <c r="J1955" s="73"/>
      <c r="K1955" s="73"/>
      <c r="L1955" s="73"/>
      <c r="M1955" s="73"/>
      <c r="N1955" s="73"/>
      <c r="O1955" s="73"/>
      <c r="P1955" s="73"/>
      <c r="Q1955" s="73"/>
      <c r="R1955" s="73"/>
      <c r="S1955" s="73"/>
      <c r="T1955" s="73"/>
      <c r="U1955" s="73"/>
      <c r="V1955" s="73"/>
      <c r="W1955" s="73"/>
      <c r="X1955" s="73"/>
      <c r="Y1955" s="73"/>
      <c r="Z1955" s="73"/>
      <c r="AA1955" s="73"/>
      <c r="AB1955" s="73"/>
    </row>
    <row r="1956">
      <c r="A1956" s="73"/>
      <c r="B1956" s="73">
        <v>483213.8848</v>
      </c>
      <c r="C1956" s="73">
        <v>7.0810866513092E7</v>
      </c>
      <c r="D1956" s="73">
        <v>2.1366093491996E7</v>
      </c>
      <c r="E1956" s="73">
        <v>3406658.99844121</v>
      </c>
      <c r="F1956" s="73"/>
      <c r="G1956" s="73"/>
      <c r="H1956" s="73"/>
      <c r="I1956" s="73"/>
      <c r="J1956" s="73"/>
      <c r="K1956" s="73"/>
      <c r="L1956" s="73"/>
      <c r="M1956" s="73"/>
      <c r="N1956" s="73"/>
      <c r="O1956" s="73"/>
      <c r="P1956" s="73"/>
      <c r="Q1956" s="73"/>
      <c r="R1956" s="73"/>
      <c r="S1956" s="73"/>
      <c r="T1956" s="73"/>
      <c r="U1956" s="73"/>
      <c r="V1956" s="73"/>
      <c r="W1956" s="73"/>
      <c r="X1956" s="73"/>
      <c r="Y1956" s="73"/>
      <c r="Z1956" s="73"/>
      <c r="AA1956" s="73"/>
      <c r="AB1956" s="73"/>
    </row>
    <row r="1957">
      <c r="A1957" s="73"/>
      <c r="B1957" s="73">
        <v>484017.6778</v>
      </c>
      <c r="C1957" s="73">
        <v>7.09095157903519E7</v>
      </c>
      <c r="D1957" s="73">
        <v>2.1407489423997E7</v>
      </c>
      <c r="E1957" s="73">
        <v>3411715.35155026</v>
      </c>
      <c r="F1957" s="73"/>
      <c r="G1957" s="73"/>
      <c r="H1957" s="73"/>
      <c r="I1957" s="73"/>
      <c r="J1957" s="73"/>
      <c r="K1957" s="73"/>
      <c r="L1957" s="73"/>
      <c r="M1957" s="73"/>
      <c r="N1957" s="73"/>
      <c r="O1957" s="73"/>
      <c r="P1957" s="73"/>
      <c r="Q1957" s="73"/>
      <c r="R1957" s="73"/>
      <c r="S1957" s="73"/>
      <c r="T1957" s="73"/>
      <c r="U1957" s="73"/>
      <c r="V1957" s="73"/>
      <c r="W1957" s="73"/>
      <c r="X1957" s="73"/>
      <c r="Y1957" s="73"/>
      <c r="Z1957" s="73"/>
      <c r="AA1957" s="73"/>
      <c r="AB1957" s="73"/>
    </row>
    <row r="1958">
      <c r="A1958" s="73"/>
      <c r="B1958" s="73">
        <v>484822.4392</v>
      </c>
      <c r="C1958" s="73">
        <v>7.10082639476089E7</v>
      </c>
      <c r="D1958" s="73">
        <v>2.14489385599979E7</v>
      </c>
      <c r="E1958" s="73">
        <v>3416777.4142165</v>
      </c>
      <c r="F1958" s="73"/>
      <c r="G1958" s="73"/>
      <c r="H1958" s="73"/>
      <c r="I1958" s="73"/>
      <c r="J1958" s="73"/>
      <c r="K1958" s="73"/>
      <c r="L1958" s="73"/>
      <c r="M1958" s="73"/>
      <c r="N1958" s="73"/>
      <c r="O1958" s="73"/>
      <c r="P1958" s="73"/>
      <c r="Q1958" s="73"/>
      <c r="R1958" s="73"/>
      <c r="S1958" s="73"/>
      <c r="T1958" s="73"/>
      <c r="U1958" s="73"/>
      <c r="V1958" s="73"/>
      <c r="W1958" s="73"/>
      <c r="X1958" s="73"/>
      <c r="Y1958" s="73"/>
      <c r="Z1958" s="73"/>
      <c r="AA1958" s="73"/>
      <c r="AB1958" s="73"/>
    </row>
    <row r="1959">
      <c r="A1959" s="73"/>
      <c r="B1959" s="73">
        <v>485628.1718</v>
      </c>
      <c r="C1959" s="73">
        <v>7.1107086264864E7</v>
      </c>
      <c r="D1959" s="73">
        <v>2.14904381879988E7</v>
      </c>
      <c r="E1959" s="73">
        <v>3421845.35562917</v>
      </c>
      <c r="F1959" s="73"/>
      <c r="G1959" s="73"/>
      <c r="H1959" s="73"/>
      <c r="I1959" s="73"/>
      <c r="J1959" s="73"/>
      <c r="K1959" s="73"/>
      <c r="L1959" s="73"/>
      <c r="M1959" s="73"/>
      <c r="N1959" s="73"/>
      <c r="O1959" s="73"/>
      <c r="P1959" s="73"/>
      <c r="Q1959" s="73"/>
      <c r="R1959" s="73"/>
      <c r="S1959" s="73"/>
      <c r="T1959" s="73"/>
      <c r="U1959" s="73"/>
      <c r="V1959" s="73"/>
      <c r="W1959" s="73"/>
      <c r="X1959" s="73"/>
      <c r="Y1959" s="73"/>
      <c r="Z1959" s="73"/>
      <c r="AA1959" s="73"/>
      <c r="AB1959" s="73"/>
    </row>
    <row r="1960">
      <c r="A1960" s="73"/>
      <c r="B1960" s="73">
        <v>486434.8627</v>
      </c>
      <c r="C1960" s="73">
        <v>7.12059992221165E7</v>
      </c>
      <c r="D1960" s="73">
        <v>2.15319909439997E7</v>
      </c>
      <c r="E1960" s="73">
        <v>3426919.34836952</v>
      </c>
      <c r="F1960" s="73"/>
      <c r="G1960" s="73"/>
      <c r="H1960" s="73"/>
      <c r="I1960" s="73"/>
      <c r="J1960" s="73"/>
      <c r="K1960" s="73"/>
      <c r="L1960" s="73"/>
      <c r="M1960" s="73"/>
      <c r="N1960" s="73"/>
      <c r="O1960" s="73"/>
      <c r="P1960" s="73"/>
      <c r="Q1960" s="73"/>
      <c r="R1960" s="73"/>
      <c r="S1960" s="73"/>
      <c r="T1960" s="73"/>
      <c r="U1960" s="73"/>
      <c r="V1960" s="73"/>
      <c r="W1960" s="73"/>
      <c r="X1960" s="73"/>
      <c r="Y1960" s="73"/>
      <c r="Z1960" s="73"/>
      <c r="AA1960" s="73"/>
      <c r="AB1960" s="73"/>
    </row>
    <row r="1961">
      <c r="A1961" s="73"/>
      <c r="B1961" s="73">
        <v>487242.5248</v>
      </c>
      <c r="C1961" s="73">
        <v>7.13050028193665E7</v>
      </c>
      <c r="D1961" s="73">
        <v>2.15735955480006E7</v>
      </c>
      <c r="E1961" s="73">
        <v>3431999.2390688</v>
      </c>
      <c r="F1961" s="73"/>
      <c r="G1961" s="73"/>
      <c r="H1961" s="73"/>
      <c r="I1961" s="73"/>
      <c r="J1961" s="73"/>
      <c r="K1961" s="73"/>
      <c r="L1961" s="73"/>
      <c r="M1961" s="73"/>
      <c r="N1961" s="73"/>
      <c r="O1961" s="73"/>
      <c r="P1961" s="73"/>
      <c r="Q1961" s="73"/>
      <c r="R1961" s="73"/>
      <c r="S1961" s="73"/>
      <c r="T1961" s="73"/>
      <c r="U1961" s="73"/>
      <c r="V1961" s="73"/>
      <c r="W1961" s="73"/>
      <c r="X1961" s="73"/>
      <c r="Y1961" s="73"/>
      <c r="Z1961" s="73"/>
      <c r="AA1961" s="73"/>
      <c r="AB1961" s="73"/>
    </row>
    <row r="1962">
      <c r="A1962" s="73"/>
      <c r="B1962" s="73">
        <v>488051.1553</v>
      </c>
      <c r="C1962" s="73">
        <v>7.14040888166142E7</v>
      </c>
      <c r="D1962" s="73">
        <v>2.16152533560015E7</v>
      </c>
      <c r="E1962" s="73">
        <v>3437085.18507075</v>
      </c>
      <c r="F1962" s="73"/>
      <c r="G1962" s="73"/>
      <c r="H1962" s="73"/>
      <c r="I1962" s="73"/>
      <c r="J1962" s="73"/>
      <c r="K1962" s="73"/>
      <c r="L1962" s="73"/>
      <c r="M1962" s="73"/>
      <c r="N1962" s="73"/>
      <c r="O1962" s="73"/>
      <c r="P1962" s="73"/>
      <c r="Q1962" s="73"/>
      <c r="R1962" s="73"/>
      <c r="S1962" s="73"/>
      <c r="T1962" s="73"/>
      <c r="U1962" s="73"/>
      <c r="V1962" s="73"/>
      <c r="W1962" s="73"/>
      <c r="X1962" s="73"/>
      <c r="Y1962" s="73"/>
      <c r="Z1962" s="73"/>
      <c r="AA1962" s="73"/>
      <c r="AB1962" s="73"/>
    </row>
    <row r="1963">
      <c r="A1963" s="73"/>
      <c r="B1963" s="73">
        <v>488860.747</v>
      </c>
      <c r="C1963" s="73">
        <v>7.15032736938591E7</v>
      </c>
      <c r="D1963" s="73">
        <v>2.16569616559948E7</v>
      </c>
      <c r="E1963" s="73">
        <v>3442176.93396289</v>
      </c>
      <c r="F1963" s="73"/>
      <c r="G1963" s="73"/>
      <c r="H1963" s="73"/>
      <c r="I1963" s="73"/>
      <c r="J1963" s="73"/>
      <c r="K1963" s="73"/>
      <c r="L1963" s="73"/>
      <c r="M1963" s="73"/>
      <c r="N1963" s="73"/>
      <c r="O1963" s="73"/>
      <c r="P1963" s="73"/>
      <c r="Q1963" s="73"/>
      <c r="R1963" s="73"/>
      <c r="S1963" s="73"/>
      <c r="T1963" s="73"/>
      <c r="U1963" s="73"/>
      <c r="V1963" s="73"/>
      <c r="W1963" s="73"/>
      <c r="X1963" s="73"/>
      <c r="Y1963" s="73"/>
      <c r="Z1963" s="73"/>
      <c r="AA1963" s="73"/>
      <c r="AB1963" s="73"/>
    </row>
    <row r="1964">
      <c r="A1964" s="73"/>
      <c r="B1964" s="73">
        <v>489671.3199</v>
      </c>
      <c r="C1964" s="73">
        <v>7.16025409711018E7</v>
      </c>
      <c r="D1964" s="73">
        <v>2.16987243639957E7</v>
      </c>
      <c r="E1964" s="73">
        <v>3447274.59215596</v>
      </c>
      <c r="F1964" s="73"/>
      <c r="G1964" s="73"/>
      <c r="H1964" s="73"/>
      <c r="I1964" s="73"/>
      <c r="J1964" s="73"/>
      <c r="K1964" s="73"/>
      <c r="L1964" s="73"/>
      <c r="M1964" s="73"/>
      <c r="N1964" s="73"/>
      <c r="O1964" s="73"/>
      <c r="P1964" s="73"/>
      <c r="Q1964" s="73"/>
      <c r="R1964" s="73"/>
      <c r="S1964" s="73"/>
      <c r="T1964" s="73"/>
      <c r="U1964" s="73"/>
      <c r="V1964" s="73"/>
      <c r="W1964" s="73"/>
      <c r="X1964" s="73"/>
      <c r="Y1964" s="73"/>
      <c r="Z1964" s="73"/>
      <c r="AA1964" s="73"/>
      <c r="AB1964" s="73"/>
    </row>
    <row r="1965">
      <c r="A1965" s="73"/>
      <c r="B1965" s="73">
        <v>490482.8511</v>
      </c>
      <c r="C1965" s="73">
        <v>7.17018824083424E7</v>
      </c>
      <c r="D1965" s="73">
        <v>2.17405376799966E7</v>
      </c>
      <c r="E1965" s="73">
        <v>3452378.24105796</v>
      </c>
      <c r="F1965" s="73"/>
      <c r="G1965" s="73"/>
      <c r="H1965" s="73"/>
      <c r="I1965" s="73"/>
      <c r="J1965" s="73"/>
      <c r="K1965" s="73"/>
      <c r="L1965" s="73"/>
      <c r="M1965" s="73"/>
      <c r="N1965" s="73"/>
      <c r="O1965" s="73"/>
      <c r="P1965" s="73"/>
      <c r="Q1965" s="73"/>
      <c r="R1965" s="73"/>
      <c r="S1965" s="73"/>
      <c r="T1965" s="73"/>
      <c r="U1965" s="73"/>
      <c r="V1965" s="73"/>
      <c r="W1965" s="73"/>
      <c r="X1965" s="73"/>
      <c r="Y1965" s="73"/>
      <c r="Z1965" s="73"/>
      <c r="AA1965" s="73"/>
      <c r="AB1965" s="73"/>
    </row>
    <row r="1966">
      <c r="A1966" s="73"/>
      <c r="B1966" s="73">
        <v>491295.3436</v>
      </c>
      <c r="C1966" s="73">
        <v>7.18013227255802E7</v>
      </c>
      <c r="D1966" s="73">
        <v>2.17824040839976E7</v>
      </c>
      <c r="E1966" s="73">
        <v>3457487.95280188</v>
      </c>
      <c r="F1966" s="73"/>
      <c r="G1966" s="73"/>
      <c r="H1966" s="73"/>
      <c r="I1966" s="73"/>
      <c r="J1966" s="73"/>
      <c r="K1966" s="73"/>
      <c r="L1966" s="73"/>
      <c r="M1966" s="73"/>
      <c r="N1966" s="73"/>
      <c r="O1966" s="73"/>
      <c r="P1966" s="73"/>
      <c r="Q1966" s="73"/>
      <c r="R1966" s="73"/>
      <c r="S1966" s="73"/>
      <c r="T1966" s="73"/>
      <c r="U1966" s="73"/>
      <c r="V1966" s="73"/>
      <c r="W1966" s="73"/>
      <c r="X1966" s="73"/>
      <c r="Y1966" s="73"/>
      <c r="Z1966" s="73"/>
      <c r="AA1966" s="73"/>
      <c r="AB1966" s="73"/>
    </row>
    <row r="1967">
      <c r="A1967" s="73"/>
      <c r="B1967" s="73">
        <v>492108.8144</v>
      </c>
      <c r="C1967" s="73">
        <v>7.19008454428158E7</v>
      </c>
      <c r="D1967" s="73">
        <v>2.18243223759985E7</v>
      </c>
      <c r="E1967" s="73">
        <v>3462603.48175923</v>
      </c>
      <c r="F1967" s="73"/>
      <c r="G1967" s="73"/>
      <c r="H1967" s="73"/>
      <c r="I1967" s="73"/>
      <c r="J1967" s="73"/>
      <c r="K1967" s="73"/>
      <c r="L1967" s="73"/>
      <c r="M1967" s="73"/>
      <c r="N1967" s="73"/>
      <c r="O1967" s="73"/>
      <c r="P1967" s="73"/>
      <c r="Q1967" s="73"/>
      <c r="R1967" s="73"/>
      <c r="S1967" s="73"/>
      <c r="T1967" s="73"/>
      <c r="U1967" s="73"/>
      <c r="V1967" s="73"/>
      <c r="W1967" s="73"/>
      <c r="X1967" s="73"/>
      <c r="Y1967" s="73"/>
      <c r="Z1967" s="73"/>
      <c r="AA1967" s="73"/>
      <c r="AB1967" s="73"/>
    </row>
    <row r="1968">
      <c r="A1968" s="73"/>
      <c r="B1968" s="73">
        <v>492923.2492</v>
      </c>
      <c r="C1968" s="73">
        <v>7.20004588000488E7</v>
      </c>
      <c r="D1968" s="73">
        <v>2.18662937559994E7</v>
      </c>
      <c r="E1968" s="73">
        <v>3467725.00838177</v>
      </c>
      <c r="F1968" s="73"/>
      <c r="G1968" s="73"/>
      <c r="H1968" s="73"/>
      <c r="I1968" s="73"/>
      <c r="J1968" s="73"/>
      <c r="K1968" s="73"/>
      <c r="L1968" s="73"/>
      <c r="M1968" s="73"/>
      <c r="N1968" s="73"/>
      <c r="O1968" s="73"/>
      <c r="P1968" s="73"/>
      <c r="Q1968" s="73"/>
      <c r="R1968" s="73"/>
      <c r="S1968" s="73"/>
      <c r="T1968" s="73"/>
      <c r="U1968" s="73"/>
      <c r="V1968" s="73"/>
      <c r="W1968" s="73"/>
      <c r="X1968" s="73"/>
      <c r="Y1968" s="73"/>
      <c r="Z1968" s="73"/>
      <c r="AA1968" s="73"/>
      <c r="AB1968" s="73"/>
    </row>
    <row r="1969">
      <c r="A1969" s="73"/>
      <c r="B1969" s="73">
        <v>493738.6524</v>
      </c>
      <c r="C1969" s="73">
        <v>7.21001627972794E7</v>
      </c>
      <c r="D1969" s="73">
        <v>2.19083183040003E7</v>
      </c>
      <c r="E1969" s="73">
        <v>3472852.43859448</v>
      </c>
      <c r="F1969" s="73"/>
      <c r="G1969" s="73"/>
      <c r="H1969" s="73"/>
      <c r="I1969" s="73"/>
      <c r="J1969" s="73"/>
      <c r="K1969" s="73"/>
      <c r="L1969" s="73"/>
      <c r="M1969" s="73"/>
      <c r="N1969" s="73"/>
      <c r="O1969" s="73"/>
      <c r="P1969" s="73"/>
      <c r="Q1969" s="73"/>
      <c r="R1969" s="73"/>
      <c r="S1969" s="73"/>
      <c r="T1969" s="73"/>
      <c r="U1969" s="73"/>
      <c r="V1969" s="73"/>
      <c r="W1969" s="73"/>
      <c r="X1969" s="73"/>
      <c r="Y1969" s="73"/>
      <c r="Z1969" s="73"/>
      <c r="AA1969" s="73"/>
      <c r="AB1969" s="73"/>
    </row>
    <row r="1970">
      <c r="A1970" s="73"/>
      <c r="B1970" s="73">
        <v>494555.0296</v>
      </c>
      <c r="C1970" s="73">
        <v>7.21999409545078E7</v>
      </c>
      <c r="D1970" s="73">
        <v>2.19503934560012E7</v>
      </c>
      <c r="E1970" s="73">
        <v>3477985.88568487</v>
      </c>
      <c r="F1970" s="73"/>
      <c r="G1970" s="73"/>
      <c r="H1970" s="73"/>
      <c r="I1970" s="73"/>
      <c r="J1970" s="73"/>
      <c r="K1970" s="73"/>
      <c r="L1970" s="73"/>
      <c r="M1970" s="73"/>
      <c r="N1970" s="73"/>
      <c r="O1970" s="73"/>
      <c r="P1970" s="73"/>
      <c r="Q1970" s="73"/>
      <c r="R1970" s="73"/>
      <c r="S1970" s="73"/>
      <c r="T1970" s="73"/>
      <c r="U1970" s="73"/>
      <c r="V1970" s="73"/>
      <c r="W1970" s="73"/>
      <c r="X1970" s="73"/>
      <c r="Y1970" s="73"/>
      <c r="Z1970" s="73"/>
      <c r="AA1970" s="73"/>
      <c r="AB1970" s="73"/>
    </row>
    <row r="1971">
      <c r="A1971" s="73"/>
      <c r="B1971" s="73">
        <v>495372.3651</v>
      </c>
      <c r="C1971" s="73">
        <v>7.22998179917336E7</v>
      </c>
      <c r="D1971" s="73">
        <v>2.19925229799945E7</v>
      </c>
      <c r="E1971" s="73">
        <v>3483125.39669043</v>
      </c>
      <c r="F1971" s="73"/>
      <c r="G1971" s="73"/>
      <c r="H1971" s="73"/>
      <c r="I1971" s="73"/>
      <c r="J1971" s="73"/>
      <c r="K1971" s="73"/>
      <c r="L1971" s="73"/>
      <c r="M1971" s="73"/>
      <c r="N1971" s="73"/>
      <c r="O1971" s="73"/>
      <c r="P1971" s="73"/>
      <c r="Q1971" s="73"/>
      <c r="R1971" s="73"/>
      <c r="S1971" s="73"/>
      <c r="T1971" s="73"/>
      <c r="U1971" s="73"/>
      <c r="V1971" s="73"/>
      <c r="W1971" s="73"/>
      <c r="X1971" s="73"/>
      <c r="Y1971" s="73"/>
      <c r="Z1971" s="73"/>
      <c r="AA1971" s="73"/>
      <c r="AB1971" s="73"/>
    </row>
    <row r="1972">
      <c r="A1972" s="73"/>
      <c r="B1972" s="73">
        <v>496190.6819</v>
      </c>
      <c r="C1972" s="73">
        <v>7.23997856689568E7</v>
      </c>
      <c r="D1972" s="73">
        <v>2.20347043519954E7</v>
      </c>
      <c r="E1972" s="73">
        <v>3488270.74669243</v>
      </c>
      <c r="F1972" s="73"/>
      <c r="G1972" s="73"/>
      <c r="H1972" s="73"/>
      <c r="I1972" s="73"/>
      <c r="J1972" s="73"/>
      <c r="K1972" s="73"/>
      <c r="L1972" s="73"/>
      <c r="M1972" s="73"/>
      <c r="N1972" s="73"/>
      <c r="O1972" s="73"/>
      <c r="P1972" s="73"/>
      <c r="Q1972" s="73"/>
      <c r="R1972" s="73"/>
      <c r="S1972" s="73"/>
      <c r="T1972" s="73"/>
      <c r="U1972" s="73"/>
      <c r="V1972" s="73"/>
      <c r="W1972" s="73"/>
      <c r="X1972" s="73"/>
      <c r="Y1972" s="73"/>
      <c r="Z1972" s="73"/>
      <c r="AA1972" s="73"/>
      <c r="AB1972" s="73"/>
    </row>
    <row r="1973">
      <c r="A1973" s="73"/>
      <c r="B1973" s="73">
        <v>497009.9626</v>
      </c>
      <c r="C1973" s="73">
        <v>7.24998275061779E7</v>
      </c>
      <c r="D1973" s="73">
        <v>2.20769375319963E7</v>
      </c>
      <c r="E1973" s="73">
        <v>3493422.19207834</v>
      </c>
      <c r="F1973" s="73"/>
      <c r="G1973" s="73"/>
      <c r="H1973" s="73"/>
      <c r="I1973" s="73"/>
      <c r="J1973" s="73"/>
      <c r="K1973" s="73"/>
      <c r="L1973" s="73"/>
      <c r="M1973" s="73"/>
      <c r="N1973" s="73"/>
      <c r="O1973" s="73"/>
      <c r="P1973" s="73"/>
      <c r="Q1973" s="73"/>
      <c r="R1973" s="73"/>
      <c r="S1973" s="73"/>
      <c r="T1973" s="73"/>
      <c r="U1973" s="73"/>
      <c r="V1973" s="73"/>
      <c r="W1973" s="73"/>
      <c r="X1973" s="73"/>
      <c r="Y1973" s="73"/>
      <c r="Z1973" s="73"/>
      <c r="AA1973" s="73"/>
      <c r="AB1973" s="73"/>
    </row>
    <row r="1974">
      <c r="A1974" s="73"/>
      <c r="B1974" s="73">
        <v>497830.2118</v>
      </c>
      <c r="C1974" s="73">
        <v>7.25999682233963E7</v>
      </c>
      <c r="D1974" s="73">
        <v>2.21192238799973E7</v>
      </c>
      <c r="E1974" s="73">
        <v>3498579.48382769</v>
      </c>
      <c r="F1974" s="73"/>
      <c r="G1974" s="73"/>
      <c r="H1974" s="73"/>
      <c r="I1974" s="73"/>
      <c r="J1974" s="73"/>
      <c r="K1974" s="73"/>
      <c r="L1974" s="73"/>
      <c r="M1974" s="73"/>
      <c r="N1974" s="73"/>
      <c r="O1974" s="73"/>
      <c r="P1974" s="73"/>
      <c r="Q1974" s="73"/>
      <c r="R1974" s="73"/>
      <c r="S1974" s="73"/>
      <c r="T1974" s="73"/>
      <c r="U1974" s="73"/>
      <c r="V1974" s="73"/>
      <c r="W1974" s="73"/>
      <c r="X1974" s="73"/>
      <c r="Y1974" s="73"/>
      <c r="Z1974" s="73"/>
      <c r="AA1974" s="73"/>
      <c r="AB1974" s="73"/>
    </row>
    <row r="1975">
      <c r="A1975" s="73"/>
      <c r="B1975" s="73">
        <v>498651.4249</v>
      </c>
      <c r="C1975" s="73">
        <v>7.27001913406124E7</v>
      </c>
      <c r="D1975" s="73">
        <v>2.21615633559982E7</v>
      </c>
      <c r="E1975" s="73">
        <v>3503742.85928772</v>
      </c>
      <c r="F1975" s="73"/>
      <c r="G1975" s="73"/>
      <c r="H1975" s="73"/>
      <c r="I1975" s="73"/>
      <c r="J1975" s="73"/>
      <c r="K1975" s="73"/>
      <c r="L1975" s="73"/>
      <c r="M1975" s="73"/>
      <c r="N1975" s="73"/>
      <c r="O1975" s="73"/>
      <c r="P1975" s="73"/>
      <c r="Q1975" s="73"/>
      <c r="R1975" s="73"/>
      <c r="S1975" s="73"/>
      <c r="T1975" s="73"/>
      <c r="U1975" s="73"/>
      <c r="V1975" s="73"/>
      <c r="W1975" s="73"/>
      <c r="X1975" s="73"/>
      <c r="Y1975" s="73"/>
      <c r="Z1975" s="73"/>
      <c r="AA1975" s="73"/>
      <c r="AB1975" s="73"/>
    </row>
    <row r="1976">
      <c r="A1976" s="73"/>
      <c r="B1976" s="73">
        <v>499473.6064</v>
      </c>
      <c r="C1976" s="73">
        <v>7.2800505097826E7</v>
      </c>
      <c r="D1976" s="73">
        <v>2.22039559599991E7</v>
      </c>
      <c r="E1976" s="73">
        <v>3508912.25129416</v>
      </c>
      <c r="F1976" s="73"/>
      <c r="G1976" s="73"/>
      <c r="H1976" s="73"/>
      <c r="I1976" s="73"/>
      <c r="J1976" s="73"/>
      <c r="K1976" s="73"/>
      <c r="L1976" s="73"/>
      <c r="M1976" s="73"/>
      <c r="N1976" s="73"/>
      <c r="O1976" s="73"/>
      <c r="P1976" s="73"/>
      <c r="Q1976" s="73"/>
      <c r="R1976" s="73"/>
      <c r="S1976" s="73"/>
      <c r="T1976" s="73"/>
      <c r="U1976" s="73"/>
      <c r="V1976" s="73"/>
      <c r="W1976" s="73"/>
      <c r="X1976" s="73"/>
      <c r="Y1976" s="73"/>
      <c r="Z1976" s="73"/>
      <c r="AA1976" s="73"/>
      <c r="AB1976" s="73"/>
    </row>
    <row r="1977">
      <c r="A1977" s="73"/>
      <c r="B1977" s="73">
        <v>500296.7719</v>
      </c>
      <c r="C1977" s="73">
        <v>7.29009012550373E7</v>
      </c>
      <c r="D1977" s="73">
        <v>2.2246399132E7</v>
      </c>
      <c r="E1977" s="73">
        <v>3514087.65057204</v>
      </c>
      <c r="F1977" s="73"/>
      <c r="G1977" s="73"/>
      <c r="H1977" s="73"/>
      <c r="I1977" s="73"/>
      <c r="J1977" s="73"/>
      <c r="K1977" s="73"/>
      <c r="L1977" s="73"/>
      <c r="M1977" s="73"/>
      <c r="N1977" s="73"/>
      <c r="O1977" s="73"/>
      <c r="P1977" s="73"/>
      <c r="Q1977" s="73"/>
      <c r="R1977" s="73"/>
      <c r="S1977" s="73"/>
      <c r="T1977" s="73"/>
      <c r="U1977" s="73"/>
      <c r="V1977" s="73"/>
      <c r="W1977" s="73"/>
      <c r="X1977" s="73"/>
      <c r="Y1977" s="73"/>
      <c r="Z1977" s="73"/>
      <c r="AA1977" s="73"/>
      <c r="AB1977" s="73"/>
    </row>
    <row r="1978">
      <c r="A1978" s="73"/>
      <c r="B1978" s="73">
        <v>501120.8886</v>
      </c>
      <c r="C1978" s="73">
        <v>7.30013798122463E7</v>
      </c>
      <c r="D1978" s="73">
        <v>2.22888967520009E7</v>
      </c>
      <c r="E1978" s="73">
        <v>3519268.9051571</v>
      </c>
      <c r="F1978" s="73"/>
      <c r="G1978" s="73"/>
      <c r="H1978" s="73"/>
      <c r="I1978" s="73"/>
      <c r="J1978" s="73"/>
      <c r="K1978" s="73"/>
      <c r="L1978" s="73"/>
      <c r="M1978" s="73"/>
      <c r="N1978" s="73"/>
      <c r="O1978" s="73"/>
      <c r="P1978" s="73"/>
      <c r="Q1978" s="73"/>
      <c r="R1978" s="73"/>
      <c r="S1978" s="73"/>
      <c r="T1978" s="73"/>
      <c r="U1978" s="73"/>
      <c r="V1978" s="73"/>
      <c r="W1978" s="73"/>
      <c r="X1978" s="73"/>
      <c r="Y1978" s="73"/>
      <c r="Z1978" s="73"/>
      <c r="AA1978" s="73"/>
      <c r="AB1978" s="73"/>
    </row>
    <row r="1979">
      <c r="A1979" s="73"/>
      <c r="B1979" s="73">
        <v>501945.9864</v>
      </c>
      <c r="C1979" s="73">
        <v>7.31019572494526E7</v>
      </c>
      <c r="D1979" s="73">
        <v>2.23314461800018E7</v>
      </c>
      <c r="E1979" s="73">
        <v>3524456.11268858</v>
      </c>
      <c r="F1979" s="73"/>
      <c r="G1979" s="73"/>
      <c r="H1979" s="73"/>
      <c r="I1979" s="73"/>
      <c r="J1979" s="73"/>
      <c r="K1979" s="73"/>
      <c r="L1979" s="73"/>
      <c r="M1979" s="73"/>
      <c r="N1979" s="73"/>
      <c r="O1979" s="73"/>
      <c r="P1979" s="73"/>
      <c r="Q1979" s="73"/>
      <c r="R1979" s="73"/>
      <c r="S1979" s="73"/>
      <c r="T1979" s="73"/>
      <c r="U1979" s="73"/>
      <c r="V1979" s="73"/>
      <c r="W1979" s="73"/>
      <c r="X1979" s="73"/>
      <c r="Y1979" s="73"/>
      <c r="Z1979" s="73"/>
      <c r="AA1979" s="73"/>
      <c r="AB1979" s="73"/>
    </row>
    <row r="1980">
      <c r="A1980" s="73"/>
      <c r="B1980" s="73">
        <v>502772.0583</v>
      </c>
      <c r="C1980" s="73">
        <v>7.32026253266563E7</v>
      </c>
      <c r="D1980" s="73">
        <v>2.23740500519951E7</v>
      </c>
      <c r="E1980" s="73">
        <v>3529649.48641199</v>
      </c>
      <c r="F1980" s="73"/>
      <c r="G1980" s="73"/>
      <c r="H1980" s="73"/>
      <c r="I1980" s="73"/>
      <c r="J1980" s="73"/>
      <c r="K1980" s="73"/>
      <c r="L1980" s="73"/>
      <c r="M1980" s="73"/>
      <c r="N1980" s="73"/>
      <c r="O1980" s="73"/>
      <c r="P1980" s="73"/>
      <c r="Q1980" s="73"/>
      <c r="R1980" s="73"/>
      <c r="S1980" s="73"/>
      <c r="T1980" s="73"/>
      <c r="U1980" s="73"/>
      <c r="V1980" s="73"/>
      <c r="W1980" s="73"/>
      <c r="X1980" s="73"/>
      <c r="Y1980" s="73"/>
      <c r="Z1980" s="73"/>
      <c r="AA1980" s="73"/>
      <c r="AB1980" s="73"/>
    </row>
    <row r="1981">
      <c r="A1981" s="73"/>
      <c r="B1981" s="73">
        <v>503599.0914</v>
      </c>
      <c r="C1981" s="73">
        <v>7.3303367563858E7</v>
      </c>
      <c r="D1981" s="73">
        <v>2.2416705775996E7</v>
      </c>
      <c r="E1981" s="73">
        <v>3534848.90185681</v>
      </c>
      <c r="F1981" s="73"/>
      <c r="G1981" s="73"/>
      <c r="H1981" s="73"/>
      <c r="I1981" s="73"/>
      <c r="J1981" s="73"/>
      <c r="K1981" s="73"/>
      <c r="L1981" s="73"/>
      <c r="M1981" s="73"/>
      <c r="N1981" s="73"/>
      <c r="O1981" s="73"/>
      <c r="P1981" s="73"/>
      <c r="Q1981" s="73"/>
      <c r="R1981" s="73"/>
      <c r="S1981" s="73"/>
      <c r="T1981" s="73"/>
      <c r="U1981" s="73"/>
      <c r="V1981" s="73"/>
      <c r="W1981" s="73"/>
      <c r="X1981" s="73"/>
      <c r="Y1981" s="73"/>
      <c r="Z1981" s="73"/>
      <c r="AA1981" s="73"/>
      <c r="AB1981" s="73"/>
    </row>
    <row r="1982">
      <c r="A1982" s="73"/>
      <c r="B1982" s="73">
        <v>504427.0956</v>
      </c>
      <c r="C1982" s="73">
        <v>7.3404208681057E7</v>
      </c>
      <c r="D1982" s="73">
        <v>2.24594133079969E7</v>
      </c>
      <c r="E1982" s="73">
        <v>3540054.18254632</v>
      </c>
      <c r="F1982" s="73"/>
      <c r="G1982" s="73"/>
      <c r="H1982" s="73"/>
      <c r="I1982" s="73"/>
      <c r="J1982" s="73"/>
      <c r="K1982" s="73"/>
      <c r="L1982" s="73"/>
      <c r="M1982" s="73"/>
      <c r="N1982" s="73"/>
      <c r="O1982" s="73"/>
      <c r="P1982" s="73"/>
      <c r="Q1982" s="73"/>
      <c r="R1982" s="73"/>
      <c r="S1982" s="73"/>
      <c r="T1982" s="73"/>
      <c r="U1982" s="73"/>
      <c r="V1982" s="73"/>
      <c r="W1982" s="73"/>
      <c r="X1982" s="73"/>
      <c r="Y1982" s="73"/>
      <c r="Z1982" s="73"/>
      <c r="AA1982" s="73"/>
      <c r="AB1982" s="73"/>
    </row>
    <row r="1983">
      <c r="A1983" s="73"/>
      <c r="B1983" s="73">
        <v>505256.0739</v>
      </c>
      <c r="C1983" s="73">
        <v>7.35051239582539E7</v>
      </c>
      <c r="D1983" s="73">
        <v>2.25021752879979E7</v>
      </c>
      <c r="E1983" s="73">
        <v>3545265.39862601</v>
      </c>
      <c r="F1983" s="73"/>
      <c r="G1983" s="73"/>
      <c r="H1983" s="73"/>
      <c r="I1983" s="73"/>
      <c r="J1983" s="73"/>
      <c r="K1983" s="73"/>
      <c r="L1983" s="73"/>
      <c r="M1983" s="73"/>
      <c r="N1983" s="73"/>
      <c r="O1983" s="73"/>
      <c r="P1983" s="73"/>
      <c r="Q1983" s="73"/>
      <c r="R1983" s="73"/>
      <c r="S1983" s="73"/>
      <c r="T1983" s="73"/>
      <c r="U1983" s="73"/>
      <c r="V1983" s="73"/>
      <c r="W1983" s="73"/>
      <c r="X1983" s="73"/>
      <c r="Y1983" s="73"/>
      <c r="Z1983" s="73"/>
      <c r="AA1983" s="73"/>
      <c r="AB1983" s="73"/>
    </row>
    <row r="1984">
      <c r="A1984" s="73"/>
      <c r="B1984" s="73">
        <v>506086.0133</v>
      </c>
      <c r="C1984" s="73">
        <v>7.3606138115448E7</v>
      </c>
      <c r="D1984" s="73">
        <v>2.25449890759988E7</v>
      </c>
      <c r="E1984" s="73">
        <v>3550482.90114137</v>
      </c>
      <c r="F1984" s="73"/>
      <c r="G1984" s="73"/>
      <c r="H1984" s="73"/>
      <c r="I1984" s="73"/>
      <c r="J1984" s="73"/>
      <c r="K1984" s="73"/>
      <c r="L1984" s="73"/>
      <c r="M1984" s="73"/>
      <c r="N1984" s="73"/>
      <c r="O1984" s="73"/>
      <c r="P1984" s="73"/>
      <c r="Q1984" s="73"/>
      <c r="R1984" s="73"/>
      <c r="S1984" s="73"/>
      <c r="T1984" s="73"/>
      <c r="U1984" s="73"/>
      <c r="V1984" s="73"/>
      <c r="W1984" s="73"/>
      <c r="X1984" s="73"/>
      <c r="Y1984" s="73"/>
      <c r="Z1984" s="73"/>
      <c r="AA1984" s="73"/>
      <c r="AB1984" s="73"/>
    </row>
    <row r="1985">
      <c r="A1985" s="73"/>
      <c r="B1985" s="73">
        <v>506916.9368</v>
      </c>
      <c r="C1985" s="73">
        <v>7.37072429126396E7</v>
      </c>
      <c r="D1985" s="73">
        <v>2.25878573119997E7</v>
      </c>
      <c r="E1985" s="73">
        <v>3555706.2033139</v>
      </c>
      <c r="F1985" s="73"/>
      <c r="G1985" s="73"/>
      <c r="H1985" s="73"/>
      <c r="I1985" s="73"/>
      <c r="J1985" s="73"/>
      <c r="K1985" s="73"/>
      <c r="L1985" s="73"/>
      <c r="M1985" s="73"/>
      <c r="N1985" s="73"/>
      <c r="O1985" s="73"/>
      <c r="P1985" s="73"/>
      <c r="Q1985" s="73"/>
      <c r="R1985" s="73"/>
      <c r="S1985" s="73"/>
      <c r="T1985" s="73"/>
      <c r="U1985" s="73"/>
      <c r="V1985" s="73"/>
      <c r="W1985" s="73"/>
      <c r="X1985" s="73"/>
      <c r="Y1985" s="73"/>
      <c r="Z1985" s="73"/>
      <c r="AA1985" s="73"/>
      <c r="AB1985" s="73"/>
    </row>
    <row r="1986">
      <c r="A1986" s="73"/>
      <c r="B1986" s="73">
        <v>507748.8214</v>
      </c>
      <c r="C1986" s="73">
        <v>7.38084301098289E7</v>
      </c>
      <c r="D1986" s="73">
        <v>2.26307774320006E7</v>
      </c>
      <c r="E1986" s="73">
        <v>3560935.69784711</v>
      </c>
      <c r="F1986" s="73"/>
      <c r="G1986" s="73"/>
      <c r="H1986" s="73"/>
      <c r="I1986" s="73"/>
      <c r="J1986" s="73"/>
      <c r="K1986" s="73"/>
      <c r="L1986" s="73"/>
      <c r="M1986" s="73"/>
      <c r="N1986" s="73"/>
      <c r="O1986" s="73"/>
      <c r="P1986" s="73"/>
      <c r="Q1986" s="73"/>
      <c r="R1986" s="73"/>
      <c r="S1986" s="73"/>
      <c r="T1986" s="73"/>
      <c r="U1986" s="73"/>
      <c r="V1986" s="73"/>
      <c r="W1986" s="73"/>
      <c r="X1986" s="73"/>
      <c r="Y1986" s="73"/>
      <c r="Z1986" s="73"/>
      <c r="AA1986" s="73"/>
      <c r="AB1986" s="73"/>
    </row>
    <row r="1987">
      <c r="A1987" s="73"/>
      <c r="B1987" s="73">
        <v>508581.68</v>
      </c>
      <c r="C1987" s="73">
        <v>7.3909699707016E7</v>
      </c>
      <c r="D1987" s="73">
        <v>2.26737518840015E7</v>
      </c>
      <c r="E1987" s="73">
        <v>3566171.06756249</v>
      </c>
      <c r="F1987" s="73"/>
      <c r="G1987" s="73"/>
      <c r="H1987" s="73"/>
      <c r="I1987" s="73"/>
      <c r="J1987" s="73"/>
      <c r="K1987" s="73"/>
      <c r="L1987" s="73"/>
      <c r="M1987" s="73"/>
      <c r="N1987" s="73"/>
      <c r="O1987" s="73"/>
      <c r="P1987" s="73"/>
      <c r="Q1987" s="73"/>
      <c r="R1987" s="73"/>
      <c r="S1987" s="73"/>
      <c r="T1987" s="73"/>
      <c r="U1987" s="73"/>
      <c r="V1987" s="73"/>
      <c r="W1987" s="73"/>
      <c r="X1987" s="73"/>
      <c r="Y1987" s="73"/>
      <c r="Z1987" s="73"/>
      <c r="AA1987" s="73"/>
      <c r="AB1987" s="73"/>
    </row>
    <row r="1988">
      <c r="A1988" s="73"/>
      <c r="B1988" s="73">
        <v>509415.5126</v>
      </c>
      <c r="C1988" s="73">
        <v>7.40110681842003E7</v>
      </c>
      <c r="D1988" s="73">
        <v>2.27167782239948E7</v>
      </c>
      <c r="E1988" s="73">
        <v>3571412.56405105</v>
      </c>
      <c r="F1988" s="73"/>
      <c r="G1988" s="73"/>
      <c r="H1988" s="73"/>
      <c r="I1988" s="73"/>
      <c r="J1988" s="73"/>
      <c r="K1988" s="73"/>
      <c r="L1988" s="73"/>
      <c r="M1988" s="73"/>
      <c r="N1988" s="73"/>
      <c r="O1988" s="73"/>
      <c r="P1988" s="73"/>
      <c r="Q1988" s="73"/>
      <c r="R1988" s="73"/>
      <c r="S1988" s="73"/>
      <c r="T1988" s="73"/>
      <c r="U1988" s="73"/>
      <c r="V1988" s="73"/>
      <c r="W1988" s="73"/>
      <c r="X1988" s="73"/>
      <c r="Y1988" s="73"/>
      <c r="Z1988" s="73"/>
      <c r="AA1988" s="73"/>
      <c r="AB1988" s="73"/>
    </row>
    <row r="1989">
      <c r="A1989" s="73"/>
      <c r="B1989" s="73">
        <v>510250.3164</v>
      </c>
      <c r="C1989" s="73">
        <v>7.41125190613823E7</v>
      </c>
      <c r="D1989" s="73">
        <v>2.27598564119957E7</v>
      </c>
      <c r="E1989" s="73">
        <v>3576660.02648428</v>
      </c>
      <c r="F1989" s="73"/>
      <c r="G1989" s="73"/>
      <c r="H1989" s="73"/>
      <c r="I1989" s="73"/>
      <c r="J1989" s="73"/>
      <c r="K1989" s="73"/>
      <c r="L1989" s="73"/>
      <c r="M1989" s="73"/>
      <c r="N1989" s="73"/>
      <c r="O1989" s="73"/>
      <c r="P1989" s="73"/>
      <c r="Q1989" s="73"/>
      <c r="R1989" s="73"/>
      <c r="S1989" s="73"/>
      <c r="T1989" s="73"/>
      <c r="U1989" s="73"/>
      <c r="V1989" s="73"/>
      <c r="W1989" s="73"/>
      <c r="X1989" s="73"/>
      <c r="Y1989" s="73"/>
      <c r="Z1989" s="73"/>
      <c r="AA1989" s="73"/>
      <c r="AB1989" s="73"/>
    </row>
    <row r="1990">
      <c r="A1990" s="73"/>
      <c r="B1990" s="73">
        <v>511086.0943</v>
      </c>
      <c r="C1990" s="73">
        <v>7.42140605785618E7</v>
      </c>
      <c r="D1990" s="73">
        <v>2.28029890439966E7</v>
      </c>
      <c r="E1990" s="73">
        <v>3581913.4514702</v>
      </c>
      <c r="F1990" s="73"/>
      <c r="G1990" s="73"/>
      <c r="H1990" s="73"/>
      <c r="I1990" s="73"/>
      <c r="J1990" s="73"/>
      <c r="K1990" s="73"/>
      <c r="L1990" s="73"/>
      <c r="M1990" s="73"/>
      <c r="N1990" s="73"/>
      <c r="O1990" s="73"/>
      <c r="P1990" s="73"/>
      <c r="Q1990" s="73"/>
      <c r="R1990" s="73"/>
      <c r="S1990" s="73"/>
      <c r="T1990" s="73"/>
      <c r="U1990" s="73"/>
      <c r="V1990" s="73"/>
      <c r="W1990" s="73"/>
      <c r="X1990" s="73"/>
      <c r="Y1990" s="73"/>
      <c r="Z1990" s="73"/>
      <c r="AA1990" s="73"/>
      <c r="AB1990" s="73"/>
    </row>
    <row r="1991">
      <c r="A1991" s="73"/>
      <c r="B1991" s="73">
        <v>511922.8333</v>
      </c>
      <c r="C1991" s="73">
        <v>7.43156762557392E7</v>
      </c>
      <c r="D1991" s="73">
        <v>2.28461760479976E7</v>
      </c>
      <c r="E1991" s="73">
        <v>3587173.09399177</v>
      </c>
      <c r="F1991" s="73"/>
      <c r="G1991" s="73"/>
      <c r="H1991" s="73"/>
      <c r="I1991" s="73"/>
      <c r="J1991" s="73"/>
      <c r="K1991" s="73"/>
      <c r="L1991" s="73"/>
      <c r="M1991" s="73"/>
      <c r="N1991" s="73"/>
      <c r="O1991" s="73"/>
      <c r="P1991" s="73"/>
      <c r="Q1991" s="73"/>
      <c r="R1991" s="73"/>
      <c r="S1991" s="73"/>
      <c r="T1991" s="73"/>
      <c r="U1991" s="73"/>
      <c r="V1991" s="73"/>
      <c r="W1991" s="73"/>
      <c r="X1991" s="73"/>
      <c r="Y1991" s="73"/>
      <c r="Z1991" s="73"/>
      <c r="AA1991" s="73"/>
      <c r="AB1991" s="73"/>
    </row>
    <row r="1992">
      <c r="A1992" s="73"/>
      <c r="B1992" s="73">
        <v>512760.5591</v>
      </c>
      <c r="C1992" s="73">
        <v>7.44173908129139E7</v>
      </c>
      <c r="D1992" s="73">
        <v>2.28894149399985E7</v>
      </c>
      <c r="E1992" s="73">
        <v>3592438.55207053</v>
      </c>
      <c r="F1992" s="73"/>
      <c r="G1992" s="73"/>
      <c r="H1992" s="73"/>
      <c r="I1992" s="73"/>
      <c r="J1992" s="73"/>
      <c r="K1992" s="73"/>
      <c r="L1992" s="73"/>
      <c r="M1992" s="73"/>
      <c r="N1992" s="73"/>
      <c r="O1992" s="73"/>
      <c r="P1992" s="73"/>
      <c r="Q1992" s="73"/>
      <c r="R1992" s="73"/>
      <c r="S1992" s="73"/>
      <c r="T1992" s="73"/>
      <c r="U1992" s="73"/>
      <c r="V1992" s="73"/>
      <c r="W1992" s="73"/>
      <c r="X1992" s="73"/>
      <c r="Y1992" s="73"/>
      <c r="Z1992" s="73"/>
      <c r="AA1992" s="73"/>
      <c r="AB1992" s="73"/>
    </row>
    <row r="1993">
      <c r="A1993" s="73"/>
      <c r="B1993" s="73">
        <v>513599.2361</v>
      </c>
      <c r="C1993" s="73">
        <v>7.45192042500858E7</v>
      </c>
      <c r="D1993" s="73">
        <v>2.29327056759994E7</v>
      </c>
      <c r="E1993" s="73">
        <v>3597710.30122246</v>
      </c>
      <c r="F1993" s="73"/>
      <c r="G1993" s="73"/>
      <c r="H1993" s="73"/>
      <c r="I1993" s="73"/>
      <c r="J1993" s="73"/>
      <c r="K1993" s="73"/>
      <c r="L1993" s="73"/>
      <c r="M1993" s="73"/>
      <c r="N1993" s="73"/>
      <c r="O1993" s="73"/>
      <c r="P1993" s="73"/>
      <c r="Q1993" s="73"/>
      <c r="R1993" s="73"/>
      <c r="S1993" s="73"/>
      <c r="T1993" s="73"/>
      <c r="U1993" s="73"/>
      <c r="V1993" s="73"/>
      <c r="W1993" s="73"/>
      <c r="X1993" s="73"/>
      <c r="Y1993" s="73"/>
      <c r="Z1993" s="73"/>
      <c r="AA1993" s="73"/>
      <c r="AB1993" s="73"/>
    </row>
    <row r="1994">
      <c r="A1994" s="73"/>
      <c r="B1994" s="73">
        <v>514438.8971</v>
      </c>
      <c r="C1994" s="73">
        <v>7.46210836072559E7</v>
      </c>
      <c r="D1994" s="73">
        <v>2.29760507840003E7</v>
      </c>
      <c r="E1994" s="73">
        <v>3602988.10965205</v>
      </c>
      <c r="F1994" s="73"/>
      <c r="G1994" s="73"/>
      <c r="H1994" s="73"/>
      <c r="I1994" s="73"/>
      <c r="J1994" s="73"/>
      <c r="K1994" s="73"/>
      <c r="L1994" s="73"/>
      <c r="M1994" s="73"/>
      <c r="N1994" s="73"/>
      <c r="O1994" s="73"/>
      <c r="P1994" s="73"/>
      <c r="Q1994" s="73"/>
      <c r="R1994" s="73"/>
      <c r="S1994" s="73"/>
      <c r="T1994" s="73"/>
      <c r="U1994" s="73"/>
      <c r="V1994" s="73"/>
      <c r="W1994" s="73"/>
      <c r="X1994" s="73"/>
      <c r="Y1994" s="73"/>
      <c r="Z1994" s="73"/>
      <c r="AA1994" s="73"/>
      <c r="AB1994" s="73"/>
    </row>
    <row r="1995">
      <c r="A1995" s="73"/>
      <c r="B1995" s="73">
        <v>515279.5321</v>
      </c>
      <c r="C1995" s="73">
        <v>7.47230700844231E7</v>
      </c>
      <c r="D1995" s="73">
        <v>2.30194503760012E7</v>
      </c>
      <c r="E1995" s="73">
        <v>3608271.73761383</v>
      </c>
      <c r="F1995" s="73"/>
      <c r="G1995" s="73"/>
      <c r="H1995" s="73"/>
      <c r="I1995" s="73"/>
      <c r="J1995" s="73"/>
      <c r="K1995" s="73"/>
      <c r="L1995" s="73"/>
      <c r="M1995" s="73"/>
      <c r="N1995" s="73"/>
      <c r="O1995" s="73"/>
      <c r="P1995" s="73"/>
      <c r="Q1995" s="73"/>
      <c r="R1995" s="73"/>
      <c r="S1995" s="73"/>
      <c r="T1995" s="73"/>
      <c r="U1995" s="73"/>
      <c r="V1995" s="73"/>
      <c r="W1995" s="73"/>
      <c r="X1995" s="73"/>
      <c r="Y1995" s="73"/>
      <c r="Z1995" s="73"/>
      <c r="AA1995" s="73"/>
      <c r="AB1995" s="73"/>
    </row>
    <row r="1996">
      <c r="A1996" s="73"/>
      <c r="B1996" s="73">
        <v>516121.1411</v>
      </c>
      <c r="C1996" s="73">
        <v>7.48251389615879E7</v>
      </c>
      <c r="D1996" s="73">
        <v>2.30629017399945E7</v>
      </c>
      <c r="E1996" s="73">
        <v>3613561.58178628</v>
      </c>
      <c r="F1996" s="73"/>
      <c r="G1996" s="73"/>
      <c r="H1996" s="73"/>
      <c r="I1996" s="73"/>
      <c r="J1996" s="73"/>
      <c r="K1996" s="73"/>
      <c r="L1996" s="73"/>
      <c r="M1996" s="73"/>
      <c r="N1996" s="73"/>
      <c r="O1996" s="73"/>
      <c r="P1996" s="73"/>
      <c r="Q1996" s="73"/>
      <c r="R1996" s="73"/>
      <c r="S1996" s="73"/>
      <c r="T1996" s="73"/>
      <c r="U1996" s="73"/>
      <c r="V1996" s="73"/>
      <c r="W1996" s="73"/>
      <c r="X1996" s="73"/>
      <c r="Y1996" s="73"/>
      <c r="Z1996" s="73"/>
      <c r="AA1996" s="73"/>
      <c r="AB1996" s="73"/>
    </row>
    <row r="1997">
      <c r="A1997" s="73"/>
      <c r="B1997" s="73">
        <v>516963.7141</v>
      </c>
      <c r="C1997" s="73">
        <v>7.49272819987507E7</v>
      </c>
      <c r="D1997" s="73">
        <v>2.31064075879954E7</v>
      </c>
      <c r="E1997" s="73">
        <v>3618857.5024614</v>
      </c>
      <c r="F1997" s="73"/>
      <c r="G1997" s="73"/>
      <c r="H1997" s="73"/>
      <c r="I1997" s="73"/>
      <c r="J1997" s="73"/>
      <c r="K1997" s="73"/>
      <c r="L1997" s="73"/>
      <c r="M1997" s="73"/>
      <c r="N1997" s="73"/>
      <c r="O1997" s="73"/>
      <c r="P1997" s="73"/>
      <c r="Q1997" s="73"/>
      <c r="R1997" s="73"/>
      <c r="S1997" s="73"/>
      <c r="T1997" s="73"/>
      <c r="U1997" s="73"/>
      <c r="V1997" s="73"/>
      <c r="W1997" s="73"/>
      <c r="X1997" s="73"/>
      <c r="Y1997" s="73"/>
      <c r="Z1997" s="73"/>
      <c r="AA1997" s="73"/>
      <c r="AB1997" s="73"/>
    </row>
    <row r="1998">
      <c r="A1998" s="73"/>
      <c r="B1998" s="73">
        <v>517807.2711</v>
      </c>
      <c r="C1998" s="73">
        <v>7.50295321559105E7</v>
      </c>
      <c r="D1998" s="73">
        <v>2.31499652839963E7</v>
      </c>
      <c r="E1998" s="73">
        <v>3624159.40357669</v>
      </c>
      <c r="F1998" s="73"/>
      <c r="G1998" s="73"/>
      <c r="H1998" s="73"/>
      <c r="I1998" s="73"/>
      <c r="J1998" s="73"/>
      <c r="K1998" s="73"/>
      <c r="L1998" s="73"/>
      <c r="M1998" s="73"/>
      <c r="N1998" s="73"/>
      <c r="O1998" s="73"/>
      <c r="P1998" s="73"/>
      <c r="Q1998" s="73"/>
      <c r="R1998" s="73"/>
      <c r="S1998" s="73"/>
      <c r="T1998" s="73"/>
      <c r="U1998" s="73"/>
      <c r="V1998" s="73"/>
      <c r="W1998" s="73"/>
      <c r="X1998" s="73"/>
      <c r="Y1998" s="73"/>
      <c r="Z1998" s="73"/>
      <c r="AA1998" s="73"/>
      <c r="AB1998" s="73"/>
    </row>
    <row r="1999">
      <c r="A1999" s="73"/>
      <c r="B1999" s="73">
        <v>518651.7921</v>
      </c>
      <c r="C1999" s="73">
        <v>7.5131864713068E7</v>
      </c>
      <c r="D1999" s="73">
        <v>2.31935773519973E7</v>
      </c>
      <c r="E1999" s="73">
        <v>3629467.38516966</v>
      </c>
      <c r="F1999" s="73"/>
      <c r="G1999" s="73"/>
      <c r="H1999" s="73"/>
      <c r="I1999" s="73"/>
      <c r="J1999" s="73"/>
      <c r="K1999" s="73"/>
      <c r="L1999" s="73"/>
      <c r="M1999" s="73"/>
      <c r="N1999" s="73"/>
      <c r="O1999" s="73"/>
      <c r="P1999" s="73"/>
      <c r="Q1999" s="73"/>
      <c r="R1999" s="73"/>
      <c r="S1999" s="73"/>
      <c r="T1999" s="73"/>
      <c r="U1999" s="73"/>
      <c r="V1999" s="73"/>
      <c r="W1999" s="73"/>
      <c r="X1999" s="73"/>
      <c r="Y1999" s="73"/>
      <c r="Z1999" s="73"/>
      <c r="AA1999" s="73"/>
      <c r="AB1999" s="73"/>
    </row>
    <row r="2000">
      <c r="A2000" s="73"/>
      <c r="B2000" s="73">
        <v>519497.2843</v>
      </c>
      <c r="C2000" s="73">
        <v>7.52342796702232E7</v>
      </c>
      <c r="D2000" s="73">
        <v>2.32372412639982E7</v>
      </c>
      <c r="E2000" s="73">
        <v>3634781.50951529</v>
      </c>
      <c r="F2000" s="73"/>
      <c r="G2000" s="73"/>
      <c r="H2000" s="73"/>
      <c r="I2000" s="73"/>
      <c r="J2000" s="73"/>
      <c r="K2000" s="73"/>
      <c r="L2000" s="73"/>
      <c r="M2000" s="73"/>
      <c r="N2000" s="73"/>
      <c r="O2000" s="73"/>
      <c r="P2000" s="73"/>
      <c r="Q2000" s="73"/>
      <c r="R2000" s="73"/>
      <c r="S2000" s="73"/>
      <c r="T2000" s="73"/>
      <c r="U2000" s="73"/>
      <c r="V2000" s="73"/>
      <c r="W2000" s="73"/>
      <c r="X2000" s="73"/>
      <c r="Y2000" s="73"/>
      <c r="Z2000" s="73"/>
      <c r="AA2000" s="73"/>
      <c r="AB2000" s="73"/>
    </row>
    <row r="2001">
      <c r="A2001" s="73"/>
      <c r="B2001" s="73">
        <v>520343.7533</v>
      </c>
      <c r="C2001" s="73">
        <v>7.53367935073757E7</v>
      </c>
      <c r="D2001" s="73">
        <v>2.32809596639991E7</v>
      </c>
      <c r="E2001" s="73">
        <v>3640101.63351361</v>
      </c>
      <c r="F2001" s="73"/>
      <c r="G2001" s="73"/>
      <c r="H2001" s="73"/>
      <c r="I2001" s="73"/>
      <c r="J2001" s="73"/>
      <c r="K2001" s="73"/>
      <c r="L2001" s="73"/>
      <c r="M2001" s="73"/>
      <c r="N2001" s="73"/>
      <c r="O2001" s="73"/>
      <c r="P2001" s="73"/>
      <c r="Q2001" s="73"/>
      <c r="R2001" s="73"/>
      <c r="S2001" s="73"/>
      <c r="T2001" s="73"/>
      <c r="U2001" s="73"/>
      <c r="V2001" s="73"/>
      <c r="W2001" s="73"/>
      <c r="X2001" s="73"/>
      <c r="Y2001" s="73"/>
      <c r="Z2001" s="73"/>
      <c r="AA2001" s="73"/>
      <c r="AB2001" s="73"/>
    </row>
    <row r="2002">
      <c r="A2002" s="73"/>
      <c r="B2002" s="73">
        <v>521191.3019</v>
      </c>
      <c r="C2002" s="73">
        <v>7.54393815045261E7</v>
      </c>
      <c r="D2002" s="73">
        <v>2.3324732396E7</v>
      </c>
      <c r="E2002" s="73">
        <v>3645427.83070209</v>
      </c>
      <c r="F2002" s="73"/>
      <c r="G2002" s="73"/>
      <c r="H2002" s="73"/>
      <c r="I2002" s="73"/>
      <c r="J2002" s="73"/>
      <c r="K2002" s="73"/>
      <c r="L2002" s="73"/>
      <c r="M2002" s="73"/>
      <c r="N2002" s="73"/>
      <c r="O2002" s="73"/>
      <c r="P2002" s="73"/>
      <c r="Q2002" s="73"/>
      <c r="R2002" s="73"/>
      <c r="S2002" s="73"/>
      <c r="T2002" s="73"/>
      <c r="U2002" s="73"/>
      <c r="V2002" s="73"/>
      <c r="W2002" s="73"/>
      <c r="X2002" s="73"/>
      <c r="Y2002" s="73"/>
      <c r="Z2002" s="73"/>
      <c r="AA2002" s="73"/>
      <c r="AB2002" s="73"/>
    </row>
    <row r="2003">
      <c r="A2003" s="73"/>
      <c r="B2003" s="73">
        <v>522040.062</v>
      </c>
      <c r="C2003" s="73">
        <v>7.55420683816738E7</v>
      </c>
      <c r="D2003" s="73">
        <v>2.33685595720009E7</v>
      </c>
      <c r="E2003" s="73">
        <v>3650760.03350575</v>
      </c>
      <c r="F2003" s="73"/>
      <c r="G2003" s="73"/>
      <c r="H2003" s="73"/>
      <c r="I2003" s="73"/>
      <c r="J2003" s="73"/>
      <c r="K2003" s="73"/>
      <c r="L2003" s="73"/>
      <c r="M2003" s="73"/>
      <c r="N2003" s="73"/>
      <c r="O2003" s="73"/>
      <c r="P2003" s="73"/>
      <c r="Q2003" s="73"/>
      <c r="R2003" s="73"/>
      <c r="S2003" s="73"/>
      <c r="T2003" s="73"/>
      <c r="U2003" s="73"/>
      <c r="V2003" s="73"/>
      <c r="W2003" s="73"/>
      <c r="X2003" s="73"/>
      <c r="Y2003" s="73"/>
      <c r="Z2003" s="73"/>
      <c r="AA2003" s="73"/>
      <c r="AB2003" s="73"/>
    </row>
    <row r="2004">
      <c r="A2004" s="73"/>
      <c r="B2004" s="73">
        <v>522890.0967</v>
      </c>
      <c r="C2004" s="73">
        <v>7.5644845898819E7</v>
      </c>
      <c r="D2004" s="73">
        <v>2.34124385960018E7</v>
      </c>
      <c r="E2004" s="73">
        <v>3656098.38701208</v>
      </c>
      <c r="F2004" s="73"/>
      <c r="G2004" s="73"/>
      <c r="H2004" s="73"/>
      <c r="I2004" s="73"/>
      <c r="J2004" s="73"/>
      <c r="K2004" s="73"/>
      <c r="L2004" s="73"/>
      <c r="M2004" s="73"/>
      <c r="N2004" s="73"/>
      <c r="O2004" s="73"/>
      <c r="P2004" s="73"/>
      <c r="Q2004" s="73"/>
      <c r="R2004" s="73"/>
      <c r="S2004" s="73"/>
      <c r="T2004" s="73"/>
      <c r="U2004" s="73"/>
      <c r="V2004" s="73"/>
      <c r="W2004" s="73"/>
      <c r="X2004" s="73"/>
      <c r="Y2004" s="73"/>
      <c r="Z2004" s="73"/>
      <c r="AA2004" s="73"/>
      <c r="AB2004" s="73"/>
    </row>
    <row r="2005">
      <c r="A2005" s="73"/>
      <c r="B2005" s="73">
        <v>523741.424</v>
      </c>
      <c r="C2005" s="73">
        <v>7.57477058159618E7</v>
      </c>
      <c r="D2005" s="73">
        <v>2.34563695079951E7</v>
      </c>
      <c r="E2005" s="73">
        <v>3661442.91234157</v>
      </c>
      <c r="F2005" s="73"/>
      <c r="G2005" s="73"/>
      <c r="H2005" s="73"/>
      <c r="I2005" s="73"/>
      <c r="J2005" s="73"/>
      <c r="K2005" s="73"/>
      <c r="L2005" s="73"/>
      <c r="M2005" s="73"/>
      <c r="N2005" s="73"/>
      <c r="O2005" s="73"/>
      <c r="P2005" s="73"/>
      <c r="Q2005" s="73"/>
      <c r="R2005" s="73"/>
      <c r="S2005" s="73"/>
      <c r="T2005" s="73"/>
      <c r="U2005" s="73"/>
      <c r="V2005" s="73"/>
      <c r="W2005" s="73"/>
      <c r="X2005" s="73"/>
      <c r="Y2005" s="73"/>
      <c r="Z2005" s="73"/>
      <c r="AA2005" s="73"/>
      <c r="AB2005" s="73"/>
    </row>
    <row r="2006">
      <c r="A2006" s="73"/>
      <c r="B2006" s="73">
        <v>524594.0452</v>
      </c>
      <c r="C2006" s="73">
        <v>7.58506563731022E7</v>
      </c>
      <c r="D2006" s="73">
        <v>2.3500357347996E7</v>
      </c>
      <c r="E2006" s="73">
        <v>3666793.36982824</v>
      </c>
      <c r="F2006" s="73"/>
      <c r="G2006" s="73"/>
      <c r="H2006" s="73"/>
      <c r="I2006" s="73"/>
      <c r="J2006" s="73"/>
      <c r="K2006" s="73"/>
      <c r="L2006" s="73"/>
      <c r="M2006" s="73"/>
      <c r="N2006" s="73"/>
      <c r="O2006" s="73"/>
      <c r="P2006" s="73"/>
      <c r="Q2006" s="73"/>
      <c r="R2006" s="73"/>
      <c r="S2006" s="73"/>
      <c r="T2006" s="73"/>
      <c r="U2006" s="73"/>
      <c r="V2006" s="73"/>
      <c r="W2006" s="73"/>
      <c r="X2006" s="73"/>
      <c r="Y2006" s="73"/>
      <c r="Z2006" s="73"/>
      <c r="AA2006" s="73"/>
      <c r="AB2006" s="73"/>
    </row>
    <row r="2007">
      <c r="A2007" s="73"/>
      <c r="B2007" s="73">
        <v>525447.9783</v>
      </c>
      <c r="C2007" s="73">
        <v>7.59536893302403E7</v>
      </c>
      <c r="D2007" s="73">
        <v>2.3544397075997E7</v>
      </c>
      <c r="E2007" s="73">
        <v>3672150.07665058</v>
      </c>
      <c r="F2007" s="73"/>
      <c r="G2007" s="73"/>
      <c r="H2007" s="73"/>
      <c r="I2007" s="73"/>
      <c r="J2007" s="73"/>
      <c r="K2007" s="73"/>
      <c r="L2007" s="73"/>
      <c r="M2007" s="73"/>
      <c r="N2007" s="73"/>
      <c r="O2007" s="73"/>
      <c r="P2007" s="73"/>
      <c r="Q2007" s="73"/>
      <c r="R2007" s="73"/>
      <c r="S2007" s="73"/>
      <c r="T2007" s="73"/>
      <c r="U2007" s="73"/>
      <c r="V2007" s="73"/>
      <c r="W2007" s="73"/>
      <c r="X2007" s="73"/>
      <c r="Y2007" s="73"/>
      <c r="Z2007" s="73"/>
      <c r="AA2007" s="73"/>
      <c r="AB2007" s="73"/>
    </row>
    <row r="2008">
      <c r="A2008" s="73"/>
      <c r="B2008" s="73">
        <v>526303.2516</v>
      </c>
      <c r="C2008" s="73">
        <v>7.60568211673756E7</v>
      </c>
      <c r="D2008" s="73">
        <v>2.35884912119979E7</v>
      </c>
      <c r="E2008" s="73">
        <v>3677512.7023801</v>
      </c>
      <c r="F2008" s="73"/>
      <c r="G2008" s="73"/>
      <c r="H2008" s="73"/>
      <c r="I2008" s="73"/>
      <c r="J2008" s="73"/>
      <c r="K2008" s="73"/>
      <c r="L2008" s="73"/>
      <c r="M2008" s="73"/>
      <c r="N2008" s="73"/>
      <c r="O2008" s="73"/>
      <c r="P2008" s="73"/>
      <c r="Q2008" s="73"/>
      <c r="R2008" s="73"/>
      <c r="S2008" s="73"/>
      <c r="T2008" s="73"/>
      <c r="U2008" s="73"/>
      <c r="V2008" s="73"/>
      <c r="W2008" s="73"/>
      <c r="X2008" s="73"/>
      <c r="Y2008" s="73"/>
      <c r="Z2008" s="73"/>
      <c r="AA2008" s="73"/>
      <c r="AB2008" s="73"/>
    </row>
    <row r="2009">
      <c r="A2009" s="73"/>
      <c r="B2009" s="73">
        <v>527159.8584</v>
      </c>
      <c r="C2009" s="73">
        <v>7.61600354045086E7</v>
      </c>
      <c r="D2009" s="73">
        <v>2.36326371559988E7</v>
      </c>
      <c r="E2009" s="73">
        <v>3682881.51384528</v>
      </c>
      <c r="F2009" s="73"/>
      <c r="G2009" s="73"/>
      <c r="H2009" s="73"/>
      <c r="I2009" s="73"/>
      <c r="J2009" s="73"/>
      <c r="K2009" s="73"/>
      <c r="L2009" s="73"/>
      <c r="M2009" s="73"/>
      <c r="N2009" s="73"/>
      <c r="O2009" s="73"/>
      <c r="P2009" s="73"/>
      <c r="Q2009" s="73"/>
      <c r="R2009" s="73"/>
      <c r="S2009" s="73"/>
      <c r="T2009" s="73"/>
      <c r="U2009" s="73"/>
      <c r="V2009" s="73"/>
      <c r="W2009" s="73"/>
      <c r="X2009" s="73"/>
      <c r="Y2009" s="73"/>
      <c r="Z2009" s="73"/>
      <c r="AA2009" s="73"/>
      <c r="AB2009" s="73"/>
    </row>
    <row r="2010">
      <c r="A2010" s="73"/>
      <c r="B2010" s="73">
        <v>528017.8132</v>
      </c>
      <c r="C2010" s="73">
        <v>7.62633320416393E7</v>
      </c>
      <c r="D2010" s="73">
        <v>2.36768375479997E7</v>
      </c>
      <c r="E2010" s="73">
        <v>3688256.49920063</v>
      </c>
      <c r="F2010" s="73"/>
      <c r="G2010" s="73"/>
      <c r="H2010" s="73"/>
      <c r="I2010" s="73"/>
      <c r="J2010" s="73"/>
      <c r="K2010" s="73"/>
      <c r="L2010" s="73"/>
      <c r="M2010" s="73"/>
      <c r="N2010" s="73"/>
      <c r="O2010" s="73"/>
      <c r="P2010" s="73"/>
      <c r="Q2010" s="73"/>
      <c r="R2010" s="73"/>
      <c r="S2010" s="73"/>
      <c r="T2010" s="73"/>
      <c r="U2010" s="73"/>
      <c r="V2010" s="73"/>
      <c r="W2010" s="73"/>
      <c r="X2010" s="73"/>
      <c r="Y2010" s="73"/>
      <c r="Z2010" s="73"/>
      <c r="AA2010" s="73"/>
      <c r="AB2010" s="73"/>
    </row>
    <row r="2011">
      <c r="A2011" s="73"/>
      <c r="B2011" s="73">
        <v>528877.1295</v>
      </c>
      <c r="C2011" s="73">
        <v>7.63667275587673E7</v>
      </c>
      <c r="D2011" s="73">
        <v>2.37210923840006E7</v>
      </c>
      <c r="E2011" s="73">
        <v>3693637.67029165</v>
      </c>
      <c r="F2011" s="73"/>
      <c r="G2011" s="73"/>
      <c r="H2011" s="73"/>
      <c r="I2011" s="73"/>
      <c r="J2011" s="73"/>
      <c r="K2011" s="73"/>
      <c r="L2011" s="73"/>
      <c r="M2011" s="73"/>
      <c r="N2011" s="73"/>
      <c r="O2011" s="73"/>
      <c r="P2011" s="73"/>
      <c r="Q2011" s="73"/>
      <c r="R2011" s="73"/>
      <c r="S2011" s="73"/>
      <c r="T2011" s="73"/>
      <c r="U2011" s="73"/>
      <c r="V2011" s="73"/>
      <c r="W2011" s="73"/>
      <c r="X2011" s="73"/>
      <c r="Y2011" s="73"/>
      <c r="Z2011" s="73"/>
      <c r="AA2011" s="73"/>
      <c r="AB2011" s="73"/>
    </row>
    <row r="2012">
      <c r="A2012" s="73"/>
      <c r="B2012" s="73">
        <v>529737.8091</v>
      </c>
      <c r="C2012" s="73">
        <v>7.64702137158928E7</v>
      </c>
      <c r="D2012" s="73">
        <v>2.37654015920015E7</v>
      </c>
      <c r="E2012" s="73">
        <v>3699024.77022734</v>
      </c>
      <c r="F2012" s="73"/>
      <c r="G2012" s="73"/>
      <c r="H2012" s="73"/>
      <c r="I2012" s="73"/>
      <c r="J2012" s="73"/>
      <c r="K2012" s="73"/>
      <c r="L2012" s="73"/>
      <c r="M2012" s="73"/>
      <c r="N2012" s="73"/>
      <c r="O2012" s="73"/>
      <c r="P2012" s="73"/>
      <c r="Q2012" s="73"/>
      <c r="R2012" s="73"/>
      <c r="S2012" s="73"/>
      <c r="T2012" s="73"/>
      <c r="U2012" s="73"/>
      <c r="V2012" s="73"/>
      <c r="W2012" s="73"/>
      <c r="X2012" s="73"/>
      <c r="Y2012" s="73"/>
      <c r="Z2012" s="73"/>
      <c r="AA2012" s="73"/>
      <c r="AB2012" s="73"/>
    </row>
    <row r="2013">
      <c r="A2013" s="73"/>
      <c r="B2013" s="73">
        <v>530599.8544</v>
      </c>
      <c r="C2013" s="73">
        <v>7.65737740330162E7</v>
      </c>
      <c r="D2013" s="73">
        <v>2.38097626879948E7</v>
      </c>
      <c r="E2013" s="73">
        <v>3704417.98045321</v>
      </c>
      <c r="F2013" s="73"/>
      <c r="G2013" s="73"/>
      <c r="H2013" s="73"/>
      <c r="I2013" s="73"/>
      <c r="J2013" s="73"/>
      <c r="K2013" s="73"/>
      <c r="L2013" s="73"/>
      <c r="M2013" s="73"/>
      <c r="N2013" s="73"/>
      <c r="O2013" s="73"/>
      <c r="P2013" s="73"/>
      <c r="Q2013" s="73"/>
      <c r="R2013" s="73"/>
      <c r="S2013" s="73"/>
      <c r="T2013" s="73"/>
      <c r="U2013" s="73"/>
      <c r="V2013" s="73"/>
      <c r="W2013" s="73"/>
      <c r="X2013" s="73"/>
      <c r="Y2013" s="73"/>
      <c r="Z2013" s="73"/>
      <c r="AA2013" s="73"/>
      <c r="AB2013" s="73"/>
    </row>
    <row r="2014">
      <c r="A2014" s="73"/>
      <c r="B2014" s="73">
        <v>531463.2804</v>
      </c>
      <c r="C2014" s="73">
        <v>7.66774332301369E7</v>
      </c>
      <c r="D2014" s="73">
        <v>2.38541807479957E7</v>
      </c>
      <c r="E2014" s="73">
        <v>3709817.45392724</v>
      </c>
      <c r="F2014" s="73"/>
      <c r="G2014" s="73"/>
      <c r="H2014" s="73"/>
      <c r="I2014" s="73"/>
      <c r="J2014" s="73"/>
      <c r="K2014" s="73"/>
      <c r="L2014" s="73"/>
      <c r="M2014" s="73"/>
      <c r="N2014" s="73"/>
      <c r="O2014" s="73"/>
      <c r="P2014" s="73"/>
      <c r="Q2014" s="73"/>
      <c r="R2014" s="73"/>
      <c r="S2014" s="73"/>
      <c r="T2014" s="73"/>
      <c r="U2014" s="73"/>
      <c r="V2014" s="73"/>
      <c r="W2014" s="73"/>
      <c r="X2014" s="73"/>
      <c r="Y2014" s="73"/>
      <c r="Z2014" s="73"/>
      <c r="AA2014" s="73"/>
      <c r="AB2014" s="73"/>
    </row>
    <row r="2015">
      <c r="A2015" s="73"/>
      <c r="B2015" s="73">
        <v>532328.0942</v>
      </c>
      <c r="C2015" s="73">
        <v>7.6781183067255E7</v>
      </c>
      <c r="D2015" s="73">
        <v>2.38986506599966E7</v>
      </c>
      <c r="E2015" s="73">
        <v>3715222.79065845</v>
      </c>
      <c r="F2015" s="73"/>
      <c r="G2015" s="73"/>
      <c r="H2015" s="73"/>
      <c r="I2015" s="73"/>
      <c r="J2015" s="73"/>
      <c r="K2015" s="73"/>
      <c r="L2015" s="73"/>
      <c r="M2015" s="73"/>
      <c r="N2015" s="73"/>
      <c r="O2015" s="73"/>
      <c r="P2015" s="73"/>
      <c r="Q2015" s="73"/>
      <c r="R2015" s="73"/>
      <c r="S2015" s="73"/>
      <c r="T2015" s="73"/>
      <c r="U2015" s="73"/>
      <c r="V2015" s="73"/>
      <c r="W2015" s="73"/>
      <c r="X2015" s="73"/>
      <c r="Y2015" s="73"/>
      <c r="Z2015" s="73"/>
      <c r="AA2015" s="73"/>
      <c r="AB2015" s="73"/>
    </row>
    <row r="2016">
      <c r="A2016" s="73"/>
      <c r="B2016" s="73">
        <v>533194.2912</v>
      </c>
      <c r="C2016" s="73">
        <v>7.68850153043709E7</v>
      </c>
      <c r="D2016" s="73">
        <v>2.39431724159976E7</v>
      </c>
      <c r="E2016" s="73">
        <v>3720634.39660032</v>
      </c>
      <c r="F2016" s="73"/>
      <c r="G2016" s="73"/>
      <c r="H2016" s="73"/>
      <c r="I2016" s="73"/>
      <c r="J2016" s="73"/>
      <c r="K2016" s="73"/>
      <c r="L2016" s="73"/>
      <c r="M2016" s="73"/>
      <c r="N2016" s="73"/>
      <c r="O2016" s="73"/>
      <c r="P2016" s="73"/>
      <c r="Q2016" s="73"/>
      <c r="R2016" s="73"/>
      <c r="S2016" s="73"/>
      <c r="T2016" s="73"/>
      <c r="U2016" s="73"/>
      <c r="V2016" s="73"/>
      <c r="W2016" s="73"/>
      <c r="X2016" s="73"/>
      <c r="Y2016" s="73"/>
      <c r="Z2016" s="73"/>
      <c r="AA2016" s="73"/>
      <c r="AB2016" s="73"/>
    </row>
    <row r="2017">
      <c r="A2017" s="73"/>
      <c r="B2017" s="73">
        <v>534061.8754</v>
      </c>
      <c r="C2017" s="73">
        <v>7.69889381814842E7</v>
      </c>
      <c r="D2017" s="73">
        <v>2.39877511439985E7</v>
      </c>
      <c r="E2017" s="73">
        <v>3726052.20359486</v>
      </c>
      <c r="F2017" s="73"/>
      <c r="G2017" s="73"/>
      <c r="H2017" s="73"/>
      <c r="I2017" s="73"/>
      <c r="J2017" s="73"/>
      <c r="K2017" s="73"/>
      <c r="L2017" s="73"/>
      <c r="M2017" s="73"/>
      <c r="N2017" s="73"/>
      <c r="O2017" s="73"/>
      <c r="P2017" s="73"/>
      <c r="Q2017" s="73"/>
      <c r="R2017" s="73"/>
      <c r="S2017" s="73"/>
      <c r="T2017" s="73"/>
      <c r="U2017" s="73"/>
      <c r="V2017" s="73"/>
      <c r="W2017" s="73"/>
      <c r="X2017" s="73"/>
      <c r="Y2017" s="73"/>
      <c r="Z2017" s="73"/>
      <c r="AA2017" s="73"/>
      <c r="AB2017" s="73"/>
    </row>
    <row r="2018">
      <c r="A2018" s="73"/>
      <c r="B2018" s="73">
        <v>534930.8785</v>
      </c>
      <c r="C2018" s="73">
        <v>7.7092951698595E7</v>
      </c>
      <c r="D2018" s="73">
        <v>2.40323817559994E7</v>
      </c>
      <c r="E2018" s="73">
        <v>3731476.04601707</v>
      </c>
      <c r="F2018" s="73"/>
      <c r="G2018" s="73"/>
      <c r="H2018" s="73"/>
      <c r="I2018" s="73"/>
      <c r="J2018" s="73"/>
      <c r="K2018" s="73"/>
      <c r="L2018" s="73"/>
      <c r="M2018" s="73"/>
      <c r="N2018" s="73"/>
      <c r="O2018" s="73"/>
      <c r="P2018" s="73"/>
      <c r="Q2018" s="73"/>
      <c r="R2018" s="73"/>
      <c r="S2018" s="73"/>
      <c r="T2018" s="73"/>
      <c r="U2018" s="73"/>
      <c r="V2018" s="73"/>
      <c r="W2018" s="73"/>
      <c r="X2018" s="73"/>
      <c r="Y2018" s="73"/>
      <c r="Z2018" s="73"/>
      <c r="AA2018" s="73"/>
      <c r="AB2018" s="73"/>
    </row>
    <row r="2019">
      <c r="A2019" s="73"/>
      <c r="B2019" s="73">
        <v>535801.2684</v>
      </c>
      <c r="C2019" s="73">
        <v>7.71970558557034E7</v>
      </c>
      <c r="D2019" s="73">
        <v>2.40770692960003E7</v>
      </c>
      <c r="E2019" s="73">
        <v>3736906.17686245</v>
      </c>
      <c r="F2019" s="73"/>
      <c r="G2019" s="73"/>
      <c r="H2019" s="73"/>
      <c r="I2019" s="73"/>
      <c r="J2019" s="73"/>
      <c r="K2019" s="73"/>
      <c r="L2019" s="73"/>
      <c r="M2019" s="73"/>
      <c r="N2019" s="73"/>
      <c r="O2019" s="73"/>
      <c r="P2019" s="73"/>
      <c r="Q2019" s="73"/>
      <c r="R2019" s="73"/>
      <c r="S2019" s="73"/>
      <c r="T2019" s="73"/>
      <c r="U2019" s="73"/>
      <c r="V2019" s="73"/>
      <c r="W2019" s="73"/>
      <c r="X2019" s="73"/>
      <c r="Y2019" s="73"/>
      <c r="Z2019" s="73"/>
      <c r="AA2019" s="73"/>
      <c r="AB2019" s="73"/>
    </row>
    <row r="2020">
      <c r="A2020" s="73"/>
      <c r="B2020" s="73">
        <v>536673.0707</v>
      </c>
      <c r="C2020" s="73">
        <v>7.73012506528091E7</v>
      </c>
      <c r="D2020" s="73">
        <v>2.41218087240012E7</v>
      </c>
      <c r="E2020" s="73">
        <v>3742342.165665</v>
      </c>
      <c r="F2020" s="73"/>
      <c r="G2020" s="73"/>
      <c r="H2020" s="73"/>
      <c r="I2020" s="73"/>
      <c r="J2020" s="73"/>
      <c r="K2020" s="73"/>
      <c r="L2020" s="73"/>
      <c r="M2020" s="73"/>
      <c r="N2020" s="73"/>
      <c r="O2020" s="73"/>
      <c r="P2020" s="73"/>
      <c r="Q2020" s="73"/>
      <c r="R2020" s="73"/>
      <c r="S2020" s="73"/>
      <c r="T2020" s="73"/>
      <c r="U2020" s="73"/>
      <c r="V2020" s="73"/>
      <c r="W2020" s="73"/>
      <c r="X2020" s="73"/>
      <c r="Y2020" s="73"/>
      <c r="Z2020" s="73"/>
      <c r="AA2020" s="73"/>
      <c r="AB2020" s="73"/>
    </row>
    <row r="2021">
      <c r="A2021" s="73"/>
      <c r="B2021" s="73">
        <v>537546.284</v>
      </c>
      <c r="C2021" s="73">
        <v>7.74055196099129E7</v>
      </c>
      <c r="D2021" s="73">
        <v>2.41666025999945E7</v>
      </c>
      <c r="E2021" s="73">
        <v>3747784.53166571</v>
      </c>
      <c r="F2021" s="73"/>
      <c r="G2021" s="73"/>
      <c r="H2021" s="73"/>
      <c r="I2021" s="73"/>
      <c r="J2021" s="73"/>
      <c r="K2021" s="73"/>
      <c r="L2021" s="73"/>
      <c r="M2021" s="73"/>
      <c r="N2021" s="73"/>
      <c r="O2021" s="73"/>
      <c r="P2021" s="73"/>
      <c r="Q2021" s="73"/>
      <c r="R2021" s="73"/>
      <c r="S2021" s="73"/>
      <c r="T2021" s="73"/>
      <c r="U2021" s="73"/>
      <c r="V2021" s="73"/>
      <c r="W2021" s="73"/>
      <c r="X2021" s="73"/>
      <c r="Y2021" s="73"/>
      <c r="Z2021" s="73"/>
      <c r="AA2021" s="73"/>
      <c r="AB2021" s="73"/>
    </row>
    <row r="2022">
      <c r="A2022" s="73"/>
      <c r="B2022" s="73">
        <v>538420.918</v>
      </c>
      <c r="C2022" s="73">
        <v>7.75098956870136E7</v>
      </c>
      <c r="D2022" s="73">
        <v>2.42114482839954E7</v>
      </c>
      <c r="E2022" s="73">
        <v>3753232.9258066</v>
      </c>
      <c r="F2022" s="73"/>
      <c r="G2022" s="73"/>
      <c r="H2022" s="73"/>
      <c r="I2022" s="73"/>
      <c r="J2022" s="73"/>
      <c r="K2022" s="73"/>
      <c r="L2022" s="73"/>
      <c r="M2022" s="73"/>
      <c r="N2022" s="73"/>
      <c r="O2022" s="73"/>
      <c r="P2022" s="73"/>
      <c r="Q2022" s="73"/>
      <c r="R2022" s="73"/>
      <c r="S2022" s="73"/>
      <c r="T2022" s="73"/>
      <c r="U2022" s="73"/>
      <c r="V2022" s="73"/>
      <c r="W2022" s="73"/>
      <c r="X2022" s="73"/>
      <c r="Y2022" s="73"/>
      <c r="Z2022" s="73"/>
      <c r="AA2022" s="73"/>
      <c r="AB2022" s="73"/>
    </row>
    <row r="2023">
      <c r="A2023" s="73"/>
      <c r="B2023" s="73">
        <v>539296.9765</v>
      </c>
      <c r="C2023" s="73">
        <v>7.76143459241123E7</v>
      </c>
      <c r="D2023" s="73">
        <v>2.42563509759963E7</v>
      </c>
      <c r="E2023" s="73">
        <v>3758687.46137516</v>
      </c>
      <c r="F2023" s="73"/>
      <c r="G2023" s="73"/>
      <c r="H2023" s="73"/>
      <c r="I2023" s="73"/>
      <c r="J2023" s="73"/>
      <c r="K2023" s="73"/>
      <c r="L2023" s="73"/>
      <c r="M2023" s="73"/>
      <c r="N2023" s="73"/>
      <c r="O2023" s="73"/>
      <c r="P2023" s="73"/>
      <c r="Q2023" s="73"/>
      <c r="R2023" s="73"/>
      <c r="S2023" s="73"/>
      <c r="T2023" s="73"/>
      <c r="U2023" s="73"/>
      <c r="V2023" s="73"/>
      <c r="W2023" s="73"/>
      <c r="X2023" s="73"/>
      <c r="Y2023" s="73"/>
      <c r="Z2023" s="73"/>
      <c r="AA2023" s="73"/>
      <c r="AB2023" s="73"/>
    </row>
    <row r="2024">
      <c r="A2024" s="73"/>
      <c r="B2024" s="73">
        <v>540174.4522</v>
      </c>
      <c r="C2024" s="73">
        <v>7.77188950412083E7</v>
      </c>
      <c r="D2024" s="73">
        <v>2.43013080359973E7</v>
      </c>
      <c r="E2024" s="73">
        <v>3764148.11783388</v>
      </c>
      <c r="F2024" s="73"/>
      <c r="G2024" s="73"/>
      <c r="H2024" s="73"/>
      <c r="I2024" s="73"/>
      <c r="J2024" s="73"/>
      <c r="K2024" s="73"/>
      <c r="L2024" s="73"/>
      <c r="M2024" s="73"/>
      <c r="N2024" s="73"/>
      <c r="O2024" s="73"/>
      <c r="P2024" s="73"/>
      <c r="Q2024" s="73"/>
      <c r="R2024" s="73"/>
      <c r="S2024" s="73"/>
      <c r="T2024" s="73"/>
      <c r="U2024" s="73"/>
      <c r="V2024" s="73"/>
      <c r="W2024" s="73"/>
      <c r="X2024" s="73"/>
      <c r="Y2024" s="73"/>
      <c r="Z2024" s="73"/>
      <c r="AA2024" s="73"/>
      <c r="AB2024" s="73"/>
    </row>
    <row r="2025">
      <c r="A2025" s="73"/>
      <c r="B2025" s="73">
        <v>541053.3654</v>
      </c>
      <c r="C2025" s="73">
        <v>7.78235265583019E7</v>
      </c>
      <c r="D2025" s="73">
        <v>2.43463169839982E7</v>
      </c>
      <c r="E2025" s="73">
        <v>3769614.90445778</v>
      </c>
      <c r="F2025" s="73"/>
      <c r="G2025" s="73"/>
      <c r="H2025" s="73"/>
      <c r="I2025" s="73"/>
      <c r="J2025" s="73"/>
      <c r="K2025" s="73"/>
      <c r="L2025" s="73"/>
      <c r="M2025" s="73"/>
      <c r="N2025" s="73"/>
      <c r="O2025" s="73"/>
      <c r="P2025" s="73"/>
      <c r="Q2025" s="73"/>
      <c r="R2025" s="73"/>
      <c r="S2025" s="73"/>
      <c r="T2025" s="73"/>
      <c r="U2025" s="73"/>
      <c r="V2025" s="73"/>
      <c r="W2025" s="73"/>
      <c r="X2025" s="73"/>
      <c r="Y2025" s="73"/>
      <c r="Z2025" s="73"/>
      <c r="AA2025" s="73"/>
      <c r="AB2025" s="73"/>
    </row>
    <row r="2026">
      <c r="A2026" s="73"/>
      <c r="B2026" s="73">
        <v>541933.7085</v>
      </c>
      <c r="C2026" s="73">
        <v>7.79282487153931E7</v>
      </c>
      <c r="D2026" s="73">
        <v>2.43913802999991E7</v>
      </c>
      <c r="E2026" s="73">
        <v>3775087.98016733</v>
      </c>
      <c r="F2026" s="73"/>
      <c r="G2026" s="73"/>
      <c r="H2026" s="73"/>
      <c r="I2026" s="73"/>
      <c r="J2026" s="73"/>
      <c r="K2026" s="73"/>
      <c r="L2026" s="73"/>
      <c r="M2026" s="73"/>
      <c r="N2026" s="73"/>
      <c r="O2026" s="73"/>
      <c r="P2026" s="73"/>
      <c r="Q2026" s="73"/>
      <c r="R2026" s="73"/>
      <c r="S2026" s="73"/>
      <c r="T2026" s="73"/>
      <c r="U2026" s="73"/>
      <c r="V2026" s="73"/>
      <c r="W2026" s="73"/>
      <c r="X2026" s="73"/>
      <c r="Y2026" s="73"/>
      <c r="Z2026" s="73"/>
      <c r="AA2026" s="73"/>
      <c r="AB2026" s="73"/>
    </row>
    <row r="2027">
      <c r="A2027" s="73"/>
      <c r="B2027" s="73">
        <v>542815.4846</v>
      </c>
      <c r="C2027" s="73">
        <v>7.80330615124817E7</v>
      </c>
      <c r="D2027" s="73">
        <v>2.443650066E7</v>
      </c>
      <c r="E2027" s="73">
        <v>3780567.20724205</v>
      </c>
      <c r="F2027" s="73"/>
      <c r="G2027" s="73"/>
      <c r="H2027" s="73"/>
      <c r="I2027" s="73"/>
      <c r="J2027" s="73"/>
      <c r="K2027" s="73"/>
      <c r="L2027" s="73"/>
      <c r="M2027" s="73"/>
      <c r="N2027" s="73"/>
      <c r="O2027" s="73"/>
      <c r="P2027" s="73"/>
      <c r="Q2027" s="73"/>
      <c r="R2027" s="73"/>
      <c r="S2027" s="73"/>
      <c r="T2027" s="73"/>
      <c r="U2027" s="73"/>
      <c r="V2027" s="73"/>
      <c r="W2027" s="73"/>
      <c r="X2027" s="73"/>
      <c r="Y2027" s="73"/>
      <c r="Z2027" s="73"/>
      <c r="AA2027" s="73"/>
      <c r="AB2027" s="73"/>
    </row>
    <row r="2028">
      <c r="A2028" s="73"/>
      <c r="B2028" s="73">
        <v>543698.6929</v>
      </c>
      <c r="C2028" s="73">
        <v>7.81379731895676E7</v>
      </c>
      <c r="D2028" s="73">
        <v>2.44816728320009E7</v>
      </c>
      <c r="E2028" s="73">
        <v>3786052.47239445</v>
      </c>
      <c r="F2028" s="73"/>
      <c r="G2028" s="73"/>
      <c r="H2028" s="73"/>
      <c r="I2028" s="73"/>
      <c r="J2028" s="73"/>
      <c r="K2028" s="73"/>
      <c r="L2028" s="73"/>
      <c r="M2028" s="73"/>
      <c r="N2028" s="73"/>
      <c r="O2028" s="73"/>
      <c r="P2028" s="73"/>
      <c r="Q2028" s="73"/>
      <c r="R2028" s="73"/>
      <c r="S2028" s="73"/>
      <c r="T2028" s="73"/>
      <c r="U2028" s="73"/>
      <c r="V2028" s="73"/>
      <c r="W2028" s="73"/>
      <c r="X2028" s="73"/>
      <c r="Y2028" s="73"/>
      <c r="Z2028" s="73"/>
      <c r="AA2028" s="73"/>
      <c r="AB2028" s="73"/>
    </row>
    <row r="2029">
      <c r="A2029" s="73"/>
      <c r="B2029" s="73">
        <v>544583.3562</v>
      </c>
      <c r="C2029" s="73">
        <v>7.82429590266514E7</v>
      </c>
      <c r="D2029" s="73">
        <v>2.45268994880018E7</v>
      </c>
      <c r="E2029" s="73">
        <v>3791543.89288702</v>
      </c>
      <c r="F2029" s="73"/>
      <c r="G2029" s="73"/>
      <c r="H2029" s="73"/>
      <c r="I2029" s="73"/>
      <c r="J2029" s="73"/>
      <c r="K2029" s="73"/>
      <c r="L2029" s="73"/>
      <c r="M2029" s="73"/>
      <c r="N2029" s="73"/>
      <c r="O2029" s="73"/>
      <c r="P2029" s="73"/>
      <c r="Q2029" s="73"/>
      <c r="R2029" s="73"/>
      <c r="S2029" s="73"/>
      <c r="T2029" s="73"/>
      <c r="U2029" s="73"/>
      <c r="V2029" s="73"/>
      <c r="W2029" s="73"/>
      <c r="X2029" s="73"/>
      <c r="Y2029" s="73"/>
      <c r="Z2029" s="73"/>
      <c r="AA2029" s="73"/>
      <c r="AB2029" s="73"/>
    </row>
    <row r="2030">
      <c r="A2030" s="73"/>
      <c r="B2030" s="73">
        <v>545469.4523</v>
      </c>
      <c r="C2030" s="73">
        <v>7.83480437437325E7</v>
      </c>
      <c r="D2030" s="73">
        <v>2.45721805119951E7</v>
      </c>
      <c r="E2030" s="73">
        <v>3797041.60842774</v>
      </c>
      <c r="F2030" s="73"/>
      <c r="G2030" s="73"/>
      <c r="H2030" s="73"/>
      <c r="I2030" s="73"/>
      <c r="J2030" s="73"/>
      <c r="K2030" s="73"/>
      <c r="L2030" s="73"/>
      <c r="M2030" s="73"/>
      <c r="N2030" s="73"/>
      <c r="O2030" s="73"/>
      <c r="P2030" s="73"/>
      <c r="Q2030" s="73"/>
      <c r="R2030" s="73"/>
      <c r="S2030" s="73"/>
      <c r="T2030" s="73"/>
      <c r="U2030" s="73"/>
      <c r="V2030" s="73"/>
      <c r="W2030" s="73"/>
      <c r="X2030" s="73"/>
      <c r="Y2030" s="73"/>
      <c r="Z2030" s="73"/>
      <c r="AA2030" s="73"/>
      <c r="AB2030" s="73"/>
    </row>
    <row r="2031">
      <c r="A2031" s="73"/>
      <c r="B2031" s="73">
        <v>546357.0095</v>
      </c>
      <c r="C2031" s="73">
        <v>7.84532108608112E7</v>
      </c>
      <c r="D2031" s="73">
        <v>2.4617515907996E7</v>
      </c>
      <c r="E2031" s="73">
        <v>3802545.30183814</v>
      </c>
      <c r="F2031" s="73"/>
      <c r="G2031" s="73"/>
      <c r="H2031" s="73"/>
      <c r="I2031" s="73"/>
      <c r="J2031" s="73"/>
      <c r="K2031" s="73"/>
      <c r="L2031" s="73"/>
      <c r="M2031" s="73"/>
      <c r="N2031" s="73"/>
      <c r="O2031" s="73"/>
      <c r="P2031" s="73"/>
      <c r="Q2031" s="73"/>
      <c r="R2031" s="73"/>
      <c r="S2031" s="73"/>
      <c r="T2031" s="73"/>
      <c r="U2031" s="73"/>
      <c r="V2031" s="73"/>
      <c r="W2031" s="73"/>
      <c r="X2031" s="73"/>
      <c r="Y2031" s="73"/>
      <c r="Z2031" s="73"/>
      <c r="AA2031" s="73"/>
      <c r="AB2031" s="73"/>
    </row>
    <row r="2032">
      <c r="A2032" s="73"/>
      <c r="B2032" s="73">
        <v>547246.0252</v>
      </c>
      <c r="C2032" s="73">
        <v>7.85584686178875E7</v>
      </c>
      <c r="D2032" s="73">
        <v>2.4662905787997E7</v>
      </c>
      <c r="E2032" s="73">
        <v>3808055.47372969</v>
      </c>
      <c r="F2032" s="73"/>
      <c r="G2032" s="73"/>
      <c r="H2032" s="73"/>
      <c r="I2032" s="73"/>
      <c r="J2032" s="73"/>
      <c r="K2032" s="73"/>
      <c r="L2032" s="73"/>
      <c r="M2032" s="73"/>
      <c r="N2032" s="73"/>
      <c r="O2032" s="73"/>
      <c r="P2032" s="73"/>
      <c r="Q2032" s="73"/>
      <c r="R2032" s="73"/>
      <c r="S2032" s="73"/>
      <c r="T2032" s="73"/>
      <c r="U2032" s="73"/>
      <c r="V2032" s="73"/>
      <c r="W2032" s="73"/>
      <c r="X2032" s="73"/>
      <c r="Y2032" s="73"/>
      <c r="Z2032" s="73"/>
      <c r="AA2032" s="73"/>
      <c r="AB2032" s="73"/>
    </row>
    <row r="2033">
      <c r="A2033" s="73"/>
      <c r="B2033" s="73">
        <v>548136.4735</v>
      </c>
      <c r="C2033" s="73">
        <v>7.86638170149612E7</v>
      </c>
      <c r="D2033" s="73">
        <v>2.47083500759979E7</v>
      </c>
      <c r="E2033" s="73">
        <v>3813571.54266593</v>
      </c>
      <c r="F2033" s="73"/>
      <c r="G2033" s="73"/>
      <c r="H2033" s="73"/>
      <c r="I2033" s="73"/>
      <c r="J2033" s="73"/>
      <c r="K2033" s="73"/>
      <c r="L2033" s="73"/>
      <c r="M2033" s="73"/>
      <c r="N2033" s="73"/>
      <c r="O2033" s="73"/>
      <c r="P2033" s="73"/>
      <c r="Q2033" s="73"/>
      <c r="R2033" s="73"/>
      <c r="S2033" s="73"/>
      <c r="T2033" s="73"/>
      <c r="U2033" s="73"/>
      <c r="V2033" s="73"/>
      <c r="W2033" s="73"/>
      <c r="X2033" s="73"/>
      <c r="Y2033" s="73"/>
      <c r="Z2033" s="73"/>
      <c r="AA2033" s="73"/>
      <c r="AB2033" s="73"/>
    </row>
    <row r="2034">
      <c r="A2034" s="73"/>
      <c r="B2034" s="73">
        <v>549028.4001</v>
      </c>
      <c r="C2034" s="73">
        <v>7.87692478120327E7</v>
      </c>
      <c r="D2034" s="73">
        <v>2.47538487719988E7</v>
      </c>
      <c r="E2034" s="73">
        <v>3819093.84644233</v>
      </c>
      <c r="F2034" s="73"/>
      <c r="G2034" s="73"/>
      <c r="H2034" s="73"/>
      <c r="I2034" s="73"/>
      <c r="J2034" s="73"/>
      <c r="K2034" s="73"/>
      <c r="L2034" s="73"/>
      <c r="M2034" s="73"/>
      <c r="N2034" s="73"/>
      <c r="O2034" s="73"/>
      <c r="P2034" s="73"/>
      <c r="Q2034" s="73"/>
      <c r="R2034" s="73"/>
      <c r="S2034" s="73"/>
      <c r="T2034" s="73"/>
      <c r="U2034" s="73"/>
      <c r="V2034" s="73"/>
      <c r="W2034" s="73"/>
      <c r="X2034" s="73"/>
      <c r="Y2034" s="73"/>
      <c r="Z2034" s="73"/>
      <c r="AA2034" s="73"/>
      <c r="AB2034" s="73"/>
    </row>
    <row r="2035">
      <c r="A2035" s="73"/>
      <c r="B2035" s="73">
        <v>549921.7847</v>
      </c>
      <c r="C2035" s="73">
        <v>7.88747774891014E7</v>
      </c>
      <c r="D2035" s="73">
        <v>2.47994018359997E7</v>
      </c>
      <c r="E2035" s="73">
        <v>3824622.38564189</v>
      </c>
      <c r="F2035" s="73"/>
      <c r="G2035" s="73"/>
      <c r="H2035" s="73"/>
      <c r="I2035" s="73"/>
      <c r="J2035" s="73"/>
      <c r="K2035" s="73"/>
      <c r="L2035" s="73"/>
      <c r="M2035" s="73"/>
      <c r="N2035" s="73"/>
      <c r="O2035" s="73"/>
      <c r="P2035" s="73"/>
      <c r="Q2035" s="73"/>
      <c r="R2035" s="73"/>
      <c r="S2035" s="73"/>
      <c r="T2035" s="73"/>
      <c r="U2035" s="73"/>
      <c r="V2035" s="73"/>
      <c r="W2035" s="73"/>
      <c r="X2035" s="73"/>
      <c r="Y2035" s="73"/>
      <c r="Z2035" s="73"/>
      <c r="AA2035" s="73"/>
      <c r="AB2035" s="73"/>
    </row>
    <row r="2036">
      <c r="A2036" s="73"/>
      <c r="B2036" s="73">
        <v>550816.6185</v>
      </c>
      <c r="C2036" s="73">
        <v>7.89804060461674E7</v>
      </c>
      <c r="D2036" s="73">
        <v>2.48450119840006E7</v>
      </c>
      <c r="E2036" s="73">
        <v>3830157.09011911</v>
      </c>
      <c r="F2036" s="73"/>
      <c r="G2036" s="73"/>
      <c r="H2036" s="73"/>
      <c r="I2036" s="73"/>
      <c r="J2036" s="73"/>
      <c r="K2036" s="73"/>
      <c r="L2036" s="73"/>
      <c r="M2036" s="73"/>
      <c r="N2036" s="73"/>
      <c r="O2036" s="73"/>
      <c r="P2036" s="73"/>
      <c r="Q2036" s="73"/>
      <c r="R2036" s="73"/>
      <c r="S2036" s="73"/>
      <c r="T2036" s="73"/>
      <c r="U2036" s="73"/>
      <c r="V2036" s="73"/>
      <c r="W2036" s="73"/>
      <c r="X2036" s="73"/>
      <c r="Y2036" s="73"/>
      <c r="Z2036" s="73"/>
      <c r="AA2036" s="73"/>
      <c r="AB2036" s="73"/>
    </row>
    <row r="2037">
      <c r="A2037" s="73"/>
      <c r="B2037" s="73">
        <v>551712.9298</v>
      </c>
      <c r="C2037" s="73">
        <v>7.90861005232315E7</v>
      </c>
      <c r="D2037" s="73">
        <v>2.48906739040015E7</v>
      </c>
      <c r="E2037" s="73">
        <v>3835697.93536151</v>
      </c>
      <c r="F2037" s="73"/>
      <c r="G2037" s="73"/>
      <c r="H2037" s="73"/>
      <c r="I2037" s="73"/>
      <c r="J2037" s="73"/>
      <c r="K2037" s="73"/>
      <c r="L2037" s="73"/>
      <c r="M2037" s="73"/>
      <c r="N2037" s="73"/>
      <c r="O2037" s="73"/>
      <c r="P2037" s="73"/>
      <c r="Q2037" s="73"/>
      <c r="R2037" s="73"/>
      <c r="S2037" s="73"/>
      <c r="T2037" s="73"/>
      <c r="U2037" s="73"/>
      <c r="V2037" s="73"/>
      <c r="W2037" s="73"/>
      <c r="X2037" s="73"/>
      <c r="Y2037" s="73"/>
      <c r="Z2037" s="73"/>
      <c r="AA2037" s="73"/>
      <c r="AB2037" s="73"/>
    </row>
    <row r="2038">
      <c r="A2038" s="73"/>
      <c r="B2038" s="73">
        <v>552610.7011</v>
      </c>
      <c r="C2038" s="73">
        <v>7.91919021202927E7</v>
      </c>
      <c r="D2038" s="73">
        <v>2.49363902319948E7</v>
      </c>
      <c r="E2038" s="73">
        <v>3841244.94058158</v>
      </c>
      <c r="F2038" s="73"/>
      <c r="G2038" s="73"/>
      <c r="H2038" s="73"/>
      <c r="I2038" s="73"/>
      <c r="J2038" s="73"/>
      <c r="K2038" s="73"/>
      <c r="L2038" s="73"/>
      <c r="M2038" s="73"/>
      <c r="N2038" s="73"/>
      <c r="O2038" s="73"/>
      <c r="P2038" s="73"/>
      <c r="Q2038" s="73"/>
      <c r="R2038" s="73"/>
      <c r="S2038" s="73"/>
      <c r="T2038" s="73"/>
      <c r="U2038" s="73"/>
      <c r="V2038" s="73"/>
      <c r="W2038" s="73"/>
      <c r="X2038" s="73"/>
      <c r="Y2038" s="73"/>
      <c r="Z2038" s="73"/>
      <c r="AA2038" s="73"/>
      <c r="AB2038" s="73"/>
    </row>
    <row r="2039">
      <c r="A2039" s="73"/>
      <c r="B2039" s="73">
        <v>553509.9547</v>
      </c>
      <c r="C2039" s="73">
        <v>7.92977778773518E7</v>
      </c>
      <c r="D2039" s="73">
        <v>2.49821610439957E7</v>
      </c>
      <c r="E2039" s="73">
        <v>3846798.2680123</v>
      </c>
      <c r="F2039" s="73"/>
      <c r="G2039" s="73"/>
      <c r="H2039" s="73"/>
      <c r="I2039" s="73"/>
      <c r="J2039" s="73"/>
      <c r="K2039" s="73"/>
      <c r="L2039" s="73"/>
      <c r="M2039" s="73"/>
      <c r="N2039" s="73"/>
      <c r="O2039" s="73"/>
      <c r="P2039" s="73"/>
      <c r="Q2039" s="73"/>
      <c r="R2039" s="73"/>
      <c r="S2039" s="73"/>
      <c r="T2039" s="73"/>
      <c r="U2039" s="73"/>
      <c r="V2039" s="73"/>
      <c r="W2039" s="73"/>
      <c r="X2039" s="73"/>
      <c r="Y2039" s="73"/>
      <c r="Z2039" s="73"/>
      <c r="AA2039" s="73"/>
      <c r="AB2039" s="73"/>
    </row>
    <row r="2040">
      <c r="A2040" s="73"/>
      <c r="B2040" s="73">
        <v>554410.6674</v>
      </c>
      <c r="C2040" s="73">
        <v>7.94037607544079E7</v>
      </c>
      <c r="D2040" s="73">
        <v>2.50279862239966E7</v>
      </c>
      <c r="E2040" s="73">
        <v>3852357.68784569</v>
      </c>
      <c r="F2040" s="73"/>
      <c r="G2040" s="73"/>
      <c r="H2040" s="73"/>
      <c r="I2040" s="73"/>
      <c r="J2040" s="73"/>
      <c r="K2040" s="73"/>
      <c r="L2040" s="73"/>
      <c r="M2040" s="73"/>
      <c r="N2040" s="73"/>
      <c r="O2040" s="73"/>
      <c r="P2040" s="73"/>
      <c r="Q2040" s="73"/>
      <c r="R2040" s="73"/>
      <c r="S2040" s="73"/>
      <c r="T2040" s="73"/>
      <c r="U2040" s="73"/>
      <c r="V2040" s="73"/>
      <c r="W2040" s="73"/>
      <c r="X2040" s="73"/>
      <c r="Y2040" s="73"/>
      <c r="Z2040" s="73"/>
      <c r="AA2040" s="73"/>
      <c r="AB2040" s="73"/>
    </row>
    <row r="2041">
      <c r="A2041" s="73"/>
      <c r="B2041" s="73">
        <v>555312.8672</v>
      </c>
      <c r="C2041" s="73">
        <v>7.95098260314617E7</v>
      </c>
      <c r="D2041" s="73">
        <v>2.50738683759976E7</v>
      </c>
      <c r="E2041" s="73">
        <v>3857923.43585224</v>
      </c>
      <c r="F2041" s="73"/>
      <c r="G2041" s="73"/>
      <c r="H2041" s="73"/>
      <c r="I2041" s="73"/>
      <c r="J2041" s="73"/>
      <c r="K2041" s="73"/>
      <c r="L2041" s="73"/>
      <c r="M2041" s="73"/>
      <c r="N2041" s="73"/>
      <c r="O2041" s="73"/>
      <c r="P2041" s="73"/>
      <c r="Q2041" s="73"/>
      <c r="R2041" s="73"/>
      <c r="S2041" s="73"/>
      <c r="T2041" s="73"/>
      <c r="U2041" s="73"/>
      <c r="V2041" s="73"/>
      <c r="W2041" s="73"/>
      <c r="X2041" s="73"/>
      <c r="Y2041" s="73"/>
      <c r="Z2041" s="73"/>
      <c r="AA2041" s="73"/>
      <c r="AB2041" s="73"/>
    </row>
    <row r="2042">
      <c r="A2042" s="73"/>
      <c r="B2042" s="73">
        <v>556216.5363</v>
      </c>
      <c r="C2042" s="73">
        <v>7.96159737085133E7</v>
      </c>
      <c r="D2042" s="73">
        <v>2.51198024119985E7</v>
      </c>
      <c r="E2042" s="73">
        <v>3863495.25315347</v>
      </c>
      <c r="F2042" s="73"/>
      <c r="G2042" s="73"/>
      <c r="H2042" s="73"/>
      <c r="I2042" s="73"/>
      <c r="J2042" s="73"/>
      <c r="K2042" s="73"/>
      <c r="L2042" s="73"/>
      <c r="M2042" s="73"/>
      <c r="N2042" s="73"/>
      <c r="O2042" s="73"/>
      <c r="P2042" s="73"/>
      <c r="Q2042" s="73"/>
      <c r="R2042" s="73"/>
      <c r="S2042" s="73"/>
      <c r="T2042" s="73"/>
      <c r="U2042" s="73"/>
      <c r="V2042" s="73"/>
      <c r="W2042" s="73"/>
      <c r="X2042" s="73"/>
      <c r="Y2042" s="73"/>
      <c r="Z2042" s="73"/>
      <c r="AA2042" s="73"/>
      <c r="AB2042" s="73"/>
    </row>
    <row r="2043">
      <c r="A2043" s="73"/>
      <c r="B2043" s="73">
        <v>557121.6969</v>
      </c>
      <c r="C2043" s="73">
        <v>7.97222202655621E7</v>
      </c>
      <c r="D2043" s="73">
        <v>2.51657934559994E7</v>
      </c>
      <c r="E2043" s="73">
        <v>3869073.33105285</v>
      </c>
      <c r="F2043" s="73"/>
      <c r="G2043" s="73"/>
      <c r="H2043" s="73"/>
      <c r="I2043" s="73"/>
      <c r="J2043" s="73"/>
      <c r="K2043" s="73"/>
      <c r="L2043" s="73"/>
      <c r="M2043" s="73"/>
      <c r="N2043" s="73"/>
      <c r="O2043" s="73"/>
      <c r="P2043" s="73"/>
      <c r="Q2043" s="73"/>
      <c r="R2043" s="73"/>
      <c r="S2043" s="73"/>
      <c r="T2043" s="73"/>
      <c r="U2043" s="73"/>
      <c r="V2043" s="73"/>
      <c r="W2043" s="73"/>
      <c r="X2043" s="73"/>
      <c r="Y2043" s="73"/>
      <c r="Z2043" s="73"/>
      <c r="AA2043" s="73"/>
      <c r="AB2043" s="73"/>
    </row>
    <row r="2044">
      <c r="A2044" s="73"/>
      <c r="B2044" s="73">
        <v>558028.3456</v>
      </c>
      <c r="C2044" s="73">
        <v>7.98285492226086E7</v>
      </c>
      <c r="D2044" s="73">
        <v>2.52118388680003E7</v>
      </c>
      <c r="E2044" s="73">
        <v>3874657.59211741</v>
      </c>
      <c r="F2044" s="73"/>
      <c r="G2044" s="73"/>
      <c r="H2044" s="73"/>
      <c r="I2044" s="73"/>
      <c r="J2044" s="73"/>
      <c r="K2044" s="73"/>
      <c r="L2044" s="73"/>
      <c r="M2044" s="73"/>
      <c r="N2044" s="73"/>
      <c r="O2044" s="73"/>
      <c r="P2044" s="73"/>
      <c r="Q2044" s="73"/>
      <c r="R2044" s="73"/>
      <c r="S2044" s="73"/>
      <c r="T2044" s="73"/>
      <c r="U2044" s="73"/>
      <c r="V2044" s="73"/>
      <c r="W2044" s="73"/>
      <c r="X2044" s="73"/>
      <c r="Y2044" s="73"/>
      <c r="Z2044" s="73"/>
      <c r="AA2044" s="73"/>
      <c r="AB2044" s="73"/>
    </row>
    <row r="2045">
      <c r="A2045" s="73"/>
      <c r="B2045" s="73">
        <v>558936.4759</v>
      </c>
      <c r="C2045" s="73">
        <v>7.99349688196526E7</v>
      </c>
      <c r="D2045" s="73">
        <v>2.52579386880012E7</v>
      </c>
      <c r="E2045" s="73">
        <v>3880248.09125512</v>
      </c>
      <c r="F2045" s="73"/>
      <c r="G2045" s="73"/>
      <c r="H2045" s="73"/>
      <c r="I2045" s="73"/>
      <c r="J2045" s="73"/>
      <c r="K2045" s="73"/>
      <c r="L2045" s="73"/>
      <c r="M2045" s="73"/>
      <c r="N2045" s="73"/>
      <c r="O2045" s="73"/>
      <c r="P2045" s="73"/>
      <c r="Q2045" s="73"/>
      <c r="R2045" s="73"/>
      <c r="S2045" s="73"/>
      <c r="T2045" s="73"/>
      <c r="U2045" s="73"/>
      <c r="V2045" s="73"/>
      <c r="W2045" s="73"/>
      <c r="X2045" s="73"/>
      <c r="Y2045" s="73"/>
      <c r="Z2045" s="73"/>
      <c r="AA2045" s="73"/>
      <c r="AB2045" s="73"/>
    </row>
    <row r="2046">
      <c r="A2046" s="73"/>
      <c r="B2046" s="73">
        <v>559846.0784</v>
      </c>
      <c r="C2046" s="73">
        <v>8.00414872966938E7</v>
      </c>
      <c r="D2046" s="73">
        <v>2.53040929919945E7</v>
      </c>
      <c r="E2046" s="73">
        <v>3885844.858358</v>
      </c>
      <c r="F2046" s="73"/>
      <c r="G2046" s="73"/>
      <c r="H2046" s="73"/>
      <c r="I2046" s="73"/>
      <c r="J2046" s="73"/>
      <c r="K2046" s="73"/>
      <c r="L2046" s="73"/>
      <c r="M2046" s="73"/>
      <c r="N2046" s="73"/>
      <c r="O2046" s="73"/>
      <c r="P2046" s="73"/>
      <c r="Q2046" s="73"/>
      <c r="R2046" s="73"/>
      <c r="S2046" s="73"/>
      <c r="T2046" s="73"/>
      <c r="U2046" s="73"/>
      <c r="V2046" s="73"/>
      <c r="W2046" s="73"/>
      <c r="X2046" s="73"/>
      <c r="Y2046" s="73"/>
      <c r="Z2046" s="73"/>
      <c r="AA2046" s="73"/>
      <c r="AB2046" s="73"/>
    </row>
    <row r="2047">
      <c r="A2047" s="73"/>
      <c r="B2047" s="73">
        <v>560757.1867</v>
      </c>
      <c r="C2047" s="73">
        <v>8.0148079933733E7</v>
      </c>
      <c r="D2047" s="73">
        <v>2.53503016679954E7</v>
      </c>
      <c r="E2047" s="73">
        <v>3891447.80133855</v>
      </c>
      <c r="F2047" s="73"/>
      <c r="G2047" s="73"/>
      <c r="H2047" s="73"/>
      <c r="I2047" s="73"/>
      <c r="J2047" s="73"/>
      <c r="K2047" s="73"/>
      <c r="L2047" s="73"/>
      <c r="M2047" s="73"/>
      <c r="N2047" s="73"/>
      <c r="O2047" s="73"/>
      <c r="P2047" s="73"/>
      <c r="Q2047" s="73"/>
      <c r="R2047" s="73"/>
      <c r="S2047" s="73"/>
      <c r="T2047" s="73"/>
      <c r="U2047" s="73"/>
      <c r="V2047" s="73"/>
      <c r="W2047" s="73"/>
      <c r="X2047" s="73"/>
      <c r="Y2047" s="73"/>
      <c r="Z2047" s="73"/>
      <c r="AA2047" s="73"/>
      <c r="AB2047" s="73"/>
    </row>
    <row r="2048">
      <c r="A2048" s="73"/>
      <c r="B2048" s="73">
        <v>561669.7713</v>
      </c>
      <c r="C2048" s="73">
        <v>8.02547714507694E7</v>
      </c>
      <c r="D2048" s="73">
        <v>2.53965647879963E7</v>
      </c>
      <c r="E2048" s="73">
        <v>3897056.83142176</v>
      </c>
      <c r="F2048" s="73"/>
      <c r="G2048" s="73"/>
      <c r="H2048" s="73"/>
      <c r="I2048" s="73"/>
      <c r="J2048" s="73"/>
      <c r="K2048" s="73"/>
      <c r="L2048" s="73"/>
      <c r="M2048" s="73"/>
      <c r="N2048" s="73"/>
      <c r="O2048" s="73"/>
      <c r="P2048" s="73"/>
      <c r="Q2048" s="73"/>
      <c r="R2048" s="73"/>
      <c r="S2048" s="73"/>
      <c r="T2048" s="73"/>
      <c r="U2048" s="73"/>
      <c r="V2048" s="73"/>
      <c r="W2048" s="73"/>
      <c r="X2048" s="73"/>
      <c r="Y2048" s="73"/>
      <c r="Z2048" s="73"/>
      <c r="AA2048" s="73"/>
      <c r="AB2048" s="73"/>
    </row>
    <row r="2049">
      <c r="A2049" s="73"/>
      <c r="B2049" s="73">
        <v>562583.86</v>
      </c>
      <c r="C2049" s="73">
        <v>8.03615618478031E7</v>
      </c>
      <c r="D2049" s="73">
        <v>2.54428822399973E7</v>
      </c>
      <c r="E2049" s="73">
        <v>3902672.20756564</v>
      </c>
      <c r="F2049" s="73"/>
      <c r="G2049" s="73"/>
      <c r="H2049" s="73"/>
      <c r="I2049" s="73"/>
      <c r="J2049" s="73"/>
      <c r="K2049" s="73"/>
      <c r="L2049" s="73"/>
      <c r="M2049" s="73"/>
      <c r="N2049" s="73"/>
      <c r="O2049" s="73"/>
      <c r="P2049" s="73"/>
      <c r="Q2049" s="73"/>
      <c r="R2049" s="73"/>
      <c r="S2049" s="73"/>
      <c r="T2049" s="73"/>
      <c r="U2049" s="73"/>
      <c r="V2049" s="73"/>
      <c r="W2049" s="73"/>
      <c r="X2049" s="73"/>
      <c r="Y2049" s="73"/>
      <c r="Z2049" s="73"/>
      <c r="AA2049" s="73"/>
      <c r="AB2049" s="73"/>
    </row>
    <row r="2050">
      <c r="A2050" s="73"/>
      <c r="B2050" s="73">
        <v>563499.4603</v>
      </c>
      <c r="C2050" s="73">
        <v>8.04684264048347E7</v>
      </c>
      <c r="D2050" s="73">
        <v>2.54892567759982E7</v>
      </c>
      <c r="E2050" s="73">
        <v>3908293.87486217</v>
      </c>
      <c r="F2050" s="73"/>
      <c r="G2050" s="73"/>
      <c r="H2050" s="73"/>
      <c r="I2050" s="73"/>
      <c r="J2050" s="73"/>
      <c r="K2050" s="73"/>
      <c r="L2050" s="73"/>
      <c r="M2050" s="73"/>
      <c r="N2050" s="73"/>
      <c r="O2050" s="73"/>
      <c r="P2050" s="73"/>
      <c r="Q2050" s="73"/>
      <c r="R2050" s="73"/>
      <c r="S2050" s="73"/>
      <c r="T2050" s="73"/>
      <c r="U2050" s="73"/>
      <c r="V2050" s="73"/>
      <c r="W2050" s="73"/>
      <c r="X2050" s="73"/>
      <c r="Y2050" s="73"/>
      <c r="Z2050" s="73"/>
      <c r="AA2050" s="73"/>
      <c r="AB2050" s="73"/>
    </row>
    <row r="2051">
      <c r="A2051" s="73"/>
      <c r="B2051" s="73">
        <v>564416.5429</v>
      </c>
      <c r="C2051" s="73">
        <v>8.05753898418636E7</v>
      </c>
      <c r="D2051" s="73">
        <v>2.55356856799991E7</v>
      </c>
      <c r="E2051" s="73">
        <v>3913921.53916138</v>
      </c>
      <c r="F2051" s="73"/>
      <c r="G2051" s="73"/>
      <c r="H2051" s="73"/>
      <c r="I2051" s="73"/>
      <c r="J2051" s="73"/>
      <c r="K2051" s="73"/>
      <c r="L2051" s="73"/>
      <c r="M2051" s="73"/>
      <c r="N2051" s="73"/>
      <c r="O2051" s="73"/>
      <c r="P2051" s="73"/>
      <c r="Q2051" s="73"/>
      <c r="R2051" s="73"/>
      <c r="S2051" s="73"/>
      <c r="T2051" s="73"/>
      <c r="U2051" s="73"/>
      <c r="V2051" s="73"/>
      <c r="W2051" s="73"/>
      <c r="X2051" s="73"/>
      <c r="Y2051" s="73"/>
      <c r="Z2051" s="73"/>
      <c r="AA2051" s="73"/>
      <c r="AB2051" s="73"/>
    </row>
    <row r="2052">
      <c r="A2052" s="73"/>
      <c r="B2052" s="73">
        <v>565335.1153</v>
      </c>
      <c r="C2052" s="73">
        <v>8.06824356788902E7</v>
      </c>
      <c r="D2052" s="73">
        <v>2.5582168992E7</v>
      </c>
      <c r="E2052" s="73">
        <v>3919555.73634624</v>
      </c>
      <c r="F2052" s="73"/>
      <c r="G2052" s="73"/>
      <c r="H2052" s="73"/>
      <c r="I2052" s="73"/>
      <c r="J2052" s="73"/>
      <c r="K2052" s="73"/>
      <c r="L2052" s="73"/>
      <c r="M2052" s="73"/>
      <c r="N2052" s="73"/>
      <c r="O2052" s="73"/>
      <c r="P2052" s="73"/>
      <c r="Q2052" s="73"/>
      <c r="R2052" s="73"/>
      <c r="S2052" s="73"/>
      <c r="T2052" s="73"/>
      <c r="U2052" s="73"/>
      <c r="V2052" s="73"/>
      <c r="W2052" s="73"/>
      <c r="X2052" s="73"/>
      <c r="Y2052" s="73"/>
      <c r="Z2052" s="73"/>
      <c r="AA2052" s="73"/>
      <c r="AB2052" s="73"/>
    </row>
    <row r="2053">
      <c r="A2053" s="73"/>
      <c r="B2053" s="73">
        <v>566255.1994</v>
      </c>
      <c r="C2053" s="73">
        <v>8.07895721559143E7</v>
      </c>
      <c r="D2053" s="73">
        <v>2.56287067520009E7</v>
      </c>
      <c r="E2053" s="73">
        <v>3925195.93053377</v>
      </c>
      <c r="F2053" s="73"/>
      <c r="G2053" s="73"/>
      <c r="H2053" s="73"/>
      <c r="I2053" s="73"/>
      <c r="J2053" s="73"/>
      <c r="K2053" s="73"/>
      <c r="L2053" s="73"/>
      <c r="M2053" s="73"/>
      <c r="N2053" s="73"/>
      <c r="O2053" s="73"/>
      <c r="P2053" s="73"/>
      <c r="Q2053" s="73"/>
      <c r="R2053" s="73"/>
      <c r="S2053" s="73"/>
      <c r="T2053" s="73"/>
      <c r="U2053" s="73"/>
      <c r="V2053" s="73"/>
      <c r="W2053" s="73"/>
      <c r="X2053" s="73"/>
      <c r="Y2053" s="73"/>
      <c r="Z2053" s="73"/>
      <c r="AA2053" s="73"/>
      <c r="AB2053" s="73"/>
    </row>
    <row r="2054">
      <c r="A2054" s="73"/>
      <c r="B2054" s="73">
        <v>567176.8026</v>
      </c>
      <c r="C2054" s="73">
        <v>8.08968075129356E7</v>
      </c>
      <c r="D2054" s="73">
        <v>2.56753015160018E7</v>
      </c>
      <c r="E2054" s="73">
        <v>3930842.49595696</v>
      </c>
      <c r="F2054" s="73"/>
      <c r="G2054" s="73"/>
      <c r="H2054" s="73"/>
      <c r="I2054" s="73"/>
      <c r="J2054" s="73"/>
      <c r="K2054" s="73"/>
      <c r="L2054" s="73"/>
      <c r="M2054" s="73"/>
      <c r="N2054" s="73"/>
      <c r="O2054" s="73"/>
      <c r="P2054" s="73"/>
      <c r="Q2054" s="73"/>
      <c r="R2054" s="73"/>
      <c r="S2054" s="73"/>
      <c r="T2054" s="73"/>
      <c r="U2054" s="73"/>
      <c r="V2054" s="73"/>
      <c r="W2054" s="73"/>
      <c r="X2054" s="73"/>
      <c r="Y2054" s="73"/>
      <c r="Z2054" s="73"/>
      <c r="AA2054" s="73"/>
      <c r="AB2054" s="73"/>
    </row>
    <row r="2055">
      <c r="A2055" s="73"/>
      <c r="B2055" s="73">
        <v>568099.8954</v>
      </c>
      <c r="C2055" s="73">
        <v>8.10041335099545E7</v>
      </c>
      <c r="D2055" s="73">
        <v>2.57219506519951E7</v>
      </c>
      <c r="E2055" s="73">
        <v>3936495.17704982</v>
      </c>
      <c r="F2055" s="73"/>
      <c r="G2055" s="73"/>
      <c r="H2055" s="73"/>
      <c r="I2055" s="73"/>
      <c r="J2055" s="73"/>
      <c r="K2055" s="73"/>
      <c r="L2055" s="73"/>
      <c r="M2055" s="73"/>
      <c r="N2055" s="73"/>
      <c r="O2055" s="73"/>
      <c r="P2055" s="73"/>
      <c r="Q2055" s="73"/>
      <c r="R2055" s="73"/>
      <c r="S2055" s="73"/>
      <c r="T2055" s="73"/>
      <c r="U2055" s="73"/>
      <c r="V2055" s="73"/>
      <c r="W2055" s="73"/>
      <c r="X2055" s="73"/>
      <c r="Y2055" s="73"/>
      <c r="Z2055" s="73"/>
      <c r="AA2055" s="73"/>
      <c r="AB2055" s="73"/>
    </row>
    <row r="2056">
      <c r="A2056" s="73"/>
      <c r="B2056" s="73">
        <v>569024.5053</v>
      </c>
      <c r="C2056" s="73">
        <v>8.11115336669712E7</v>
      </c>
      <c r="D2056" s="73">
        <v>2.5768654231996E7</v>
      </c>
      <c r="E2056" s="73">
        <v>3942154.39161132</v>
      </c>
      <c r="F2056" s="73"/>
      <c r="G2056" s="73"/>
      <c r="H2056" s="73"/>
      <c r="I2056" s="73"/>
      <c r="J2056" s="73"/>
      <c r="K2056" s="73"/>
      <c r="L2056" s="73"/>
      <c r="M2056" s="73"/>
      <c r="N2056" s="73"/>
      <c r="O2056" s="73"/>
      <c r="P2056" s="73"/>
      <c r="Q2056" s="73"/>
      <c r="R2056" s="73"/>
      <c r="S2056" s="73"/>
      <c r="T2056" s="73"/>
      <c r="U2056" s="73"/>
      <c r="V2056" s="73"/>
      <c r="W2056" s="73"/>
      <c r="X2056" s="73"/>
      <c r="Y2056" s="73"/>
      <c r="Z2056" s="73"/>
      <c r="AA2056" s="73"/>
      <c r="AB2056" s="73"/>
    </row>
    <row r="2057">
      <c r="A2057" s="73"/>
      <c r="B2057" s="73">
        <v>569950.6196</v>
      </c>
      <c r="C2057" s="73">
        <v>8.1219040943985E7</v>
      </c>
      <c r="D2057" s="73">
        <v>2.58154122239969E7</v>
      </c>
      <c r="E2057" s="73">
        <v>3947819.56416751</v>
      </c>
      <c r="F2057" s="73"/>
      <c r="G2057" s="73"/>
      <c r="H2057" s="73"/>
      <c r="I2057" s="73"/>
      <c r="J2057" s="73"/>
      <c r="K2057" s="73"/>
      <c r="L2057" s="73"/>
      <c r="M2057" s="73"/>
      <c r="N2057" s="73"/>
      <c r="O2057" s="73"/>
      <c r="P2057" s="73"/>
      <c r="Q2057" s="73"/>
      <c r="R2057" s="73"/>
      <c r="S2057" s="73"/>
      <c r="T2057" s="73"/>
      <c r="U2057" s="73"/>
      <c r="V2057" s="73"/>
      <c r="W2057" s="73"/>
      <c r="X2057" s="73"/>
      <c r="Y2057" s="73"/>
      <c r="Z2057" s="73"/>
      <c r="AA2057" s="73"/>
      <c r="AB2057" s="73"/>
    </row>
    <row r="2058">
      <c r="A2058" s="73"/>
      <c r="B2058" s="73">
        <v>570878.2489</v>
      </c>
      <c r="C2058" s="73">
        <v>8.13266223809967E7</v>
      </c>
      <c r="D2058" s="73">
        <v>2.58622271799979E7</v>
      </c>
      <c r="E2058" s="73">
        <v>3953491.08145935</v>
      </c>
      <c r="F2058" s="73"/>
      <c r="G2058" s="73"/>
      <c r="H2058" s="73"/>
      <c r="I2058" s="73"/>
      <c r="J2058" s="73"/>
      <c r="K2058" s="73"/>
      <c r="L2058" s="73"/>
      <c r="M2058" s="73"/>
      <c r="N2058" s="73"/>
      <c r="O2058" s="73"/>
      <c r="P2058" s="73"/>
      <c r="Q2058" s="73"/>
      <c r="R2058" s="73"/>
      <c r="S2058" s="73"/>
      <c r="T2058" s="73"/>
      <c r="U2058" s="73"/>
      <c r="V2058" s="73"/>
      <c r="W2058" s="73"/>
      <c r="X2058" s="73"/>
      <c r="Y2058" s="73"/>
      <c r="Z2058" s="73"/>
      <c r="AA2058" s="73"/>
      <c r="AB2058" s="73"/>
    </row>
    <row r="2059">
      <c r="A2059" s="73"/>
      <c r="B2059" s="73">
        <v>571807.3859</v>
      </c>
      <c r="C2059" s="73">
        <v>8.14343026980057E7</v>
      </c>
      <c r="D2059" s="73">
        <v>2.59090965839988E7</v>
      </c>
      <c r="E2059" s="73">
        <v>3959168.80377886</v>
      </c>
      <c r="F2059" s="73"/>
      <c r="G2059" s="73"/>
      <c r="H2059" s="73"/>
      <c r="I2059" s="73"/>
      <c r="J2059" s="73"/>
      <c r="K2059" s="73"/>
      <c r="L2059" s="73"/>
      <c r="M2059" s="73"/>
      <c r="N2059" s="73"/>
      <c r="O2059" s="73"/>
      <c r="P2059" s="73"/>
      <c r="Q2059" s="73"/>
      <c r="R2059" s="73"/>
      <c r="S2059" s="73"/>
      <c r="T2059" s="73"/>
      <c r="U2059" s="73"/>
      <c r="V2059" s="73"/>
      <c r="W2059" s="73"/>
      <c r="X2059" s="73"/>
      <c r="Y2059" s="73"/>
      <c r="Z2059" s="73"/>
      <c r="AA2059" s="73"/>
      <c r="AB2059" s="73"/>
    </row>
    <row r="2060">
      <c r="A2060" s="73"/>
      <c r="B2060" s="73">
        <v>572738.0469</v>
      </c>
      <c r="C2060" s="73">
        <v>8.15420818950119E7</v>
      </c>
      <c r="D2060" s="73">
        <v>2.59560203959997E7</v>
      </c>
      <c r="E2060" s="73">
        <v>3964852.87878402</v>
      </c>
      <c r="F2060" s="73"/>
      <c r="G2060" s="73"/>
      <c r="H2060" s="73"/>
      <c r="I2060" s="73"/>
      <c r="J2060" s="73"/>
      <c r="K2060" s="73"/>
      <c r="L2060" s="73"/>
      <c r="M2060" s="73"/>
      <c r="N2060" s="73"/>
      <c r="O2060" s="73"/>
      <c r="P2060" s="73"/>
      <c r="Q2060" s="73"/>
      <c r="R2060" s="73"/>
      <c r="S2060" s="73"/>
      <c r="T2060" s="73"/>
      <c r="U2060" s="73"/>
      <c r="V2060" s="73"/>
      <c r="W2060" s="73"/>
      <c r="X2060" s="73"/>
      <c r="Y2060" s="73"/>
      <c r="Z2060" s="73"/>
      <c r="AA2060" s="73"/>
      <c r="AB2060" s="73"/>
    </row>
    <row r="2061">
      <c r="A2061" s="73"/>
      <c r="B2061" s="73">
        <v>573670.2134</v>
      </c>
      <c r="C2061" s="73">
        <v>8.16499352520161E7</v>
      </c>
      <c r="D2061" s="73">
        <v>2.60029986160006E7</v>
      </c>
      <c r="E2061" s="73">
        <v>3970543.10449186</v>
      </c>
      <c r="F2061" s="73"/>
      <c r="G2061" s="73"/>
      <c r="H2061" s="73"/>
      <c r="I2061" s="73"/>
      <c r="J2061" s="73"/>
      <c r="K2061" s="73"/>
      <c r="L2061" s="73"/>
      <c r="M2061" s="73"/>
      <c r="N2061" s="73"/>
      <c r="O2061" s="73"/>
      <c r="P2061" s="73"/>
      <c r="Q2061" s="73"/>
      <c r="R2061" s="73"/>
      <c r="S2061" s="73"/>
      <c r="T2061" s="73"/>
      <c r="U2061" s="73"/>
      <c r="V2061" s="73"/>
      <c r="W2061" s="73"/>
      <c r="X2061" s="73"/>
      <c r="Y2061" s="73"/>
      <c r="Z2061" s="73"/>
      <c r="AA2061" s="73"/>
      <c r="AB2061" s="73"/>
    </row>
    <row r="2062">
      <c r="A2062" s="73"/>
      <c r="B2062" s="73">
        <v>574603.907</v>
      </c>
      <c r="C2062" s="73">
        <v>8.17578957290173E7</v>
      </c>
      <c r="D2062" s="73">
        <v>2.60500338400015E7</v>
      </c>
      <c r="E2062" s="73">
        <v>3976239.51667736</v>
      </c>
      <c r="F2062" s="73"/>
      <c r="G2062" s="73"/>
      <c r="H2062" s="73"/>
      <c r="I2062" s="73"/>
      <c r="J2062" s="73"/>
      <c r="K2062" s="73"/>
      <c r="L2062" s="73"/>
      <c r="M2062" s="73"/>
      <c r="N2062" s="73"/>
      <c r="O2062" s="73"/>
      <c r="P2062" s="73"/>
      <c r="Q2062" s="73"/>
      <c r="R2062" s="73"/>
      <c r="S2062" s="73"/>
      <c r="T2062" s="73"/>
      <c r="U2062" s="73"/>
      <c r="V2062" s="73"/>
      <c r="W2062" s="73"/>
      <c r="X2062" s="73"/>
      <c r="Y2062" s="73"/>
      <c r="Z2062" s="73"/>
      <c r="AA2062" s="73"/>
      <c r="AB2062" s="73"/>
    </row>
    <row r="2063">
      <c r="A2063" s="73"/>
      <c r="B2063" s="73">
        <v>575539.1151</v>
      </c>
      <c r="C2063" s="73">
        <v>8.18659221260166E7</v>
      </c>
      <c r="D2063" s="73">
        <v>2.60971260359948E7</v>
      </c>
      <c r="E2063" s="73">
        <v>3981942.39682351</v>
      </c>
      <c r="F2063" s="73"/>
      <c r="G2063" s="73"/>
      <c r="H2063" s="73"/>
      <c r="I2063" s="73"/>
      <c r="J2063" s="73"/>
      <c r="K2063" s="73"/>
      <c r="L2063" s="73"/>
      <c r="M2063" s="73"/>
      <c r="N2063" s="73"/>
      <c r="O2063" s="73"/>
      <c r="P2063" s="73"/>
      <c r="Q2063" s="73"/>
      <c r="R2063" s="73"/>
      <c r="S2063" s="73"/>
      <c r="T2063" s="73"/>
      <c r="U2063" s="73"/>
      <c r="V2063" s="73"/>
      <c r="W2063" s="73"/>
      <c r="X2063" s="73"/>
      <c r="Y2063" s="73"/>
      <c r="Z2063" s="73"/>
      <c r="AA2063" s="73"/>
      <c r="AB2063" s="73"/>
    </row>
    <row r="2064">
      <c r="A2064" s="73"/>
      <c r="B2064" s="73">
        <v>576475.8534</v>
      </c>
      <c r="C2064" s="73">
        <v>8.1974055643013E7</v>
      </c>
      <c r="D2064" s="73">
        <v>2.61442700759957E7</v>
      </c>
      <c r="E2064" s="73">
        <v>3987651.40912232</v>
      </c>
      <c r="F2064" s="73"/>
      <c r="G2064" s="73"/>
      <c r="H2064" s="73"/>
      <c r="I2064" s="73"/>
      <c r="J2064" s="73"/>
      <c r="K2064" s="73"/>
      <c r="L2064" s="73"/>
      <c r="M2064" s="73"/>
      <c r="N2064" s="73"/>
      <c r="O2064" s="73"/>
      <c r="P2064" s="73"/>
      <c r="Q2064" s="73"/>
      <c r="R2064" s="73"/>
      <c r="S2064" s="73"/>
      <c r="T2064" s="73"/>
      <c r="U2064" s="73"/>
      <c r="V2064" s="73"/>
      <c r="W2064" s="73"/>
      <c r="X2064" s="73"/>
      <c r="Y2064" s="73"/>
      <c r="Z2064" s="73"/>
      <c r="AA2064" s="73"/>
      <c r="AB2064" s="73"/>
    </row>
    <row r="2065">
      <c r="A2065" s="73"/>
      <c r="B2065" s="73">
        <v>577414.1236</v>
      </c>
      <c r="C2065" s="73">
        <v>8.20822880400066E7</v>
      </c>
      <c r="D2065" s="73">
        <v>2.61914711239966E7</v>
      </c>
      <c r="E2065" s="73">
        <v>3993366.63837381</v>
      </c>
      <c r="F2065" s="73"/>
      <c r="G2065" s="73"/>
      <c r="H2065" s="73"/>
      <c r="I2065" s="73"/>
      <c r="J2065" s="73"/>
      <c r="K2065" s="73"/>
      <c r="L2065" s="73"/>
      <c r="M2065" s="73"/>
      <c r="N2065" s="73"/>
      <c r="O2065" s="73"/>
      <c r="P2065" s="73"/>
      <c r="Q2065" s="73"/>
      <c r="R2065" s="73"/>
      <c r="S2065" s="73"/>
      <c r="T2065" s="73"/>
      <c r="U2065" s="73"/>
      <c r="V2065" s="73"/>
      <c r="W2065" s="73"/>
      <c r="X2065" s="73"/>
      <c r="Y2065" s="73"/>
      <c r="Z2065" s="73"/>
      <c r="AA2065" s="73"/>
      <c r="AB2065" s="73"/>
    </row>
    <row r="2066">
      <c r="A2066" s="73"/>
      <c r="B2066" s="73">
        <v>578353.9074</v>
      </c>
      <c r="C2066" s="73">
        <v>8.21905863569984E7</v>
      </c>
      <c r="D2066" s="73">
        <v>2.62387265399976E7</v>
      </c>
      <c r="E2066" s="73">
        <v>3999088.33558594</v>
      </c>
      <c r="F2066" s="73"/>
      <c r="G2066" s="73"/>
      <c r="H2066" s="73"/>
      <c r="I2066" s="73"/>
      <c r="J2066" s="73"/>
      <c r="K2066" s="73"/>
      <c r="L2066" s="73"/>
      <c r="M2066" s="73"/>
      <c r="N2066" s="73"/>
      <c r="O2066" s="73"/>
      <c r="P2066" s="73"/>
      <c r="Q2066" s="73"/>
      <c r="R2066" s="73"/>
      <c r="S2066" s="73"/>
      <c r="T2066" s="73"/>
      <c r="U2066" s="73"/>
      <c r="V2066" s="73"/>
      <c r="W2066" s="73"/>
      <c r="X2066" s="73"/>
      <c r="Y2066" s="73"/>
      <c r="Z2066" s="73"/>
      <c r="AA2066" s="73"/>
      <c r="AB2066" s="73"/>
    </row>
    <row r="2067">
      <c r="A2067" s="73"/>
      <c r="B2067" s="73">
        <v>579295.226</v>
      </c>
      <c r="C2067" s="73">
        <v>8.22989917939873E7</v>
      </c>
      <c r="D2067" s="73">
        <v>2.62860389639985E7</v>
      </c>
      <c r="E2067" s="73">
        <v>4004816.22780874</v>
      </c>
      <c r="F2067" s="73"/>
      <c r="G2067" s="73"/>
      <c r="H2067" s="73"/>
      <c r="I2067" s="73"/>
      <c r="J2067" s="73"/>
      <c r="K2067" s="73"/>
      <c r="L2067" s="73"/>
      <c r="M2067" s="73"/>
      <c r="N2067" s="73"/>
      <c r="O2067" s="73"/>
      <c r="P2067" s="73"/>
      <c r="Q2067" s="73"/>
      <c r="R2067" s="73"/>
      <c r="S2067" s="73"/>
      <c r="T2067" s="73"/>
      <c r="U2067" s="73"/>
      <c r="V2067" s="73"/>
      <c r="W2067" s="73"/>
      <c r="X2067" s="73"/>
      <c r="Y2067" s="73"/>
      <c r="Z2067" s="73"/>
      <c r="AA2067" s="73"/>
      <c r="AB2067" s="73"/>
    </row>
    <row r="2068">
      <c r="A2068" s="73"/>
      <c r="B2068" s="73">
        <v>580238.0668</v>
      </c>
      <c r="C2068" s="73">
        <v>8.24074878709736E7</v>
      </c>
      <c r="D2068" s="73">
        <v>2.63334058359994E7</v>
      </c>
      <c r="E2068" s="73">
        <v>4010550.4257592</v>
      </c>
      <c r="F2068" s="73"/>
      <c r="G2068" s="73"/>
      <c r="H2068" s="73"/>
      <c r="I2068" s="73"/>
      <c r="J2068" s="73"/>
      <c r="K2068" s="73"/>
      <c r="L2068" s="73"/>
      <c r="M2068" s="73"/>
      <c r="N2068" s="73"/>
      <c r="O2068" s="73"/>
      <c r="P2068" s="73"/>
      <c r="Q2068" s="73"/>
      <c r="R2068" s="73"/>
      <c r="S2068" s="73"/>
      <c r="T2068" s="73"/>
      <c r="U2068" s="73"/>
      <c r="V2068" s="73"/>
      <c r="W2068" s="73"/>
      <c r="X2068" s="73"/>
      <c r="Y2068" s="73"/>
      <c r="Z2068" s="73"/>
      <c r="AA2068" s="73"/>
      <c r="AB2068" s="73"/>
    </row>
    <row r="2069">
      <c r="A2069" s="73"/>
      <c r="B2069" s="73">
        <v>581182.4455</v>
      </c>
      <c r="C2069" s="73">
        <v>8.25160663479576E7</v>
      </c>
      <c r="D2069" s="73">
        <v>2.63808296360003E7</v>
      </c>
      <c r="E2069" s="73">
        <v>4016290.85258732</v>
      </c>
      <c r="F2069" s="73"/>
      <c r="G2069" s="73"/>
      <c r="H2069" s="73"/>
      <c r="I2069" s="73"/>
      <c r="J2069" s="73"/>
      <c r="K2069" s="73"/>
      <c r="L2069" s="73"/>
      <c r="M2069" s="73"/>
      <c r="N2069" s="73"/>
      <c r="O2069" s="73"/>
      <c r="P2069" s="73"/>
      <c r="Q2069" s="73"/>
      <c r="R2069" s="73"/>
      <c r="S2069" s="73"/>
      <c r="T2069" s="73"/>
      <c r="U2069" s="73"/>
      <c r="V2069" s="73"/>
      <c r="W2069" s="73"/>
      <c r="X2069" s="73"/>
      <c r="Y2069" s="73"/>
      <c r="Z2069" s="73"/>
      <c r="AA2069" s="73"/>
      <c r="AB2069" s="73"/>
    </row>
    <row r="2070">
      <c r="A2070" s="73"/>
      <c r="B2070" s="73">
        <v>582128.3435</v>
      </c>
      <c r="C2070" s="73">
        <v>8.26247437049389E7</v>
      </c>
      <c r="D2070" s="73">
        <v>2.64283053600012E7</v>
      </c>
      <c r="E2070" s="73">
        <v>4022037.41951811</v>
      </c>
      <c r="F2070" s="73"/>
      <c r="G2070" s="73"/>
      <c r="H2070" s="73"/>
      <c r="I2070" s="73"/>
      <c r="J2070" s="73"/>
      <c r="K2070" s="73"/>
      <c r="L2070" s="73"/>
      <c r="M2070" s="73"/>
      <c r="N2070" s="73"/>
      <c r="O2070" s="73"/>
      <c r="P2070" s="73"/>
      <c r="Q2070" s="73"/>
      <c r="R2070" s="73"/>
      <c r="S2070" s="73"/>
      <c r="T2070" s="73"/>
      <c r="U2070" s="73"/>
      <c r="V2070" s="73"/>
      <c r="W2070" s="73"/>
      <c r="X2070" s="73"/>
      <c r="Y2070" s="73"/>
      <c r="Z2070" s="73"/>
      <c r="AA2070" s="73"/>
      <c r="AB2070" s="73"/>
    </row>
    <row r="2071">
      <c r="A2071" s="73"/>
      <c r="B2071" s="73">
        <v>583075.7881</v>
      </c>
      <c r="C2071" s="73">
        <v>8.27335117019176E7</v>
      </c>
      <c r="D2071" s="73">
        <v>2.64758405759945E7</v>
      </c>
      <c r="E2071" s="73">
        <v>4027790.62856755</v>
      </c>
      <c r="F2071" s="73"/>
      <c r="G2071" s="73"/>
      <c r="H2071" s="73"/>
      <c r="I2071" s="73"/>
      <c r="J2071" s="73"/>
      <c r="K2071" s="73"/>
      <c r="L2071" s="73"/>
      <c r="M2071" s="73"/>
      <c r="N2071" s="73"/>
      <c r="O2071" s="73"/>
      <c r="P2071" s="73"/>
      <c r="Q2071" s="73"/>
      <c r="R2071" s="73"/>
      <c r="S2071" s="73"/>
      <c r="T2071" s="73"/>
      <c r="U2071" s="73"/>
      <c r="V2071" s="73"/>
      <c r="W2071" s="73"/>
      <c r="X2071" s="73"/>
      <c r="Y2071" s="73"/>
      <c r="Z2071" s="73"/>
      <c r="AA2071" s="73"/>
      <c r="AB2071" s="73"/>
    </row>
    <row r="2072">
      <c r="A2072" s="73"/>
      <c r="B2072" s="73">
        <v>584024.7549</v>
      </c>
      <c r="C2072" s="73">
        <v>8.28423620988941E7</v>
      </c>
      <c r="D2072" s="73">
        <v>2.65234276759954E7</v>
      </c>
      <c r="E2072" s="73">
        <v>4033549.90426165</v>
      </c>
      <c r="F2072" s="73"/>
      <c r="G2072" s="73"/>
      <c r="H2072" s="73"/>
      <c r="I2072" s="73"/>
      <c r="J2072" s="73"/>
      <c r="K2072" s="73"/>
      <c r="L2072" s="73"/>
      <c r="M2072" s="73"/>
      <c r="N2072" s="73"/>
      <c r="O2072" s="73"/>
      <c r="P2072" s="73"/>
      <c r="Q2072" s="73"/>
      <c r="R2072" s="73"/>
      <c r="S2072" s="73"/>
      <c r="T2072" s="73"/>
      <c r="U2072" s="73"/>
      <c r="V2072" s="73"/>
      <c r="W2072" s="73"/>
      <c r="X2072" s="73"/>
      <c r="Y2072" s="73"/>
      <c r="Z2072" s="73"/>
      <c r="AA2072" s="73"/>
      <c r="AB2072" s="73"/>
    </row>
    <row r="2073">
      <c r="A2073" s="73"/>
      <c r="B2073" s="73">
        <v>584975.2655</v>
      </c>
      <c r="C2073" s="73">
        <v>8.29513113758678E7</v>
      </c>
      <c r="D2073" s="73">
        <v>2.65710743039963E7</v>
      </c>
      <c r="E2073" s="73">
        <v>4039315.49421642</v>
      </c>
      <c r="F2073" s="73"/>
      <c r="G2073" s="73"/>
      <c r="H2073" s="73"/>
      <c r="I2073" s="73"/>
      <c r="J2073" s="73"/>
      <c r="K2073" s="73"/>
      <c r="L2073" s="73"/>
      <c r="M2073" s="73"/>
      <c r="N2073" s="73"/>
      <c r="O2073" s="73"/>
      <c r="P2073" s="73"/>
      <c r="Q2073" s="73"/>
      <c r="R2073" s="73"/>
      <c r="S2073" s="73"/>
      <c r="T2073" s="73"/>
      <c r="U2073" s="73"/>
      <c r="V2073" s="73"/>
      <c r="W2073" s="73"/>
      <c r="X2073" s="73"/>
      <c r="Y2073" s="73"/>
      <c r="Z2073" s="73"/>
      <c r="AA2073" s="73"/>
      <c r="AB2073" s="73"/>
    </row>
    <row r="2074">
      <c r="A2074" s="73"/>
      <c r="B2074" s="73">
        <v>585927.3268</v>
      </c>
      <c r="C2074" s="73">
        <v>8.30603348128395E7</v>
      </c>
      <c r="D2074" s="73">
        <v>2.66187727799973E7</v>
      </c>
      <c r="E2074" s="73">
        <v>4045087.31304884</v>
      </c>
      <c r="F2074" s="73"/>
      <c r="G2074" s="73"/>
      <c r="H2074" s="73"/>
      <c r="I2074" s="73"/>
      <c r="J2074" s="73"/>
      <c r="K2074" s="73"/>
      <c r="L2074" s="73"/>
      <c r="M2074" s="73"/>
      <c r="N2074" s="73"/>
      <c r="O2074" s="73"/>
      <c r="P2074" s="73"/>
      <c r="Q2074" s="73"/>
      <c r="R2074" s="73"/>
      <c r="S2074" s="73"/>
      <c r="T2074" s="73"/>
      <c r="U2074" s="73"/>
      <c r="V2074" s="73"/>
      <c r="W2074" s="73"/>
      <c r="X2074" s="73"/>
      <c r="Y2074" s="73"/>
      <c r="Z2074" s="73"/>
      <c r="AA2074" s="73"/>
      <c r="AB2074" s="73"/>
    </row>
    <row r="2075">
      <c r="A2075" s="73"/>
      <c r="B2075" s="73">
        <v>586880.9145</v>
      </c>
      <c r="C2075" s="73">
        <v>8.31694653698082E7</v>
      </c>
      <c r="D2075" s="73">
        <v>2.66665308599982E7</v>
      </c>
      <c r="E2075" s="73">
        <v>4050865.51239193</v>
      </c>
      <c r="F2075" s="73"/>
      <c r="G2075" s="73"/>
      <c r="H2075" s="73"/>
      <c r="I2075" s="73"/>
      <c r="J2075" s="73"/>
      <c r="K2075" s="73"/>
      <c r="L2075" s="73"/>
      <c r="M2075" s="73"/>
      <c r="N2075" s="73"/>
      <c r="O2075" s="73"/>
      <c r="P2075" s="73"/>
      <c r="Q2075" s="73"/>
      <c r="R2075" s="73"/>
      <c r="S2075" s="73"/>
      <c r="T2075" s="73"/>
      <c r="U2075" s="73"/>
      <c r="V2075" s="73"/>
      <c r="W2075" s="73"/>
      <c r="X2075" s="73"/>
      <c r="Y2075" s="73"/>
      <c r="Z2075" s="73"/>
      <c r="AA2075" s="73"/>
      <c r="AB2075" s="73"/>
    </row>
    <row r="2076">
      <c r="A2076" s="73"/>
      <c r="B2076" s="73">
        <v>587836.0557</v>
      </c>
      <c r="C2076" s="73">
        <v>8.32786865667744E7</v>
      </c>
      <c r="D2076" s="73">
        <v>2.67143407119991E7</v>
      </c>
      <c r="E2076" s="73">
        <v>4056649.97108767</v>
      </c>
      <c r="F2076" s="73"/>
      <c r="G2076" s="73"/>
      <c r="H2076" s="73"/>
      <c r="I2076" s="73"/>
      <c r="J2076" s="73"/>
      <c r="K2076" s="73"/>
      <c r="L2076" s="73"/>
      <c r="M2076" s="73"/>
      <c r="N2076" s="73"/>
      <c r="O2076" s="73"/>
      <c r="P2076" s="73"/>
      <c r="Q2076" s="73"/>
      <c r="R2076" s="73"/>
      <c r="S2076" s="73"/>
      <c r="T2076" s="73"/>
      <c r="U2076" s="73"/>
      <c r="V2076" s="73"/>
      <c r="W2076" s="73"/>
      <c r="X2076" s="73"/>
      <c r="Y2076" s="73"/>
      <c r="Z2076" s="73"/>
      <c r="AA2076" s="73"/>
      <c r="AB2076" s="73"/>
    </row>
    <row r="2077">
      <c r="A2077" s="73"/>
      <c r="B2077" s="73">
        <v>588792.7261</v>
      </c>
      <c r="C2077" s="73">
        <v>8.33879901637383E7</v>
      </c>
      <c r="D2077" s="73">
        <v>2.6762210168E7</v>
      </c>
      <c r="E2077" s="73">
        <v>4062440.80631908</v>
      </c>
      <c r="F2077" s="73"/>
      <c r="G2077" s="73"/>
      <c r="H2077" s="73"/>
      <c r="I2077" s="73"/>
      <c r="J2077" s="73"/>
      <c r="K2077" s="73"/>
      <c r="L2077" s="73"/>
      <c r="M2077" s="73"/>
      <c r="N2077" s="73"/>
      <c r="O2077" s="73"/>
      <c r="P2077" s="73"/>
      <c r="Q2077" s="73"/>
      <c r="R2077" s="73"/>
      <c r="S2077" s="73"/>
      <c r="T2077" s="73"/>
      <c r="U2077" s="73"/>
      <c r="V2077" s="73"/>
      <c r="W2077" s="73"/>
      <c r="X2077" s="73"/>
      <c r="Y2077" s="73"/>
      <c r="Z2077" s="73"/>
      <c r="AA2077" s="73"/>
      <c r="AB2077" s="73"/>
    </row>
    <row r="2078">
      <c r="A2078" s="73"/>
      <c r="B2078" s="73">
        <v>589750.9469</v>
      </c>
      <c r="C2078" s="73">
        <v>8.34973844006996E7</v>
      </c>
      <c r="D2078" s="73">
        <v>2.68101314760009E7</v>
      </c>
      <c r="E2078" s="73">
        <v>4068237.82405314</v>
      </c>
      <c r="F2078" s="73"/>
      <c r="G2078" s="73"/>
      <c r="H2078" s="73"/>
      <c r="I2078" s="73"/>
      <c r="J2078" s="73"/>
      <c r="K2078" s="73"/>
      <c r="L2078" s="73"/>
      <c r="M2078" s="73"/>
      <c r="N2078" s="73"/>
      <c r="O2078" s="73"/>
      <c r="P2078" s="73"/>
      <c r="Q2078" s="73"/>
      <c r="R2078" s="73"/>
      <c r="S2078" s="73"/>
      <c r="T2078" s="73"/>
      <c r="U2078" s="73"/>
      <c r="V2078" s="73"/>
      <c r="W2078" s="73"/>
      <c r="X2078" s="73"/>
      <c r="Y2078" s="73"/>
      <c r="Z2078" s="73"/>
      <c r="AA2078" s="73"/>
      <c r="AB2078" s="73"/>
    </row>
    <row r="2079">
      <c r="A2079" s="73"/>
      <c r="B2079" s="73">
        <v>590710.7053</v>
      </c>
      <c r="C2079" s="73">
        <v>8.3606885757658E7</v>
      </c>
      <c r="D2079" s="73">
        <v>2.68581097840018E7</v>
      </c>
      <c r="E2079" s="73">
        <v>4074041.22627287</v>
      </c>
      <c r="F2079" s="73"/>
      <c r="G2079" s="73"/>
      <c r="H2079" s="73"/>
      <c r="I2079" s="73"/>
      <c r="J2079" s="73"/>
      <c r="K2079" s="73"/>
      <c r="L2079" s="73"/>
      <c r="M2079" s="73"/>
      <c r="N2079" s="73"/>
      <c r="O2079" s="73"/>
      <c r="P2079" s="73"/>
      <c r="Q2079" s="73"/>
      <c r="R2079" s="73"/>
      <c r="S2079" s="73"/>
      <c r="T2079" s="73"/>
      <c r="U2079" s="73"/>
      <c r="V2079" s="73"/>
      <c r="W2079" s="73"/>
      <c r="X2079" s="73"/>
      <c r="Y2079" s="73"/>
      <c r="Z2079" s="73"/>
      <c r="AA2079" s="73"/>
      <c r="AB2079" s="73"/>
    </row>
    <row r="2080">
      <c r="A2080" s="73"/>
      <c r="B2080" s="73">
        <v>591672.0225</v>
      </c>
      <c r="C2080" s="73">
        <v>8.37164530346146E7</v>
      </c>
      <c r="D2080" s="73">
        <v>2.69061450639951E7</v>
      </c>
      <c r="E2080" s="73">
        <v>4079850.95409525</v>
      </c>
      <c r="F2080" s="73"/>
      <c r="G2080" s="73"/>
      <c r="H2080" s="73"/>
      <c r="I2080" s="73"/>
      <c r="J2080" s="73"/>
      <c r="K2080" s="73"/>
      <c r="L2080" s="73"/>
      <c r="M2080" s="73"/>
      <c r="N2080" s="73"/>
      <c r="O2080" s="73"/>
      <c r="P2080" s="73"/>
      <c r="Q2080" s="73"/>
      <c r="R2080" s="73"/>
      <c r="S2080" s="73"/>
      <c r="T2080" s="73"/>
      <c r="U2080" s="73"/>
      <c r="V2080" s="73"/>
      <c r="W2080" s="73"/>
      <c r="X2080" s="73"/>
      <c r="Y2080" s="73"/>
      <c r="Z2080" s="73"/>
      <c r="AA2080" s="73"/>
      <c r="AB2080" s="73"/>
    </row>
    <row r="2081">
      <c r="A2081" s="73"/>
      <c r="B2081" s="73">
        <v>592634.8941</v>
      </c>
      <c r="C2081" s="73">
        <v>8.38261274315681E7</v>
      </c>
      <c r="D2081" s="73">
        <v>2.6954237271996E7</v>
      </c>
      <c r="E2081" s="73">
        <v>4085667.11940328</v>
      </c>
      <c r="F2081" s="73"/>
      <c r="G2081" s="73"/>
      <c r="H2081" s="73"/>
      <c r="I2081" s="73"/>
      <c r="J2081" s="73"/>
      <c r="K2081" s="73"/>
      <c r="L2081" s="73"/>
      <c r="M2081" s="73"/>
      <c r="N2081" s="73"/>
      <c r="O2081" s="73"/>
      <c r="P2081" s="73"/>
      <c r="Q2081" s="73"/>
      <c r="R2081" s="73"/>
      <c r="S2081" s="73"/>
      <c r="T2081" s="73"/>
      <c r="U2081" s="73"/>
      <c r="V2081" s="73"/>
      <c r="W2081" s="73"/>
      <c r="X2081" s="73"/>
      <c r="Y2081" s="73"/>
      <c r="Z2081" s="73"/>
      <c r="AA2081" s="73"/>
      <c r="AB2081" s="73"/>
    </row>
    <row r="2082">
      <c r="A2082" s="73"/>
      <c r="B2082" s="73">
        <v>593599.3014</v>
      </c>
      <c r="C2082" s="73">
        <v>8.39358842285194E7</v>
      </c>
      <c r="D2082" s="73">
        <v>2.70023814039969E7</v>
      </c>
      <c r="E2082" s="73">
        <v>4091489.33338899</v>
      </c>
      <c r="F2082" s="73"/>
      <c r="G2082" s="73"/>
      <c r="H2082" s="73"/>
      <c r="I2082" s="73"/>
      <c r="J2082" s="73"/>
      <c r="K2082" s="73"/>
      <c r="L2082" s="73"/>
      <c r="M2082" s="73"/>
      <c r="N2082" s="73"/>
      <c r="O2082" s="73"/>
      <c r="P2082" s="73"/>
      <c r="Q2082" s="73"/>
      <c r="R2082" s="73"/>
      <c r="S2082" s="73"/>
      <c r="T2082" s="73"/>
      <c r="U2082" s="73"/>
      <c r="V2082" s="73"/>
      <c r="W2082" s="73"/>
      <c r="X2082" s="73"/>
      <c r="Y2082" s="73"/>
      <c r="Z2082" s="73"/>
      <c r="AA2082" s="73"/>
      <c r="AB2082" s="73"/>
    </row>
    <row r="2083">
      <c r="A2083" s="73"/>
      <c r="B2083" s="73">
        <v>594565.2714</v>
      </c>
      <c r="C2083" s="73">
        <v>8.4045739905468E7</v>
      </c>
      <c r="D2083" s="73">
        <v>2.70505850279979E7</v>
      </c>
      <c r="E2083" s="73">
        <v>4097318.13193534</v>
      </c>
      <c r="F2083" s="73"/>
      <c r="G2083" s="73"/>
      <c r="H2083" s="73"/>
      <c r="I2083" s="73"/>
      <c r="J2083" s="73"/>
      <c r="K2083" s="73"/>
      <c r="L2083" s="73"/>
      <c r="M2083" s="73"/>
      <c r="N2083" s="73"/>
      <c r="O2083" s="73"/>
      <c r="P2083" s="73"/>
      <c r="Q2083" s="73"/>
      <c r="R2083" s="73"/>
      <c r="S2083" s="73"/>
      <c r="T2083" s="73"/>
      <c r="U2083" s="73"/>
      <c r="V2083" s="73"/>
      <c r="W2083" s="73"/>
      <c r="X2083" s="73"/>
      <c r="Y2083" s="73"/>
      <c r="Z2083" s="73"/>
      <c r="AA2083" s="73"/>
      <c r="AB2083" s="73"/>
    </row>
    <row r="2084">
      <c r="A2084" s="73"/>
      <c r="B2084" s="73">
        <v>595532.7852</v>
      </c>
      <c r="C2084" s="73">
        <v>8.4155686222414E7</v>
      </c>
      <c r="D2084" s="73">
        <v>2.70988431359988E7</v>
      </c>
      <c r="E2084" s="73">
        <v>4103153.12093436</v>
      </c>
      <c r="F2084" s="73"/>
      <c r="G2084" s="73"/>
      <c r="H2084" s="73"/>
      <c r="I2084" s="73"/>
      <c r="J2084" s="73"/>
      <c r="K2084" s="73"/>
      <c r="L2084" s="73"/>
      <c r="M2084" s="73"/>
      <c r="N2084" s="73"/>
      <c r="O2084" s="73"/>
      <c r="P2084" s="73"/>
      <c r="Q2084" s="73"/>
      <c r="R2084" s="73"/>
      <c r="S2084" s="73"/>
      <c r="T2084" s="73"/>
      <c r="U2084" s="73"/>
      <c r="V2084" s="73"/>
      <c r="W2084" s="73"/>
      <c r="X2084" s="73"/>
      <c r="Y2084" s="73"/>
      <c r="Z2084" s="73"/>
      <c r="AA2084" s="73"/>
      <c r="AB2084" s="73"/>
    </row>
    <row r="2085">
      <c r="A2085" s="73"/>
      <c r="B2085" s="73">
        <v>596501.8584</v>
      </c>
      <c r="C2085" s="73">
        <v>8.4265706699358E7</v>
      </c>
      <c r="D2085" s="73">
        <v>2.71471556119997E7</v>
      </c>
      <c r="E2085" s="73">
        <v>4108994.33616104</v>
      </c>
      <c r="F2085" s="73"/>
      <c r="G2085" s="73"/>
      <c r="H2085" s="73"/>
      <c r="I2085" s="73"/>
      <c r="J2085" s="73"/>
      <c r="K2085" s="73"/>
      <c r="L2085" s="73"/>
      <c r="M2085" s="73"/>
      <c r="N2085" s="73"/>
      <c r="O2085" s="73"/>
      <c r="P2085" s="73"/>
      <c r="Q2085" s="73"/>
      <c r="R2085" s="73"/>
      <c r="S2085" s="73"/>
      <c r="T2085" s="73"/>
      <c r="U2085" s="73"/>
      <c r="V2085" s="73"/>
      <c r="W2085" s="73"/>
      <c r="X2085" s="73"/>
      <c r="Y2085" s="73"/>
      <c r="Z2085" s="73"/>
      <c r="AA2085" s="73"/>
      <c r="AB2085" s="73"/>
    </row>
    <row r="2086">
      <c r="A2086" s="73"/>
      <c r="B2086" s="73">
        <v>597472.4781</v>
      </c>
      <c r="C2086" s="73">
        <v>8.43758425362988E7</v>
      </c>
      <c r="D2086" s="73">
        <v>2.71955276560006E7</v>
      </c>
      <c r="E2086" s="73">
        <v>4114842.07823137</v>
      </c>
      <c r="F2086" s="73"/>
      <c r="G2086" s="73"/>
      <c r="H2086" s="73"/>
      <c r="I2086" s="73"/>
      <c r="J2086" s="73"/>
      <c r="K2086" s="73"/>
      <c r="L2086" s="73"/>
      <c r="M2086" s="73"/>
      <c r="N2086" s="73"/>
      <c r="O2086" s="73"/>
      <c r="P2086" s="73"/>
      <c r="Q2086" s="73"/>
      <c r="R2086" s="73"/>
      <c r="S2086" s="73"/>
      <c r="T2086" s="73"/>
      <c r="U2086" s="73"/>
      <c r="V2086" s="73"/>
      <c r="W2086" s="73"/>
      <c r="X2086" s="73"/>
      <c r="Y2086" s="73"/>
      <c r="Z2086" s="73"/>
      <c r="AA2086" s="73"/>
      <c r="AB2086" s="73"/>
    </row>
    <row r="2087">
      <c r="A2087" s="73"/>
      <c r="B2087" s="73">
        <v>598444.6598</v>
      </c>
      <c r="C2087" s="73">
        <v>8.44860607732372E7</v>
      </c>
      <c r="D2087" s="73">
        <v>2.72439515480015E7</v>
      </c>
      <c r="E2087" s="73">
        <v>4120696.05389637</v>
      </c>
      <c r="F2087" s="73"/>
      <c r="G2087" s="73"/>
      <c r="H2087" s="73"/>
      <c r="I2087" s="73"/>
      <c r="J2087" s="73"/>
      <c r="K2087" s="73"/>
      <c r="L2087" s="73"/>
      <c r="M2087" s="73"/>
      <c r="N2087" s="73"/>
      <c r="O2087" s="73"/>
      <c r="P2087" s="73"/>
      <c r="Q2087" s="73"/>
      <c r="R2087" s="73"/>
      <c r="S2087" s="73"/>
      <c r="T2087" s="73"/>
      <c r="U2087" s="73"/>
      <c r="V2087" s="73"/>
      <c r="W2087" s="73"/>
      <c r="X2087" s="73"/>
      <c r="Y2087" s="73"/>
      <c r="Z2087" s="73"/>
      <c r="AA2087" s="73"/>
      <c r="AB2087" s="73"/>
    </row>
    <row r="2088">
      <c r="A2088" s="73"/>
      <c r="B2088" s="73">
        <v>599418.41</v>
      </c>
      <c r="C2088" s="73">
        <v>8.45963614101734E7</v>
      </c>
      <c r="D2088" s="73">
        <v>2.72924350039948E7</v>
      </c>
      <c r="E2088" s="73">
        <v>4126556.30142202</v>
      </c>
      <c r="F2088" s="73"/>
      <c r="G2088" s="73"/>
      <c r="H2088" s="73"/>
      <c r="I2088" s="73"/>
      <c r="J2088" s="73"/>
      <c r="K2088" s="73"/>
      <c r="L2088" s="73"/>
      <c r="M2088" s="73"/>
      <c r="N2088" s="73"/>
      <c r="O2088" s="73"/>
      <c r="P2088" s="73"/>
      <c r="Q2088" s="73"/>
      <c r="R2088" s="73"/>
      <c r="S2088" s="73"/>
      <c r="T2088" s="73"/>
      <c r="U2088" s="73"/>
      <c r="V2088" s="73"/>
      <c r="W2088" s="73"/>
      <c r="X2088" s="73"/>
      <c r="Y2088" s="73"/>
      <c r="Z2088" s="73"/>
      <c r="AA2088" s="73"/>
      <c r="AB2088" s="73"/>
    </row>
    <row r="2089">
      <c r="A2089" s="73"/>
      <c r="B2089" s="73">
        <v>600393.7103</v>
      </c>
      <c r="C2089" s="73">
        <v>8.47067609271069E7</v>
      </c>
      <c r="D2089" s="73">
        <v>2.73409728319957E7</v>
      </c>
      <c r="E2089" s="73">
        <v>4132422.97980833</v>
      </c>
      <c r="F2089" s="73"/>
      <c r="G2089" s="73"/>
      <c r="H2089" s="73"/>
      <c r="I2089" s="73"/>
      <c r="J2089" s="73"/>
      <c r="K2089" s="73"/>
      <c r="L2089" s="73"/>
      <c r="M2089" s="73"/>
      <c r="N2089" s="73"/>
      <c r="O2089" s="73"/>
      <c r="P2089" s="73"/>
      <c r="Q2089" s="73"/>
      <c r="R2089" s="73"/>
      <c r="S2089" s="73"/>
      <c r="T2089" s="73"/>
      <c r="U2089" s="73"/>
      <c r="V2089" s="73"/>
      <c r="W2089" s="73"/>
      <c r="X2089" s="73"/>
      <c r="Y2089" s="73"/>
      <c r="Z2089" s="73"/>
      <c r="AA2089" s="73"/>
      <c r="AB2089" s="73"/>
    </row>
    <row r="2090">
      <c r="A2090" s="73"/>
      <c r="B2090" s="73">
        <v>601370.5762</v>
      </c>
      <c r="C2090" s="73">
        <v>8.4817242844038E7</v>
      </c>
      <c r="D2090" s="73">
        <v>2.73895676639966E7</v>
      </c>
      <c r="E2090" s="73">
        <v>4138295.97319729</v>
      </c>
      <c r="F2090" s="73"/>
      <c r="G2090" s="73"/>
      <c r="H2090" s="73"/>
      <c r="I2090" s="73"/>
      <c r="J2090" s="73"/>
      <c r="K2090" s="73"/>
      <c r="L2090" s="73"/>
      <c r="M2090" s="73"/>
      <c r="N2090" s="73"/>
      <c r="O2090" s="73"/>
      <c r="P2090" s="73"/>
      <c r="Q2090" s="73"/>
      <c r="R2090" s="73"/>
      <c r="S2090" s="73"/>
      <c r="T2090" s="73"/>
      <c r="U2090" s="73"/>
      <c r="V2090" s="73"/>
      <c r="W2090" s="73"/>
      <c r="X2090" s="73"/>
      <c r="Y2090" s="73"/>
      <c r="Z2090" s="73"/>
      <c r="AA2090" s="73"/>
      <c r="AB2090" s="73"/>
    </row>
    <row r="2091">
      <c r="A2091" s="73"/>
      <c r="B2091" s="73">
        <v>602349.0143</v>
      </c>
      <c r="C2091" s="73">
        <v>8.49278236409664E7</v>
      </c>
      <c r="D2091" s="73">
        <v>2.74382169839976E7</v>
      </c>
      <c r="E2091" s="73">
        <v>4144175.41997191</v>
      </c>
      <c r="F2091" s="73"/>
      <c r="G2091" s="73"/>
      <c r="H2091" s="73"/>
      <c r="I2091" s="73"/>
      <c r="J2091" s="73"/>
      <c r="K2091" s="73"/>
      <c r="L2091" s="73"/>
      <c r="M2091" s="73"/>
      <c r="N2091" s="73"/>
      <c r="O2091" s="73"/>
      <c r="P2091" s="73"/>
      <c r="Q2091" s="73"/>
      <c r="R2091" s="73"/>
      <c r="S2091" s="73"/>
      <c r="T2091" s="73"/>
      <c r="U2091" s="73"/>
      <c r="V2091" s="73"/>
      <c r="W2091" s="73"/>
      <c r="X2091" s="73"/>
      <c r="Y2091" s="73"/>
      <c r="Z2091" s="73"/>
      <c r="AA2091" s="73"/>
      <c r="AB2091" s="73"/>
    </row>
    <row r="2092">
      <c r="A2092" s="73"/>
      <c r="B2092" s="73">
        <v>603329.0004</v>
      </c>
      <c r="C2092" s="73">
        <v>8.50385033178921E7</v>
      </c>
      <c r="D2092" s="73">
        <v>2.74869257879985E7</v>
      </c>
      <c r="E2092" s="73">
        <v>4150061.0426242</v>
      </c>
      <c r="F2092" s="73"/>
      <c r="G2092" s="73"/>
      <c r="H2092" s="73"/>
      <c r="I2092" s="73"/>
      <c r="J2092" s="73"/>
      <c r="K2092" s="73"/>
      <c r="L2092" s="73"/>
      <c r="M2092" s="73"/>
      <c r="N2092" s="73"/>
      <c r="O2092" s="73"/>
      <c r="P2092" s="73"/>
      <c r="Q2092" s="73"/>
      <c r="R2092" s="73"/>
      <c r="S2092" s="73"/>
      <c r="T2092" s="73"/>
      <c r="U2092" s="73"/>
      <c r="V2092" s="73"/>
      <c r="W2092" s="73"/>
      <c r="X2092" s="73"/>
      <c r="Y2092" s="73"/>
      <c r="Z2092" s="73"/>
      <c r="AA2092" s="73"/>
      <c r="AB2092" s="73"/>
    </row>
    <row r="2093">
      <c r="A2093" s="73"/>
      <c r="B2093" s="73">
        <v>604310.5468</v>
      </c>
      <c r="C2093" s="73">
        <v>8.51492571548157E7</v>
      </c>
      <c r="D2093" s="73">
        <v>2.75356864439994E7</v>
      </c>
      <c r="E2093" s="73">
        <v>4155953.26234513</v>
      </c>
      <c r="F2093" s="73"/>
      <c r="G2093" s="73"/>
      <c r="H2093" s="73"/>
      <c r="I2093" s="73"/>
      <c r="J2093" s="73"/>
      <c r="K2093" s="73"/>
      <c r="L2093" s="73"/>
      <c r="M2093" s="73"/>
      <c r="N2093" s="73"/>
      <c r="O2093" s="73"/>
      <c r="P2093" s="73"/>
      <c r="Q2093" s="73"/>
      <c r="R2093" s="73"/>
      <c r="S2093" s="73"/>
      <c r="T2093" s="73"/>
      <c r="U2093" s="73"/>
      <c r="V2093" s="73"/>
      <c r="W2093" s="73"/>
      <c r="X2093" s="73"/>
      <c r="Y2093" s="73"/>
      <c r="Z2093" s="73"/>
      <c r="AA2093" s="73"/>
      <c r="AB2093" s="73"/>
    </row>
    <row r="2094">
      <c r="A2094" s="73"/>
      <c r="B2094" s="73">
        <v>605293.6631</v>
      </c>
      <c r="C2094" s="73">
        <v>8.52601181117363E7</v>
      </c>
      <c r="D2094" s="73">
        <v>2.75845067040003E7</v>
      </c>
      <c r="E2094" s="73">
        <v>4161851.44477773</v>
      </c>
      <c r="F2094" s="73"/>
      <c r="G2094" s="73"/>
      <c r="H2094" s="73"/>
      <c r="I2094" s="73"/>
      <c r="J2094" s="73"/>
      <c r="K2094" s="73"/>
      <c r="L2094" s="73"/>
      <c r="M2094" s="73"/>
      <c r="N2094" s="73"/>
      <c r="O2094" s="73"/>
      <c r="P2094" s="73"/>
      <c r="Q2094" s="73"/>
      <c r="R2094" s="73"/>
      <c r="S2094" s="73"/>
      <c r="T2094" s="73"/>
      <c r="U2094" s="73"/>
      <c r="V2094" s="73"/>
      <c r="W2094" s="73"/>
      <c r="X2094" s="73"/>
      <c r="Y2094" s="73"/>
      <c r="Z2094" s="73"/>
      <c r="AA2094" s="73"/>
      <c r="AB2094" s="73"/>
    </row>
    <row r="2095">
      <c r="A2095" s="73"/>
      <c r="B2095" s="73">
        <v>606278.3565</v>
      </c>
      <c r="C2095" s="73">
        <v>8.53710532286549E7</v>
      </c>
      <c r="D2095" s="73">
        <v>2.76333812960012E7</v>
      </c>
      <c r="E2095" s="73">
        <v>4167756.19777899</v>
      </c>
      <c r="F2095" s="73"/>
      <c r="G2095" s="73"/>
      <c r="H2095" s="73"/>
      <c r="I2095" s="73"/>
      <c r="J2095" s="73"/>
      <c r="K2095" s="73"/>
      <c r="L2095" s="73"/>
      <c r="M2095" s="73"/>
      <c r="N2095" s="73"/>
      <c r="O2095" s="73"/>
      <c r="P2095" s="73"/>
      <c r="Q2095" s="73"/>
      <c r="R2095" s="73"/>
      <c r="S2095" s="73"/>
      <c r="T2095" s="73"/>
      <c r="U2095" s="73"/>
      <c r="V2095" s="73"/>
      <c r="W2095" s="73"/>
      <c r="X2095" s="73"/>
      <c r="Y2095" s="73"/>
      <c r="Z2095" s="73"/>
      <c r="AA2095" s="73"/>
      <c r="AB2095" s="73"/>
    </row>
    <row r="2096">
      <c r="A2096" s="73"/>
      <c r="B2096" s="73">
        <v>607264.6221</v>
      </c>
      <c r="C2096" s="73">
        <v>8.54820954655705E7</v>
      </c>
      <c r="D2096" s="73">
        <v>2.76823129319945E7</v>
      </c>
      <c r="E2096" s="73">
        <v>4173667.2194079</v>
      </c>
      <c r="F2096" s="73"/>
      <c r="G2096" s="73"/>
      <c r="H2096" s="73"/>
      <c r="I2096" s="73"/>
      <c r="J2096" s="73"/>
      <c r="K2096" s="73"/>
      <c r="L2096" s="73"/>
      <c r="M2096" s="73"/>
      <c r="N2096" s="73"/>
      <c r="O2096" s="73"/>
      <c r="P2096" s="73"/>
      <c r="Q2096" s="73"/>
      <c r="R2096" s="73"/>
      <c r="S2096" s="73"/>
      <c r="T2096" s="73"/>
      <c r="U2096" s="73"/>
      <c r="V2096" s="73"/>
      <c r="W2096" s="73"/>
      <c r="X2096" s="73"/>
      <c r="Y2096" s="73"/>
      <c r="Z2096" s="73"/>
      <c r="AA2096" s="73"/>
      <c r="AB2096" s="73"/>
    </row>
    <row r="2097">
      <c r="A2097" s="73"/>
      <c r="B2097" s="73">
        <v>608252.4526</v>
      </c>
      <c r="C2097" s="73">
        <v>8.55932201024837E7</v>
      </c>
      <c r="D2097" s="73">
        <v>2.77312990119954E7</v>
      </c>
      <c r="E2097" s="73">
        <v>4179584.86858046</v>
      </c>
      <c r="F2097" s="73"/>
      <c r="G2097" s="73"/>
      <c r="H2097" s="73"/>
      <c r="I2097" s="73"/>
      <c r="J2097" s="73"/>
      <c r="K2097" s="73"/>
      <c r="L2097" s="73"/>
      <c r="M2097" s="73"/>
      <c r="N2097" s="73"/>
      <c r="O2097" s="73"/>
      <c r="P2097" s="73"/>
      <c r="Q2097" s="73"/>
      <c r="R2097" s="73"/>
      <c r="S2097" s="73"/>
      <c r="T2097" s="73"/>
      <c r="U2097" s="73"/>
      <c r="V2097" s="73"/>
      <c r="W2097" s="73"/>
      <c r="X2097" s="73"/>
      <c r="Y2097" s="73"/>
      <c r="Z2097" s="73"/>
      <c r="AA2097" s="73"/>
      <c r="AB2097" s="73"/>
    </row>
    <row r="2098">
      <c r="A2098" s="73"/>
      <c r="B2098" s="73">
        <v>609241.8377</v>
      </c>
      <c r="C2098" s="73">
        <v>8.57044353793945E7</v>
      </c>
      <c r="D2098" s="73">
        <v>2.77803445839963E7</v>
      </c>
      <c r="E2098" s="73">
        <v>4185508.79035567</v>
      </c>
      <c r="F2098" s="73"/>
      <c r="G2098" s="73"/>
      <c r="H2098" s="73"/>
      <c r="I2098" s="73"/>
      <c r="J2098" s="73"/>
      <c r="K2098" s="73"/>
      <c r="L2098" s="73"/>
      <c r="M2098" s="73"/>
      <c r="N2098" s="73"/>
      <c r="O2098" s="73"/>
      <c r="P2098" s="73"/>
      <c r="Q2098" s="73"/>
      <c r="R2098" s="73"/>
      <c r="S2098" s="73"/>
      <c r="T2098" s="73"/>
      <c r="U2098" s="73"/>
      <c r="V2098" s="73"/>
      <c r="W2098" s="73"/>
      <c r="X2098" s="73"/>
      <c r="Y2098" s="73"/>
      <c r="Z2098" s="73"/>
      <c r="AA2098" s="73"/>
      <c r="AB2098" s="73"/>
    </row>
    <row r="2099">
      <c r="A2099" s="73"/>
      <c r="B2099" s="73">
        <v>610232.8042</v>
      </c>
      <c r="C2099" s="73">
        <v>8.58157412963028E7</v>
      </c>
      <c r="D2099" s="73">
        <v>2.78294446399973E7</v>
      </c>
      <c r="E2099" s="73">
        <v>4191438.89993356</v>
      </c>
      <c r="F2099" s="73"/>
      <c r="G2099" s="73"/>
      <c r="H2099" s="73"/>
      <c r="I2099" s="73"/>
      <c r="J2099" s="73"/>
      <c r="K2099" s="73"/>
      <c r="L2099" s="73"/>
      <c r="M2099" s="73"/>
      <c r="N2099" s="73"/>
      <c r="O2099" s="73"/>
      <c r="P2099" s="73"/>
      <c r="Q2099" s="73"/>
      <c r="R2099" s="73"/>
      <c r="S2099" s="73"/>
      <c r="T2099" s="73"/>
      <c r="U2099" s="73"/>
      <c r="V2099" s="73"/>
      <c r="W2099" s="73"/>
      <c r="X2099" s="73"/>
      <c r="Y2099" s="73"/>
      <c r="Z2099" s="73"/>
      <c r="AA2099" s="73"/>
      <c r="AB2099" s="73"/>
    </row>
    <row r="2100">
      <c r="A2100" s="73"/>
      <c r="B2100" s="73">
        <v>611225.353</v>
      </c>
      <c r="C2100" s="73">
        <v>8.59271460932083E7</v>
      </c>
      <c r="D2100" s="73">
        <v>2.78786016279982E7</v>
      </c>
      <c r="E2100" s="73">
        <v>4197375.2860891</v>
      </c>
      <c r="F2100" s="73"/>
      <c r="G2100" s="73"/>
      <c r="H2100" s="73"/>
      <c r="I2100" s="73"/>
      <c r="J2100" s="73"/>
      <c r="K2100" s="73"/>
      <c r="L2100" s="73"/>
      <c r="M2100" s="73"/>
      <c r="N2100" s="73"/>
      <c r="O2100" s="73"/>
      <c r="P2100" s="73"/>
      <c r="Q2100" s="73"/>
      <c r="R2100" s="73"/>
      <c r="S2100" s="73"/>
      <c r="T2100" s="73"/>
      <c r="U2100" s="73"/>
      <c r="V2100" s="73"/>
      <c r="W2100" s="73"/>
      <c r="X2100" s="73"/>
      <c r="Y2100" s="73"/>
      <c r="Z2100" s="73"/>
      <c r="AA2100" s="73"/>
      <c r="AB2100" s="73"/>
    </row>
    <row r="2101">
      <c r="A2101" s="73"/>
      <c r="B2101" s="73">
        <v>612219.4854</v>
      </c>
      <c r="C2101" s="73">
        <v>8.60386415301113E7</v>
      </c>
      <c r="D2101" s="73">
        <v>2.79278156199991E7</v>
      </c>
      <c r="E2101" s="73">
        <v>4203318.36603828</v>
      </c>
      <c r="F2101" s="73"/>
      <c r="G2101" s="73"/>
      <c r="H2101" s="73"/>
      <c r="I2101" s="73"/>
      <c r="J2101" s="73"/>
      <c r="K2101" s="73"/>
      <c r="L2101" s="73"/>
      <c r="M2101" s="73"/>
      <c r="N2101" s="73"/>
      <c r="O2101" s="73"/>
      <c r="P2101" s="73"/>
      <c r="Q2101" s="73"/>
      <c r="R2101" s="73"/>
      <c r="S2101" s="73"/>
      <c r="T2101" s="73"/>
      <c r="U2101" s="73"/>
      <c r="V2101" s="73"/>
      <c r="W2101" s="73"/>
      <c r="X2101" s="73"/>
      <c r="Y2101" s="73"/>
      <c r="Z2101" s="73"/>
      <c r="AA2101" s="73"/>
      <c r="AB2101" s="73"/>
    </row>
    <row r="2102">
      <c r="A2102" s="73"/>
      <c r="B2102" s="73">
        <v>613215.1766</v>
      </c>
      <c r="C2102" s="73">
        <v>8.61502276070118E7</v>
      </c>
      <c r="D2102" s="73">
        <v>2.797708658E7</v>
      </c>
      <c r="E2102" s="73">
        <v>4209267.66426513</v>
      </c>
      <c r="F2102" s="73"/>
      <c r="G2102" s="73"/>
      <c r="H2102" s="73"/>
      <c r="I2102" s="73"/>
      <c r="J2102" s="73"/>
      <c r="K2102" s="73"/>
      <c r="L2102" s="73"/>
      <c r="M2102" s="73"/>
      <c r="N2102" s="73"/>
      <c r="O2102" s="73"/>
      <c r="P2102" s="73"/>
      <c r="Q2102" s="73"/>
      <c r="R2102" s="73"/>
      <c r="S2102" s="73"/>
      <c r="T2102" s="73"/>
      <c r="U2102" s="73"/>
      <c r="V2102" s="73"/>
      <c r="W2102" s="73"/>
      <c r="X2102" s="73"/>
      <c r="Y2102" s="73"/>
      <c r="Z2102" s="73"/>
      <c r="AA2102" s="73"/>
      <c r="AB2102" s="73"/>
    </row>
    <row r="2103">
      <c r="A2103" s="73"/>
      <c r="B2103" s="73">
        <v>614212.4535</v>
      </c>
      <c r="C2103" s="73">
        <v>8.626189608391E7</v>
      </c>
      <c r="D2103" s="73">
        <v>2.80264119840009E7</v>
      </c>
      <c r="E2103" s="73">
        <v>4215223.24304464</v>
      </c>
      <c r="F2103" s="73"/>
      <c r="G2103" s="73"/>
      <c r="H2103" s="73"/>
      <c r="I2103" s="73"/>
      <c r="J2103" s="73"/>
      <c r="K2103" s="73"/>
      <c r="L2103" s="73"/>
      <c r="M2103" s="73"/>
      <c r="N2103" s="73"/>
      <c r="O2103" s="73"/>
      <c r="P2103" s="73"/>
      <c r="Q2103" s="73"/>
      <c r="R2103" s="73"/>
      <c r="S2103" s="73"/>
      <c r="T2103" s="73"/>
      <c r="U2103" s="73"/>
      <c r="V2103" s="73"/>
      <c r="W2103" s="73"/>
      <c r="X2103" s="73"/>
      <c r="Y2103" s="73"/>
      <c r="Z2103" s="73"/>
      <c r="AA2103" s="73"/>
      <c r="AB2103" s="73"/>
    </row>
    <row r="2104">
      <c r="A2104" s="73"/>
      <c r="B2104" s="73">
        <v>615211.2969</v>
      </c>
      <c r="C2104" s="73">
        <v>8.63736634408054E7</v>
      </c>
      <c r="D2104" s="73">
        <v>2.80757943960018E7</v>
      </c>
      <c r="E2104" s="73">
        <v>4221185.18717681</v>
      </c>
      <c r="F2104" s="73"/>
      <c r="G2104" s="73"/>
      <c r="H2104" s="73"/>
      <c r="I2104" s="73"/>
      <c r="J2104" s="73"/>
      <c r="K2104" s="73"/>
      <c r="L2104" s="73"/>
      <c r="M2104" s="73"/>
      <c r="N2104" s="73"/>
      <c r="O2104" s="73"/>
      <c r="P2104" s="73"/>
      <c r="Q2104" s="73"/>
      <c r="R2104" s="73"/>
      <c r="S2104" s="73"/>
      <c r="T2104" s="73"/>
      <c r="U2104" s="73"/>
      <c r="V2104" s="73"/>
      <c r="W2104" s="73"/>
      <c r="X2104" s="73"/>
      <c r="Y2104" s="73"/>
      <c r="Z2104" s="73"/>
      <c r="AA2104" s="73"/>
      <c r="AB2104" s="73"/>
    </row>
    <row r="2105">
      <c r="A2105" s="73"/>
      <c r="B2105" s="73">
        <v>616211.7283</v>
      </c>
      <c r="C2105" s="73">
        <v>8.64855214376984E7</v>
      </c>
      <c r="D2105" s="73">
        <v>2.81252337399951E7</v>
      </c>
      <c r="E2105" s="73">
        <v>4227153.65947762</v>
      </c>
      <c r="F2105" s="73"/>
      <c r="G2105" s="73"/>
      <c r="H2105" s="73"/>
      <c r="I2105" s="73"/>
      <c r="J2105" s="73"/>
      <c r="K2105" s="73"/>
      <c r="L2105" s="73"/>
      <c r="M2105" s="73"/>
      <c r="N2105" s="73"/>
      <c r="O2105" s="73"/>
      <c r="P2105" s="73"/>
      <c r="Q2105" s="73"/>
      <c r="R2105" s="73"/>
      <c r="S2105" s="73"/>
      <c r="T2105" s="73"/>
      <c r="U2105" s="73"/>
      <c r="V2105" s="73"/>
      <c r="W2105" s="73"/>
      <c r="X2105" s="73"/>
      <c r="Y2105" s="73"/>
      <c r="Z2105" s="73"/>
      <c r="AA2105" s="73"/>
      <c r="AB2105" s="73"/>
    </row>
    <row r="2106">
      <c r="A2106" s="73"/>
      <c r="B2106" s="73">
        <v>617213.7338</v>
      </c>
      <c r="C2106" s="73">
        <v>8.6597461834589E7</v>
      </c>
      <c r="D2106" s="73">
        <v>2.8174730047996E7</v>
      </c>
      <c r="E2106" s="73">
        <v>4233128.42028109</v>
      </c>
      <c r="F2106" s="73"/>
      <c r="G2106" s="73"/>
      <c r="H2106" s="73"/>
      <c r="I2106" s="73"/>
      <c r="J2106" s="73"/>
      <c r="K2106" s="73"/>
      <c r="L2106" s="73"/>
      <c r="M2106" s="73"/>
      <c r="N2106" s="73"/>
      <c r="O2106" s="73"/>
      <c r="P2106" s="73"/>
      <c r="Q2106" s="73"/>
      <c r="R2106" s="73"/>
      <c r="S2106" s="73"/>
      <c r="T2106" s="73"/>
      <c r="U2106" s="73"/>
      <c r="V2106" s="73"/>
      <c r="W2106" s="73"/>
      <c r="X2106" s="73"/>
      <c r="Y2106" s="73"/>
      <c r="Z2106" s="73"/>
      <c r="AA2106" s="73"/>
      <c r="AB2106" s="73"/>
    </row>
    <row r="2107">
      <c r="A2107" s="73"/>
      <c r="B2107" s="73">
        <v>618217.3236</v>
      </c>
      <c r="C2107" s="73">
        <v>8.67095175914764E7</v>
      </c>
      <c r="D2107" s="73">
        <v>2.82242808799969E7</v>
      </c>
      <c r="E2107" s="73">
        <v>4239109.82452821</v>
      </c>
      <c r="F2107" s="73"/>
      <c r="G2107" s="73"/>
      <c r="H2107" s="73"/>
      <c r="I2107" s="73"/>
      <c r="J2107" s="73"/>
      <c r="K2107" s="73"/>
      <c r="L2107" s="73"/>
      <c r="M2107" s="73"/>
      <c r="N2107" s="73"/>
      <c r="O2107" s="73"/>
      <c r="P2107" s="73"/>
      <c r="Q2107" s="73"/>
      <c r="R2107" s="73"/>
      <c r="S2107" s="73"/>
      <c r="T2107" s="73"/>
      <c r="U2107" s="73"/>
      <c r="V2107" s="73"/>
      <c r="W2107" s="73"/>
      <c r="X2107" s="73"/>
      <c r="Y2107" s="73"/>
      <c r="Z2107" s="73"/>
      <c r="AA2107" s="73"/>
      <c r="AB2107" s="73"/>
    </row>
    <row r="2108">
      <c r="A2108" s="73"/>
      <c r="B2108" s="73">
        <v>619222.4983</v>
      </c>
      <c r="C2108" s="73">
        <v>8.68216475083618E7</v>
      </c>
      <c r="D2108" s="73">
        <v>2.82738911639979E7</v>
      </c>
      <c r="E2108" s="73">
        <v>4245097.51330298</v>
      </c>
      <c r="F2108" s="73"/>
      <c r="G2108" s="73"/>
      <c r="H2108" s="73"/>
      <c r="I2108" s="73"/>
      <c r="J2108" s="73"/>
      <c r="K2108" s="73"/>
      <c r="L2108" s="73"/>
      <c r="M2108" s="73"/>
      <c r="N2108" s="73"/>
      <c r="O2108" s="73"/>
      <c r="P2108" s="73"/>
      <c r="Q2108" s="73"/>
      <c r="R2108" s="73"/>
      <c r="S2108" s="73"/>
      <c r="T2108" s="73"/>
      <c r="U2108" s="73"/>
      <c r="V2108" s="73"/>
      <c r="W2108" s="73"/>
      <c r="X2108" s="73"/>
      <c r="Y2108" s="73"/>
      <c r="Z2108" s="73"/>
      <c r="AA2108" s="73"/>
      <c r="AB2108" s="73"/>
    </row>
    <row r="2109">
      <c r="A2109" s="73"/>
      <c r="B2109" s="73">
        <v>620229.2706</v>
      </c>
      <c r="C2109" s="73">
        <v>8.69338680652447E7</v>
      </c>
      <c r="D2109" s="73">
        <v>2.83235558959988E7</v>
      </c>
      <c r="E2109" s="73">
        <v>4251091.40578042</v>
      </c>
      <c r="F2109" s="73"/>
      <c r="G2109" s="73"/>
      <c r="H2109" s="73"/>
      <c r="I2109" s="73"/>
      <c r="J2109" s="73"/>
      <c r="K2109" s="73"/>
      <c r="L2109" s="73"/>
      <c r="M2109" s="73"/>
      <c r="N2109" s="73"/>
      <c r="O2109" s="73"/>
      <c r="P2109" s="73"/>
      <c r="Q2109" s="73"/>
      <c r="R2109" s="73"/>
      <c r="S2109" s="73"/>
      <c r="T2109" s="73"/>
      <c r="U2109" s="73"/>
      <c r="V2109" s="73"/>
      <c r="W2109" s="73"/>
      <c r="X2109" s="73"/>
      <c r="Y2109" s="73"/>
      <c r="Z2109" s="73"/>
      <c r="AA2109" s="73"/>
      <c r="AB2109" s="73"/>
    </row>
    <row r="2110">
      <c r="A2110" s="73"/>
      <c r="B2110" s="73">
        <v>621237.6156</v>
      </c>
      <c r="C2110" s="73">
        <v>8.70461875021248E7</v>
      </c>
      <c r="D2110" s="73">
        <v>2.83732801919997E7</v>
      </c>
      <c r="E2110" s="73">
        <v>4257091.70203551</v>
      </c>
      <c r="F2110" s="73"/>
      <c r="G2110" s="73"/>
      <c r="H2110" s="73"/>
      <c r="I2110" s="73"/>
      <c r="J2110" s="73"/>
      <c r="K2110" s="73"/>
      <c r="L2110" s="73"/>
      <c r="M2110" s="73"/>
      <c r="N2110" s="73"/>
      <c r="O2110" s="73"/>
      <c r="P2110" s="73"/>
      <c r="Q2110" s="73"/>
      <c r="R2110" s="73"/>
      <c r="S2110" s="73"/>
      <c r="T2110" s="73"/>
      <c r="U2110" s="73"/>
      <c r="V2110" s="73"/>
      <c r="W2110" s="73"/>
      <c r="X2110" s="73"/>
      <c r="Y2110" s="73"/>
      <c r="Z2110" s="73"/>
      <c r="AA2110" s="73"/>
      <c r="AB2110" s="73"/>
    </row>
    <row r="2111">
      <c r="A2111" s="73"/>
      <c r="B2111" s="73">
        <v>622247.5343</v>
      </c>
      <c r="C2111" s="73">
        <v>8.71586058190022E7</v>
      </c>
      <c r="D2111" s="73">
        <v>2.84230563360006E7</v>
      </c>
      <c r="E2111" s="73">
        <v>4263098.61920925</v>
      </c>
      <c r="F2111" s="73"/>
      <c r="G2111" s="73"/>
      <c r="H2111" s="73"/>
      <c r="I2111" s="73"/>
      <c r="J2111" s="73"/>
      <c r="K2111" s="73"/>
      <c r="L2111" s="73"/>
      <c r="M2111" s="73"/>
      <c r="N2111" s="73"/>
      <c r="O2111" s="73"/>
      <c r="P2111" s="73"/>
      <c r="Q2111" s="73"/>
      <c r="R2111" s="73"/>
      <c r="S2111" s="73"/>
      <c r="T2111" s="73"/>
      <c r="U2111" s="73"/>
      <c r="V2111" s="73"/>
      <c r="W2111" s="73"/>
      <c r="X2111" s="73"/>
      <c r="Y2111" s="73"/>
      <c r="Z2111" s="73"/>
      <c r="AA2111" s="73"/>
      <c r="AB2111" s="73"/>
    </row>
    <row r="2112">
      <c r="A2112" s="73"/>
      <c r="B2112" s="73">
        <v>623259.0678</v>
      </c>
      <c r="C2112" s="73">
        <v>8.72710900558777E7</v>
      </c>
      <c r="D2112" s="73">
        <v>2.84728946040015E7</v>
      </c>
      <c r="E2112" s="73">
        <v>4269111.74406065</v>
      </c>
      <c r="F2112" s="73"/>
      <c r="G2112" s="73"/>
      <c r="H2112" s="73"/>
      <c r="I2112" s="73"/>
      <c r="J2112" s="73"/>
      <c r="K2112" s="73"/>
      <c r="L2112" s="73"/>
      <c r="M2112" s="73"/>
      <c r="N2112" s="73"/>
      <c r="O2112" s="73"/>
      <c r="P2112" s="73"/>
      <c r="Q2112" s="73"/>
      <c r="R2112" s="73"/>
      <c r="S2112" s="73"/>
      <c r="T2112" s="73"/>
      <c r="U2112" s="73"/>
      <c r="V2112" s="73"/>
      <c r="W2112" s="73"/>
      <c r="X2112" s="73"/>
      <c r="Y2112" s="73"/>
      <c r="Z2112" s="73"/>
      <c r="AA2112" s="73"/>
      <c r="AB2112" s="73"/>
    </row>
    <row r="2113">
      <c r="A2113" s="73"/>
      <c r="B2113" s="73">
        <v>624272.1772</v>
      </c>
      <c r="C2113" s="73">
        <v>8.73836814127502E7</v>
      </c>
      <c r="D2113" s="73">
        <v>2.85227872839948E7</v>
      </c>
      <c r="E2113" s="73">
        <v>4275131.25413971</v>
      </c>
      <c r="F2113" s="73"/>
      <c r="G2113" s="73"/>
      <c r="H2113" s="73"/>
      <c r="I2113" s="73"/>
      <c r="J2113" s="73"/>
      <c r="K2113" s="73"/>
      <c r="L2113" s="73"/>
      <c r="M2113" s="73"/>
      <c r="N2113" s="73"/>
      <c r="O2113" s="73"/>
      <c r="P2113" s="73"/>
      <c r="Q2113" s="73"/>
      <c r="R2113" s="73"/>
      <c r="S2113" s="73"/>
      <c r="T2113" s="73"/>
      <c r="U2113" s="73"/>
      <c r="V2113" s="73"/>
      <c r="W2113" s="73"/>
      <c r="X2113" s="73"/>
      <c r="Y2113" s="73"/>
      <c r="Z2113" s="73"/>
      <c r="AA2113" s="73"/>
      <c r="AB2113" s="73"/>
    </row>
    <row r="2114">
      <c r="A2114" s="73"/>
      <c r="B2114" s="73">
        <v>625286.863</v>
      </c>
      <c r="C2114" s="73">
        <v>8.74963634096203E7</v>
      </c>
      <c r="D2114" s="73">
        <v>2.85727369679957E7</v>
      </c>
      <c r="E2114" s="73">
        <v>4281157.33081241</v>
      </c>
      <c r="F2114" s="73"/>
      <c r="G2114" s="73"/>
      <c r="H2114" s="73"/>
      <c r="I2114" s="73"/>
      <c r="J2114" s="73"/>
      <c r="K2114" s="73"/>
      <c r="L2114" s="73"/>
      <c r="M2114" s="73"/>
      <c r="N2114" s="73"/>
      <c r="O2114" s="73"/>
      <c r="P2114" s="73"/>
      <c r="Q2114" s="73"/>
      <c r="R2114" s="73"/>
      <c r="S2114" s="73"/>
      <c r="T2114" s="73"/>
      <c r="U2114" s="73"/>
      <c r="V2114" s="73"/>
      <c r="W2114" s="73"/>
      <c r="X2114" s="73"/>
      <c r="Y2114" s="73"/>
      <c r="Z2114" s="73"/>
      <c r="AA2114" s="73"/>
      <c r="AB2114" s="73"/>
    </row>
    <row r="2115">
      <c r="A2115" s="73"/>
      <c r="B2115" s="73">
        <v>626303.1468</v>
      </c>
      <c r="C2115" s="73">
        <v>8.76091360464878E7</v>
      </c>
      <c r="D2115" s="73">
        <v>2.86227410599966E7</v>
      </c>
      <c r="E2115" s="73">
        <v>4287189.78873777</v>
      </c>
      <c r="F2115" s="73"/>
      <c r="G2115" s="73"/>
      <c r="H2115" s="73"/>
      <c r="I2115" s="73"/>
      <c r="J2115" s="73"/>
      <c r="K2115" s="73"/>
      <c r="L2115" s="73"/>
      <c r="M2115" s="73"/>
      <c r="N2115" s="73"/>
      <c r="O2115" s="73"/>
      <c r="P2115" s="73"/>
      <c r="Q2115" s="73"/>
      <c r="R2115" s="73"/>
      <c r="S2115" s="73"/>
      <c r="T2115" s="73"/>
      <c r="U2115" s="73"/>
      <c r="V2115" s="73"/>
      <c r="W2115" s="73"/>
      <c r="X2115" s="73"/>
      <c r="Y2115" s="73"/>
      <c r="Z2115" s="73"/>
      <c r="AA2115" s="73"/>
      <c r="AB2115" s="73"/>
    </row>
    <row r="2116">
      <c r="A2116" s="73"/>
      <c r="B2116" s="73">
        <v>627321.029</v>
      </c>
      <c r="C2116" s="73">
        <v>8.77220158033524E7</v>
      </c>
      <c r="D2116" s="73">
        <v>2.86728072399976E7</v>
      </c>
      <c r="E2116" s="73">
        <v>4293228.48879079</v>
      </c>
      <c r="F2116" s="73"/>
      <c r="G2116" s="73"/>
      <c r="H2116" s="73"/>
      <c r="I2116" s="73"/>
      <c r="J2116" s="73"/>
      <c r="K2116" s="73"/>
      <c r="L2116" s="73"/>
      <c r="M2116" s="73"/>
      <c r="N2116" s="73"/>
      <c r="O2116" s="73"/>
      <c r="P2116" s="73"/>
      <c r="Q2116" s="73"/>
      <c r="R2116" s="73"/>
      <c r="S2116" s="73"/>
      <c r="T2116" s="73"/>
      <c r="U2116" s="73"/>
      <c r="V2116" s="73"/>
      <c r="W2116" s="73"/>
      <c r="X2116" s="73"/>
      <c r="Y2116" s="73"/>
      <c r="Z2116" s="73"/>
      <c r="AA2116" s="73"/>
      <c r="AB2116" s="73"/>
    </row>
    <row r="2117">
      <c r="A2117" s="73"/>
      <c r="B2117" s="73">
        <v>628340.5163</v>
      </c>
      <c r="C2117" s="73">
        <v>8.78349697202148E7</v>
      </c>
      <c r="D2117" s="73">
        <v>2.87229253079985E7</v>
      </c>
      <c r="E2117" s="73">
        <v>4299273.82168746</v>
      </c>
      <c r="F2117" s="73"/>
      <c r="G2117" s="73"/>
      <c r="H2117" s="73"/>
      <c r="I2117" s="73"/>
      <c r="J2117" s="73"/>
      <c r="K2117" s="73"/>
      <c r="L2117" s="73"/>
      <c r="M2117" s="73"/>
      <c r="N2117" s="73"/>
      <c r="O2117" s="73"/>
      <c r="P2117" s="73"/>
      <c r="Q2117" s="73"/>
      <c r="R2117" s="73"/>
      <c r="S2117" s="73"/>
      <c r="T2117" s="73"/>
      <c r="U2117" s="73"/>
      <c r="V2117" s="73"/>
      <c r="W2117" s="73"/>
      <c r="X2117" s="73"/>
      <c r="Y2117" s="73"/>
      <c r="Z2117" s="73"/>
      <c r="AA2117" s="73"/>
      <c r="AB2117" s="73"/>
    </row>
    <row r="2118">
      <c r="A2118" s="73"/>
      <c r="B2118" s="73">
        <v>629361.5787</v>
      </c>
      <c r="C2118" s="73">
        <v>8.79480225170746E7</v>
      </c>
      <c r="D2118" s="73">
        <v>2.87731029399994E7</v>
      </c>
      <c r="E2118" s="73">
        <v>4305325.45501178</v>
      </c>
      <c r="F2118" s="73"/>
      <c r="G2118" s="73"/>
      <c r="H2118" s="73"/>
      <c r="I2118" s="73"/>
      <c r="J2118" s="73"/>
      <c r="K2118" s="73"/>
      <c r="L2118" s="73"/>
      <c r="M2118" s="73"/>
      <c r="N2118" s="73"/>
      <c r="O2118" s="73"/>
      <c r="P2118" s="73"/>
      <c r="Q2118" s="73"/>
      <c r="R2118" s="73"/>
      <c r="S2118" s="73"/>
      <c r="T2118" s="73"/>
      <c r="U2118" s="73"/>
      <c r="V2118" s="73"/>
      <c r="W2118" s="73"/>
      <c r="X2118" s="73"/>
      <c r="Y2118" s="73"/>
      <c r="Z2118" s="73"/>
      <c r="AA2118" s="73"/>
      <c r="AB2118" s="73"/>
    </row>
    <row r="2119">
      <c r="A2119" s="73"/>
      <c r="B2119" s="73">
        <v>630384.2481</v>
      </c>
      <c r="C2119" s="73">
        <v>8.80611659539318E7</v>
      </c>
      <c r="D2119" s="73">
        <v>2.88233375040003E7</v>
      </c>
      <c r="E2119" s="73">
        <v>4311383.39273876</v>
      </c>
      <c r="F2119" s="73"/>
      <c r="G2119" s="73"/>
      <c r="H2119" s="73"/>
      <c r="I2119" s="73"/>
      <c r="J2119" s="73"/>
      <c r="K2119" s="73"/>
      <c r="L2119" s="73"/>
      <c r="M2119" s="73"/>
      <c r="N2119" s="73"/>
      <c r="O2119" s="73"/>
      <c r="P2119" s="73"/>
      <c r="Q2119" s="73"/>
      <c r="R2119" s="73"/>
      <c r="S2119" s="73"/>
      <c r="T2119" s="73"/>
      <c r="U2119" s="73"/>
      <c r="V2119" s="73"/>
      <c r="W2119" s="73"/>
      <c r="X2119" s="73"/>
      <c r="Y2119" s="73"/>
      <c r="Z2119" s="73"/>
      <c r="AA2119" s="73"/>
      <c r="AB2119" s="73"/>
    </row>
    <row r="2120">
      <c r="A2120" s="73"/>
      <c r="B2120" s="73">
        <v>631408.4941</v>
      </c>
      <c r="C2120" s="73">
        <v>8.81744000307865E7</v>
      </c>
      <c r="D2120" s="73">
        <v>2.88736265480012E7</v>
      </c>
      <c r="E2120" s="73">
        <v>4317447.99775939</v>
      </c>
      <c r="F2120" s="73"/>
      <c r="G2120" s="73"/>
      <c r="H2120" s="73"/>
      <c r="I2120" s="73"/>
      <c r="J2120" s="73"/>
      <c r="K2120" s="73"/>
      <c r="L2120" s="73"/>
      <c r="M2120" s="73"/>
      <c r="N2120" s="73"/>
      <c r="O2120" s="73"/>
      <c r="P2120" s="73"/>
      <c r="Q2120" s="73"/>
      <c r="R2120" s="73"/>
      <c r="S2120" s="73"/>
      <c r="T2120" s="73"/>
      <c r="U2120" s="73"/>
      <c r="V2120" s="73"/>
      <c r="W2120" s="73"/>
      <c r="X2120" s="73"/>
      <c r="Y2120" s="73"/>
      <c r="Z2120" s="73"/>
      <c r="AA2120" s="73"/>
      <c r="AB2120" s="73"/>
    </row>
    <row r="2121">
      <c r="A2121" s="73"/>
      <c r="B2121" s="73">
        <v>632434.3492</v>
      </c>
      <c r="C2121" s="73">
        <v>8.82877329876385E7</v>
      </c>
      <c r="D2121" s="73">
        <v>2.89239751239945E7</v>
      </c>
      <c r="E2121" s="73">
        <v>4323518.93368267</v>
      </c>
      <c r="F2121" s="73"/>
      <c r="G2121" s="73"/>
      <c r="H2121" s="73"/>
      <c r="I2121" s="73"/>
      <c r="J2121" s="73"/>
      <c r="K2121" s="73"/>
      <c r="L2121" s="73"/>
      <c r="M2121" s="73"/>
      <c r="N2121" s="73"/>
      <c r="O2121" s="73"/>
      <c r="P2121" s="73"/>
      <c r="Q2121" s="73"/>
      <c r="R2121" s="73"/>
      <c r="S2121" s="73"/>
      <c r="T2121" s="73"/>
      <c r="U2121" s="73"/>
      <c r="V2121" s="73"/>
      <c r="W2121" s="73"/>
      <c r="X2121" s="73"/>
      <c r="Y2121" s="73"/>
      <c r="Z2121" s="73"/>
      <c r="AA2121" s="73"/>
      <c r="AB2121" s="73"/>
    </row>
    <row r="2122">
      <c r="A2122" s="73"/>
      <c r="B2122" s="73">
        <v>633461.8085</v>
      </c>
      <c r="C2122" s="73">
        <v>8.84011483444881E7</v>
      </c>
      <c r="D2122" s="73">
        <v>2.89743806679954E7</v>
      </c>
      <c r="E2122" s="73">
        <v>4329596.14750861</v>
      </c>
      <c r="F2122" s="73"/>
      <c r="G2122" s="73"/>
      <c r="H2122" s="73"/>
      <c r="I2122" s="73"/>
      <c r="J2122" s="73"/>
      <c r="K2122" s="73"/>
      <c r="L2122" s="73"/>
      <c r="M2122" s="73"/>
      <c r="N2122" s="73"/>
      <c r="O2122" s="73"/>
      <c r="P2122" s="73"/>
      <c r="Q2122" s="73"/>
      <c r="R2122" s="73"/>
      <c r="S2122" s="73"/>
      <c r="T2122" s="73"/>
      <c r="U2122" s="73"/>
      <c r="V2122" s="73"/>
      <c r="W2122" s="73"/>
      <c r="X2122" s="73"/>
      <c r="Y2122" s="73"/>
      <c r="Z2122" s="73"/>
      <c r="AA2122" s="73"/>
      <c r="AB2122" s="73"/>
    </row>
    <row r="2123">
      <c r="A2123" s="73"/>
      <c r="B2123" s="73">
        <v>634490.8585</v>
      </c>
      <c r="C2123" s="73">
        <v>8.85146625813351E7</v>
      </c>
      <c r="D2123" s="73">
        <v>2.90248432159963E7</v>
      </c>
      <c r="E2123" s="73">
        <v>4335680.05910319</v>
      </c>
      <c r="F2123" s="73"/>
      <c r="G2123" s="73"/>
      <c r="H2123" s="73"/>
      <c r="I2123" s="73"/>
      <c r="J2123" s="73"/>
      <c r="K2123" s="73"/>
      <c r="L2123" s="73"/>
      <c r="M2123" s="73"/>
      <c r="N2123" s="73"/>
      <c r="O2123" s="73"/>
      <c r="P2123" s="73"/>
      <c r="Q2123" s="73"/>
      <c r="R2123" s="73"/>
      <c r="S2123" s="73"/>
      <c r="T2123" s="73"/>
      <c r="U2123" s="73"/>
      <c r="V2123" s="73"/>
      <c r="W2123" s="73"/>
      <c r="X2123" s="73"/>
      <c r="Y2123" s="73"/>
      <c r="Z2123" s="73"/>
      <c r="AA2123" s="73"/>
      <c r="AB2123" s="73"/>
    </row>
    <row r="2124">
      <c r="A2124" s="73"/>
      <c r="B2124" s="73">
        <v>635521.509</v>
      </c>
      <c r="C2124" s="73">
        <v>8.86282674581795E7</v>
      </c>
      <c r="D2124" s="73">
        <v>2.90753627319973E7</v>
      </c>
      <c r="E2124" s="73">
        <v>4341770.25655043</v>
      </c>
      <c r="F2124" s="73"/>
      <c r="G2124" s="73"/>
      <c r="H2124" s="73"/>
      <c r="I2124" s="73"/>
      <c r="J2124" s="73"/>
      <c r="K2124" s="73"/>
      <c r="L2124" s="73"/>
      <c r="M2124" s="73"/>
      <c r="N2124" s="73"/>
      <c r="O2124" s="73"/>
      <c r="P2124" s="73"/>
      <c r="Q2124" s="73"/>
      <c r="R2124" s="73"/>
      <c r="S2124" s="73"/>
      <c r="T2124" s="73"/>
      <c r="U2124" s="73"/>
      <c r="V2124" s="73"/>
      <c r="W2124" s="73"/>
      <c r="X2124" s="73"/>
      <c r="Y2124" s="73"/>
      <c r="Z2124" s="73"/>
      <c r="AA2124" s="73"/>
      <c r="AB2124" s="73"/>
    </row>
    <row r="2125">
      <c r="A2125" s="73"/>
      <c r="B2125" s="73">
        <v>636553.7661</v>
      </c>
      <c r="C2125" s="73">
        <v>8.87419547350216E7</v>
      </c>
      <c r="D2125" s="73">
        <v>2.91259392559982E7</v>
      </c>
      <c r="E2125" s="73">
        <v>4347866.79285033</v>
      </c>
      <c r="F2125" s="73"/>
      <c r="G2125" s="73"/>
      <c r="H2125" s="73"/>
      <c r="I2125" s="73"/>
      <c r="J2125" s="73"/>
      <c r="K2125" s="73"/>
      <c r="L2125" s="73"/>
      <c r="M2125" s="73"/>
      <c r="N2125" s="73"/>
      <c r="O2125" s="73"/>
      <c r="P2125" s="73"/>
      <c r="Q2125" s="73"/>
      <c r="R2125" s="73"/>
      <c r="S2125" s="73"/>
      <c r="T2125" s="73"/>
      <c r="U2125" s="73"/>
      <c r="V2125" s="73"/>
      <c r="W2125" s="73"/>
      <c r="X2125" s="73"/>
      <c r="Y2125" s="73"/>
      <c r="Z2125" s="73"/>
      <c r="AA2125" s="73"/>
      <c r="AB2125" s="73"/>
    </row>
    <row r="2126">
      <c r="A2126" s="73"/>
      <c r="B2126" s="73">
        <v>637587.617</v>
      </c>
      <c r="C2126" s="73">
        <v>8.8855740891861E7</v>
      </c>
      <c r="D2126" s="73">
        <v>2.91765727839991E7</v>
      </c>
      <c r="E2126" s="73">
        <v>4353969.91561888</v>
      </c>
      <c r="F2126" s="73"/>
      <c r="G2126" s="73"/>
      <c r="H2126" s="73"/>
      <c r="I2126" s="73"/>
      <c r="J2126" s="73"/>
      <c r="K2126" s="73"/>
      <c r="L2126" s="73"/>
      <c r="M2126" s="73"/>
      <c r="N2126" s="73"/>
      <c r="O2126" s="73"/>
      <c r="P2126" s="73"/>
      <c r="Q2126" s="73"/>
      <c r="R2126" s="73"/>
      <c r="S2126" s="73"/>
      <c r="T2126" s="73"/>
      <c r="U2126" s="73"/>
      <c r="V2126" s="73"/>
      <c r="W2126" s="73"/>
      <c r="X2126" s="73"/>
      <c r="Y2126" s="73"/>
      <c r="Z2126" s="73"/>
      <c r="AA2126" s="73"/>
      <c r="AB2126" s="73"/>
    </row>
    <row r="2127">
      <c r="A2127" s="73"/>
      <c r="B2127" s="73">
        <v>638623.0764</v>
      </c>
      <c r="C2127" s="73">
        <v>8.89696259286976E7</v>
      </c>
      <c r="D2127" s="73">
        <v>2.922726328E7</v>
      </c>
      <c r="E2127" s="73">
        <v>4360079.35074008</v>
      </c>
      <c r="F2127" s="73"/>
      <c r="G2127" s="73"/>
      <c r="H2127" s="73"/>
      <c r="I2127" s="73"/>
      <c r="J2127" s="73"/>
      <c r="K2127" s="73"/>
      <c r="L2127" s="73"/>
      <c r="M2127" s="73"/>
      <c r="N2127" s="73"/>
      <c r="O2127" s="73"/>
      <c r="P2127" s="73"/>
      <c r="Q2127" s="73"/>
      <c r="R2127" s="73"/>
      <c r="S2127" s="73"/>
      <c r="T2127" s="73"/>
      <c r="U2127" s="73"/>
      <c r="V2127" s="73"/>
      <c r="W2127" s="73"/>
      <c r="X2127" s="73"/>
      <c r="Y2127" s="73"/>
      <c r="Z2127" s="73"/>
      <c r="AA2127" s="73"/>
      <c r="AB2127" s="73"/>
    </row>
    <row r="2128">
      <c r="A2128" s="73"/>
      <c r="B2128" s="73">
        <v>639660.1311</v>
      </c>
      <c r="C2128" s="73">
        <v>8.90835933655319E7</v>
      </c>
      <c r="D2128" s="73">
        <v>2.92780107080009E7</v>
      </c>
      <c r="E2128" s="73">
        <v>4366195.19096394</v>
      </c>
      <c r="F2128" s="73"/>
      <c r="G2128" s="73"/>
      <c r="H2128" s="73"/>
      <c r="I2128" s="73"/>
      <c r="J2128" s="73"/>
      <c r="K2128" s="73"/>
      <c r="L2128" s="73"/>
      <c r="M2128" s="73"/>
      <c r="N2128" s="73"/>
      <c r="O2128" s="73"/>
      <c r="P2128" s="73"/>
      <c r="Q2128" s="73"/>
      <c r="R2128" s="73"/>
      <c r="S2128" s="73"/>
      <c r="T2128" s="73"/>
      <c r="U2128" s="73"/>
      <c r="V2128" s="73"/>
      <c r="W2128" s="73"/>
      <c r="X2128" s="73"/>
      <c r="Y2128" s="73"/>
      <c r="Z2128" s="73"/>
      <c r="AA2128" s="73"/>
      <c r="AB2128" s="73"/>
    </row>
    <row r="2129">
      <c r="A2129" s="73"/>
      <c r="B2129" s="73">
        <v>640698.8164</v>
      </c>
      <c r="C2129" s="73">
        <v>8.91976596823635E7</v>
      </c>
      <c r="D2129" s="73">
        <v>2.93288152160018E7</v>
      </c>
      <c r="E2129" s="73">
        <v>4372317.71040643</v>
      </c>
      <c r="F2129" s="73"/>
      <c r="G2129" s="73"/>
      <c r="H2129" s="73"/>
      <c r="I2129" s="73"/>
      <c r="J2129" s="73"/>
      <c r="K2129" s="73"/>
      <c r="L2129" s="73"/>
      <c r="M2129" s="73"/>
      <c r="N2129" s="73"/>
      <c r="O2129" s="73"/>
      <c r="P2129" s="73"/>
      <c r="Q2129" s="73"/>
      <c r="R2129" s="73"/>
      <c r="S2129" s="73"/>
      <c r="T2129" s="73"/>
      <c r="U2129" s="73"/>
      <c r="V2129" s="73"/>
      <c r="W2129" s="73"/>
      <c r="X2129" s="73"/>
      <c r="Y2129" s="73"/>
      <c r="Z2129" s="73"/>
      <c r="AA2129" s="73"/>
      <c r="AB2129" s="73"/>
    </row>
    <row r="2130">
      <c r="A2130" s="73"/>
      <c r="B2130" s="73">
        <v>641739.0672</v>
      </c>
      <c r="C2130" s="73">
        <v>8.93118166391926E7</v>
      </c>
      <c r="D2130" s="73">
        <v>2.93796792159951E7</v>
      </c>
      <c r="E2130" s="73">
        <v>4378446.4613766</v>
      </c>
      <c r="F2130" s="73"/>
      <c r="G2130" s="73"/>
      <c r="H2130" s="73"/>
      <c r="I2130" s="73"/>
      <c r="J2130" s="73"/>
      <c r="K2130" s="73"/>
      <c r="L2130" s="73"/>
      <c r="M2130" s="73"/>
      <c r="N2130" s="73"/>
      <c r="O2130" s="73"/>
      <c r="P2130" s="73"/>
      <c r="Q2130" s="73"/>
      <c r="R2130" s="73"/>
      <c r="S2130" s="73"/>
      <c r="T2130" s="73"/>
      <c r="U2130" s="73"/>
      <c r="V2130" s="73"/>
      <c r="W2130" s="73"/>
      <c r="X2130" s="73"/>
      <c r="Y2130" s="73"/>
      <c r="Z2130" s="73"/>
      <c r="AA2130" s="73"/>
      <c r="AB2130" s="73"/>
    </row>
    <row r="2131">
      <c r="A2131" s="73"/>
      <c r="B2131" s="73">
        <v>642780.9614</v>
      </c>
      <c r="C2131" s="73">
        <v>8.94260724760189E7</v>
      </c>
      <c r="D2131" s="73">
        <v>2.9430597623996E7</v>
      </c>
      <c r="E2131" s="73">
        <v>4384581.89156539</v>
      </c>
      <c r="F2131" s="73"/>
      <c r="G2131" s="73"/>
      <c r="H2131" s="73"/>
      <c r="I2131" s="73"/>
      <c r="J2131" s="73"/>
      <c r="K2131" s="73"/>
      <c r="L2131" s="73"/>
      <c r="M2131" s="73"/>
      <c r="N2131" s="73"/>
      <c r="O2131" s="73"/>
      <c r="P2131" s="73"/>
      <c r="Q2131" s="73"/>
      <c r="R2131" s="73"/>
      <c r="S2131" s="73"/>
      <c r="T2131" s="73"/>
      <c r="U2131" s="73"/>
      <c r="V2131" s="73"/>
      <c r="W2131" s="73"/>
      <c r="X2131" s="73"/>
      <c r="Y2131" s="73"/>
      <c r="Z2131" s="73"/>
      <c r="AA2131" s="73"/>
      <c r="AB2131" s="73"/>
    </row>
    <row r="2132">
      <c r="A2132" s="73"/>
      <c r="B2132" s="73">
        <v>643824.4488</v>
      </c>
      <c r="C2132" s="73">
        <v>8.95404024728432E7</v>
      </c>
      <c r="D2132" s="73">
        <v>2.9481575595997E7</v>
      </c>
      <c r="E2132" s="73">
        <v>4390723.73083185</v>
      </c>
      <c r="F2132" s="73"/>
      <c r="G2132" s="73"/>
      <c r="H2132" s="73"/>
      <c r="I2132" s="73"/>
      <c r="J2132" s="73"/>
      <c r="K2132" s="73"/>
      <c r="L2132" s="73"/>
      <c r="M2132" s="73"/>
      <c r="N2132" s="73"/>
      <c r="O2132" s="73"/>
      <c r="P2132" s="73"/>
      <c r="Q2132" s="73"/>
      <c r="R2132" s="73"/>
      <c r="S2132" s="73"/>
      <c r="T2132" s="73"/>
      <c r="U2132" s="73"/>
      <c r="V2132" s="73"/>
      <c r="W2132" s="73"/>
      <c r="X2132" s="73"/>
      <c r="Y2132" s="73"/>
      <c r="Z2132" s="73"/>
      <c r="AA2132" s="73"/>
      <c r="AB2132" s="73"/>
    </row>
    <row r="2133">
      <c r="A2133" s="73"/>
      <c r="B2133" s="73">
        <v>644869.5501</v>
      </c>
      <c r="C2133" s="73">
        <v>8.96548313496647E7</v>
      </c>
      <c r="D2133" s="73">
        <v>2.95326105759979E7</v>
      </c>
      <c r="E2133" s="73">
        <v>4396871.86257596</v>
      </c>
      <c r="F2133" s="73"/>
      <c r="G2133" s="73"/>
      <c r="H2133" s="73"/>
      <c r="I2133" s="73"/>
      <c r="J2133" s="73"/>
      <c r="K2133" s="73"/>
      <c r="L2133" s="73"/>
      <c r="M2133" s="73"/>
      <c r="N2133" s="73"/>
      <c r="O2133" s="73"/>
      <c r="P2133" s="73"/>
      <c r="Q2133" s="73"/>
      <c r="R2133" s="73"/>
      <c r="S2133" s="73"/>
      <c r="T2133" s="73"/>
      <c r="U2133" s="73"/>
      <c r="V2133" s="73"/>
      <c r="W2133" s="73"/>
      <c r="X2133" s="73"/>
      <c r="Y2133" s="73"/>
      <c r="Z2133" s="73"/>
      <c r="AA2133" s="73"/>
      <c r="AB2133" s="73"/>
    </row>
    <row r="2134">
      <c r="A2134" s="73"/>
      <c r="B2134" s="73">
        <v>645916.2659</v>
      </c>
      <c r="C2134" s="73">
        <v>8.97693673464832E7</v>
      </c>
      <c r="D2134" s="73">
        <v>2.95837025599988E7</v>
      </c>
      <c r="E2134" s="73">
        <v>4403026.62451372</v>
      </c>
      <c r="F2134" s="73"/>
      <c r="G2134" s="73"/>
      <c r="H2134" s="73"/>
      <c r="I2134" s="73"/>
      <c r="J2134" s="73"/>
      <c r="K2134" s="73"/>
      <c r="L2134" s="73"/>
      <c r="M2134" s="73"/>
      <c r="N2134" s="73"/>
      <c r="O2134" s="73"/>
      <c r="P2134" s="73"/>
      <c r="Q2134" s="73"/>
      <c r="R2134" s="73"/>
      <c r="S2134" s="73"/>
      <c r="T2134" s="73"/>
      <c r="U2134" s="73"/>
      <c r="V2134" s="73"/>
      <c r="W2134" s="73"/>
      <c r="X2134" s="73"/>
      <c r="Y2134" s="73"/>
      <c r="Z2134" s="73"/>
      <c r="AA2134" s="73"/>
      <c r="AB2134" s="73"/>
    </row>
    <row r="2135">
      <c r="A2135" s="73"/>
      <c r="B2135" s="73">
        <v>646964.5832</v>
      </c>
      <c r="C2135" s="73">
        <v>8.98839857432995E7</v>
      </c>
      <c r="D2135" s="73">
        <v>2.96348515119997E7</v>
      </c>
      <c r="E2135" s="73">
        <v>4409187.73722913</v>
      </c>
      <c r="F2135" s="73"/>
      <c r="G2135" s="73"/>
      <c r="H2135" s="73"/>
      <c r="I2135" s="73"/>
      <c r="J2135" s="73"/>
      <c r="K2135" s="73"/>
      <c r="L2135" s="73"/>
      <c r="M2135" s="73"/>
      <c r="N2135" s="73"/>
      <c r="O2135" s="73"/>
      <c r="P2135" s="73"/>
      <c r="Q2135" s="73"/>
      <c r="R2135" s="73"/>
      <c r="S2135" s="73"/>
      <c r="T2135" s="73"/>
      <c r="U2135" s="73"/>
      <c r="V2135" s="73"/>
      <c r="W2135" s="73"/>
      <c r="X2135" s="73"/>
      <c r="Y2135" s="73"/>
      <c r="Z2135" s="73"/>
      <c r="AA2135" s="73"/>
      <c r="AB2135" s="73"/>
    </row>
    <row r="2136">
      <c r="A2136" s="73"/>
      <c r="B2136" s="73">
        <v>648014.5169</v>
      </c>
      <c r="C2136" s="73">
        <v>8.99986865401134E7</v>
      </c>
      <c r="D2136" s="73">
        <v>2.96860573960006E7</v>
      </c>
      <c r="E2136" s="73">
        <v>4415355.1821722</v>
      </c>
      <c r="F2136" s="73"/>
      <c r="G2136" s="73"/>
      <c r="H2136" s="73"/>
      <c r="I2136" s="73"/>
      <c r="J2136" s="73"/>
      <c r="K2136" s="73"/>
      <c r="L2136" s="73"/>
      <c r="M2136" s="73"/>
      <c r="N2136" s="73"/>
      <c r="O2136" s="73"/>
      <c r="P2136" s="73"/>
      <c r="Q2136" s="73"/>
      <c r="R2136" s="73"/>
      <c r="S2136" s="73"/>
      <c r="T2136" s="73"/>
      <c r="U2136" s="73"/>
      <c r="V2136" s="73"/>
      <c r="W2136" s="73"/>
      <c r="X2136" s="73"/>
      <c r="Y2136" s="73"/>
      <c r="Z2136" s="73"/>
      <c r="AA2136" s="73"/>
      <c r="AB2136" s="73"/>
    </row>
    <row r="2137">
      <c r="A2137" s="73"/>
      <c r="B2137" s="73">
        <v>649066.0534</v>
      </c>
      <c r="C2137" s="73">
        <v>9.01135026969242E7</v>
      </c>
      <c r="D2137" s="73">
        <v>2.97373229200015E7</v>
      </c>
      <c r="E2137" s="73">
        <v>4421529.31825891</v>
      </c>
      <c r="F2137" s="73"/>
      <c r="G2137" s="73"/>
      <c r="H2137" s="73"/>
      <c r="I2137" s="73"/>
      <c r="J2137" s="73"/>
      <c r="K2137" s="73"/>
      <c r="L2137" s="73"/>
      <c r="M2137" s="73"/>
      <c r="N2137" s="73"/>
      <c r="O2137" s="73"/>
      <c r="P2137" s="73"/>
      <c r="Q2137" s="73"/>
      <c r="R2137" s="73"/>
      <c r="S2137" s="73"/>
      <c r="T2137" s="73"/>
      <c r="U2137" s="73"/>
      <c r="V2137" s="73"/>
      <c r="W2137" s="73"/>
      <c r="X2137" s="73"/>
      <c r="Y2137" s="73"/>
      <c r="Z2137" s="73"/>
      <c r="AA2137" s="73"/>
      <c r="AB2137" s="73"/>
    </row>
    <row r="2138">
      <c r="A2138" s="73"/>
      <c r="B2138" s="73">
        <v>650119.2281</v>
      </c>
      <c r="C2138" s="73">
        <v>9.02283847737331E7</v>
      </c>
      <c r="D2138" s="73">
        <v>2.97886453759948E7</v>
      </c>
      <c r="E2138" s="73">
        <v>4427709.80512328</v>
      </c>
      <c r="F2138" s="73"/>
      <c r="G2138" s="73"/>
      <c r="H2138" s="73"/>
      <c r="I2138" s="73"/>
      <c r="J2138" s="73"/>
      <c r="K2138" s="73"/>
      <c r="L2138" s="73"/>
      <c r="M2138" s="73"/>
      <c r="N2138" s="73"/>
      <c r="O2138" s="73"/>
      <c r="P2138" s="73"/>
      <c r="Q2138" s="73"/>
      <c r="R2138" s="73"/>
      <c r="S2138" s="73"/>
      <c r="T2138" s="73"/>
      <c r="U2138" s="73"/>
      <c r="V2138" s="73"/>
      <c r="W2138" s="73"/>
      <c r="X2138" s="73"/>
      <c r="Y2138" s="73"/>
      <c r="Z2138" s="73"/>
      <c r="AA2138" s="73"/>
      <c r="AB2138" s="73"/>
    </row>
    <row r="2139">
      <c r="A2139" s="73"/>
      <c r="B2139" s="73">
        <v>651174.0015</v>
      </c>
      <c r="C2139" s="73">
        <v>9.03433822105389E7</v>
      </c>
      <c r="D2139" s="73">
        <v>2.98400222399957E7</v>
      </c>
      <c r="E2139" s="73">
        <v>4433896.62421531</v>
      </c>
      <c r="F2139" s="73"/>
      <c r="G2139" s="73"/>
      <c r="H2139" s="73"/>
      <c r="I2139" s="73"/>
      <c r="J2139" s="73"/>
      <c r="K2139" s="73"/>
      <c r="L2139" s="73"/>
      <c r="M2139" s="73"/>
      <c r="N2139" s="73"/>
      <c r="O2139" s="73"/>
      <c r="P2139" s="73"/>
      <c r="Q2139" s="73"/>
      <c r="R2139" s="73"/>
      <c r="S2139" s="73"/>
      <c r="T2139" s="73"/>
      <c r="U2139" s="73"/>
      <c r="V2139" s="73"/>
      <c r="W2139" s="73"/>
      <c r="X2139" s="73"/>
      <c r="Y2139" s="73"/>
      <c r="Z2139" s="73"/>
      <c r="AA2139" s="73"/>
      <c r="AB2139" s="73"/>
    </row>
    <row r="2140">
      <c r="A2140" s="73"/>
      <c r="B2140" s="73">
        <v>652230.3804</v>
      </c>
      <c r="C2140" s="73">
        <v>9.04584620473423E7</v>
      </c>
      <c r="D2140" s="73">
        <v>2.98914612679966E7</v>
      </c>
      <c r="E2140" s="73">
        <v>4440090.11590097</v>
      </c>
      <c r="F2140" s="73"/>
      <c r="G2140" s="73"/>
      <c r="H2140" s="73"/>
      <c r="I2140" s="73"/>
      <c r="J2140" s="73"/>
      <c r="K2140" s="73"/>
      <c r="L2140" s="73"/>
      <c r="M2140" s="73"/>
      <c r="N2140" s="73"/>
      <c r="O2140" s="73"/>
      <c r="P2140" s="73"/>
      <c r="Q2140" s="73"/>
      <c r="R2140" s="73"/>
      <c r="S2140" s="73"/>
      <c r="T2140" s="73"/>
      <c r="U2140" s="73"/>
      <c r="V2140" s="73"/>
      <c r="W2140" s="73"/>
      <c r="X2140" s="73"/>
      <c r="Y2140" s="73"/>
      <c r="Z2140" s="73"/>
      <c r="AA2140" s="73"/>
      <c r="AB2140" s="73"/>
    </row>
    <row r="2141">
      <c r="A2141" s="73"/>
      <c r="B2141" s="73">
        <v>653288.4</v>
      </c>
      <c r="C2141" s="73">
        <v>9.05736325241432E7</v>
      </c>
      <c r="D2141" s="73">
        <v>2.99429547399976E7</v>
      </c>
      <c r="E2141" s="73">
        <v>4446290.24043028</v>
      </c>
      <c r="F2141" s="73"/>
      <c r="G2141" s="73"/>
      <c r="H2141" s="73"/>
      <c r="I2141" s="73"/>
      <c r="J2141" s="73"/>
      <c r="K2141" s="73"/>
      <c r="L2141" s="73"/>
      <c r="M2141" s="73"/>
      <c r="N2141" s="73"/>
      <c r="O2141" s="73"/>
      <c r="P2141" s="73"/>
      <c r="Q2141" s="73"/>
      <c r="R2141" s="73"/>
      <c r="S2141" s="73"/>
      <c r="T2141" s="73"/>
      <c r="U2141" s="73"/>
      <c r="V2141" s="73"/>
      <c r="W2141" s="73"/>
      <c r="X2141" s="73"/>
      <c r="Y2141" s="73"/>
      <c r="Z2141" s="73"/>
      <c r="AA2141" s="73"/>
      <c r="AB2141" s="73"/>
    </row>
    <row r="2142">
      <c r="A2142" s="73"/>
      <c r="B2142" s="73">
        <v>654348.0262</v>
      </c>
      <c r="C2142" s="73">
        <v>9.06889018809414E7</v>
      </c>
      <c r="D2142" s="73">
        <v>2.99945077039985E7</v>
      </c>
      <c r="E2142" s="73">
        <v>4452496.44957126</v>
      </c>
      <c r="F2142" s="73"/>
      <c r="G2142" s="73"/>
      <c r="H2142" s="73"/>
      <c r="I2142" s="73"/>
      <c r="J2142" s="73"/>
      <c r="K2142" s="73"/>
      <c r="L2142" s="73"/>
      <c r="M2142" s="73"/>
      <c r="N2142" s="73"/>
      <c r="O2142" s="73"/>
      <c r="P2142" s="73"/>
      <c r="Q2142" s="73"/>
      <c r="R2142" s="73"/>
      <c r="S2142" s="73"/>
      <c r="T2142" s="73"/>
      <c r="U2142" s="73"/>
      <c r="V2142" s="73"/>
      <c r="W2142" s="73"/>
      <c r="X2142" s="73"/>
      <c r="Y2142" s="73"/>
      <c r="Z2142" s="73"/>
      <c r="AA2142" s="73"/>
      <c r="AB2142" s="73"/>
    </row>
    <row r="2143">
      <c r="A2143" s="73"/>
      <c r="B2143" s="73">
        <v>655409.255</v>
      </c>
      <c r="C2143" s="73">
        <v>9.0804261877737E7</v>
      </c>
      <c r="D2143" s="73">
        <v>3.00461176719994E7</v>
      </c>
      <c r="E2143" s="73">
        <v>4458709.33925588</v>
      </c>
      <c r="F2143" s="73"/>
      <c r="G2143" s="73"/>
      <c r="H2143" s="73"/>
      <c r="I2143" s="73"/>
      <c r="J2143" s="73"/>
      <c r="K2143" s="73"/>
      <c r="L2143" s="73"/>
      <c r="M2143" s="73"/>
      <c r="N2143" s="73"/>
      <c r="O2143" s="73"/>
      <c r="P2143" s="73"/>
      <c r="Q2143" s="73"/>
      <c r="R2143" s="73"/>
      <c r="S2143" s="73"/>
      <c r="T2143" s="73"/>
      <c r="U2143" s="73"/>
      <c r="V2143" s="73"/>
      <c r="W2143" s="73"/>
      <c r="X2143" s="73"/>
      <c r="Y2143" s="73"/>
      <c r="Z2143" s="73"/>
      <c r="AA2143" s="73"/>
      <c r="AB2143" s="73"/>
    </row>
    <row r="2144">
      <c r="A2144" s="73"/>
      <c r="B2144" s="73">
        <v>656472.1372</v>
      </c>
      <c r="C2144" s="73">
        <v>9.091972075453E7</v>
      </c>
      <c r="D2144" s="73">
        <v>3.00977846480003E7</v>
      </c>
      <c r="E2144" s="73">
        <v>4464928.94658413</v>
      </c>
      <c r="F2144" s="73"/>
      <c r="G2144" s="73"/>
      <c r="H2144" s="73"/>
      <c r="I2144" s="73"/>
      <c r="J2144" s="73"/>
      <c r="K2144" s="73"/>
      <c r="L2144" s="73"/>
      <c r="M2144" s="73"/>
      <c r="N2144" s="73"/>
      <c r="O2144" s="73"/>
      <c r="P2144" s="73"/>
      <c r="Q2144" s="73"/>
      <c r="R2144" s="73"/>
      <c r="S2144" s="73"/>
      <c r="T2144" s="73"/>
      <c r="U2144" s="73"/>
      <c r="V2144" s="73"/>
      <c r="W2144" s="73"/>
      <c r="X2144" s="73"/>
      <c r="Y2144" s="73"/>
      <c r="Z2144" s="73"/>
      <c r="AA2144" s="73"/>
      <c r="AB2144" s="73"/>
    </row>
    <row r="2145">
      <c r="A2145" s="73"/>
      <c r="B2145" s="73">
        <v>657536.6184</v>
      </c>
      <c r="C2145" s="73">
        <v>9.10352620313206E7</v>
      </c>
      <c r="D2145" s="73">
        <v>3.01495111120012E7</v>
      </c>
      <c r="E2145" s="73">
        <v>4471154.78279005</v>
      </c>
      <c r="F2145" s="73"/>
      <c r="G2145" s="73"/>
      <c r="H2145" s="73"/>
      <c r="I2145" s="73"/>
      <c r="J2145" s="73"/>
      <c r="K2145" s="73"/>
      <c r="L2145" s="73"/>
      <c r="M2145" s="73"/>
      <c r="N2145" s="73"/>
      <c r="O2145" s="73"/>
      <c r="P2145" s="73"/>
      <c r="Q2145" s="73"/>
      <c r="R2145" s="73"/>
      <c r="S2145" s="73"/>
      <c r="T2145" s="73"/>
      <c r="U2145" s="73"/>
      <c r="V2145" s="73"/>
      <c r="W2145" s="73"/>
      <c r="X2145" s="73"/>
      <c r="Y2145" s="73"/>
      <c r="Z2145" s="73"/>
      <c r="AA2145" s="73"/>
      <c r="AB2145" s="73"/>
    </row>
    <row r="2146">
      <c r="A2146" s="73"/>
      <c r="B2146" s="73">
        <v>658602.7093</v>
      </c>
      <c r="C2146" s="73">
        <v>9.11508939481087E7</v>
      </c>
      <c r="D2146" s="73">
        <v>3.02012920599945E7</v>
      </c>
      <c r="E2146" s="73">
        <v>4477387.10492362</v>
      </c>
      <c r="F2146" s="73"/>
      <c r="G2146" s="73"/>
      <c r="H2146" s="73"/>
      <c r="I2146" s="73"/>
      <c r="J2146" s="73"/>
      <c r="K2146" s="73"/>
      <c r="L2146" s="73"/>
      <c r="M2146" s="73"/>
      <c r="N2146" s="73"/>
      <c r="O2146" s="73"/>
      <c r="P2146" s="73"/>
      <c r="Q2146" s="73"/>
      <c r="R2146" s="73"/>
      <c r="S2146" s="73"/>
      <c r="T2146" s="73"/>
      <c r="U2146" s="73"/>
      <c r="V2146" s="73"/>
      <c r="W2146" s="73"/>
      <c r="X2146" s="73"/>
      <c r="Y2146" s="73"/>
      <c r="Z2146" s="73"/>
      <c r="AA2146" s="73"/>
      <c r="AB2146" s="73"/>
    </row>
    <row r="2147">
      <c r="A2147" s="73"/>
      <c r="B2147" s="73">
        <v>659670.4513</v>
      </c>
      <c r="C2147" s="73">
        <v>9.12666329848938E7</v>
      </c>
      <c r="D2147" s="73">
        <v>3.02531350999954E7</v>
      </c>
      <c r="E2147" s="73">
        <v>4483625.98835084</v>
      </c>
      <c r="F2147" s="73"/>
      <c r="G2147" s="73"/>
      <c r="H2147" s="73"/>
      <c r="I2147" s="73"/>
      <c r="J2147" s="73"/>
      <c r="K2147" s="73"/>
      <c r="L2147" s="73"/>
      <c r="M2147" s="73"/>
      <c r="N2147" s="73"/>
      <c r="O2147" s="73"/>
      <c r="P2147" s="73"/>
      <c r="Q2147" s="73"/>
      <c r="R2147" s="73"/>
      <c r="S2147" s="73"/>
      <c r="T2147" s="73"/>
      <c r="U2147" s="73"/>
      <c r="V2147" s="73"/>
      <c r="W2147" s="73"/>
      <c r="X2147" s="73"/>
      <c r="Y2147" s="73"/>
      <c r="Z2147" s="73"/>
      <c r="AA2147" s="73"/>
      <c r="AB2147" s="73"/>
    </row>
    <row r="2148">
      <c r="A2148" s="73"/>
      <c r="B2148" s="73">
        <v>660739.7993</v>
      </c>
      <c r="C2148" s="73">
        <v>9.13824626616764E7</v>
      </c>
      <c r="D2148" s="73">
        <v>3.03050325439963E7</v>
      </c>
      <c r="E2148" s="73">
        <v>4489871.3497557</v>
      </c>
      <c r="F2148" s="73"/>
      <c r="G2148" s="73"/>
      <c r="H2148" s="73"/>
      <c r="I2148" s="73"/>
      <c r="J2148" s="73"/>
      <c r="K2148" s="73"/>
      <c r="L2148" s="73"/>
      <c r="M2148" s="73"/>
      <c r="N2148" s="73"/>
      <c r="O2148" s="73"/>
      <c r="P2148" s="73"/>
      <c r="Q2148" s="73"/>
      <c r="R2148" s="73"/>
      <c r="S2148" s="73"/>
      <c r="T2148" s="73"/>
      <c r="U2148" s="73"/>
      <c r="V2148" s="73"/>
      <c r="W2148" s="73"/>
      <c r="X2148" s="73"/>
      <c r="Y2148" s="73"/>
      <c r="Z2148" s="73"/>
      <c r="AA2148" s="73"/>
      <c r="AB2148" s="73"/>
    </row>
    <row r="2149">
      <c r="A2149" s="73"/>
      <c r="B2149" s="73">
        <v>661810.7542</v>
      </c>
      <c r="C2149" s="73">
        <v>9.14983747384567E7</v>
      </c>
      <c r="D2149" s="73">
        <v>3.03569896319973E7</v>
      </c>
      <c r="E2149" s="73">
        <v>4496123.06723823</v>
      </c>
      <c r="F2149" s="73"/>
      <c r="G2149" s="73"/>
      <c r="H2149" s="73"/>
      <c r="I2149" s="73"/>
      <c r="J2149" s="73"/>
      <c r="K2149" s="73"/>
      <c r="L2149" s="73"/>
      <c r="M2149" s="73"/>
      <c r="N2149" s="73"/>
      <c r="O2149" s="73"/>
      <c r="P2149" s="73"/>
      <c r="Q2149" s="73"/>
      <c r="R2149" s="73"/>
      <c r="S2149" s="73"/>
      <c r="T2149" s="73"/>
      <c r="U2149" s="73"/>
      <c r="V2149" s="73"/>
      <c r="W2149" s="73"/>
      <c r="X2149" s="73"/>
      <c r="Y2149" s="73"/>
      <c r="Z2149" s="73"/>
      <c r="AA2149" s="73"/>
      <c r="AB2149" s="73"/>
    </row>
    <row r="2150">
      <c r="A2150" s="73"/>
      <c r="B2150" s="73">
        <v>662883.368</v>
      </c>
      <c r="C2150" s="73">
        <v>9.16143856952343E7</v>
      </c>
      <c r="D2150" s="73">
        <v>3.04090036119982E7</v>
      </c>
      <c r="E2150" s="73">
        <v>4502381.42551439</v>
      </c>
      <c r="F2150" s="73"/>
      <c r="G2150" s="73"/>
      <c r="H2150" s="73"/>
      <c r="I2150" s="73"/>
      <c r="J2150" s="73"/>
      <c r="K2150" s="73"/>
      <c r="L2150" s="73"/>
      <c r="M2150" s="73"/>
      <c r="N2150" s="73"/>
      <c r="O2150" s="73"/>
      <c r="P2150" s="73"/>
      <c r="Q2150" s="73"/>
      <c r="R2150" s="73"/>
      <c r="S2150" s="73"/>
      <c r="T2150" s="73"/>
      <c r="U2150" s="73"/>
      <c r="V2150" s="73"/>
      <c r="W2150" s="73"/>
      <c r="X2150" s="73"/>
      <c r="Y2150" s="73"/>
      <c r="Z2150" s="73"/>
      <c r="AA2150" s="73"/>
      <c r="AB2150" s="73"/>
    </row>
    <row r="2151">
      <c r="A2151" s="73"/>
      <c r="B2151" s="73">
        <v>663957.5903</v>
      </c>
      <c r="C2151" s="73">
        <v>9.17304872920094E7</v>
      </c>
      <c r="D2151" s="73">
        <v>3.04610771959991E7</v>
      </c>
      <c r="E2151" s="73">
        <v>4508646.47228419</v>
      </c>
      <c r="F2151" s="73"/>
      <c r="G2151" s="73"/>
      <c r="H2151" s="73"/>
      <c r="I2151" s="73"/>
      <c r="J2151" s="73"/>
      <c r="K2151" s="73"/>
      <c r="L2151" s="73"/>
      <c r="M2151" s="73"/>
      <c r="N2151" s="73"/>
      <c r="O2151" s="73"/>
      <c r="P2151" s="73"/>
      <c r="Q2151" s="73"/>
      <c r="R2151" s="73"/>
      <c r="S2151" s="73"/>
      <c r="T2151" s="73"/>
      <c r="U2151" s="73"/>
      <c r="V2151" s="73"/>
      <c r="W2151" s="73"/>
      <c r="X2151" s="73"/>
      <c r="Y2151" s="73"/>
      <c r="Z2151" s="73"/>
      <c r="AA2151" s="73"/>
      <c r="AB2151" s="73"/>
    </row>
    <row r="2152">
      <c r="A2152" s="73"/>
      <c r="B2152" s="73">
        <v>665033.447</v>
      </c>
      <c r="C2152" s="73">
        <v>9.18466795287819E7</v>
      </c>
      <c r="D2152" s="73">
        <v>3.0513205148E7</v>
      </c>
      <c r="E2152" s="73">
        <v>4514917.61161567</v>
      </c>
      <c r="F2152" s="73"/>
      <c r="G2152" s="73"/>
      <c r="H2152" s="73"/>
      <c r="I2152" s="73"/>
      <c r="J2152" s="73"/>
      <c r="K2152" s="73"/>
      <c r="L2152" s="73"/>
      <c r="M2152" s="73"/>
      <c r="N2152" s="73"/>
      <c r="O2152" s="73"/>
      <c r="P2152" s="73"/>
      <c r="Q2152" s="73"/>
      <c r="R2152" s="73"/>
      <c r="S2152" s="73"/>
      <c r="T2152" s="73"/>
      <c r="U2152" s="73"/>
      <c r="V2152" s="73"/>
      <c r="W2152" s="73"/>
      <c r="X2152" s="73"/>
      <c r="Y2152" s="73"/>
      <c r="Z2152" s="73"/>
      <c r="AA2152" s="73"/>
      <c r="AB2152" s="73"/>
    </row>
    <row r="2153">
      <c r="A2153" s="73"/>
      <c r="B2153" s="73">
        <v>666110.9142</v>
      </c>
      <c r="C2153" s="73">
        <v>9.19629706455517E7</v>
      </c>
      <c r="D2153" s="73">
        <v>3.05653952640009E7</v>
      </c>
      <c r="E2153" s="73">
        <v>4521195.72150677</v>
      </c>
      <c r="F2153" s="73"/>
      <c r="G2153" s="73"/>
      <c r="H2153" s="73"/>
      <c r="I2153" s="73"/>
      <c r="J2153" s="73"/>
      <c r="K2153" s="73"/>
      <c r="L2153" s="73"/>
      <c r="M2153" s="73"/>
      <c r="N2153" s="73"/>
      <c r="O2153" s="73"/>
      <c r="P2153" s="73"/>
      <c r="Q2153" s="73"/>
      <c r="R2153" s="73"/>
      <c r="S2153" s="73"/>
      <c r="T2153" s="73"/>
      <c r="U2153" s="73"/>
      <c r="V2153" s="73"/>
      <c r="W2153" s="73"/>
      <c r="X2153" s="73"/>
      <c r="Y2153" s="73"/>
      <c r="Z2153" s="73"/>
      <c r="AA2153" s="73"/>
      <c r="AB2153" s="73"/>
    </row>
    <row r="2154">
      <c r="A2154" s="73"/>
      <c r="B2154" s="73">
        <v>667190.0174</v>
      </c>
      <c r="C2154" s="73">
        <v>9.20793441623192E7</v>
      </c>
      <c r="D2154" s="73">
        <v>3.06176423520018E7</v>
      </c>
      <c r="E2154" s="73">
        <v>4527479.86565954</v>
      </c>
      <c r="F2154" s="73"/>
      <c r="G2154" s="73"/>
      <c r="H2154" s="73"/>
      <c r="I2154" s="73"/>
      <c r="J2154" s="73"/>
      <c r="K2154" s="73"/>
      <c r="L2154" s="73"/>
      <c r="M2154" s="73"/>
      <c r="N2154" s="73"/>
      <c r="O2154" s="73"/>
      <c r="P2154" s="73"/>
      <c r="Q2154" s="73"/>
      <c r="R2154" s="73"/>
      <c r="S2154" s="73"/>
      <c r="T2154" s="73"/>
      <c r="U2154" s="73"/>
      <c r="V2154" s="73"/>
      <c r="W2154" s="73"/>
      <c r="X2154" s="73"/>
      <c r="Y2154" s="73"/>
      <c r="Z2154" s="73"/>
      <c r="AA2154" s="73"/>
      <c r="AB2154" s="73"/>
    </row>
    <row r="2155">
      <c r="A2155" s="73"/>
      <c r="B2155" s="73">
        <v>668270.7778</v>
      </c>
      <c r="C2155" s="73">
        <v>9.21958247990837E7</v>
      </c>
      <c r="D2155" s="73">
        <v>3.06699464039951E7</v>
      </c>
      <c r="E2155" s="73">
        <v>4533770.81755594</v>
      </c>
      <c r="F2155" s="73"/>
      <c r="G2155" s="73"/>
      <c r="H2155" s="73"/>
      <c r="I2155" s="73"/>
      <c r="J2155" s="73"/>
      <c r="K2155" s="73"/>
      <c r="L2155" s="73"/>
      <c r="M2155" s="73"/>
      <c r="N2155" s="73"/>
      <c r="O2155" s="73"/>
      <c r="P2155" s="73"/>
      <c r="Q2155" s="73"/>
      <c r="R2155" s="73"/>
      <c r="S2155" s="73"/>
      <c r="T2155" s="73"/>
      <c r="U2155" s="73"/>
      <c r="V2155" s="73"/>
      <c r="W2155" s="73"/>
      <c r="X2155" s="73"/>
      <c r="Y2155" s="73"/>
      <c r="Z2155" s="73"/>
      <c r="AA2155" s="73"/>
      <c r="AB2155" s="73"/>
    </row>
    <row r="2156">
      <c r="A2156" s="73"/>
      <c r="B2156" s="73">
        <v>669353.1301</v>
      </c>
      <c r="C2156" s="73">
        <v>9.23123960758457E7</v>
      </c>
      <c r="D2156" s="73">
        <v>3.0722307463996E7</v>
      </c>
      <c r="E2156" s="73">
        <v>4540068.37314599</v>
      </c>
      <c r="F2156" s="73"/>
      <c r="G2156" s="73"/>
      <c r="H2156" s="73"/>
      <c r="I2156" s="73"/>
      <c r="J2156" s="73"/>
      <c r="K2156" s="73"/>
      <c r="L2156" s="73"/>
      <c r="M2156" s="73"/>
      <c r="N2156" s="73"/>
      <c r="O2156" s="73"/>
      <c r="P2156" s="73"/>
      <c r="Q2156" s="73"/>
      <c r="R2156" s="73"/>
      <c r="S2156" s="73"/>
      <c r="T2156" s="73"/>
      <c r="U2156" s="73"/>
      <c r="V2156" s="73"/>
      <c r="W2156" s="73"/>
      <c r="X2156" s="73"/>
      <c r="Y2156" s="73"/>
      <c r="Z2156" s="73"/>
      <c r="AA2156" s="73"/>
      <c r="AB2156" s="73"/>
    </row>
    <row r="2157">
      <c r="A2157" s="73"/>
      <c r="B2157" s="73">
        <v>670437.1413</v>
      </c>
      <c r="C2157" s="73">
        <v>9.24290497526054E7</v>
      </c>
      <c r="D2157" s="73">
        <v>3.07747281279969E7</v>
      </c>
      <c r="E2157" s="73">
        <v>4546371.97889771</v>
      </c>
      <c r="F2157" s="73"/>
      <c r="G2157" s="73"/>
      <c r="H2157" s="73"/>
      <c r="I2157" s="73"/>
      <c r="J2157" s="73"/>
      <c r="K2157" s="73"/>
      <c r="L2157" s="73"/>
      <c r="M2157" s="73"/>
      <c r="N2157" s="73"/>
      <c r="O2157" s="73"/>
      <c r="P2157" s="73"/>
      <c r="Q2157" s="73"/>
      <c r="R2157" s="73"/>
      <c r="S2157" s="73"/>
      <c r="T2157" s="73"/>
      <c r="U2157" s="73"/>
      <c r="V2157" s="73"/>
      <c r="W2157" s="73"/>
      <c r="X2157" s="73"/>
      <c r="Y2157" s="73"/>
      <c r="Z2157" s="73"/>
      <c r="AA2157" s="73"/>
      <c r="AB2157" s="73"/>
    </row>
    <row r="2158">
      <c r="A2158" s="73"/>
      <c r="B2158" s="73">
        <v>671522.7515</v>
      </c>
      <c r="C2158" s="73">
        <v>9.25458105493622E7</v>
      </c>
      <c r="D2158" s="73">
        <v>3.08272056839979E7</v>
      </c>
      <c r="E2158" s="73">
        <v>4552682.63205905</v>
      </c>
      <c r="F2158" s="73"/>
      <c r="G2158" s="73"/>
      <c r="H2158" s="73"/>
      <c r="I2158" s="73"/>
      <c r="J2158" s="73"/>
      <c r="K2158" s="73"/>
      <c r="L2158" s="73"/>
      <c r="M2158" s="73"/>
      <c r="N2158" s="73"/>
      <c r="O2158" s="73"/>
      <c r="P2158" s="73"/>
      <c r="Q2158" s="73"/>
      <c r="R2158" s="73"/>
      <c r="S2158" s="73"/>
      <c r="T2158" s="73"/>
      <c r="U2158" s="73"/>
      <c r="V2158" s="73"/>
      <c r="W2158" s="73"/>
      <c r="X2158" s="73"/>
      <c r="Y2158" s="73"/>
      <c r="Z2158" s="73"/>
      <c r="AA2158" s="73"/>
      <c r="AB2158" s="73"/>
    </row>
    <row r="2159">
      <c r="A2159" s="73"/>
      <c r="B2159" s="73">
        <v>672610.0218</v>
      </c>
      <c r="C2159" s="73">
        <v>9.26626455061169E7</v>
      </c>
      <c r="D2159" s="73">
        <v>3.08797428799988E7</v>
      </c>
      <c r="E2159" s="73">
        <v>4558999.64924805</v>
      </c>
      <c r="F2159" s="73"/>
      <c r="G2159" s="73"/>
      <c r="H2159" s="73"/>
      <c r="I2159" s="73"/>
      <c r="J2159" s="73"/>
      <c r="K2159" s="73"/>
      <c r="L2159" s="73"/>
      <c r="M2159" s="73"/>
      <c r="N2159" s="73"/>
      <c r="O2159" s="73"/>
      <c r="P2159" s="73"/>
      <c r="Q2159" s="73"/>
      <c r="R2159" s="73"/>
      <c r="S2159" s="73"/>
      <c r="T2159" s="73"/>
      <c r="U2159" s="73"/>
      <c r="V2159" s="73"/>
      <c r="W2159" s="73"/>
      <c r="X2159" s="73"/>
      <c r="Y2159" s="73"/>
      <c r="Z2159" s="73"/>
      <c r="AA2159" s="73"/>
      <c r="AB2159" s="73"/>
    </row>
    <row r="2160">
      <c r="A2160" s="73"/>
      <c r="B2160" s="73">
        <v>673698.9275</v>
      </c>
      <c r="C2160" s="73">
        <v>9.27795875828686E7</v>
      </c>
      <c r="D2160" s="73">
        <v>3.09323370479997E7</v>
      </c>
      <c r="E2160" s="73">
        <v>4565323.0834647</v>
      </c>
      <c r="F2160" s="73"/>
      <c r="G2160" s="73"/>
      <c r="H2160" s="73"/>
      <c r="I2160" s="73"/>
      <c r="J2160" s="73"/>
      <c r="K2160" s="73"/>
      <c r="L2160" s="73"/>
      <c r="M2160" s="73"/>
      <c r="N2160" s="73"/>
      <c r="O2160" s="73"/>
      <c r="P2160" s="73"/>
      <c r="Q2160" s="73"/>
      <c r="R2160" s="73"/>
      <c r="S2160" s="73"/>
      <c r="T2160" s="73"/>
      <c r="U2160" s="73"/>
      <c r="V2160" s="73"/>
      <c r="W2160" s="73"/>
      <c r="X2160" s="73"/>
      <c r="Y2160" s="73"/>
      <c r="Z2160" s="73"/>
      <c r="AA2160" s="73"/>
      <c r="AB2160" s="73"/>
    </row>
    <row r="2161">
      <c r="A2161" s="73"/>
      <c r="B2161" s="73">
        <v>674789.4543</v>
      </c>
      <c r="C2161" s="73">
        <v>9.28966285396175E7</v>
      </c>
      <c r="D2161" s="73">
        <v>3.09849907400006E7</v>
      </c>
      <c r="E2161" s="73">
        <v>4571652.84725901</v>
      </c>
      <c r="F2161" s="73"/>
      <c r="G2161" s="73"/>
      <c r="H2161" s="73"/>
      <c r="I2161" s="73"/>
      <c r="J2161" s="73"/>
      <c r="K2161" s="73"/>
      <c r="L2161" s="73"/>
      <c r="M2161" s="73"/>
      <c r="N2161" s="73"/>
      <c r="O2161" s="73"/>
      <c r="P2161" s="73"/>
      <c r="Q2161" s="73"/>
      <c r="R2161" s="73"/>
      <c r="S2161" s="73"/>
      <c r="T2161" s="73"/>
      <c r="U2161" s="73"/>
      <c r="V2161" s="73"/>
      <c r="W2161" s="73"/>
      <c r="X2161" s="73"/>
      <c r="Y2161" s="73"/>
      <c r="Z2161" s="73"/>
      <c r="AA2161" s="73"/>
      <c r="AB2161" s="73"/>
    </row>
    <row r="2162">
      <c r="A2162" s="73"/>
      <c r="B2162" s="73">
        <v>675881.6234</v>
      </c>
      <c r="C2162" s="73">
        <v>9.30137436563644E7</v>
      </c>
      <c r="D2162" s="73">
        <v>3.10377014400015E7</v>
      </c>
      <c r="E2162" s="73">
        <v>4577989.36049696</v>
      </c>
      <c r="F2162" s="73"/>
      <c r="G2162" s="73"/>
      <c r="H2162" s="73"/>
      <c r="I2162" s="73"/>
      <c r="J2162" s="73"/>
      <c r="K2162" s="73"/>
      <c r="L2162" s="73"/>
      <c r="M2162" s="73"/>
      <c r="N2162" s="73"/>
      <c r="O2162" s="73"/>
      <c r="P2162" s="73"/>
      <c r="Q2162" s="73"/>
      <c r="R2162" s="73"/>
      <c r="S2162" s="73"/>
      <c r="T2162" s="73"/>
      <c r="U2162" s="73"/>
      <c r="V2162" s="73"/>
      <c r="W2162" s="73"/>
      <c r="X2162" s="73"/>
      <c r="Y2162" s="73"/>
      <c r="Z2162" s="73"/>
      <c r="AA2162" s="73"/>
      <c r="AB2162" s="73"/>
    </row>
    <row r="2163">
      <c r="A2163" s="73"/>
      <c r="B2163" s="73">
        <v>676975.4159</v>
      </c>
      <c r="C2163" s="73">
        <v>9.31309741331081E7</v>
      </c>
      <c r="D2163" s="73">
        <v>3.10904716279948E7</v>
      </c>
      <c r="E2163" s="73">
        <v>4584332.60462854</v>
      </c>
      <c r="F2163" s="73"/>
      <c r="G2163" s="73"/>
      <c r="H2163" s="73"/>
      <c r="I2163" s="73"/>
      <c r="J2163" s="73"/>
      <c r="K2163" s="73"/>
      <c r="L2163" s="73"/>
      <c r="M2163" s="73"/>
      <c r="N2163" s="73"/>
      <c r="O2163" s="73"/>
      <c r="P2163" s="73"/>
      <c r="Q2163" s="73"/>
      <c r="R2163" s="73"/>
      <c r="S2163" s="73"/>
      <c r="T2163" s="73"/>
      <c r="U2163" s="73"/>
      <c r="V2163" s="73"/>
      <c r="W2163" s="73"/>
      <c r="X2163" s="73"/>
      <c r="Y2163" s="73"/>
      <c r="Z2163" s="73"/>
      <c r="AA2163" s="73"/>
      <c r="AB2163" s="73"/>
    </row>
    <row r="2164">
      <c r="A2164" s="73"/>
      <c r="B2164" s="73">
        <v>678070.8711</v>
      </c>
      <c r="C2164" s="73">
        <v>9.32482870098495E7</v>
      </c>
      <c r="D2164" s="73">
        <v>3.11432988999957E7</v>
      </c>
      <c r="E2164" s="73">
        <v>4590682.23928777</v>
      </c>
      <c r="F2164" s="73"/>
      <c r="G2164" s="73"/>
      <c r="H2164" s="73"/>
      <c r="I2164" s="73"/>
      <c r="J2164" s="73"/>
      <c r="K2164" s="73"/>
      <c r="L2164" s="73"/>
      <c r="M2164" s="73"/>
      <c r="N2164" s="73"/>
      <c r="O2164" s="73"/>
      <c r="P2164" s="73"/>
      <c r="Q2164" s="73"/>
      <c r="R2164" s="73"/>
      <c r="S2164" s="73"/>
      <c r="T2164" s="73"/>
      <c r="U2164" s="73"/>
      <c r="V2164" s="73"/>
      <c r="W2164" s="73"/>
      <c r="X2164" s="73"/>
      <c r="Y2164" s="73"/>
      <c r="Z2164" s="73"/>
      <c r="AA2164" s="73"/>
      <c r="AB2164" s="73"/>
    </row>
    <row r="2165">
      <c r="A2165" s="73"/>
      <c r="B2165" s="73">
        <v>679167.9453</v>
      </c>
      <c r="C2165" s="73">
        <v>9.33656905265884E7</v>
      </c>
      <c r="D2165" s="73">
        <v>3.11961856239966E7</v>
      </c>
      <c r="E2165" s="73">
        <v>4597038.23797467</v>
      </c>
      <c r="F2165" s="73"/>
      <c r="G2165" s="73"/>
      <c r="H2165" s="73"/>
      <c r="I2165" s="73"/>
      <c r="J2165" s="73"/>
      <c r="K2165" s="73"/>
      <c r="L2165" s="73"/>
      <c r="M2165" s="73"/>
      <c r="N2165" s="73"/>
      <c r="O2165" s="73"/>
      <c r="P2165" s="73"/>
      <c r="Q2165" s="73"/>
      <c r="R2165" s="73"/>
      <c r="S2165" s="73"/>
      <c r="T2165" s="73"/>
      <c r="U2165" s="73"/>
      <c r="V2165" s="73"/>
      <c r="W2165" s="73"/>
      <c r="X2165" s="73"/>
      <c r="Y2165" s="73"/>
      <c r="Z2165" s="73"/>
      <c r="AA2165" s="73"/>
      <c r="AB2165" s="73"/>
    </row>
    <row r="2166">
      <c r="A2166" s="73"/>
      <c r="B2166" s="73">
        <v>680266.645</v>
      </c>
      <c r="C2166" s="73">
        <v>9.34831929233246E7</v>
      </c>
      <c r="D2166" s="73">
        <v>3.12491294679976E7</v>
      </c>
      <c r="E2166" s="73">
        <v>4603400.9675552</v>
      </c>
      <c r="F2166" s="73"/>
      <c r="G2166" s="73"/>
      <c r="H2166" s="73"/>
      <c r="I2166" s="73"/>
      <c r="J2166" s="73"/>
      <c r="K2166" s="73"/>
      <c r="L2166" s="73"/>
      <c r="M2166" s="73"/>
      <c r="N2166" s="73"/>
      <c r="O2166" s="73"/>
      <c r="P2166" s="73"/>
      <c r="Q2166" s="73"/>
      <c r="R2166" s="73"/>
      <c r="S2166" s="73"/>
      <c r="T2166" s="73"/>
      <c r="U2166" s="73"/>
      <c r="V2166" s="73"/>
      <c r="W2166" s="73"/>
      <c r="X2166" s="73"/>
      <c r="Y2166" s="73"/>
      <c r="Z2166" s="73"/>
      <c r="AA2166" s="73"/>
      <c r="AB2166" s="73"/>
    </row>
    <row r="2167">
      <c r="A2167" s="73"/>
      <c r="B2167" s="73">
        <v>681367.0108</v>
      </c>
      <c r="C2167" s="73">
        <v>9.36007859600582E7</v>
      </c>
      <c r="D2167" s="73">
        <v>3.13021327639985E7</v>
      </c>
      <c r="E2167" s="73">
        <v>4609770.09561338</v>
      </c>
      <c r="F2167" s="73"/>
      <c r="G2167" s="73"/>
      <c r="H2167" s="73"/>
      <c r="I2167" s="73"/>
      <c r="J2167" s="73"/>
      <c r="K2167" s="73"/>
      <c r="L2167" s="73"/>
      <c r="M2167" s="73"/>
      <c r="N2167" s="73"/>
      <c r="O2167" s="73"/>
      <c r="P2167" s="73"/>
      <c r="Q2167" s="73"/>
      <c r="R2167" s="73"/>
      <c r="S2167" s="73"/>
      <c r="T2167" s="73"/>
      <c r="U2167" s="73"/>
      <c r="V2167" s="73"/>
      <c r="W2167" s="73"/>
      <c r="X2167" s="73"/>
      <c r="Y2167" s="73"/>
      <c r="Z2167" s="73"/>
      <c r="AA2167" s="73"/>
      <c r="AB2167" s="73"/>
    </row>
    <row r="2168">
      <c r="A2168" s="73"/>
      <c r="B2168" s="73">
        <v>682469.002</v>
      </c>
      <c r="C2168" s="73">
        <v>9.37184778767891E7</v>
      </c>
      <c r="D2168" s="73">
        <v>3.13551930279994E7</v>
      </c>
      <c r="E2168" s="73">
        <v>4616145.9545652</v>
      </c>
      <c r="F2168" s="73"/>
      <c r="G2168" s="73"/>
      <c r="H2168" s="73"/>
      <c r="I2168" s="73"/>
      <c r="J2168" s="73"/>
      <c r="K2168" s="73"/>
      <c r="L2168" s="73"/>
      <c r="M2168" s="73"/>
      <c r="N2168" s="73"/>
      <c r="O2168" s="73"/>
      <c r="P2168" s="73"/>
      <c r="Q2168" s="73"/>
      <c r="R2168" s="73"/>
      <c r="S2168" s="73"/>
      <c r="T2168" s="73"/>
      <c r="U2168" s="73"/>
      <c r="V2168" s="73"/>
      <c r="W2168" s="73"/>
      <c r="X2168" s="73"/>
      <c r="Y2168" s="73"/>
      <c r="Z2168" s="73"/>
      <c r="AA2168" s="73"/>
      <c r="AB2168" s="73"/>
    </row>
    <row r="2169">
      <c r="A2169" s="73"/>
      <c r="B2169" s="73">
        <v>683572.6466</v>
      </c>
      <c r="C2169" s="73">
        <v>9.38362604335175E7</v>
      </c>
      <c r="D2169" s="73">
        <v>3.14083129320003E7</v>
      </c>
      <c r="E2169" s="73">
        <v>4622528.21199468</v>
      </c>
      <c r="F2169" s="73"/>
      <c r="G2169" s="73"/>
      <c r="H2169" s="73"/>
      <c r="I2169" s="73"/>
      <c r="J2169" s="73"/>
      <c r="K2169" s="73"/>
      <c r="L2169" s="73"/>
      <c r="M2169" s="73"/>
      <c r="N2169" s="73"/>
      <c r="O2169" s="73"/>
      <c r="P2169" s="73"/>
      <c r="Q2169" s="73"/>
      <c r="R2169" s="73"/>
      <c r="S2169" s="73"/>
      <c r="T2169" s="73"/>
      <c r="U2169" s="73"/>
      <c r="V2169" s="73"/>
      <c r="W2169" s="73"/>
      <c r="X2169" s="73"/>
      <c r="Y2169" s="73"/>
      <c r="Z2169" s="73"/>
      <c r="AA2169" s="73"/>
      <c r="AB2169" s="73"/>
    </row>
    <row r="2170">
      <c r="A2170" s="73"/>
      <c r="B2170" s="73">
        <v>684677.9277</v>
      </c>
      <c r="C2170" s="73">
        <v>9.39541253902435E7</v>
      </c>
      <c r="D2170" s="73">
        <v>3.14614923280012E7</v>
      </c>
      <c r="E2170" s="73">
        <v>4628917.18176779</v>
      </c>
      <c r="F2170" s="73"/>
      <c r="G2170" s="73"/>
      <c r="H2170" s="73"/>
      <c r="I2170" s="73"/>
      <c r="J2170" s="73"/>
      <c r="K2170" s="73"/>
      <c r="L2170" s="73"/>
      <c r="M2170" s="73"/>
      <c r="N2170" s="73"/>
      <c r="O2170" s="73"/>
      <c r="P2170" s="73"/>
      <c r="Q2170" s="73"/>
      <c r="R2170" s="73"/>
      <c r="S2170" s="73"/>
      <c r="T2170" s="73"/>
      <c r="U2170" s="73"/>
      <c r="V2170" s="73"/>
      <c r="W2170" s="73"/>
      <c r="X2170" s="73"/>
      <c r="Y2170" s="73"/>
      <c r="Z2170" s="73"/>
      <c r="AA2170" s="73"/>
      <c r="AB2170" s="73"/>
    </row>
    <row r="2171">
      <c r="A2171" s="73"/>
      <c r="B2171" s="73">
        <v>685784.8429</v>
      </c>
      <c r="C2171" s="73">
        <v>9.40720974669666E7</v>
      </c>
      <c r="D2171" s="73">
        <v>3.15147287679945E7</v>
      </c>
      <c r="E2171" s="73">
        <v>4635312.57651856</v>
      </c>
      <c r="F2171" s="73"/>
      <c r="G2171" s="73"/>
      <c r="H2171" s="73"/>
      <c r="I2171" s="73"/>
      <c r="J2171" s="73"/>
      <c r="K2171" s="73"/>
      <c r="L2171" s="73"/>
      <c r="M2171" s="73"/>
      <c r="N2171" s="73"/>
      <c r="O2171" s="73"/>
      <c r="P2171" s="73"/>
      <c r="Q2171" s="73"/>
      <c r="R2171" s="73"/>
      <c r="S2171" s="73"/>
      <c r="T2171" s="73"/>
      <c r="U2171" s="73"/>
      <c r="V2171" s="73"/>
      <c r="W2171" s="73"/>
      <c r="X2171" s="73"/>
      <c r="Y2171" s="73"/>
      <c r="Z2171" s="73"/>
      <c r="AA2171" s="73"/>
      <c r="AB2171" s="73"/>
    </row>
    <row r="2172">
      <c r="A2172" s="73"/>
      <c r="B2172" s="73">
        <v>686893.4075</v>
      </c>
      <c r="C2172" s="73">
        <v>9.4190168423687E7</v>
      </c>
      <c r="D2172" s="73">
        <v>3.15680246599954E7</v>
      </c>
      <c r="E2172" s="73">
        <v>4641714.68361296</v>
      </c>
      <c r="F2172" s="73"/>
      <c r="G2172" s="73"/>
      <c r="H2172" s="73"/>
      <c r="I2172" s="73"/>
      <c r="J2172" s="73"/>
      <c r="K2172" s="73"/>
      <c r="L2172" s="73"/>
      <c r="M2172" s="73"/>
      <c r="N2172" s="73"/>
      <c r="O2172" s="73"/>
      <c r="P2172" s="73"/>
      <c r="Q2172" s="73"/>
      <c r="R2172" s="73"/>
      <c r="S2172" s="73"/>
      <c r="T2172" s="73"/>
      <c r="U2172" s="73"/>
      <c r="V2172" s="73"/>
      <c r="W2172" s="73"/>
      <c r="X2172" s="73"/>
      <c r="Y2172" s="73"/>
      <c r="Z2172" s="73"/>
      <c r="AA2172" s="73"/>
      <c r="AB2172" s="73"/>
    </row>
    <row r="2173">
      <c r="A2173" s="73"/>
      <c r="B2173" s="73">
        <v>688003.6222</v>
      </c>
      <c r="C2173" s="73">
        <v>9.43083135404053E7</v>
      </c>
      <c r="D2173" s="73">
        <v>3.16213776319963E7</v>
      </c>
      <c r="E2173" s="73">
        <v>4648123.19713502</v>
      </c>
      <c r="F2173" s="73"/>
      <c r="G2173" s="73"/>
      <c r="H2173" s="73"/>
      <c r="I2173" s="73"/>
      <c r="J2173" s="73"/>
      <c r="K2173" s="73"/>
      <c r="L2173" s="73"/>
      <c r="M2173" s="73"/>
      <c r="N2173" s="73"/>
      <c r="O2173" s="73"/>
      <c r="P2173" s="73"/>
      <c r="Q2173" s="73"/>
      <c r="R2173" s="73"/>
      <c r="S2173" s="73"/>
      <c r="T2173" s="73"/>
      <c r="U2173" s="73"/>
      <c r="V2173" s="73"/>
      <c r="W2173" s="73"/>
      <c r="X2173" s="73"/>
      <c r="Y2173" s="73"/>
      <c r="Z2173" s="73"/>
      <c r="AA2173" s="73"/>
      <c r="AB2173" s="73"/>
    </row>
    <row r="2174">
      <c r="A2174" s="73"/>
      <c r="B2174" s="73">
        <v>689115.4613</v>
      </c>
      <c r="C2174" s="73">
        <v>9.44265740171204E7</v>
      </c>
      <c r="D2174" s="73">
        <v>3.16747901719973E7</v>
      </c>
      <c r="E2174" s="73">
        <v>4654538.10913473</v>
      </c>
      <c r="F2174" s="73"/>
      <c r="G2174" s="73"/>
      <c r="H2174" s="73"/>
      <c r="I2174" s="73"/>
      <c r="J2174" s="73"/>
      <c r="K2174" s="73"/>
      <c r="L2174" s="73"/>
      <c r="M2174" s="73"/>
      <c r="N2174" s="73"/>
      <c r="O2174" s="73"/>
      <c r="P2174" s="73"/>
      <c r="Q2174" s="73"/>
      <c r="R2174" s="73"/>
      <c r="S2174" s="73"/>
      <c r="T2174" s="73"/>
      <c r="U2174" s="73"/>
      <c r="V2174" s="73"/>
      <c r="W2174" s="73"/>
      <c r="X2174" s="73"/>
      <c r="Y2174" s="73"/>
      <c r="Z2174" s="73"/>
      <c r="AA2174" s="73"/>
      <c r="AB2174" s="73"/>
    </row>
    <row r="2175">
      <c r="A2175" s="73"/>
      <c r="B2175" s="73">
        <v>690228.9777</v>
      </c>
      <c r="C2175" s="73">
        <v>9.45449086538334E7</v>
      </c>
      <c r="D2175" s="73">
        <v>3.17282622399982E7</v>
      </c>
      <c r="E2175" s="73">
        <v>4660959.70962809</v>
      </c>
      <c r="F2175" s="73"/>
      <c r="G2175" s="73"/>
      <c r="H2175" s="73"/>
      <c r="I2175" s="73"/>
      <c r="J2175" s="73"/>
      <c r="K2175" s="73"/>
      <c r="L2175" s="73"/>
      <c r="M2175" s="73"/>
      <c r="N2175" s="73"/>
      <c r="O2175" s="73"/>
      <c r="P2175" s="73"/>
      <c r="Q2175" s="73"/>
      <c r="R2175" s="73"/>
      <c r="S2175" s="73"/>
      <c r="T2175" s="73"/>
      <c r="U2175" s="73"/>
      <c r="V2175" s="73"/>
      <c r="W2175" s="73"/>
      <c r="X2175" s="73"/>
      <c r="Y2175" s="73"/>
      <c r="Z2175" s="73"/>
      <c r="AA2175" s="73"/>
      <c r="AB2175" s="73"/>
    </row>
    <row r="2176">
      <c r="A2176" s="73"/>
      <c r="B2176" s="73">
        <v>691344.1265</v>
      </c>
      <c r="C2176" s="73">
        <v>9.46633504105434E7</v>
      </c>
      <c r="D2176" s="73">
        <v>3.17817887159991E7</v>
      </c>
      <c r="E2176" s="73">
        <v>4667388.11521507</v>
      </c>
      <c r="F2176" s="73"/>
      <c r="G2176" s="73"/>
      <c r="H2176" s="73"/>
      <c r="I2176" s="73"/>
      <c r="J2176" s="73"/>
      <c r="K2176" s="73"/>
      <c r="L2176" s="73"/>
      <c r="M2176" s="73"/>
      <c r="N2176" s="73"/>
      <c r="O2176" s="73"/>
      <c r="P2176" s="73"/>
      <c r="Q2176" s="73"/>
      <c r="R2176" s="73"/>
      <c r="S2176" s="73"/>
      <c r="T2176" s="73"/>
      <c r="U2176" s="73"/>
      <c r="V2176" s="73"/>
      <c r="W2176" s="73"/>
      <c r="X2176" s="73"/>
      <c r="Y2176" s="73"/>
      <c r="Z2176" s="73"/>
      <c r="AA2176" s="73"/>
      <c r="AB2176" s="73"/>
    </row>
    <row r="2177">
      <c r="A2177" s="73"/>
      <c r="B2177" s="73">
        <v>692460.9214</v>
      </c>
      <c r="C2177" s="73">
        <v>9.47818910472507E7</v>
      </c>
      <c r="D2177" s="73">
        <v>3.183537728E7</v>
      </c>
      <c r="E2177" s="73">
        <v>4673822.89277971</v>
      </c>
      <c r="F2177" s="73"/>
      <c r="G2177" s="73"/>
      <c r="H2177" s="73"/>
      <c r="I2177" s="73"/>
      <c r="J2177" s="73"/>
      <c r="K2177" s="73"/>
      <c r="L2177" s="73"/>
      <c r="M2177" s="73"/>
      <c r="N2177" s="73"/>
      <c r="O2177" s="73"/>
      <c r="P2177" s="73"/>
      <c r="Q2177" s="73"/>
      <c r="R2177" s="73"/>
      <c r="S2177" s="73"/>
      <c r="T2177" s="73"/>
      <c r="U2177" s="73"/>
      <c r="V2177" s="73"/>
      <c r="W2177" s="73"/>
      <c r="X2177" s="73"/>
      <c r="Y2177" s="73"/>
      <c r="Z2177" s="73"/>
      <c r="AA2177" s="73"/>
      <c r="AB2177" s="73"/>
    </row>
    <row r="2178">
      <c r="A2178" s="73"/>
      <c r="B2178" s="73">
        <v>693579.3559</v>
      </c>
      <c r="C2178" s="73">
        <v>9.49004976039562E7</v>
      </c>
      <c r="D2178" s="73">
        <v>3.18890254480009E7</v>
      </c>
      <c r="E2178" s="73">
        <v>4680264.03437201</v>
      </c>
      <c r="F2178" s="73"/>
      <c r="G2178" s="73"/>
      <c r="H2178" s="73"/>
      <c r="I2178" s="73"/>
      <c r="J2178" s="73"/>
      <c r="K2178" s="73"/>
      <c r="L2178" s="73"/>
      <c r="M2178" s="73"/>
      <c r="N2178" s="73"/>
      <c r="O2178" s="73"/>
      <c r="P2178" s="73"/>
      <c r="Q2178" s="73"/>
      <c r="R2178" s="73"/>
      <c r="S2178" s="73"/>
      <c r="T2178" s="73"/>
      <c r="U2178" s="73"/>
      <c r="V2178" s="73"/>
      <c r="W2178" s="73"/>
      <c r="X2178" s="73"/>
      <c r="Y2178" s="73"/>
      <c r="Z2178" s="73"/>
      <c r="AA2178" s="73"/>
      <c r="AB2178" s="73"/>
    </row>
    <row r="2179">
      <c r="A2179" s="73"/>
      <c r="B2179" s="73">
        <v>694699.4436</v>
      </c>
      <c r="C2179" s="73">
        <v>9.50192195206585E7</v>
      </c>
      <c r="D2179" s="73">
        <v>3.19427305440018E7</v>
      </c>
      <c r="E2179" s="73">
        <v>4686711.99960794</v>
      </c>
      <c r="F2179" s="73"/>
      <c r="G2179" s="73"/>
      <c r="H2179" s="73"/>
      <c r="I2179" s="73"/>
      <c r="J2179" s="73"/>
      <c r="K2179" s="73"/>
      <c r="L2179" s="73"/>
      <c r="M2179" s="73"/>
      <c r="N2179" s="73"/>
      <c r="O2179" s="73"/>
      <c r="P2179" s="73"/>
      <c r="Q2179" s="73"/>
      <c r="R2179" s="73"/>
      <c r="S2179" s="73"/>
      <c r="T2179" s="73"/>
      <c r="U2179" s="73"/>
      <c r="V2179" s="73"/>
      <c r="W2179" s="73"/>
      <c r="X2179" s="73"/>
      <c r="Y2179" s="73"/>
      <c r="Z2179" s="73"/>
      <c r="AA2179" s="73"/>
      <c r="AB2179" s="73"/>
    </row>
    <row r="2180">
      <c r="A2180" s="73"/>
      <c r="B2180" s="73">
        <v>695821.2069</v>
      </c>
      <c r="C2180" s="73">
        <v>9.51380320773582E7</v>
      </c>
      <c r="D2180" s="73">
        <v>3.19964952839951E7</v>
      </c>
      <c r="E2180" s="73">
        <v>4693166.7195875</v>
      </c>
      <c r="F2180" s="73"/>
      <c r="G2180" s="73"/>
      <c r="H2180" s="73"/>
      <c r="I2180" s="73"/>
      <c r="J2180" s="73"/>
      <c r="K2180" s="73"/>
      <c r="L2180" s="73"/>
      <c r="M2180" s="73"/>
      <c r="N2180" s="73"/>
      <c r="O2180" s="73"/>
      <c r="P2180" s="73"/>
      <c r="Q2180" s="73"/>
      <c r="R2180" s="73"/>
      <c r="S2180" s="73"/>
      <c r="T2180" s="73"/>
      <c r="U2180" s="73"/>
      <c r="V2180" s="73"/>
      <c r="W2180" s="73"/>
      <c r="X2180" s="73"/>
      <c r="Y2180" s="73"/>
      <c r="Z2180" s="73"/>
      <c r="AA2180" s="73"/>
      <c r="AB2180" s="73"/>
    </row>
    <row r="2181">
      <c r="A2181" s="73"/>
      <c r="B2181" s="73">
        <v>696944.585</v>
      </c>
      <c r="C2181" s="73">
        <v>9.52569435140553E7</v>
      </c>
      <c r="D2181" s="73">
        <v>3.2050319475996E7</v>
      </c>
      <c r="E2181" s="73">
        <v>4699627.84599472</v>
      </c>
      <c r="F2181" s="73"/>
      <c r="G2181" s="73"/>
      <c r="H2181" s="73"/>
      <c r="I2181" s="73"/>
      <c r="J2181" s="73"/>
      <c r="K2181" s="73"/>
      <c r="L2181" s="73"/>
      <c r="M2181" s="73"/>
      <c r="N2181" s="73"/>
      <c r="O2181" s="73"/>
      <c r="P2181" s="73"/>
      <c r="Q2181" s="73"/>
      <c r="R2181" s="73"/>
      <c r="S2181" s="73"/>
      <c r="T2181" s="73"/>
      <c r="U2181" s="73"/>
      <c r="V2181" s="73"/>
      <c r="W2181" s="73"/>
      <c r="X2181" s="73"/>
      <c r="Y2181" s="73"/>
      <c r="Z2181" s="73"/>
      <c r="AA2181" s="73"/>
      <c r="AB2181" s="73"/>
    </row>
    <row r="2182">
      <c r="A2182" s="73"/>
      <c r="B2182" s="73">
        <v>698069.6394</v>
      </c>
      <c r="C2182" s="73">
        <v>9.53759455907497E7</v>
      </c>
      <c r="D2182" s="73">
        <v>3.21042007479969E7</v>
      </c>
      <c r="E2182" s="73">
        <v>4706095.36822959</v>
      </c>
      <c r="F2182" s="73"/>
      <c r="G2182" s="73"/>
      <c r="H2182" s="73"/>
      <c r="I2182" s="73"/>
      <c r="J2182" s="73"/>
      <c r="K2182" s="73"/>
      <c r="L2182" s="73"/>
      <c r="M2182" s="73"/>
      <c r="N2182" s="73"/>
      <c r="O2182" s="73"/>
      <c r="P2182" s="73"/>
      <c r="Q2182" s="73"/>
      <c r="R2182" s="73"/>
      <c r="S2182" s="73"/>
      <c r="T2182" s="73"/>
      <c r="U2182" s="73"/>
      <c r="V2182" s="73"/>
      <c r="W2182" s="73"/>
      <c r="X2182" s="73"/>
      <c r="Y2182" s="73"/>
      <c r="Z2182" s="73"/>
      <c r="AA2182" s="73"/>
      <c r="AB2182" s="73"/>
    </row>
    <row r="2183">
      <c r="A2183" s="73"/>
      <c r="B2183" s="73">
        <v>699196.3301</v>
      </c>
      <c r="C2183" s="73">
        <v>9.54950300674419E7</v>
      </c>
      <c r="D2183" s="73">
        <v>3.21581415519979E7</v>
      </c>
      <c r="E2183" s="73">
        <v>4712569.57895811</v>
      </c>
      <c r="F2183" s="73"/>
      <c r="G2183" s="73"/>
      <c r="H2183" s="73"/>
      <c r="I2183" s="73"/>
      <c r="J2183" s="73"/>
      <c r="K2183" s="73"/>
      <c r="L2183" s="73"/>
      <c r="M2183" s="73"/>
      <c r="N2183" s="73"/>
      <c r="O2183" s="73"/>
      <c r="P2183" s="73"/>
      <c r="Q2183" s="73"/>
      <c r="R2183" s="73"/>
      <c r="S2183" s="73"/>
      <c r="T2183" s="73"/>
      <c r="U2183" s="73"/>
      <c r="V2183" s="73"/>
      <c r="W2183" s="73"/>
      <c r="X2183" s="73"/>
      <c r="Y2183" s="73"/>
      <c r="Z2183" s="73"/>
      <c r="AA2183" s="73"/>
      <c r="AB2183" s="73"/>
    </row>
    <row r="2184">
      <c r="A2184" s="73"/>
      <c r="B2184" s="73">
        <v>700324.678</v>
      </c>
      <c r="C2184" s="73">
        <v>9.56142216641312E7</v>
      </c>
      <c r="D2184" s="73">
        <v>3.22121418439988E7</v>
      </c>
      <c r="E2184" s="73">
        <v>4719050.29681426</v>
      </c>
      <c r="F2184" s="73"/>
      <c r="G2184" s="73"/>
      <c r="H2184" s="73"/>
      <c r="I2184" s="73"/>
      <c r="J2184" s="73"/>
      <c r="K2184" s="73"/>
      <c r="L2184" s="73"/>
      <c r="M2184" s="73"/>
      <c r="N2184" s="73"/>
      <c r="O2184" s="73"/>
      <c r="P2184" s="73"/>
      <c r="Q2184" s="73"/>
      <c r="R2184" s="73"/>
      <c r="S2184" s="73"/>
      <c r="T2184" s="73"/>
      <c r="U2184" s="73"/>
      <c r="V2184" s="73"/>
      <c r="W2184" s="73"/>
      <c r="X2184" s="73"/>
      <c r="Y2184" s="73"/>
      <c r="Z2184" s="73"/>
      <c r="AA2184" s="73"/>
      <c r="AB2184" s="73"/>
    </row>
    <row r="2185">
      <c r="A2185" s="73"/>
      <c r="B2185" s="73">
        <v>701454.6894</v>
      </c>
      <c r="C2185" s="73">
        <v>9.57335039008179E7</v>
      </c>
      <c r="D2185" s="73">
        <v>3.22661992159997E7</v>
      </c>
      <c r="E2185" s="73">
        <v>4725537.65811407</v>
      </c>
      <c r="F2185" s="73"/>
      <c r="G2185" s="73"/>
      <c r="H2185" s="73"/>
      <c r="I2185" s="73"/>
      <c r="J2185" s="73"/>
      <c r="K2185" s="73"/>
      <c r="L2185" s="73"/>
      <c r="M2185" s="73"/>
      <c r="N2185" s="73"/>
      <c r="O2185" s="73"/>
      <c r="P2185" s="73"/>
      <c r="Q2185" s="73"/>
      <c r="R2185" s="73"/>
      <c r="S2185" s="73"/>
      <c r="T2185" s="73"/>
      <c r="U2185" s="73"/>
      <c r="V2185" s="73"/>
      <c r="W2185" s="73"/>
      <c r="X2185" s="73"/>
      <c r="Y2185" s="73"/>
      <c r="Z2185" s="73"/>
      <c r="AA2185" s="73"/>
      <c r="AB2185" s="73"/>
    </row>
    <row r="2186">
      <c r="A2186" s="73"/>
      <c r="B2186" s="73">
        <v>702586.3339</v>
      </c>
      <c r="C2186" s="73">
        <v>9.58528767775021E7</v>
      </c>
      <c r="D2186" s="73">
        <v>3.23203186800006E7</v>
      </c>
      <c r="E2186" s="73">
        <v>4732031.55304152</v>
      </c>
      <c r="F2186" s="73"/>
      <c r="G2186" s="73"/>
      <c r="H2186" s="73"/>
      <c r="I2186" s="73"/>
      <c r="J2186" s="73"/>
      <c r="K2186" s="73"/>
      <c r="L2186" s="73"/>
      <c r="M2186" s="73"/>
      <c r="N2186" s="73"/>
      <c r="O2186" s="73"/>
      <c r="P2186" s="73"/>
      <c r="Q2186" s="73"/>
      <c r="R2186" s="73"/>
      <c r="S2186" s="73"/>
      <c r="T2186" s="73"/>
      <c r="U2186" s="73"/>
      <c r="V2186" s="73"/>
      <c r="W2186" s="73"/>
      <c r="X2186" s="73"/>
      <c r="Y2186" s="73"/>
      <c r="Z2186" s="73"/>
      <c r="AA2186" s="73"/>
      <c r="AB2186" s="73"/>
    </row>
    <row r="2187">
      <c r="A2187" s="73"/>
      <c r="B2187" s="73">
        <v>703719.6427</v>
      </c>
      <c r="C2187" s="73">
        <v>9.59723567741833E7</v>
      </c>
      <c r="D2187" s="73">
        <v>3.23744950720015E7</v>
      </c>
      <c r="E2187" s="73">
        <v>4738532.2027126</v>
      </c>
      <c r="F2187" s="73"/>
      <c r="G2187" s="73"/>
      <c r="H2187" s="73"/>
      <c r="I2187" s="73"/>
      <c r="J2187" s="73"/>
      <c r="K2187" s="73"/>
      <c r="L2187" s="73"/>
      <c r="M2187" s="73"/>
      <c r="N2187" s="73"/>
      <c r="O2187" s="73"/>
      <c r="P2187" s="73"/>
      <c r="Q2187" s="73"/>
      <c r="R2187" s="73"/>
      <c r="S2187" s="73"/>
      <c r="T2187" s="73"/>
      <c r="U2187" s="73"/>
      <c r="V2187" s="73"/>
      <c r="W2187" s="73"/>
      <c r="X2187" s="73"/>
      <c r="Y2187" s="73"/>
      <c r="Z2187" s="73"/>
      <c r="AA2187" s="73"/>
      <c r="AB2187" s="73"/>
    </row>
    <row r="2188">
      <c r="A2188" s="73"/>
      <c r="B2188" s="73">
        <v>704854.6117</v>
      </c>
      <c r="C2188" s="73">
        <v>9.60919191708622E7</v>
      </c>
      <c r="D2188" s="73">
        <v>3.24287310679948E7</v>
      </c>
      <c r="E2188" s="73">
        <v>4745039.58062732</v>
      </c>
      <c r="F2188" s="73"/>
      <c r="G2188" s="73"/>
      <c r="H2188" s="73"/>
      <c r="I2188" s="73"/>
      <c r="J2188" s="73"/>
      <c r="K2188" s="73"/>
      <c r="L2188" s="73"/>
      <c r="M2188" s="73"/>
      <c r="N2188" s="73"/>
      <c r="O2188" s="73"/>
      <c r="P2188" s="73"/>
      <c r="Q2188" s="73"/>
      <c r="R2188" s="73"/>
      <c r="S2188" s="73"/>
      <c r="T2188" s="73"/>
      <c r="U2188" s="73"/>
      <c r="V2188" s="73"/>
      <c r="W2188" s="73"/>
      <c r="X2188" s="73"/>
      <c r="Y2188" s="73"/>
      <c r="Z2188" s="73"/>
      <c r="AA2188" s="73"/>
      <c r="AB2188" s="73"/>
    </row>
    <row r="2189">
      <c r="A2189" s="73"/>
      <c r="B2189" s="73">
        <v>705991.241</v>
      </c>
      <c r="C2189" s="73">
        <v>9.62115722075386E7</v>
      </c>
      <c r="D2189" s="73">
        <v>3.24830240679957E7</v>
      </c>
      <c r="E2189" s="73">
        <v>4751553.44181969</v>
      </c>
      <c r="F2189" s="73"/>
      <c r="G2189" s="73"/>
      <c r="H2189" s="73"/>
      <c r="I2189" s="73"/>
      <c r="J2189" s="73"/>
      <c r="K2189" s="73"/>
      <c r="L2189" s="73"/>
      <c r="M2189" s="73"/>
      <c r="N2189" s="73"/>
      <c r="O2189" s="73"/>
      <c r="P2189" s="73"/>
      <c r="Q2189" s="73"/>
      <c r="R2189" s="73"/>
      <c r="S2189" s="73"/>
      <c r="T2189" s="73"/>
      <c r="U2189" s="73"/>
      <c r="V2189" s="73"/>
      <c r="W2189" s="73"/>
      <c r="X2189" s="73"/>
      <c r="Y2189" s="73"/>
      <c r="Z2189" s="73"/>
      <c r="AA2189" s="73"/>
      <c r="AB2189" s="73"/>
    </row>
    <row r="2190">
      <c r="A2190" s="73"/>
      <c r="B2190" s="73">
        <v>707129.5121</v>
      </c>
      <c r="C2190" s="73">
        <v>9.63313241242123E7</v>
      </c>
      <c r="D2190" s="73">
        <v>3.25373791959966E7</v>
      </c>
      <c r="E2190" s="73">
        <v>4758073.59548973</v>
      </c>
      <c r="F2190" s="73"/>
      <c r="G2190" s="73"/>
      <c r="H2190" s="73"/>
      <c r="I2190" s="73"/>
      <c r="J2190" s="73"/>
      <c r="K2190" s="73"/>
      <c r="L2190" s="73"/>
      <c r="M2190" s="73"/>
      <c r="N2190" s="73"/>
      <c r="O2190" s="73"/>
      <c r="P2190" s="73"/>
      <c r="Q2190" s="73"/>
      <c r="R2190" s="73"/>
      <c r="S2190" s="73"/>
      <c r="T2190" s="73"/>
      <c r="U2190" s="73"/>
      <c r="V2190" s="73"/>
      <c r="W2190" s="73"/>
      <c r="X2190" s="73"/>
      <c r="Y2190" s="73"/>
      <c r="Z2190" s="73"/>
      <c r="AA2190" s="73"/>
      <c r="AB2190" s="73"/>
    </row>
    <row r="2191">
      <c r="A2191" s="73"/>
      <c r="B2191" s="73">
        <v>708269.4698</v>
      </c>
      <c r="C2191" s="73">
        <v>9.6451183160883E7</v>
      </c>
      <c r="D2191" s="73">
        <v>3.25917912919976E7</v>
      </c>
      <c r="E2191" s="73">
        <v>4764600.61520339</v>
      </c>
      <c r="F2191" s="73"/>
      <c r="G2191" s="73"/>
      <c r="H2191" s="73"/>
      <c r="I2191" s="73"/>
      <c r="J2191" s="73"/>
      <c r="K2191" s="73"/>
      <c r="L2191" s="73"/>
      <c r="M2191" s="73"/>
      <c r="N2191" s="73"/>
      <c r="O2191" s="73"/>
      <c r="P2191" s="73"/>
      <c r="Q2191" s="73"/>
      <c r="R2191" s="73"/>
      <c r="S2191" s="73"/>
      <c r="T2191" s="73"/>
      <c r="U2191" s="73"/>
      <c r="V2191" s="73"/>
      <c r="W2191" s="73"/>
      <c r="X2191" s="73"/>
      <c r="Y2191" s="73"/>
      <c r="Z2191" s="73"/>
      <c r="AA2191" s="73"/>
      <c r="AB2191" s="73"/>
    </row>
    <row r="2192">
      <c r="A2192" s="73"/>
      <c r="B2192" s="73">
        <v>709411.0694</v>
      </c>
      <c r="C2192" s="73">
        <v>9.65711163575516E7</v>
      </c>
      <c r="D2192" s="73">
        <v>3.26462654759985E7</v>
      </c>
      <c r="E2192" s="73">
        <v>4771134.31281069</v>
      </c>
      <c r="F2192" s="73"/>
      <c r="G2192" s="73"/>
      <c r="H2192" s="73"/>
      <c r="I2192" s="73"/>
      <c r="J2192" s="73"/>
      <c r="K2192" s="73"/>
      <c r="L2192" s="73"/>
      <c r="M2192" s="73"/>
      <c r="N2192" s="73"/>
      <c r="O2192" s="73"/>
      <c r="P2192" s="73"/>
      <c r="Q2192" s="73"/>
      <c r="R2192" s="73"/>
      <c r="S2192" s="73"/>
      <c r="T2192" s="73"/>
      <c r="U2192" s="73"/>
      <c r="V2192" s="73"/>
      <c r="W2192" s="73"/>
      <c r="X2192" s="73"/>
      <c r="Y2192" s="73"/>
      <c r="Z2192" s="73"/>
      <c r="AA2192" s="73"/>
      <c r="AB2192" s="73"/>
    </row>
    <row r="2193">
      <c r="A2193" s="73"/>
      <c r="B2193" s="73">
        <v>710554.3131</v>
      </c>
      <c r="C2193" s="73">
        <v>9.66911566742172E7</v>
      </c>
      <c r="D2193" s="73">
        <v>3.27007967039994E7</v>
      </c>
      <c r="E2193" s="73">
        <v>4777674.20102966</v>
      </c>
      <c r="F2193" s="73"/>
      <c r="G2193" s="73"/>
      <c r="H2193" s="73"/>
      <c r="I2193" s="73"/>
      <c r="J2193" s="73"/>
      <c r="K2193" s="73"/>
      <c r="L2193" s="73"/>
      <c r="M2193" s="73"/>
      <c r="N2193" s="73"/>
      <c r="O2193" s="73"/>
      <c r="P2193" s="73"/>
      <c r="Q2193" s="73"/>
      <c r="R2193" s="73"/>
      <c r="S2193" s="73"/>
      <c r="T2193" s="73"/>
      <c r="U2193" s="73"/>
      <c r="V2193" s="73"/>
      <c r="W2193" s="73"/>
      <c r="X2193" s="73"/>
      <c r="Y2193" s="73"/>
      <c r="Z2193" s="73"/>
      <c r="AA2193" s="73"/>
      <c r="AB2193" s="73"/>
    </row>
    <row r="2194">
      <c r="A2194" s="73"/>
      <c r="B2194" s="73">
        <v>711699.2402</v>
      </c>
      <c r="C2194" s="73">
        <v>9.68112711508808E7</v>
      </c>
      <c r="D2194" s="73">
        <v>3.27553848600003E7</v>
      </c>
      <c r="E2194" s="73">
        <v>4784221.20290824</v>
      </c>
      <c r="F2194" s="73"/>
      <c r="G2194" s="73"/>
      <c r="H2194" s="73"/>
      <c r="I2194" s="73"/>
      <c r="J2194" s="73"/>
      <c r="K2194" s="73"/>
      <c r="L2194" s="73"/>
      <c r="M2194" s="73"/>
      <c r="N2194" s="73"/>
      <c r="O2194" s="73"/>
      <c r="P2194" s="73"/>
      <c r="Q2194" s="73"/>
      <c r="R2194" s="73"/>
      <c r="S2194" s="73"/>
      <c r="T2194" s="73"/>
      <c r="U2194" s="73"/>
      <c r="V2194" s="73"/>
      <c r="W2194" s="73"/>
      <c r="X2194" s="73"/>
      <c r="Y2194" s="73"/>
      <c r="Z2194" s="73"/>
      <c r="AA2194" s="73"/>
      <c r="AB2194" s="73"/>
    </row>
    <row r="2195">
      <c r="A2195" s="73"/>
      <c r="B2195" s="73">
        <v>712845.8171</v>
      </c>
      <c r="C2195" s="73">
        <v>9.69315009875412E7</v>
      </c>
      <c r="D2195" s="73">
        <v>3.28100351440012E7</v>
      </c>
      <c r="E2195" s="73">
        <v>4790774.59001448</v>
      </c>
      <c r="F2195" s="73"/>
      <c r="G2195" s="73"/>
      <c r="H2195" s="73"/>
      <c r="I2195" s="73"/>
      <c r="J2195" s="73"/>
      <c r="K2195" s="73"/>
      <c r="L2195" s="73"/>
      <c r="M2195" s="73"/>
      <c r="N2195" s="73"/>
      <c r="O2195" s="73"/>
      <c r="P2195" s="73"/>
      <c r="Q2195" s="73"/>
      <c r="R2195" s="73"/>
      <c r="S2195" s="73"/>
      <c r="T2195" s="73"/>
      <c r="U2195" s="73"/>
      <c r="V2195" s="73"/>
      <c r="W2195" s="73"/>
      <c r="X2195" s="73"/>
      <c r="Y2195" s="73"/>
      <c r="Z2195" s="73"/>
      <c r="AA2195" s="73"/>
      <c r="AB2195" s="73"/>
    </row>
    <row r="2196">
      <c r="A2196" s="73"/>
      <c r="B2196" s="73">
        <v>713994.0525</v>
      </c>
      <c r="C2196" s="73">
        <v>9.70518214641991E7</v>
      </c>
      <c r="D2196" s="73">
        <v>3.28647424719945E7</v>
      </c>
      <c r="E2196" s="73">
        <v>4797334.46834836</v>
      </c>
      <c r="F2196" s="73"/>
      <c r="G2196" s="73"/>
      <c r="H2196" s="73"/>
      <c r="I2196" s="73"/>
      <c r="J2196" s="73"/>
      <c r="K2196" s="73"/>
      <c r="L2196" s="73"/>
      <c r="M2196" s="73"/>
      <c r="N2196" s="73"/>
      <c r="O2196" s="73"/>
      <c r="P2196" s="73"/>
      <c r="Q2196" s="73"/>
      <c r="R2196" s="73"/>
      <c r="S2196" s="73"/>
      <c r="T2196" s="73"/>
      <c r="U2196" s="73"/>
      <c r="V2196" s="73"/>
      <c r="W2196" s="73"/>
      <c r="X2196" s="73"/>
      <c r="Y2196" s="73"/>
      <c r="Z2196" s="73"/>
      <c r="AA2196" s="73"/>
      <c r="AB2196" s="73"/>
    </row>
    <row r="2197">
      <c r="A2197" s="73"/>
      <c r="B2197" s="73">
        <v>715143.9592</v>
      </c>
      <c r="C2197" s="73">
        <v>9.71722325808544E7</v>
      </c>
      <c r="D2197" s="73">
        <v>3.29195118879954E7</v>
      </c>
      <c r="E2197" s="73">
        <v>4803901.33844187</v>
      </c>
      <c r="F2197" s="73"/>
      <c r="G2197" s="73"/>
      <c r="H2197" s="73"/>
      <c r="I2197" s="73"/>
      <c r="J2197" s="73"/>
      <c r="K2197" s="73"/>
      <c r="L2197" s="73"/>
      <c r="M2197" s="73"/>
      <c r="N2197" s="73"/>
      <c r="O2197" s="73"/>
      <c r="P2197" s="73"/>
      <c r="Q2197" s="73"/>
      <c r="R2197" s="73"/>
      <c r="S2197" s="73"/>
      <c r="T2197" s="73"/>
      <c r="U2197" s="73"/>
      <c r="V2197" s="73"/>
      <c r="W2197" s="73"/>
      <c r="X2197" s="73"/>
      <c r="Y2197" s="73"/>
      <c r="Z2197" s="73"/>
      <c r="AA2197" s="73"/>
      <c r="AB2197" s="73"/>
    </row>
    <row r="2198">
      <c r="A2198" s="73"/>
      <c r="B2198" s="73">
        <v>716295.5381</v>
      </c>
      <c r="C2198" s="73">
        <v>9.72927343375072E7</v>
      </c>
      <c r="D2198" s="73">
        <v>3.29743383079963E7</v>
      </c>
      <c r="E2198" s="73">
        <v>4810474.44419705</v>
      </c>
      <c r="F2198" s="73"/>
      <c r="G2198" s="73"/>
      <c r="H2198" s="73"/>
      <c r="I2198" s="73"/>
      <c r="J2198" s="73"/>
      <c r="K2198" s="73"/>
      <c r="L2198" s="73"/>
      <c r="M2198" s="73"/>
      <c r="N2198" s="73"/>
      <c r="O2198" s="73"/>
      <c r="P2198" s="73"/>
      <c r="Q2198" s="73"/>
      <c r="R2198" s="73"/>
      <c r="S2198" s="73"/>
      <c r="T2198" s="73"/>
      <c r="U2198" s="73"/>
      <c r="V2198" s="73"/>
      <c r="W2198" s="73"/>
      <c r="X2198" s="73"/>
      <c r="Y2198" s="73"/>
      <c r="Z2198" s="73"/>
      <c r="AA2198" s="73"/>
      <c r="AB2198" s="73"/>
    </row>
    <row r="2199">
      <c r="A2199" s="73"/>
      <c r="B2199" s="73">
        <v>717448.7691</v>
      </c>
      <c r="C2199" s="73">
        <v>9.74133514541569E7</v>
      </c>
      <c r="D2199" s="73">
        <v>3.30292268159973E7</v>
      </c>
      <c r="E2199" s="73">
        <v>4817054.26759586</v>
      </c>
      <c r="F2199" s="73"/>
      <c r="G2199" s="73"/>
      <c r="H2199" s="73"/>
      <c r="I2199" s="73"/>
      <c r="J2199" s="73"/>
      <c r="K2199" s="73"/>
      <c r="L2199" s="73"/>
      <c r="M2199" s="73"/>
      <c r="N2199" s="73"/>
      <c r="O2199" s="73"/>
      <c r="P2199" s="73"/>
      <c r="Q2199" s="73"/>
      <c r="R2199" s="73"/>
      <c r="S2199" s="73"/>
      <c r="T2199" s="73"/>
      <c r="U2199" s="73"/>
      <c r="V2199" s="73"/>
      <c r="W2199" s="73"/>
      <c r="X2199" s="73"/>
      <c r="Y2199" s="73"/>
      <c r="Z2199" s="73"/>
      <c r="AA2199" s="73"/>
      <c r="AB2199" s="73"/>
    </row>
    <row r="2200">
      <c r="A2200" s="73"/>
      <c r="B2200" s="73">
        <v>718603.6618</v>
      </c>
      <c r="C2200" s="73">
        <v>9.75340427308044E7</v>
      </c>
      <c r="D2200" s="73">
        <v>3.30841723319982E7</v>
      </c>
      <c r="E2200" s="73">
        <v>4823640.81128831</v>
      </c>
      <c r="F2200" s="73"/>
      <c r="G2200" s="73"/>
      <c r="H2200" s="73"/>
      <c r="I2200" s="73"/>
      <c r="J2200" s="73"/>
      <c r="K2200" s="73"/>
      <c r="L2200" s="73"/>
      <c r="M2200" s="73"/>
      <c r="N2200" s="73"/>
      <c r="O2200" s="73"/>
      <c r="P2200" s="73"/>
      <c r="Q2200" s="73"/>
      <c r="R2200" s="73"/>
      <c r="S2200" s="73"/>
      <c r="T2200" s="73"/>
      <c r="U2200" s="73"/>
      <c r="V2200" s="73"/>
      <c r="W2200" s="73"/>
      <c r="X2200" s="73"/>
      <c r="Y2200" s="73"/>
      <c r="Z2200" s="73"/>
      <c r="AA2200" s="73"/>
      <c r="AB2200" s="73"/>
    </row>
    <row r="2201">
      <c r="A2201" s="73"/>
      <c r="B2201" s="73">
        <v>719760.2273</v>
      </c>
      <c r="C2201" s="73">
        <v>9.76548328874493E7</v>
      </c>
      <c r="D2201" s="73">
        <v>3.31391774159991E7</v>
      </c>
      <c r="E2201" s="73">
        <v>4830233.8780084</v>
      </c>
      <c r="F2201" s="73"/>
      <c r="G2201" s="73"/>
      <c r="H2201" s="73"/>
      <c r="I2201" s="73"/>
      <c r="J2201" s="73"/>
      <c r="K2201" s="73"/>
      <c r="L2201" s="73"/>
      <c r="M2201" s="73"/>
      <c r="N2201" s="73"/>
      <c r="O2201" s="73"/>
      <c r="P2201" s="73"/>
      <c r="Q2201" s="73"/>
      <c r="R2201" s="73"/>
      <c r="S2201" s="73"/>
      <c r="T2201" s="73"/>
      <c r="U2201" s="73"/>
      <c r="V2201" s="73"/>
      <c r="W2201" s="73"/>
      <c r="X2201" s="73"/>
      <c r="Y2201" s="73"/>
      <c r="Z2201" s="73"/>
      <c r="AA2201" s="73"/>
      <c r="AB2201" s="73"/>
    </row>
    <row r="2202">
      <c r="A2202" s="73"/>
      <c r="B2202" s="73">
        <v>720918.4569</v>
      </c>
      <c r="C2202" s="73">
        <v>9.77757136840916E7</v>
      </c>
      <c r="D2202" s="73">
        <v>3.3194242024E7</v>
      </c>
      <c r="E2202" s="73">
        <v>4836833.72332213</v>
      </c>
      <c r="F2202" s="73"/>
      <c r="G2202" s="73"/>
      <c r="H2202" s="73"/>
      <c r="I2202" s="73"/>
      <c r="J2202" s="73"/>
      <c r="K2202" s="73"/>
      <c r="L2202" s="73"/>
      <c r="M2202" s="73"/>
      <c r="N2202" s="73"/>
      <c r="O2202" s="73"/>
      <c r="P2202" s="73"/>
      <c r="Q2202" s="73"/>
      <c r="R2202" s="73"/>
      <c r="S2202" s="73"/>
      <c r="T2202" s="73"/>
      <c r="U2202" s="73"/>
      <c r="V2202" s="73"/>
      <c r="W2202" s="73"/>
      <c r="X2202" s="73"/>
      <c r="Y2202" s="73"/>
      <c r="Z2202" s="73"/>
      <c r="AA2202" s="73"/>
      <c r="AB2202" s="73"/>
    </row>
    <row r="2203">
      <c r="A2203" s="73"/>
      <c r="B2203" s="73">
        <v>722078.3401</v>
      </c>
      <c r="C2203" s="73">
        <v>9.78966933607311E7</v>
      </c>
      <c r="D2203" s="73">
        <v>3.32493662000009E7</v>
      </c>
      <c r="E2203" s="73">
        <v>4843440.03336351</v>
      </c>
      <c r="F2203" s="73"/>
      <c r="G2203" s="73"/>
      <c r="H2203" s="73"/>
      <c r="I2203" s="73"/>
      <c r="J2203" s="73"/>
      <c r="K2203" s="73"/>
      <c r="L2203" s="73"/>
      <c r="M2203" s="73"/>
      <c r="N2203" s="73"/>
      <c r="O2203" s="73"/>
      <c r="P2203" s="73"/>
      <c r="Q2203" s="73"/>
      <c r="R2203" s="73"/>
      <c r="S2203" s="73"/>
      <c r="T2203" s="73"/>
      <c r="U2203" s="73"/>
      <c r="V2203" s="73"/>
      <c r="W2203" s="73"/>
      <c r="X2203" s="73"/>
      <c r="Y2203" s="73"/>
      <c r="Z2203" s="73"/>
      <c r="AA2203" s="73"/>
      <c r="AB2203" s="73"/>
    </row>
    <row r="2204">
      <c r="A2204" s="73"/>
      <c r="B2204" s="73">
        <v>723239.8994</v>
      </c>
      <c r="C2204" s="73">
        <v>9.80177719173679E7</v>
      </c>
      <c r="D2204" s="73">
        <v>3.33045499800018E7</v>
      </c>
      <c r="E2204" s="73">
        <v>4850053.09549853</v>
      </c>
      <c r="F2204" s="73"/>
      <c r="G2204" s="73"/>
      <c r="H2204" s="73"/>
      <c r="I2204" s="73"/>
      <c r="J2204" s="73"/>
      <c r="K2204" s="73"/>
      <c r="L2204" s="73"/>
      <c r="M2204" s="73"/>
      <c r="N2204" s="73"/>
      <c r="O2204" s="73"/>
      <c r="P2204" s="73"/>
      <c r="Q2204" s="73"/>
      <c r="R2204" s="73"/>
      <c r="S2204" s="73"/>
      <c r="T2204" s="73"/>
      <c r="U2204" s="73"/>
      <c r="V2204" s="73"/>
      <c r="W2204" s="73"/>
      <c r="X2204" s="73"/>
      <c r="Y2204" s="73"/>
      <c r="Z2204" s="73"/>
      <c r="AA2204" s="73"/>
      <c r="AB2204" s="73"/>
    </row>
    <row r="2205">
      <c r="A2205" s="73"/>
      <c r="B2205" s="73">
        <v>724403.1339</v>
      </c>
      <c r="C2205" s="73">
        <v>9.81389328740025E7</v>
      </c>
      <c r="D2205" s="73">
        <v>3.33597932479951E7</v>
      </c>
      <c r="E2205" s="73">
        <v>4856672.6382612</v>
      </c>
      <c r="F2205" s="73"/>
      <c r="G2205" s="73"/>
      <c r="H2205" s="73"/>
      <c r="I2205" s="73"/>
      <c r="J2205" s="73"/>
      <c r="K2205" s="73"/>
      <c r="L2205" s="73"/>
      <c r="M2205" s="73"/>
      <c r="N2205" s="73"/>
      <c r="O2205" s="73"/>
      <c r="P2205" s="73"/>
      <c r="Q2205" s="73"/>
      <c r="R2205" s="73"/>
      <c r="S2205" s="73"/>
      <c r="T2205" s="73"/>
      <c r="U2205" s="73"/>
      <c r="V2205" s="73"/>
      <c r="W2205" s="73"/>
      <c r="X2205" s="73"/>
      <c r="Y2205" s="73"/>
      <c r="Z2205" s="73"/>
      <c r="AA2205" s="73"/>
      <c r="AB2205" s="73"/>
    </row>
    <row r="2206">
      <c r="A2206" s="73"/>
      <c r="B2206" s="73">
        <v>725568.034</v>
      </c>
      <c r="C2206" s="73">
        <v>9.8260200950634E7</v>
      </c>
      <c r="D2206" s="73">
        <v>3.3415096083996E7</v>
      </c>
      <c r="E2206" s="73">
        <v>4863298.8668675</v>
      </c>
      <c r="F2206" s="73"/>
      <c r="G2206" s="73"/>
      <c r="H2206" s="73"/>
      <c r="I2206" s="73"/>
      <c r="J2206" s="73"/>
      <c r="K2206" s="73"/>
      <c r="L2206" s="73"/>
      <c r="M2206" s="73"/>
      <c r="N2206" s="73"/>
      <c r="O2206" s="73"/>
      <c r="P2206" s="73"/>
      <c r="Q2206" s="73"/>
      <c r="R2206" s="73"/>
      <c r="S2206" s="73"/>
      <c r="T2206" s="73"/>
      <c r="U2206" s="73"/>
      <c r="V2206" s="73"/>
      <c r="W2206" s="73"/>
      <c r="X2206" s="73"/>
      <c r="Y2206" s="73"/>
      <c r="Z2206" s="73"/>
      <c r="AA2206" s="73"/>
      <c r="AB2206" s="73"/>
    </row>
    <row r="2207">
      <c r="A2207" s="73"/>
      <c r="B2207" s="73">
        <v>726734.6117</v>
      </c>
      <c r="C2207" s="73">
        <v>9.83815679072628E7</v>
      </c>
      <c r="D2207" s="73">
        <v>3.3470458487997E7</v>
      </c>
      <c r="E2207" s="73">
        <v>4869931.96681744</v>
      </c>
      <c r="F2207" s="73"/>
      <c r="G2207" s="73"/>
      <c r="H2207" s="73"/>
      <c r="I2207" s="73"/>
      <c r="J2207" s="73"/>
      <c r="K2207" s="73"/>
      <c r="L2207" s="73"/>
      <c r="M2207" s="73"/>
      <c r="N2207" s="73"/>
      <c r="O2207" s="73"/>
      <c r="P2207" s="73"/>
      <c r="Q2207" s="73"/>
      <c r="R2207" s="73"/>
      <c r="S2207" s="73"/>
      <c r="T2207" s="73"/>
      <c r="U2207" s="73"/>
      <c r="V2207" s="73"/>
      <c r="W2207" s="73"/>
      <c r="X2207" s="73"/>
      <c r="Y2207" s="73"/>
      <c r="Z2207" s="73"/>
      <c r="AA2207" s="73"/>
      <c r="AB2207" s="73"/>
    </row>
    <row r="2208">
      <c r="A2208" s="73"/>
      <c r="B2208" s="73">
        <v>727902.8462</v>
      </c>
      <c r="C2208" s="73">
        <v>9.85030090238895E7</v>
      </c>
      <c r="D2208" s="73">
        <v>3.35258804159979E7</v>
      </c>
      <c r="E2208" s="73">
        <v>4876571.53944502</v>
      </c>
      <c r="F2208" s="73"/>
      <c r="G2208" s="73"/>
      <c r="H2208" s="73"/>
      <c r="I2208" s="73"/>
      <c r="J2208" s="73"/>
      <c r="K2208" s="73"/>
      <c r="L2208" s="73"/>
      <c r="M2208" s="73"/>
      <c r="N2208" s="73"/>
      <c r="O2208" s="73"/>
      <c r="P2208" s="73"/>
      <c r="Q2208" s="73"/>
      <c r="R2208" s="73"/>
      <c r="S2208" s="73"/>
      <c r="T2208" s="73"/>
      <c r="U2208" s="73"/>
      <c r="V2208" s="73"/>
      <c r="W2208" s="73"/>
      <c r="X2208" s="73"/>
      <c r="Y2208" s="73"/>
      <c r="Z2208" s="73"/>
      <c r="AA2208" s="73"/>
      <c r="AB2208" s="73"/>
    </row>
    <row r="2209">
      <c r="A2209" s="73"/>
      <c r="B2209" s="73">
        <v>729072.7599</v>
      </c>
      <c r="C2209" s="73">
        <v>9.86245655005131E7</v>
      </c>
      <c r="D2209" s="73">
        <v>3.35813619119988E7</v>
      </c>
      <c r="E2209" s="73">
        <v>4883217.53970026</v>
      </c>
      <c r="F2209" s="73"/>
      <c r="G2209" s="73"/>
      <c r="H2209" s="73"/>
      <c r="I2209" s="73"/>
      <c r="J2209" s="73"/>
      <c r="K2209" s="73"/>
      <c r="L2209" s="73"/>
      <c r="M2209" s="73"/>
      <c r="N2209" s="73"/>
      <c r="O2209" s="73"/>
      <c r="P2209" s="73"/>
      <c r="Q2209" s="73"/>
      <c r="R2209" s="73"/>
      <c r="S2209" s="73"/>
      <c r="T2209" s="73"/>
      <c r="U2209" s="73"/>
      <c r="V2209" s="73"/>
      <c r="W2209" s="73"/>
      <c r="X2209" s="73"/>
      <c r="Y2209" s="73"/>
      <c r="Z2209" s="73"/>
      <c r="AA2209" s="73"/>
      <c r="AB2209" s="73"/>
    </row>
    <row r="2210">
      <c r="A2210" s="73"/>
      <c r="B2210" s="73">
        <v>730244.3399</v>
      </c>
      <c r="C2210" s="73">
        <v>9.87462043771343E7</v>
      </c>
      <c r="D2210" s="73">
        <v>3.36369030119997E7</v>
      </c>
      <c r="E2210" s="73">
        <v>4889870.34504913</v>
      </c>
      <c r="F2210" s="73"/>
      <c r="G2210" s="73"/>
      <c r="H2210" s="73"/>
      <c r="I2210" s="73"/>
      <c r="J2210" s="73"/>
      <c r="K2210" s="73"/>
      <c r="L2210" s="73"/>
      <c r="M2210" s="73"/>
      <c r="N2210" s="73"/>
      <c r="O2210" s="73"/>
      <c r="P2210" s="73"/>
      <c r="Q2210" s="73"/>
      <c r="R2210" s="73"/>
      <c r="S2210" s="73"/>
      <c r="T2210" s="73"/>
      <c r="U2210" s="73"/>
      <c r="V2210" s="73"/>
      <c r="W2210" s="73"/>
      <c r="X2210" s="73"/>
      <c r="Y2210" s="73"/>
      <c r="Z2210" s="73"/>
      <c r="AA2210" s="73"/>
      <c r="AB2210" s="73"/>
    </row>
    <row r="2211">
      <c r="A2211" s="73"/>
      <c r="B2211" s="73">
        <v>731417.6006</v>
      </c>
      <c r="C2211" s="73">
        <v>9.88679421337528E7</v>
      </c>
      <c r="D2211" s="73">
        <v>3.36925036000006E7</v>
      </c>
      <c r="E2211" s="73">
        <v>4896529.93694164</v>
      </c>
      <c r="F2211" s="73"/>
      <c r="G2211" s="73"/>
      <c r="H2211" s="73"/>
      <c r="I2211" s="73"/>
      <c r="J2211" s="73"/>
      <c r="K2211" s="73"/>
      <c r="L2211" s="73"/>
      <c r="M2211" s="73"/>
      <c r="N2211" s="73"/>
      <c r="O2211" s="73"/>
      <c r="P2211" s="73"/>
      <c r="Q2211" s="73"/>
      <c r="R2211" s="73"/>
      <c r="S2211" s="73"/>
      <c r="T2211" s="73"/>
      <c r="U2211" s="73"/>
      <c r="V2211" s="73"/>
      <c r="W2211" s="73"/>
      <c r="X2211" s="73"/>
      <c r="Y2211" s="73"/>
      <c r="Z2211" s="73"/>
      <c r="AA2211" s="73"/>
      <c r="AB2211" s="73"/>
    </row>
    <row r="2212">
      <c r="A2212" s="73"/>
      <c r="B2212" s="73">
        <v>732592.5205</v>
      </c>
      <c r="C2212" s="73">
        <v>9.89897787703686E7</v>
      </c>
      <c r="D2212" s="73">
        <v>3.37481637560015E7</v>
      </c>
      <c r="E2212" s="73">
        <v>4903196.01741179</v>
      </c>
      <c r="F2212" s="73"/>
      <c r="G2212" s="73"/>
      <c r="H2212" s="73"/>
      <c r="I2212" s="73"/>
      <c r="J2212" s="73"/>
      <c r="K2212" s="73"/>
      <c r="L2212" s="73"/>
      <c r="M2212" s="73"/>
      <c r="N2212" s="73"/>
      <c r="O2212" s="73"/>
      <c r="P2212" s="73"/>
      <c r="Q2212" s="73"/>
      <c r="R2212" s="73"/>
      <c r="S2212" s="73"/>
      <c r="T2212" s="73"/>
      <c r="U2212" s="73"/>
      <c r="V2212" s="73"/>
      <c r="W2212" s="73"/>
      <c r="X2212" s="73"/>
      <c r="Y2212" s="73"/>
      <c r="Z2212" s="73"/>
      <c r="AA2212" s="73"/>
      <c r="AB2212" s="73"/>
    </row>
    <row r="2213">
      <c r="A2213" s="73"/>
      <c r="B2213" s="73">
        <v>733769.1298</v>
      </c>
      <c r="C2213" s="73">
        <v>9.9111697806982E7</v>
      </c>
      <c r="D2213" s="73">
        <v>3.38038835519948E7</v>
      </c>
      <c r="E2213" s="73">
        <v>4909868.77312559</v>
      </c>
      <c r="F2213" s="73"/>
      <c r="G2213" s="73"/>
      <c r="H2213" s="73"/>
      <c r="I2213" s="73"/>
      <c r="J2213" s="73"/>
      <c r="K2213" s="73"/>
      <c r="L2213" s="73"/>
      <c r="M2213" s="73"/>
      <c r="N2213" s="73"/>
      <c r="O2213" s="73"/>
      <c r="P2213" s="73"/>
      <c r="Q2213" s="73"/>
      <c r="R2213" s="73"/>
      <c r="S2213" s="73"/>
      <c r="T2213" s="73"/>
      <c r="U2213" s="73"/>
      <c r="V2213" s="73"/>
      <c r="W2213" s="73"/>
      <c r="X2213" s="73"/>
      <c r="Y2213" s="73"/>
      <c r="Z2213" s="73"/>
      <c r="AA2213" s="73"/>
      <c r="AB2213" s="73"/>
    </row>
    <row r="2214">
      <c r="A2214" s="73"/>
      <c r="B2214" s="73">
        <v>734947.3919</v>
      </c>
      <c r="C2214" s="73">
        <v>9.92337239635925E7</v>
      </c>
      <c r="D2214" s="73">
        <v>3.38596653639957E7</v>
      </c>
      <c r="E2214" s="73">
        <v>4916548.511483</v>
      </c>
      <c r="F2214" s="73"/>
      <c r="G2214" s="73"/>
      <c r="H2214" s="73"/>
      <c r="I2214" s="73"/>
      <c r="J2214" s="73"/>
      <c r="K2214" s="73"/>
      <c r="L2214" s="73"/>
      <c r="M2214" s="73"/>
      <c r="N2214" s="73"/>
      <c r="O2214" s="73"/>
      <c r="P2214" s="73"/>
      <c r="Q2214" s="73"/>
      <c r="R2214" s="73"/>
      <c r="S2214" s="73"/>
      <c r="T2214" s="73"/>
      <c r="U2214" s="73"/>
      <c r="V2214" s="73"/>
      <c r="W2214" s="73"/>
      <c r="X2214" s="73"/>
      <c r="Y2214" s="73"/>
      <c r="Z2214" s="73"/>
      <c r="AA2214" s="73"/>
      <c r="AB2214" s="73"/>
    </row>
    <row r="2215">
      <c r="A2215" s="73"/>
      <c r="B2215" s="73">
        <v>736127.3443</v>
      </c>
      <c r="C2215" s="73">
        <v>9.93558325202007E7</v>
      </c>
      <c r="D2215" s="73">
        <v>3.39155042159966E7</v>
      </c>
      <c r="E2215" s="73">
        <v>4923234.62711808</v>
      </c>
      <c r="F2215" s="73"/>
      <c r="G2215" s="73"/>
      <c r="H2215" s="73"/>
      <c r="I2215" s="73"/>
      <c r="J2215" s="73"/>
      <c r="K2215" s="73"/>
      <c r="L2215" s="73"/>
      <c r="M2215" s="73"/>
      <c r="N2215" s="73"/>
      <c r="O2215" s="73"/>
      <c r="P2215" s="73"/>
      <c r="Q2215" s="73"/>
      <c r="R2215" s="73"/>
      <c r="S2215" s="73"/>
      <c r="T2215" s="73"/>
      <c r="U2215" s="73"/>
      <c r="V2215" s="73"/>
      <c r="W2215" s="73"/>
      <c r="X2215" s="73"/>
      <c r="Y2215" s="73"/>
      <c r="Z2215" s="73"/>
      <c r="AA2215" s="73"/>
      <c r="AB2215" s="73"/>
    </row>
    <row r="2216">
      <c r="A2216" s="73"/>
      <c r="B2216" s="73">
        <v>737308.9789</v>
      </c>
      <c r="C2216" s="73">
        <v>9.9478048196806E7</v>
      </c>
      <c r="D2216" s="73">
        <v>3.39714051959976E7</v>
      </c>
      <c r="E2216" s="73">
        <v>4929927.2313308</v>
      </c>
      <c r="F2216" s="73"/>
      <c r="G2216" s="73"/>
      <c r="H2216" s="73"/>
      <c r="I2216" s="73"/>
      <c r="J2216" s="73"/>
      <c r="K2216" s="73"/>
      <c r="L2216" s="73"/>
      <c r="M2216" s="73"/>
      <c r="N2216" s="73"/>
      <c r="O2216" s="73"/>
      <c r="P2216" s="73"/>
      <c r="Q2216" s="73"/>
      <c r="R2216" s="73"/>
      <c r="S2216" s="73"/>
      <c r="T2216" s="73"/>
      <c r="U2216" s="73"/>
      <c r="V2216" s="73"/>
      <c r="W2216" s="73"/>
      <c r="X2216" s="73"/>
      <c r="Y2216" s="73"/>
      <c r="Z2216" s="73"/>
      <c r="AA2216" s="73"/>
      <c r="AB2216" s="73"/>
    </row>
    <row r="2217">
      <c r="A2217" s="73"/>
      <c r="B2217" s="73">
        <v>738492.2766</v>
      </c>
      <c r="C2217" s="73">
        <v>9.96003627534084E7</v>
      </c>
      <c r="D2217" s="73">
        <v>3.40273631439985E7</v>
      </c>
      <c r="E2217" s="73">
        <v>4936626.62208715</v>
      </c>
      <c r="F2217" s="73"/>
      <c r="G2217" s="73"/>
      <c r="H2217" s="73"/>
      <c r="I2217" s="73"/>
      <c r="J2217" s="73"/>
      <c r="K2217" s="73"/>
      <c r="L2217" s="73"/>
      <c r="M2217" s="73"/>
      <c r="N2217" s="73"/>
      <c r="O2217" s="73"/>
      <c r="P2217" s="73"/>
      <c r="Q2217" s="73"/>
      <c r="R2217" s="73"/>
      <c r="S2217" s="73"/>
      <c r="T2217" s="73"/>
      <c r="U2217" s="73"/>
      <c r="V2217" s="73"/>
      <c r="W2217" s="73"/>
      <c r="X2217" s="73"/>
      <c r="Y2217" s="73"/>
      <c r="Z2217" s="73"/>
      <c r="AA2217" s="73"/>
      <c r="AB2217" s="73"/>
    </row>
    <row r="2218">
      <c r="A2218" s="73"/>
      <c r="B2218" s="73">
        <v>739677.2661</v>
      </c>
      <c r="C2218" s="73">
        <v>9.97227514700089E7</v>
      </c>
      <c r="D2218" s="73">
        <v>3.40833832159994E7</v>
      </c>
      <c r="E2218" s="73">
        <v>4943332.78878715</v>
      </c>
      <c r="F2218" s="73"/>
      <c r="G2218" s="73"/>
      <c r="H2218" s="73"/>
      <c r="I2218" s="73"/>
      <c r="J2218" s="73"/>
      <c r="K2218" s="73"/>
      <c r="L2218" s="73"/>
      <c r="M2218" s="73"/>
      <c r="N2218" s="73"/>
      <c r="O2218" s="73"/>
      <c r="P2218" s="73"/>
      <c r="Q2218" s="73"/>
      <c r="R2218" s="73"/>
      <c r="S2218" s="73"/>
      <c r="T2218" s="73"/>
      <c r="U2218" s="73"/>
      <c r="V2218" s="73"/>
      <c r="W2218" s="73"/>
      <c r="X2218" s="73"/>
      <c r="Y2218" s="73"/>
      <c r="Z2218" s="73"/>
      <c r="AA2218" s="73"/>
      <c r="AB2218" s="73"/>
    </row>
    <row r="2219">
      <c r="A2219" s="73"/>
      <c r="B2219" s="73">
        <v>740863.9202</v>
      </c>
      <c r="C2219" s="73">
        <v>9.98452637866058E7</v>
      </c>
      <c r="D2219" s="73">
        <v>3.41394628560003E7</v>
      </c>
      <c r="E2219" s="73">
        <v>4950045.46261478</v>
      </c>
      <c r="F2219" s="73"/>
      <c r="G2219" s="73"/>
      <c r="H2219" s="73"/>
      <c r="I2219" s="73"/>
      <c r="J2219" s="73"/>
      <c r="K2219" s="73"/>
      <c r="L2219" s="73"/>
      <c r="M2219" s="73"/>
      <c r="N2219" s="73"/>
      <c r="O2219" s="73"/>
      <c r="P2219" s="73"/>
      <c r="Q2219" s="73"/>
      <c r="R2219" s="73"/>
      <c r="S2219" s="73"/>
      <c r="T2219" s="73"/>
      <c r="U2219" s="73"/>
      <c r="V2219" s="73"/>
      <c r="W2219" s="73"/>
      <c r="X2219" s="73"/>
      <c r="Y2219" s="73"/>
      <c r="Z2219" s="73"/>
      <c r="AA2219" s="73"/>
      <c r="AB2219" s="73"/>
    </row>
    <row r="2220">
      <c r="A2220" s="73"/>
      <c r="B2220" s="73">
        <v>742052.2694</v>
      </c>
      <c r="C2220" s="73">
        <v>9.99678502632008E7</v>
      </c>
      <c r="D2220" s="73">
        <v>3.41956020600012E7</v>
      </c>
      <c r="E2220" s="73">
        <v>4956764.93888606</v>
      </c>
      <c r="F2220" s="73"/>
      <c r="G2220" s="73"/>
      <c r="H2220" s="73"/>
      <c r="I2220" s="73"/>
      <c r="J2220" s="73"/>
      <c r="K2220" s="73"/>
      <c r="L2220" s="73"/>
      <c r="M2220" s="73"/>
      <c r="N2220" s="73"/>
      <c r="O2220" s="73"/>
      <c r="P2220" s="73"/>
      <c r="Q2220" s="73"/>
      <c r="R2220" s="73"/>
      <c r="S2220" s="73"/>
      <c r="T2220" s="73"/>
      <c r="U2220" s="73"/>
      <c r="V2220" s="73"/>
      <c r="W2220" s="73"/>
      <c r="X2220" s="73"/>
      <c r="Y2220" s="73"/>
      <c r="Z2220" s="73"/>
      <c r="AA2220" s="73"/>
      <c r="AB2220" s="73"/>
    </row>
    <row r="2221">
      <c r="A2221" s="73"/>
      <c r="B2221" s="73">
        <v>743242.2728</v>
      </c>
      <c r="C2221" s="73">
        <v>1.00090535619793E8</v>
      </c>
      <c r="D2221" s="73">
        <v>3.42518007559945E7</v>
      </c>
      <c r="E2221" s="73">
        <v>4963491.29445096</v>
      </c>
      <c r="F2221" s="73"/>
      <c r="G2221" s="73"/>
      <c r="H2221" s="73"/>
      <c r="I2221" s="73"/>
      <c r="J2221" s="73"/>
      <c r="K2221" s="73"/>
      <c r="L2221" s="73"/>
      <c r="M2221" s="73"/>
      <c r="N2221" s="73"/>
      <c r="O2221" s="73"/>
      <c r="P2221" s="73"/>
      <c r="Q2221" s="73"/>
      <c r="R2221" s="73"/>
      <c r="S2221" s="73"/>
      <c r="T2221" s="73"/>
      <c r="U2221" s="73"/>
      <c r="V2221" s="73"/>
      <c r="W2221" s="73"/>
      <c r="X2221" s="73"/>
      <c r="Y2221" s="73"/>
      <c r="Z2221" s="73"/>
      <c r="AA2221" s="73"/>
      <c r="AB2221" s="73"/>
    </row>
    <row r="2222">
      <c r="A2222" s="73"/>
      <c r="B2222" s="73">
        <v>744433.9703</v>
      </c>
      <c r="C2222" s="73">
        <v>1.00213328096382E8</v>
      </c>
      <c r="D2222" s="73">
        <v>3.43080590559954E7</v>
      </c>
      <c r="E2222" s="73">
        <v>4970223.71077753</v>
      </c>
      <c r="F2222" s="73"/>
      <c r="G2222" s="73"/>
      <c r="H2222" s="73"/>
      <c r="I2222" s="73"/>
      <c r="J2222" s="73"/>
      <c r="K2222" s="73"/>
      <c r="L2222" s="73"/>
      <c r="M2222" s="73"/>
      <c r="N2222" s="73"/>
      <c r="O2222" s="73"/>
      <c r="P2222" s="73"/>
      <c r="Q2222" s="73"/>
      <c r="R2222" s="73"/>
      <c r="S2222" s="73"/>
      <c r="T2222" s="73"/>
      <c r="U2222" s="73"/>
      <c r="V2222" s="73"/>
      <c r="W2222" s="73"/>
      <c r="X2222" s="73"/>
      <c r="Y2222" s="73"/>
      <c r="Z2222" s="73"/>
      <c r="AA2222" s="73"/>
      <c r="AB2222" s="73"/>
    </row>
    <row r="2223">
      <c r="A2223" s="73"/>
      <c r="B2223" s="73">
        <v>745627.3461</v>
      </c>
      <c r="C2223" s="73">
        <v>1.00336194732969E8</v>
      </c>
      <c r="D2223" s="73">
        <v>3.43643794799963E7</v>
      </c>
      <c r="E2223" s="73">
        <v>4976963.27256372</v>
      </c>
      <c r="F2223" s="73"/>
      <c r="G2223" s="73"/>
      <c r="H2223" s="73"/>
      <c r="I2223" s="73"/>
      <c r="J2223" s="73"/>
      <c r="K2223" s="73"/>
      <c r="L2223" s="73"/>
      <c r="M2223" s="73"/>
      <c r="N2223" s="73"/>
      <c r="O2223" s="73"/>
      <c r="P2223" s="73"/>
      <c r="Q2223" s="73"/>
      <c r="R2223" s="73"/>
      <c r="S2223" s="73"/>
      <c r="T2223" s="73"/>
      <c r="U2223" s="73"/>
      <c r="V2223" s="73"/>
      <c r="W2223" s="73"/>
      <c r="X2223" s="73"/>
      <c r="Y2223" s="73"/>
      <c r="Z2223" s="73"/>
      <c r="AA2223" s="73"/>
      <c r="AB2223" s="73"/>
    </row>
    <row r="2224">
      <c r="A2224" s="73"/>
      <c r="B2224" s="73">
        <v>746822.428</v>
      </c>
      <c r="C2224" s="73">
        <v>1.00459168489553E8</v>
      </c>
      <c r="D2224" s="73">
        <v>3.44207568359973E7</v>
      </c>
      <c r="E2224" s="73">
        <v>4983709.31232756</v>
      </c>
      <c r="F2224" s="73"/>
      <c r="G2224" s="73"/>
      <c r="H2224" s="73"/>
      <c r="I2224" s="73"/>
      <c r="J2224" s="73"/>
      <c r="K2224" s="73"/>
      <c r="L2224" s="73"/>
      <c r="M2224" s="73"/>
      <c r="N2224" s="73"/>
      <c r="O2224" s="73"/>
      <c r="P2224" s="73"/>
      <c r="Q2224" s="73"/>
      <c r="R2224" s="73"/>
      <c r="S2224" s="73"/>
      <c r="T2224" s="73"/>
      <c r="U2224" s="73"/>
      <c r="V2224" s="73"/>
      <c r="W2224" s="73"/>
      <c r="X2224" s="73"/>
      <c r="Y2224" s="73"/>
      <c r="Z2224" s="73"/>
      <c r="AA2224" s="73"/>
      <c r="AB2224" s="73"/>
    </row>
    <row r="2225">
      <c r="A2225" s="73"/>
      <c r="B2225" s="73">
        <v>748019.1664</v>
      </c>
      <c r="C2225" s="73">
        <v>1.00582249366135E8</v>
      </c>
      <c r="D2225" s="73">
        <v>3.44771989519982E7</v>
      </c>
      <c r="E2225" s="73">
        <v>4990462.18103503</v>
      </c>
      <c r="F2225" s="73"/>
      <c r="G2225" s="73"/>
      <c r="H2225" s="73"/>
      <c r="I2225" s="73"/>
      <c r="J2225" s="73"/>
      <c r="K2225" s="73"/>
      <c r="L2225" s="73"/>
      <c r="M2225" s="73"/>
      <c r="N2225" s="73"/>
      <c r="O2225" s="73"/>
      <c r="P2225" s="73"/>
      <c r="Q2225" s="73"/>
      <c r="R2225" s="73"/>
      <c r="S2225" s="73"/>
      <c r="T2225" s="73"/>
      <c r="U2225" s="73"/>
      <c r="V2225" s="73"/>
      <c r="W2225" s="73"/>
      <c r="X2225" s="73"/>
      <c r="Y2225" s="73"/>
      <c r="Z2225" s="73"/>
      <c r="AA2225" s="73"/>
      <c r="AB2225" s="73"/>
    </row>
    <row r="2226">
      <c r="A2226" s="73"/>
      <c r="B2226" s="73">
        <v>749217.5711</v>
      </c>
      <c r="C2226" s="73">
        <v>1.00705404402714E8</v>
      </c>
      <c r="D2226" s="73">
        <v>3.45336980759991E7</v>
      </c>
      <c r="E2226" s="73">
        <v>4997221.93698612</v>
      </c>
      <c r="F2226" s="73"/>
      <c r="G2226" s="73"/>
      <c r="H2226" s="73"/>
      <c r="I2226" s="73"/>
      <c r="J2226" s="73"/>
      <c r="K2226" s="73"/>
      <c r="L2226" s="73"/>
      <c r="M2226" s="73"/>
      <c r="N2226" s="73"/>
      <c r="O2226" s="73"/>
      <c r="P2226" s="73"/>
      <c r="Q2226" s="73"/>
      <c r="R2226" s="73"/>
      <c r="S2226" s="73"/>
      <c r="T2226" s="73"/>
      <c r="U2226" s="73"/>
      <c r="V2226" s="73"/>
      <c r="W2226" s="73"/>
      <c r="X2226" s="73"/>
      <c r="Y2226" s="73"/>
      <c r="Z2226" s="73"/>
      <c r="AA2226" s="73"/>
      <c r="AB2226" s="73"/>
    </row>
    <row r="2227">
      <c r="A2227" s="73"/>
      <c r="B2227" s="73">
        <v>750417.6866</v>
      </c>
      <c r="C2227" s="73">
        <v>1.0082866655929E8</v>
      </c>
      <c r="D2227" s="73">
        <v>3.4590256688E7</v>
      </c>
      <c r="E2227" s="73">
        <v>5003988.08611488</v>
      </c>
      <c r="F2227" s="73"/>
      <c r="G2227" s="73"/>
      <c r="H2227" s="73"/>
      <c r="I2227" s="73"/>
      <c r="J2227" s="73"/>
      <c r="K2227" s="73"/>
      <c r="L2227" s="73"/>
      <c r="M2227" s="73"/>
      <c r="N2227" s="73"/>
      <c r="O2227" s="73"/>
      <c r="P2227" s="73"/>
      <c r="Q2227" s="73"/>
      <c r="R2227" s="73"/>
      <c r="S2227" s="73"/>
      <c r="T2227" s="73"/>
      <c r="U2227" s="73"/>
      <c r="V2227" s="73"/>
      <c r="W2227" s="73"/>
      <c r="X2227" s="73"/>
      <c r="Y2227" s="73"/>
      <c r="Z2227" s="73"/>
      <c r="AA2227" s="73"/>
      <c r="AB2227" s="73"/>
    </row>
    <row r="2228">
      <c r="A2228" s="73"/>
      <c r="B2228" s="73">
        <v>751619.4698</v>
      </c>
      <c r="C2228" s="73">
        <v>1.00952019355864E8</v>
      </c>
      <c r="D2228" s="73">
        <v>3.46468774280009E7</v>
      </c>
      <c r="E2228" s="73">
        <v>5010760.79007128</v>
      </c>
      <c r="F2228" s="73"/>
      <c r="G2228" s="73"/>
      <c r="H2228" s="73"/>
      <c r="I2228" s="73"/>
      <c r="J2228" s="73"/>
      <c r="K2228" s="73"/>
      <c r="L2228" s="73"/>
      <c r="M2228" s="73"/>
      <c r="N2228" s="73"/>
      <c r="O2228" s="73"/>
      <c r="P2228" s="73"/>
      <c r="Q2228" s="73"/>
      <c r="R2228" s="73"/>
      <c r="S2228" s="73"/>
      <c r="T2228" s="73"/>
      <c r="U2228" s="73"/>
      <c r="V2228" s="73"/>
      <c r="W2228" s="73"/>
      <c r="X2228" s="73"/>
      <c r="Y2228" s="73"/>
      <c r="Z2228" s="73"/>
      <c r="AA2228" s="73"/>
      <c r="AB2228" s="73"/>
    </row>
    <row r="2229">
      <c r="A2229" s="73"/>
      <c r="B2229" s="73">
        <v>752822.9424</v>
      </c>
      <c r="C2229" s="73">
        <v>1.01075462792435E8</v>
      </c>
      <c r="D2229" s="73">
        <v>3.47035577719942E7</v>
      </c>
      <c r="E2229" s="73">
        <v>5017540.26467131</v>
      </c>
      <c r="F2229" s="73"/>
      <c r="G2229" s="73"/>
      <c r="H2229" s="73"/>
      <c r="I2229" s="73"/>
      <c r="J2229" s="73"/>
      <c r="K2229" s="73"/>
      <c r="L2229" s="73"/>
      <c r="M2229" s="73"/>
      <c r="N2229" s="73"/>
      <c r="O2229" s="73"/>
      <c r="P2229" s="73"/>
      <c r="Q2229" s="73"/>
      <c r="R2229" s="73"/>
      <c r="S2229" s="73"/>
      <c r="T2229" s="73"/>
      <c r="U2229" s="73"/>
      <c r="V2229" s="73"/>
      <c r="W2229" s="73"/>
      <c r="X2229" s="73"/>
      <c r="Y2229" s="73"/>
      <c r="Z2229" s="73"/>
      <c r="AA2229" s="73"/>
      <c r="AB2229" s="73"/>
    </row>
    <row r="2230">
      <c r="A2230" s="73"/>
      <c r="B2230" s="73">
        <v>754028.1043</v>
      </c>
      <c r="C2230" s="73">
        <v>1.01199013349003E8</v>
      </c>
      <c r="D2230" s="73">
        <v>3.47602976039951E7</v>
      </c>
      <c r="E2230" s="73">
        <v>5024326.53111498</v>
      </c>
      <c r="F2230" s="73"/>
      <c r="G2230" s="73"/>
      <c r="H2230" s="73"/>
      <c r="I2230" s="73"/>
      <c r="J2230" s="73"/>
      <c r="K2230" s="73"/>
      <c r="L2230" s="73"/>
      <c r="M2230" s="73"/>
      <c r="N2230" s="73"/>
      <c r="O2230" s="73"/>
      <c r="P2230" s="73"/>
      <c r="Q2230" s="73"/>
      <c r="R2230" s="73"/>
      <c r="S2230" s="73"/>
      <c r="T2230" s="73"/>
      <c r="U2230" s="73"/>
      <c r="V2230" s="73"/>
      <c r="W2230" s="73"/>
      <c r="X2230" s="73"/>
      <c r="Y2230" s="73"/>
      <c r="Z2230" s="73"/>
      <c r="AA2230" s="73"/>
      <c r="AB2230" s="73"/>
    </row>
    <row r="2231">
      <c r="A2231" s="73"/>
      <c r="B2231" s="73">
        <v>755234.9586</v>
      </c>
      <c r="C2231" s="73">
        <v>1.01322654545568E8</v>
      </c>
      <c r="D2231" s="73">
        <v>3.4817097039996E7</v>
      </c>
      <c r="E2231" s="73">
        <v>5031119.71130227</v>
      </c>
      <c r="F2231" s="73"/>
      <c r="G2231" s="73"/>
      <c r="H2231" s="73"/>
      <c r="I2231" s="73"/>
      <c r="J2231" s="73"/>
      <c r="K2231" s="73"/>
      <c r="L2231" s="73"/>
      <c r="M2231" s="73"/>
      <c r="N2231" s="73"/>
      <c r="O2231" s="73"/>
      <c r="P2231" s="73"/>
      <c r="Q2231" s="73"/>
      <c r="R2231" s="73"/>
      <c r="S2231" s="73"/>
      <c r="T2231" s="73"/>
      <c r="U2231" s="73"/>
      <c r="V2231" s="73"/>
      <c r="W2231" s="73"/>
      <c r="X2231" s="73"/>
      <c r="Y2231" s="73"/>
      <c r="Z2231" s="73"/>
      <c r="AA2231" s="73"/>
      <c r="AB2231" s="73"/>
    </row>
    <row r="2232">
      <c r="A2232" s="73"/>
      <c r="B2232" s="73">
        <v>756443.4925</v>
      </c>
      <c r="C2232" s="73">
        <v>1.01446386382132E8</v>
      </c>
      <c r="D2232" s="73">
        <v>3.48739586039969E7</v>
      </c>
      <c r="E2232" s="73">
        <v>5037919.37741721</v>
      </c>
      <c r="F2232" s="73"/>
      <c r="G2232" s="73"/>
      <c r="H2232" s="73"/>
      <c r="I2232" s="73"/>
      <c r="J2232" s="73"/>
      <c r="K2232" s="73"/>
      <c r="L2232" s="73"/>
      <c r="M2232" s="73"/>
      <c r="N2232" s="73"/>
      <c r="O2232" s="73"/>
      <c r="P2232" s="73"/>
      <c r="Q2232" s="73"/>
      <c r="R2232" s="73"/>
      <c r="S2232" s="73"/>
      <c r="T2232" s="73"/>
      <c r="U2232" s="73"/>
      <c r="V2232" s="73"/>
      <c r="W2232" s="73"/>
      <c r="X2232" s="73"/>
      <c r="Y2232" s="73"/>
      <c r="Z2232" s="73"/>
      <c r="AA2232" s="73"/>
      <c r="AB2232" s="73"/>
    </row>
    <row r="2233">
      <c r="A2233" s="73"/>
      <c r="B2233" s="73">
        <v>757653.7086</v>
      </c>
      <c r="C2233" s="73">
        <v>1.01570225338692E8</v>
      </c>
      <c r="D2233" s="73">
        <v>3.49308796559979E7</v>
      </c>
      <c r="E2233" s="73">
        <v>5044725.79562579</v>
      </c>
      <c r="F2233" s="73"/>
      <c r="G2233" s="73"/>
      <c r="H2233" s="73"/>
      <c r="I2233" s="73"/>
      <c r="J2233" s="73"/>
      <c r="K2233" s="73"/>
      <c r="L2233" s="73"/>
      <c r="M2233" s="73"/>
      <c r="N2233" s="73"/>
      <c r="O2233" s="73"/>
      <c r="P2233" s="73"/>
      <c r="Q2233" s="73"/>
      <c r="R2233" s="73"/>
      <c r="S2233" s="73"/>
      <c r="T2233" s="73"/>
      <c r="U2233" s="73"/>
      <c r="V2233" s="73"/>
      <c r="W2233" s="73"/>
      <c r="X2233" s="73"/>
      <c r="Y2233" s="73"/>
      <c r="Z2233" s="73"/>
      <c r="AA2233" s="73"/>
      <c r="AB2233" s="73"/>
    </row>
    <row r="2234">
      <c r="A2234" s="73"/>
      <c r="B2234" s="73">
        <v>758865.6258</v>
      </c>
      <c r="C2234" s="73">
        <v>1.0169414669525E8</v>
      </c>
      <c r="D2234" s="73">
        <v>3.49878603519988E7</v>
      </c>
      <c r="E2234" s="73">
        <v>5051538.77661202</v>
      </c>
      <c r="F2234" s="73"/>
      <c r="G2234" s="73"/>
      <c r="H2234" s="73"/>
      <c r="I2234" s="73"/>
      <c r="J2234" s="73"/>
      <c r="K2234" s="73"/>
      <c r="L2234" s="73"/>
      <c r="M2234" s="73"/>
      <c r="N2234" s="73"/>
      <c r="O2234" s="73"/>
      <c r="P2234" s="73"/>
      <c r="Q2234" s="73"/>
      <c r="R2234" s="73"/>
      <c r="S2234" s="73"/>
      <c r="T2234" s="73"/>
      <c r="U2234" s="73"/>
      <c r="V2234" s="73"/>
      <c r="W2234" s="73"/>
      <c r="X2234" s="73"/>
      <c r="Y2234" s="73"/>
      <c r="Z2234" s="73"/>
      <c r="AA2234" s="73"/>
      <c r="AB2234" s="73"/>
    </row>
    <row r="2235">
      <c r="A2235" s="73"/>
      <c r="B2235" s="73">
        <v>760079.2155</v>
      </c>
      <c r="C2235" s="73">
        <v>1.01818166931805E8</v>
      </c>
      <c r="D2235" s="73">
        <v>3.50449030959997E7</v>
      </c>
      <c r="E2235" s="73">
        <v>5058358.60244187</v>
      </c>
      <c r="F2235" s="73"/>
      <c r="G2235" s="73"/>
      <c r="H2235" s="73"/>
      <c r="I2235" s="73"/>
      <c r="J2235" s="73"/>
      <c r="K2235" s="73"/>
      <c r="L2235" s="73"/>
      <c r="M2235" s="73"/>
      <c r="N2235" s="73"/>
      <c r="O2235" s="73"/>
      <c r="P2235" s="73"/>
      <c r="Q2235" s="73"/>
      <c r="R2235" s="73"/>
      <c r="S2235" s="73"/>
      <c r="T2235" s="73"/>
      <c r="U2235" s="73"/>
      <c r="V2235" s="73"/>
      <c r="W2235" s="73"/>
      <c r="X2235" s="73"/>
      <c r="Y2235" s="73"/>
      <c r="Z2235" s="73"/>
      <c r="AA2235" s="73"/>
      <c r="AB2235" s="73"/>
    </row>
    <row r="2236">
      <c r="A2236" s="73"/>
      <c r="B2236" s="73">
        <v>761294.4889</v>
      </c>
      <c r="C2236" s="73">
        <v>1.01942294288357E8</v>
      </c>
      <c r="D2236" s="73">
        <v>3.51020054840006E7</v>
      </c>
      <c r="E2236" s="73">
        <v>5065184.82144938</v>
      </c>
      <c r="F2236" s="73"/>
      <c r="G2236" s="73"/>
      <c r="H2236" s="73"/>
      <c r="I2236" s="73"/>
      <c r="J2236" s="73"/>
      <c r="K2236" s="73"/>
      <c r="L2236" s="73"/>
      <c r="M2236" s="73"/>
      <c r="N2236" s="73"/>
      <c r="O2236" s="73"/>
      <c r="P2236" s="73"/>
      <c r="Q2236" s="73"/>
      <c r="R2236" s="73"/>
      <c r="S2236" s="73"/>
      <c r="T2236" s="73"/>
      <c r="U2236" s="73"/>
      <c r="V2236" s="73"/>
      <c r="W2236" s="73"/>
      <c r="X2236" s="73"/>
      <c r="Y2236" s="73"/>
      <c r="Z2236" s="73"/>
      <c r="AA2236" s="73"/>
      <c r="AB2236" s="73"/>
    </row>
    <row r="2237">
      <c r="A2237" s="73"/>
      <c r="B2237" s="73">
        <v>762511.4666</v>
      </c>
      <c r="C2237" s="73">
        <v>1.02066495804907E8</v>
      </c>
      <c r="D2237" s="73">
        <v>3.51591699200015E7</v>
      </c>
      <c r="E2237" s="73">
        <v>5072017.97805052</v>
      </c>
      <c r="F2237" s="73"/>
      <c r="G2237" s="73"/>
      <c r="H2237" s="73"/>
      <c r="I2237" s="73"/>
      <c r="J2237" s="73"/>
      <c r="K2237" s="73"/>
      <c r="L2237" s="73"/>
      <c r="M2237" s="73"/>
      <c r="N2237" s="73"/>
      <c r="O2237" s="73"/>
      <c r="P2237" s="73"/>
      <c r="Q2237" s="73"/>
      <c r="R2237" s="73"/>
      <c r="S2237" s="73"/>
      <c r="T2237" s="73"/>
      <c r="U2237" s="73"/>
      <c r="V2237" s="73"/>
      <c r="W2237" s="73"/>
      <c r="X2237" s="73"/>
      <c r="Y2237" s="73"/>
      <c r="Z2237" s="73"/>
      <c r="AA2237" s="73"/>
      <c r="AB2237" s="73"/>
    </row>
    <row r="2238">
      <c r="A2238" s="73"/>
      <c r="B2238" s="73">
        <v>763730.1383</v>
      </c>
      <c r="C2238" s="73">
        <v>1.02190812681454E8</v>
      </c>
      <c r="D2238" s="73">
        <v>3.52163913639948E7</v>
      </c>
      <c r="E2238" s="73">
        <v>5078857.94504528</v>
      </c>
      <c r="F2238" s="73"/>
      <c r="G2238" s="73"/>
      <c r="H2238" s="73"/>
      <c r="I2238" s="73"/>
      <c r="J2238" s="73"/>
      <c r="K2238" s="73"/>
      <c r="L2238" s="73"/>
      <c r="M2238" s="73"/>
      <c r="N2238" s="73"/>
      <c r="O2238" s="73"/>
      <c r="P2238" s="73"/>
      <c r="Q2238" s="73"/>
      <c r="R2238" s="73"/>
      <c r="S2238" s="73"/>
      <c r="T2238" s="73"/>
      <c r="U2238" s="73"/>
      <c r="V2238" s="73"/>
      <c r="W2238" s="73"/>
      <c r="X2238" s="73"/>
      <c r="Y2238" s="73"/>
      <c r="Z2238" s="73"/>
      <c r="AA2238" s="73"/>
      <c r="AB2238" s="73"/>
    </row>
    <row r="2239">
      <c r="A2239" s="73"/>
      <c r="B2239" s="73">
        <v>764950.4839</v>
      </c>
      <c r="C2239" s="73">
        <v>1.02315211957998E8</v>
      </c>
      <c r="D2239" s="73">
        <v>3.52736749319957E7</v>
      </c>
      <c r="E2239" s="73">
        <v>5085704.76483368</v>
      </c>
      <c r="F2239" s="73"/>
      <c r="G2239" s="73"/>
      <c r="H2239" s="73"/>
      <c r="I2239" s="73"/>
      <c r="J2239" s="73"/>
      <c r="K2239" s="73"/>
      <c r="L2239" s="73"/>
      <c r="M2239" s="73"/>
      <c r="N2239" s="73"/>
      <c r="O2239" s="73"/>
      <c r="P2239" s="73"/>
      <c r="Q2239" s="73"/>
      <c r="R2239" s="73"/>
      <c r="S2239" s="73"/>
      <c r="T2239" s="73"/>
      <c r="U2239" s="73"/>
      <c r="V2239" s="73"/>
      <c r="W2239" s="73"/>
      <c r="X2239" s="73"/>
      <c r="Y2239" s="73"/>
      <c r="Z2239" s="73"/>
      <c r="AA2239" s="73"/>
      <c r="AB2239" s="73"/>
    </row>
    <row r="2240">
      <c r="A2240" s="73"/>
      <c r="B2240" s="73">
        <v>766172.5452</v>
      </c>
      <c r="C2240" s="73">
        <v>1.0243971835454E8</v>
      </c>
      <c r="D2240" s="73">
        <v>3.53310206279966E7</v>
      </c>
      <c r="E2240" s="73">
        <v>5092558.07054973</v>
      </c>
      <c r="F2240" s="73"/>
      <c r="G2240" s="73"/>
      <c r="H2240" s="73"/>
      <c r="I2240" s="73"/>
      <c r="J2240" s="73"/>
      <c r="K2240" s="73"/>
      <c r="L2240" s="73"/>
      <c r="M2240" s="73"/>
      <c r="N2240" s="73"/>
      <c r="O2240" s="73"/>
      <c r="P2240" s="73"/>
      <c r="Q2240" s="73"/>
      <c r="R2240" s="73"/>
      <c r="S2240" s="73"/>
      <c r="T2240" s="73"/>
      <c r="U2240" s="73"/>
      <c r="V2240" s="73"/>
      <c r="W2240" s="73"/>
      <c r="X2240" s="73"/>
      <c r="Y2240" s="73"/>
      <c r="Z2240" s="73"/>
      <c r="AA2240" s="73"/>
      <c r="AB2240" s="73"/>
    </row>
    <row r="2241">
      <c r="A2241" s="73"/>
      <c r="B2241" s="73">
        <v>767396.282</v>
      </c>
      <c r="C2241" s="73">
        <v>1.02564323631079E8</v>
      </c>
      <c r="D2241" s="73">
        <v>3.53884233279976E7</v>
      </c>
      <c r="E2241" s="73">
        <v>5099417.87014343</v>
      </c>
      <c r="F2241" s="73"/>
      <c r="G2241" s="73"/>
      <c r="H2241" s="73"/>
      <c r="I2241" s="73"/>
      <c r="J2241" s="73"/>
      <c r="K2241" s="73"/>
      <c r="L2241" s="73"/>
      <c r="M2241" s="73"/>
      <c r="N2241" s="73"/>
      <c r="O2241" s="73"/>
      <c r="P2241" s="73"/>
      <c r="Q2241" s="73"/>
      <c r="R2241" s="73"/>
      <c r="S2241" s="73"/>
      <c r="T2241" s="73"/>
      <c r="U2241" s="73"/>
      <c r="V2241" s="73"/>
      <c r="W2241" s="73"/>
      <c r="X2241" s="73"/>
      <c r="Y2241" s="73"/>
      <c r="Z2241" s="73"/>
      <c r="AA2241" s="73"/>
      <c r="AB2241" s="73"/>
    </row>
    <row r="2242">
      <c r="A2242" s="73"/>
      <c r="B2242" s="73">
        <v>768621.7159</v>
      </c>
      <c r="C2242" s="73">
        <v>1.02689003067616E8</v>
      </c>
      <c r="D2242" s="73">
        <v>3.54458906759985E7</v>
      </c>
      <c r="E2242" s="73">
        <v>5106284.84699674</v>
      </c>
      <c r="F2242" s="73"/>
      <c r="G2242" s="73"/>
      <c r="H2242" s="73"/>
      <c r="I2242" s="73"/>
      <c r="J2242" s="73"/>
      <c r="K2242" s="73"/>
      <c r="L2242" s="73"/>
      <c r="M2242" s="73"/>
      <c r="N2242" s="73"/>
      <c r="O2242" s="73"/>
      <c r="P2242" s="73"/>
      <c r="Q2242" s="73"/>
      <c r="R2242" s="73"/>
      <c r="S2242" s="73"/>
      <c r="T2242" s="73"/>
      <c r="U2242" s="73"/>
      <c r="V2242" s="73"/>
      <c r="W2242" s="73"/>
      <c r="X2242" s="73"/>
      <c r="Y2242" s="73"/>
      <c r="Z2242" s="73"/>
      <c r="AA2242" s="73"/>
      <c r="AB2242" s="73"/>
    </row>
    <row r="2243">
      <c r="A2243" s="73"/>
      <c r="B2243" s="73">
        <v>769848.827</v>
      </c>
      <c r="C2243" s="73">
        <v>1.02813797864149E8</v>
      </c>
      <c r="D2243" s="73">
        <v>3.55034150319994E7</v>
      </c>
      <c r="E2243" s="73">
        <v>5113158.33627769</v>
      </c>
      <c r="F2243" s="73"/>
      <c r="G2243" s="73"/>
      <c r="H2243" s="73"/>
      <c r="I2243" s="73"/>
      <c r="J2243" s="73"/>
      <c r="K2243" s="73"/>
      <c r="L2243" s="73"/>
      <c r="M2243" s="73"/>
      <c r="N2243" s="73"/>
      <c r="O2243" s="73"/>
      <c r="P2243" s="73"/>
      <c r="Q2243" s="73"/>
      <c r="R2243" s="73"/>
      <c r="S2243" s="73"/>
      <c r="T2243" s="73"/>
      <c r="U2243" s="73"/>
      <c r="V2243" s="73"/>
      <c r="W2243" s="73"/>
      <c r="X2243" s="73"/>
      <c r="Y2243" s="73"/>
      <c r="Z2243" s="73"/>
      <c r="AA2243" s="73"/>
      <c r="AB2243" s="73"/>
    </row>
    <row r="2244">
      <c r="A2244" s="73"/>
      <c r="B2244" s="73">
        <v>771077.6536</v>
      </c>
      <c r="C2244" s="73">
        <v>1.0293868330068E8</v>
      </c>
      <c r="D2244" s="73">
        <v>3.55610015480003E7</v>
      </c>
      <c r="E2244" s="73">
        <v>5120038.3538863</v>
      </c>
      <c r="F2244" s="73"/>
      <c r="G2244" s="73"/>
      <c r="H2244" s="73"/>
      <c r="I2244" s="73"/>
      <c r="J2244" s="73"/>
      <c r="K2244" s="73"/>
      <c r="L2244" s="73"/>
      <c r="M2244" s="73"/>
      <c r="N2244" s="73"/>
      <c r="O2244" s="73"/>
      <c r="P2244" s="73"/>
      <c r="Q2244" s="73"/>
      <c r="R2244" s="73"/>
      <c r="S2244" s="73"/>
      <c r="T2244" s="73"/>
      <c r="U2244" s="73"/>
      <c r="V2244" s="73"/>
      <c r="W2244" s="73"/>
      <c r="X2244" s="73"/>
      <c r="Y2244" s="73"/>
      <c r="Z2244" s="73"/>
      <c r="AA2244" s="73"/>
      <c r="AB2244" s="73"/>
    </row>
    <row r="2245">
      <c r="A2245" s="73"/>
      <c r="B2245" s="73">
        <v>772308.1805</v>
      </c>
      <c r="C2245" s="73">
        <v>1.03063659377209E8</v>
      </c>
      <c r="D2245" s="73">
        <v>3.56186501560012E7</v>
      </c>
      <c r="E2245" s="73">
        <v>5126925.17128854</v>
      </c>
      <c r="F2245" s="73"/>
      <c r="G2245" s="73"/>
      <c r="H2245" s="73"/>
      <c r="I2245" s="73"/>
      <c r="J2245" s="73"/>
      <c r="K2245" s="73"/>
      <c r="L2245" s="73"/>
      <c r="M2245" s="73"/>
      <c r="N2245" s="73"/>
      <c r="O2245" s="73"/>
      <c r="P2245" s="73"/>
      <c r="Q2245" s="73"/>
      <c r="R2245" s="73"/>
      <c r="S2245" s="73"/>
      <c r="T2245" s="73"/>
      <c r="U2245" s="73"/>
      <c r="V2245" s="73"/>
      <c r="W2245" s="73"/>
      <c r="X2245" s="73"/>
      <c r="Y2245" s="73"/>
      <c r="Z2245" s="73"/>
      <c r="AA2245" s="73"/>
      <c r="AB2245" s="73"/>
    </row>
    <row r="2246">
      <c r="A2246" s="73"/>
      <c r="B2246" s="73">
        <v>773540.3845</v>
      </c>
      <c r="C2246" s="73">
        <v>1.03188742573734E8</v>
      </c>
      <c r="D2246" s="73">
        <v>3.56763582519945E7</v>
      </c>
      <c r="E2246" s="73">
        <v>5133818.84148441</v>
      </c>
      <c r="F2246" s="73"/>
      <c r="G2246" s="73"/>
      <c r="H2246" s="73"/>
      <c r="I2246" s="73"/>
      <c r="J2246" s="73"/>
      <c r="K2246" s="73"/>
      <c r="L2246" s="73"/>
      <c r="M2246" s="73"/>
      <c r="N2246" s="73"/>
      <c r="O2246" s="73"/>
      <c r="P2246" s="73"/>
      <c r="Q2246" s="73"/>
      <c r="R2246" s="73"/>
      <c r="S2246" s="73"/>
      <c r="T2246" s="73"/>
      <c r="U2246" s="73"/>
      <c r="V2246" s="73"/>
      <c r="W2246" s="73"/>
      <c r="X2246" s="73"/>
      <c r="Y2246" s="73"/>
      <c r="Z2246" s="73"/>
      <c r="AA2246" s="73"/>
      <c r="AB2246" s="73"/>
    </row>
    <row r="2247">
      <c r="A2247" s="73"/>
      <c r="B2247" s="73">
        <v>774774.2759</v>
      </c>
      <c r="C2247" s="73">
        <v>1.03313916410257E8</v>
      </c>
      <c r="D2247" s="73">
        <v>3.57341285519954E7</v>
      </c>
      <c r="E2247" s="73">
        <v>5140719.4757739</v>
      </c>
      <c r="F2247" s="73"/>
      <c r="G2247" s="73"/>
      <c r="H2247" s="73"/>
      <c r="I2247" s="73"/>
      <c r="J2247" s="73"/>
      <c r="K2247" s="73"/>
      <c r="L2247" s="73"/>
      <c r="M2247" s="73"/>
      <c r="N2247" s="73"/>
      <c r="O2247" s="73"/>
      <c r="P2247" s="73"/>
      <c r="Q2247" s="73"/>
      <c r="R2247" s="73"/>
      <c r="S2247" s="73"/>
      <c r="T2247" s="73"/>
      <c r="U2247" s="73"/>
      <c r="V2247" s="73"/>
      <c r="W2247" s="73"/>
      <c r="X2247" s="73"/>
      <c r="Y2247" s="73"/>
      <c r="Z2247" s="73"/>
      <c r="AA2247" s="73"/>
      <c r="AB2247" s="73"/>
    </row>
    <row r="2248">
      <c r="A2248" s="73"/>
      <c r="B2248" s="73">
        <v>776009.8789</v>
      </c>
      <c r="C2248" s="73">
        <v>1.03439172646778E8</v>
      </c>
      <c r="D2248" s="73">
        <v>3.57919583759963E7</v>
      </c>
      <c r="E2248" s="73">
        <v>5147626.50059105</v>
      </c>
      <c r="F2248" s="73"/>
      <c r="G2248" s="73"/>
      <c r="H2248" s="73"/>
      <c r="I2248" s="73"/>
      <c r="J2248" s="73"/>
      <c r="K2248" s="73"/>
      <c r="L2248" s="73"/>
      <c r="M2248" s="73"/>
      <c r="N2248" s="73"/>
      <c r="O2248" s="73"/>
      <c r="P2248" s="73"/>
      <c r="Q2248" s="73"/>
      <c r="R2248" s="73"/>
      <c r="S2248" s="73"/>
      <c r="T2248" s="73"/>
      <c r="U2248" s="73"/>
      <c r="V2248" s="73"/>
      <c r="W2248" s="73"/>
      <c r="X2248" s="73"/>
      <c r="Y2248" s="73"/>
      <c r="Z2248" s="73"/>
      <c r="AA2248" s="73"/>
      <c r="AB2248" s="73"/>
    </row>
    <row r="2249">
      <c r="A2249" s="73"/>
      <c r="B2249" s="73">
        <v>777247.1821</v>
      </c>
      <c r="C2249" s="73">
        <v>1.03564544243296E8</v>
      </c>
      <c r="D2249" s="73">
        <v>3.58498478079973E7</v>
      </c>
      <c r="E2249" s="73">
        <v>5154540.37820183</v>
      </c>
      <c r="F2249" s="73"/>
      <c r="G2249" s="73"/>
      <c r="H2249" s="73"/>
      <c r="I2249" s="73"/>
      <c r="J2249" s="73"/>
      <c r="K2249" s="73"/>
      <c r="L2249" s="73"/>
      <c r="M2249" s="73"/>
      <c r="N2249" s="73"/>
      <c r="O2249" s="73"/>
      <c r="P2249" s="73"/>
      <c r="Q2249" s="73"/>
      <c r="R2249" s="73"/>
      <c r="S2249" s="73"/>
      <c r="T2249" s="73"/>
      <c r="U2249" s="73"/>
      <c r="V2249" s="73"/>
      <c r="W2249" s="73"/>
      <c r="X2249" s="73"/>
      <c r="Y2249" s="73"/>
      <c r="Z2249" s="73"/>
      <c r="AA2249" s="73"/>
      <c r="AB2249" s="73"/>
    </row>
    <row r="2250">
      <c r="A2250" s="73"/>
      <c r="B2250" s="73">
        <v>778486.1855</v>
      </c>
      <c r="C2250" s="73">
        <v>1.03689998239811E8</v>
      </c>
      <c r="D2250" s="73">
        <v>3.59077993239982E7</v>
      </c>
      <c r="E2250" s="73">
        <v>5161460.86894025</v>
      </c>
      <c r="F2250" s="73"/>
      <c r="G2250" s="73"/>
      <c r="H2250" s="73"/>
      <c r="I2250" s="73"/>
      <c r="J2250" s="73"/>
      <c r="K2250" s="73"/>
      <c r="L2250" s="73"/>
      <c r="M2250" s="73"/>
      <c r="N2250" s="73"/>
      <c r="O2250" s="73"/>
      <c r="P2250" s="73"/>
      <c r="Q2250" s="73"/>
      <c r="R2250" s="73"/>
      <c r="S2250" s="73"/>
      <c r="T2250" s="73"/>
      <c r="U2250" s="73"/>
      <c r="V2250" s="73"/>
      <c r="W2250" s="73"/>
      <c r="X2250" s="73"/>
      <c r="Y2250" s="73"/>
      <c r="Z2250" s="73"/>
      <c r="AA2250" s="73"/>
      <c r="AB2250" s="73"/>
    </row>
    <row r="2251">
      <c r="A2251" s="73"/>
      <c r="B2251" s="73">
        <v>779726.8892</v>
      </c>
      <c r="C2251" s="73">
        <v>1.03815559356323E8</v>
      </c>
      <c r="D2251" s="73">
        <v>3.59658103719991E7</v>
      </c>
      <c r="E2251" s="73">
        <v>5168388.52633828</v>
      </c>
      <c r="F2251" s="73"/>
      <c r="G2251" s="73"/>
      <c r="H2251" s="73"/>
      <c r="I2251" s="73"/>
      <c r="J2251" s="73"/>
      <c r="K2251" s="73"/>
      <c r="L2251" s="73"/>
      <c r="M2251" s="73"/>
      <c r="N2251" s="73"/>
      <c r="O2251" s="73"/>
      <c r="P2251" s="73"/>
      <c r="Q2251" s="73"/>
      <c r="R2251" s="73"/>
      <c r="S2251" s="73"/>
      <c r="T2251" s="73"/>
      <c r="U2251" s="73"/>
      <c r="V2251" s="73"/>
      <c r="W2251" s="73"/>
      <c r="X2251" s="73"/>
      <c r="Y2251" s="73"/>
      <c r="Z2251" s="73"/>
      <c r="AA2251" s="73"/>
      <c r="AB2251" s="73"/>
    </row>
    <row r="2252">
      <c r="A2252" s="73"/>
      <c r="B2252" s="73">
        <v>780969.2747</v>
      </c>
      <c r="C2252" s="73">
        <v>1.03941219352833E8</v>
      </c>
      <c r="D2252" s="73">
        <v>3.602388362E7</v>
      </c>
      <c r="E2252" s="73">
        <v>5175322.62726397</v>
      </c>
      <c r="F2252" s="73"/>
      <c r="G2252" s="73"/>
      <c r="H2252" s="73"/>
      <c r="I2252" s="73"/>
      <c r="J2252" s="73"/>
      <c r="K2252" s="73"/>
      <c r="L2252" s="73"/>
      <c r="M2252" s="73"/>
      <c r="N2252" s="73"/>
      <c r="O2252" s="73"/>
      <c r="P2252" s="73"/>
      <c r="Q2252" s="73"/>
      <c r="R2252" s="73"/>
      <c r="S2252" s="73"/>
      <c r="T2252" s="73"/>
      <c r="U2252" s="73"/>
      <c r="V2252" s="73"/>
      <c r="W2252" s="73"/>
      <c r="X2252" s="73"/>
      <c r="Y2252" s="73"/>
      <c r="Z2252" s="73"/>
      <c r="AA2252" s="73"/>
      <c r="AB2252" s="73"/>
    </row>
    <row r="2253">
      <c r="A2253" s="73"/>
      <c r="B2253" s="73">
        <v>782213.362</v>
      </c>
      <c r="C2253" s="73">
        <v>1.0406696174934E8</v>
      </c>
      <c r="D2253" s="73">
        <v>3.60820188800009E7</v>
      </c>
      <c r="E2253" s="73">
        <v>5182263.3148173</v>
      </c>
      <c r="F2253" s="73"/>
      <c r="G2253" s="73"/>
      <c r="H2253" s="73"/>
      <c r="I2253" s="73"/>
      <c r="J2253" s="73"/>
      <c r="K2253" s="73"/>
      <c r="L2253" s="73"/>
      <c r="M2253" s="73"/>
      <c r="N2253" s="73"/>
      <c r="O2253" s="73"/>
      <c r="P2253" s="73"/>
      <c r="Q2253" s="73"/>
      <c r="R2253" s="73"/>
      <c r="S2253" s="73"/>
      <c r="T2253" s="73"/>
      <c r="U2253" s="73"/>
      <c r="V2253" s="73"/>
      <c r="W2253" s="73"/>
      <c r="X2253" s="73"/>
      <c r="Y2253" s="73"/>
      <c r="Z2253" s="73"/>
      <c r="AA2253" s="73"/>
      <c r="AB2253" s="73"/>
    </row>
    <row r="2254">
      <c r="A2254" s="73"/>
      <c r="B2254" s="73">
        <v>783459.1639</v>
      </c>
      <c r="C2254" s="73">
        <v>1.04192811265844E8</v>
      </c>
      <c r="D2254" s="73">
        <v>3.61402111839942E7</v>
      </c>
      <c r="E2254" s="73">
        <v>5189210.82071426</v>
      </c>
      <c r="F2254" s="73"/>
      <c r="G2254" s="73"/>
      <c r="H2254" s="73"/>
      <c r="I2254" s="73"/>
      <c r="J2254" s="73"/>
      <c r="K2254" s="73"/>
      <c r="L2254" s="73"/>
      <c r="M2254" s="73"/>
      <c r="N2254" s="73"/>
      <c r="O2254" s="73"/>
      <c r="P2254" s="73"/>
      <c r="Q2254" s="73"/>
      <c r="R2254" s="73"/>
      <c r="S2254" s="73"/>
      <c r="T2254" s="73"/>
      <c r="U2254" s="73"/>
      <c r="V2254" s="73"/>
      <c r="W2254" s="73"/>
      <c r="X2254" s="73"/>
      <c r="Y2254" s="73"/>
      <c r="Z2254" s="73"/>
      <c r="AA2254" s="73"/>
      <c r="AB2254" s="73"/>
    </row>
    <row r="2255">
      <c r="A2255" s="73"/>
      <c r="B2255" s="73">
        <v>784706.6564</v>
      </c>
      <c r="C2255" s="73">
        <v>1.04318751422346E8</v>
      </c>
      <c r="D2255" s="73">
        <v>3.61984682119951E7</v>
      </c>
      <c r="E2255" s="73">
        <v>5196165.20325485</v>
      </c>
      <c r="F2255" s="73"/>
      <c r="G2255" s="73"/>
      <c r="H2255" s="73"/>
      <c r="I2255" s="73"/>
      <c r="J2255" s="73"/>
      <c r="K2255" s="73"/>
      <c r="L2255" s="73"/>
      <c r="M2255" s="73"/>
      <c r="N2255" s="73"/>
      <c r="O2255" s="73"/>
      <c r="P2255" s="73"/>
      <c r="Q2255" s="73"/>
      <c r="R2255" s="73"/>
      <c r="S2255" s="73"/>
      <c r="T2255" s="73"/>
      <c r="U2255" s="73"/>
      <c r="V2255" s="73"/>
      <c r="W2255" s="73"/>
      <c r="X2255" s="73"/>
      <c r="Y2255" s="73"/>
      <c r="Z2255" s="73"/>
      <c r="AA2255" s="73"/>
      <c r="AB2255" s="73"/>
    </row>
    <row r="2256">
      <c r="A2256" s="73"/>
      <c r="B2256" s="73">
        <v>785955.8539</v>
      </c>
      <c r="C2256" s="73">
        <v>1.04444782218845E8</v>
      </c>
      <c r="D2256" s="73">
        <v>3.6256784767996E7</v>
      </c>
      <c r="E2256" s="73">
        <v>5203126.15652309</v>
      </c>
      <c r="F2256" s="73"/>
      <c r="G2256" s="73"/>
      <c r="H2256" s="73"/>
      <c r="I2256" s="73"/>
      <c r="J2256" s="73"/>
      <c r="K2256" s="73"/>
      <c r="L2256" s="73"/>
      <c r="M2256" s="73"/>
      <c r="N2256" s="73"/>
      <c r="O2256" s="73"/>
      <c r="P2256" s="73"/>
      <c r="Q2256" s="73"/>
      <c r="R2256" s="73"/>
      <c r="S2256" s="73"/>
      <c r="T2256" s="73"/>
      <c r="U2256" s="73"/>
      <c r="V2256" s="73"/>
      <c r="W2256" s="73"/>
      <c r="X2256" s="73"/>
      <c r="Y2256" s="73"/>
      <c r="Z2256" s="73"/>
      <c r="AA2256" s="73"/>
      <c r="AB2256" s="73"/>
    </row>
    <row r="2257">
      <c r="A2257" s="73"/>
      <c r="B2257" s="73">
        <v>787206.7531</v>
      </c>
      <c r="C2257" s="73">
        <v>1.04570911895342E8</v>
      </c>
      <c r="D2257" s="73">
        <v>3.63151634519969E7</v>
      </c>
      <c r="E2257" s="73">
        <v>5210094.27645094</v>
      </c>
      <c r="F2257" s="73"/>
      <c r="G2257" s="73"/>
      <c r="H2257" s="73"/>
      <c r="I2257" s="73"/>
      <c r="J2257" s="73"/>
      <c r="K2257" s="73"/>
      <c r="L2257" s="73"/>
      <c r="M2257" s="73"/>
      <c r="N2257" s="73"/>
      <c r="O2257" s="73"/>
      <c r="P2257" s="73"/>
      <c r="Q2257" s="73"/>
      <c r="R2257" s="73"/>
      <c r="S2257" s="73"/>
      <c r="T2257" s="73"/>
      <c r="U2257" s="73"/>
      <c r="V2257" s="73"/>
      <c r="W2257" s="73"/>
      <c r="X2257" s="73"/>
      <c r="Y2257" s="73"/>
      <c r="Z2257" s="73"/>
      <c r="AA2257" s="73"/>
      <c r="AB2257" s="73"/>
    </row>
    <row r="2258">
      <c r="A2258" s="73"/>
      <c r="B2258" s="73">
        <v>788459.3501</v>
      </c>
      <c r="C2258" s="73">
        <v>1.04697140451836E8</v>
      </c>
      <c r="D2258" s="73">
        <v>3.63736016599979E7</v>
      </c>
      <c r="E2258" s="73">
        <v>5217068.60819046</v>
      </c>
      <c r="F2258" s="73"/>
      <c r="G2258" s="73"/>
      <c r="H2258" s="73"/>
      <c r="I2258" s="73"/>
      <c r="J2258" s="73"/>
      <c r="K2258" s="73"/>
      <c r="L2258" s="73"/>
      <c r="M2258" s="73"/>
      <c r="N2258" s="73"/>
      <c r="O2258" s="73"/>
      <c r="P2258" s="73"/>
      <c r="Q2258" s="73"/>
      <c r="R2258" s="73"/>
      <c r="S2258" s="73"/>
      <c r="T2258" s="73"/>
      <c r="U2258" s="73"/>
      <c r="V2258" s="73"/>
      <c r="W2258" s="73"/>
      <c r="X2258" s="73"/>
      <c r="Y2258" s="73"/>
      <c r="Z2258" s="73"/>
      <c r="AA2258" s="73"/>
      <c r="AB2258" s="73"/>
    </row>
    <row r="2259">
      <c r="A2259" s="73"/>
      <c r="B2259" s="73">
        <v>789713.6593</v>
      </c>
      <c r="C2259" s="73">
        <v>1.04823476128326E8</v>
      </c>
      <c r="D2259" s="73">
        <v>3.64321019959988E7</v>
      </c>
      <c r="E2259" s="73">
        <v>5224050.10658958</v>
      </c>
      <c r="F2259" s="73"/>
      <c r="G2259" s="73"/>
      <c r="H2259" s="73"/>
      <c r="I2259" s="73"/>
      <c r="J2259" s="73"/>
      <c r="K2259" s="73"/>
      <c r="L2259" s="73"/>
      <c r="M2259" s="73"/>
      <c r="N2259" s="73"/>
      <c r="O2259" s="73"/>
      <c r="P2259" s="73"/>
      <c r="Q2259" s="73"/>
      <c r="R2259" s="73"/>
      <c r="S2259" s="73"/>
      <c r="T2259" s="73"/>
      <c r="U2259" s="73"/>
      <c r="V2259" s="73"/>
      <c r="W2259" s="73"/>
      <c r="X2259" s="73"/>
      <c r="Y2259" s="73"/>
      <c r="Z2259" s="73"/>
      <c r="AA2259" s="73"/>
      <c r="AB2259" s="73"/>
    </row>
    <row r="2260">
      <c r="A2260" s="73"/>
      <c r="B2260" s="73">
        <v>790969.6661</v>
      </c>
      <c r="C2260" s="73">
        <v>1.04949894204815E8</v>
      </c>
      <c r="D2260" s="73">
        <v>3.64906619359997E7</v>
      </c>
      <c r="E2260" s="73">
        <v>5231038.14921636</v>
      </c>
      <c r="F2260" s="73"/>
      <c r="G2260" s="73"/>
      <c r="H2260" s="73"/>
      <c r="I2260" s="73"/>
      <c r="J2260" s="73"/>
      <c r="K2260" s="73"/>
      <c r="L2260" s="73"/>
      <c r="M2260" s="73"/>
      <c r="N2260" s="73"/>
      <c r="O2260" s="73"/>
      <c r="P2260" s="73"/>
      <c r="Q2260" s="73"/>
      <c r="R2260" s="73"/>
      <c r="S2260" s="73"/>
      <c r="T2260" s="73"/>
      <c r="U2260" s="73"/>
      <c r="V2260" s="73"/>
      <c r="W2260" s="73"/>
      <c r="X2260" s="73"/>
      <c r="Y2260" s="73"/>
      <c r="Z2260" s="73"/>
      <c r="AA2260" s="73"/>
      <c r="AB2260" s="73"/>
    </row>
    <row r="2261">
      <c r="A2261" s="73"/>
      <c r="B2261" s="73">
        <v>792227.3667</v>
      </c>
      <c r="C2261" s="73">
        <v>1.05076411161301E8</v>
      </c>
      <c r="D2261" s="73">
        <v>3.65492865240006E7</v>
      </c>
      <c r="E2261" s="73">
        <v>5238033.06848676</v>
      </c>
      <c r="F2261" s="73"/>
      <c r="G2261" s="73"/>
      <c r="H2261" s="73"/>
      <c r="I2261" s="73"/>
      <c r="J2261" s="73"/>
      <c r="K2261" s="73"/>
      <c r="L2261" s="73"/>
      <c r="M2261" s="73"/>
      <c r="N2261" s="73"/>
      <c r="O2261" s="73"/>
      <c r="P2261" s="73"/>
      <c r="Q2261" s="73"/>
      <c r="R2261" s="73"/>
      <c r="S2261" s="73"/>
      <c r="T2261" s="73"/>
      <c r="U2261" s="73"/>
      <c r="V2261" s="73"/>
      <c r="W2261" s="73"/>
      <c r="X2261" s="73"/>
      <c r="Y2261" s="73"/>
      <c r="Z2261" s="73"/>
      <c r="AA2261" s="73"/>
      <c r="AB2261" s="73"/>
    </row>
    <row r="2262">
      <c r="A2262" s="73"/>
      <c r="B2262" s="73">
        <v>793486.785</v>
      </c>
      <c r="C2262" s="73">
        <v>1.05203035237783E8</v>
      </c>
      <c r="D2262" s="73">
        <v>3.66079681160015E7</v>
      </c>
      <c r="E2262" s="73">
        <v>5245034.84850079</v>
      </c>
      <c r="F2262" s="73"/>
      <c r="G2262" s="73"/>
      <c r="H2262" s="73"/>
      <c r="I2262" s="73"/>
      <c r="J2262" s="73"/>
      <c r="K2262" s="73"/>
      <c r="L2262" s="73"/>
      <c r="M2262" s="73"/>
      <c r="N2262" s="73"/>
      <c r="O2262" s="73"/>
      <c r="P2262" s="73"/>
      <c r="Q2262" s="73"/>
      <c r="R2262" s="73"/>
      <c r="S2262" s="73"/>
      <c r="T2262" s="73"/>
      <c r="U2262" s="73"/>
      <c r="V2262" s="73"/>
      <c r="W2262" s="73"/>
      <c r="X2262" s="73"/>
      <c r="Y2262" s="73"/>
      <c r="Z2262" s="73"/>
      <c r="AA2262" s="73"/>
      <c r="AB2262" s="73"/>
    </row>
    <row r="2263">
      <c r="A2263" s="73"/>
      <c r="B2263" s="73">
        <v>794747.9114</v>
      </c>
      <c r="C2263" s="73">
        <v>1.05329733474264E8</v>
      </c>
      <c r="D2263" s="73">
        <v>3.66667118399948E7</v>
      </c>
      <c r="E2263" s="73">
        <v>5252043.23104247</v>
      </c>
      <c r="F2263" s="73"/>
      <c r="G2263" s="73"/>
      <c r="H2263" s="73"/>
      <c r="I2263" s="73"/>
      <c r="J2263" s="73"/>
      <c r="K2263" s="73"/>
      <c r="L2263" s="73"/>
      <c r="M2263" s="73"/>
      <c r="N2263" s="73"/>
      <c r="O2263" s="73"/>
      <c r="P2263" s="73"/>
      <c r="Q2263" s="73"/>
      <c r="R2263" s="73"/>
      <c r="S2263" s="73"/>
      <c r="T2263" s="73"/>
      <c r="U2263" s="73"/>
      <c r="V2263" s="73"/>
      <c r="W2263" s="73"/>
      <c r="X2263" s="73"/>
      <c r="Y2263" s="73"/>
      <c r="Z2263" s="73"/>
      <c r="AA2263" s="73"/>
      <c r="AB2263" s="73"/>
    </row>
    <row r="2264">
      <c r="A2264" s="73"/>
      <c r="B2264" s="73">
        <v>796010.7443</v>
      </c>
      <c r="C2264" s="73">
        <v>1.05456547070742E8</v>
      </c>
      <c r="D2264" s="73">
        <v>3.67255202439957E7</v>
      </c>
      <c r="E2264" s="73">
        <v>5259058.40542778</v>
      </c>
      <c r="F2264" s="73"/>
      <c r="G2264" s="73"/>
      <c r="H2264" s="73"/>
      <c r="I2264" s="73"/>
      <c r="J2264" s="73"/>
      <c r="K2264" s="73"/>
      <c r="L2264" s="73"/>
      <c r="M2264" s="73"/>
      <c r="N2264" s="73"/>
      <c r="O2264" s="73"/>
      <c r="P2264" s="73"/>
      <c r="Q2264" s="73"/>
      <c r="R2264" s="73"/>
      <c r="S2264" s="73"/>
      <c r="T2264" s="73"/>
      <c r="U2264" s="73"/>
      <c r="V2264" s="73"/>
      <c r="W2264" s="73"/>
      <c r="X2264" s="73"/>
      <c r="Y2264" s="73"/>
      <c r="Z2264" s="73"/>
      <c r="AA2264" s="73"/>
      <c r="AB2264" s="73"/>
    </row>
    <row r="2265">
      <c r="A2265" s="73"/>
      <c r="B2265" s="73">
        <v>797275.2852</v>
      </c>
      <c r="C2265" s="73">
        <v>1.05583451307217E8</v>
      </c>
      <c r="D2265" s="73">
        <v>3.67843856559966E7</v>
      </c>
      <c r="E2265" s="73">
        <v>5266080.09754074</v>
      </c>
      <c r="F2265" s="73"/>
      <c r="G2265" s="73"/>
      <c r="H2265" s="73"/>
      <c r="I2265" s="73"/>
      <c r="J2265" s="73"/>
      <c r="K2265" s="73"/>
      <c r="L2265" s="73"/>
      <c r="M2265" s="73"/>
      <c r="N2265" s="73"/>
      <c r="O2265" s="73"/>
      <c r="P2265" s="73"/>
      <c r="Q2265" s="73"/>
      <c r="R2265" s="73"/>
      <c r="S2265" s="73"/>
      <c r="T2265" s="73"/>
      <c r="U2265" s="73"/>
      <c r="V2265" s="73"/>
      <c r="W2265" s="73"/>
      <c r="X2265" s="73"/>
      <c r="Y2265" s="73"/>
      <c r="Z2265" s="73"/>
      <c r="AA2265" s="73"/>
      <c r="AB2265" s="73"/>
    </row>
    <row r="2266">
      <c r="A2266" s="73"/>
      <c r="B2266" s="73">
        <v>798541.5254</v>
      </c>
      <c r="C2266" s="73">
        <v>1.05710454423689E8</v>
      </c>
      <c r="D2266" s="73">
        <v>3.68433131159976E7</v>
      </c>
      <c r="E2266" s="73">
        <v>5273109.1100133</v>
      </c>
      <c r="F2266" s="73"/>
      <c r="G2266" s="73"/>
      <c r="H2266" s="73"/>
      <c r="I2266" s="73"/>
      <c r="J2266" s="73"/>
      <c r="K2266" s="73"/>
      <c r="L2266" s="73"/>
      <c r="M2266" s="73"/>
      <c r="N2266" s="73"/>
      <c r="O2266" s="73"/>
      <c r="P2266" s="73"/>
      <c r="Q2266" s="73"/>
      <c r="R2266" s="73"/>
      <c r="S2266" s="73"/>
      <c r="T2266" s="73"/>
      <c r="U2266" s="73"/>
      <c r="V2266" s="73"/>
      <c r="W2266" s="73"/>
      <c r="X2266" s="73"/>
      <c r="Y2266" s="73"/>
      <c r="Z2266" s="73"/>
      <c r="AA2266" s="73"/>
      <c r="AB2266" s="73"/>
    </row>
    <row r="2267">
      <c r="A2267" s="73"/>
      <c r="B2267" s="73">
        <v>799809.4641</v>
      </c>
      <c r="C2267" s="73">
        <v>1.05837548180159E8</v>
      </c>
      <c r="D2267" s="73">
        <v>3.69023027799985E7</v>
      </c>
      <c r="E2267" s="73">
        <v>5280144.55541352</v>
      </c>
      <c r="F2267" s="73"/>
      <c r="G2267" s="73"/>
      <c r="H2267" s="73"/>
      <c r="I2267" s="73"/>
      <c r="J2267" s="73"/>
      <c r="K2267" s="73"/>
      <c r="L2267" s="73"/>
      <c r="M2267" s="73"/>
      <c r="N2267" s="73"/>
      <c r="O2267" s="73"/>
      <c r="P2267" s="73"/>
      <c r="Q2267" s="73"/>
      <c r="R2267" s="73"/>
      <c r="S2267" s="73"/>
      <c r="T2267" s="73"/>
      <c r="U2267" s="73"/>
      <c r="V2267" s="73"/>
      <c r="W2267" s="73"/>
      <c r="X2267" s="73"/>
      <c r="Y2267" s="73"/>
      <c r="Z2267" s="73"/>
      <c r="AA2267" s="73"/>
      <c r="AB2267" s="73"/>
    </row>
    <row r="2268">
      <c r="A2268" s="73"/>
      <c r="B2268" s="73">
        <v>801079.142</v>
      </c>
      <c r="C2268" s="73">
        <v>1.05964749056625E8</v>
      </c>
      <c r="D2268" s="73">
        <v>3.69613545319994E7</v>
      </c>
      <c r="E2268" s="73">
        <v>5287186.96225736</v>
      </c>
      <c r="F2268" s="73"/>
      <c r="G2268" s="73"/>
      <c r="H2268" s="73"/>
      <c r="I2268" s="73"/>
      <c r="J2268" s="73"/>
      <c r="K2268" s="73"/>
      <c r="L2268" s="73"/>
      <c r="M2268" s="73"/>
      <c r="N2268" s="73"/>
      <c r="O2268" s="73"/>
      <c r="P2268" s="73"/>
      <c r="Q2268" s="73"/>
      <c r="R2268" s="73"/>
      <c r="S2268" s="73"/>
      <c r="T2268" s="73"/>
      <c r="U2268" s="73"/>
      <c r="V2268" s="73"/>
      <c r="W2268" s="73"/>
      <c r="X2268" s="73"/>
      <c r="Y2268" s="73"/>
      <c r="Z2268" s="73"/>
      <c r="AA2268" s="73"/>
      <c r="AB2268" s="73"/>
    </row>
    <row r="2269">
      <c r="A2269" s="73"/>
      <c r="B2269" s="73">
        <v>802350.4799</v>
      </c>
      <c r="C2269" s="73">
        <v>1.0609204057309E8</v>
      </c>
      <c r="D2269" s="73">
        <v>3.70204684080003E7</v>
      </c>
      <c r="E2269" s="73">
        <v>5294235.90272884</v>
      </c>
      <c r="F2269" s="73"/>
      <c r="G2269" s="73"/>
      <c r="H2269" s="73"/>
      <c r="I2269" s="73"/>
      <c r="J2269" s="73"/>
      <c r="K2269" s="73"/>
      <c r="L2269" s="73"/>
      <c r="M2269" s="73"/>
      <c r="N2269" s="73"/>
      <c r="O2269" s="73"/>
      <c r="P2269" s="73"/>
      <c r="Q2269" s="73"/>
      <c r="R2269" s="73"/>
      <c r="S2269" s="73"/>
      <c r="T2269" s="73"/>
      <c r="U2269" s="73"/>
      <c r="V2269" s="73"/>
      <c r="W2269" s="73"/>
      <c r="X2269" s="73"/>
      <c r="Y2269" s="73"/>
      <c r="Z2269" s="73"/>
      <c r="AA2269" s="73"/>
      <c r="AB2269" s="73"/>
    </row>
    <row r="2270">
      <c r="A2270" s="73"/>
      <c r="B2270" s="73">
        <v>803623.5771</v>
      </c>
      <c r="C2270" s="73">
        <v>1.06219422729551E8</v>
      </c>
      <c r="D2270" s="73">
        <v>3.70796418520012E7</v>
      </c>
      <c r="E2270" s="73">
        <v>5301291.74634396</v>
      </c>
      <c r="F2270" s="73"/>
      <c r="G2270" s="73"/>
      <c r="H2270" s="73"/>
      <c r="I2270" s="73"/>
      <c r="J2270" s="73"/>
      <c r="K2270" s="73"/>
      <c r="L2270" s="73"/>
      <c r="M2270" s="73"/>
      <c r="N2270" s="73"/>
      <c r="O2270" s="73"/>
      <c r="P2270" s="73"/>
      <c r="Q2270" s="73"/>
      <c r="R2270" s="73"/>
      <c r="S2270" s="73"/>
      <c r="T2270" s="73"/>
      <c r="U2270" s="73"/>
      <c r="V2270" s="73"/>
      <c r="W2270" s="73"/>
      <c r="X2270" s="73"/>
      <c r="Y2270" s="73"/>
      <c r="Z2270" s="73"/>
      <c r="AA2270" s="73"/>
      <c r="AB2270" s="73"/>
    </row>
    <row r="2271">
      <c r="A2271" s="73"/>
      <c r="B2271" s="73">
        <v>804898.367</v>
      </c>
      <c r="C2271" s="73">
        <v>1.0634691200601E8</v>
      </c>
      <c r="D2271" s="73">
        <v>3.71388774239945E7</v>
      </c>
      <c r="E2271" s="73">
        <v>5308354.4401027</v>
      </c>
      <c r="F2271" s="73"/>
      <c r="G2271" s="73"/>
      <c r="H2271" s="73"/>
      <c r="I2271" s="73"/>
      <c r="J2271" s="73"/>
      <c r="K2271" s="73"/>
      <c r="L2271" s="73"/>
      <c r="M2271" s="73"/>
      <c r="N2271" s="73"/>
      <c r="O2271" s="73"/>
      <c r="P2271" s="73"/>
      <c r="Q2271" s="73"/>
      <c r="R2271" s="73"/>
      <c r="S2271" s="73"/>
      <c r="T2271" s="73"/>
      <c r="U2271" s="73"/>
      <c r="V2271" s="73"/>
      <c r="W2271" s="73"/>
      <c r="X2271" s="73"/>
      <c r="Y2271" s="73"/>
      <c r="Z2271" s="73"/>
      <c r="AA2271" s="73"/>
      <c r="AB2271" s="73"/>
    </row>
    <row r="2272">
      <c r="A2272" s="73"/>
      <c r="B2272" s="73">
        <v>806174.8481</v>
      </c>
      <c r="C2272" s="73">
        <v>1.06474491922466E8</v>
      </c>
      <c r="D2272" s="73">
        <v>3.71981725199954E7</v>
      </c>
      <c r="E2272" s="73">
        <v>5315423.92570508</v>
      </c>
      <c r="F2272" s="73"/>
      <c r="G2272" s="73"/>
      <c r="H2272" s="73"/>
      <c r="I2272" s="73"/>
      <c r="J2272" s="73"/>
      <c r="K2272" s="73"/>
      <c r="L2272" s="73"/>
      <c r="M2272" s="73"/>
      <c r="N2272" s="73"/>
      <c r="O2272" s="73"/>
      <c r="P2272" s="73"/>
      <c r="Q2272" s="73"/>
      <c r="R2272" s="73"/>
      <c r="S2272" s="73"/>
      <c r="T2272" s="73"/>
      <c r="U2272" s="73"/>
      <c r="V2272" s="73"/>
      <c r="W2272" s="73"/>
      <c r="X2272" s="73"/>
      <c r="Y2272" s="73"/>
      <c r="Z2272" s="73"/>
      <c r="AA2272" s="73"/>
      <c r="AB2272" s="73"/>
    </row>
    <row r="2273">
      <c r="A2273" s="73"/>
      <c r="B2273" s="73">
        <v>807453.0701</v>
      </c>
      <c r="C2273" s="73">
        <v>1.0660216247892E8</v>
      </c>
      <c r="D2273" s="73">
        <v>3.72575323399963E7</v>
      </c>
      <c r="E2273" s="73">
        <v>5322500.0456351</v>
      </c>
      <c r="F2273" s="73"/>
      <c r="G2273" s="73"/>
      <c r="H2273" s="73"/>
      <c r="I2273" s="73"/>
      <c r="J2273" s="73"/>
      <c r="K2273" s="73"/>
      <c r="L2273" s="73"/>
      <c r="M2273" s="73"/>
      <c r="N2273" s="73"/>
      <c r="O2273" s="73"/>
      <c r="P2273" s="73"/>
      <c r="Q2273" s="73"/>
      <c r="R2273" s="73"/>
      <c r="S2273" s="73"/>
      <c r="T2273" s="73"/>
      <c r="U2273" s="73"/>
      <c r="V2273" s="73"/>
      <c r="W2273" s="73"/>
      <c r="X2273" s="73"/>
      <c r="Y2273" s="73"/>
      <c r="Z2273" s="73"/>
      <c r="AA2273" s="73"/>
      <c r="AB2273" s="73"/>
    </row>
    <row r="2274">
      <c r="A2274" s="73"/>
      <c r="B2274" s="73">
        <v>808733.0049</v>
      </c>
      <c r="C2274" s="73">
        <v>1.06729931915371E8</v>
      </c>
      <c r="D2274" s="73">
        <v>3.73169517279973E7</v>
      </c>
      <c r="E2274" s="73">
        <v>5329583.05280875</v>
      </c>
      <c r="F2274" s="73"/>
      <c r="G2274" s="73"/>
      <c r="H2274" s="73"/>
      <c r="I2274" s="73"/>
      <c r="J2274" s="73"/>
      <c r="K2274" s="73"/>
      <c r="L2274" s="73"/>
      <c r="M2274" s="73"/>
      <c r="N2274" s="73"/>
      <c r="O2274" s="73"/>
      <c r="P2274" s="73"/>
      <c r="Q2274" s="73"/>
      <c r="R2274" s="73"/>
      <c r="S2274" s="73"/>
      <c r="T2274" s="73"/>
      <c r="U2274" s="73"/>
      <c r="V2274" s="73"/>
      <c r="W2274" s="73"/>
      <c r="X2274" s="73"/>
      <c r="Y2274" s="73"/>
      <c r="Z2274" s="73"/>
      <c r="AA2274" s="73"/>
      <c r="AB2274" s="73"/>
    </row>
    <row r="2275">
      <c r="A2275" s="73"/>
      <c r="B2275" s="73">
        <v>810014.6227</v>
      </c>
      <c r="C2275" s="73">
        <v>1.06857816711819E8</v>
      </c>
      <c r="D2275" s="73">
        <v>3.73764332039982E7</v>
      </c>
      <c r="E2275" s="73">
        <v>5336673.02672602</v>
      </c>
      <c r="F2275" s="73"/>
      <c r="G2275" s="73"/>
      <c r="H2275" s="73"/>
      <c r="I2275" s="73"/>
      <c r="J2275" s="73"/>
      <c r="K2275" s="73"/>
      <c r="L2275" s="73"/>
      <c r="M2275" s="73"/>
      <c r="N2275" s="73"/>
      <c r="O2275" s="73"/>
      <c r="P2275" s="73"/>
      <c r="Q2275" s="73"/>
      <c r="R2275" s="73"/>
      <c r="S2275" s="73"/>
      <c r="T2275" s="73"/>
      <c r="U2275" s="73"/>
      <c r="V2275" s="73"/>
      <c r="W2275" s="73"/>
      <c r="X2275" s="73"/>
      <c r="Y2275" s="73"/>
      <c r="Z2275" s="73"/>
      <c r="AA2275" s="73"/>
      <c r="AB2275" s="73"/>
    </row>
    <row r="2276">
      <c r="A2276" s="73"/>
      <c r="B2276" s="73">
        <v>811297.9629</v>
      </c>
      <c r="C2276" s="73">
        <v>1.06985783908264E8</v>
      </c>
      <c r="D2276" s="73">
        <v>3.74359768039991E7</v>
      </c>
      <c r="E2276" s="73">
        <v>5343769.48657094</v>
      </c>
      <c r="F2276" s="73"/>
      <c r="G2276" s="73"/>
      <c r="H2276" s="73"/>
      <c r="I2276" s="73"/>
      <c r="J2276" s="73"/>
      <c r="K2276" s="73"/>
      <c r="L2276" s="73"/>
      <c r="M2276" s="73"/>
      <c r="N2276" s="73"/>
      <c r="O2276" s="73"/>
      <c r="P2276" s="73"/>
      <c r="Q2276" s="73"/>
      <c r="R2276" s="73"/>
      <c r="S2276" s="73"/>
      <c r="T2276" s="73"/>
      <c r="U2276" s="73"/>
      <c r="V2276" s="73"/>
      <c r="W2276" s="73"/>
      <c r="X2276" s="73"/>
      <c r="Y2276" s="73"/>
      <c r="Z2276" s="73"/>
      <c r="AA2276" s="73"/>
      <c r="AB2276" s="73"/>
    </row>
    <row r="2277">
      <c r="A2277" s="73"/>
      <c r="B2277" s="73">
        <v>812583.0375</v>
      </c>
      <c r="C2277" s="73">
        <v>1.07113849984707E8</v>
      </c>
      <c r="D2277" s="73">
        <v>3.7495579972E7</v>
      </c>
      <c r="E2277" s="73">
        <v>5350872.8124595</v>
      </c>
      <c r="F2277" s="73"/>
      <c r="G2277" s="73"/>
      <c r="H2277" s="73"/>
      <c r="I2277" s="73"/>
      <c r="J2277" s="73"/>
      <c r="K2277" s="73"/>
      <c r="L2277" s="73"/>
      <c r="M2277" s="73"/>
      <c r="N2277" s="73"/>
      <c r="O2277" s="73"/>
      <c r="P2277" s="73"/>
      <c r="Q2277" s="73"/>
      <c r="R2277" s="73"/>
      <c r="S2277" s="73"/>
      <c r="T2277" s="73"/>
      <c r="U2277" s="73"/>
      <c r="V2277" s="73"/>
      <c r="W2277" s="73"/>
      <c r="X2277" s="73"/>
      <c r="Y2277" s="73"/>
      <c r="Z2277" s="73"/>
      <c r="AA2277" s="73"/>
      <c r="AB2277" s="73"/>
    </row>
    <row r="2278">
      <c r="A2278" s="73"/>
      <c r="B2278" s="73">
        <v>813869.7976</v>
      </c>
      <c r="C2278" s="73">
        <v>1.07242006701147E8</v>
      </c>
      <c r="D2278" s="73">
        <v>3.75552478640009E7</v>
      </c>
      <c r="E2278" s="73">
        <v>5357983.07329167</v>
      </c>
      <c r="F2278" s="73"/>
      <c r="G2278" s="73"/>
      <c r="H2278" s="73"/>
      <c r="I2278" s="73"/>
      <c r="J2278" s="73"/>
      <c r="K2278" s="73"/>
      <c r="L2278" s="73"/>
      <c r="M2278" s="73"/>
      <c r="N2278" s="73"/>
      <c r="O2278" s="73"/>
      <c r="P2278" s="73"/>
      <c r="Q2278" s="73"/>
      <c r="R2278" s="73"/>
      <c r="S2278" s="73"/>
      <c r="T2278" s="73"/>
      <c r="U2278" s="73"/>
      <c r="V2278" s="73"/>
      <c r="W2278" s="73"/>
      <c r="X2278" s="73"/>
      <c r="Y2278" s="73"/>
      <c r="Z2278" s="73"/>
      <c r="AA2278" s="73"/>
      <c r="AB2278" s="73"/>
    </row>
    <row r="2279">
      <c r="A2279" s="73"/>
      <c r="B2279" s="73">
        <v>815158.2921</v>
      </c>
      <c r="C2279" s="73">
        <v>1.07370270537584E8</v>
      </c>
      <c r="D2279" s="73">
        <v>3.76149752439942E7</v>
      </c>
      <c r="E2279" s="73">
        <v>5365100.18426748</v>
      </c>
      <c r="F2279" s="73"/>
      <c r="G2279" s="73"/>
      <c r="H2279" s="73"/>
      <c r="I2279" s="73"/>
      <c r="J2279" s="73"/>
      <c r="K2279" s="73"/>
      <c r="L2279" s="73"/>
      <c r="M2279" s="73"/>
      <c r="N2279" s="73"/>
      <c r="O2279" s="73"/>
      <c r="P2279" s="73"/>
      <c r="Q2279" s="73"/>
      <c r="R2279" s="73"/>
      <c r="S2279" s="73"/>
      <c r="T2279" s="73"/>
      <c r="U2279" s="73"/>
      <c r="V2279" s="73"/>
      <c r="W2279" s="73"/>
      <c r="X2279" s="73"/>
      <c r="Y2279" s="73"/>
      <c r="Z2279" s="73"/>
      <c r="AA2279" s="73"/>
      <c r="AB2279" s="73"/>
    </row>
    <row r="2280">
      <c r="A2280" s="73"/>
      <c r="B2280" s="73">
        <v>816448.5096</v>
      </c>
      <c r="C2280" s="73">
        <v>1.07498625014019E8</v>
      </c>
      <c r="D2280" s="73">
        <v>3.76747647879951E7</v>
      </c>
      <c r="E2280" s="73">
        <v>5372223.94017093</v>
      </c>
      <c r="F2280" s="73"/>
      <c r="G2280" s="73"/>
      <c r="H2280" s="73"/>
      <c r="I2280" s="73"/>
      <c r="J2280" s="73"/>
      <c r="K2280" s="73"/>
      <c r="L2280" s="73"/>
      <c r="M2280" s="73"/>
      <c r="N2280" s="73"/>
      <c r="O2280" s="73"/>
      <c r="P2280" s="73"/>
      <c r="Q2280" s="73"/>
      <c r="R2280" s="73"/>
      <c r="S2280" s="73"/>
      <c r="T2280" s="73"/>
      <c r="U2280" s="73"/>
      <c r="V2280" s="73"/>
      <c r="W2280" s="73"/>
      <c r="X2280" s="73"/>
      <c r="Y2280" s="73"/>
      <c r="Z2280" s="73"/>
      <c r="AA2280" s="73"/>
      <c r="AB2280" s="73"/>
    </row>
    <row r="2281">
      <c r="A2281" s="73"/>
      <c r="B2281" s="73">
        <v>817740.4142</v>
      </c>
      <c r="C2281" s="73">
        <v>1.07627078370451E8</v>
      </c>
      <c r="D2281" s="73">
        <v>3.7734616459996E7</v>
      </c>
      <c r="E2281" s="73">
        <v>5379354.46141801</v>
      </c>
      <c r="F2281" s="73"/>
      <c r="G2281" s="73"/>
      <c r="H2281" s="73"/>
      <c r="I2281" s="73"/>
      <c r="J2281" s="73"/>
      <c r="K2281" s="73"/>
      <c r="L2281" s="73"/>
      <c r="M2281" s="73"/>
      <c r="N2281" s="73"/>
      <c r="O2281" s="73"/>
      <c r="P2281" s="73"/>
      <c r="Q2281" s="73"/>
      <c r="R2281" s="73"/>
      <c r="S2281" s="73"/>
      <c r="T2281" s="73"/>
      <c r="U2281" s="73"/>
      <c r="V2281" s="73"/>
      <c r="W2281" s="73"/>
      <c r="X2281" s="73"/>
      <c r="Y2281" s="73"/>
      <c r="Z2281" s="73"/>
      <c r="AA2281" s="73"/>
      <c r="AB2281" s="73"/>
    </row>
    <row r="2282">
      <c r="A2282" s="73"/>
      <c r="B2282" s="73">
        <v>819034.0644</v>
      </c>
      <c r="C2282" s="73">
        <v>1.0775562236688E8</v>
      </c>
      <c r="D2282" s="73">
        <v>3.7794530255997E7</v>
      </c>
      <c r="E2282" s="73">
        <v>5386491.97590872</v>
      </c>
      <c r="F2282" s="73"/>
      <c r="G2282" s="73"/>
      <c r="H2282" s="73"/>
      <c r="I2282" s="73"/>
      <c r="J2282" s="73"/>
      <c r="K2282" s="73"/>
      <c r="L2282" s="73"/>
      <c r="M2282" s="73"/>
      <c r="N2282" s="73"/>
      <c r="O2282" s="73"/>
      <c r="P2282" s="73"/>
      <c r="Q2282" s="73"/>
      <c r="R2282" s="73"/>
      <c r="S2282" s="73"/>
      <c r="T2282" s="73"/>
      <c r="U2282" s="73"/>
      <c r="V2282" s="73"/>
      <c r="W2282" s="73"/>
      <c r="X2282" s="73"/>
      <c r="Y2282" s="73"/>
      <c r="Z2282" s="73"/>
      <c r="AA2282" s="73"/>
      <c r="AB2282" s="73"/>
    </row>
    <row r="2283">
      <c r="A2283" s="73"/>
      <c r="B2283" s="73">
        <v>820329.4208</v>
      </c>
      <c r="C2283" s="73">
        <v>1.07884273483307E8</v>
      </c>
      <c r="D2283" s="73">
        <v>3.78545035799979E7</v>
      </c>
      <c r="E2283" s="73">
        <v>5393636.38294305</v>
      </c>
      <c r="F2283" s="73"/>
      <c r="G2283" s="73"/>
      <c r="H2283" s="73"/>
      <c r="I2283" s="73"/>
      <c r="J2283" s="73"/>
      <c r="K2283" s="73"/>
      <c r="L2283" s="73"/>
      <c r="M2283" s="73"/>
      <c r="N2283" s="73"/>
      <c r="O2283" s="73"/>
      <c r="P2283" s="73"/>
      <c r="Q2283" s="73"/>
      <c r="R2283" s="73"/>
      <c r="S2283" s="73"/>
      <c r="T2283" s="73"/>
      <c r="U2283" s="73"/>
      <c r="V2283" s="73"/>
      <c r="W2283" s="73"/>
      <c r="X2283" s="73"/>
      <c r="Y2283" s="73"/>
      <c r="Z2283" s="73"/>
      <c r="AA2283" s="73"/>
      <c r="AB2283" s="73"/>
    </row>
    <row r="2284">
      <c r="A2284" s="73"/>
      <c r="B2284" s="73">
        <v>821626.4858</v>
      </c>
      <c r="C2284" s="73">
        <v>1.08013015239731E8</v>
      </c>
      <c r="D2284" s="73">
        <v>3.79145416679988E7</v>
      </c>
      <c r="E2284" s="73">
        <v>5400787.36600503</v>
      </c>
      <c r="F2284" s="73"/>
      <c r="G2284" s="73"/>
      <c r="H2284" s="73"/>
      <c r="I2284" s="73"/>
      <c r="J2284" s="73"/>
      <c r="K2284" s="73"/>
      <c r="L2284" s="73"/>
      <c r="M2284" s="73"/>
      <c r="N2284" s="73"/>
      <c r="O2284" s="73"/>
      <c r="P2284" s="73"/>
      <c r="Q2284" s="73"/>
      <c r="R2284" s="73"/>
      <c r="S2284" s="73"/>
      <c r="T2284" s="73"/>
      <c r="U2284" s="73"/>
      <c r="V2284" s="73"/>
      <c r="W2284" s="73"/>
      <c r="X2284" s="73"/>
      <c r="Y2284" s="73"/>
      <c r="Z2284" s="73"/>
      <c r="AA2284" s="73"/>
      <c r="AB2284" s="73"/>
    </row>
    <row r="2285">
      <c r="A2285" s="73"/>
      <c r="B2285" s="73">
        <v>822925.2668</v>
      </c>
      <c r="C2285" s="73">
        <v>1.08141847636152E8</v>
      </c>
      <c r="D2285" s="73">
        <v>3.79746392079997E7</v>
      </c>
      <c r="E2285" s="73">
        <v>5407945.22571064</v>
      </c>
      <c r="F2285" s="73"/>
      <c r="G2285" s="73"/>
      <c r="H2285" s="73"/>
      <c r="I2285" s="73"/>
      <c r="J2285" s="73"/>
      <c r="K2285" s="73"/>
      <c r="L2285" s="73"/>
      <c r="M2285" s="73"/>
      <c r="N2285" s="73"/>
      <c r="O2285" s="73"/>
      <c r="P2285" s="73"/>
      <c r="Q2285" s="73"/>
      <c r="R2285" s="73"/>
      <c r="S2285" s="73"/>
      <c r="T2285" s="73"/>
      <c r="U2285" s="73"/>
      <c r="V2285" s="73"/>
      <c r="W2285" s="73"/>
      <c r="X2285" s="73"/>
      <c r="Y2285" s="73"/>
      <c r="Z2285" s="73"/>
      <c r="AA2285" s="73"/>
      <c r="AB2285" s="73"/>
    </row>
    <row r="2286">
      <c r="A2286" s="73"/>
      <c r="B2286" s="73">
        <v>824225.7867</v>
      </c>
      <c r="C2286" s="73">
        <v>1.08270787152571E8</v>
      </c>
      <c r="D2286" s="73">
        <v>3.80348015080006E7</v>
      </c>
      <c r="E2286" s="73">
        <v>5415109.67734389</v>
      </c>
      <c r="F2286" s="73"/>
      <c r="G2286" s="73"/>
      <c r="H2286" s="73"/>
      <c r="I2286" s="73"/>
      <c r="J2286" s="73"/>
      <c r="K2286" s="73"/>
      <c r="L2286" s="73"/>
      <c r="M2286" s="73"/>
      <c r="N2286" s="73"/>
      <c r="O2286" s="73"/>
      <c r="P2286" s="73"/>
      <c r="Q2286" s="73"/>
      <c r="R2286" s="73"/>
      <c r="S2286" s="73"/>
      <c r="T2286" s="73"/>
      <c r="U2286" s="73"/>
      <c r="V2286" s="73"/>
      <c r="W2286" s="73"/>
      <c r="X2286" s="73"/>
      <c r="Y2286" s="73"/>
      <c r="Z2286" s="73"/>
      <c r="AA2286" s="73"/>
      <c r="AB2286" s="73"/>
    </row>
    <row r="2287">
      <c r="A2287" s="73"/>
      <c r="B2287" s="73">
        <v>825528.0138</v>
      </c>
      <c r="C2287" s="73">
        <v>1.08399825548986E8</v>
      </c>
      <c r="D2287" s="73">
        <v>3.80950233360015E7</v>
      </c>
      <c r="E2287" s="73">
        <v>5422281.33803675</v>
      </c>
      <c r="F2287" s="73"/>
      <c r="G2287" s="73"/>
      <c r="H2287" s="73"/>
      <c r="I2287" s="73"/>
      <c r="J2287" s="73"/>
      <c r="K2287" s="73"/>
      <c r="L2287" s="73"/>
      <c r="M2287" s="73"/>
      <c r="N2287" s="73"/>
      <c r="O2287" s="73"/>
      <c r="P2287" s="73"/>
      <c r="Q2287" s="73"/>
      <c r="R2287" s="73"/>
      <c r="S2287" s="73"/>
      <c r="T2287" s="73"/>
      <c r="U2287" s="73"/>
      <c r="V2287" s="73"/>
      <c r="W2287" s="73"/>
      <c r="X2287" s="73"/>
      <c r="Y2287" s="73"/>
      <c r="Z2287" s="73"/>
      <c r="AA2287" s="73"/>
      <c r="AB2287" s="73"/>
    </row>
    <row r="2288">
      <c r="A2288" s="73"/>
      <c r="B2288" s="73">
        <v>826831.9614</v>
      </c>
      <c r="C2288" s="73">
        <v>1.085289545854E8</v>
      </c>
      <c r="D2288" s="73">
        <v>3.81553072919948E7</v>
      </c>
      <c r="E2288" s="73">
        <v>5429459.65955725</v>
      </c>
      <c r="F2288" s="73"/>
      <c r="G2288" s="73"/>
      <c r="H2288" s="73"/>
      <c r="I2288" s="73"/>
      <c r="J2288" s="73"/>
      <c r="K2288" s="73"/>
      <c r="L2288" s="73"/>
      <c r="M2288" s="73"/>
      <c r="N2288" s="73"/>
      <c r="O2288" s="73"/>
      <c r="P2288" s="73"/>
      <c r="Q2288" s="73"/>
      <c r="R2288" s="73"/>
      <c r="S2288" s="73"/>
      <c r="T2288" s="73"/>
      <c r="U2288" s="73"/>
      <c r="V2288" s="73"/>
      <c r="W2288" s="73"/>
      <c r="X2288" s="73"/>
      <c r="Y2288" s="73"/>
      <c r="Z2288" s="73"/>
      <c r="AA2288" s="73"/>
      <c r="AB2288" s="73"/>
    </row>
    <row r="2289">
      <c r="A2289" s="73"/>
      <c r="B2289" s="73">
        <v>828137.628</v>
      </c>
      <c r="C2289" s="73">
        <v>1.0865818250181E8</v>
      </c>
      <c r="D2289" s="73">
        <v>3.82156534079957E7</v>
      </c>
      <c r="E2289" s="73">
        <v>5436644.77822139</v>
      </c>
      <c r="F2289" s="73"/>
      <c r="G2289" s="73"/>
      <c r="H2289" s="73"/>
      <c r="I2289" s="73"/>
      <c r="J2289" s="73"/>
      <c r="K2289" s="73"/>
      <c r="L2289" s="73"/>
      <c r="M2289" s="73"/>
      <c r="N2289" s="73"/>
      <c r="O2289" s="73"/>
      <c r="P2289" s="73"/>
      <c r="Q2289" s="73"/>
      <c r="R2289" s="73"/>
      <c r="S2289" s="73"/>
      <c r="T2289" s="73"/>
      <c r="U2289" s="73"/>
      <c r="V2289" s="73"/>
      <c r="W2289" s="73"/>
      <c r="X2289" s="73"/>
      <c r="Y2289" s="73"/>
      <c r="Z2289" s="73"/>
      <c r="AA2289" s="73"/>
      <c r="AB2289" s="73"/>
    </row>
    <row r="2290">
      <c r="A2290" s="73"/>
      <c r="B2290" s="73">
        <v>829445.0121</v>
      </c>
      <c r="C2290" s="73">
        <v>1.08787509298218E8</v>
      </c>
      <c r="D2290" s="73">
        <v>3.82760615759966E7</v>
      </c>
      <c r="E2290" s="73">
        <v>5443836.91662915</v>
      </c>
      <c r="F2290" s="73"/>
      <c r="G2290" s="73"/>
      <c r="H2290" s="73"/>
      <c r="I2290" s="73"/>
      <c r="J2290" s="73"/>
      <c r="K2290" s="73"/>
      <c r="L2290" s="73"/>
      <c r="M2290" s="73"/>
      <c r="N2290" s="73"/>
      <c r="O2290" s="73"/>
      <c r="P2290" s="73"/>
      <c r="Q2290" s="73"/>
      <c r="R2290" s="73"/>
      <c r="S2290" s="73"/>
      <c r="T2290" s="73"/>
      <c r="U2290" s="73"/>
      <c r="V2290" s="73"/>
      <c r="W2290" s="73"/>
      <c r="X2290" s="73"/>
      <c r="Y2290" s="73"/>
      <c r="Z2290" s="73"/>
      <c r="AA2290" s="73"/>
      <c r="AB2290" s="73"/>
    </row>
    <row r="2291">
      <c r="A2291" s="73"/>
      <c r="B2291" s="73">
        <v>830754.1095</v>
      </c>
      <c r="C2291" s="73">
        <v>1.08916943214623E8</v>
      </c>
      <c r="D2291" s="73">
        <v>3.83365319079976E7</v>
      </c>
      <c r="E2291" s="73">
        <v>5451035.50386456</v>
      </c>
      <c r="F2291" s="73"/>
      <c r="G2291" s="73"/>
      <c r="H2291" s="73"/>
      <c r="I2291" s="73"/>
      <c r="J2291" s="73"/>
      <c r="K2291" s="73"/>
      <c r="L2291" s="73"/>
      <c r="M2291" s="73"/>
      <c r="N2291" s="73"/>
      <c r="O2291" s="73"/>
      <c r="P2291" s="73"/>
      <c r="Q2291" s="73"/>
      <c r="R2291" s="73"/>
      <c r="S2291" s="73"/>
      <c r="T2291" s="73"/>
      <c r="U2291" s="73"/>
      <c r="V2291" s="73"/>
      <c r="W2291" s="73"/>
      <c r="X2291" s="73"/>
      <c r="Y2291" s="73"/>
      <c r="Z2291" s="73"/>
      <c r="AA2291" s="73"/>
      <c r="AB2291" s="73"/>
    </row>
    <row r="2292">
      <c r="A2292" s="73"/>
      <c r="B2292" s="73">
        <v>832064.9459</v>
      </c>
      <c r="C2292" s="73">
        <v>1.09046459531025E8</v>
      </c>
      <c r="D2292" s="73">
        <v>3.83970643679985E7</v>
      </c>
      <c r="E2292" s="73">
        <v>5458241.44325957</v>
      </c>
      <c r="F2292" s="73"/>
      <c r="G2292" s="73"/>
      <c r="H2292" s="73"/>
      <c r="I2292" s="73"/>
      <c r="J2292" s="73"/>
      <c r="K2292" s="73"/>
      <c r="L2292" s="73"/>
      <c r="M2292" s="73"/>
      <c r="N2292" s="73"/>
      <c r="O2292" s="73"/>
      <c r="P2292" s="73"/>
      <c r="Q2292" s="73"/>
      <c r="R2292" s="73"/>
      <c r="S2292" s="73"/>
      <c r="T2292" s="73"/>
      <c r="U2292" s="73"/>
      <c r="V2292" s="73"/>
      <c r="W2292" s="73"/>
      <c r="X2292" s="73"/>
      <c r="Y2292" s="73"/>
      <c r="Z2292" s="73"/>
      <c r="AA2292" s="73"/>
      <c r="AB2292" s="73"/>
    </row>
    <row r="2293">
      <c r="A2293" s="73"/>
      <c r="B2293" s="73">
        <v>833377.5029</v>
      </c>
      <c r="C2293" s="73">
        <v>1.09176082967424E8</v>
      </c>
      <c r="D2293" s="73">
        <v>3.84576589119994E7</v>
      </c>
      <c r="E2293" s="73">
        <v>5465453.93218223</v>
      </c>
      <c r="F2293" s="73"/>
      <c r="G2293" s="73"/>
      <c r="H2293" s="73"/>
      <c r="I2293" s="73"/>
      <c r="J2293" s="73"/>
      <c r="K2293" s="73"/>
      <c r="L2293" s="73"/>
      <c r="M2293" s="73"/>
      <c r="N2293" s="73"/>
      <c r="O2293" s="73"/>
      <c r="P2293" s="73"/>
      <c r="Q2293" s="73"/>
      <c r="R2293" s="73"/>
      <c r="S2293" s="73"/>
      <c r="T2293" s="73"/>
      <c r="U2293" s="73"/>
      <c r="V2293" s="73"/>
      <c r="W2293" s="73"/>
      <c r="X2293" s="73"/>
      <c r="Y2293" s="73"/>
      <c r="Z2293" s="73"/>
      <c r="AA2293" s="73"/>
      <c r="AB2293" s="73"/>
    </row>
    <row r="2294">
      <c r="A2294" s="73"/>
      <c r="B2294" s="73">
        <v>834691.7718</v>
      </c>
      <c r="C2294" s="73">
        <v>1.09305797043821E8</v>
      </c>
      <c r="D2294" s="73">
        <v>3.85183156240003E7</v>
      </c>
      <c r="E2294" s="73">
        <v>5472673.35604851</v>
      </c>
      <c r="F2294" s="73"/>
      <c r="G2294" s="73"/>
      <c r="H2294" s="73"/>
      <c r="I2294" s="73"/>
      <c r="J2294" s="73"/>
      <c r="K2294" s="73"/>
      <c r="L2294" s="73"/>
      <c r="M2294" s="73"/>
      <c r="N2294" s="73"/>
      <c r="O2294" s="73"/>
      <c r="P2294" s="73"/>
      <c r="Q2294" s="73"/>
      <c r="R2294" s="73"/>
      <c r="S2294" s="73"/>
      <c r="T2294" s="73"/>
      <c r="U2294" s="73"/>
      <c r="V2294" s="73"/>
      <c r="W2294" s="73"/>
      <c r="X2294" s="73"/>
      <c r="Y2294" s="73"/>
      <c r="Z2294" s="73"/>
      <c r="AA2294" s="73"/>
      <c r="AB2294" s="73"/>
    </row>
    <row r="2295">
      <c r="A2295" s="73"/>
      <c r="B2295" s="73">
        <v>836007.7843</v>
      </c>
      <c r="C2295" s="73">
        <v>1.09435610000216E8</v>
      </c>
      <c r="D2295" s="73">
        <v>3.85790344600012E7</v>
      </c>
      <c r="E2295" s="73">
        <v>5479899.32944244</v>
      </c>
      <c r="F2295" s="73"/>
      <c r="G2295" s="73"/>
      <c r="H2295" s="73"/>
      <c r="I2295" s="73"/>
      <c r="J2295" s="73"/>
      <c r="K2295" s="73"/>
      <c r="L2295" s="73"/>
      <c r="M2295" s="73"/>
      <c r="N2295" s="73"/>
      <c r="O2295" s="73"/>
      <c r="P2295" s="73"/>
      <c r="Q2295" s="73"/>
      <c r="R2295" s="73"/>
      <c r="S2295" s="73"/>
      <c r="T2295" s="73"/>
      <c r="U2295" s="73"/>
      <c r="V2295" s="73"/>
      <c r="W2295" s="73"/>
      <c r="X2295" s="73"/>
      <c r="Y2295" s="73"/>
      <c r="Z2295" s="73"/>
      <c r="AA2295" s="73"/>
      <c r="AB2295" s="73"/>
    </row>
    <row r="2296">
      <c r="A2296" s="73"/>
      <c r="B2296" s="73">
        <v>837325.4973</v>
      </c>
      <c r="C2296" s="73">
        <v>1.09565513596607E8</v>
      </c>
      <c r="D2296" s="73">
        <v>3.86398154199945E7</v>
      </c>
      <c r="E2296" s="73">
        <v>5487132.52779598</v>
      </c>
      <c r="F2296" s="73"/>
      <c r="G2296" s="73"/>
      <c r="H2296" s="73"/>
      <c r="I2296" s="73"/>
      <c r="J2296" s="73"/>
      <c r="K2296" s="73"/>
      <c r="L2296" s="73"/>
      <c r="M2296" s="73"/>
      <c r="N2296" s="73"/>
      <c r="O2296" s="73"/>
      <c r="P2296" s="73"/>
      <c r="Q2296" s="73"/>
      <c r="R2296" s="73"/>
      <c r="S2296" s="73"/>
      <c r="T2296" s="73"/>
      <c r="U2296" s="73"/>
      <c r="V2296" s="73"/>
      <c r="W2296" s="73"/>
      <c r="X2296" s="73"/>
      <c r="Y2296" s="73"/>
      <c r="Z2296" s="73"/>
      <c r="AA2296" s="73"/>
      <c r="AB2296" s="73"/>
    </row>
    <row r="2297">
      <c r="A2297" s="73"/>
      <c r="B2297" s="73">
        <v>838644.9453</v>
      </c>
      <c r="C2297" s="73">
        <v>1.09695524312996E8</v>
      </c>
      <c r="D2297" s="73">
        <v>3.87006584719954E7</v>
      </c>
      <c r="E2297" s="73">
        <v>5494372.33397717</v>
      </c>
      <c r="F2297" s="73"/>
      <c r="G2297" s="73"/>
      <c r="H2297" s="73"/>
      <c r="I2297" s="73"/>
      <c r="J2297" s="73"/>
      <c r="K2297" s="73"/>
      <c r="L2297" s="73"/>
      <c r="M2297" s="73"/>
      <c r="N2297" s="73"/>
      <c r="O2297" s="73"/>
      <c r="P2297" s="73"/>
      <c r="Q2297" s="73"/>
      <c r="R2297" s="73"/>
      <c r="S2297" s="73"/>
      <c r="T2297" s="73"/>
      <c r="U2297" s="73"/>
      <c r="V2297" s="73"/>
      <c r="W2297" s="73"/>
      <c r="X2297" s="73"/>
      <c r="Y2297" s="73"/>
      <c r="Z2297" s="73"/>
      <c r="AA2297" s="73"/>
      <c r="AB2297" s="73"/>
    </row>
    <row r="2298">
      <c r="A2298" s="73"/>
      <c r="B2298" s="73">
        <v>839966.1354</v>
      </c>
      <c r="C2298" s="73">
        <v>1.09825625669382E8</v>
      </c>
      <c r="D2298" s="73">
        <v>3.87615636839963E7</v>
      </c>
      <c r="E2298" s="73">
        <v>5501618.72678599</v>
      </c>
      <c r="F2298" s="73"/>
      <c r="G2298" s="73"/>
      <c r="H2298" s="73"/>
      <c r="I2298" s="73"/>
      <c r="J2298" s="73"/>
      <c r="K2298" s="73"/>
      <c r="L2298" s="73"/>
      <c r="M2298" s="73"/>
      <c r="N2298" s="73"/>
      <c r="O2298" s="73"/>
      <c r="P2298" s="73"/>
      <c r="Q2298" s="73"/>
      <c r="R2298" s="73"/>
      <c r="S2298" s="73"/>
      <c r="T2298" s="73"/>
      <c r="U2298" s="73"/>
      <c r="V2298" s="73"/>
      <c r="W2298" s="73"/>
      <c r="X2298" s="73"/>
      <c r="Y2298" s="73"/>
      <c r="Z2298" s="73"/>
      <c r="AA2298" s="73"/>
      <c r="AB2298" s="73"/>
    </row>
    <row r="2299">
      <c r="A2299" s="73"/>
      <c r="B2299" s="73">
        <v>841289.0277</v>
      </c>
      <c r="C2299" s="73">
        <v>1.09955842385765E8</v>
      </c>
      <c r="D2299" s="73">
        <v>3.88225310239973E7</v>
      </c>
      <c r="E2299" s="73">
        <v>5508872.34985443</v>
      </c>
      <c r="F2299" s="73"/>
      <c r="G2299" s="73"/>
      <c r="H2299" s="73"/>
      <c r="I2299" s="73"/>
      <c r="J2299" s="73"/>
      <c r="K2299" s="73"/>
      <c r="L2299" s="73"/>
      <c r="M2299" s="73"/>
      <c r="N2299" s="73"/>
      <c r="O2299" s="73"/>
      <c r="P2299" s="73"/>
      <c r="Q2299" s="73"/>
      <c r="R2299" s="73"/>
      <c r="S2299" s="73"/>
      <c r="T2299" s="73"/>
      <c r="U2299" s="73"/>
      <c r="V2299" s="73"/>
      <c r="W2299" s="73"/>
      <c r="X2299" s="73"/>
      <c r="Y2299" s="73"/>
      <c r="Z2299" s="73"/>
      <c r="AA2299" s="73"/>
      <c r="AB2299" s="73"/>
    </row>
    <row r="2300">
      <c r="A2300" s="73"/>
      <c r="B2300" s="73">
        <v>842613.6564</v>
      </c>
      <c r="C2300" s="73">
        <v>1.10086141502146E8</v>
      </c>
      <c r="D2300" s="73">
        <v>3.88835604519982E7</v>
      </c>
      <c r="E2300" s="73">
        <v>5516132.66025051</v>
      </c>
      <c r="F2300" s="73"/>
      <c r="G2300" s="73"/>
      <c r="H2300" s="73"/>
      <c r="I2300" s="73"/>
      <c r="J2300" s="73"/>
      <c r="K2300" s="73"/>
      <c r="L2300" s="73"/>
      <c r="M2300" s="73"/>
      <c r="N2300" s="73"/>
      <c r="O2300" s="73"/>
      <c r="P2300" s="73"/>
      <c r="Q2300" s="73"/>
      <c r="R2300" s="73"/>
      <c r="S2300" s="73"/>
      <c r="T2300" s="73"/>
      <c r="U2300" s="73"/>
      <c r="V2300" s="73"/>
      <c r="W2300" s="73"/>
      <c r="X2300" s="73"/>
      <c r="Y2300" s="73"/>
      <c r="Z2300" s="73"/>
      <c r="AA2300" s="73"/>
      <c r="AB2300" s="73"/>
    </row>
    <row r="2301">
      <c r="A2301" s="73"/>
      <c r="B2301" s="73">
        <v>843940.0089</v>
      </c>
      <c r="C2301" s="73">
        <v>1.10216539498524E8</v>
      </c>
      <c r="D2301" s="73">
        <v>3.89446519679991E7</v>
      </c>
      <c r="E2301" s="73">
        <v>5523400.1850062</v>
      </c>
      <c r="F2301" s="73"/>
      <c r="G2301" s="73"/>
      <c r="H2301" s="73"/>
      <c r="I2301" s="73"/>
      <c r="J2301" s="73"/>
      <c r="K2301" s="73"/>
      <c r="L2301" s="73"/>
      <c r="M2301" s="73"/>
      <c r="N2301" s="73"/>
      <c r="O2301" s="73"/>
      <c r="P2301" s="73"/>
      <c r="Q2301" s="73"/>
      <c r="R2301" s="73"/>
      <c r="S2301" s="73"/>
      <c r="T2301" s="73"/>
      <c r="U2301" s="73"/>
      <c r="V2301" s="73"/>
      <c r="W2301" s="73"/>
      <c r="X2301" s="73"/>
      <c r="Y2301" s="73"/>
      <c r="Z2301" s="73"/>
      <c r="AA2301" s="73"/>
      <c r="AB2301" s="73"/>
    </row>
    <row r="2302">
      <c r="A2302" s="73"/>
      <c r="B2302" s="73">
        <v>845268.0866</v>
      </c>
      <c r="C2302" s="73">
        <v>1.10347036374899E8</v>
      </c>
      <c r="D2302" s="73">
        <v>3.9005808284E7</v>
      </c>
      <c r="E2302" s="73">
        <v>5530674.24338953</v>
      </c>
      <c r="F2302" s="73"/>
      <c r="G2302" s="73"/>
      <c r="H2302" s="73"/>
      <c r="I2302" s="73"/>
      <c r="J2302" s="73"/>
      <c r="K2302" s="73"/>
      <c r="L2302" s="73"/>
      <c r="M2302" s="73"/>
      <c r="N2302" s="73"/>
      <c r="O2302" s="73"/>
      <c r="P2302" s="73"/>
      <c r="Q2302" s="73"/>
      <c r="R2302" s="73"/>
      <c r="S2302" s="73"/>
      <c r="T2302" s="73"/>
      <c r="U2302" s="73"/>
      <c r="V2302" s="73"/>
      <c r="W2302" s="73"/>
      <c r="X2302" s="73"/>
      <c r="Y2302" s="73"/>
      <c r="Z2302" s="73"/>
      <c r="AA2302" s="73"/>
      <c r="AB2302" s="73"/>
    </row>
    <row r="2303">
      <c r="A2303" s="73"/>
      <c r="B2303" s="73">
        <v>846597.9008</v>
      </c>
      <c r="C2303" s="73">
        <v>1.10477623891272E8</v>
      </c>
      <c r="D2303" s="73">
        <v>3.90670240880009E7</v>
      </c>
      <c r="E2303" s="73">
        <v>5537954.95200051</v>
      </c>
      <c r="F2303" s="73"/>
      <c r="G2303" s="73"/>
      <c r="H2303" s="73"/>
      <c r="I2303" s="73"/>
      <c r="J2303" s="73"/>
      <c r="K2303" s="73"/>
      <c r="L2303" s="73"/>
      <c r="M2303" s="73"/>
      <c r="N2303" s="73"/>
      <c r="O2303" s="73"/>
      <c r="P2303" s="73"/>
      <c r="Q2303" s="73"/>
      <c r="R2303" s="73"/>
      <c r="S2303" s="73"/>
      <c r="T2303" s="73"/>
      <c r="U2303" s="73"/>
      <c r="V2303" s="73"/>
      <c r="W2303" s="73"/>
      <c r="X2303" s="73"/>
      <c r="Y2303" s="73"/>
      <c r="Z2303" s="73"/>
      <c r="AA2303" s="73"/>
      <c r="AB2303" s="73"/>
    </row>
    <row r="2304">
      <c r="A2304" s="73"/>
      <c r="B2304" s="73">
        <v>847929.4202</v>
      </c>
      <c r="C2304" s="73">
        <v>1.10608318527641E8</v>
      </c>
      <c r="D2304" s="73">
        <v>3.91283045799942E7</v>
      </c>
      <c r="E2304" s="73">
        <v>5545242.92797109</v>
      </c>
      <c r="F2304" s="73"/>
      <c r="G2304" s="73"/>
      <c r="H2304" s="73"/>
      <c r="I2304" s="73"/>
      <c r="J2304" s="73"/>
      <c r="K2304" s="73"/>
      <c r="L2304" s="73"/>
      <c r="M2304" s="73"/>
      <c r="N2304" s="73"/>
      <c r="O2304" s="73"/>
      <c r="P2304" s="73"/>
      <c r="Q2304" s="73"/>
      <c r="R2304" s="73"/>
      <c r="S2304" s="73"/>
      <c r="T2304" s="73"/>
      <c r="U2304" s="73"/>
      <c r="V2304" s="73"/>
      <c r="W2304" s="73"/>
      <c r="X2304" s="73"/>
      <c r="Y2304" s="73"/>
      <c r="Z2304" s="73"/>
      <c r="AA2304" s="73"/>
      <c r="AB2304" s="73"/>
    </row>
    <row r="2305">
      <c r="A2305" s="73"/>
      <c r="B2305" s="73">
        <v>849262.6961</v>
      </c>
      <c r="C2305" s="73">
        <v>1.10739112044008E8</v>
      </c>
      <c r="D2305" s="73">
        <v>3.91896446759951E7</v>
      </c>
      <c r="E2305" s="73">
        <v>5552537.46936932</v>
      </c>
      <c r="F2305" s="73"/>
      <c r="G2305" s="73"/>
      <c r="H2305" s="73"/>
      <c r="I2305" s="73"/>
      <c r="J2305" s="73"/>
      <c r="K2305" s="73"/>
      <c r="L2305" s="73"/>
      <c r="M2305" s="73"/>
      <c r="N2305" s="73"/>
      <c r="O2305" s="73"/>
      <c r="P2305" s="73"/>
      <c r="Q2305" s="73"/>
      <c r="R2305" s="73"/>
      <c r="S2305" s="73"/>
      <c r="T2305" s="73"/>
      <c r="U2305" s="73"/>
      <c r="V2305" s="73"/>
      <c r="W2305" s="73"/>
      <c r="X2305" s="73"/>
      <c r="Y2305" s="73"/>
      <c r="Z2305" s="73"/>
      <c r="AA2305" s="73"/>
      <c r="AB2305" s="73"/>
    </row>
    <row r="2306">
      <c r="A2306" s="73"/>
      <c r="B2306" s="73">
        <v>850597.6876</v>
      </c>
      <c r="C2306" s="73">
        <v>1.10869996200373E8</v>
      </c>
      <c r="D2306" s="73">
        <v>3.9251049379996E7</v>
      </c>
      <c r="E2306" s="73">
        <v>5559839.27812716</v>
      </c>
      <c r="F2306" s="73"/>
      <c r="G2306" s="73"/>
      <c r="H2306" s="73"/>
      <c r="I2306" s="73"/>
      <c r="J2306" s="73"/>
      <c r="K2306" s="73"/>
      <c r="L2306" s="73"/>
      <c r="M2306" s="73"/>
      <c r="N2306" s="73"/>
      <c r="O2306" s="73"/>
      <c r="P2306" s="73"/>
      <c r="Q2306" s="73"/>
      <c r="R2306" s="73"/>
      <c r="S2306" s="73"/>
      <c r="T2306" s="73"/>
      <c r="U2306" s="73"/>
      <c r="V2306" s="73"/>
      <c r="W2306" s="73"/>
      <c r="X2306" s="73"/>
      <c r="Y2306" s="73"/>
      <c r="Z2306" s="73"/>
      <c r="AA2306" s="73"/>
      <c r="AB2306" s="73"/>
    </row>
    <row r="2307">
      <c r="A2307" s="73"/>
      <c r="B2307" s="73">
        <v>851934.41</v>
      </c>
      <c r="C2307" s="73">
        <v>1.11000979236734E8</v>
      </c>
      <c r="D2307" s="73">
        <v>3.9312516287997E7</v>
      </c>
      <c r="E2307" s="73">
        <v>5567147.67881264</v>
      </c>
      <c r="F2307" s="73"/>
      <c r="G2307" s="73"/>
      <c r="H2307" s="73"/>
      <c r="I2307" s="73"/>
      <c r="J2307" s="73"/>
      <c r="K2307" s="73"/>
      <c r="L2307" s="73"/>
      <c r="M2307" s="73"/>
      <c r="N2307" s="73"/>
      <c r="O2307" s="73"/>
      <c r="P2307" s="73"/>
      <c r="Q2307" s="73"/>
      <c r="R2307" s="73"/>
      <c r="S2307" s="73"/>
      <c r="T2307" s="73"/>
      <c r="U2307" s="73"/>
      <c r="V2307" s="73"/>
      <c r="W2307" s="73"/>
      <c r="X2307" s="73"/>
      <c r="Y2307" s="73"/>
      <c r="Z2307" s="73"/>
      <c r="AA2307" s="73"/>
      <c r="AB2307" s="73"/>
    </row>
    <row r="2308">
      <c r="A2308" s="73"/>
      <c r="B2308" s="73">
        <v>853272.8776</v>
      </c>
      <c r="C2308" s="73">
        <v>1.11132069393093E8</v>
      </c>
      <c r="D2308" s="73">
        <v>3.93740452839979E7</v>
      </c>
      <c r="E2308" s="73">
        <v>5574462.77212576</v>
      </c>
      <c r="F2308" s="73"/>
      <c r="G2308" s="73"/>
      <c r="H2308" s="73"/>
      <c r="I2308" s="73"/>
      <c r="J2308" s="73"/>
      <c r="K2308" s="73"/>
      <c r="L2308" s="73"/>
      <c r="M2308" s="73"/>
      <c r="N2308" s="73"/>
      <c r="O2308" s="73"/>
      <c r="P2308" s="73"/>
      <c r="Q2308" s="73"/>
      <c r="R2308" s="73"/>
      <c r="S2308" s="73"/>
      <c r="T2308" s="73"/>
      <c r="U2308" s="73"/>
      <c r="V2308" s="73"/>
      <c r="W2308" s="73"/>
      <c r="X2308" s="73"/>
      <c r="Y2308" s="73"/>
      <c r="Z2308" s="73"/>
      <c r="AA2308" s="73"/>
      <c r="AB2308" s="73"/>
    </row>
    <row r="2309">
      <c r="A2309" s="73"/>
      <c r="B2309" s="73">
        <v>854613.0536</v>
      </c>
      <c r="C2309" s="73">
        <v>1.11263250189449E8</v>
      </c>
      <c r="D2309" s="73">
        <v>3.94356364039988E7</v>
      </c>
      <c r="E2309" s="73">
        <v>5581785.02149849</v>
      </c>
      <c r="F2309" s="73"/>
      <c r="G2309" s="73"/>
      <c r="H2309" s="73"/>
      <c r="I2309" s="73"/>
      <c r="J2309" s="73"/>
      <c r="K2309" s="73"/>
      <c r="L2309" s="73"/>
      <c r="M2309" s="73"/>
      <c r="N2309" s="73"/>
      <c r="O2309" s="73"/>
      <c r="P2309" s="73"/>
      <c r="Q2309" s="73"/>
      <c r="R2309" s="73"/>
      <c r="S2309" s="73"/>
      <c r="T2309" s="73"/>
      <c r="U2309" s="73"/>
      <c r="V2309" s="73"/>
      <c r="W2309" s="73"/>
      <c r="X2309" s="73"/>
      <c r="Y2309" s="73"/>
      <c r="Z2309" s="73"/>
      <c r="AA2309" s="73"/>
      <c r="AB2309" s="73"/>
    </row>
    <row r="2310">
      <c r="A2310" s="73"/>
      <c r="B2310" s="73">
        <v>855954.978</v>
      </c>
      <c r="C2310" s="73">
        <v>1.11394529865803E8</v>
      </c>
      <c r="D2310" s="73">
        <v>3.94972922119997E7</v>
      </c>
      <c r="E2310" s="73">
        <v>5589113.94759887</v>
      </c>
      <c r="F2310" s="73"/>
      <c r="G2310" s="73"/>
      <c r="H2310" s="73"/>
      <c r="I2310" s="73"/>
      <c r="J2310" s="73"/>
      <c r="K2310" s="73"/>
      <c r="L2310" s="73"/>
      <c r="M2310" s="73"/>
      <c r="N2310" s="73"/>
      <c r="O2310" s="73"/>
      <c r="P2310" s="73"/>
      <c r="Q2310" s="73"/>
      <c r="R2310" s="73"/>
      <c r="S2310" s="73"/>
      <c r="T2310" s="73"/>
      <c r="U2310" s="73"/>
      <c r="V2310" s="73"/>
      <c r="W2310" s="73"/>
      <c r="X2310" s="73"/>
      <c r="Y2310" s="73"/>
      <c r="Z2310" s="73"/>
      <c r="AA2310" s="73"/>
      <c r="AB2310" s="73"/>
    </row>
    <row r="2311">
      <c r="A2311" s="73"/>
      <c r="B2311" s="73">
        <v>857298.6189</v>
      </c>
      <c r="C2311" s="73">
        <v>1.11525900182154E8</v>
      </c>
      <c r="D2311" s="73">
        <v>3.95590075840006E7</v>
      </c>
      <c r="E2311" s="73">
        <v>5596449.72914287</v>
      </c>
      <c r="F2311" s="73"/>
      <c r="G2311" s="73"/>
      <c r="H2311" s="73"/>
      <c r="I2311" s="73"/>
      <c r="J2311" s="73"/>
      <c r="K2311" s="73"/>
      <c r="L2311" s="73"/>
      <c r="M2311" s="73"/>
      <c r="N2311" s="73"/>
      <c r="O2311" s="73"/>
      <c r="P2311" s="73"/>
      <c r="Q2311" s="73"/>
      <c r="R2311" s="73"/>
      <c r="S2311" s="73"/>
      <c r="T2311" s="73"/>
      <c r="U2311" s="73"/>
      <c r="V2311" s="73"/>
      <c r="W2311" s="73"/>
      <c r="X2311" s="73"/>
      <c r="Y2311" s="73"/>
      <c r="Z2311" s="73"/>
      <c r="AA2311" s="73"/>
      <c r="AB2311" s="73"/>
    </row>
    <row r="2312">
      <c r="A2312" s="73"/>
      <c r="B2312" s="73">
        <v>858644.0025</v>
      </c>
      <c r="C2312" s="73">
        <v>1.11657369378502E8</v>
      </c>
      <c r="D2312" s="73">
        <v>3.96207876440015E7</v>
      </c>
      <c r="E2312" s="73">
        <v>5603792.50393049</v>
      </c>
      <c r="F2312" s="73"/>
      <c r="G2312" s="73"/>
      <c r="H2312" s="73"/>
      <c r="I2312" s="73"/>
      <c r="J2312" s="73"/>
      <c r="K2312" s="73"/>
      <c r="L2312" s="73"/>
      <c r="M2312" s="73"/>
      <c r="N2312" s="73"/>
      <c r="O2312" s="73"/>
      <c r="P2312" s="73"/>
      <c r="Q2312" s="73"/>
      <c r="R2312" s="73"/>
      <c r="S2312" s="73"/>
      <c r="T2312" s="73"/>
      <c r="U2312" s="73"/>
      <c r="V2312" s="73"/>
      <c r="W2312" s="73"/>
      <c r="X2312" s="73"/>
      <c r="Y2312" s="73"/>
      <c r="Z2312" s="73"/>
      <c r="AA2312" s="73"/>
      <c r="AB2312" s="73"/>
    </row>
    <row r="2313">
      <c r="A2313" s="73"/>
      <c r="B2313" s="73">
        <v>859991.1376</v>
      </c>
      <c r="C2313" s="73">
        <v>1.11788945694847E8</v>
      </c>
      <c r="D2313" s="73">
        <v>3.96826298279948E7</v>
      </c>
      <c r="E2313" s="73">
        <v>5611142.24546174</v>
      </c>
      <c r="F2313" s="73"/>
      <c r="G2313" s="73"/>
      <c r="H2313" s="73"/>
      <c r="I2313" s="73"/>
      <c r="J2313" s="73"/>
      <c r="K2313" s="73"/>
      <c r="L2313" s="73"/>
      <c r="M2313" s="73"/>
      <c r="N2313" s="73"/>
      <c r="O2313" s="73"/>
      <c r="P2313" s="73"/>
      <c r="Q2313" s="73"/>
      <c r="R2313" s="73"/>
      <c r="S2313" s="73"/>
      <c r="T2313" s="73"/>
      <c r="U2313" s="73"/>
      <c r="V2313" s="73"/>
      <c r="W2313" s="73"/>
      <c r="X2313" s="73"/>
      <c r="Y2313" s="73"/>
      <c r="Z2313" s="73"/>
      <c r="AA2313" s="73"/>
      <c r="AB2313" s="73"/>
    </row>
    <row r="2314">
      <c r="A2314" s="73"/>
      <c r="B2314" s="73">
        <v>861339.9811</v>
      </c>
      <c r="C2314" s="73">
        <v>1.1192061265119E8</v>
      </c>
      <c r="D2314" s="73">
        <v>3.97445366999957E7</v>
      </c>
      <c r="E2314" s="73">
        <v>5618498.88483662</v>
      </c>
      <c r="F2314" s="73"/>
      <c r="G2314" s="73"/>
      <c r="H2314" s="73"/>
      <c r="I2314" s="73"/>
      <c r="J2314" s="73"/>
      <c r="K2314" s="73"/>
      <c r="L2314" s="73"/>
      <c r="M2314" s="73"/>
      <c r="N2314" s="73"/>
      <c r="O2314" s="73"/>
      <c r="P2314" s="73"/>
      <c r="Q2314" s="73"/>
      <c r="R2314" s="73"/>
      <c r="S2314" s="73"/>
      <c r="T2314" s="73"/>
      <c r="U2314" s="73"/>
      <c r="V2314" s="73"/>
      <c r="W2314" s="73"/>
      <c r="X2314" s="73"/>
      <c r="Y2314" s="73"/>
      <c r="Z2314" s="73"/>
      <c r="AA2314" s="73"/>
      <c r="AB2314" s="73"/>
    </row>
    <row r="2315">
      <c r="A2315" s="73"/>
      <c r="B2315" s="73">
        <v>862690.553</v>
      </c>
      <c r="C2315" s="73">
        <v>1.1205238672753E8</v>
      </c>
      <c r="D2315" s="73">
        <v>3.98065031359966E7</v>
      </c>
      <c r="E2315" s="73">
        <v>5625862.15853914</v>
      </c>
      <c r="F2315" s="73"/>
      <c r="G2315" s="73"/>
      <c r="H2315" s="73"/>
      <c r="I2315" s="73"/>
      <c r="J2315" s="73"/>
      <c r="K2315" s="73"/>
      <c r="L2315" s="73"/>
      <c r="M2315" s="73"/>
      <c r="N2315" s="73"/>
      <c r="O2315" s="73"/>
      <c r="P2315" s="73"/>
      <c r="Q2315" s="73"/>
      <c r="R2315" s="73"/>
      <c r="S2315" s="73"/>
      <c r="T2315" s="73"/>
      <c r="U2315" s="73"/>
      <c r="V2315" s="73"/>
      <c r="W2315" s="73"/>
      <c r="X2315" s="73"/>
      <c r="Y2315" s="73"/>
      <c r="Z2315" s="73"/>
      <c r="AA2315" s="73"/>
      <c r="AB2315" s="73"/>
    </row>
    <row r="2316">
      <c r="A2316" s="73"/>
      <c r="B2316" s="73">
        <v>864042.8676</v>
      </c>
      <c r="C2316" s="73">
        <v>1.12184259683867E8</v>
      </c>
      <c r="D2316" s="73">
        <v>3.98685342559976E7</v>
      </c>
      <c r="E2316" s="73">
        <v>5633232.34068528</v>
      </c>
      <c r="F2316" s="73"/>
      <c r="G2316" s="73"/>
      <c r="H2316" s="73"/>
      <c r="I2316" s="73"/>
      <c r="J2316" s="73"/>
      <c r="K2316" s="73"/>
      <c r="L2316" s="73"/>
      <c r="M2316" s="73"/>
      <c r="N2316" s="73"/>
      <c r="O2316" s="73"/>
      <c r="P2316" s="73"/>
      <c r="Q2316" s="73"/>
      <c r="R2316" s="73"/>
      <c r="S2316" s="73"/>
      <c r="T2316" s="73"/>
      <c r="U2316" s="73"/>
      <c r="V2316" s="73"/>
      <c r="W2316" s="73"/>
      <c r="X2316" s="73"/>
      <c r="Y2316" s="73"/>
      <c r="Z2316" s="73"/>
      <c r="AA2316" s="73"/>
      <c r="AB2316" s="73"/>
    </row>
    <row r="2317">
      <c r="A2317" s="73"/>
      <c r="B2317" s="73">
        <v>865396.9363</v>
      </c>
      <c r="C2317" s="73">
        <v>1.12316223280201E8</v>
      </c>
      <c r="D2317" s="73">
        <v>3.99306275439985E7</v>
      </c>
      <c r="E2317" s="73">
        <v>5640609.56377505</v>
      </c>
      <c r="F2317" s="73"/>
      <c r="G2317" s="73"/>
      <c r="H2317" s="73"/>
      <c r="I2317" s="73"/>
      <c r="J2317" s="73"/>
      <c r="K2317" s="73"/>
      <c r="L2317" s="73"/>
      <c r="M2317" s="73"/>
      <c r="N2317" s="73"/>
      <c r="O2317" s="73"/>
      <c r="P2317" s="73"/>
      <c r="Q2317" s="73"/>
      <c r="R2317" s="73"/>
      <c r="S2317" s="73"/>
      <c r="T2317" s="73"/>
      <c r="U2317" s="73"/>
      <c r="V2317" s="73"/>
      <c r="W2317" s="73"/>
      <c r="X2317" s="73"/>
      <c r="Y2317" s="73"/>
      <c r="Z2317" s="73"/>
      <c r="AA2317" s="73"/>
      <c r="AB2317" s="73"/>
    </row>
    <row r="2318">
      <c r="A2318" s="73"/>
      <c r="B2318" s="73">
        <v>866752.7139</v>
      </c>
      <c r="C2318" s="73">
        <v>1.12448277516533E8</v>
      </c>
      <c r="D2318" s="73">
        <v>3.99927828799994E7</v>
      </c>
      <c r="E2318" s="73">
        <v>5647993.61050845</v>
      </c>
      <c r="F2318" s="73"/>
      <c r="G2318" s="73"/>
      <c r="H2318" s="73"/>
      <c r="I2318" s="73"/>
      <c r="J2318" s="73"/>
      <c r="K2318" s="73"/>
      <c r="L2318" s="73"/>
      <c r="M2318" s="73"/>
      <c r="N2318" s="73"/>
      <c r="O2318" s="73"/>
      <c r="P2318" s="73"/>
      <c r="Q2318" s="73"/>
      <c r="R2318" s="73"/>
      <c r="S2318" s="73"/>
      <c r="T2318" s="73"/>
      <c r="U2318" s="73"/>
      <c r="V2318" s="73"/>
      <c r="W2318" s="73"/>
      <c r="X2318" s="73"/>
      <c r="Y2318" s="73"/>
      <c r="Z2318" s="73"/>
      <c r="AA2318" s="73"/>
      <c r="AB2318" s="73"/>
    </row>
    <row r="2319">
      <c r="A2319" s="73"/>
      <c r="B2319" s="73">
        <v>868110.2455</v>
      </c>
      <c r="C2319" s="73">
        <v>1.12580438872862E8</v>
      </c>
      <c r="D2319" s="73">
        <v>4.00550003800003E7</v>
      </c>
      <c r="E2319" s="73">
        <v>5655384.72468547</v>
      </c>
      <c r="F2319" s="73"/>
      <c r="G2319" s="73"/>
      <c r="H2319" s="73"/>
      <c r="I2319" s="73"/>
      <c r="J2319" s="73"/>
      <c r="K2319" s="73"/>
      <c r="L2319" s="73"/>
      <c r="M2319" s="73"/>
      <c r="N2319" s="73"/>
      <c r="O2319" s="73"/>
      <c r="P2319" s="73"/>
      <c r="Q2319" s="73"/>
      <c r="R2319" s="73"/>
      <c r="S2319" s="73"/>
      <c r="T2319" s="73"/>
      <c r="U2319" s="73"/>
      <c r="V2319" s="73"/>
      <c r="W2319" s="73"/>
      <c r="X2319" s="73"/>
      <c r="Y2319" s="73"/>
      <c r="Z2319" s="73"/>
      <c r="AA2319" s="73"/>
      <c r="AB2319" s="73"/>
    </row>
    <row r="2320">
      <c r="A2320" s="73"/>
      <c r="B2320" s="73">
        <v>869469.5086</v>
      </c>
      <c r="C2320" s="73">
        <v>1.12712699109188E8</v>
      </c>
      <c r="D2320" s="73">
        <v>4.01172826040012E7</v>
      </c>
      <c r="E2320" s="73">
        <v>5662782.40429013</v>
      </c>
      <c r="F2320" s="73"/>
      <c r="G2320" s="73"/>
      <c r="H2320" s="73"/>
      <c r="I2320" s="73"/>
      <c r="J2320" s="73"/>
      <c r="K2320" s="73"/>
      <c r="L2320" s="73"/>
      <c r="M2320" s="73"/>
      <c r="N2320" s="73"/>
      <c r="O2320" s="73"/>
      <c r="P2320" s="73"/>
      <c r="Q2320" s="73"/>
      <c r="R2320" s="73"/>
      <c r="S2320" s="73"/>
      <c r="T2320" s="73"/>
      <c r="U2320" s="73"/>
      <c r="V2320" s="73"/>
      <c r="W2320" s="73"/>
      <c r="X2320" s="73"/>
      <c r="Y2320" s="73"/>
      <c r="Z2320" s="73"/>
      <c r="AA2320" s="73"/>
      <c r="AB2320" s="73"/>
    </row>
    <row r="2321">
      <c r="A2321" s="73"/>
      <c r="B2321" s="73">
        <v>870830.5033</v>
      </c>
      <c r="C2321" s="73">
        <v>1.12845066465511E8</v>
      </c>
      <c r="D2321" s="73">
        <v>4.01796268799945E7</v>
      </c>
      <c r="E2321" s="73">
        <v>5670187.2982544</v>
      </c>
      <c r="F2321" s="73"/>
      <c r="G2321" s="73"/>
      <c r="H2321" s="73"/>
      <c r="I2321" s="73"/>
      <c r="J2321" s="73"/>
      <c r="K2321" s="73"/>
      <c r="L2321" s="73"/>
      <c r="M2321" s="73"/>
      <c r="N2321" s="73"/>
      <c r="O2321" s="73"/>
      <c r="P2321" s="73"/>
      <c r="Q2321" s="73"/>
      <c r="R2321" s="73"/>
      <c r="S2321" s="73"/>
      <c r="T2321" s="73"/>
      <c r="U2321" s="73"/>
      <c r="V2321" s="73"/>
      <c r="W2321" s="73"/>
      <c r="X2321" s="73"/>
      <c r="Y2321" s="73"/>
      <c r="Z2321" s="73"/>
      <c r="AA2321" s="73"/>
      <c r="AB2321" s="73"/>
    </row>
    <row r="2322">
      <c r="A2322" s="73"/>
      <c r="B2322" s="73">
        <v>872193.235</v>
      </c>
      <c r="C2322" s="73">
        <v>1.12977507981833E8</v>
      </c>
      <c r="D2322" s="73">
        <v>4.02420359159954E7</v>
      </c>
      <c r="E2322" s="73">
        <v>5677598.88484631</v>
      </c>
      <c r="F2322" s="73"/>
      <c r="G2322" s="73"/>
      <c r="H2322" s="73"/>
      <c r="I2322" s="73"/>
      <c r="J2322" s="73"/>
      <c r="K2322" s="73"/>
      <c r="L2322" s="73"/>
      <c r="M2322" s="73"/>
      <c r="N2322" s="73"/>
      <c r="O2322" s="73"/>
      <c r="P2322" s="73"/>
      <c r="Q2322" s="73"/>
      <c r="R2322" s="73"/>
      <c r="S2322" s="73"/>
      <c r="T2322" s="73"/>
      <c r="U2322" s="73"/>
      <c r="V2322" s="73"/>
      <c r="W2322" s="73"/>
      <c r="X2322" s="73"/>
      <c r="Y2322" s="73"/>
      <c r="Z2322" s="73"/>
      <c r="AA2322" s="73"/>
      <c r="AB2322" s="73"/>
    </row>
    <row r="2323">
      <c r="A2323" s="73"/>
      <c r="B2323" s="73">
        <v>873557.7101</v>
      </c>
      <c r="C2323" s="73">
        <v>1.1311007309815E8</v>
      </c>
      <c r="D2323" s="73">
        <v>4.03045070399963E7</v>
      </c>
      <c r="E2323" s="73">
        <v>5685017.14816586</v>
      </c>
      <c r="F2323" s="73"/>
      <c r="G2323" s="73"/>
      <c r="H2323" s="73"/>
      <c r="I2323" s="73"/>
      <c r="J2323" s="73"/>
      <c r="K2323" s="73"/>
      <c r="L2323" s="73"/>
      <c r="M2323" s="73"/>
      <c r="N2323" s="73"/>
      <c r="O2323" s="73"/>
      <c r="P2323" s="73"/>
      <c r="Q2323" s="73"/>
      <c r="R2323" s="73"/>
      <c r="S2323" s="73"/>
      <c r="T2323" s="73"/>
      <c r="U2323" s="73"/>
      <c r="V2323" s="73"/>
      <c r="W2323" s="73"/>
      <c r="X2323" s="73"/>
      <c r="Y2323" s="73"/>
      <c r="Z2323" s="73"/>
      <c r="AA2323" s="73"/>
      <c r="AB2323" s="73"/>
    </row>
    <row r="2324">
      <c r="A2324" s="73"/>
      <c r="B2324" s="73">
        <v>874923.9311</v>
      </c>
      <c r="C2324" s="73">
        <v>1.13242720614466E8</v>
      </c>
      <c r="D2324" s="73">
        <v>4.03670402879973E7</v>
      </c>
      <c r="E2324" s="73">
        <v>5692442.64174502</v>
      </c>
      <c r="F2324" s="73"/>
      <c r="G2324" s="73"/>
      <c r="H2324" s="73"/>
      <c r="I2324" s="73"/>
      <c r="J2324" s="73"/>
      <c r="K2324" s="73"/>
      <c r="L2324" s="73"/>
      <c r="M2324" s="73"/>
      <c r="N2324" s="73"/>
      <c r="O2324" s="73"/>
      <c r="P2324" s="73"/>
      <c r="Q2324" s="73"/>
      <c r="R2324" s="73"/>
      <c r="S2324" s="73"/>
      <c r="T2324" s="73"/>
      <c r="U2324" s="73"/>
      <c r="V2324" s="73"/>
      <c r="W2324" s="73"/>
      <c r="X2324" s="73"/>
      <c r="Y2324" s="73"/>
      <c r="Z2324" s="73"/>
      <c r="AA2324" s="73"/>
      <c r="AB2324" s="73"/>
    </row>
    <row r="2325">
      <c r="A2325" s="73"/>
      <c r="B2325" s="73">
        <v>876291.8749</v>
      </c>
      <c r="C2325" s="73">
        <v>1.13375467010778E8</v>
      </c>
      <c r="D2325" s="73">
        <v>4.04296356639982E7</v>
      </c>
      <c r="E2325" s="73">
        <v>5699875.05966781</v>
      </c>
      <c r="F2325" s="73"/>
      <c r="G2325" s="73"/>
      <c r="H2325" s="73"/>
      <c r="I2325" s="73"/>
      <c r="J2325" s="73"/>
      <c r="K2325" s="73"/>
      <c r="L2325" s="73"/>
      <c r="M2325" s="73"/>
      <c r="N2325" s="73"/>
      <c r="O2325" s="73"/>
      <c r="P2325" s="73"/>
      <c r="Q2325" s="73"/>
      <c r="R2325" s="73"/>
      <c r="S2325" s="73"/>
      <c r="T2325" s="73"/>
      <c r="U2325" s="73"/>
      <c r="V2325" s="73"/>
      <c r="W2325" s="73"/>
      <c r="X2325" s="73"/>
      <c r="Y2325" s="73"/>
      <c r="Z2325" s="73"/>
      <c r="AA2325" s="73"/>
      <c r="AB2325" s="73"/>
    </row>
    <row r="2326">
      <c r="A2326" s="73"/>
      <c r="B2326" s="73">
        <v>877661.5733</v>
      </c>
      <c r="C2326" s="73">
        <v>1.13508320527088E8</v>
      </c>
      <c r="D2326" s="73">
        <v>4.04922957639991E7</v>
      </c>
      <c r="E2326" s="73">
        <v>5707314.18611823</v>
      </c>
      <c r="F2326" s="73"/>
      <c r="G2326" s="73"/>
      <c r="H2326" s="73"/>
      <c r="I2326" s="73"/>
      <c r="J2326" s="73"/>
      <c r="K2326" s="73"/>
      <c r="L2326" s="73"/>
      <c r="M2326" s="73"/>
      <c r="N2326" s="73"/>
      <c r="O2326" s="73"/>
      <c r="P2326" s="73"/>
      <c r="Q2326" s="73"/>
      <c r="R2326" s="73"/>
      <c r="S2326" s="73"/>
      <c r="T2326" s="73"/>
      <c r="U2326" s="73"/>
      <c r="V2326" s="73"/>
      <c r="W2326" s="73"/>
      <c r="X2326" s="73"/>
      <c r="Y2326" s="73"/>
      <c r="Z2326" s="73"/>
      <c r="AA2326" s="73"/>
      <c r="AB2326" s="73"/>
    </row>
    <row r="2327">
      <c r="A2327" s="73"/>
      <c r="B2327" s="73">
        <v>879032.9894</v>
      </c>
      <c r="C2327" s="73">
        <v>1.13641272923395E8</v>
      </c>
      <c r="D2327" s="73">
        <v>4.0555017952E7</v>
      </c>
      <c r="E2327" s="73">
        <v>5714760.48452827</v>
      </c>
      <c r="F2327" s="73"/>
      <c r="G2327" s="73"/>
      <c r="H2327" s="73"/>
      <c r="I2327" s="73"/>
      <c r="J2327" s="73"/>
      <c r="K2327" s="73"/>
      <c r="L2327" s="73"/>
      <c r="M2327" s="73"/>
      <c r="N2327" s="73"/>
      <c r="O2327" s="73"/>
      <c r="P2327" s="73"/>
      <c r="Q2327" s="73"/>
      <c r="R2327" s="73"/>
      <c r="S2327" s="73"/>
      <c r="T2327" s="73"/>
      <c r="U2327" s="73"/>
      <c r="V2327" s="73"/>
      <c r="W2327" s="73"/>
      <c r="X2327" s="73"/>
      <c r="Y2327" s="73"/>
      <c r="Z2327" s="73"/>
      <c r="AA2327" s="73"/>
      <c r="AB2327" s="73"/>
    </row>
    <row r="2328">
      <c r="A2328" s="73"/>
      <c r="B2328" s="73">
        <v>880406.1683</v>
      </c>
      <c r="C2328" s="73">
        <v>1.137743159597E8</v>
      </c>
      <c r="D2328" s="73">
        <v>4.06178047880009E7</v>
      </c>
      <c r="E2328" s="73">
        <v>5722213.49146594</v>
      </c>
      <c r="F2328" s="73"/>
      <c r="G2328" s="73"/>
      <c r="H2328" s="73"/>
      <c r="I2328" s="73"/>
      <c r="J2328" s="73"/>
      <c r="K2328" s="73"/>
      <c r="L2328" s="73"/>
      <c r="M2328" s="73"/>
      <c r="N2328" s="73"/>
      <c r="O2328" s="73"/>
      <c r="P2328" s="73"/>
      <c r="Q2328" s="73"/>
      <c r="R2328" s="73"/>
      <c r="S2328" s="73"/>
      <c r="T2328" s="73"/>
      <c r="U2328" s="73"/>
      <c r="V2328" s="73"/>
      <c r="W2328" s="73"/>
      <c r="X2328" s="73"/>
      <c r="Y2328" s="73"/>
      <c r="Z2328" s="73"/>
      <c r="AA2328" s="73"/>
      <c r="AB2328" s="73"/>
    </row>
    <row r="2329">
      <c r="A2329" s="73"/>
      <c r="B2329" s="73">
        <v>881781.0793</v>
      </c>
      <c r="C2329" s="73">
        <v>1.13907457876001E8</v>
      </c>
      <c r="D2329" s="73">
        <v>4.06806538239942E7</v>
      </c>
      <c r="E2329" s="73">
        <v>5729673.43864724</v>
      </c>
      <c r="F2329" s="73"/>
      <c r="G2329" s="73"/>
      <c r="H2329" s="73"/>
      <c r="I2329" s="73"/>
      <c r="J2329" s="73"/>
      <c r="K2329" s="73"/>
      <c r="L2329" s="73"/>
      <c r="M2329" s="73"/>
      <c r="N2329" s="73"/>
      <c r="O2329" s="73"/>
      <c r="P2329" s="73"/>
      <c r="Q2329" s="73"/>
      <c r="R2329" s="73"/>
      <c r="S2329" s="73"/>
      <c r="T2329" s="73"/>
      <c r="U2329" s="73"/>
      <c r="V2329" s="73"/>
      <c r="W2329" s="73"/>
      <c r="X2329" s="73"/>
      <c r="Y2329" s="73"/>
      <c r="Z2329" s="73"/>
      <c r="AA2329" s="73"/>
      <c r="AB2329" s="73"/>
    </row>
    <row r="2330">
      <c r="A2330" s="73"/>
      <c r="B2330" s="73">
        <v>883157.7418</v>
      </c>
      <c r="C2330" s="73">
        <v>1.14040690432301E8</v>
      </c>
      <c r="D2330" s="73">
        <v>4.07435649879951E7</v>
      </c>
      <c r="E2330" s="73">
        <v>5737140.39497217</v>
      </c>
      <c r="F2330" s="73"/>
      <c r="G2330" s="73"/>
      <c r="H2330" s="73"/>
      <c r="I2330" s="73"/>
      <c r="J2330" s="73"/>
      <c r="K2330" s="73"/>
      <c r="L2330" s="73"/>
      <c r="M2330" s="73"/>
      <c r="N2330" s="73"/>
      <c r="O2330" s="73"/>
      <c r="P2330" s="73"/>
      <c r="Q2330" s="73"/>
      <c r="R2330" s="73"/>
      <c r="S2330" s="73"/>
      <c r="T2330" s="73"/>
      <c r="U2330" s="73"/>
      <c r="V2330" s="73"/>
      <c r="W2330" s="73"/>
      <c r="X2330" s="73"/>
      <c r="Y2330" s="73"/>
      <c r="Z2330" s="73"/>
      <c r="AA2330" s="73"/>
      <c r="AB2330" s="73"/>
    </row>
    <row r="2331">
      <c r="A2331" s="73"/>
      <c r="B2331" s="73">
        <v>884536.1364</v>
      </c>
      <c r="C2331" s="73">
        <v>1.14174038348597E8</v>
      </c>
      <c r="D2331" s="73">
        <v>4.0806540799996E7</v>
      </c>
      <c r="E2331" s="73">
        <v>5744614.27564071</v>
      </c>
      <c r="F2331" s="73"/>
      <c r="G2331" s="73"/>
      <c r="H2331" s="73"/>
      <c r="I2331" s="73"/>
      <c r="J2331" s="73"/>
      <c r="K2331" s="73"/>
      <c r="L2331" s="73"/>
      <c r="M2331" s="73"/>
      <c r="N2331" s="73"/>
      <c r="O2331" s="73"/>
      <c r="P2331" s="73"/>
      <c r="Q2331" s="73"/>
      <c r="R2331" s="73"/>
      <c r="S2331" s="73"/>
      <c r="T2331" s="73"/>
      <c r="U2331" s="73"/>
      <c r="V2331" s="73"/>
      <c r="W2331" s="73"/>
      <c r="X2331" s="73"/>
      <c r="Y2331" s="73"/>
      <c r="Z2331" s="73"/>
      <c r="AA2331" s="73"/>
      <c r="AB2331" s="73"/>
    </row>
    <row r="2332">
      <c r="A2332" s="73"/>
      <c r="B2332" s="73">
        <v>885916.2856</v>
      </c>
      <c r="C2332" s="73">
        <v>1.1430748514489E8</v>
      </c>
      <c r="D2332" s="73">
        <v>4.0869578699997E7</v>
      </c>
      <c r="E2332" s="73">
        <v>5752094.72703691</v>
      </c>
      <c r="F2332" s="73"/>
      <c r="G2332" s="73"/>
      <c r="H2332" s="73"/>
      <c r="I2332" s="73"/>
      <c r="J2332" s="73"/>
      <c r="K2332" s="73"/>
      <c r="L2332" s="73"/>
      <c r="M2332" s="73"/>
      <c r="N2332" s="73"/>
      <c r="O2332" s="73"/>
      <c r="P2332" s="73"/>
      <c r="Q2332" s="73"/>
      <c r="R2332" s="73"/>
      <c r="S2332" s="73"/>
      <c r="T2332" s="73"/>
      <c r="U2332" s="73"/>
      <c r="V2332" s="73"/>
      <c r="W2332" s="73"/>
      <c r="X2332" s="73"/>
      <c r="Y2332" s="73"/>
      <c r="Z2332" s="73"/>
      <c r="AA2332" s="73"/>
      <c r="AB2332" s="73"/>
    </row>
    <row r="2333">
      <c r="A2333" s="73"/>
      <c r="B2333" s="73">
        <v>887298.1639</v>
      </c>
      <c r="C2333" s="73">
        <v>1.14441014341181E8</v>
      </c>
      <c r="D2333" s="73">
        <v>4.09326813599979E7</v>
      </c>
      <c r="E2333" s="73">
        <v>5759582.6047927</v>
      </c>
      <c r="F2333" s="73"/>
      <c r="G2333" s="73"/>
      <c r="H2333" s="73"/>
      <c r="I2333" s="73"/>
      <c r="J2333" s="73"/>
      <c r="K2333" s="73"/>
      <c r="L2333" s="73"/>
      <c r="M2333" s="73"/>
      <c r="N2333" s="73"/>
      <c r="O2333" s="73"/>
      <c r="P2333" s="73"/>
      <c r="Q2333" s="73"/>
      <c r="R2333" s="73"/>
      <c r="S2333" s="73"/>
      <c r="T2333" s="73"/>
      <c r="U2333" s="73"/>
      <c r="V2333" s="73"/>
      <c r="W2333" s="73"/>
      <c r="X2333" s="73"/>
      <c r="Y2333" s="73"/>
      <c r="Z2333" s="73"/>
      <c r="AA2333" s="73"/>
      <c r="AB2333" s="73"/>
    </row>
    <row r="2334">
      <c r="A2334" s="73"/>
      <c r="B2334" s="73">
        <v>888681.7799</v>
      </c>
      <c r="C2334" s="73">
        <v>1.14574650657469E8</v>
      </c>
      <c r="D2334" s="73">
        <v>4.09958461079988E7</v>
      </c>
      <c r="E2334" s="73">
        <v>5767077.02147614</v>
      </c>
      <c r="F2334" s="73"/>
      <c r="G2334" s="73"/>
      <c r="H2334" s="73"/>
      <c r="I2334" s="73"/>
      <c r="J2334" s="73"/>
      <c r="K2334" s="73"/>
      <c r="L2334" s="73"/>
      <c r="M2334" s="73"/>
      <c r="N2334" s="73"/>
      <c r="O2334" s="73"/>
      <c r="P2334" s="73"/>
      <c r="Q2334" s="73"/>
      <c r="R2334" s="73"/>
      <c r="S2334" s="73"/>
      <c r="T2334" s="73"/>
      <c r="U2334" s="73"/>
      <c r="V2334" s="73"/>
      <c r="W2334" s="73"/>
      <c r="X2334" s="73"/>
      <c r="Y2334" s="73"/>
      <c r="Z2334" s="73"/>
      <c r="AA2334" s="73"/>
      <c r="AB2334" s="73"/>
    </row>
    <row r="2335">
      <c r="A2335" s="73"/>
      <c r="B2335" s="73">
        <v>890067.1649</v>
      </c>
      <c r="C2335" s="73">
        <v>1.14708402333754E8</v>
      </c>
      <c r="D2335" s="73">
        <v>4.10590755439997E7</v>
      </c>
      <c r="E2335" s="73">
        <v>5774578.5162032</v>
      </c>
      <c r="F2335" s="73"/>
      <c r="G2335" s="73"/>
      <c r="H2335" s="73"/>
      <c r="I2335" s="73"/>
      <c r="J2335" s="73"/>
      <c r="K2335" s="73"/>
      <c r="L2335" s="73"/>
      <c r="M2335" s="73"/>
      <c r="N2335" s="73"/>
      <c r="O2335" s="73"/>
      <c r="P2335" s="73"/>
      <c r="Q2335" s="73"/>
      <c r="R2335" s="73"/>
      <c r="S2335" s="73"/>
      <c r="T2335" s="73"/>
      <c r="U2335" s="73"/>
      <c r="V2335" s="73"/>
      <c r="W2335" s="73"/>
      <c r="X2335" s="73"/>
      <c r="Y2335" s="73"/>
      <c r="Z2335" s="73"/>
      <c r="AA2335" s="73"/>
      <c r="AB2335" s="73"/>
    </row>
    <row r="2336">
      <c r="A2336" s="73"/>
      <c r="B2336" s="73">
        <v>891454.282</v>
      </c>
      <c r="C2336" s="73">
        <v>1.14842219930037E8</v>
      </c>
      <c r="D2336" s="73">
        <v>4.11223671800006E7</v>
      </c>
      <c r="E2336" s="73">
        <v>5782086.91407388</v>
      </c>
      <c r="F2336" s="73"/>
      <c r="G2336" s="73"/>
      <c r="H2336" s="73"/>
      <c r="I2336" s="73"/>
      <c r="J2336" s="73"/>
      <c r="K2336" s="73"/>
      <c r="L2336" s="73"/>
      <c r="M2336" s="73"/>
      <c r="N2336" s="73"/>
      <c r="O2336" s="73"/>
      <c r="P2336" s="73"/>
      <c r="Q2336" s="73"/>
      <c r="R2336" s="73"/>
      <c r="S2336" s="73"/>
      <c r="T2336" s="73"/>
      <c r="U2336" s="73"/>
      <c r="V2336" s="73"/>
      <c r="W2336" s="73"/>
      <c r="X2336" s="73"/>
      <c r="Y2336" s="73"/>
      <c r="Z2336" s="73"/>
      <c r="AA2336" s="73"/>
      <c r="AB2336" s="73"/>
    </row>
    <row r="2337">
      <c r="A2337" s="73"/>
      <c r="B2337" s="73">
        <v>892843.1369</v>
      </c>
      <c r="C2337" s="73">
        <v>1.14976161126316E8</v>
      </c>
      <c r="D2337" s="73">
        <v>4.11857208680015E7</v>
      </c>
      <c r="E2337" s="73">
        <v>5789602.1673882</v>
      </c>
      <c r="F2337" s="73"/>
      <c r="G2337" s="73"/>
      <c r="H2337" s="73"/>
      <c r="I2337" s="73"/>
      <c r="J2337" s="73"/>
      <c r="K2337" s="73"/>
      <c r="L2337" s="73"/>
      <c r="M2337" s="73"/>
      <c r="N2337" s="73"/>
      <c r="O2337" s="73"/>
      <c r="P2337" s="73"/>
      <c r="Q2337" s="73"/>
      <c r="R2337" s="73"/>
      <c r="S2337" s="73"/>
      <c r="T2337" s="73"/>
      <c r="U2337" s="73"/>
      <c r="V2337" s="73"/>
      <c r="W2337" s="73"/>
      <c r="X2337" s="73"/>
      <c r="Y2337" s="73"/>
      <c r="Z2337" s="73"/>
      <c r="AA2337" s="73"/>
      <c r="AB2337" s="73"/>
    </row>
    <row r="2338">
      <c r="A2338" s="73"/>
      <c r="B2338" s="73">
        <v>894233.7408</v>
      </c>
      <c r="C2338" s="73">
        <v>1.15110184722593E8</v>
      </c>
      <c r="D2338" s="73">
        <v>4.12491392399948E7</v>
      </c>
      <c r="E2338" s="73">
        <v>5797124.59944612</v>
      </c>
      <c r="F2338" s="73"/>
      <c r="G2338" s="73"/>
      <c r="H2338" s="73"/>
      <c r="I2338" s="73"/>
      <c r="J2338" s="73"/>
      <c r="K2338" s="73"/>
      <c r="L2338" s="73"/>
      <c r="M2338" s="73"/>
      <c r="N2338" s="73"/>
      <c r="O2338" s="73"/>
      <c r="P2338" s="73"/>
      <c r="Q2338" s="73"/>
      <c r="R2338" s="73"/>
      <c r="S2338" s="73"/>
      <c r="T2338" s="73"/>
      <c r="U2338" s="73"/>
      <c r="V2338" s="73"/>
      <c r="W2338" s="73"/>
      <c r="X2338" s="73"/>
      <c r="Y2338" s="73"/>
      <c r="Z2338" s="73"/>
      <c r="AA2338" s="73"/>
      <c r="AB2338" s="73"/>
    </row>
    <row r="2339">
      <c r="A2339" s="73"/>
      <c r="B2339" s="73">
        <v>895626.0886</v>
      </c>
      <c r="C2339" s="73">
        <v>1.15244323678867E8</v>
      </c>
      <c r="D2339" s="73">
        <v>4.13126223359957E7</v>
      </c>
      <c r="E2339" s="73">
        <v>5804653.90284768</v>
      </c>
      <c r="F2339" s="73"/>
      <c r="G2339" s="73"/>
      <c r="H2339" s="73"/>
      <c r="I2339" s="73"/>
      <c r="J2339" s="73"/>
      <c r="K2339" s="73"/>
      <c r="L2339" s="73"/>
      <c r="M2339" s="73"/>
      <c r="N2339" s="73"/>
      <c r="O2339" s="73"/>
      <c r="P2339" s="73"/>
      <c r="Q2339" s="73"/>
      <c r="R2339" s="73"/>
      <c r="S2339" s="73"/>
      <c r="T2339" s="73"/>
      <c r="U2339" s="73"/>
      <c r="V2339" s="73"/>
      <c r="W2339" s="73"/>
      <c r="X2339" s="73"/>
      <c r="Y2339" s="73"/>
      <c r="Z2339" s="73"/>
      <c r="AA2339" s="73"/>
      <c r="AB2339" s="73"/>
    </row>
    <row r="2340">
      <c r="A2340" s="73"/>
      <c r="B2340" s="73">
        <v>897020.2055</v>
      </c>
      <c r="C2340" s="73">
        <v>1.15378553275139E8</v>
      </c>
      <c r="D2340" s="73">
        <v>4.13761675599967E7</v>
      </c>
      <c r="E2340" s="73">
        <v>5812189.84587688</v>
      </c>
      <c r="F2340" s="73"/>
      <c r="G2340" s="73"/>
      <c r="H2340" s="73"/>
      <c r="I2340" s="73"/>
      <c r="J2340" s="73"/>
      <c r="K2340" s="73"/>
      <c r="L2340" s="73"/>
      <c r="M2340" s="73"/>
      <c r="N2340" s="73"/>
      <c r="O2340" s="73"/>
      <c r="P2340" s="73"/>
      <c r="Q2340" s="73"/>
      <c r="R2340" s="73"/>
      <c r="S2340" s="73"/>
      <c r="T2340" s="73"/>
      <c r="U2340" s="73"/>
      <c r="V2340" s="73"/>
      <c r="W2340" s="73"/>
      <c r="X2340" s="73"/>
      <c r="Y2340" s="73"/>
      <c r="Z2340" s="73"/>
      <c r="AA2340" s="73"/>
      <c r="AB2340" s="73"/>
    </row>
    <row r="2341">
      <c r="A2341" s="73"/>
      <c r="B2341" s="73">
        <v>898416.0545</v>
      </c>
      <c r="C2341" s="73">
        <v>1.15512873511408E8</v>
      </c>
      <c r="D2341" s="73">
        <v>4.14397774679976E7</v>
      </c>
      <c r="E2341" s="73">
        <v>5819732.8139497</v>
      </c>
      <c r="F2341" s="73"/>
      <c r="G2341" s="73"/>
      <c r="H2341" s="73"/>
      <c r="I2341" s="73"/>
      <c r="J2341" s="73"/>
      <c r="K2341" s="73"/>
      <c r="L2341" s="73"/>
      <c r="M2341" s="73"/>
      <c r="N2341" s="73"/>
      <c r="O2341" s="73"/>
      <c r="P2341" s="73"/>
      <c r="Q2341" s="73"/>
      <c r="R2341" s="73"/>
      <c r="S2341" s="73"/>
      <c r="T2341" s="73"/>
      <c r="U2341" s="73"/>
      <c r="V2341" s="73"/>
      <c r="W2341" s="73"/>
      <c r="X2341" s="73"/>
      <c r="Y2341" s="73"/>
      <c r="Z2341" s="73"/>
      <c r="AA2341" s="73"/>
      <c r="AB2341" s="73"/>
    </row>
    <row r="2342">
      <c r="A2342" s="73"/>
      <c r="B2342" s="73">
        <v>899813.6413</v>
      </c>
      <c r="C2342" s="73">
        <v>1.15647300867674E8</v>
      </c>
      <c r="D2342" s="73">
        <v>4.15034494639985E7</v>
      </c>
      <c r="E2342" s="73">
        <v>5827282.72226614</v>
      </c>
      <c r="F2342" s="73"/>
      <c r="G2342" s="73"/>
      <c r="H2342" s="73"/>
      <c r="I2342" s="73"/>
      <c r="J2342" s="73"/>
      <c r="K2342" s="73"/>
      <c r="L2342" s="73"/>
      <c r="M2342" s="73"/>
      <c r="N2342" s="73"/>
      <c r="O2342" s="73"/>
      <c r="P2342" s="73"/>
      <c r="Q2342" s="73"/>
      <c r="R2342" s="73"/>
      <c r="S2342" s="73"/>
      <c r="T2342" s="73"/>
      <c r="U2342" s="73"/>
      <c r="V2342" s="73"/>
      <c r="W2342" s="73"/>
      <c r="X2342" s="73"/>
      <c r="Y2342" s="73"/>
      <c r="Z2342" s="73"/>
      <c r="AA2342" s="73"/>
      <c r="AB2342" s="73"/>
    </row>
    <row r="2343">
      <c r="A2343" s="73"/>
      <c r="B2343" s="73">
        <v>901212.9864</v>
      </c>
      <c r="C2343" s="73">
        <v>1.15781827103937E8</v>
      </c>
      <c r="D2343" s="73">
        <v>4.15671836239994E7</v>
      </c>
      <c r="E2343" s="73">
        <v>5834839.98804219</v>
      </c>
      <c r="F2343" s="73"/>
      <c r="G2343" s="73"/>
      <c r="H2343" s="73"/>
      <c r="I2343" s="73"/>
      <c r="J2343" s="73"/>
      <c r="K2343" s="73"/>
      <c r="L2343" s="73"/>
      <c r="M2343" s="73"/>
      <c r="N2343" s="73"/>
      <c r="O2343" s="73"/>
      <c r="P2343" s="73"/>
      <c r="Q2343" s="73"/>
      <c r="R2343" s="73"/>
      <c r="S2343" s="73"/>
      <c r="T2343" s="73"/>
      <c r="U2343" s="73"/>
      <c r="V2343" s="73"/>
      <c r="W2343" s="73"/>
      <c r="X2343" s="73"/>
      <c r="Y2343" s="73"/>
      <c r="Z2343" s="73"/>
      <c r="AA2343" s="73"/>
      <c r="AB2343" s="73"/>
    </row>
    <row r="2344">
      <c r="A2344" s="73"/>
      <c r="B2344" s="73">
        <v>902614.0693</v>
      </c>
      <c r="C2344" s="73">
        <v>1.15916452220198E8</v>
      </c>
      <c r="D2344" s="73">
        <v>4.16309850680003E7</v>
      </c>
      <c r="E2344" s="73">
        <v>5842403.82454588</v>
      </c>
      <c r="F2344" s="73"/>
      <c r="G2344" s="73"/>
      <c r="H2344" s="73"/>
      <c r="I2344" s="73"/>
      <c r="J2344" s="73"/>
      <c r="K2344" s="73"/>
      <c r="L2344" s="73"/>
      <c r="M2344" s="73"/>
      <c r="N2344" s="73"/>
      <c r="O2344" s="73"/>
      <c r="P2344" s="73"/>
      <c r="Q2344" s="73"/>
      <c r="R2344" s="73"/>
      <c r="S2344" s="73"/>
      <c r="T2344" s="73"/>
      <c r="U2344" s="73"/>
      <c r="V2344" s="73"/>
      <c r="W2344" s="73"/>
      <c r="X2344" s="73"/>
      <c r="Y2344" s="73"/>
      <c r="Z2344" s="73"/>
      <c r="AA2344" s="73"/>
      <c r="AB2344" s="73"/>
    </row>
    <row r="2345">
      <c r="A2345" s="73"/>
      <c r="B2345" s="73">
        <v>904016.9074</v>
      </c>
      <c r="C2345" s="73">
        <v>1.16051184456455E8</v>
      </c>
      <c r="D2345" s="73">
        <v>4.16948460400012E7</v>
      </c>
      <c r="E2345" s="73">
        <v>5849974.70199319</v>
      </c>
      <c r="F2345" s="73"/>
      <c r="G2345" s="73"/>
      <c r="H2345" s="73"/>
      <c r="I2345" s="73"/>
      <c r="J2345" s="73"/>
      <c r="K2345" s="73"/>
      <c r="L2345" s="73"/>
      <c r="M2345" s="73"/>
      <c r="N2345" s="73"/>
      <c r="O2345" s="73"/>
      <c r="P2345" s="73"/>
      <c r="Q2345" s="73"/>
      <c r="R2345" s="73"/>
      <c r="S2345" s="73"/>
      <c r="T2345" s="73"/>
      <c r="U2345" s="73"/>
      <c r="V2345" s="73"/>
      <c r="W2345" s="73"/>
      <c r="X2345" s="73"/>
      <c r="Y2345" s="73"/>
      <c r="Z2345" s="73"/>
      <c r="AA2345" s="73"/>
      <c r="AB2345" s="73"/>
    </row>
    <row r="2346">
      <c r="A2346" s="73"/>
      <c r="B2346" s="73">
        <v>905421.5176</v>
      </c>
      <c r="C2346" s="73">
        <v>1.1618599909271E8</v>
      </c>
      <c r="D2346" s="73">
        <v>4.17587742199945E7</v>
      </c>
      <c r="E2346" s="73">
        <v>5857552.22436815</v>
      </c>
      <c r="F2346" s="73"/>
      <c r="G2346" s="73"/>
      <c r="H2346" s="73"/>
      <c r="I2346" s="73"/>
      <c r="J2346" s="73"/>
      <c r="K2346" s="73"/>
      <c r="L2346" s="73"/>
      <c r="M2346" s="73"/>
      <c r="N2346" s="73"/>
      <c r="O2346" s="73"/>
      <c r="P2346" s="73"/>
      <c r="Q2346" s="73"/>
      <c r="R2346" s="73"/>
      <c r="S2346" s="73"/>
      <c r="T2346" s="73"/>
      <c r="U2346" s="73"/>
      <c r="V2346" s="73"/>
      <c r="W2346" s="73"/>
      <c r="X2346" s="73"/>
      <c r="Y2346" s="73"/>
      <c r="Z2346" s="73"/>
      <c r="AA2346" s="73"/>
      <c r="AB2346" s="73"/>
    </row>
    <row r="2347">
      <c r="A2347" s="73"/>
      <c r="B2347" s="73">
        <v>906827.855</v>
      </c>
      <c r="C2347" s="73">
        <v>1.16320920848963E8</v>
      </c>
      <c r="D2347" s="73">
        <v>4.18227645639954E7</v>
      </c>
      <c r="E2347" s="73">
        <v>5865137.01410271</v>
      </c>
      <c r="F2347" s="73"/>
      <c r="G2347" s="73"/>
      <c r="H2347" s="73"/>
      <c r="I2347" s="73"/>
      <c r="J2347" s="73"/>
      <c r="K2347" s="73"/>
      <c r="L2347" s="73"/>
      <c r="M2347" s="73"/>
      <c r="N2347" s="73"/>
      <c r="O2347" s="73"/>
      <c r="P2347" s="73"/>
      <c r="Q2347" s="73"/>
      <c r="R2347" s="73"/>
      <c r="S2347" s="73"/>
      <c r="T2347" s="73"/>
      <c r="U2347" s="73"/>
      <c r="V2347" s="73"/>
      <c r="W2347" s="73"/>
      <c r="X2347" s="73"/>
      <c r="Y2347" s="73"/>
      <c r="Z2347" s="73"/>
      <c r="AA2347" s="73"/>
      <c r="AB2347" s="73"/>
    </row>
    <row r="2348">
      <c r="A2348" s="73"/>
      <c r="B2348" s="73">
        <v>908235.9414</v>
      </c>
      <c r="C2348" s="73">
        <v>1.16455941485212E8</v>
      </c>
      <c r="D2348" s="73">
        <v>4.18868196319963E7</v>
      </c>
      <c r="E2348" s="73">
        <v>5872728.89778089</v>
      </c>
      <c r="F2348" s="73"/>
      <c r="G2348" s="73"/>
      <c r="H2348" s="73"/>
      <c r="I2348" s="73"/>
      <c r="J2348" s="73"/>
      <c r="K2348" s="73"/>
      <c r="L2348" s="73"/>
      <c r="M2348" s="73"/>
      <c r="N2348" s="73"/>
      <c r="O2348" s="73"/>
      <c r="P2348" s="73"/>
      <c r="Q2348" s="73"/>
      <c r="R2348" s="73"/>
      <c r="S2348" s="73"/>
      <c r="T2348" s="73"/>
      <c r="U2348" s="73"/>
      <c r="V2348" s="73"/>
      <c r="W2348" s="73"/>
      <c r="X2348" s="73"/>
      <c r="Y2348" s="73"/>
      <c r="Z2348" s="73"/>
      <c r="AA2348" s="73"/>
      <c r="AB2348" s="73"/>
    </row>
    <row r="2349">
      <c r="A2349" s="73"/>
      <c r="B2349" s="73">
        <v>909645.7861</v>
      </c>
      <c r="C2349" s="73">
        <v>1.16591052761459E8</v>
      </c>
      <c r="D2349" s="73">
        <v>4.19509367879972E7</v>
      </c>
      <c r="E2349" s="73">
        <v>5880327.42108671</v>
      </c>
      <c r="F2349" s="73"/>
      <c r="G2349" s="73"/>
      <c r="H2349" s="73"/>
      <c r="I2349" s="73"/>
      <c r="J2349" s="73"/>
      <c r="K2349" s="73"/>
      <c r="L2349" s="73"/>
      <c r="M2349" s="73"/>
      <c r="N2349" s="73"/>
      <c r="O2349" s="73"/>
      <c r="P2349" s="73"/>
      <c r="Q2349" s="73"/>
      <c r="R2349" s="73"/>
      <c r="S2349" s="73"/>
      <c r="T2349" s="73"/>
      <c r="U2349" s="73"/>
      <c r="V2349" s="73"/>
      <c r="W2349" s="73"/>
      <c r="X2349" s="73"/>
      <c r="Y2349" s="73"/>
      <c r="Z2349" s="73"/>
      <c r="AA2349" s="73"/>
      <c r="AB2349" s="73"/>
    </row>
    <row r="2350">
      <c r="A2350" s="73"/>
      <c r="B2350" s="73">
        <v>911057.3749</v>
      </c>
      <c r="C2350" s="73">
        <v>1.16726279397703E8</v>
      </c>
      <c r="D2350" s="73">
        <v>4.20151186679982E7</v>
      </c>
      <c r="E2350" s="73">
        <v>5887932.81573615</v>
      </c>
      <c r="F2350" s="73"/>
      <c r="G2350" s="73"/>
      <c r="H2350" s="73"/>
      <c r="I2350" s="73"/>
      <c r="J2350" s="73"/>
      <c r="K2350" s="73"/>
      <c r="L2350" s="73"/>
      <c r="M2350" s="73"/>
      <c r="N2350" s="73"/>
      <c r="O2350" s="73"/>
      <c r="P2350" s="73"/>
      <c r="Q2350" s="73"/>
      <c r="R2350" s="73"/>
      <c r="S2350" s="73"/>
      <c r="T2350" s="73"/>
      <c r="U2350" s="73"/>
      <c r="V2350" s="73"/>
      <c r="W2350" s="73"/>
      <c r="X2350" s="73"/>
      <c r="Y2350" s="73"/>
      <c r="Z2350" s="73"/>
      <c r="AA2350" s="73"/>
      <c r="AB2350" s="73"/>
    </row>
    <row r="2351">
      <c r="A2351" s="73"/>
      <c r="B2351" s="73">
        <v>912470.7189</v>
      </c>
      <c r="C2351" s="73">
        <v>1.16861596673944E8</v>
      </c>
      <c r="D2351" s="73">
        <v>4.20793626359991E7</v>
      </c>
      <c r="E2351" s="73">
        <v>5895545.5996452</v>
      </c>
      <c r="F2351" s="73"/>
      <c r="G2351" s="73"/>
      <c r="H2351" s="73"/>
      <c r="I2351" s="73"/>
      <c r="J2351" s="73"/>
      <c r="K2351" s="73"/>
      <c r="L2351" s="73"/>
      <c r="M2351" s="73"/>
      <c r="N2351" s="73"/>
      <c r="O2351" s="73"/>
      <c r="P2351" s="73"/>
      <c r="Q2351" s="73"/>
      <c r="R2351" s="73"/>
      <c r="S2351" s="73"/>
      <c r="T2351" s="73"/>
      <c r="U2351" s="73"/>
      <c r="V2351" s="73"/>
      <c r="W2351" s="73"/>
      <c r="X2351" s="73"/>
      <c r="Y2351" s="73"/>
      <c r="Z2351" s="73"/>
      <c r="AA2351" s="73"/>
      <c r="AB2351" s="73"/>
    </row>
    <row r="2352">
      <c r="A2352" s="73"/>
      <c r="B2352" s="73">
        <v>913885.8181</v>
      </c>
      <c r="C2352" s="73">
        <v>1.16997012830183E8</v>
      </c>
      <c r="D2352" s="73">
        <v>4.2143671288E7</v>
      </c>
      <c r="E2352" s="73">
        <v>5903165.02318189</v>
      </c>
      <c r="F2352" s="73"/>
      <c r="G2352" s="73"/>
      <c r="H2352" s="73"/>
      <c r="I2352" s="73"/>
      <c r="J2352" s="73"/>
      <c r="K2352" s="73"/>
      <c r="L2352" s="73"/>
      <c r="M2352" s="73"/>
      <c r="N2352" s="73"/>
      <c r="O2352" s="73"/>
      <c r="P2352" s="73"/>
      <c r="Q2352" s="73"/>
      <c r="R2352" s="73"/>
      <c r="S2352" s="73"/>
      <c r="T2352" s="73"/>
      <c r="U2352" s="73"/>
      <c r="V2352" s="73"/>
      <c r="W2352" s="73"/>
      <c r="X2352" s="73"/>
      <c r="Y2352" s="73"/>
      <c r="Z2352" s="73"/>
      <c r="AA2352" s="73"/>
      <c r="AB2352" s="73"/>
    </row>
    <row r="2353">
      <c r="A2353" s="73"/>
      <c r="B2353" s="73">
        <v>915302.6645</v>
      </c>
      <c r="C2353" s="73">
        <v>1.17132527866419E8</v>
      </c>
      <c r="D2353" s="73">
        <v>4.22080447040009E7</v>
      </c>
      <c r="E2353" s="73">
        <v>5910791.5406622</v>
      </c>
      <c r="F2353" s="73"/>
      <c r="G2353" s="73"/>
      <c r="H2353" s="73"/>
      <c r="I2353" s="73"/>
      <c r="J2353" s="73"/>
      <c r="K2353" s="73"/>
      <c r="L2353" s="73"/>
      <c r="M2353" s="73"/>
      <c r="N2353" s="73"/>
      <c r="O2353" s="73"/>
      <c r="P2353" s="73"/>
      <c r="Q2353" s="73"/>
      <c r="R2353" s="73"/>
      <c r="S2353" s="73"/>
      <c r="T2353" s="73"/>
      <c r="U2353" s="73"/>
      <c r="V2353" s="73"/>
      <c r="W2353" s="73"/>
      <c r="X2353" s="73"/>
      <c r="Y2353" s="73"/>
      <c r="Z2353" s="73"/>
      <c r="AA2353" s="73"/>
      <c r="AB2353" s="73"/>
    </row>
    <row r="2354">
      <c r="A2354" s="73"/>
      <c r="B2354" s="73">
        <v>916721.2661</v>
      </c>
      <c r="C2354" s="73">
        <v>1.17268141782652E8</v>
      </c>
      <c r="D2354" s="73">
        <v>4.22724827279942E7</v>
      </c>
      <c r="E2354" s="73">
        <v>5918424.94538614</v>
      </c>
      <c r="F2354" s="73"/>
      <c r="G2354" s="73"/>
      <c r="H2354" s="73"/>
      <c r="I2354" s="73"/>
      <c r="J2354" s="73"/>
      <c r="K2354" s="73"/>
      <c r="L2354" s="73"/>
      <c r="M2354" s="73"/>
      <c r="N2354" s="73"/>
      <c r="O2354" s="73"/>
      <c r="P2354" s="73"/>
      <c r="Q2354" s="73"/>
      <c r="R2354" s="73"/>
      <c r="S2354" s="73"/>
      <c r="T2354" s="73"/>
      <c r="U2354" s="73"/>
      <c r="V2354" s="73"/>
      <c r="W2354" s="73"/>
      <c r="X2354" s="73"/>
      <c r="Y2354" s="73"/>
      <c r="Z2354" s="73"/>
      <c r="AA2354" s="73"/>
      <c r="AB2354" s="73"/>
    </row>
    <row r="2355">
      <c r="A2355" s="73"/>
      <c r="B2355" s="73">
        <v>918141.623</v>
      </c>
      <c r="C2355" s="73">
        <v>1.17403862818882E8</v>
      </c>
      <c r="D2355" s="73">
        <v>4.23369828799951E7</v>
      </c>
      <c r="E2355" s="73">
        <v>5926065.3380537</v>
      </c>
      <c r="F2355" s="73"/>
      <c r="G2355" s="73"/>
      <c r="H2355" s="73"/>
      <c r="I2355" s="73"/>
      <c r="J2355" s="73"/>
      <c r="K2355" s="73"/>
      <c r="L2355" s="73"/>
      <c r="M2355" s="73"/>
      <c r="N2355" s="73"/>
      <c r="O2355" s="73"/>
      <c r="P2355" s="73"/>
      <c r="Q2355" s="73"/>
      <c r="R2355" s="73"/>
      <c r="S2355" s="73"/>
      <c r="T2355" s="73"/>
      <c r="U2355" s="73"/>
      <c r="V2355" s="73"/>
      <c r="W2355" s="73"/>
      <c r="X2355" s="73"/>
      <c r="Y2355" s="73"/>
      <c r="Z2355" s="73"/>
      <c r="AA2355" s="73"/>
      <c r="AB2355" s="73"/>
    </row>
    <row r="2356">
      <c r="A2356" s="73"/>
      <c r="B2356" s="73">
        <v>919563.7301</v>
      </c>
      <c r="C2356" s="73">
        <v>1.1753967449511E8</v>
      </c>
      <c r="D2356" s="73">
        <v>4.2401547791996E7</v>
      </c>
      <c r="E2356" s="73">
        <v>5933712.82466488</v>
      </c>
      <c r="F2356" s="73"/>
      <c r="G2356" s="73"/>
      <c r="H2356" s="73"/>
      <c r="I2356" s="73"/>
      <c r="J2356" s="73"/>
      <c r="K2356" s="73"/>
      <c r="L2356" s="73"/>
      <c r="M2356" s="73"/>
      <c r="N2356" s="73"/>
      <c r="O2356" s="73"/>
      <c r="P2356" s="73"/>
      <c r="Q2356" s="73"/>
      <c r="R2356" s="73"/>
      <c r="S2356" s="73"/>
      <c r="T2356" s="73"/>
      <c r="U2356" s="73"/>
      <c r="V2356" s="73"/>
      <c r="W2356" s="73"/>
      <c r="X2356" s="73"/>
      <c r="Y2356" s="73"/>
      <c r="Z2356" s="73"/>
      <c r="AA2356" s="73"/>
      <c r="AB2356" s="73"/>
    </row>
    <row r="2357">
      <c r="A2357" s="73"/>
      <c r="B2357" s="73">
        <v>920987.6125</v>
      </c>
      <c r="C2357" s="73">
        <v>1.17675576811335E8</v>
      </c>
      <c r="D2357" s="73">
        <v>4.2466174791997E7</v>
      </c>
      <c r="E2357" s="73">
        <v>5941366.9509037</v>
      </c>
      <c r="F2357" s="73"/>
      <c r="G2357" s="73"/>
      <c r="H2357" s="73"/>
      <c r="I2357" s="73"/>
      <c r="J2357" s="73"/>
      <c r="K2357" s="73"/>
      <c r="L2357" s="73"/>
      <c r="M2357" s="73"/>
      <c r="N2357" s="73"/>
      <c r="O2357" s="73"/>
      <c r="P2357" s="73"/>
      <c r="Q2357" s="73"/>
      <c r="R2357" s="73"/>
      <c r="S2357" s="73"/>
      <c r="T2357" s="73"/>
      <c r="U2357" s="73"/>
      <c r="V2357" s="73"/>
      <c r="W2357" s="73"/>
      <c r="X2357" s="73"/>
      <c r="Y2357" s="73"/>
      <c r="Z2357" s="73"/>
      <c r="AA2357" s="73"/>
      <c r="AB2357" s="73"/>
    </row>
    <row r="2358">
      <c r="A2358" s="73"/>
      <c r="B2358" s="73">
        <v>922413.2364</v>
      </c>
      <c r="C2358" s="73">
        <v>1.17811602727556E8</v>
      </c>
      <c r="D2358" s="73">
        <v>4.25308690399979E7</v>
      </c>
      <c r="E2358" s="73">
        <v>5949028.38160212</v>
      </c>
      <c r="F2358" s="73"/>
      <c r="G2358" s="73"/>
      <c r="H2358" s="73"/>
      <c r="I2358" s="73"/>
      <c r="J2358" s="73"/>
      <c r="K2358" s="73"/>
      <c r="L2358" s="73"/>
      <c r="M2358" s="73"/>
      <c r="N2358" s="73"/>
      <c r="O2358" s="73"/>
      <c r="P2358" s="73"/>
      <c r="Q2358" s="73"/>
      <c r="R2358" s="73"/>
      <c r="S2358" s="73"/>
      <c r="T2358" s="73"/>
      <c r="U2358" s="73"/>
      <c r="V2358" s="73"/>
      <c r="W2358" s="73"/>
      <c r="X2358" s="73"/>
      <c r="Y2358" s="73"/>
      <c r="Z2358" s="73"/>
      <c r="AA2358" s="73"/>
      <c r="AB2358" s="73"/>
    </row>
    <row r="2359">
      <c r="A2359" s="73"/>
      <c r="B2359" s="73">
        <v>923840.6155</v>
      </c>
      <c r="C2359" s="73">
        <v>1.17947711043776E8</v>
      </c>
      <c r="D2359" s="73">
        <v>4.25956254119988E7</v>
      </c>
      <c r="E2359" s="73">
        <v>5956696.45192819</v>
      </c>
      <c r="F2359" s="73"/>
      <c r="G2359" s="73"/>
      <c r="H2359" s="73"/>
      <c r="I2359" s="73"/>
      <c r="J2359" s="73"/>
      <c r="K2359" s="73"/>
      <c r="L2359" s="73"/>
      <c r="M2359" s="73"/>
      <c r="N2359" s="73"/>
      <c r="O2359" s="73"/>
      <c r="P2359" s="73"/>
      <c r="Q2359" s="73"/>
      <c r="R2359" s="73"/>
      <c r="S2359" s="73"/>
      <c r="T2359" s="73"/>
      <c r="U2359" s="73"/>
      <c r="V2359" s="73"/>
      <c r="W2359" s="73"/>
      <c r="X2359" s="73"/>
      <c r="Y2359" s="73"/>
      <c r="Z2359" s="73"/>
      <c r="AA2359" s="73"/>
      <c r="AB2359" s="73"/>
    </row>
    <row r="2360">
      <c r="A2360" s="73"/>
      <c r="B2360" s="73">
        <v>925269.748</v>
      </c>
      <c r="C2360" s="73">
        <v>1.18083918239992E8</v>
      </c>
      <c r="D2360" s="73">
        <v>4.26604465079997E7</v>
      </c>
      <c r="E2360" s="73">
        <v>5964371.84261385</v>
      </c>
      <c r="F2360" s="73"/>
      <c r="G2360" s="73"/>
      <c r="H2360" s="73"/>
      <c r="I2360" s="73"/>
      <c r="J2360" s="73"/>
      <c r="K2360" s="73"/>
      <c r="L2360" s="73"/>
      <c r="M2360" s="73"/>
      <c r="N2360" s="73"/>
      <c r="O2360" s="73"/>
      <c r="P2360" s="73"/>
      <c r="Q2360" s="73"/>
      <c r="R2360" s="73"/>
      <c r="S2360" s="73"/>
      <c r="T2360" s="73"/>
      <c r="U2360" s="73"/>
      <c r="V2360" s="73"/>
      <c r="W2360" s="73"/>
      <c r="X2360" s="73"/>
      <c r="Y2360" s="73"/>
      <c r="Z2360" s="73"/>
      <c r="AA2360" s="73"/>
      <c r="AB2360" s="73"/>
    </row>
    <row r="2361">
      <c r="A2361" s="73"/>
      <c r="B2361" s="73">
        <v>926700.6358</v>
      </c>
      <c r="C2361" s="73">
        <v>1.18220240796206E8</v>
      </c>
      <c r="D2361" s="73">
        <v>4.27253297320006E7</v>
      </c>
      <c r="E2361" s="73">
        <v>5972053.99482716</v>
      </c>
      <c r="F2361" s="73"/>
      <c r="G2361" s="73"/>
      <c r="H2361" s="73"/>
      <c r="I2361" s="73"/>
      <c r="J2361" s="73"/>
      <c r="K2361" s="73"/>
      <c r="L2361" s="73"/>
      <c r="M2361" s="73"/>
      <c r="N2361" s="73"/>
      <c r="O2361" s="73"/>
      <c r="P2361" s="73"/>
      <c r="Q2361" s="73"/>
      <c r="R2361" s="73"/>
      <c r="S2361" s="73"/>
      <c r="T2361" s="73"/>
      <c r="U2361" s="73"/>
      <c r="V2361" s="73"/>
      <c r="W2361" s="73"/>
      <c r="X2361" s="73"/>
      <c r="Y2361" s="73"/>
      <c r="Z2361" s="73"/>
      <c r="AA2361" s="73"/>
      <c r="AB2361" s="73"/>
    </row>
    <row r="2362">
      <c r="A2362" s="73"/>
      <c r="B2362" s="73">
        <v>928133.2706</v>
      </c>
      <c r="C2362" s="73">
        <v>1.18356637512417E8</v>
      </c>
      <c r="D2362" s="73">
        <v>4.27902801240015E7</v>
      </c>
      <c r="E2362" s="73">
        <v>5979743.48330007</v>
      </c>
      <c r="F2362" s="73"/>
      <c r="G2362" s="73"/>
      <c r="H2362" s="73"/>
      <c r="I2362" s="73"/>
      <c r="J2362" s="73"/>
      <c r="K2362" s="73"/>
      <c r="L2362" s="73"/>
      <c r="M2362" s="73"/>
      <c r="N2362" s="73"/>
      <c r="O2362" s="73"/>
      <c r="P2362" s="73"/>
      <c r="Q2362" s="73"/>
      <c r="R2362" s="73"/>
      <c r="S2362" s="73"/>
      <c r="T2362" s="73"/>
      <c r="U2362" s="73"/>
      <c r="V2362" s="73"/>
      <c r="W2362" s="73"/>
      <c r="X2362" s="73"/>
      <c r="Y2362" s="73"/>
      <c r="Z2362" s="73"/>
      <c r="AA2362" s="73"/>
      <c r="AB2362" s="73"/>
    </row>
    <row r="2363">
      <c r="A2363" s="73"/>
      <c r="B2363" s="73">
        <v>929567.6783</v>
      </c>
      <c r="C2363" s="73">
        <v>1.18493157828625E8</v>
      </c>
      <c r="D2363" s="73">
        <v>4.28552927559948E7</v>
      </c>
      <c r="E2363" s="73">
        <v>5987439.51070063</v>
      </c>
      <c r="F2363" s="73"/>
      <c r="G2363" s="73"/>
      <c r="H2363" s="73"/>
      <c r="I2363" s="73"/>
      <c r="J2363" s="73"/>
      <c r="K2363" s="73"/>
      <c r="L2363" s="73"/>
      <c r="M2363" s="73"/>
      <c r="N2363" s="73"/>
      <c r="O2363" s="73"/>
      <c r="P2363" s="73"/>
      <c r="Q2363" s="73"/>
      <c r="R2363" s="73"/>
      <c r="S2363" s="73"/>
      <c r="T2363" s="73"/>
      <c r="U2363" s="73"/>
      <c r="V2363" s="73"/>
      <c r="W2363" s="73"/>
      <c r="X2363" s="73"/>
      <c r="Y2363" s="73"/>
      <c r="Z2363" s="73"/>
      <c r="AA2363" s="73"/>
      <c r="AB2363" s="73"/>
    </row>
    <row r="2364">
      <c r="A2364" s="73"/>
      <c r="B2364" s="73">
        <v>931003.8393</v>
      </c>
      <c r="C2364" s="73">
        <v>1.1862976878483E8</v>
      </c>
      <c r="D2364" s="73">
        <v>4.29203700359957E7</v>
      </c>
      <c r="E2364" s="73">
        <v>5995142.6638448</v>
      </c>
      <c r="F2364" s="73"/>
      <c r="G2364" s="73"/>
      <c r="H2364" s="73"/>
      <c r="I2364" s="73"/>
      <c r="J2364" s="73"/>
      <c r="K2364" s="73"/>
      <c r="L2364" s="73"/>
      <c r="M2364" s="73"/>
      <c r="N2364" s="73"/>
      <c r="O2364" s="73"/>
      <c r="P2364" s="73"/>
      <c r="Q2364" s="73"/>
      <c r="R2364" s="73"/>
      <c r="S2364" s="73"/>
      <c r="T2364" s="73"/>
      <c r="U2364" s="73"/>
      <c r="V2364" s="73"/>
      <c r="W2364" s="73"/>
      <c r="X2364" s="73"/>
      <c r="Y2364" s="73"/>
      <c r="Z2364" s="73"/>
      <c r="AA2364" s="73"/>
      <c r="AB2364" s="73"/>
    </row>
    <row r="2365">
      <c r="A2365" s="73"/>
      <c r="B2365" s="73">
        <v>932441.7555</v>
      </c>
      <c r="C2365" s="73">
        <v>1.18766470381033E8</v>
      </c>
      <c r="D2365" s="73">
        <v>4.29855094039966E7</v>
      </c>
      <c r="E2365" s="73">
        <v>6002853.13734857</v>
      </c>
      <c r="F2365" s="73"/>
      <c r="G2365" s="73"/>
      <c r="H2365" s="73"/>
      <c r="I2365" s="73"/>
      <c r="J2365" s="73"/>
      <c r="K2365" s="73"/>
      <c r="L2365" s="73"/>
      <c r="M2365" s="73"/>
      <c r="N2365" s="73"/>
      <c r="O2365" s="73"/>
      <c r="P2365" s="73"/>
      <c r="Q2365" s="73"/>
      <c r="R2365" s="73"/>
      <c r="S2365" s="73"/>
      <c r="T2365" s="73"/>
      <c r="U2365" s="73"/>
      <c r="V2365" s="73"/>
      <c r="W2365" s="73"/>
      <c r="X2365" s="73"/>
      <c r="Y2365" s="73"/>
      <c r="Z2365" s="73"/>
      <c r="AA2365" s="73"/>
      <c r="AB2365" s="73"/>
    </row>
    <row r="2366">
      <c r="A2366" s="73"/>
      <c r="B2366" s="73">
        <v>933881.4564</v>
      </c>
      <c r="C2366" s="73">
        <v>1.18903279097233E8</v>
      </c>
      <c r="D2366" s="73">
        <v>4.30507160959976E7</v>
      </c>
      <c r="E2366" s="73">
        <v>6010569.91806401</v>
      </c>
      <c r="F2366" s="73"/>
      <c r="G2366" s="73"/>
      <c r="H2366" s="73"/>
      <c r="I2366" s="73"/>
      <c r="J2366" s="73"/>
      <c r="K2366" s="73"/>
      <c r="L2366" s="73"/>
      <c r="M2366" s="73"/>
      <c r="N2366" s="73"/>
      <c r="O2366" s="73"/>
      <c r="P2366" s="73"/>
      <c r="Q2366" s="73"/>
      <c r="R2366" s="73"/>
      <c r="S2366" s="73"/>
      <c r="T2366" s="73"/>
      <c r="U2366" s="73"/>
      <c r="V2366" s="73"/>
      <c r="W2366" s="73"/>
      <c r="X2366" s="73"/>
      <c r="Y2366" s="73"/>
      <c r="Z2366" s="73"/>
      <c r="AA2366" s="73"/>
      <c r="AB2366" s="73"/>
    </row>
    <row r="2367">
      <c r="A2367" s="73"/>
      <c r="B2367" s="73">
        <v>935322.8875</v>
      </c>
      <c r="C2367" s="73">
        <v>1.1904018669343E8</v>
      </c>
      <c r="D2367" s="73">
        <v>4.31159848719985E7</v>
      </c>
      <c r="E2367" s="73">
        <v>6018294.18873904</v>
      </c>
      <c r="F2367" s="73"/>
      <c r="G2367" s="73"/>
      <c r="H2367" s="73"/>
      <c r="I2367" s="73"/>
      <c r="J2367" s="73"/>
      <c r="K2367" s="73"/>
      <c r="L2367" s="73"/>
      <c r="M2367" s="73"/>
      <c r="N2367" s="73"/>
      <c r="O2367" s="73"/>
      <c r="P2367" s="73"/>
      <c r="Q2367" s="73"/>
      <c r="R2367" s="73"/>
      <c r="S2367" s="73"/>
      <c r="T2367" s="73"/>
      <c r="U2367" s="73"/>
      <c r="V2367" s="73"/>
      <c r="W2367" s="73"/>
      <c r="X2367" s="73"/>
      <c r="Y2367" s="73"/>
      <c r="Z2367" s="73"/>
      <c r="AA2367" s="73"/>
      <c r="AB2367" s="73"/>
    </row>
    <row r="2368">
      <c r="A2368" s="73"/>
      <c r="B2368" s="73">
        <v>936766.077</v>
      </c>
      <c r="C2368" s="73">
        <v>1.19177193169624E8</v>
      </c>
      <c r="D2368" s="73">
        <v>4.31813183359994E7</v>
      </c>
      <c r="E2368" s="73">
        <v>6026025.64727369</v>
      </c>
      <c r="F2368" s="73"/>
      <c r="G2368" s="73"/>
      <c r="H2368" s="73"/>
      <c r="I2368" s="73"/>
      <c r="J2368" s="73"/>
      <c r="K2368" s="73"/>
      <c r="L2368" s="73"/>
      <c r="M2368" s="73"/>
      <c r="N2368" s="73"/>
      <c r="O2368" s="73"/>
      <c r="P2368" s="73"/>
      <c r="Q2368" s="73"/>
      <c r="R2368" s="73"/>
      <c r="S2368" s="73"/>
      <c r="T2368" s="73"/>
      <c r="U2368" s="73"/>
      <c r="V2368" s="73"/>
      <c r="W2368" s="73"/>
      <c r="X2368" s="73"/>
      <c r="Y2368" s="73"/>
      <c r="Z2368" s="73"/>
      <c r="AA2368" s="73"/>
      <c r="AB2368" s="73"/>
    </row>
    <row r="2369">
      <c r="A2369" s="73"/>
      <c r="B2369" s="73">
        <v>938211.0455</v>
      </c>
      <c r="C2369" s="73">
        <v>1.19314306765816E8</v>
      </c>
      <c r="D2369" s="73">
        <v>4.32467165240003E7</v>
      </c>
      <c r="E2369" s="73">
        <v>6033763.42891999</v>
      </c>
      <c r="F2369" s="73"/>
      <c r="G2369" s="73"/>
      <c r="H2369" s="73"/>
      <c r="I2369" s="73"/>
      <c r="J2369" s="73"/>
      <c r="K2369" s="73"/>
      <c r="L2369" s="73"/>
      <c r="M2369" s="73"/>
      <c r="N2369" s="73"/>
      <c r="O2369" s="73"/>
      <c r="P2369" s="73"/>
      <c r="Q2369" s="73"/>
      <c r="R2369" s="73"/>
      <c r="S2369" s="73"/>
      <c r="T2369" s="73"/>
      <c r="U2369" s="73"/>
      <c r="V2369" s="73"/>
      <c r="W2369" s="73"/>
      <c r="X2369" s="73"/>
      <c r="Y2369" s="73"/>
      <c r="Z2369" s="73"/>
      <c r="AA2369" s="73"/>
      <c r="AB2369" s="73"/>
    </row>
    <row r="2370">
      <c r="A2370" s="73"/>
      <c r="B2370" s="73">
        <v>939657.773</v>
      </c>
      <c r="C2370" s="73">
        <v>1.19451511002005E8</v>
      </c>
      <c r="D2370" s="73">
        <v>4.33121793600012E7</v>
      </c>
      <c r="E2370" s="73">
        <v>6041508.70052589</v>
      </c>
      <c r="F2370" s="73"/>
      <c r="G2370" s="73"/>
      <c r="H2370" s="73"/>
      <c r="I2370" s="73"/>
      <c r="J2370" s="73"/>
      <c r="K2370" s="73"/>
      <c r="L2370" s="73"/>
      <c r="M2370" s="73"/>
      <c r="N2370" s="73"/>
      <c r="O2370" s="73"/>
      <c r="P2370" s="73"/>
      <c r="Q2370" s="73"/>
      <c r="R2370" s="73"/>
      <c r="S2370" s="73"/>
      <c r="T2370" s="73"/>
      <c r="U2370" s="73"/>
      <c r="V2370" s="73"/>
      <c r="W2370" s="73"/>
      <c r="X2370" s="73"/>
      <c r="Y2370" s="73"/>
      <c r="Z2370" s="73"/>
      <c r="AA2370" s="73"/>
      <c r="AB2370" s="73"/>
    </row>
    <row r="2371">
      <c r="A2371" s="73"/>
      <c r="B2371" s="73">
        <v>941106.2533</v>
      </c>
      <c r="C2371" s="73">
        <v>1.19588814118191E8</v>
      </c>
      <c r="D2371" s="73">
        <v>4.33777069199945E7</v>
      </c>
      <c r="E2371" s="73">
        <v>6049260.84347541</v>
      </c>
      <c r="F2371" s="73"/>
      <c r="G2371" s="73"/>
      <c r="H2371" s="73"/>
      <c r="I2371" s="73"/>
      <c r="J2371" s="73"/>
      <c r="K2371" s="73"/>
      <c r="L2371" s="73"/>
      <c r="M2371" s="73"/>
      <c r="N2371" s="73"/>
      <c r="O2371" s="73"/>
      <c r="P2371" s="73"/>
      <c r="Q2371" s="73"/>
      <c r="R2371" s="73"/>
      <c r="S2371" s="73"/>
      <c r="T2371" s="73"/>
      <c r="U2371" s="73"/>
      <c r="V2371" s="73"/>
      <c r="W2371" s="73"/>
      <c r="X2371" s="73"/>
      <c r="Y2371" s="73"/>
      <c r="Z2371" s="73"/>
      <c r="AA2371" s="73"/>
      <c r="AB2371" s="73"/>
    </row>
    <row r="2372">
      <c r="A2372" s="73"/>
      <c r="B2372" s="73">
        <v>942556.4869</v>
      </c>
      <c r="C2372" s="73">
        <v>1.19726232594374E8</v>
      </c>
      <c r="D2372" s="73">
        <v>4.34432991639954E7</v>
      </c>
      <c r="E2372" s="73">
        <v>6057019.81155257</v>
      </c>
      <c r="F2372" s="73"/>
      <c r="G2372" s="73"/>
      <c r="H2372" s="73"/>
      <c r="I2372" s="73"/>
      <c r="J2372" s="73"/>
      <c r="K2372" s="73"/>
      <c r="L2372" s="73"/>
      <c r="M2372" s="73"/>
      <c r="N2372" s="73"/>
      <c r="O2372" s="73"/>
      <c r="P2372" s="73"/>
      <c r="Q2372" s="73"/>
      <c r="R2372" s="73"/>
      <c r="S2372" s="73"/>
      <c r="T2372" s="73"/>
      <c r="U2372" s="73"/>
      <c r="V2372" s="73"/>
      <c r="W2372" s="73"/>
      <c r="X2372" s="73"/>
      <c r="Y2372" s="73"/>
      <c r="Z2372" s="73"/>
      <c r="AA2372" s="73"/>
      <c r="AB2372" s="73"/>
    </row>
    <row r="2373">
      <c r="A2373" s="73"/>
      <c r="B2373" s="73">
        <v>944008.5133</v>
      </c>
      <c r="C2373" s="73">
        <v>1.19863733470554E8</v>
      </c>
      <c r="D2373" s="73">
        <v>4.35089535359963E7</v>
      </c>
      <c r="E2373" s="73">
        <v>6064786.08408934</v>
      </c>
      <c r="F2373" s="73"/>
      <c r="G2373" s="73"/>
      <c r="H2373" s="73"/>
      <c r="I2373" s="73"/>
      <c r="J2373" s="73"/>
      <c r="K2373" s="73"/>
      <c r="L2373" s="73"/>
      <c r="M2373" s="73"/>
      <c r="N2373" s="73"/>
      <c r="O2373" s="73"/>
      <c r="P2373" s="73"/>
      <c r="Q2373" s="73"/>
      <c r="R2373" s="73"/>
      <c r="S2373" s="73"/>
      <c r="T2373" s="73"/>
      <c r="U2373" s="73"/>
      <c r="V2373" s="73"/>
      <c r="W2373" s="73"/>
      <c r="X2373" s="73"/>
      <c r="Y2373" s="73"/>
      <c r="Z2373" s="73"/>
      <c r="AA2373" s="73"/>
      <c r="AB2373" s="73"/>
    </row>
    <row r="2374">
      <c r="A2374" s="73"/>
      <c r="B2374" s="73">
        <v>945462.2649</v>
      </c>
      <c r="C2374" s="73">
        <v>1.20001341466732E8</v>
      </c>
      <c r="D2374" s="73">
        <v>4.35746751519973E7</v>
      </c>
      <c r="E2374" s="73">
        <v>6072559.19086973</v>
      </c>
      <c r="F2374" s="73"/>
      <c r="G2374" s="73"/>
      <c r="H2374" s="73"/>
      <c r="I2374" s="73"/>
      <c r="J2374" s="73"/>
      <c r="K2374" s="73"/>
      <c r="L2374" s="73"/>
      <c r="M2374" s="73"/>
      <c r="N2374" s="73"/>
      <c r="O2374" s="73"/>
      <c r="P2374" s="73"/>
      <c r="Q2374" s="73"/>
      <c r="R2374" s="73"/>
      <c r="S2374" s="73"/>
      <c r="T2374" s="73"/>
      <c r="U2374" s="73"/>
      <c r="V2374" s="73"/>
      <c r="W2374" s="73"/>
      <c r="X2374" s="73"/>
      <c r="Y2374" s="73"/>
      <c r="Z2374" s="73"/>
      <c r="AA2374" s="73"/>
      <c r="AB2374" s="73"/>
    </row>
    <row r="2375">
      <c r="A2375" s="73"/>
      <c r="B2375" s="73">
        <v>946917.7893</v>
      </c>
      <c r="C2375" s="73">
        <v>1.20139040102907E8</v>
      </c>
      <c r="D2375" s="73">
        <v>4.36404588959982E7</v>
      </c>
      <c r="E2375" s="73">
        <v>6080339.17577776</v>
      </c>
      <c r="F2375" s="73"/>
      <c r="G2375" s="73"/>
      <c r="H2375" s="73"/>
      <c r="I2375" s="73"/>
      <c r="J2375" s="73"/>
      <c r="K2375" s="73"/>
      <c r="L2375" s="73"/>
      <c r="M2375" s="73"/>
      <c r="N2375" s="73"/>
      <c r="O2375" s="73"/>
      <c r="P2375" s="73"/>
      <c r="Q2375" s="73"/>
      <c r="R2375" s="73"/>
      <c r="S2375" s="73"/>
      <c r="T2375" s="73"/>
      <c r="U2375" s="73"/>
      <c r="V2375" s="73"/>
      <c r="W2375" s="73"/>
      <c r="X2375" s="73"/>
      <c r="Y2375" s="73"/>
      <c r="Z2375" s="73"/>
      <c r="AA2375" s="73"/>
      <c r="AB2375" s="73"/>
    </row>
    <row r="2376">
      <c r="A2376" s="73"/>
      <c r="B2376" s="73">
        <v>948375.1014</v>
      </c>
      <c r="C2376" s="73">
        <v>1.20276845859079E8</v>
      </c>
      <c r="D2376" s="73">
        <v>4.37063073239991E7</v>
      </c>
      <c r="E2376" s="73">
        <v>6088126.48104539</v>
      </c>
      <c r="F2376" s="73"/>
      <c r="G2376" s="73"/>
      <c r="H2376" s="73"/>
      <c r="I2376" s="73"/>
      <c r="J2376" s="73"/>
      <c r="K2376" s="73"/>
      <c r="L2376" s="73"/>
      <c r="M2376" s="73"/>
      <c r="N2376" s="73"/>
      <c r="O2376" s="73"/>
      <c r="P2376" s="73"/>
      <c r="Q2376" s="73"/>
      <c r="R2376" s="73"/>
      <c r="S2376" s="73"/>
      <c r="T2376" s="73"/>
      <c r="U2376" s="73"/>
      <c r="V2376" s="73"/>
      <c r="W2376" s="73"/>
      <c r="X2376" s="73"/>
      <c r="Y2376" s="73"/>
      <c r="Z2376" s="73"/>
      <c r="AA2376" s="73"/>
      <c r="AB2376" s="73"/>
    </row>
    <row r="2377">
      <c r="A2377" s="73"/>
      <c r="B2377" s="73">
        <v>949834.1469</v>
      </c>
      <c r="C2377" s="73">
        <v>1.20414750495249E8</v>
      </c>
      <c r="D2377" s="73">
        <v>4.3772223036E7</v>
      </c>
      <c r="E2377" s="73">
        <v>6095920.51074065</v>
      </c>
      <c r="F2377" s="73"/>
      <c r="G2377" s="73"/>
      <c r="H2377" s="73"/>
      <c r="I2377" s="73"/>
      <c r="J2377" s="73"/>
      <c r="K2377" s="73"/>
      <c r="L2377" s="73"/>
      <c r="M2377" s="73"/>
      <c r="N2377" s="73"/>
      <c r="O2377" s="73"/>
      <c r="P2377" s="73"/>
      <c r="Q2377" s="73"/>
      <c r="R2377" s="73"/>
      <c r="S2377" s="73"/>
      <c r="T2377" s="73"/>
      <c r="U2377" s="73"/>
      <c r="V2377" s="73"/>
      <c r="W2377" s="73"/>
      <c r="X2377" s="73"/>
      <c r="Y2377" s="73"/>
      <c r="Z2377" s="73"/>
      <c r="AA2377" s="73"/>
      <c r="AB2377" s="73"/>
    </row>
    <row r="2378">
      <c r="A2378" s="73"/>
      <c r="B2378" s="73">
        <v>951294.9883</v>
      </c>
      <c r="C2378" s="73">
        <v>1.20552754011415E8</v>
      </c>
      <c r="D2378" s="73">
        <v>4.38382008760009E7</v>
      </c>
      <c r="E2378" s="73">
        <v>6103721.84489553</v>
      </c>
      <c r="F2378" s="73"/>
      <c r="G2378" s="73"/>
      <c r="H2378" s="73"/>
      <c r="I2378" s="73"/>
      <c r="J2378" s="73"/>
      <c r="K2378" s="73"/>
      <c r="L2378" s="73"/>
      <c r="M2378" s="73"/>
      <c r="N2378" s="73"/>
      <c r="O2378" s="73"/>
      <c r="P2378" s="73"/>
      <c r="Q2378" s="73"/>
      <c r="R2378" s="73"/>
      <c r="S2378" s="73"/>
      <c r="T2378" s="73"/>
      <c r="U2378" s="73"/>
      <c r="V2378" s="73"/>
      <c r="W2378" s="73"/>
      <c r="X2378" s="73"/>
      <c r="Y2378" s="73"/>
      <c r="Z2378" s="73"/>
      <c r="AA2378" s="73"/>
      <c r="AB2378" s="73"/>
    </row>
    <row r="2379">
      <c r="A2379" s="73"/>
      <c r="B2379" s="73">
        <v>952757.5661</v>
      </c>
      <c r="C2379" s="73">
        <v>1.20690864647579E8</v>
      </c>
      <c r="D2379" s="73">
        <v>4.39042433999942E7</v>
      </c>
      <c r="E2379" s="73">
        <v>6111530.02007803</v>
      </c>
      <c r="F2379" s="73"/>
      <c r="G2379" s="73"/>
      <c r="H2379" s="73"/>
      <c r="I2379" s="73"/>
      <c r="J2379" s="73"/>
      <c r="K2379" s="73"/>
      <c r="L2379" s="73"/>
      <c r="M2379" s="73"/>
      <c r="N2379" s="73"/>
      <c r="O2379" s="73"/>
      <c r="P2379" s="73"/>
      <c r="Q2379" s="73"/>
      <c r="R2379" s="73"/>
      <c r="S2379" s="73"/>
      <c r="T2379" s="73"/>
      <c r="U2379" s="73"/>
      <c r="V2379" s="73"/>
      <c r="W2379" s="73"/>
      <c r="X2379" s="73"/>
      <c r="Y2379" s="73"/>
      <c r="Z2379" s="73"/>
      <c r="AA2379" s="73"/>
      <c r="AB2379" s="73"/>
    </row>
    <row r="2380">
      <c r="A2380" s="73"/>
      <c r="B2380" s="73">
        <v>954221.9286</v>
      </c>
      <c r="C2380" s="73">
        <v>1.2082907416374E8</v>
      </c>
      <c r="D2380" s="73">
        <v>4.39703506119951E7</v>
      </c>
      <c r="E2380" s="73">
        <v>6119345.36192014</v>
      </c>
      <c r="F2380" s="73"/>
      <c r="G2380" s="73"/>
      <c r="H2380" s="73"/>
      <c r="I2380" s="73"/>
      <c r="J2380" s="73"/>
      <c r="K2380" s="73"/>
      <c r="L2380" s="73"/>
      <c r="M2380" s="73"/>
      <c r="N2380" s="73"/>
      <c r="O2380" s="73"/>
      <c r="P2380" s="73"/>
      <c r="Q2380" s="73"/>
      <c r="R2380" s="73"/>
      <c r="S2380" s="73"/>
      <c r="T2380" s="73"/>
      <c r="U2380" s="73"/>
      <c r="V2380" s="73"/>
      <c r="W2380" s="73"/>
      <c r="X2380" s="73"/>
      <c r="Y2380" s="73"/>
      <c r="Z2380" s="73"/>
      <c r="AA2380" s="73"/>
      <c r="AB2380" s="73"/>
    </row>
    <row r="2381">
      <c r="A2381" s="73"/>
      <c r="B2381" s="73">
        <v>955688.0476</v>
      </c>
      <c r="C2381" s="73">
        <v>1.20967374319899E8</v>
      </c>
      <c r="D2381" s="73">
        <v>4.4036522543996E7</v>
      </c>
      <c r="E2381" s="73">
        <v>6127167.4122899</v>
      </c>
      <c r="F2381" s="73"/>
      <c r="G2381" s="73"/>
      <c r="H2381" s="73"/>
      <c r="I2381" s="73"/>
      <c r="J2381" s="73"/>
      <c r="K2381" s="73"/>
      <c r="L2381" s="73"/>
      <c r="M2381" s="73"/>
      <c r="N2381" s="73"/>
      <c r="O2381" s="73"/>
      <c r="P2381" s="73"/>
      <c r="Q2381" s="73"/>
      <c r="R2381" s="73"/>
      <c r="S2381" s="73"/>
      <c r="T2381" s="73"/>
      <c r="U2381" s="73"/>
      <c r="V2381" s="73"/>
      <c r="W2381" s="73"/>
      <c r="X2381" s="73"/>
      <c r="Y2381" s="73"/>
      <c r="Z2381" s="73"/>
      <c r="AA2381" s="73"/>
      <c r="AB2381" s="73"/>
    </row>
    <row r="2382">
      <c r="A2382" s="73"/>
      <c r="B2382" s="73">
        <v>957155.9256</v>
      </c>
      <c r="C2382" s="73">
        <v>1.21105781596054E8</v>
      </c>
      <c r="D2382" s="73">
        <v>4.4102761687997E7</v>
      </c>
      <c r="E2382" s="73">
        <v>6134996.62020326</v>
      </c>
      <c r="F2382" s="73"/>
      <c r="G2382" s="73"/>
      <c r="H2382" s="73"/>
      <c r="I2382" s="73"/>
      <c r="J2382" s="73"/>
      <c r="K2382" s="73"/>
      <c r="L2382" s="73"/>
      <c r="M2382" s="73"/>
      <c r="N2382" s="73"/>
      <c r="O2382" s="73"/>
      <c r="P2382" s="73"/>
      <c r="Q2382" s="73"/>
      <c r="R2382" s="73"/>
      <c r="S2382" s="73"/>
      <c r="T2382" s="73"/>
      <c r="U2382" s="73"/>
      <c r="V2382" s="73"/>
      <c r="W2382" s="73"/>
      <c r="X2382" s="73"/>
      <c r="Y2382" s="73"/>
      <c r="Z2382" s="73"/>
      <c r="AA2382" s="73"/>
      <c r="AB2382" s="73"/>
    </row>
    <row r="2383">
      <c r="A2383" s="73"/>
      <c r="B2383" s="73">
        <v>958625.5883</v>
      </c>
      <c r="C2383" s="73">
        <v>1.21244287752207E8</v>
      </c>
      <c r="D2383" s="73">
        <v>4.41690604319979E7</v>
      </c>
      <c r="E2383" s="73">
        <v>6142833.04777624</v>
      </c>
      <c r="F2383" s="73"/>
      <c r="G2383" s="73"/>
      <c r="H2383" s="73"/>
      <c r="I2383" s="73"/>
      <c r="J2383" s="73"/>
      <c r="K2383" s="73"/>
      <c r="L2383" s="73"/>
      <c r="M2383" s="73"/>
      <c r="N2383" s="73"/>
      <c r="O2383" s="73"/>
      <c r="P2383" s="73"/>
      <c r="Q2383" s="73"/>
      <c r="R2383" s="73"/>
      <c r="S2383" s="73"/>
      <c r="T2383" s="73"/>
      <c r="U2383" s="73"/>
      <c r="V2383" s="73"/>
      <c r="W2383" s="73"/>
      <c r="X2383" s="73"/>
      <c r="Y2383" s="73"/>
      <c r="Z2383" s="73"/>
      <c r="AA2383" s="73"/>
      <c r="AB2383" s="73"/>
    </row>
    <row r="2384">
      <c r="A2384" s="73"/>
      <c r="B2384" s="73">
        <v>960097.0105</v>
      </c>
      <c r="C2384" s="73">
        <v>1.21382884548357E8</v>
      </c>
      <c r="D2384" s="73">
        <v>4.42354263879988E7</v>
      </c>
      <c r="E2384" s="73">
        <v>6150676.31637685</v>
      </c>
      <c r="F2384" s="73"/>
      <c r="G2384" s="73"/>
      <c r="H2384" s="73"/>
      <c r="I2384" s="73"/>
      <c r="J2384" s="73"/>
      <c r="K2384" s="73"/>
      <c r="L2384" s="73"/>
      <c r="M2384" s="73"/>
      <c r="N2384" s="73"/>
      <c r="O2384" s="73"/>
      <c r="P2384" s="73"/>
      <c r="Q2384" s="73"/>
      <c r="R2384" s="73"/>
      <c r="S2384" s="73"/>
      <c r="T2384" s="73"/>
      <c r="U2384" s="73"/>
      <c r="V2384" s="73"/>
      <c r="W2384" s="73"/>
      <c r="X2384" s="73"/>
      <c r="Y2384" s="73"/>
      <c r="Z2384" s="73"/>
      <c r="AA2384" s="73"/>
      <c r="AB2384" s="73"/>
    </row>
    <row r="2385">
      <c r="A2385" s="73"/>
      <c r="B2385" s="73">
        <v>961570.2005</v>
      </c>
      <c r="C2385" s="73">
        <v>1.21521613184504E8</v>
      </c>
      <c r="D2385" s="73">
        <v>4.43018596239997E7</v>
      </c>
      <c r="E2385" s="73">
        <v>6158526.92123706</v>
      </c>
      <c r="F2385" s="73"/>
      <c r="G2385" s="73"/>
      <c r="H2385" s="73"/>
      <c r="I2385" s="73"/>
      <c r="J2385" s="73"/>
      <c r="K2385" s="73"/>
      <c r="L2385" s="73"/>
      <c r="M2385" s="73"/>
      <c r="N2385" s="73"/>
      <c r="O2385" s="73"/>
      <c r="P2385" s="73"/>
      <c r="Q2385" s="73"/>
      <c r="R2385" s="73"/>
      <c r="S2385" s="73"/>
      <c r="T2385" s="73"/>
      <c r="U2385" s="73"/>
      <c r="V2385" s="73"/>
      <c r="W2385" s="73"/>
      <c r="X2385" s="73"/>
      <c r="Y2385" s="73"/>
      <c r="Z2385" s="73"/>
      <c r="AA2385" s="73"/>
      <c r="AB2385" s="73"/>
    </row>
    <row r="2386">
      <c r="A2386" s="73"/>
      <c r="B2386" s="73">
        <v>963045.1495</v>
      </c>
      <c r="C2386" s="73">
        <v>1.21660399500649E8</v>
      </c>
      <c r="D2386" s="73">
        <v>4.43683549880006E7</v>
      </c>
      <c r="E2386" s="73">
        <v>6166384.23462491</v>
      </c>
      <c r="F2386" s="73"/>
      <c r="G2386" s="73"/>
      <c r="H2386" s="73"/>
      <c r="I2386" s="73"/>
      <c r="J2386" s="73"/>
      <c r="K2386" s="73"/>
      <c r="L2386" s="73"/>
      <c r="M2386" s="73"/>
      <c r="N2386" s="73"/>
      <c r="O2386" s="73"/>
      <c r="P2386" s="73"/>
      <c r="Q2386" s="73"/>
      <c r="R2386" s="73"/>
      <c r="S2386" s="73"/>
      <c r="T2386" s="73"/>
      <c r="U2386" s="73"/>
      <c r="V2386" s="73"/>
      <c r="W2386" s="73"/>
      <c r="X2386" s="73"/>
      <c r="Y2386" s="73"/>
      <c r="Z2386" s="73"/>
      <c r="AA2386" s="73"/>
      <c r="AB2386" s="73"/>
    </row>
    <row r="2387">
      <c r="A2387" s="73"/>
      <c r="B2387" s="73">
        <v>964521.875</v>
      </c>
      <c r="C2387" s="73">
        <v>1.2179931765679E8</v>
      </c>
      <c r="D2387" s="73">
        <v>4.44349125160015E7</v>
      </c>
      <c r="E2387" s="73">
        <v>6174248.49885639</v>
      </c>
      <c r="F2387" s="73"/>
      <c r="G2387" s="73"/>
      <c r="H2387" s="73"/>
      <c r="I2387" s="73"/>
      <c r="J2387" s="73"/>
      <c r="K2387" s="73"/>
      <c r="L2387" s="73"/>
      <c r="M2387" s="73"/>
      <c r="N2387" s="73"/>
      <c r="O2387" s="73"/>
      <c r="P2387" s="73"/>
      <c r="Q2387" s="73"/>
      <c r="R2387" s="73"/>
      <c r="S2387" s="73"/>
      <c r="T2387" s="73"/>
      <c r="U2387" s="73"/>
      <c r="V2387" s="73"/>
      <c r="W2387" s="73"/>
      <c r="X2387" s="73"/>
      <c r="Y2387" s="73"/>
      <c r="Z2387" s="73"/>
      <c r="AA2387" s="73"/>
      <c r="AB2387" s="73"/>
    </row>
    <row r="2388">
      <c r="A2388" s="73"/>
      <c r="B2388" s="73">
        <v>966000.3633</v>
      </c>
      <c r="C2388" s="73">
        <v>1.21938334692928E8</v>
      </c>
      <c r="D2388" s="73">
        <v>4.45015423719948E7</v>
      </c>
      <c r="E2388" s="73">
        <v>6182119.87293148</v>
      </c>
      <c r="F2388" s="73"/>
      <c r="G2388" s="73"/>
      <c r="H2388" s="73"/>
      <c r="I2388" s="73"/>
      <c r="J2388" s="73"/>
      <c r="K2388" s="73"/>
      <c r="L2388" s="73"/>
      <c r="M2388" s="73"/>
      <c r="N2388" s="73"/>
      <c r="O2388" s="73"/>
      <c r="P2388" s="73"/>
      <c r="Q2388" s="73"/>
      <c r="R2388" s="73"/>
      <c r="S2388" s="73"/>
      <c r="T2388" s="73"/>
      <c r="U2388" s="73"/>
      <c r="V2388" s="73"/>
      <c r="W2388" s="73"/>
      <c r="X2388" s="73"/>
      <c r="Y2388" s="73"/>
      <c r="Z2388" s="73"/>
      <c r="AA2388" s="73"/>
      <c r="AB2388" s="73"/>
    </row>
    <row r="2389">
      <c r="A2389" s="73"/>
      <c r="B2389" s="73">
        <v>967480.6274</v>
      </c>
      <c r="C2389" s="73">
        <v>1.22077434129065E8</v>
      </c>
      <c r="D2389" s="73">
        <v>4.45682292719957E7</v>
      </c>
      <c r="E2389" s="73">
        <v>6189998.25085019</v>
      </c>
      <c r="F2389" s="73"/>
      <c r="G2389" s="73"/>
      <c r="H2389" s="73"/>
      <c r="I2389" s="73"/>
      <c r="J2389" s="73"/>
      <c r="K2389" s="73"/>
      <c r="L2389" s="73"/>
      <c r="M2389" s="73"/>
      <c r="N2389" s="73"/>
      <c r="O2389" s="73"/>
      <c r="P2389" s="73"/>
      <c r="Q2389" s="73"/>
      <c r="R2389" s="73"/>
      <c r="S2389" s="73"/>
      <c r="T2389" s="73"/>
      <c r="U2389" s="73"/>
      <c r="V2389" s="73"/>
      <c r="W2389" s="73"/>
      <c r="X2389" s="73"/>
      <c r="Y2389" s="73"/>
      <c r="Z2389" s="73"/>
      <c r="AA2389" s="73"/>
      <c r="AB2389" s="73"/>
    </row>
    <row r="2390">
      <c r="A2390" s="73"/>
      <c r="B2390" s="73">
        <v>968962.6624</v>
      </c>
      <c r="C2390" s="73">
        <v>1.22216640685198E8</v>
      </c>
      <c r="D2390" s="73">
        <v>4.46349885359966E7</v>
      </c>
      <c r="E2390" s="73">
        <v>6197883.63261252</v>
      </c>
      <c r="F2390" s="73"/>
      <c r="G2390" s="73"/>
      <c r="H2390" s="73"/>
      <c r="I2390" s="73"/>
      <c r="J2390" s="73"/>
      <c r="K2390" s="73"/>
      <c r="L2390" s="73"/>
      <c r="M2390" s="73"/>
      <c r="N2390" s="73"/>
      <c r="O2390" s="73"/>
      <c r="P2390" s="73"/>
      <c r="Q2390" s="73"/>
      <c r="R2390" s="73"/>
      <c r="S2390" s="73"/>
      <c r="T2390" s="73"/>
      <c r="U2390" s="73"/>
      <c r="V2390" s="73"/>
      <c r="W2390" s="73"/>
      <c r="X2390" s="73"/>
      <c r="Y2390" s="73"/>
      <c r="Z2390" s="73"/>
      <c r="AA2390" s="73"/>
      <c r="AB2390" s="73"/>
    </row>
    <row r="2391">
      <c r="A2391" s="73"/>
      <c r="B2391" s="73">
        <v>970446.457</v>
      </c>
      <c r="C2391" s="73">
        <v>1.22355946121328E8</v>
      </c>
      <c r="D2391" s="73">
        <v>4.47018048079976E7</v>
      </c>
      <c r="E2391" s="73">
        <v>6205776.35063446</v>
      </c>
      <c r="F2391" s="73"/>
      <c r="G2391" s="73"/>
      <c r="H2391" s="73"/>
      <c r="I2391" s="73"/>
      <c r="J2391" s="73"/>
      <c r="K2391" s="73"/>
      <c r="L2391" s="73"/>
      <c r="M2391" s="73"/>
      <c r="N2391" s="73"/>
      <c r="O2391" s="73"/>
      <c r="P2391" s="73"/>
      <c r="Q2391" s="73"/>
      <c r="R2391" s="73"/>
      <c r="S2391" s="73"/>
      <c r="T2391" s="73"/>
      <c r="U2391" s="73"/>
      <c r="V2391" s="73"/>
      <c r="W2391" s="73"/>
      <c r="X2391" s="73"/>
      <c r="Y2391" s="73"/>
      <c r="Z2391" s="73"/>
      <c r="AA2391" s="73"/>
      <c r="AB2391" s="73"/>
    </row>
    <row r="2392">
      <c r="A2392" s="73"/>
      <c r="B2392" s="73">
        <v>971932.0338</v>
      </c>
      <c r="C2392" s="73">
        <v>1.22495350437456E8</v>
      </c>
      <c r="D2392" s="73">
        <v>4.47686934439985E7</v>
      </c>
      <c r="E2392" s="73">
        <v>6213675.96268403</v>
      </c>
      <c r="F2392" s="73"/>
      <c r="G2392" s="73"/>
      <c r="H2392" s="73"/>
      <c r="I2392" s="73"/>
      <c r="J2392" s="73"/>
      <c r="K2392" s="73"/>
      <c r="L2392" s="73"/>
      <c r="M2392" s="73"/>
      <c r="N2392" s="73"/>
      <c r="O2392" s="73"/>
      <c r="P2392" s="73"/>
      <c r="Q2392" s="73"/>
      <c r="R2392" s="73"/>
      <c r="S2392" s="73"/>
      <c r="T2392" s="73"/>
      <c r="U2392" s="73"/>
      <c r="V2392" s="73"/>
      <c r="W2392" s="73"/>
      <c r="X2392" s="73"/>
      <c r="Y2392" s="73"/>
      <c r="Z2392" s="73"/>
      <c r="AA2392" s="73"/>
      <c r="AB2392" s="73"/>
    </row>
    <row r="2393">
      <c r="A2393" s="73"/>
      <c r="B2393" s="73">
        <v>973419.3901</v>
      </c>
      <c r="C2393" s="73">
        <v>1.22634861873581E8</v>
      </c>
      <c r="D2393" s="73">
        <v>4.48356390879994E7</v>
      </c>
      <c r="E2393" s="73">
        <v>6221582.75729321</v>
      </c>
      <c r="F2393" s="73"/>
      <c r="G2393" s="73"/>
      <c r="H2393" s="73"/>
      <c r="I2393" s="73"/>
      <c r="J2393" s="73"/>
      <c r="K2393" s="73"/>
      <c r="L2393" s="73"/>
      <c r="M2393" s="73"/>
      <c r="N2393" s="73"/>
      <c r="O2393" s="73"/>
      <c r="P2393" s="73"/>
      <c r="Q2393" s="73"/>
      <c r="R2393" s="73"/>
      <c r="S2393" s="73"/>
      <c r="T2393" s="73"/>
      <c r="U2393" s="73"/>
      <c r="V2393" s="73"/>
      <c r="W2393" s="73"/>
      <c r="X2393" s="73"/>
      <c r="Y2393" s="73"/>
      <c r="Z2393" s="73"/>
      <c r="AA2393" s="73"/>
      <c r="AB2393" s="73"/>
    </row>
    <row r="2394">
      <c r="A2394" s="73"/>
      <c r="B2394" s="73">
        <v>974908.5086</v>
      </c>
      <c r="C2394" s="73">
        <v>1.22774472189703E8</v>
      </c>
      <c r="D2394" s="73">
        <v>4.49026570960003E7</v>
      </c>
      <c r="E2394" s="73">
        <v>6229496.43003002</v>
      </c>
      <c r="F2394" s="73"/>
      <c r="G2394" s="73"/>
      <c r="H2394" s="73"/>
      <c r="I2394" s="73"/>
      <c r="J2394" s="73"/>
      <c r="K2394" s="73"/>
      <c r="L2394" s="73"/>
      <c r="M2394" s="73"/>
      <c r="N2394" s="73"/>
      <c r="O2394" s="73"/>
      <c r="P2394" s="73"/>
      <c r="Q2394" s="73"/>
      <c r="R2394" s="73"/>
      <c r="S2394" s="73"/>
      <c r="T2394" s="73"/>
      <c r="U2394" s="73"/>
      <c r="V2394" s="73"/>
      <c r="W2394" s="73"/>
      <c r="X2394" s="73"/>
      <c r="Y2394" s="73"/>
      <c r="Z2394" s="73"/>
      <c r="AA2394" s="73"/>
      <c r="AB2394" s="73"/>
    </row>
    <row r="2395">
      <c r="A2395" s="73"/>
      <c r="B2395" s="73">
        <v>976399.3868</v>
      </c>
      <c r="C2395" s="73">
        <v>1.22914181385822E8</v>
      </c>
      <c r="D2395" s="73">
        <v>4.49697372680012E7</v>
      </c>
      <c r="E2395" s="73">
        <v>6237416.95291045</v>
      </c>
      <c r="F2395" s="73"/>
      <c r="G2395" s="73"/>
      <c r="H2395" s="73"/>
      <c r="I2395" s="73"/>
      <c r="J2395" s="73"/>
      <c r="K2395" s="73"/>
      <c r="L2395" s="73"/>
      <c r="M2395" s="73"/>
      <c r="N2395" s="73"/>
      <c r="O2395" s="73"/>
      <c r="P2395" s="73"/>
      <c r="Q2395" s="73"/>
      <c r="R2395" s="73"/>
      <c r="S2395" s="73"/>
      <c r="T2395" s="73"/>
      <c r="U2395" s="73"/>
      <c r="V2395" s="73"/>
      <c r="W2395" s="73"/>
      <c r="X2395" s="73"/>
      <c r="Y2395" s="73"/>
      <c r="Z2395" s="73"/>
      <c r="AA2395" s="73"/>
      <c r="AB2395" s="73"/>
    </row>
    <row r="2396">
      <c r="A2396" s="73"/>
      <c r="B2396" s="73">
        <v>977892.0389</v>
      </c>
      <c r="C2396" s="73">
        <v>1.23053989461939E8</v>
      </c>
      <c r="D2396" s="73">
        <v>4.50368846879945E7</v>
      </c>
      <c r="E2396" s="73">
        <v>6245344.6651345</v>
      </c>
      <c r="F2396" s="73"/>
      <c r="G2396" s="73"/>
      <c r="H2396" s="73"/>
      <c r="I2396" s="73"/>
      <c r="J2396" s="73"/>
      <c r="K2396" s="73"/>
      <c r="L2396" s="73"/>
      <c r="M2396" s="73"/>
      <c r="N2396" s="73"/>
      <c r="O2396" s="73"/>
      <c r="P2396" s="73"/>
      <c r="Q2396" s="73"/>
      <c r="R2396" s="73"/>
      <c r="S2396" s="73"/>
      <c r="T2396" s="73"/>
      <c r="U2396" s="73"/>
      <c r="V2396" s="73"/>
      <c r="W2396" s="73"/>
      <c r="X2396" s="73"/>
      <c r="Y2396" s="73"/>
      <c r="Z2396" s="73"/>
      <c r="AA2396" s="73"/>
      <c r="AB2396" s="73"/>
    </row>
    <row r="2397">
      <c r="A2397" s="73"/>
      <c r="B2397" s="73">
        <v>979386.4963</v>
      </c>
      <c r="C2397" s="73">
        <v>1.23193896418053E8</v>
      </c>
      <c r="D2397" s="73">
        <v>4.51040942319954E7</v>
      </c>
      <c r="E2397" s="73">
        <v>6253279.41830217</v>
      </c>
      <c r="F2397" s="73"/>
      <c r="G2397" s="73"/>
      <c r="H2397" s="73"/>
      <c r="I2397" s="73"/>
      <c r="J2397" s="73"/>
      <c r="K2397" s="73"/>
      <c r="L2397" s="73"/>
      <c r="M2397" s="73"/>
      <c r="N2397" s="73"/>
      <c r="O2397" s="73"/>
      <c r="P2397" s="73"/>
      <c r="Q2397" s="73"/>
      <c r="R2397" s="73"/>
      <c r="S2397" s="73"/>
      <c r="T2397" s="73"/>
      <c r="U2397" s="73"/>
      <c r="V2397" s="73"/>
      <c r="W2397" s="73"/>
      <c r="X2397" s="73"/>
      <c r="Y2397" s="73"/>
      <c r="Z2397" s="73"/>
      <c r="AA2397" s="73"/>
      <c r="AB2397" s="73"/>
    </row>
    <row r="2398">
      <c r="A2398" s="73"/>
      <c r="B2398" s="73">
        <v>980882.6901</v>
      </c>
      <c r="C2398" s="73">
        <v>1.23333910494164E8</v>
      </c>
      <c r="D2398" s="73">
        <v>4.51713659399963E7</v>
      </c>
      <c r="E2398" s="73">
        <v>6261221.20711346</v>
      </c>
      <c r="F2398" s="73"/>
      <c r="G2398" s="73"/>
      <c r="H2398" s="73"/>
      <c r="I2398" s="73"/>
      <c r="J2398" s="73"/>
      <c r="K2398" s="73"/>
      <c r="L2398" s="73"/>
      <c r="M2398" s="73"/>
      <c r="N2398" s="73"/>
      <c r="O2398" s="73"/>
      <c r="P2398" s="73"/>
      <c r="Q2398" s="73"/>
      <c r="R2398" s="73"/>
      <c r="S2398" s="73"/>
      <c r="T2398" s="73"/>
      <c r="U2398" s="73"/>
      <c r="V2398" s="73"/>
      <c r="W2398" s="73"/>
      <c r="X2398" s="73"/>
      <c r="Y2398" s="73"/>
      <c r="Z2398" s="73"/>
      <c r="AA2398" s="73"/>
      <c r="AB2398" s="73"/>
    </row>
    <row r="2399">
      <c r="A2399" s="73"/>
      <c r="B2399" s="73">
        <v>982380.6699</v>
      </c>
      <c r="C2399" s="73">
        <v>1.23474031690271E8</v>
      </c>
      <c r="D2399" s="73">
        <v>4.52387099759973E7</v>
      </c>
      <c r="E2399" s="73">
        <v>6269170.36928435</v>
      </c>
      <c r="F2399" s="73"/>
      <c r="G2399" s="73"/>
      <c r="H2399" s="73"/>
      <c r="I2399" s="73"/>
      <c r="J2399" s="73"/>
      <c r="K2399" s="73"/>
      <c r="L2399" s="73"/>
      <c r="M2399" s="73"/>
      <c r="N2399" s="73"/>
      <c r="O2399" s="73"/>
      <c r="P2399" s="73"/>
      <c r="Q2399" s="73"/>
      <c r="R2399" s="73"/>
      <c r="S2399" s="73"/>
      <c r="T2399" s="73"/>
      <c r="U2399" s="73"/>
      <c r="V2399" s="73"/>
      <c r="W2399" s="73"/>
      <c r="X2399" s="73"/>
      <c r="Y2399" s="73"/>
      <c r="Z2399" s="73"/>
      <c r="AA2399" s="73"/>
      <c r="AB2399" s="73"/>
    </row>
    <row r="2400">
      <c r="A2400" s="73"/>
      <c r="B2400" s="73">
        <v>983880.4118</v>
      </c>
      <c r="C2400" s="73">
        <v>1.23614227046377E8</v>
      </c>
      <c r="D2400" s="73">
        <v>4.53061161759982E7</v>
      </c>
      <c r="E2400" s="73">
        <v>6277126.23468288</v>
      </c>
      <c r="F2400" s="73"/>
      <c r="G2400" s="73"/>
      <c r="H2400" s="73"/>
      <c r="I2400" s="73"/>
      <c r="J2400" s="73"/>
      <c r="K2400" s="73"/>
      <c r="L2400" s="73"/>
      <c r="M2400" s="73"/>
      <c r="N2400" s="73"/>
      <c r="O2400" s="73"/>
      <c r="P2400" s="73"/>
      <c r="Q2400" s="73"/>
      <c r="R2400" s="73"/>
      <c r="S2400" s="73"/>
      <c r="T2400" s="73"/>
      <c r="U2400" s="73"/>
      <c r="V2400" s="73"/>
      <c r="W2400" s="73"/>
      <c r="X2400" s="73"/>
      <c r="Y2400" s="73"/>
      <c r="Z2400" s="73"/>
      <c r="AA2400" s="73"/>
      <c r="AB2400" s="73"/>
    </row>
    <row r="2401">
      <c r="A2401" s="73"/>
      <c r="B2401" s="73">
        <v>985381.962</v>
      </c>
      <c r="C2401" s="73">
        <v>1.23754554242479E8</v>
      </c>
      <c r="D2401" s="73">
        <v>4.53735845399991E7</v>
      </c>
      <c r="E2401" s="73">
        <v>6285089.658941</v>
      </c>
      <c r="F2401" s="73"/>
      <c r="G2401" s="73"/>
      <c r="H2401" s="73"/>
      <c r="I2401" s="73"/>
      <c r="J2401" s="73"/>
      <c r="K2401" s="73"/>
      <c r="L2401" s="73"/>
      <c r="M2401" s="73"/>
      <c r="N2401" s="73"/>
      <c r="O2401" s="73"/>
      <c r="P2401" s="73"/>
      <c r="Q2401" s="73"/>
      <c r="R2401" s="73"/>
      <c r="S2401" s="73"/>
      <c r="T2401" s="73"/>
      <c r="U2401" s="73"/>
      <c r="V2401" s="73"/>
      <c r="W2401" s="73"/>
      <c r="X2401" s="73"/>
      <c r="Y2401" s="73"/>
      <c r="Z2401" s="73"/>
      <c r="AA2401" s="73"/>
      <c r="AB2401" s="73"/>
    </row>
    <row r="2402">
      <c r="A2402" s="73"/>
      <c r="B2402" s="73">
        <v>986885.2719</v>
      </c>
      <c r="C2402" s="73">
        <v>1.23894955598579E8</v>
      </c>
      <c r="D2402" s="73">
        <v>4.5441125232E7</v>
      </c>
      <c r="E2402" s="73">
        <v>6293059.60092678</v>
      </c>
      <c r="F2402" s="73"/>
      <c r="G2402" s="73"/>
      <c r="H2402" s="73"/>
      <c r="I2402" s="73"/>
      <c r="J2402" s="73"/>
      <c r="K2402" s="73"/>
      <c r="L2402" s="73"/>
      <c r="M2402" s="73"/>
      <c r="N2402" s="73"/>
      <c r="O2402" s="73"/>
      <c r="P2402" s="73"/>
      <c r="Q2402" s="73"/>
      <c r="R2402" s="73"/>
      <c r="S2402" s="73"/>
      <c r="T2402" s="73"/>
      <c r="U2402" s="73"/>
      <c r="V2402" s="73"/>
      <c r="W2402" s="73"/>
      <c r="X2402" s="73"/>
      <c r="Y2402" s="73"/>
      <c r="Z2402" s="73"/>
      <c r="AA2402" s="73"/>
      <c r="AB2402" s="73"/>
    </row>
    <row r="2403">
      <c r="A2403" s="73"/>
      <c r="B2403" s="73">
        <v>988390.3445</v>
      </c>
      <c r="C2403" s="73">
        <v>1.24035480554676E8</v>
      </c>
      <c r="D2403" s="73">
        <v>4.55087229280009E7</v>
      </c>
      <c r="E2403" s="73">
        <v>6301036.54675617</v>
      </c>
      <c r="F2403" s="73"/>
      <c r="G2403" s="73"/>
      <c r="H2403" s="73"/>
      <c r="I2403" s="73"/>
      <c r="J2403" s="73"/>
      <c r="K2403" s="73"/>
      <c r="L2403" s="73"/>
      <c r="M2403" s="73"/>
      <c r="N2403" s="73"/>
      <c r="O2403" s="73"/>
      <c r="P2403" s="73"/>
      <c r="Q2403" s="73"/>
      <c r="R2403" s="73"/>
      <c r="S2403" s="73"/>
      <c r="T2403" s="73"/>
      <c r="U2403" s="73"/>
      <c r="V2403" s="73"/>
      <c r="W2403" s="73"/>
      <c r="X2403" s="73"/>
      <c r="Y2403" s="73"/>
      <c r="Z2403" s="73"/>
      <c r="AA2403" s="73"/>
      <c r="AB2403" s="73"/>
    </row>
    <row r="2404">
      <c r="A2404" s="73"/>
      <c r="B2404" s="73">
        <v>989897.2055</v>
      </c>
      <c r="C2404" s="73">
        <v>1.2417608791077E8</v>
      </c>
      <c r="D2404" s="73">
        <v>4.55763930319942E7</v>
      </c>
      <c r="E2404" s="73">
        <v>6309021.08324515</v>
      </c>
      <c r="F2404" s="73"/>
      <c r="G2404" s="73"/>
      <c r="H2404" s="73"/>
      <c r="I2404" s="73"/>
      <c r="J2404" s="73"/>
      <c r="K2404" s="73"/>
      <c r="L2404" s="73"/>
      <c r="M2404" s="73"/>
      <c r="N2404" s="73"/>
      <c r="O2404" s="73"/>
      <c r="P2404" s="73"/>
      <c r="Q2404" s="73"/>
      <c r="R2404" s="73"/>
      <c r="S2404" s="73"/>
      <c r="T2404" s="73"/>
      <c r="U2404" s="73"/>
      <c r="V2404" s="73"/>
      <c r="W2404" s="73"/>
      <c r="X2404" s="73"/>
      <c r="Y2404" s="73"/>
      <c r="Z2404" s="73"/>
      <c r="AA2404" s="73"/>
      <c r="AB2404" s="73"/>
    </row>
    <row r="2405">
      <c r="A2405" s="73"/>
      <c r="B2405" s="73">
        <v>991405.8405</v>
      </c>
      <c r="C2405" s="73">
        <v>1.24316810626862E8</v>
      </c>
      <c r="D2405" s="73">
        <v>4.56441252199951E7</v>
      </c>
      <c r="E2405" s="73">
        <v>6317012.12156178</v>
      </c>
      <c r="F2405" s="73"/>
      <c r="G2405" s="73"/>
      <c r="H2405" s="73"/>
      <c r="I2405" s="73"/>
      <c r="J2405" s="73"/>
      <c r="K2405" s="73"/>
      <c r="L2405" s="73"/>
      <c r="M2405" s="73"/>
      <c r="N2405" s="73"/>
      <c r="O2405" s="73"/>
      <c r="P2405" s="73"/>
      <c r="Q2405" s="73"/>
      <c r="R2405" s="73"/>
      <c r="S2405" s="73"/>
      <c r="T2405" s="73"/>
      <c r="U2405" s="73"/>
      <c r="V2405" s="73"/>
      <c r="W2405" s="73"/>
      <c r="X2405" s="73"/>
      <c r="Y2405" s="73"/>
      <c r="Z2405" s="73"/>
      <c r="AA2405" s="73"/>
      <c r="AB2405" s="73"/>
    </row>
    <row r="2406">
      <c r="A2406" s="73"/>
      <c r="B2406" s="73">
        <v>992916.2495</v>
      </c>
      <c r="C2406" s="73">
        <v>1.2445762398295E8</v>
      </c>
      <c r="D2406" s="73">
        <v>4.5711919611996E7</v>
      </c>
      <c r="E2406" s="73">
        <v>6325010.734638</v>
      </c>
      <c r="F2406" s="73"/>
      <c r="G2406" s="73"/>
      <c r="H2406" s="73"/>
      <c r="I2406" s="73"/>
      <c r="J2406" s="73"/>
      <c r="K2406" s="73"/>
      <c r="L2406" s="73"/>
      <c r="M2406" s="73"/>
      <c r="N2406" s="73"/>
      <c r="O2406" s="73"/>
      <c r="P2406" s="73"/>
      <c r="Q2406" s="73"/>
      <c r="R2406" s="73"/>
      <c r="S2406" s="73"/>
      <c r="T2406" s="73"/>
      <c r="U2406" s="73"/>
      <c r="V2406" s="73"/>
      <c r="W2406" s="73"/>
      <c r="X2406" s="73"/>
      <c r="Y2406" s="73"/>
      <c r="Z2406" s="73"/>
      <c r="AA2406" s="73"/>
      <c r="AB2406" s="73"/>
    </row>
    <row r="2407">
      <c r="A2407" s="73"/>
      <c r="B2407" s="73">
        <v>994428.4356</v>
      </c>
      <c r="C2407" s="73">
        <v>1.24598544459036E8</v>
      </c>
      <c r="D2407" s="73">
        <v>4.57797863319969E7</v>
      </c>
      <c r="E2407" s="73">
        <v>6333016.05094186</v>
      </c>
      <c r="F2407" s="73"/>
      <c r="G2407" s="73"/>
      <c r="H2407" s="73"/>
      <c r="I2407" s="73"/>
      <c r="J2407" s="73"/>
      <c r="K2407" s="73"/>
      <c r="L2407" s="73"/>
      <c r="M2407" s="73"/>
      <c r="N2407" s="73"/>
      <c r="O2407" s="73"/>
      <c r="P2407" s="73"/>
      <c r="Q2407" s="73"/>
      <c r="R2407" s="73"/>
      <c r="S2407" s="73"/>
      <c r="T2407" s="73"/>
      <c r="U2407" s="73"/>
      <c r="V2407" s="73"/>
      <c r="W2407" s="73"/>
      <c r="X2407" s="73"/>
      <c r="Y2407" s="73"/>
      <c r="Z2407" s="73"/>
      <c r="AA2407" s="73"/>
      <c r="AB2407" s="73"/>
    </row>
    <row r="2408">
      <c r="A2408" s="73"/>
      <c r="B2408" s="73">
        <v>995942.3989</v>
      </c>
      <c r="C2408" s="73">
        <v>1.24739563815119E8</v>
      </c>
      <c r="D2408" s="73">
        <v>4.58477152119979E7</v>
      </c>
      <c r="E2408" s="73">
        <v>6341028.70350533</v>
      </c>
      <c r="F2408" s="73"/>
      <c r="G2408" s="73"/>
      <c r="H2408" s="73"/>
      <c r="I2408" s="73"/>
      <c r="J2408" s="73"/>
      <c r="K2408" s="73"/>
      <c r="L2408" s="73"/>
      <c r="M2408" s="73"/>
      <c r="N2408" s="73"/>
      <c r="O2408" s="73"/>
      <c r="P2408" s="73"/>
      <c r="Q2408" s="73"/>
      <c r="R2408" s="73"/>
      <c r="S2408" s="73"/>
      <c r="T2408" s="73"/>
      <c r="U2408" s="73"/>
      <c r="V2408" s="73"/>
      <c r="W2408" s="73"/>
      <c r="X2408" s="73"/>
      <c r="Y2408" s="73"/>
      <c r="Z2408" s="73"/>
      <c r="AA2408" s="73"/>
      <c r="AB2408" s="73"/>
    </row>
    <row r="2409">
      <c r="A2409" s="73"/>
      <c r="B2409" s="73">
        <v>997458.1361</v>
      </c>
      <c r="C2409" s="73">
        <v>1.24880682051199E8</v>
      </c>
      <c r="D2409" s="73">
        <v>4.59157061839988E7</v>
      </c>
      <c r="E2409" s="73">
        <v>6349048.11229643</v>
      </c>
      <c r="F2409" s="73"/>
      <c r="G2409" s="73"/>
      <c r="H2409" s="73"/>
      <c r="I2409" s="73"/>
      <c r="J2409" s="73"/>
      <c r="K2409" s="73"/>
      <c r="L2409" s="73"/>
      <c r="M2409" s="73"/>
      <c r="N2409" s="73"/>
      <c r="O2409" s="73"/>
      <c r="P2409" s="73"/>
      <c r="Q2409" s="73"/>
      <c r="R2409" s="73"/>
      <c r="S2409" s="73"/>
      <c r="T2409" s="73"/>
      <c r="U2409" s="73"/>
      <c r="V2409" s="73"/>
      <c r="W2409" s="73"/>
      <c r="X2409" s="73"/>
      <c r="Y2409" s="73"/>
      <c r="Z2409" s="73"/>
      <c r="AA2409" s="73"/>
      <c r="AB2409" s="73"/>
    </row>
    <row r="2410">
      <c r="A2410" s="73"/>
      <c r="B2410" s="73">
        <v>998975.6424</v>
      </c>
      <c r="C2410" s="73">
        <v>1.25021890927277E8</v>
      </c>
      <c r="D2410" s="73">
        <v>4.59837695959997E7</v>
      </c>
      <c r="E2410" s="73">
        <v>6357074.91034713</v>
      </c>
      <c r="F2410" s="73"/>
      <c r="G2410" s="73"/>
      <c r="H2410" s="73"/>
      <c r="I2410" s="73"/>
      <c r="J2410" s="73"/>
      <c r="K2410" s="73"/>
      <c r="L2410" s="73"/>
      <c r="M2410" s="73"/>
      <c r="N2410" s="73"/>
      <c r="O2410" s="73"/>
      <c r="P2410" s="73"/>
      <c r="Q2410" s="73"/>
      <c r="R2410" s="73"/>
      <c r="S2410" s="73"/>
      <c r="T2410" s="73"/>
      <c r="U2410" s="73"/>
      <c r="V2410" s="73"/>
      <c r="W2410" s="73"/>
      <c r="X2410" s="73"/>
      <c r="Y2410" s="73"/>
      <c r="Z2410" s="73"/>
      <c r="AA2410" s="73"/>
      <c r="AB2410" s="73"/>
    </row>
    <row r="2411">
      <c r="A2411" s="73"/>
      <c r="B2411" s="73">
        <v>1000494.954</v>
      </c>
      <c r="C2411" s="73">
        <v>1.25163223403351E8</v>
      </c>
      <c r="D2411" s="73">
        <v>4.60518899760006E7</v>
      </c>
      <c r="E2411" s="73">
        <v>6365108.41162547</v>
      </c>
      <c r="F2411" s="73"/>
      <c r="G2411" s="73"/>
      <c r="H2411" s="73"/>
      <c r="I2411" s="73"/>
      <c r="J2411" s="73"/>
      <c r="K2411" s="73"/>
      <c r="L2411" s="73"/>
      <c r="M2411" s="73"/>
      <c r="N2411" s="73"/>
      <c r="O2411" s="73"/>
      <c r="P2411" s="73"/>
      <c r="Q2411" s="73"/>
      <c r="R2411" s="73"/>
      <c r="S2411" s="73"/>
      <c r="T2411" s="73"/>
      <c r="U2411" s="73"/>
      <c r="V2411" s="73"/>
      <c r="W2411" s="73"/>
      <c r="X2411" s="73"/>
      <c r="Y2411" s="73"/>
      <c r="Z2411" s="73"/>
      <c r="AA2411" s="73"/>
      <c r="AB2411" s="73"/>
    </row>
    <row r="2412">
      <c r="A2412" s="73"/>
      <c r="B2412" s="73">
        <v>1002016.023</v>
      </c>
      <c r="C2412" s="73">
        <v>1.25304654759422E8</v>
      </c>
      <c r="D2412" s="73">
        <v>4.61200827240015E7</v>
      </c>
      <c r="E2412" s="73">
        <v>6373149.4346634</v>
      </c>
      <c r="F2412" s="73"/>
      <c r="G2412" s="73"/>
      <c r="H2412" s="73"/>
      <c r="I2412" s="73"/>
      <c r="J2412" s="73"/>
      <c r="K2412" s="73"/>
      <c r="L2412" s="73"/>
      <c r="M2412" s="73"/>
      <c r="N2412" s="73"/>
      <c r="O2412" s="73"/>
      <c r="P2412" s="73"/>
      <c r="Q2412" s="73"/>
      <c r="R2412" s="73"/>
      <c r="S2412" s="73"/>
      <c r="T2412" s="73"/>
      <c r="U2412" s="73"/>
      <c r="V2412" s="73"/>
      <c r="W2412" s="73"/>
      <c r="X2412" s="73"/>
      <c r="Y2412" s="73"/>
      <c r="Z2412" s="73"/>
      <c r="AA2412" s="73"/>
      <c r="AB2412" s="73"/>
    </row>
    <row r="2413">
      <c r="A2413" s="73"/>
      <c r="B2413" s="73">
        <v>1003538.891</v>
      </c>
      <c r="C2413" s="73">
        <v>1.25446168515491E8</v>
      </c>
      <c r="D2413" s="73">
        <v>4.61883376359948E7</v>
      </c>
      <c r="E2413" s="73">
        <v>6381197.39264496</v>
      </c>
      <c r="F2413" s="73"/>
      <c r="G2413" s="73"/>
      <c r="H2413" s="73"/>
      <c r="I2413" s="73"/>
      <c r="J2413" s="73"/>
      <c r="K2413" s="73"/>
      <c r="L2413" s="73"/>
      <c r="M2413" s="73"/>
      <c r="N2413" s="73"/>
      <c r="O2413" s="73"/>
      <c r="P2413" s="73"/>
      <c r="Q2413" s="73"/>
      <c r="R2413" s="73"/>
      <c r="S2413" s="73"/>
      <c r="T2413" s="73"/>
      <c r="U2413" s="73"/>
      <c r="V2413" s="73"/>
      <c r="W2413" s="73"/>
      <c r="X2413" s="73"/>
      <c r="Y2413" s="73"/>
      <c r="Z2413" s="73"/>
      <c r="AA2413" s="73"/>
      <c r="AB2413" s="73"/>
    </row>
    <row r="2414">
      <c r="A2414" s="73"/>
      <c r="B2414" s="73">
        <v>1005063.517</v>
      </c>
      <c r="C2414" s="73">
        <v>1.25587789391558E8</v>
      </c>
      <c r="D2414" s="73">
        <v>4.62566597919957E7</v>
      </c>
      <c r="E2414" s="73">
        <v>6389252.17575415</v>
      </c>
      <c r="F2414" s="73"/>
      <c r="G2414" s="73"/>
      <c r="H2414" s="73"/>
      <c r="I2414" s="73"/>
      <c r="J2414" s="73"/>
      <c r="K2414" s="73"/>
      <c r="L2414" s="73"/>
      <c r="M2414" s="73"/>
      <c r="N2414" s="73"/>
      <c r="O2414" s="73"/>
      <c r="P2414" s="73"/>
      <c r="Q2414" s="73"/>
      <c r="R2414" s="73"/>
      <c r="S2414" s="73"/>
      <c r="T2414" s="73"/>
      <c r="U2414" s="73"/>
      <c r="V2414" s="73"/>
      <c r="W2414" s="73"/>
      <c r="X2414" s="73"/>
      <c r="Y2414" s="73"/>
      <c r="Z2414" s="73"/>
      <c r="AA2414" s="73"/>
      <c r="AB2414" s="73"/>
    </row>
    <row r="2415">
      <c r="A2415" s="73"/>
      <c r="B2415" s="73">
        <v>1006589.941</v>
      </c>
      <c r="C2415" s="73">
        <v>1.25729517387621E8</v>
      </c>
      <c r="D2415" s="73">
        <v>4.63250491919966E7</v>
      </c>
      <c r="E2415" s="73">
        <v>6397314.22622295</v>
      </c>
      <c r="F2415" s="73"/>
      <c r="G2415" s="73"/>
      <c r="H2415" s="73"/>
      <c r="I2415" s="73"/>
      <c r="J2415" s="73"/>
      <c r="K2415" s="73"/>
      <c r="L2415" s="73"/>
      <c r="M2415" s="73"/>
      <c r="N2415" s="73"/>
      <c r="O2415" s="73"/>
      <c r="P2415" s="73"/>
      <c r="Q2415" s="73"/>
      <c r="R2415" s="73"/>
      <c r="S2415" s="73"/>
      <c r="T2415" s="73"/>
      <c r="U2415" s="73"/>
      <c r="V2415" s="73"/>
      <c r="W2415" s="73"/>
      <c r="X2415" s="73"/>
      <c r="Y2415" s="73"/>
      <c r="Z2415" s="73"/>
      <c r="AA2415" s="73"/>
      <c r="AB2415" s="73"/>
    </row>
    <row r="2416">
      <c r="A2416" s="73"/>
      <c r="B2416" s="73">
        <v>1008118.155</v>
      </c>
      <c r="C2416" s="73">
        <v>1.25871336023682E8</v>
      </c>
      <c r="D2416" s="73">
        <v>4.63935007599976E7</v>
      </c>
      <c r="E2416" s="73">
        <v>6405383.46603536</v>
      </c>
      <c r="F2416" s="73"/>
      <c r="G2416" s="73"/>
      <c r="H2416" s="73"/>
      <c r="I2416" s="73"/>
      <c r="J2416" s="73"/>
      <c r="K2416" s="73"/>
      <c r="L2416" s="73"/>
      <c r="M2416" s="73"/>
      <c r="N2416" s="73"/>
      <c r="O2416" s="73"/>
      <c r="P2416" s="73"/>
      <c r="Q2416" s="73"/>
      <c r="R2416" s="73"/>
      <c r="S2416" s="73"/>
      <c r="T2416" s="73"/>
      <c r="U2416" s="73"/>
      <c r="V2416" s="73"/>
      <c r="W2416" s="73"/>
      <c r="X2416" s="73"/>
      <c r="Y2416" s="73"/>
      <c r="Z2416" s="73"/>
      <c r="AA2416" s="73"/>
      <c r="AB2416" s="73"/>
    </row>
    <row r="2417">
      <c r="A2417" s="73"/>
      <c r="B2417" s="73">
        <v>1009648.139</v>
      </c>
      <c r="C2417" s="73">
        <v>1.26013261779739E8</v>
      </c>
      <c r="D2417" s="73">
        <v>4.64620195319985E7</v>
      </c>
      <c r="E2417" s="73">
        <v>6413459.77859139</v>
      </c>
      <c r="F2417" s="73"/>
      <c r="G2417" s="73"/>
      <c r="H2417" s="73"/>
      <c r="I2417" s="73"/>
      <c r="J2417" s="73"/>
      <c r="K2417" s="73"/>
      <c r="L2417" s="73"/>
      <c r="M2417" s="73"/>
      <c r="N2417" s="73"/>
      <c r="O2417" s="73"/>
      <c r="P2417" s="73"/>
      <c r="Q2417" s="73"/>
      <c r="R2417" s="73"/>
      <c r="S2417" s="73"/>
      <c r="T2417" s="73"/>
      <c r="U2417" s="73"/>
      <c r="V2417" s="73"/>
      <c r="W2417" s="73"/>
      <c r="X2417" s="73"/>
      <c r="Y2417" s="73"/>
      <c r="Z2417" s="73"/>
      <c r="AA2417" s="73"/>
      <c r="AB2417" s="73"/>
    </row>
    <row r="2418">
      <c r="A2418" s="73"/>
      <c r="B2418" s="73">
        <v>1011179.9</v>
      </c>
      <c r="C2418" s="73">
        <v>1.26155294655794E8</v>
      </c>
      <c r="D2418" s="73">
        <v>4.65306056279994E7</v>
      </c>
      <c r="E2418" s="73">
        <v>6421543.14269103</v>
      </c>
      <c r="F2418" s="73"/>
      <c r="G2418" s="73"/>
      <c r="H2418" s="73"/>
      <c r="I2418" s="73"/>
      <c r="J2418" s="73"/>
      <c r="K2418" s="73"/>
      <c r="L2418" s="73"/>
      <c r="M2418" s="73"/>
      <c r="N2418" s="73"/>
      <c r="O2418" s="73"/>
      <c r="P2418" s="73"/>
      <c r="Q2418" s="73"/>
      <c r="R2418" s="73"/>
      <c r="S2418" s="73"/>
      <c r="T2418" s="73"/>
      <c r="U2418" s="73"/>
      <c r="V2418" s="73"/>
      <c r="W2418" s="73"/>
      <c r="X2418" s="73"/>
      <c r="Y2418" s="73"/>
      <c r="Z2418" s="73"/>
      <c r="AA2418" s="73"/>
      <c r="AB2418" s="73"/>
    </row>
    <row r="2419">
      <c r="A2419" s="73"/>
      <c r="B2419" s="73">
        <v>1012713.441</v>
      </c>
      <c r="C2419" s="73">
        <v>1.26297426411846E8</v>
      </c>
      <c r="D2419" s="73">
        <v>4.65992538120003E7</v>
      </c>
      <c r="E2419" s="73">
        <v>6429633.5795343</v>
      </c>
      <c r="F2419" s="73"/>
      <c r="G2419" s="73"/>
      <c r="H2419" s="73"/>
      <c r="I2419" s="73"/>
      <c r="J2419" s="73"/>
      <c r="K2419" s="73"/>
      <c r="L2419" s="73"/>
      <c r="M2419" s="73"/>
      <c r="N2419" s="73"/>
      <c r="O2419" s="73"/>
      <c r="P2419" s="73"/>
      <c r="Q2419" s="73"/>
      <c r="R2419" s="73"/>
      <c r="S2419" s="73"/>
      <c r="T2419" s="73"/>
      <c r="U2419" s="73"/>
      <c r="V2419" s="73"/>
      <c r="W2419" s="73"/>
      <c r="X2419" s="73"/>
      <c r="Y2419" s="73"/>
      <c r="Z2419" s="73"/>
      <c r="AA2419" s="73"/>
      <c r="AB2419" s="73"/>
    </row>
    <row r="2420">
      <c r="A2420" s="73"/>
      <c r="B2420" s="73">
        <v>1014248.765</v>
      </c>
      <c r="C2420" s="73">
        <v>1.26439657047895E8</v>
      </c>
      <c r="D2420" s="73">
        <v>4.66679692400012E7</v>
      </c>
      <c r="E2420" s="73">
        <v>6437731.03612118</v>
      </c>
      <c r="F2420" s="73"/>
      <c r="G2420" s="73"/>
      <c r="H2420" s="73"/>
      <c r="I2420" s="73"/>
      <c r="J2420" s="73"/>
      <c r="K2420" s="73"/>
      <c r="L2420" s="73"/>
      <c r="M2420" s="73"/>
      <c r="N2420" s="73"/>
      <c r="O2420" s="73"/>
      <c r="P2420" s="73"/>
      <c r="Q2420" s="73"/>
      <c r="R2420" s="73"/>
      <c r="S2420" s="73"/>
      <c r="T2420" s="73"/>
      <c r="U2420" s="73"/>
      <c r="V2420" s="73"/>
      <c r="W2420" s="73"/>
      <c r="X2420" s="73"/>
      <c r="Y2420" s="73"/>
      <c r="Z2420" s="73"/>
      <c r="AA2420" s="73"/>
      <c r="AB2420" s="73"/>
    </row>
    <row r="2421">
      <c r="A2421" s="73"/>
      <c r="B2421" s="73">
        <v>1015785.898</v>
      </c>
      <c r="C2421" s="73">
        <v>1.26581986563942E8</v>
      </c>
      <c r="D2421" s="73">
        <v>4.67367519919945E7</v>
      </c>
      <c r="E2421" s="73">
        <v>6445835.59725169</v>
      </c>
      <c r="F2421" s="73"/>
      <c r="G2421" s="73"/>
      <c r="H2421" s="73"/>
      <c r="I2421" s="73"/>
      <c r="J2421" s="73"/>
      <c r="K2421" s="73"/>
      <c r="L2421" s="73"/>
      <c r="M2421" s="73"/>
      <c r="N2421" s="73"/>
      <c r="O2421" s="73"/>
      <c r="P2421" s="73"/>
      <c r="Q2421" s="73"/>
      <c r="R2421" s="73"/>
      <c r="S2421" s="73"/>
      <c r="T2421" s="73"/>
      <c r="U2421" s="73"/>
      <c r="V2421" s="73"/>
      <c r="W2421" s="73"/>
      <c r="X2421" s="73"/>
      <c r="Y2421" s="73"/>
      <c r="Z2421" s="73"/>
      <c r="AA2421" s="73"/>
      <c r="AB2421" s="73"/>
    </row>
    <row r="2422">
      <c r="A2422" s="73"/>
      <c r="B2422" s="73">
        <v>1017324.783</v>
      </c>
      <c r="C2422" s="73">
        <v>1.26724423199986E8</v>
      </c>
      <c r="D2422" s="73">
        <v>4.68056019119954E7</v>
      </c>
      <c r="E2422" s="73">
        <v>6453947.3477258</v>
      </c>
      <c r="F2422" s="73"/>
      <c r="G2422" s="73"/>
      <c r="H2422" s="73"/>
      <c r="I2422" s="73"/>
      <c r="J2422" s="73"/>
      <c r="K2422" s="73"/>
      <c r="L2422" s="73"/>
      <c r="M2422" s="73"/>
      <c r="N2422" s="73"/>
      <c r="O2422" s="73"/>
      <c r="P2422" s="73"/>
      <c r="Q2422" s="73"/>
      <c r="R2422" s="73"/>
      <c r="S2422" s="73"/>
      <c r="T2422" s="73"/>
      <c r="U2422" s="73"/>
      <c r="V2422" s="73"/>
      <c r="W2422" s="73"/>
      <c r="X2422" s="73"/>
      <c r="Y2422" s="73"/>
      <c r="Z2422" s="73"/>
      <c r="AA2422" s="73"/>
      <c r="AB2422" s="73"/>
    </row>
    <row r="2423">
      <c r="A2423" s="73"/>
      <c r="B2423" s="73">
        <v>1018865.456</v>
      </c>
      <c r="C2423" s="73">
        <v>1.26866950476027E8</v>
      </c>
      <c r="D2423" s="73">
        <v>4.68745140359963E7</v>
      </c>
      <c r="E2423" s="73">
        <v>6462066.36555952</v>
      </c>
      <c r="F2423" s="73"/>
      <c r="G2423" s="73"/>
      <c r="H2423" s="73"/>
      <c r="I2423" s="73"/>
      <c r="J2423" s="73"/>
      <c r="K2423" s="73"/>
      <c r="L2423" s="73"/>
      <c r="M2423" s="73"/>
      <c r="N2423" s="73"/>
      <c r="O2423" s="73"/>
      <c r="P2423" s="73"/>
      <c r="Q2423" s="73"/>
      <c r="R2423" s="73"/>
      <c r="S2423" s="73"/>
      <c r="T2423" s="73"/>
      <c r="U2423" s="73"/>
      <c r="V2423" s="73"/>
      <c r="W2423" s="73"/>
      <c r="X2423" s="73"/>
      <c r="Y2423" s="73"/>
      <c r="Z2423" s="73"/>
      <c r="AA2423" s="73"/>
      <c r="AB2423" s="73"/>
    </row>
    <row r="2424">
      <c r="A2424" s="73"/>
      <c r="B2424" s="73">
        <v>1020407.929</v>
      </c>
      <c r="C2424" s="73">
        <v>1.27009593112064E8</v>
      </c>
      <c r="D2424" s="73">
        <v>4.69434933679973E7</v>
      </c>
      <c r="E2424" s="73">
        <v>6470192.24032088</v>
      </c>
      <c r="F2424" s="73"/>
      <c r="G2424" s="73"/>
      <c r="H2424" s="73"/>
      <c r="I2424" s="73"/>
      <c r="J2424" s="73"/>
      <c r="K2424" s="73"/>
      <c r="L2424" s="73"/>
      <c r="M2424" s="73"/>
      <c r="N2424" s="73"/>
      <c r="O2424" s="73"/>
      <c r="P2424" s="73"/>
      <c r="Q2424" s="73"/>
      <c r="R2424" s="73"/>
      <c r="S2424" s="73"/>
      <c r="T2424" s="73"/>
      <c r="U2424" s="73"/>
      <c r="V2424" s="73"/>
      <c r="W2424" s="73"/>
      <c r="X2424" s="73"/>
      <c r="Y2424" s="73"/>
      <c r="Z2424" s="73"/>
      <c r="AA2424" s="73"/>
      <c r="AB2424" s="73"/>
    </row>
    <row r="2425">
      <c r="A2425" s="73"/>
      <c r="B2425" s="73">
        <v>1021952.178</v>
      </c>
      <c r="C2425" s="73">
        <v>1.27152334628099E8</v>
      </c>
      <c r="D2425" s="73">
        <v>4.70125399439982E7</v>
      </c>
      <c r="E2425" s="73">
        <v>6478325.21962585</v>
      </c>
      <c r="F2425" s="73"/>
      <c r="G2425" s="73"/>
      <c r="H2425" s="73"/>
      <c r="I2425" s="73"/>
      <c r="J2425" s="73"/>
      <c r="K2425" s="73"/>
      <c r="L2425" s="73"/>
      <c r="M2425" s="73"/>
      <c r="N2425" s="73"/>
      <c r="O2425" s="73"/>
      <c r="P2425" s="73"/>
      <c r="Q2425" s="73"/>
      <c r="R2425" s="73"/>
      <c r="S2425" s="73"/>
      <c r="T2425" s="73"/>
      <c r="U2425" s="73"/>
      <c r="V2425" s="73"/>
      <c r="W2425" s="73"/>
      <c r="X2425" s="73"/>
      <c r="Y2425" s="73"/>
      <c r="Z2425" s="73"/>
      <c r="AA2425" s="73"/>
      <c r="AB2425" s="73"/>
    </row>
    <row r="2426">
      <c r="A2426" s="73"/>
      <c r="B2426" s="73">
        <v>1023498.218</v>
      </c>
      <c r="C2426" s="73">
        <v>1.27295166784132E8</v>
      </c>
      <c r="D2426" s="73">
        <v>4.70816487239991E7</v>
      </c>
      <c r="E2426" s="73">
        <v>6486465.38149043</v>
      </c>
      <c r="F2426" s="73"/>
      <c r="G2426" s="73"/>
      <c r="H2426" s="73"/>
      <c r="I2426" s="73"/>
      <c r="J2426" s="73"/>
      <c r="K2426" s="73"/>
      <c r="L2426" s="73"/>
      <c r="M2426" s="73"/>
      <c r="N2426" s="73"/>
      <c r="O2426" s="73"/>
      <c r="P2426" s="73"/>
      <c r="Q2426" s="73"/>
      <c r="R2426" s="73"/>
      <c r="S2426" s="73"/>
      <c r="T2426" s="73"/>
      <c r="U2426" s="73"/>
      <c r="V2426" s="73"/>
      <c r="W2426" s="73"/>
      <c r="X2426" s="73"/>
      <c r="Y2426" s="73"/>
      <c r="Z2426" s="73"/>
      <c r="AA2426" s="73"/>
      <c r="AB2426" s="73"/>
    </row>
    <row r="2427">
      <c r="A2427" s="73"/>
      <c r="B2427" s="73">
        <v>1025046.039</v>
      </c>
      <c r="C2427" s="73">
        <v>1.27438114300161E8</v>
      </c>
      <c r="D2427" s="73">
        <v>4.7150824708E7</v>
      </c>
      <c r="E2427" s="73">
        <v>6494612.81749862</v>
      </c>
      <c r="F2427" s="73"/>
      <c r="G2427" s="73"/>
      <c r="H2427" s="73"/>
      <c r="I2427" s="73"/>
      <c r="J2427" s="73"/>
      <c r="K2427" s="73"/>
      <c r="L2427" s="73"/>
      <c r="M2427" s="73"/>
      <c r="N2427" s="73"/>
      <c r="O2427" s="73"/>
      <c r="P2427" s="73"/>
      <c r="Q2427" s="73"/>
      <c r="R2427" s="73"/>
      <c r="S2427" s="73"/>
      <c r="T2427" s="73"/>
      <c r="U2427" s="73"/>
      <c r="V2427" s="73"/>
      <c r="W2427" s="73"/>
      <c r="X2427" s="73"/>
      <c r="Y2427" s="73"/>
      <c r="Z2427" s="73"/>
      <c r="AA2427" s="73"/>
      <c r="AB2427" s="73"/>
    </row>
    <row r="2428">
      <c r="A2428" s="73"/>
      <c r="B2428" s="73">
        <v>1026595.626</v>
      </c>
      <c r="C2428" s="73">
        <v>1.27581152456188E8</v>
      </c>
      <c r="D2428" s="73">
        <v>4.72200731000009E7</v>
      </c>
      <c r="E2428" s="73">
        <v>6502766.94083444</v>
      </c>
      <c r="F2428" s="73"/>
      <c r="G2428" s="73"/>
      <c r="H2428" s="73"/>
      <c r="I2428" s="73"/>
      <c r="J2428" s="73"/>
      <c r="K2428" s="73"/>
      <c r="L2428" s="73"/>
      <c r="M2428" s="73"/>
      <c r="N2428" s="73"/>
      <c r="O2428" s="73"/>
      <c r="P2428" s="73"/>
      <c r="Q2428" s="73"/>
      <c r="R2428" s="73"/>
      <c r="S2428" s="73"/>
      <c r="T2428" s="73"/>
      <c r="U2428" s="73"/>
      <c r="V2428" s="73"/>
      <c r="W2428" s="73"/>
      <c r="X2428" s="73"/>
      <c r="Y2428" s="73"/>
      <c r="Z2428" s="73"/>
      <c r="AA2428" s="73"/>
      <c r="AB2428" s="73"/>
    </row>
    <row r="2429">
      <c r="A2429" s="73"/>
      <c r="B2429" s="73">
        <v>1028147.024</v>
      </c>
      <c r="C2429" s="73">
        <v>1.27724297732212E8</v>
      </c>
      <c r="D2429" s="73">
        <v>4.72893784959942E7</v>
      </c>
      <c r="E2429" s="73">
        <v>6510928.50112987</v>
      </c>
      <c r="F2429" s="73"/>
      <c r="G2429" s="73"/>
      <c r="H2429" s="73"/>
      <c r="I2429" s="73"/>
      <c r="J2429" s="73"/>
      <c r="K2429" s="73"/>
      <c r="L2429" s="73"/>
      <c r="M2429" s="73"/>
      <c r="N2429" s="73"/>
      <c r="O2429" s="73"/>
      <c r="P2429" s="73"/>
      <c r="Q2429" s="73"/>
      <c r="R2429" s="73"/>
      <c r="S2429" s="73"/>
      <c r="T2429" s="73"/>
      <c r="U2429" s="73"/>
      <c r="V2429" s="73"/>
      <c r="W2429" s="73"/>
      <c r="X2429" s="73"/>
      <c r="Y2429" s="73"/>
      <c r="Z2429" s="73"/>
      <c r="AA2429" s="73"/>
      <c r="AB2429" s="73"/>
    </row>
    <row r="2430">
      <c r="A2430" s="73"/>
      <c r="B2430" s="73">
        <v>1029700.218</v>
      </c>
      <c r="C2430" s="73">
        <v>1.27867533648233E8</v>
      </c>
      <c r="D2430" s="73">
        <v>4.73587562559951E7</v>
      </c>
      <c r="E2430" s="73">
        <v>6519097.3355689</v>
      </c>
      <c r="F2430" s="73"/>
      <c r="G2430" s="73"/>
      <c r="H2430" s="73"/>
      <c r="I2430" s="73"/>
      <c r="J2430" s="73"/>
      <c r="K2430" s="73"/>
      <c r="L2430" s="73"/>
      <c r="M2430" s="73"/>
      <c r="N2430" s="73"/>
      <c r="O2430" s="73"/>
      <c r="P2430" s="73"/>
      <c r="Q2430" s="73"/>
      <c r="R2430" s="73"/>
      <c r="S2430" s="73"/>
      <c r="T2430" s="73"/>
      <c r="U2430" s="73"/>
      <c r="V2430" s="73"/>
      <c r="W2430" s="73"/>
      <c r="X2430" s="73"/>
      <c r="Y2430" s="73"/>
      <c r="Z2430" s="73"/>
      <c r="AA2430" s="73"/>
      <c r="AB2430" s="73"/>
    </row>
    <row r="2431">
      <c r="A2431" s="73"/>
      <c r="B2431" s="73">
        <v>1031255.183</v>
      </c>
      <c r="C2431" s="73">
        <v>1.28010876684252E8</v>
      </c>
      <c r="D2431" s="73">
        <v>4.7428196183996E7</v>
      </c>
      <c r="E2431" s="73">
        <v>6527272.99895157</v>
      </c>
      <c r="F2431" s="73"/>
      <c r="G2431" s="73"/>
      <c r="H2431" s="73"/>
      <c r="I2431" s="73"/>
      <c r="J2431" s="73"/>
      <c r="K2431" s="73"/>
      <c r="L2431" s="73"/>
      <c r="M2431" s="73"/>
      <c r="N2431" s="73"/>
      <c r="O2431" s="73"/>
      <c r="P2431" s="73"/>
      <c r="Q2431" s="73"/>
      <c r="R2431" s="73"/>
      <c r="S2431" s="73"/>
      <c r="T2431" s="73"/>
      <c r="U2431" s="73"/>
      <c r="V2431" s="73"/>
      <c r="W2431" s="73"/>
      <c r="X2431" s="73"/>
      <c r="Y2431" s="73"/>
      <c r="Z2431" s="73"/>
      <c r="AA2431" s="73"/>
      <c r="AB2431" s="73"/>
    </row>
    <row r="2432">
      <c r="A2432" s="73"/>
      <c r="B2432" s="73">
        <v>1032811.944</v>
      </c>
      <c r="C2432" s="73">
        <v>1.28154326840267E8</v>
      </c>
      <c r="D2432" s="73">
        <v>4.7497703315997E7</v>
      </c>
      <c r="E2432" s="73">
        <v>6535455.78807785</v>
      </c>
      <c r="F2432" s="73"/>
      <c r="G2432" s="73"/>
      <c r="H2432" s="73"/>
      <c r="I2432" s="73"/>
      <c r="J2432" s="73"/>
      <c r="K2432" s="73"/>
      <c r="L2432" s="73"/>
      <c r="M2432" s="73"/>
      <c r="N2432" s="73"/>
      <c r="O2432" s="73"/>
      <c r="P2432" s="73"/>
      <c r="Q2432" s="73"/>
      <c r="R2432" s="73"/>
      <c r="S2432" s="73"/>
      <c r="T2432" s="73"/>
      <c r="U2432" s="73"/>
      <c r="V2432" s="73"/>
      <c r="W2432" s="73"/>
      <c r="X2432" s="73"/>
      <c r="Y2432" s="73"/>
      <c r="Z2432" s="73"/>
      <c r="AA2432" s="73"/>
      <c r="AB2432" s="73"/>
    </row>
    <row r="2433">
      <c r="A2433" s="73"/>
      <c r="B2433" s="73">
        <v>1034370.476</v>
      </c>
      <c r="C2433" s="73">
        <v>1.2829787587628E8</v>
      </c>
      <c r="D2433" s="73">
        <v>4.75672777719979E7</v>
      </c>
      <c r="E2433" s="73">
        <v>6543646.13076372</v>
      </c>
      <c r="F2433" s="73"/>
      <c r="G2433" s="73"/>
      <c r="H2433" s="73"/>
      <c r="I2433" s="73"/>
      <c r="J2433" s="73"/>
      <c r="K2433" s="73"/>
      <c r="L2433" s="73"/>
      <c r="M2433" s="73"/>
      <c r="N2433" s="73"/>
      <c r="O2433" s="73"/>
      <c r="P2433" s="73"/>
      <c r="Q2433" s="73"/>
      <c r="R2433" s="73"/>
      <c r="S2433" s="73"/>
      <c r="T2433" s="73"/>
      <c r="U2433" s="73"/>
      <c r="V2433" s="73"/>
      <c r="W2433" s="73"/>
      <c r="X2433" s="73"/>
      <c r="Y2433" s="73"/>
      <c r="Z2433" s="73"/>
      <c r="AA2433" s="73"/>
      <c r="AB2433" s="73"/>
    </row>
    <row r="2434">
      <c r="A2434" s="73"/>
      <c r="B2434" s="73">
        <v>1035930.814</v>
      </c>
      <c r="C2434" s="73">
        <v>1.2844152379229E8</v>
      </c>
      <c r="D2434" s="73">
        <v>4.76369194359988E7</v>
      </c>
      <c r="E2434" s="73">
        <v>6551843.16077723</v>
      </c>
      <c r="F2434" s="73"/>
      <c r="G2434" s="73"/>
      <c r="H2434" s="73"/>
      <c r="I2434" s="73"/>
      <c r="J2434" s="73"/>
      <c r="K2434" s="73"/>
      <c r="L2434" s="73"/>
      <c r="M2434" s="73"/>
      <c r="N2434" s="73"/>
      <c r="O2434" s="73"/>
      <c r="P2434" s="73"/>
      <c r="Q2434" s="73"/>
      <c r="R2434" s="73"/>
      <c r="S2434" s="73"/>
      <c r="T2434" s="73"/>
      <c r="U2434" s="73"/>
      <c r="V2434" s="73"/>
      <c r="W2434" s="73"/>
      <c r="X2434" s="73"/>
      <c r="Y2434" s="73"/>
      <c r="Z2434" s="73"/>
      <c r="AA2434" s="73"/>
      <c r="AB2434" s="73"/>
    </row>
    <row r="2435">
      <c r="A2435" s="73"/>
      <c r="B2435" s="73">
        <v>1037492.919</v>
      </c>
      <c r="C2435" s="73">
        <v>1.28585278828297E8</v>
      </c>
      <c r="D2435" s="73">
        <v>4.77066232639997E7</v>
      </c>
      <c r="E2435" s="73">
        <v>6560047.21053436</v>
      </c>
      <c r="F2435" s="73"/>
      <c r="G2435" s="73"/>
      <c r="H2435" s="73"/>
      <c r="I2435" s="73"/>
      <c r="J2435" s="73"/>
      <c r="K2435" s="73"/>
      <c r="L2435" s="73"/>
      <c r="M2435" s="73"/>
      <c r="N2435" s="73"/>
      <c r="O2435" s="73"/>
      <c r="P2435" s="73"/>
      <c r="Q2435" s="73"/>
      <c r="R2435" s="73"/>
      <c r="S2435" s="73"/>
      <c r="T2435" s="73"/>
      <c r="U2435" s="73"/>
      <c r="V2435" s="73"/>
      <c r="W2435" s="73"/>
      <c r="X2435" s="73"/>
      <c r="Y2435" s="73"/>
      <c r="Z2435" s="73"/>
      <c r="AA2435" s="73"/>
      <c r="AB2435" s="73"/>
    </row>
    <row r="2436">
      <c r="A2436" s="73"/>
      <c r="B2436" s="73">
        <v>1039056.831</v>
      </c>
      <c r="C2436" s="73">
        <v>1.28729140984301E8</v>
      </c>
      <c r="D2436" s="73">
        <v>4.77763994560006E7</v>
      </c>
      <c r="E2436" s="73">
        <v>6568258.7290511</v>
      </c>
      <c r="F2436" s="73"/>
      <c r="G2436" s="73"/>
      <c r="H2436" s="73"/>
      <c r="I2436" s="73"/>
      <c r="J2436" s="73"/>
      <c r="K2436" s="73"/>
      <c r="L2436" s="73"/>
      <c r="M2436" s="73"/>
      <c r="N2436" s="73"/>
      <c r="O2436" s="73"/>
      <c r="P2436" s="73"/>
      <c r="Q2436" s="73"/>
      <c r="R2436" s="73"/>
      <c r="S2436" s="73"/>
      <c r="T2436" s="73"/>
      <c r="U2436" s="73"/>
      <c r="V2436" s="73"/>
      <c r="W2436" s="73"/>
      <c r="X2436" s="73"/>
      <c r="Y2436" s="73"/>
      <c r="Z2436" s="73"/>
      <c r="AA2436" s="73"/>
      <c r="AB2436" s="73"/>
    </row>
    <row r="2437">
      <c r="A2437" s="73"/>
      <c r="B2437" s="73">
        <v>1040622.52</v>
      </c>
      <c r="C2437" s="73">
        <v>1.28873093780302E8</v>
      </c>
      <c r="D2437" s="73">
        <v>4.78462377760015E7</v>
      </c>
      <c r="E2437" s="73">
        <v>6576477.01969546</v>
      </c>
      <c r="F2437" s="73"/>
      <c r="G2437" s="73"/>
      <c r="H2437" s="73"/>
      <c r="I2437" s="73"/>
      <c r="J2437" s="73"/>
      <c r="K2437" s="73"/>
      <c r="L2437" s="73"/>
      <c r="M2437" s="73"/>
      <c r="N2437" s="73"/>
      <c r="O2437" s="73"/>
      <c r="P2437" s="73"/>
      <c r="Q2437" s="73"/>
      <c r="R2437" s="73"/>
      <c r="S2437" s="73"/>
      <c r="T2437" s="73"/>
      <c r="U2437" s="73"/>
      <c r="V2437" s="73"/>
      <c r="W2437" s="73"/>
      <c r="X2437" s="73"/>
      <c r="Y2437" s="73"/>
      <c r="Z2437" s="73"/>
      <c r="AA2437" s="73"/>
      <c r="AB2437" s="73"/>
    </row>
    <row r="2438">
      <c r="A2438" s="73"/>
      <c r="B2438" s="73">
        <v>1042189.998</v>
      </c>
      <c r="C2438" s="73">
        <v>1.29017153696301E8</v>
      </c>
      <c r="D2438" s="73">
        <v>4.79161382559948E7</v>
      </c>
      <c r="E2438" s="73">
        <v>6584702.91689941</v>
      </c>
      <c r="F2438" s="73"/>
      <c r="G2438" s="73"/>
      <c r="H2438" s="73"/>
      <c r="I2438" s="73"/>
      <c r="J2438" s="73"/>
      <c r="K2438" s="73"/>
      <c r="L2438" s="73"/>
      <c r="M2438" s="73"/>
      <c r="N2438" s="73"/>
      <c r="O2438" s="73"/>
      <c r="P2438" s="73"/>
      <c r="Q2438" s="73"/>
      <c r="R2438" s="73"/>
      <c r="S2438" s="73"/>
      <c r="T2438" s="73"/>
      <c r="U2438" s="73"/>
      <c r="V2438" s="73"/>
      <c r="W2438" s="73"/>
      <c r="X2438" s="73"/>
      <c r="Y2438" s="73"/>
      <c r="Z2438" s="73"/>
      <c r="AA2438" s="73"/>
      <c r="AB2438" s="73"/>
    </row>
    <row r="2439">
      <c r="A2439" s="73"/>
      <c r="B2439" s="73">
        <v>1043759.301</v>
      </c>
      <c r="C2439" s="73">
        <v>1.29161312492296E8</v>
      </c>
      <c r="D2439" s="73">
        <v>4.79861111439957E7</v>
      </c>
      <c r="E2439" s="73">
        <v>6592935.74904699</v>
      </c>
      <c r="F2439" s="73"/>
      <c r="G2439" s="73"/>
      <c r="H2439" s="73"/>
      <c r="I2439" s="73"/>
      <c r="J2439" s="73"/>
      <c r="K2439" s="73"/>
      <c r="L2439" s="73"/>
      <c r="M2439" s="73"/>
      <c r="N2439" s="73"/>
      <c r="O2439" s="73"/>
      <c r="P2439" s="73"/>
      <c r="Q2439" s="73"/>
      <c r="R2439" s="73"/>
      <c r="S2439" s="73"/>
      <c r="T2439" s="73"/>
      <c r="U2439" s="73"/>
      <c r="V2439" s="73"/>
      <c r="W2439" s="73"/>
      <c r="X2439" s="73"/>
      <c r="Y2439" s="73"/>
      <c r="Z2439" s="73"/>
      <c r="AA2439" s="73"/>
      <c r="AB2439" s="73"/>
    </row>
    <row r="2440">
      <c r="A2440" s="73"/>
      <c r="B2440" s="73">
        <v>1045330.363</v>
      </c>
      <c r="C2440" s="73">
        <v>1.29305578408289E8</v>
      </c>
      <c r="D2440" s="73">
        <v>4.80561511999966E7</v>
      </c>
      <c r="E2440" s="73">
        <v>6601175.24732221</v>
      </c>
      <c r="F2440" s="73"/>
      <c r="G2440" s="73"/>
      <c r="H2440" s="73"/>
      <c r="I2440" s="73"/>
      <c r="J2440" s="73"/>
      <c r="K2440" s="73"/>
      <c r="L2440" s="73"/>
      <c r="M2440" s="73"/>
      <c r="N2440" s="73"/>
      <c r="O2440" s="73"/>
      <c r="P2440" s="73"/>
      <c r="Q2440" s="73"/>
      <c r="R2440" s="73"/>
      <c r="S2440" s="73"/>
      <c r="T2440" s="73"/>
      <c r="U2440" s="73"/>
      <c r="V2440" s="73"/>
      <c r="W2440" s="73"/>
      <c r="X2440" s="73"/>
      <c r="Y2440" s="73"/>
      <c r="Z2440" s="73"/>
      <c r="AA2440" s="73"/>
      <c r="AB2440" s="73"/>
    </row>
    <row r="2441">
      <c r="A2441" s="73"/>
      <c r="B2441" s="73">
        <v>1046903.238</v>
      </c>
      <c r="C2441" s="73">
        <v>1.29449943204279E8</v>
      </c>
      <c r="D2441" s="73">
        <v>4.81262534599976E7</v>
      </c>
      <c r="E2441" s="73">
        <v>6609422.40515701</v>
      </c>
      <c r="F2441" s="73"/>
      <c r="G2441" s="73"/>
      <c r="H2441" s="73"/>
      <c r="I2441" s="73"/>
      <c r="J2441" s="73"/>
      <c r="K2441" s="73"/>
      <c r="L2441" s="73"/>
      <c r="M2441" s="73"/>
      <c r="N2441" s="73"/>
      <c r="O2441" s="73"/>
      <c r="P2441" s="73"/>
      <c r="Q2441" s="73"/>
      <c r="R2441" s="73"/>
      <c r="S2441" s="73"/>
      <c r="T2441" s="73"/>
      <c r="U2441" s="73"/>
      <c r="V2441" s="73"/>
      <c r="W2441" s="73"/>
      <c r="X2441" s="73"/>
      <c r="Y2441" s="73"/>
      <c r="Z2441" s="73"/>
      <c r="AA2441" s="73"/>
      <c r="AB2441" s="73"/>
    </row>
    <row r="2442">
      <c r="A2442" s="73"/>
      <c r="B2442" s="73">
        <v>1048477.874</v>
      </c>
      <c r="C2442" s="73">
        <v>1.29594398640266E8</v>
      </c>
      <c r="D2442" s="73">
        <v>4.81964229639985E7</v>
      </c>
      <c r="E2442" s="73">
        <v>6617676.77735143</v>
      </c>
      <c r="F2442" s="73"/>
      <c r="G2442" s="73"/>
      <c r="H2442" s="73"/>
      <c r="I2442" s="73"/>
      <c r="J2442" s="73"/>
      <c r="K2442" s="73"/>
      <c r="L2442" s="73"/>
      <c r="M2442" s="73"/>
      <c r="N2442" s="73"/>
      <c r="O2442" s="73"/>
      <c r="P2442" s="73"/>
      <c r="Q2442" s="73"/>
      <c r="R2442" s="73"/>
      <c r="S2442" s="73"/>
      <c r="T2442" s="73"/>
      <c r="U2442" s="73"/>
      <c r="V2442" s="73"/>
      <c r="W2442" s="73"/>
      <c r="X2442" s="73"/>
      <c r="Y2442" s="73"/>
      <c r="Z2442" s="73"/>
      <c r="AA2442" s="73"/>
      <c r="AB2442" s="73"/>
    </row>
    <row r="2443">
      <c r="A2443" s="73"/>
      <c r="B2443" s="73">
        <v>1050054.333</v>
      </c>
      <c r="C2443" s="73">
        <v>1.29738969436251E8</v>
      </c>
      <c r="D2443" s="73">
        <v>4.82666597119994E7</v>
      </c>
      <c r="E2443" s="73">
        <v>6625938.09127347</v>
      </c>
      <c r="F2443" s="73"/>
      <c r="G2443" s="73"/>
      <c r="H2443" s="73"/>
      <c r="I2443" s="73"/>
      <c r="J2443" s="73"/>
      <c r="K2443" s="73"/>
      <c r="L2443" s="73"/>
      <c r="M2443" s="73"/>
      <c r="N2443" s="73"/>
      <c r="O2443" s="73"/>
      <c r="P2443" s="73"/>
      <c r="Q2443" s="73"/>
      <c r="R2443" s="73"/>
      <c r="S2443" s="73"/>
      <c r="T2443" s="73"/>
      <c r="U2443" s="73"/>
      <c r="V2443" s="73"/>
      <c r="W2443" s="73"/>
      <c r="X2443" s="73"/>
      <c r="Y2443" s="73"/>
      <c r="Z2443" s="73"/>
      <c r="AA2443" s="73"/>
      <c r="AB2443" s="73"/>
    </row>
    <row r="2444">
      <c r="A2444" s="73"/>
      <c r="B2444" s="73">
        <v>1051632.559</v>
      </c>
      <c r="C2444" s="73">
        <v>1.29883647352232E8</v>
      </c>
      <c r="D2444" s="73">
        <v>4.83369637080003E7</v>
      </c>
      <c r="E2444" s="73">
        <v>6634206.45673913</v>
      </c>
      <c r="F2444" s="73"/>
      <c r="G2444" s="73"/>
      <c r="H2444" s="73"/>
      <c r="I2444" s="73"/>
      <c r="J2444" s="73"/>
      <c r="K2444" s="73"/>
      <c r="L2444" s="73"/>
      <c r="M2444" s="73"/>
      <c r="N2444" s="73"/>
      <c r="O2444" s="73"/>
      <c r="P2444" s="73"/>
      <c r="Q2444" s="73"/>
      <c r="R2444" s="73"/>
      <c r="S2444" s="73"/>
      <c r="T2444" s="73"/>
      <c r="U2444" s="73"/>
      <c r="V2444" s="73"/>
      <c r="W2444" s="73"/>
      <c r="X2444" s="73"/>
      <c r="Y2444" s="73"/>
      <c r="Z2444" s="73"/>
      <c r="AA2444" s="73"/>
      <c r="AB2444" s="73"/>
    </row>
    <row r="2445">
      <c r="A2445" s="73"/>
      <c r="B2445" s="73">
        <v>1053212.592</v>
      </c>
      <c r="C2445" s="73">
        <v>1.30028415908211E8</v>
      </c>
      <c r="D2445" s="73">
        <v>4.84073349880012E7</v>
      </c>
      <c r="E2445" s="73">
        <v>6642482.25916439</v>
      </c>
      <c r="F2445" s="73"/>
      <c r="G2445" s="73"/>
      <c r="H2445" s="73"/>
      <c r="I2445" s="73"/>
      <c r="J2445" s="73"/>
      <c r="K2445" s="73"/>
      <c r="L2445" s="73"/>
      <c r="M2445" s="73"/>
      <c r="N2445" s="73"/>
      <c r="O2445" s="73"/>
      <c r="P2445" s="73"/>
      <c r="Q2445" s="73"/>
      <c r="R2445" s="73"/>
      <c r="S2445" s="73"/>
      <c r="T2445" s="73"/>
      <c r="U2445" s="73"/>
      <c r="V2445" s="73"/>
      <c r="W2445" s="73"/>
      <c r="X2445" s="73"/>
      <c r="Y2445" s="73"/>
      <c r="Z2445" s="73"/>
      <c r="AA2445" s="73"/>
      <c r="AB2445" s="73"/>
    </row>
    <row r="2446">
      <c r="A2446" s="73"/>
      <c r="B2446" s="73">
        <v>1054794.437</v>
      </c>
      <c r="C2446" s="73">
        <v>1.30173283344187E8</v>
      </c>
      <c r="D2446" s="73">
        <v>4.84777735159945E7</v>
      </c>
      <c r="E2446" s="73">
        <v>6650764.81251729</v>
      </c>
      <c r="F2446" s="73"/>
      <c r="G2446" s="73"/>
      <c r="H2446" s="73"/>
      <c r="I2446" s="73"/>
      <c r="J2446" s="73"/>
      <c r="K2446" s="73"/>
      <c r="L2446" s="73"/>
      <c r="M2446" s="73"/>
      <c r="N2446" s="73"/>
      <c r="O2446" s="73"/>
      <c r="P2446" s="73"/>
      <c r="Q2446" s="73"/>
      <c r="R2446" s="73"/>
      <c r="S2446" s="73"/>
      <c r="T2446" s="73"/>
      <c r="U2446" s="73"/>
      <c r="V2446" s="73"/>
      <c r="W2446" s="73"/>
      <c r="X2446" s="73"/>
      <c r="Y2446" s="73"/>
      <c r="Z2446" s="73"/>
      <c r="AA2446" s="73"/>
      <c r="AB2446" s="73"/>
    </row>
    <row r="2447">
      <c r="A2447" s="73"/>
      <c r="B2447" s="73">
        <v>1056378.043</v>
      </c>
      <c r="C2447" s="73">
        <v>1.3031825790016E8</v>
      </c>
      <c r="D2447" s="73">
        <v>4.85482742039954E7</v>
      </c>
      <c r="E2447" s="73">
        <v>6659054.77102978</v>
      </c>
      <c r="F2447" s="73"/>
      <c r="G2447" s="73"/>
      <c r="H2447" s="73"/>
      <c r="I2447" s="73"/>
      <c r="J2447" s="73"/>
      <c r="K2447" s="73"/>
      <c r="L2447" s="73"/>
      <c r="M2447" s="73"/>
      <c r="N2447" s="73"/>
      <c r="O2447" s="73"/>
      <c r="P2447" s="73"/>
      <c r="Q2447" s="73"/>
      <c r="R2447" s="73"/>
      <c r="S2447" s="73"/>
      <c r="T2447" s="73"/>
      <c r="U2447" s="73"/>
      <c r="V2447" s="73"/>
      <c r="W2447" s="73"/>
      <c r="X2447" s="73"/>
      <c r="Y2447" s="73"/>
      <c r="Z2447" s="73"/>
      <c r="AA2447" s="73"/>
      <c r="AB2447" s="73"/>
    </row>
    <row r="2448">
      <c r="A2448" s="73"/>
      <c r="B2448" s="73">
        <v>1057963.438</v>
      </c>
      <c r="C2448" s="73">
        <v>1.3046333957613E8</v>
      </c>
      <c r="D2448" s="73">
        <v>4.86188421399963E7</v>
      </c>
      <c r="E2448" s="73">
        <v>6667351.86588589</v>
      </c>
      <c r="F2448" s="73"/>
      <c r="G2448" s="73"/>
      <c r="H2448" s="73"/>
      <c r="I2448" s="73"/>
      <c r="J2448" s="73"/>
      <c r="K2448" s="73"/>
      <c r="L2448" s="73"/>
      <c r="M2448" s="73"/>
      <c r="N2448" s="73"/>
      <c r="O2448" s="73"/>
      <c r="P2448" s="73"/>
      <c r="Q2448" s="73"/>
      <c r="R2448" s="73"/>
      <c r="S2448" s="73"/>
      <c r="T2448" s="73"/>
      <c r="U2448" s="73"/>
      <c r="V2448" s="73"/>
      <c r="W2448" s="73"/>
      <c r="X2448" s="73"/>
      <c r="Y2448" s="73"/>
      <c r="Z2448" s="73"/>
      <c r="AA2448" s="73"/>
      <c r="AB2448" s="73"/>
    </row>
    <row r="2449">
      <c r="A2449" s="73"/>
      <c r="B2449" s="73">
        <v>1059550.674</v>
      </c>
      <c r="C2449" s="73">
        <v>1.30608528372097E8</v>
      </c>
      <c r="D2449" s="73">
        <v>4.86894773199973E7</v>
      </c>
      <c r="E2449" s="73">
        <v>6675655.98048562</v>
      </c>
      <c r="F2449" s="73"/>
      <c r="G2449" s="73"/>
      <c r="H2449" s="73"/>
      <c r="I2449" s="73"/>
      <c r="J2449" s="73"/>
      <c r="K2449" s="73"/>
      <c r="L2449" s="73"/>
      <c r="M2449" s="73"/>
      <c r="N2449" s="73"/>
      <c r="O2449" s="73"/>
      <c r="P2449" s="73"/>
      <c r="Q2449" s="73"/>
      <c r="R2449" s="73"/>
      <c r="S2449" s="73"/>
      <c r="T2449" s="73"/>
      <c r="U2449" s="73"/>
      <c r="V2449" s="73"/>
      <c r="W2449" s="73"/>
      <c r="X2449" s="73"/>
      <c r="Y2449" s="73"/>
      <c r="Z2449" s="73"/>
      <c r="AA2449" s="73"/>
      <c r="AB2449" s="73"/>
    </row>
    <row r="2450">
      <c r="A2450" s="73"/>
      <c r="B2450" s="73">
        <v>1061139.649</v>
      </c>
      <c r="C2450" s="73">
        <v>1.30753791328062E8</v>
      </c>
      <c r="D2450" s="73">
        <v>4.87601848679982E7</v>
      </c>
      <c r="E2450" s="73">
        <v>6683967.40102896</v>
      </c>
      <c r="F2450" s="73"/>
      <c r="G2450" s="73"/>
      <c r="H2450" s="73"/>
      <c r="I2450" s="73"/>
      <c r="J2450" s="73"/>
      <c r="K2450" s="73"/>
      <c r="L2450" s="73"/>
      <c r="M2450" s="73"/>
      <c r="N2450" s="73"/>
      <c r="O2450" s="73"/>
      <c r="P2450" s="73"/>
      <c r="Q2450" s="73"/>
      <c r="R2450" s="73"/>
      <c r="S2450" s="73"/>
      <c r="T2450" s="73"/>
      <c r="U2450" s="73"/>
      <c r="V2450" s="73"/>
      <c r="W2450" s="73"/>
      <c r="X2450" s="73"/>
      <c r="Y2450" s="73"/>
      <c r="Z2450" s="73"/>
      <c r="AA2450" s="73"/>
      <c r="AB2450" s="73"/>
    </row>
    <row r="2451">
      <c r="A2451" s="73"/>
      <c r="B2451" s="73">
        <v>1062730.471</v>
      </c>
      <c r="C2451" s="73">
        <v>1.30899186124023E8</v>
      </c>
      <c r="D2451" s="73">
        <v>4.88309494959991E7</v>
      </c>
      <c r="E2451" s="73">
        <v>6692285.92611591</v>
      </c>
      <c r="F2451" s="73"/>
      <c r="G2451" s="73"/>
      <c r="H2451" s="73"/>
      <c r="I2451" s="73"/>
      <c r="J2451" s="73"/>
      <c r="K2451" s="73"/>
      <c r="L2451" s="73"/>
      <c r="M2451" s="73"/>
      <c r="N2451" s="73"/>
      <c r="O2451" s="73"/>
      <c r="P2451" s="73"/>
      <c r="Q2451" s="73"/>
      <c r="R2451" s="73"/>
      <c r="S2451" s="73"/>
      <c r="T2451" s="73"/>
      <c r="U2451" s="73"/>
      <c r="V2451" s="73"/>
      <c r="W2451" s="73"/>
      <c r="X2451" s="73"/>
      <c r="Y2451" s="73"/>
      <c r="Z2451" s="73"/>
      <c r="AA2451" s="73"/>
      <c r="AB2451" s="73"/>
    </row>
    <row r="2452">
      <c r="A2452" s="73"/>
      <c r="B2452" s="73">
        <v>1064323.059</v>
      </c>
      <c r="C2452" s="73">
        <v>1.31044679799982E8</v>
      </c>
      <c r="D2452" s="73">
        <v>4.8901786416E7</v>
      </c>
      <c r="E2452" s="73">
        <v>6700611.36494649</v>
      </c>
      <c r="F2452" s="73"/>
      <c r="G2452" s="73"/>
      <c r="H2452" s="73"/>
      <c r="I2452" s="73"/>
      <c r="J2452" s="73"/>
      <c r="K2452" s="73"/>
      <c r="L2452" s="73"/>
      <c r="M2452" s="73"/>
      <c r="N2452" s="73"/>
      <c r="O2452" s="73"/>
      <c r="P2452" s="73"/>
      <c r="Q2452" s="73"/>
      <c r="R2452" s="73"/>
      <c r="S2452" s="73"/>
      <c r="T2452" s="73"/>
      <c r="U2452" s="73"/>
      <c r="V2452" s="73"/>
      <c r="W2452" s="73"/>
      <c r="X2452" s="73"/>
      <c r="Y2452" s="73"/>
      <c r="Z2452" s="73"/>
      <c r="AA2452" s="73"/>
      <c r="AB2452" s="73"/>
    </row>
    <row r="2453">
      <c r="A2453" s="73"/>
      <c r="B2453" s="73">
        <v>1065917.431</v>
      </c>
      <c r="C2453" s="73">
        <v>1.31190255875938E8</v>
      </c>
      <c r="D2453" s="73">
        <v>4.89726906560009E7</v>
      </c>
      <c r="E2453" s="73">
        <v>6708944.35733666</v>
      </c>
      <c r="F2453" s="73"/>
      <c r="G2453" s="73"/>
      <c r="H2453" s="73"/>
      <c r="I2453" s="73"/>
      <c r="J2453" s="73"/>
      <c r="K2453" s="73"/>
      <c r="L2453" s="73"/>
      <c r="M2453" s="73"/>
      <c r="N2453" s="73"/>
      <c r="O2453" s="73"/>
      <c r="P2453" s="73"/>
      <c r="Q2453" s="73"/>
      <c r="R2453" s="73"/>
      <c r="S2453" s="73"/>
      <c r="T2453" s="73"/>
      <c r="U2453" s="73"/>
      <c r="V2453" s="73"/>
      <c r="W2453" s="73"/>
      <c r="X2453" s="73"/>
      <c r="Y2453" s="73"/>
      <c r="Z2453" s="73"/>
      <c r="AA2453" s="73"/>
      <c r="AB2453" s="73"/>
    </row>
    <row r="2454">
      <c r="A2454" s="73"/>
      <c r="B2454" s="73">
        <v>1067513.616</v>
      </c>
      <c r="C2454" s="73">
        <v>1.31335947311892E8</v>
      </c>
      <c r="D2454" s="73">
        <v>4.90436621039942E7</v>
      </c>
      <c r="E2454" s="73">
        <v>6717284.45427045</v>
      </c>
      <c r="F2454" s="73"/>
      <c r="G2454" s="73"/>
      <c r="H2454" s="73"/>
      <c r="I2454" s="73"/>
      <c r="J2454" s="73"/>
      <c r="K2454" s="73"/>
      <c r="L2454" s="73"/>
      <c r="M2454" s="73"/>
      <c r="N2454" s="73"/>
      <c r="O2454" s="73"/>
      <c r="P2454" s="73"/>
      <c r="Q2454" s="73"/>
      <c r="R2454" s="73"/>
      <c r="S2454" s="73"/>
      <c r="T2454" s="73"/>
      <c r="U2454" s="73"/>
      <c r="V2454" s="73"/>
      <c r="W2454" s="73"/>
      <c r="X2454" s="73"/>
      <c r="Y2454" s="73"/>
      <c r="Z2454" s="73"/>
      <c r="AA2454" s="73"/>
      <c r="AB2454" s="73"/>
    </row>
    <row r="2455">
      <c r="A2455" s="73"/>
      <c r="B2455" s="73">
        <v>1069111.618</v>
      </c>
      <c r="C2455" s="73">
        <v>1.31481745867842E8</v>
      </c>
      <c r="D2455" s="73">
        <v>4.91146957159951E7</v>
      </c>
      <c r="E2455" s="73">
        <v>6725631.37633187</v>
      </c>
      <c r="F2455" s="73"/>
      <c r="G2455" s="73"/>
      <c r="H2455" s="73"/>
      <c r="I2455" s="73"/>
      <c r="J2455" s="73"/>
      <c r="K2455" s="73"/>
      <c r="L2455" s="73"/>
      <c r="M2455" s="73"/>
      <c r="N2455" s="73"/>
      <c r="O2455" s="73"/>
      <c r="P2455" s="73"/>
      <c r="Q2455" s="73"/>
      <c r="R2455" s="73"/>
      <c r="S2455" s="73"/>
      <c r="T2455" s="73"/>
      <c r="U2455" s="73"/>
      <c r="V2455" s="73"/>
      <c r="W2455" s="73"/>
      <c r="X2455" s="73"/>
      <c r="Y2455" s="73"/>
      <c r="Z2455" s="73"/>
      <c r="AA2455" s="73"/>
      <c r="AB2455" s="73"/>
    </row>
    <row r="2456">
      <c r="A2456" s="73"/>
      <c r="B2456" s="73">
        <v>1070711.388</v>
      </c>
      <c r="C2456" s="73">
        <v>1.31627635063789E8</v>
      </c>
      <c r="D2456" s="73">
        <v>4.9185801731996E7</v>
      </c>
      <c r="E2456" s="73">
        <v>6733986.16316887</v>
      </c>
      <c r="F2456" s="73"/>
      <c r="G2456" s="73"/>
      <c r="H2456" s="73"/>
      <c r="I2456" s="73"/>
      <c r="J2456" s="73"/>
      <c r="K2456" s="73"/>
      <c r="L2456" s="73"/>
      <c r="M2456" s="73"/>
      <c r="N2456" s="73"/>
      <c r="O2456" s="73"/>
      <c r="P2456" s="73"/>
      <c r="Q2456" s="73"/>
      <c r="R2456" s="73"/>
      <c r="S2456" s="73"/>
      <c r="T2456" s="73"/>
      <c r="U2456" s="73"/>
      <c r="V2456" s="73"/>
      <c r="W2456" s="73"/>
      <c r="X2456" s="73"/>
      <c r="Y2456" s="73"/>
      <c r="Z2456" s="73"/>
      <c r="AA2456" s="73"/>
      <c r="AB2456" s="73"/>
    </row>
    <row r="2457">
      <c r="A2457" s="73"/>
      <c r="B2457" s="73">
        <v>1072312.976</v>
      </c>
      <c r="C2457" s="73">
        <v>1.31773631379734E8</v>
      </c>
      <c r="D2457" s="73">
        <v>4.92569699119969E7</v>
      </c>
      <c r="E2457" s="73">
        <v>6742347.55253351</v>
      </c>
      <c r="F2457" s="73"/>
      <c r="G2457" s="73"/>
      <c r="H2457" s="73"/>
      <c r="I2457" s="73"/>
      <c r="J2457" s="73"/>
      <c r="K2457" s="73"/>
      <c r="L2457" s="73"/>
      <c r="M2457" s="73"/>
      <c r="N2457" s="73"/>
      <c r="O2457" s="73"/>
      <c r="P2457" s="73"/>
      <c r="Q2457" s="73"/>
      <c r="R2457" s="73"/>
      <c r="S2457" s="73"/>
      <c r="T2457" s="73"/>
      <c r="U2457" s="73"/>
      <c r="V2457" s="73"/>
      <c r="W2457" s="73"/>
      <c r="X2457" s="73"/>
      <c r="Y2457" s="73"/>
      <c r="Z2457" s="73"/>
      <c r="AA2457" s="73"/>
      <c r="AB2457" s="73"/>
    </row>
    <row r="2458">
      <c r="A2458" s="73"/>
      <c r="B2458" s="73">
        <v>1073916.337</v>
      </c>
      <c r="C2458" s="73">
        <v>1.31919726575676E8</v>
      </c>
      <c r="D2458" s="73">
        <v>4.93282104199979E7</v>
      </c>
      <c r="E2458" s="73">
        <v>6750716.07824176</v>
      </c>
      <c r="F2458" s="73"/>
      <c r="G2458" s="73"/>
      <c r="H2458" s="73"/>
      <c r="I2458" s="73"/>
      <c r="J2458" s="73"/>
      <c r="K2458" s="73"/>
      <c r="L2458" s="73"/>
      <c r="M2458" s="73"/>
      <c r="N2458" s="73"/>
      <c r="O2458" s="73"/>
      <c r="P2458" s="73"/>
      <c r="Q2458" s="73"/>
      <c r="R2458" s="73"/>
      <c r="S2458" s="73"/>
      <c r="T2458" s="73"/>
      <c r="U2458" s="73"/>
      <c r="V2458" s="73"/>
      <c r="W2458" s="73"/>
      <c r="X2458" s="73"/>
      <c r="Y2458" s="73"/>
      <c r="Z2458" s="73"/>
      <c r="AA2458" s="73"/>
      <c r="AB2458" s="73"/>
    </row>
    <row r="2459">
      <c r="A2459" s="73"/>
      <c r="B2459" s="73">
        <v>1075521.522</v>
      </c>
      <c r="C2459" s="73">
        <v>1.32065928891615E8</v>
      </c>
      <c r="D2459" s="73">
        <v>4.93995130519988E7</v>
      </c>
      <c r="E2459" s="73">
        <v>6759092.2105096</v>
      </c>
      <c r="F2459" s="73"/>
      <c r="G2459" s="73"/>
      <c r="H2459" s="73"/>
      <c r="I2459" s="73"/>
      <c r="J2459" s="73"/>
      <c r="K2459" s="73"/>
      <c r="L2459" s="73"/>
      <c r="M2459" s="73"/>
      <c r="N2459" s="73"/>
      <c r="O2459" s="73"/>
      <c r="P2459" s="73"/>
      <c r="Q2459" s="73"/>
      <c r="R2459" s="73"/>
      <c r="S2459" s="73"/>
      <c r="T2459" s="73"/>
      <c r="U2459" s="73"/>
      <c r="V2459" s="73"/>
      <c r="W2459" s="73"/>
      <c r="X2459" s="73"/>
      <c r="Y2459" s="73"/>
      <c r="Z2459" s="73"/>
      <c r="AA2459" s="73"/>
      <c r="AB2459" s="73"/>
    </row>
    <row r="2460">
      <c r="A2460" s="73"/>
      <c r="B2460" s="73">
        <v>1077128.479</v>
      </c>
      <c r="C2460" s="73">
        <v>1.32212246567551E8</v>
      </c>
      <c r="D2460" s="73">
        <v>4.94708829719997E7</v>
      </c>
      <c r="E2460" s="73">
        <v>6767475.04070509</v>
      </c>
      <c r="F2460" s="73"/>
      <c r="G2460" s="73"/>
      <c r="H2460" s="73"/>
      <c r="I2460" s="73"/>
      <c r="J2460" s="73"/>
      <c r="K2460" s="73"/>
      <c r="L2460" s="73"/>
      <c r="M2460" s="73"/>
      <c r="N2460" s="73"/>
      <c r="O2460" s="73"/>
      <c r="P2460" s="73"/>
      <c r="Q2460" s="73"/>
      <c r="R2460" s="73"/>
      <c r="S2460" s="73"/>
      <c r="T2460" s="73"/>
      <c r="U2460" s="73"/>
      <c r="V2460" s="73"/>
      <c r="W2460" s="73"/>
      <c r="X2460" s="73"/>
      <c r="Y2460" s="73"/>
      <c r="Z2460" s="73"/>
      <c r="AA2460" s="73"/>
      <c r="AB2460" s="73"/>
    </row>
    <row r="2461">
      <c r="A2461" s="73"/>
      <c r="B2461" s="73">
        <v>1078737.25</v>
      </c>
      <c r="C2461" s="73">
        <v>1.32358638403484E8</v>
      </c>
      <c r="D2461" s="73">
        <v>4.95423201720006E7</v>
      </c>
      <c r="E2461" s="73">
        <v>6775865.24426017</v>
      </c>
      <c r="F2461" s="73"/>
      <c r="G2461" s="73"/>
      <c r="H2461" s="73"/>
      <c r="I2461" s="73"/>
      <c r="J2461" s="73"/>
      <c r="K2461" s="73"/>
      <c r="L2461" s="73"/>
      <c r="M2461" s="73"/>
      <c r="N2461" s="73"/>
      <c r="O2461" s="73"/>
      <c r="P2461" s="73"/>
      <c r="Q2461" s="73"/>
      <c r="R2461" s="73"/>
      <c r="S2461" s="73"/>
      <c r="T2461" s="73"/>
      <c r="U2461" s="73"/>
      <c r="V2461" s="73"/>
      <c r="W2461" s="73"/>
      <c r="X2461" s="73"/>
      <c r="Y2461" s="73"/>
      <c r="Z2461" s="73"/>
      <c r="AA2461" s="73"/>
      <c r="AB2461" s="73"/>
    </row>
    <row r="2462">
      <c r="A2462" s="73"/>
      <c r="B2462" s="73">
        <v>1080347.833</v>
      </c>
      <c r="C2462" s="73">
        <v>1.32505145599415E8</v>
      </c>
      <c r="D2462" s="73">
        <v>4.96138245800015E7</v>
      </c>
      <c r="E2462" s="73">
        <v>6784262.64775886</v>
      </c>
      <c r="F2462" s="73"/>
      <c r="G2462" s="73"/>
      <c r="H2462" s="73"/>
      <c r="I2462" s="73"/>
      <c r="J2462" s="73"/>
      <c r="K2462" s="73"/>
      <c r="L2462" s="73"/>
      <c r="M2462" s="73"/>
      <c r="N2462" s="73"/>
      <c r="O2462" s="73"/>
      <c r="P2462" s="73"/>
      <c r="Q2462" s="73"/>
      <c r="R2462" s="73"/>
      <c r="S2462" s="73"/>
      <c r="T2462" s="73"/>
      <c r="U2462" s="73"/>
      <c r="V2462" s="73"/>
      <c r="W2462" s="73"/>
      <c r="X2462" s="73"/>
      <c r="Y2462" s="73"/>
      <c r="Z2462" s="73"/>
      <c r="AA2462" s="73"/>
      <c r="AB2462" s="73"/>
    </row>
    <row r="2463">
      <c r="A2463" s="73"/>
      <c r="B2463" s="73">
        <v>1081960.2</v>
      </c>
      <c r="C2463" s="73">
        <v>1.32651759915342E8</v>
      </c>
      <c r="D2463" s="73">
        <v>4.96853962719948E7</v>
      </c>
      <c r="E2463" s="73">
        <v>6792667.32540117</v>
      </c>
      <c r="F2463" s="73"/>
      <c r="G2463" s="73"/>
      <c r="H2463" s="73"/>
      <c r="I2463" s="73"/>
      <c r="J2463" s="73"/>
      <c r="K2463" s="73"/>
      <c r="L2463" s="73"/>
      <c r="M2463" s="73"/>
      <c r="N2463" s="73"/>
      <c r="O2463" s="73"/>
      <c r="P2463" s="73"/>
      <c r="Q2463" s="73"/>
      <c r="R2463" s="73"/>
      <c r="S2463" s="73"/>
      <c r="T2463" s="73"/>
      <c r="U2463" s="73"/>
      <c r="V2463" s="73"/>
      <c r="W2463" s="73"/>
      <c r="X2463" s="73"/>
      <c r="Y2463" s="73"/>
      <c r="Z2463" s="73"/>
      <c r="AA2463" s="73"/>
      <c r="AB2463" s="73"/>
    </row>
    <row r="2464">
      <c r="A2464" s="73"/>
      <c r="B2464" s="73">
        <v>1083574.374</v>
      </c>
      <c r="C2464" s="73">
        <v>1.32798481351267E8</v>
      </c>
      <c r="D2464" s="73">
        <v>4.97570352519957E7</v>
      </c>
      <c r="E2464" s="73">
        <v>6801078.96978709</v>
      </c>
      <c r="F2464" s="73"/>
      <c r="G2464" s="73"/>
      <c r="H2464" s="73"/>
      <c r="I2464" s="73"/>
      <c r="J2464" s="73"/>
      <c r="K2464" s="73"/>
      <c r="L2464" s="73"/>
      <c r="M2464" s="73"/>
      <c r="N2464" s="73"/>
      <c r="O2464" s="73"/>
      <c r="P2464" s="73"/>
      <c r="Q2464" s="73"/>
      <c r="R2464" s="73"/>
      <c r="S2464" s="73"/>
      <c r="T2464" s="73"/>
      <c r="U2464" s="73"/>
      <c r="V2464" s="73"/>
      <c r="W2464" s="73"/>
      <c r="X2464" s="73"/>
      <c r="Y2464" s="73"/>
      <c r="Z2464" s="73"/>
      <c r="AA2464" s="73"/>
      <c r="AB2464" s="73"/>
    </row>
    <row r="2465">
      <c r="A2465" s="73"/>
      <c r="B2465" s="73">
        <v>1085190.333</v>
      </c>
      <c r="C2465" s="73">
        <v>1.32945301667189E8</v>
      </c>
      <c r="D2465" s="73">
        <v>4.98287414359966E7</v>
      </c>
      <c r="E2465" s="73">
        <v>6809497.69751664</v>
      </c>
      <c r="F2465" s="73"/>
      <c r="G2465" s="73"/>
      <c r="H2465" s="73"/>
      <c r="I2465" s="73"/>
      <c r="J2465" s="73"/>
      <c r="K2465" s="73"/>
      <c r="L2465" s="73"/>
      <c r="M2465" s="73"/>
      <c r="N2465" s="73"/>
      <c r="O2465" s="73"/>
      <c r="P2465" s="73"/>
      <c r="Q2465" s="73"/>
      <c r="R2465" s="73"/>
      <c r="S2465" s="73"/>
      <c r="T2465" s="73"/>
      <c r="U2465" s="73"/>
      <c r="V2465" s="73"/>
      <c r="W2465" s="73"/>
      <c r="X2465" s="73"/>
      <c r="Y2465" s="73"/>
      <c r="Z2465" s="73"/>
      <c r="AA2465" s="73"/>
      <c r="AB2465" s="73"/>
    </row>
    <row r="2466">
      <c r="A2466" s="73"/>
      <c r="B2466" s="73">
        <v>1086808.116</v>
      </c>
      <c r="C2466" s="73">
        <v>1.33092212623108E8</v>
      </c>
      <c r="D2466" s="73">
        <v>4.99005149039976E7</v>
      </c>
      <c r="E2466" s="73">
        <v>6817924.03180577</v>
      </c>
      <c r="F2466" s="73"/>
      <c r="G2466" s="73"/>
      <c r="H2466" s="73"/>
      <c r="I2466" s="73"/>
      <c r="J2466" s="73"/>
      <c r="K2466" s="73"/>
      <c r="L2466" s="73"/>
      <c r="M2466" s="73"/>
      <c r="N2466" s="73"/>
      <c r="O2466" s="73"/>
      <c r="P2466" s="73"/>
      <c r="Q2466" s="73"/>
      <c r="R2466" s="73"/>
      <c r="S2466" s="73"/>
      <c r="T2466" s="73"/>
      <c r="U2466" s="73"/>
      <c r="V2466" s="73"/>
      <c r="W2466" s="73"/>
      <c r="X2466" s="73"/>
      <c r="Y2466" s="73"/>
      <c r="Z2466" s="73"/>
      <c r="AA2466" s="73"/>
      <c r="AB2466" s="73"/>
    </row>
    <row r="2467">
      <c r="A2467" s="73"/>
      <c r="B2467" s="73">
        <v>1088427.723</v>
      </c>
      <c r="C2467" s="73">
        <v>1.33239238939024E8</v>
      </c>
      <c r="D2467" s="73">
        <v>4.99723556559985E7</v>
      </c>
      <c r="E2467" s="73">
        <v>6826357.33283853</v>
      </c>
      <c r="F2467" s="73"/>
      <c r="G2467" s="73"/>
      <c r="H2467" s="73"/>
      <c r="I2467" s="73"/>
      <c r="J2467" s="73"/>
      <c r="K2467" s="73"/>
      <c r="L2467" s="73"/>
      <c r="M2467" s="73"/>
      <c r="N2467" s="73"/>
      <c r="O2467" s="73"/>
      <c r="P2467" s="73"/>
      <c r="Q2467" s="73"/>
      <c r="R2467" s="73"/>
      <c r="S2467" s="73"/>
      <c r="T2467" s="73"/>
      <c r="U2467" s="73"/>
      <c r="V2467" s="73"/>
      <c r="W2467" s="73"/>
      <c r="X2467" s="73"/>
      <c r="Y2467" s="73"/>
      <c r="Z2467" s="73"/>
      <c r="AA2467" s="73"/>
      <c r="AB2467" s="73"/>
    </row>
    <row r="2468">
      <c r="A2468" s="73"/>
      <c r="B2468" s="73">
        <v>1090049.097</v>
      </c>
      <c r="C2468" s="73">
        <v>1.33386364134937E8</v>
      </c>
      <c r="D2468" s="73">
        <v>5.00442636919994E7</v>
      </c>
      <c r="E2468" s="73">
        <v>6834797.88681489</v>
      </c>
      <c r="F2468" s="73"/>
      <c r="G2468" s="73"/>
      <c r="H2468" s="73"/>
      <c r="I2468" s="73"/>
      <c r="J2468" s="73"/>
      <c r="K2468" s="73"/>
      <c r="L2468" s="73"/>
      <c r="M2468" s="73"/>
      <c r="N2468" s="73"/>
      <c r="O2468" s="73"/>
      <c r="P2468" s="73"/>
      <c r="Q2468" s="73"/>
      <c r="R2468" s="73"/>
      <c r="S2468" s="73"/>
      <c r="T2468" s="73"/>
      <c r="U2468" s="73"/>
      <c r="V2468" s="73"/>
      <c r="W2468" s="73"/>
      <c r="X2468" s="73"/>
      <c r="Y2468" s="73"/>
      <c r="Z2468" s="73"/>
      <c r="AA2468" s="73"/>
      <c r="AB2468" s="73"/>
    </row>
    <row r="2469">
      <c r="A2469" s="73"/>
      <c r="B2469" s="73">
        <v>1091672.296</v>
      </c>
      <c r="C2469" s="73">
        <v>1.33533588210848E8</v>
      </c>
      <c r="D2469" s="73">
        <v>5.01162388960003E7</v>
      </c>
      <c r="E2469" s="73">
        <v>6843245.59833487</v>
      </c>
      <c r="F2469" s="73"/>
      <c r="G2469" s="73"/>
      <c r="H2469" s="73"/>
      <c r="I2469" s="73"/>
      <c r="J2469" s="73"/>
      <c r="K2469" s="73"/>
      <c r="L2469" s="73"/>
      <c r="M2469" s="73"/>
      <c r="N2469" s="73"/>
      <c r="O2469" s="73"/>
      <c r="P2469" s="73"/>
      <c r="Q2469" s="73"/>
      <c r="R2469" s="73"/>
      <c r="S2469" s="73"/>
      <c r="T2469" s="73"/>
      <c r="U2469" s="73"/>
      <c r="V2469" s="73"/>
      <c r="W2469" s="73"/>
      <c r="X2469" s="73"/>
      <c r="Y2469" s="73"/>
      <c r="Z2469" s="73"/>
      <c r="AA2469" s="73"/>
      <c r="AB2469" s="73"/>
    </row>
    <row r="2470">
      <c r="A2470" s="73"/>
      <c r="B2470" s="73">
        <v>1093297.256</v>
      </c>
      <c r="C2470" s="73">
        <v>1.33680919406755E8</v>
      </c>
      <c r="D2470" s="73">
        <v>5.01882814640012E7</v>
      </c>
      <c r="E2470" s="73">
        <v>6851700.37199847</v>
      </c>
      <c r="F2470" s="73"/>
      <c r="G2470" s="73"/>
      <c r="H2470" s="73"/>
      <c r="I2470" s="73"/>
      <c r="J2470" s="73"/>
      <c r="K2470" s="73"/>
      <c r="L2470" s="73"/>
      <c r="M2470" s="73"/>
      <c r="N2470" s="73"/>
      <c r="O2470" s="73"/>
      <c r="P2470" s="73"/>
      <c r="Q2470" s="73"/>
      <c r="R2470" s="73"/>
      <c r="S2470" s="73"/>
      <c r="T2470" s="73"/>
      <c r="U2470" s="73"/>
      <c r="V2470" s="73"/>
      <c r="W2470" s="73"/>
      <c r="X2470" s="73"/>
      <c r="Y2470" s="73"/>
      <c r="Z2470" s="73"/>
      <c r="AA2470" s="73"/>
      <c r="AB2470" s="73"/>
    </row>
    <row r="2471">
      <c r="A2471" s="73"/>
      <c r="B2471" s="73">
        <v>1094924.052</v>
      </c>
      <c r="C2471" s="73">
        <v>1.3382834948266E8</v>
      </c>
      <c r="D2471" s="73">
        <v>5.02603860799945E7</v>
      </c>
      <c r="E2471" s="73">
        <v>6860162.60382167</v>
      </c>
      <c r="F2471" s="73"/>
      <c r="G2471" s="73"/>
      <c r="H2471" s="73"/>
      <c r="I2471" s="73"/>
      <c r="J2471" s="73"/>
      <c r="K2471" s="73"/>
      <c r="L2471" s="73"/>
      <c r="M2471" s="73"/>
      <c r="N2471" s="73"/>
      <c r="O2471" s="73"/>
      <c r="P2471" s="73"/>
      <c r="Q2471" s="73"/>
      <c r="R2471" s="73"/>
      <c r="S2471" s="73"/>
      <c r="T2471" s="73"/>
      <c r="U2471" s="73"/>
      <c r="V2471" s="73"/>
      <c r="W2471" s="73"/>
      <c r="X2471" s="73"/>
      <c r="Y2471" s="73"/>
      <c r="Z2471" s="73"/>
      <c r="AA2471" s="73"/>
      <c r="AB2471" s="73"/>
    </row>
    <row r="2472">
      <c r="A2472" s="73"/>
      <c r="B2472" s="73">
        <v>1096552.633</v>
      </c>
      <c r="C2472" s="73">
        <v>1.33975894918562E8</v>
      </c>
      <c r="D2472" s="73">
        <v>5.03325631359954E7</v>
      </c>
      <c r="E2472" s="73">
        <v>6868631.95078848</v>
      </c>
      <c r="F2472" s="73"/>
      <c r="G2472" s="73"/>
      <c r="H2472" s="73"/>
      <c r="I2472" s="73"/>
      <c r="J2472" s="73"/>
      <c r="K2472" s="73"/>
      <c r="L2472" s="73"/>
      <c r="M2472" s="73"/>
      <c r="N2472" s="73"/>
      <c r="O2472" s="73"/>
      <c r="P2472" s="73"/>
      <c r="Q2472" s="73"/>
      <c r="R2472" s="73"/>
      <c r="S2472" s="73"/>
      <c r="T2472" s="73"/>
      <c r="U2472" s="73"/>
      <c r="V2472" s="73"/>
      <c r="W2472" s="73"/>
      <c r="X2472" s="73"/>
      <c r="Y2472" s="73"/>
      <c r="Z2472" s="73"/>
      <c r="AA2472" s="73"/>
      <c r="AB2472" s="73"/>
    </row>
    <row r="2473">
      <c r="A2473" s="73"/>
      <c r="B2473" s="73">
        <v>1098183.037</v>
      </c>
      <c r="C2473" s="73">
        <v>1.34123522754461E8</v>
      </c>
      <c r="D2473" s="73">
        <v>5.04048074399963E7</v>
      </c>
      <c r="E2473" s="73">
        <v>6877108.10168292</v>
      </c>
      <c r="F2473" s="73"/>
      <c r="G2473" s="73"/>
      <c r="H2473" s="73"/>
      <c r="I2473" s="73"/>
      <c r="J2473" s="73"/>
      <c r="K2473" s="73"/>
      <c r="L2473" s="73"/>
      <c r="M2473" s="73"/>
      <c r="N2473" s="73"/>
      <c r="O2473" s="73"/>
      <c r="P2473" s="73"/>
      <c r="Q2473" s="73"/>
      <c r="R2473" s="73"/>
      <c r="S2473" s="73"/>
      <c r="T2473" s="73"/>
      <c r="U2473" s="73"/>
      <c r="V2473" s="73"/>
      <c r="W2473" s="73"/>
      <c r="X2473" s="73"/>
      <c r="Y2473" s="73"/>
      <c r="Z2473" s="73"/>
      <c r="AA2473" s="73"/>
      <c r="AB2473" s="73"/>
    </row>
    <row r="2474">
      <c r="A2474" s="73"/>
      <c r="B2474" s="73">
        <v>1099815.209</v>
      </c>
      <c r="C2474" s="73">
        <v>1.34271265950357E8</v>
      </c>
      <c r="D2474" s="73">
        <v>5.04771190279972E7</v>
      </c>
      <c r="E2474" s="73">
        <v>6885591.80613696</v>
      </c>
      <c r="F2474" s="73"/>
      <c r="G2474" s="73"/>
      <c r="H2474" s="73"/>
      <c r="I2474" s="73"/>
      <c r="J2474" s="73"/>
      <c r="K2474" s="73"/>
      <c r="L2474" s="73"/>
      <c r="M2474" s="73"/>
      <c r="N2474" s="73"/>
      <c r="O2474" s="73"/>
      <c r="P2474" s="73"/>
      <c r="Q2474" s="73"/>
      <c r="R2474" s="73"/>
      <c r="S2474" s="73"/>
      <c r="T2474" s="73"/>
      <c r="U2474" s="73"/>
      <c r="V2474" s="73"/>
      <c r="W2474" s="73"/>
      <c r="X2474" s="73"/>
      <c r="Y2474" s="73"/>
      <c r="Z2474" s="73"/>
      <c r="AA2474" s="73"/>
      <c r="AB2474" s="73"/>
    </row>
    <row r="2475">
      <c r="A2475" s="73"/>
      <c r="B2475" s="73">
        <v>1101449.252</v>
      </c>
      <c r="C2475" s="73">
        <v>1.34419108026251E8</v>
      </c>
      <c r="D2475" s="73">
        <v>5.05494977839982E7</v>
      </c>
      <c r="E2475" s="73">
        <v>6894082.8945506</v>
      </c>
      <c r="F2475" s="73"/>
      <c r="G2475" s="73"/>
      <c r="H2475" s="73"/>
      <c r="I2475" s="73"/>
      <c r="J2475" s="73"/>
      <c r="K2475" s="73"/>
      <c r="L2475" s="73"/>
      <c r="M2475" s="73"/>
      <c r="N2475" s="73"/>
      <c r="O2475" s="73"/>
      <c r="P2475" s="73"/>
      <c r="Q2475" s="73"/>
      <c r="R2475" s="73"/>
      <c r="S2475" s="73"/>
      <c r="T2475" s="73"/>
      <c r="U2475" s="73"/>
      <c r="V2475" s="73"/>
      <c r="W2475" s="73"/>
      <c r="X2475" s="73"/>
      <c r="Y2475" s="73"/>
      <c r="Z2475" s="73"/>
      <c r="AA2475" s="73"/>
      <c r="AB2475" s="73"/>
    </row>
    <row r="2476">
      <c r="A2476" s="73"/>
      <c r="B2476" s="73">
        <v>1103085.016</v>
      </c>
      <c r="C2476" s="73">
        <v>1.34567065462141E8</v>
      </c>
      <c r="D2476" s="73">
        <v>5.06219439399991E7</v>
      </c>
      <c r="E2476" s="73">
        <v>6902580.87169186</v>
      </c>
      <c r="F2476" s="73"/>
      <c r="G2476" s="73"/>
      <c r="H2476" s="73"/>
      <c r="I2476" s="73"/>
      <c r="J2476" s="73"/>
      <c r="K2476" s="73"/>
      <c r="L2476" s="73"/>
      <c r="M2476" s="73"/>
      <c r="N2476" s="73"/>
      <c r="O2476" s="73"/>
      <c r="P2476" s="73"/>
      <c r="Q2476" s="73"/>
      <c r="R2476" s="73"/>
      <c r="S2476" s="73"/>
      <c r="T2476" s="73"/>
      <c r="U2476" s="73"/>
      <c r="V2476" s="73"/>
      <c r="W2476" s="73"/>
      <c r="X2476" s="73"/>
      <c r="Y2476" s="73"/>
      <c r="Z2476" s="73"/>
      <c r="AA2476" s="73"/>
      <c r="AB2476" s="73"/>
    </row>
    <row r="2477">
      <c r="A2477" s="73"/>
      <c r="B2477" s="73">
        <v>1104722.679</v>
      </c>
      <c r="C2477" s="73">
        <v>1.34715113538029E8</v>
      </c>
      <c r="D2477" s="73">
        <v>5.0694457264E7</v>
      </c>
      <c r="E2477" s="73">
        <v>6911086.29639272</v>
      </c>
      <c r="F2477" s="73"/>
      <c r="G2477" s="73"/>
      <c r="H2477" s="73"/>
      <c r="I2477" s="73"/>
      <c r="J2477" s="73"/>
      <c r="K2477" s="73"/>
      <c r="L2477" s="73"/>
      <c r="M2477" s="73"/>
      <c r="N2477" s="73"/>
      <c r="O2477" s="73"/>
      <c r="P2477" s="73"/>
      <c r="Q2477" s="73"/>
      <c r="R2477" s="73"/>
      <c r="S2477" s="73"/>
      <c r="T2477" s="73"/>
      <c r="U2477" s="73"/>
      <c r="V2477" s="73"/>
      <c r="W2477" s="73"/>
      <c r="X2477" s="73"/>
      <c r="Y2477" s="73"/>
      <c r="Z2477" s="73"/>
      <c r="AA2477" s="73"/>
      <c r="AB2477" s="73"/>
    </row>
    <row r="2478">
      <c r="A2478" s="73"/>
      <c r="B2478" s="73">
        <v>1106362.041</v>
      </c>
      <c r="C2478" s="73">
        <v>1.34863260493914E8</v>
      </c>
      <c r="D2478" s="73">
        <v>5.07670378360009E7</v>
      </c>
      <c r="E2478" s="73">
        <v>6919598.8256372</v>
      </c>
      <c r="F2478" s="73"/>
      <c r="G2478" s="73"/>
      <c r="H2478" s="73"/>
      <c r="I2478" s="73"/>
      <c r="J2478" s="73"/>
      <c r="K2478" s="73"/>
      <c r="L2478" s="73"/>
      <c r="M2478" s="73"/>
      <c r="N2478" s="73"/>
      <c r="O2478" s="73"/>
      <c r="P2478" s="73"/>
      <c r="Q2478" s="73"/>
      <c r="R2478" s="73"/>
      <c r="S2478" s="73"/>
      <c r="T2478" s="73"/>
      <c r="U2478" s="73"/>
      <c r="V2478" s="73"/>
      <c r="W2478" s="73"/>
      <c r="X2478" s="73"/>
      <c r="Y2478" s="73"/>
      <c r="Z2478" s="73"/>
      <c r="AA2478" s="73"/>
      <c r="AB2478" s="73"/>
    </row>
    <row r="2479">
      <c r="A2479" s="73"/>
      <c r="B2479" s="73">
        <v>1108003.296</v>
      </c>
      <c r="C2479" s="73">
        <v>1.35011514569796E8</v>
      </c>
      <c r="D2479" s="73">
        <v>5.08396857279942E7</v>
      </c>
      <c r="E2479" s="73">
        <v>6928118.5442253</v>
      </c>
      <c r="F2479" s="73"/>
      <c r="G2479" s="73"/>
      <c r="H2479" s="73"/>
      <c r="I2479" s="73"/>
      <c r="J2479" s="73"/>
      <c r="K2479" s="73"/>
      <c r="L2479" s="73"/>
      <c r="M2479" s="73"/>
      <c r="N2479" s="73"/>
      <c r="O2479" s="73"/>
      <c r="P2479" s="73"/>
      <c r="Q2479" s="73"/>
      <c r="R2479" s="73"/>
      <c r="S2479" s="73"/>
      <c r="T2479" s="73"/>
      <c r="U2479" s="73"/>
      <c r="V2479" s="73"/>
      <c r="W2479" s="73"/>
      <c r="X2479" s="73"/>
      <c r="Y2479" s="73"/>
      <c r="Z2479" s="73"/>
      <c r="AA2479" s="73"/>
      <c r="AB2479" s="73"/>
    </row>
    <row r="2480">
      <c r="A2480" s="73"/>
      <c r="B2480" s="73">
        <v>1109646.341</v>
      </c>
      <c r="C2480" s="73">
        <v>1.35159884005674E8</v>
      </c>
      <c r="D2480" s="73">
        <v>5.09124007879951E7</v>
      </c>
      <c r="E2480" s="73">
        <v>6936645.32495701</v>
      </c>
      <c r="F2480" s="73"/>
      <c r="G2480" s="73"/>
      <c r="H2480" s="73"/>
      <c r="I2480" s="73"/>
      <c r="J2480" s="73"/>
      <c r="K2480" s="73"/>
      <c r="L2480" s="73"/>
      <c r="M2480" s="73"/>
      <c r="N2480" s="73"/>
      <c r="O2480" s="73"/>
      <c r="P2480" s="73"/>
      <c r="Q2480" s="73"/>
      <c r="R2480" s="73"/>
      <c r="S2480" s="73"/>
      <c r="T2480" s="73"/>
      <c r="U2480" s="73"/>
      <c r="V2480" s="73"/>
      <c r="W2480" s="73"/>
      <c r="X2480" s="73"/>
      <c r="Y2480" s="73"/>
      <c r="Z2480" s="73"/>
      <c r="AA2480" s="73"/>
      <c r="AB2480" s="73"/>
    </row>
    <row r="2481">
      <c r="A2481" s="73"/>
      <c r="B2481" s="73">
        <v>1111291.193</v>
      </c>
      <c r="C2481" s="73">
        <v>1.35308335841551E8</v>
      </c>
      <c r="D2481" s="73">
        <v>5.0985183211996E7</v>
      </c>
      <c r="E2481" s="73">
        <v>6945179.43283232</v>
      </c>
      <c r="F2481" s="73"/>
      <c r="G2481" s="73"/>
      <c r="H2481" s="73"/>
      <c r="I2481" s="73"/>
      <c r="J2481" s="73"/>
      <c r="K2481" s="73"/>
      <c r="L2481" s="73"/>
      <c r="M2481" s="73"/>
      <c r="N2481" s="73"/>
      <c r="O2481" s="73"/>
      <c r="P2481" s="73"/>
      <c r="Q2481" s="73"/>
      <c r="R2481" s="73"/>
      <c r="S2481" s="73"/>
      <c r="T2481" s="73"/>
      <c r="U2481" s="73"/>
      <c r="V2481" s="73"/>
      <c r="W2481" s="73"/>
      <c r="X2481" s="73"/>
      <c r="Y2481" s="73"/>
      <c r="Z2481" s="73"/>
      <c r="AA2481" s="73"/>
      <c r="AB2481" s="73"/>
    </row>
    <row r="2482">
      <c r="A2482" s="73"/>
      <c r="B2482" s="73">
        <v>1112937.82</v>
      </c>
      <c r="C2482" s="73">
        <v>1.35456894797424E8</v>
      </c>
      <c r="D2482" s="73">
        <v>5.1058037959997E7</v>
      </c>
      <c r="E2482" s="73">
        <v>6953720.81866725</v>
      </c>
      <c r="F2482" s="73"/>
      <c r="G2482" s="73"/>
      <c r="H2482" s="73"/>
      <c r="I2482" s="73"/>
      <c r="J2482" s="73"/>
      <c r="K2482" s="73"/>
      <c r="L2482" s="73"/>
      <c r="M2482" s="73"/>
      <c r="N2482" s="73"/>
      <c r="O2482" s="73"/>
      <c r="P2482" s="73"/>
      <c r="Q2482" s="73"/>
      <c r="R2482" s="73"/>
      <c r="S2482" s="73"/>
      <c r="T2482" s="73"/>
      <c r="U2482" s="73"/>
      <c r="V2482" s="73"/>
      <c r="W2482" s="73"/>
      <c r="X2482" s="73"/>
      <c r="Y2482" s="73"/>
      <c r="Z2482" s="73"/>
      <c r="AA2482" s="73"/>
      <c r="AB2482" s="73"/>
    </row>
    <row r="2483">
      <c r="A2483" s="73"/>
      <c r="B2483" s="73">
        <v>1114586.287</v>
      </c>
      <c r="C2483" s="73">
        <v>1.35605577353294E8</v>
      </c>
      <c r="D2483" s="73">
        <v>5.11309548719979E7</v>
      </c>
      <c r="E2483" s="73">
        <v>6962269.47864578</v>
      </c>
      <c r="F2483" s="73"/>
      <c r="G2483" s="73"/>
      <c r="H2483" s="73"/>
      <c r="I2483" s="73"/>
      <c r="J2483" s="73"/>
      <c r="K2483" s="73"/>
      <c r="L2483" s="73"/>
      <c r="M2483" s="73"/>
      <c r="N2483" s="73"/>
      <c r="O2483" s="73"/>
      <c r="P2483" s="73"/>
      <c r="Q2483" s="73"/>
      <c r="R2483" s="73"/>
      <c r="S2483" s="73"/>
      <c r="T2483" s="73"/>
      <c r="U2483" s="73"/>
      <c r="V2483" s="73"/>
      <c r="W2483" s="73"/>
      <c r="X2483" s="73"/>
      <c r="Y2483" s="73"/>
      <c r="Z2483" s="73"/>
      <c r="AA2483" s="73"/>
      <c r="AB2483" s="73"/>
    </row>
    <row r="2484">
      <c r="A2484" s="73"/>
      <c r="B2484" s="73">
        <v>1116236.534</v>
      </c>
      <c r="C2484" s="73">
        <v>1.35754350549162E8</v>
      </c>
      <c r="D2484" s="73">
        <v>5.12039390319988E7</v>
      </c>
      <c r="E2484" s="73">
        <v>6970825.13716793</v>
      </c>
      <c r="F2484" s="73"/>
      <c r="G2484" s="73"/>
      <c r="H2484" s="73"/>
      <c r="I2484" s="73"/>
      <c r="J2484" s="73"/>
      <c r="K2484" s="73"/>
      <c r="L2484" s="73"/>
      <c r="M2484" s="73"/>
      <c r="N2484" s="73"/>
      <c r="O2484" s="73"/>
      <c r="P2484" s="73"/>
      <c r="Q2484" s="73"/>
      <c r="R2484" s="73"/>
      <c r="S2484" s="73"/>
      <c r="T2484" s="73"/>
      <c r="U2484" s="73"/>
      <c r="V2484" s="73"/>
      <c r="W2484" s="73"/>
      <c r="X2484" s="73"/>
      <c r="Y2484" s="73"/>
      <c r="Z2484" s="73"/>
      <c r="AA2484" s="73"/>
      <c r="AB2484" s="73"/>
    </row>
    <row r="2485">
      <c r="A2485" s="73"/>
      <c r="B2485" s="73">
        <v>1117888.606</v>
      </c>
      <c r="C2485" s="73">
        <v>1.35903214385027E8</v>
      </c>
      <c r="D2485" s="73">
        <v>5.12769904759997E7</v>
      </c>
      <c r="E2485" s="73">
        <v>6979388.04863369</v>
      </c>
      <c r="F2485" s="73"/>
      <c r="G2485" s="73"/>
      <c r="H2485" s="73"/>
      <c r="I2485" s="73"/>
      <c r="J2485" s="73"/>
      <c r="K2485" s="73"/>
      <c r="L2485" s="73"/>
      <c r="M2485" s="73"/>
      <c r="N2485" s="73"/>
      <c r="O2485" s="73"/>
      <c r="P2485" s="73"/>
      <c r="Q2485" s="73"/>
      <c r="R2485" s="73"/>
      <c r="S2485" s="73"/>
      <c r="T2485" s="73"/>
      <c r="U2485" s="73"/>
      <c r="V2485" s="73"/>
      <c r="W2485" s="73"/>
      <c r="X2485" s="73"/>
      <c r="Y2485" s="73"/>
      <c r="Z2485" s="73"/>
      <c r="AA2485" s="73"/>
      <c r="AB2485" s="73"/>
    </row>
    <row r="2486">
      <c r="A2486" s="73"/>
      <c r="B2486" s="73">
        <v>1119542.52</v>
      </c>
      <c r="C2486" s="73">
        <v>1.36052193580889E8</v>
      </c>
      <c r="D2486" s="73">
        <v>5.13501143240006E7</v>
      </c>
      <c r="E2486" s="73">
        <v>6987958.48185904</v>
      </c>
      <c r="F2486" s="73"/>
      <c r="G2486" s="73"/>
      <c r="H2486" s="73"/>
      <c r="I2486" s="73"/>
      <c r="J2486" s="73"/>
      <c r="K2486" s="73"/>
      <c r="L2486" s="73"/>
      <c r="M2486" s="73"/>
      <c r="N2486" s="73"/>
      <c r="O2486" s="73"/>
      <c r="P2486" s="73"/>
      <c r="Q2486" s="73"/>
      <c r="R2486" s="73"/>
      <c r="S2486" s="73"/>
      <c r="T2486" s="73"/>
      <c r="U2486" s="73"/>
      <c r="V2486" s="73"/>
      <c r="W2486" s="73"/>
      <c r="X2486" s="73"/>
      <c r="Y2486" s="73"/>
      <c r="Z2486" s="73"/>
      <c r="AA2486" s="73"/>
      <c r="AB2486" s="73"/>
    </row>
    <row r="2487">
      <c r="A2487" s="73"/>
      <c r="B2487" s="73">
        <v>1121198.195</v>
      </c>
      <c r="C2487" s="73">
        <v>1.36201271656748E8</v>
      </c>
      <c r="D2487" s="73">
        <v>5.14233053760015E7</v>
      </c>
      <c r="E2487" s="73">
        <v>6996536.16802801</v>
      </c>
      <c r="F2487" s="73"/>
      <c r="G2487" s="73"/>
      <c r="H2487" s="73"/>
      <c r="I2487" s="73"/>
      <c r="J2487" s="73"/>
      <c r="K2487" s="73"/>
      <c r="L2487" s="73"/>
      <c r="M2487" s="73"/>
      <c r="N2487" s="73"/>
      <c r="O2487" s="73"/>
      <c r="P2487" s="73"/>
      <c r="Q2487" s="73"/>
      <c r="R2487" s="73"/>
      <c r="S2487" s="73"/>
      <c r="T2487" s="73"/>
      <c r="U2487" s="73"/>
      <c r="V2487" s="73"/>
      <c r="W2487" s="73"/>
      <c r="X2487" s="73"/>
      <c r="Y2487" s="73"/>
      <c r="Z2487" s="73"/>
      <c r="AA2487" s="73"/>
      <c r="AB2487" s="73"/>
    </row>
    <row r="2488">
      <c r="A2488" s="73"/>
      <c r="B2488" s="73">
        <v>1122855.661</v>
      </c>
      <c r="C2488" s="73">
        <v>1.36350465092604E8</v>
      </c>
      <c r="D2488" s="73">
        <v>5.14965586359948E7</v>
      </c>
      <c r="E2488" s="73">
        <v>7005120.85274059</v>
      </c>
      <c r="F2488" s="73"/>
      <c r="G2488" s="73"/>
      <c r="H2488" s="73"/>
      <c r="I2488" s="73"/>
      <c r="J2488" s="73"/>
      <c r="K2488" s="73"/>
      <c r="L2488" s="73"/>
      <c r="M2488" s="73"/>
      <c r="N2488" s="73"/>
      <c r="O2488" s="73"/>
      <c r="P2488" s="73"/>
      <c r="Q2488" s="73"/>
      <c r="R2488" s="73"/>
      <c r="S2488" s="73"/>
      <c r="T2488" s="73"/>
      <c r="U2488" s="73"/>
      <c r="V2488" s="73"/>
      <c r="W2488" s="73"/>
      <c r="X2488" s="73"/>
      <c r="Y2488" s="73"/>
      <c r="Z2488" s="73"/>
      <c r="AA2488" s="73"/>
      <c r="AB2488" s="73"/>
    </row>
    <row r="2489">
      <c r="A2489" s="73"/>
      <c r="B2489" s="73">
        <v>1124515.003</v>
      </c>
      <c r="C2489" s="73">
        <v>1.36499749168457E8</v>
      </c>
      <c r="D2489" s="73">
        <v>5.15698842199957E7</v>
      </c>
      <c r="E2489" s="73">
        <v>7013712.6207968</v>
      </c>
      <c r="F2489" s="73"/>
      <c r="G2489" s="73"/>
      <c r="H2489" s="73"/>
      <c r="I2489" s="73"/>
      <c r="J2489" s="73"/>
      <c r="K2489" s="73"/>
      <c r="L2489" s="73"/>
      <c r="M2489" s="73"/>
      <c r="N2489" s="73"/>
      <c r="O2489" s="73"/>
      <c r="P2489" s="73"/>
      <c r="Q2489" s="73"/>
      <c r="R2489" s="73"/>
      <c r="S2489" s="73"/>
      <c r="T2489" s="73"/>
      <c r="U2489" s="73"/>
      <c r="V2489" s="73"/>
      <c r="W2489" s="73"/>
      <c r="X2489" s="73"/>
      <c r="Y2489" s="73"/>
      <c r="Z2489" s="73"/>
      <c r="AA2489" s="73"/>
      <c r="AB2489" s="73"/>
    </row>
    <row r="2490">
      <c r="A2490" s="73"/>
      <c r="B2490" s="73">
        <v>1126176.113</v>
      </c>
      <c r="C2490" s="73">
        <v>1.36649140364307E8</v>
      </c>
      <c r="D2490" s="73">
        <v>5.16432770879966E7</v>
      </c>
      <c r="E2490" s="73">
        <v>7022312.02721259</v>
      </c>
      <c r="F2490" s="73"/>
      <c r="G2490" s="73"/>
      <c r="H2490" s="73"/>
      <c r="I2490" s="73"/>
      <c r="J2490" s="73"/>
      <c r="K2490" s="73"/>
      <c r="L2490" s="73"/>
      <c r="M2490" s="73"/>
      <c r="N2490" s="73"/>
      <c r="O2490" s="73"/>
      <c r="P2490" s="73"/>
      <c r="Q2490" s="73"/>
      <c r="R2490" s="73"/>
      <c r="S2490" s="73"/>
      <c r="T2490" s="73"/>
      <c r="U2490" s="73"/>
      <c r="V2490" s="73"/>
      <c r="W2490" s="73"/>
      <c r="X2490" s="73"/>
      <c r="Y2490" s="73"/>
      <c r="Z2490" s="73"/>
      <c r="AA2490" s="73"/>
      <c r="AB2490" s="73"/>
    </row>
    <row r="2491">
      <c r="A2491" s="73"/>
      <c r="B2491" s="73">
        <v>1127839.02</v>
      </c>
      <c r="C2491" s="73">
        <v>1.36798630440155E8</v>
      </c>
      <c r="D2491" s="73">
        <v>5.17167372399976E7</v>
      </c>
      <c r="E2491" s="73">
        <v>7030918.26935601</v>
      </c>
      <c r="F2491" s="73"/>
      <c r="G2491" s="73"/>
      <c r="H2491" s="73"/>
      <c r="I2491" s="73"/>
      <c r="J2491" s="73"/>
      <c r="K2491" s="73"/>
      <c r="L2491" s="73"/>
      <c r="M2491" s="73"/>
      <c r="N2491" s="73"/>
      <c r="O2491" s="73"/>
      <c r="P2491" s="73"/>
      <c r="Q2491" s="73"/>
      <c r="R2491" s="73"/>
      <c r="S2491" s="73"/>
      <c r="T2491" s="73"/>
      <c r="U2491" s="73"/>
      <c r="V2491" s="73"/>
      <c r="W2491" s="73"/>
      <c r="X2491" s="73"/>
      <c r="Y2491" s="73"/>
      <c r="Z2491" s="73"/>
      <c r="AA2491" s="73"/>
      <c r="AB2491" s="73"/>
    </row>
    <row r="2492">
      <c r="A2492" s="73"/>
      <c r="B2492" s="73">
        <v>1129503.756</v>
      </c>
      <c r="C2492" s="73">
        <v>1.36948235875999E8</v>
      </c>
      <c r="D2492" s="73">
        <v>5.17902645599985E7</v>
      </c>
      <c r="E2492" s="73">
        <v>7039531.77885904</v>
      </c>
      <c r="F2492" s="73"/>
      <c r="G2492" s="73"/>
      <c r="H2492" s="73"/>
      <c r="I2492" s="73"/>
      <c r="J2492" s="73"/>
      <c r="K2492" s="73"/>
      <c r="L2492" s="73"/>
      <c r="M2492" s="73"/>
      <c r="N2492" s="73"/>
      <c r="O2492" s="73"/>
      <c r="P2492" s="73"/>
      <c r="Q2492" s="73"/>
      <c r="R2492" s="73"/>
      <c r="S2492" s="73"/>
      <c r="T2492" s="73"/>
      <c r="U2492" s="73"/>
      <c r="V2492" s="73"/>
      <c r="W2492" s="73"/>
      <c r="X2492" s="73"/>
      <c r="Y2492" s="73"/>
      <c r="Z2492" s="73"/>
      <c r="AA2492" s="73"/>
      <c r="AB2492" s="73"/>
    </row>
    <row r="2493">
      <c r="A2493" s="73"/>
      <c r="B2493" s="73">
        <v>1131170.33</v>
      </c>
      <c r="C2493" s="73">
        <v>1.37097931951841E8</v>
      </c>
      <c r="D2493" s="73">
        <v>5.18638592439994E7</v>
      </c>
      <c r="E2493" s="73">
        <v>7048152.62610567</v>
      </c>
      <c r="F2493" s="73"/>
      <c r="G2493" s="73"/>
      <c r="H2493" s="73"/>
      <c r="I2493" s="73"/>
      <c r="J2493" s="73"/>
      <c r="K2493" s="73"/>
      <c r="L2493" s="73"/>
      <c r="M2493" s="73"/>
      <c r="N2493" s="73"/>
      <c r="O2493" s="73"/>
      <c r="P2493" s="73"/>
      <c r="Q2493" s="73"/>
      <c r="R2493" s="73"/>
      <c r="S2493" s="73"/>
      <c r="T2493" s="73"/>
      <c r="U2493" s="73"/>
      <c r="V2493" s="73"/>
      <c r="W2493" s="73"/>
      <c r="X2493" s="73"/>
      <c r="Y2493" s="73"/>
      <c r="Z2493" s="73"/>
      <c r="AA2493" s="73"/>
      <c r="AB2493" s="73"/>
    </row>
    <row r="2494">
      <c r="A2494" s="73"/>
      <c r="B2494" s="73">
        <v>1132838.671</v>
      </c>
      <c r="C2494" s="73">
        <v>1.3724774338768E8</v>
      </c>
      <c r="D2494" s="73">
        <v>5.19375262520003E7</v>
      </c>
      <c r="E2494" s="73">
        <v>7056780.9209119</v>
      </c>
      <c r="F2494" s="73"/>
      <c r="G2494" s="73"/>
      <c r="H2494" s="73"/>
      <c r="I2494" s="73"/>
      <c r="J2494" s="73"/>
      <c r="K2494" s="73"/>
      <c r="L2494" s="73"/>
      <c r="M2494" s="73"/>
      <c r="N2494" s="73"/>
      <c r="O2494" s="73"/>
      <c r="P2494" s="73"/>
      <c r="Q2494" s="73"/>
      <c r="R2494" s="73"/>
      <c r="S2494" s="73"/>
      <c r="T2494" s="73"/>
      <c r="U2494" s="73"/>
      <c r="V2494" s="73"/>
      <c r="W2494" s="73"/>
      <c r="X2494" s="73"/>
      <c r="Y2494" s="73"/>
      <c r="Z2494" s="73"/>
      <c r="AA2494" s="73"/>
      <c r="AB2494" s="73"/>
    </row>
    <row r="2495">
      <c r="A2495" s="73"/>
      <c r="B2495" s="73">
        <v>1134508.871</v>
      </c>
      <c r="C2495" s="73">
        <v>1.37397637223516E8</v>
      </c>
      <c r="D2495" s="73">
        <v>5.20112555040012E7</v>
      </c>
      <c r="E2495" s="73">
        <v>7065416.22104575</v>
      </c>
      <c r="F2495" s="73"/>
      <c r="G2495" s="73"/>
      <c r="H2495" s="73"/>
      <c r="I2495" s="73"/>
      <c r="J2495" s="73"/>
      <c r="K2495" s="73"/>
      <c r="L2495" s="73"/>
      <c r="M2495" s="73"/>
      <c r="N2495" s="73"/>
      <c r="O2495" s="73"/>
      <c r="P2495" s="73"/>
      <c r="Q2495" s="73"/>
      <c r="R2495" s="73"/>
      <c r="S2495" s="73"/>
      <c r="T2495" s="73"/>
      <c r="U2495" s="73"/>
      <c r="V2495" s="73"/>
      <c r="W2495" s="73"/>
      <c r="X2495" s="73"/>
      <c r="Y2495" s="73"/>
      <c r="Z2495" s="73"/>
      <c r="AA2495" s="73"/>
      <c r="AB2495" s="73"/>
    </row>
    <row r="2496">
      <c r="A2496" s="73"/>
      <c r="B2496" s="73">
        <v>1136180.885</v>
      </c>
      <c r="C2496" s="73">
        <v>1.37547662899349E8</v>
      </c>
      <c r="D2496" s="73">
        <v>5.20850570439945E7</v>
      </c>
      <c r="E2496" s="73">
        <v>7074058.73553922</v>
      </c>
      <c r="F2496" s="73"/>
      <c r="G2496" s="73"/>
      <c r="H2496" s="73"/>
      <c r="I2496" s="73"/>
      <c r="J2496" s="73"/>
      <c r="K2496" s="73"/>
      <c r="L2496" s="73"/>
      <c r="M2496" s="73"/>
      <c r="N2496" s="73"/>
      <c r="O2496" s="73"/>
      <c r="P2496" s="73"/>
      <c r="Q2496" s="73"/>
      <c r="R2496" s="73"/>
      <c r="S2496" s="73"/>
      <c r="T2496" s="73"/>
      <c r="U2496" s="73"/>
      <c r="V2496" s="73"/>
      <c r="W2496" s="73"/>
      <c r="X2496" s="73"/>
      <c r="Y2496" s="73"/>
      <c r="Z2496" s="73"/>
      <c r="AA2496" s="73"/>
      <c r="AB2496" s="73"/>
    </row>
    <row r="2497">
      <c r="A2497" s="73"/>
      <c r="B2497" s="73">
        <v>1137854.666</v>
      </c>
      <c r="C2497" s="73">
        <v>1.3769777097518E8</v>
      </c>
      <c r="D2497" s="73">
        <v>5.21589257879954E7</v>
      </c>
      <c r="E2497" s="73">
        <v>7082708.64077628</v>
      </c>
      <c r="F2497" s="73"/>
      <c r="G2497" s="73"/>
      <c r="H2497" s="73"/>
      <c r="I2497" s="73"/>
      <c r="J2497" s="73"/>
      <c r="K2497" s="73"/>
      <c r="L2497" s="73"/>
      <c r="M2497" s="73"/>
      <c r="N2497" s="73"/>
      <c r="O2497" s="73"/>
      <c r="P2497" s="73"/>
      <c r="Q2497" s="73"/>
      <c r="R2497" s="73"/>
      <c r="S2497" s="73"/>
      <c r="T2497" s="73"/>
      <c r="U2497" s="73"/>
      <c r="V2497" s="73"/>
      <c r="W2497" s="73"/>
      <c r="X2497" s="73"/>
      <c r="Y2497" s="73"/>
      <c r="Z2497" s="73"/>
      <c r="AA2497" s="73"/>
      <c r="AB2497" s="73"/>
    </row>
    <row r="2498">
      <c r="A2498" s="73"/>
      <c r="B2498" s="73">
        <v>1139530.307</v>
      </c>
      <c r="C2498" s="73">
        <v>1.37847986171007E8</v>
      </c>
      <c r="D2498" s="73">
        <v>5.22328618959963E7</v>
      </c>
      <c r="E2498" s="73">
        <v>7091365.87697295</v>
      </c>
      <c r="F2498" s="73"/>
      <c r="G2498" s="73"/>
      <c r="H2498" s="73"/>
      <c r="I2498" s="73"/>
      <c r="J2498" s="73"/>
      <c r="K2498" s="73"/>
      <c r="L2498" s="73"/>
      <c r="M2498" s="73"/>
      <c r="N2498" s="73"/>
      <c r="O2498" s="73"/>
      <c r="P2498" s="73"/>
      <c r="Q2498" s="73"/>
      <c r="R2498" s="73"/>
      <c r="S2498" s="73"/>
      <c r="T2498" s="73"/>
      <c r="U2498" s="73"/>
      <c r="V2498" s="73"/>
      <c r="W2498" s="73"/>
      <c r="X2498" s="73"/>
      <c r="Y2498" s="73"/>
      <c r="Z2498" s="73"/>
      <c r="AA2498" s="73"/>
      <c r="AB2498" s="73"/>
    </row>
    <row r="2499">
      <c r="A2499" s="73"/>
      <c r="B2499" s="73">
        <v>1141207.728</v>
      </c>
      <c r="C2499" s="73">
        <v>1.37998308486832E8</v>
      </c>
      <c r="D2499" s="73">
        <v>5.23068652879973E7</v>
      </c>
      <c r="E2499" s="73">
        <v>7100030.03369725</v>
      </c>
      <c r="F2499" s="73"/>
      <c r="G2499" s="73"/>
      <c r="H2499" s="73"/>
      <c r="I2499" s="73"/>
      <c r="J2499" s="73"/>
      <c r="K2499" s="73"/>
      <c r="L2499" s="73"/>
      <c r="M2499" s="73"/>
      <c r="N2499" s="73"/>
      <c r="O2499" s="73"/>
      <c r="P2499" s="73"/>
      <c r="Q2499" s="73"/>
      <c r="R2499" s="73"/>
      <c r="S2499" s="73"/>
      <c r="T2499" s="73"/>
      <c r="U2499" s="73"/>
      <c r="V2499" s="73"/>
      <c r="W2499" s="73"/>
      <c r="X2499" s="73"/>
      <c r="Y2499" s="73"/>
      <c r="Z2499" s="73"/>
      <c r="AA2499" s="73"/>
      <c r="AB2499" s="73"/>
    </row>
    <row r="2500">
      <c r="A2500" s="73"/>
      <c r="B2500" s="73">
        <v>1142886.973</v>
      </c>
      <c r="C2500" s="73">
        <v>1.38148746162653E8</v>
      </c>
      <c r="D2500" s="73">
        <v>5.23809358839982E7</v>
      </c>
      <c r="E2500" s="73">
        <v>7108701.69098114</v>
      </c>
      <c r="F2500" s="73"/>
      <c r="G2500" s="73"/>
      <c r="H2500" s="73"/>
      <c r="I2500" s="73"/>
      <c r="J2500" s="73"/>
      <c r="K2500" s="73"/>
      <c r="L2500" s="73"/>
      <c r="M2500" s="73"/>
      <c r="N2500" s="73"/>
      <c r="O2500" s="73"/>
      <c r="P2500" s="73"/>
      <c r="Q2500" s="73"/>
      <c r="R2500" s="73"/>
      <c r="S2500" s="73"/>
      <c r="T2500" s="73"/>
      <c r="U2500" s="73"/>
      <c r="V2500" s="73"/>
      <c r="W2500" s="73"/>
      <c r="X2500" s="73"/>
      <c r="Y2500" s="73"/>
      <c r="Z2500" s="73"/>
      <c r="AA2500" s="73"/>
      <c r="AB2500" s="73"/>
    </row>
    <row r="2501">
      <c r="A2501" s="73"/>
      <c r="B2501" s="73">
        <v>1144568.005</v>
      </c>
      <c r="C2501" s="73">
        <v>1.38299282718472E8</v>
      </c>
      <c r="D2501" s="73">
        <v>5.24550737279991E7</v>
      </c>
      <c r="E2501" s="73">
        <v>7117380.48460864</v>
      </c>
      <c r="F2501" s="73"/>
      <c r="G2501" s="73"/>
      <c r="H2501" s="73"/>
      <c r="I2501" s="73"/>
      <c r="J2501" s="73"/>
      <c r="K2501" s="73"/>
      <c r="L2501" s="73"/>
      <c r="M2501" s="73"/>
      <c r="N2501" s="73"/>
      <c r="O2501" s="73"/>
      <c r="P2501" s="73"/>
      <c r="Q2501" s="73"/>
      <c r="R2501" s="73"/>
      <c r="S2501" s="73"/>
      <c r="T2501" s="73"/>
      <c r="U2501" s="73"/>
      <c r="V2501" s="73"/>
      <c r="W2501" s="73"/>
      <c r="X2501" s="73"/>
      <c r="Y2501" s="73"/>
      <c r="Z2501" s="73"/>
      <c r="AA2501" s="73"/>
      <c r="AB2501" s="73"/>
    </row>
    <row r="2502">
      <c r="A2502" s="73"/>
      <c r="B2502" s="73">
        <v>1146250.983</v>
      </c>
      <c r="C2502" s="73">
        <v>1.38449909914288E8</v>
      </c>
      <c r="D2502" s="73">
        <v>5.2529283976E7</v>
      </c>
      <c r="E2502" s="73">
        <v>7126066.54177976</v>
      </c>
      <c r="F2502" s="73"/>
      <c r="G2502" s="73"/>
      <c r="H2502" s="73"/>
      <c r="I2502" s="73"/>
      <c r="J2502" s="73"/>
      <c r="K2502" s="73"/>
      <c r="L2502" s="73"/>
      <c r="M2502" s="73"/>
      <c r="N2502" s="73"/>
      <c r="O2502" s="73"/>
      <c r="P2502" s="73"/>
      <c r="Q2502" s="73"/>
      <c r="R2502" s="73"/>
      <c r="S2502" s="73"/>
      <c r="T2502" s="73"/>
      <c r="U2502" s="73"/>
      <c r="V2502" s="73"/>
      <c r="W2502" s="73"/>
      <c r="X2502" s="73"/>
      <c r="Y2502" s="73"/>
      <c r="Z2502" s="73"/>
      <c r="AA2502" s="73"/>
      <c r="AB2502" s="73"/>
    </row>
    <row r="2503">
      <c r="A2503" s="73"/>
      <c r="B2503" s="73">
        <v>1147936.056</v>
      </c>
      <c r="C2503" s="73">
        <v>1.38600635990101E8</v>
      </c>
      <c r="D2503" s="73">
        <v>5.26035615080009E7</v>
      </c>
      <c r="E2503" s="73">
        <v>7134760.73470424</v>
      </c>
      <c r="F2503" s="73"/>
      <c r="G2503" s="73"/>
      <c r="H2503" s="73"/>
      <c r="I2503" s="73"/>
      <c r="J2503" s="73"/>
      <c r="K2503" s="73"/>
      <c r="L2503" s="73"/>
      <c r="M2503" s="73"/>
      <c r="N2503" s="73"/>
      <c r="O2503" s="73"/>
      <c r="P2503" s="73"/>
      <c r="Q2503" s="73"/>
      <c r="R2503" s="73"/>
      <c r="S2503" s="73"/>
      <c r="T2503" s="73"/>
      <c r="U2503" s="73"/>
      <c r="V2503" s="73"/>
      <c r="W2503" s="73"/>
      <c r="X2503" s="73"/>
      <c r="Y2503" s="73"/>
      <c r="Z2503" s="73"/>
      <c r="AA2503" s="73"/>
      <c r="AB2503" s="73"/>
    </row>
    <row r="2504">
      <c r="A2504" s="73"/>
      <c r="B2504" s="73">
        <v>1149623.3</v>
      </c>
      <c r="C2504" s="73">
        <v>1.3875149390591E8</v>
      </c>
      <c r="D2504" s="73">
        <v>5.26779063239942E7</v>
      </c>
      <c r="E2504" s="73">
        <v>7143462.65787442</v>
      </c>
      <c r="F2504" s="73"/>
      <c r="G2504" s="73"/>
      <c r="H2504" s="73"/>
      <c r="I2504" s="73"/>
      <c r="J2504" s="73"/>
      <c r="K2504" s="73"/>
      <c r="L2504" s="73"/>
      <c r="M2504" s="73"/>
      <c r="N2504" s="73"/>
      <c r="O2504" s="73"/>
      <c r="P2504" s="73"/>
      <c r="Q2504" s="73"/>
      <c r="R2504" s="73"/>
      <c r="S2504" s="73"/>
      <c r="T2504" s="73"/>
      <c r="U2504" s="73"/>
      <c r="V2504" s="73"/>
      <c r="W2504" s="73"/>
      <c r="X2504" s="73"/>
      <c r="Y2504" s="73"/>
      <c r="Z2504" s="73"/>
      <c r="AA2504" s="73"/>
      <c r="AB2504" s="73"/>
    </row>
    <row r="2505">
      <c r="A2505" s="73"/>
      <c r="B2505" s="73">
        <v>1151312.669</v>
      </c>
      <c r="C2505" s="73">
        <v>1.38902434221718E8</v>
      </c>
      <c r="D2505" s="73">
        <v>5.27523183879951E7</v>
      </c>
      <c r="E2505" s="73">
        <v>7152172.67289786</v>
      </c>
      <c r="F2505" s="73"/>
      <c r="G2505" s="73"/>
      <c r="H2505" s="73"/>
      <c r="I2505" s="73"/>
      <c r="J2505" s="73"/>
      <c r="K2505" s="73"/>
      <c r="L2505" s="73"/>
      <c r="M2505" s="73"/>
      <c r="N2505" s="73"/>
      <c r="O2505" s="73"/>
      <c r="P2505" s="73"/>
      <c r="Q2505" s="73"/>
      <c r="R2505" s="73"/>
      <c r="S2505" s="73"/>
      <c r="T2505" s="73"/>
      <c r="U2505" s="73"/>
      <c r="V2505" s="73"/>
      <c r="W2505" s="73"/>
      <c r="X2505" s="73"/>
      <c r="Y2505" s="73"/>
      <c r="Z2505" s="73"/>
      <c r="AA2505" s="73"/>
      <c r="AB2505" s="73"/>
    </row>
    <row r="2506">
      <c r="A2506" s="73"/>
      <c r="B2506" s="73">
        <v>1153004.29</v>
      </c>
      <c r="C2506" s="73">
        <v>1.39053473417522E8</v>
      </c>
      <c r="D2506" s="73">
        <v>5.2826797655996E7</v>
      </c>
      <c r="E2506" s="73">
        <v>7160890.93057008</v>
      </c>
      <c r="F2506" s="73"/>
      <c r="G2506" s="73"/>
      <c r="H2506" s="73"/>
      <c r="I2506" s="73"/>
      <c r="J2506" s="73"/>
      <c r="K2506" s="73"/>
      <c r="L2506" s="73"/>
      <c r="M2506" s="73"/>
      <c r="N2506" s="73"/>
      <c r="O2506" s="73"/>
      <c r="P2506" s="73"/>
      <c r="Q2506" s="73"/>
      <c r="R2506" s="73"/>
      <c r="S2506" s="73"/>
      <c r="T2506" s="73"/>
      <c r="U2506" s="73"/>
      <c r="V2506" s="73"/>
      <c r="W2506" s="73"/>
      <c r="X2506" s="73"/>
      <c r="Y2506" s="73"/>
      <c r="Z2506" s="73"/>
      <c r="AA2506" s="73"/>
      <c r="AB2506" s="73"/>
    </row>
    <row r="2507">
      <c r="A2507" s="73"/>
      <c r="B2507" s="73">
        <v>1154698.134</v>
      </c>
      <c r="C2507" s="73">
        <v>1.39204627973324E8</v>
      </c>
      <c r="D2507" s="73">
        <v>5.29013494439969E7</v>
      </c>
      <c r="E2507" s="73">
        <v>7169617.28009872</v>
      </c>
      <c r="F2507" s="73"/>
      <c r="G2507" s="73"/>
      <c r="H2507" s="73"/>
      <c r="I2507" s="73"/>
      <c r="J2507" s="73"/>
      <c r="K2507" s="73"/>
      <c r="L2507" s="73"/>
      <c r="M2507" s="73"/>
      <c r="N2507" s="73"/>
      <c r="O2507" s="73"/>
      <c r="P2507" s="73"/>
      <c r="Q2507" s="73"/>
      <c r="R2507" s="73"/>
      <c r="S2507" s="73"/>
      <c r="T2507" s="73"/>
      <c r="U2507" s="73"/>
      <c r="V2507" s="73"/>
      <c r="W2507" s="73"/>
      <c r="X2507" s="73"/>
      <c r="Y2507" s="73"/>
      <c r="Z2507" s="73"/>
      <c r="AA2507" s="73"/>
      <c r="AB2507" s="73"/>
    </row>
    <row r="2508">
      <c r="A2508" s="73"/>
      <c r="B2508" s="73">
        <v>1156394.255</v>
      </c>
      <c r="C2508" s="73">
        <v>1.39355897889122E8</v>
      </c>
      <c r="D2508" s="73">
        <v>5.29759632439979E7</v>
      </c>
      <c r="E2508" s="73">
        <v>7178352.09530926</v>
      </c>
      <c r="F2508" s="73"/>
      <c r="G2508" s="73"/>
      <c r="H2508" s="73"/>
      <c r="I2508" s="73"/>
      <c r="J2508" s="73"/>
      <c r="K2508" s="73"/>
      <c r="L2508" s="73"/>
      <c r="M2508" s="73"/>
      <c r="N2508" s="73"/>
      <c r="O2508" s="73"/>
      <c r="P2508" s="73"/>
      <c r="Q2508" s="73"/>
      <c r="R2508" s="73"/>
      <c r="S2508" s="73"/>
      <c r="T2508" s="73"/>
      <c r="U2508" s="73"/>
      <c r="V2508" s="73"/>
      <c r="W2508" s="73"/>
      <c r="X2508" s="73"/>
      <c r="Y2508" s="73"/>
      <c r="Z2508" s="73"/>
      <c r="AA2508" s="73"/>
      <c r="AB2508" s="73"/>
    </row>
    <row r="2509">
      <c r="A2509" s="73"/>
      <c r="B2509" s="73">
        <v>1158092.623</v>
      </c>
      <c r="C2509" s="73">
        <v>1.39507233724918E8</v>
      </c>
      <c r="D2509" s="73">
        <v>5.30506494839988E7</v>
      </c>
      <c r="E2509" s="73">
        <v>7187095.17990835</v>
      </c>
      <c r="F2509" s="73"/>
      <c r="G2509" s="73"/>
      <c r="H2509" s="73"/>
      <c r="I2509" s="73"/>
      <c r="J2509" s="73"/>
      <c r="K2509" s="73"/>
      <c r="L2509" s="73"/>
      <c r="M2509" s="73"/>
      <c r="N2509" s="73"/>
      <c r="O2509" s="73"/>
      <c r="P2509" s="73"/>
      <c r="Q2509" s="73"/>
      <c r="R2509" s="73"/>
      <c r="S2509" s="73"/>
      <c r="T2509" s="73"/>
      <c r="U2509" s="73"/>
      <c r="V2509" s="73"/>
      <c r="W2509" s="73"/>
      <c r="X2509" s="73"/>
      <c r="Y2509" s="73"/>
      <c r="Z2509" s="73"/>
      <c r="AA2509" s="73"/>
      <c r="AB2509" s="73"/>
    </row>
    <row r="2510">
      <c r="A2510" s="73"/>
      <c r="B2510" s="73">
        <v>1159793.313</v>
      </c>
      <c r="C2510" s="73">
        <v>1.39658701400711E8</v>
      </c>
      <c r="D2510" s="73">
        <v>5.31254029719997E7</v>
      </c>
      <c r="E2510" s="73">
        <v>7195846.98601565</v>
      </c>
      <c r="F2510" s="73"/>
      <c r="G2510" s="73"/>
      <c r="H2510" s="73"/>
      <c r="I2510" s="73"/>
      <c r="J2510" s="73"/>
      <c r="K2510" s="73"/>
      <c r="L2510" s="73"/>
      <c r="M2510" s="73"/>
      <c r="N2510" s="73"/>
      <c r="O2510" s="73"/>
      <c r="P2510" s="73"/>
      <c r="Q2510" s="73"/>
      <c r="R2510" s="73"/>
      <c r="S2510" s="73"/>
      <c r="T2510" s="73"/>
      <c r="U2510" s="73"/>
      <c r="V2510" s="73"/>
      <c r="W2510" s="73"/>
      <c r="X2510" s="73"/>
      <c r="Y2510" s="73"/>
      <c r="Z2510" s="73"/>
      <c r="AA2510" s="73"/>
      <c r="AB2510" s="73"/>
    </row>
    <row r="2511">
      <c r="A2511" s="73"/>
      <c r="B2511" s="73">
        <v>1161496.257</v>
      </c>
      <c r="C2511" s="73">
        <v>1.39810267956501E8</v>
      </c>
      <c r="D2511" s="73">
        <v>5.32002287840006E7</v>
      </c>
      <c r="E2511" s="73">
        <v>7204607.41282135</v>
      </c>
      <c r="F2511" s="73"/>
      <c r="G2511" s="73"/>
      <c r="H2511" s="73"/>
      <c r="I2511" s="73"/>
      <c r="J2511" s="73"/>
      <c r="K2511" s="73"/>
      <c r="L2511" s="73"/>
      <c r="M2511" s="73"/>
      <c r="N2511" s="73"/>
      <c r="O2511" s="73"/>
      <c r="P2511" s="73"/>
      <c r="Q2511" s="73"/>
      <c r="R2511" s="73"/>
      <c r="S2511" s="73"/>
      <c r="T2511" s="73"/>
      <c r="U2511" s="73"/>
      <c r="V2511" s="73"/>
      <c r="W2511" s="73"/>
      <c r="X2511" s="73"/>
      <c r="Y2511" s="73"/>
      <c r="Z2511" s="73"/>
      <c r="AA2511" s="73"/>
      <c r="AB2511" s="73"/>
    </row>
    <row r="2512">
      <c r="A2512" s="73"/>
      <c r="B2512" s="73">
        <v>1163201.585</v>
      </c>
      <c r="C2512" s="73">
        <v>1.39961949872288E8</v>
      </c>
      <c r="D2512" s="73">
        <v>5.32751168400015E7</v>
      </c>
      <c r="E2512" s="73">
        <v>7213375.81501409</v>
      </c>
      <c r="F2512" s="73"/>
      <c r="G2512" s="73"/>
      <c r="H2512" s="73"/>
      <c r="I2512" s="73"/>
      <c r="J2512" s="73"/>
      <c r="K2512" s="73"/>
      <c r="L2512" s="73"/>
      <c r="M2512" s="73"/>
      <c r="N2512" s="73"/>
      <c r="O2512" s="73"/>
      <c r="P2512" s="73"/>
      <c r="Q2512" s="73"/>
      <c r="R2512" s="73"/>
      <c r="S2512" s="73"/>
      <c r="T2512" s="73"/>
      <c r="U2512" s="73"/>
      <c r="V2512" s="73"/>
      <c r="W2512" s="73"/>
      <c r="X2512" s="73"/>
      <c r="Y2512" s="73"/>
      <c r="Z2512" s="73"/>
      <c r="AA2512" s="73"/>
      <c r="AB2512" s="73"/>
    </row>
    <row r="2513">
      <c r="A2513" s="73"/>
      <c r="B2513" s="73">
        <v>1164909.187</v>
      </c>
      <c r="C2513" s="73">
        <v>1.40113714188072E8</v>
      </c>
      <c r="D2513" s="73">
        <v>5.33500772199948E7</v>
      </c>
      <c r="E2513" s="73">
        <v>7222153.56266983</v>
      </c>
      <c r="F2513" s="73"/>
      <c r="G2513" s="73"/>
      <c r="H2513" s="73"/>
      <c r="I2513" s="73"/>
      <c r="J2513" s="73"/>
      <c r="K2513" s="73"/>
      <c r="L2513" s="73"/>
      <c r="M2513" s="73"/>
      <c r="N2513" s="73"/>
      <c r="O2513" s="73"/>
      <c r="P2513" s="73"/>
      <c r="Q2513" s="73"/>
      <c r="R2513" s="73"/>
      <c r="S2513" s="73"/>
      <c r="T2513" s="73"/>
      <c r="U2513" s="73"/>
      <c r="V2513" s="73"/>
      <c r="W2513" s="73"/>
      <c r="X2513" s="73"/>
      <c r="Y2513" s="73"/>
      <c r="Z2513" s="73"/>
      <c r="AA2513" s="73"/>
      <c r="AB2513" s="73"/>
    </row>
    <row r="2514">
      <c r="A2514" s="73"/>
      <c r="B2514" s="73">
        <v>1166619.189</v>
      </c>
      <c r="C2514" s="73">
        <v>1.40265610343853E8</v>
      </c>
      <c r="D2514" s="73">
        <v>5.34251100839957E7</v>
      </c>
      <c r="E2514" s="73">
        <v>7230939.67873587</v>
      </c>
      <c r="F2514" s="73"/>
      <c r="G2514" s="73"/>
      <c r="H2514" s="73"/>
      <c r="I2514" s="73"/>
      <c r="J2514" s="73"/>
      <c r="K2514" s="73"/>
      <c r="L2514" s="73"/>
      <c r="M2514" s="73"/>
      <c r="N2514" s="73"/>
      <c r="O2514" s="73"/>
      <c r="P2514" s="73"/>
      <c r="Q2514" s="73"/>
      <c r="R2514" s="73"/>
      <c r="S2514" s="73"/>
      <c r="T2514" s="73"/>
      <c r="U2514" s="73"/>
      <c r="V2514" s="73"/>
      <c r="W2514" s="73"/>
      <c r="X2514" s="73"/>
      <c r="Y2514" s="73"/>
      <c r="Z2514" s="73"/>
      <c r="AA2514" s="73"/>
      <c r="AB2514" s="73"/>
    </row>
    <row r="2515">
      <c r="A2515" s="73"/>
      <c r="B2515" s="73">
        <v>1168331.466</v>
      </c>
      <c r="C2515" s="73">
        <v>1.40417588899632E8</v>
      </c>
      <c r="D2515" s="73">
        <v>5.35002049959966E7</v>
      </c>
      <c r="E2515" s="73">
        <v>7239735.12518268</v>
      </c>
      <c r="F2515" s="73"/>
      <c r="G2515" s="73"/>
      <c r="H2515" s="73"/>
      <c r="I2515" s="73"/>
      <c r="J2515" s="73"/>
      <c r="K2515" s="73"/>
      <c r="L2515" s="73"/>
      <c r="M2515" s="73"/>
      <c r="N2515" s="73"/>
      <c r="O2515" s="73"/>
      <c r="P2515" s="73"/>
      <c r="Q2515" s="73"/>
      <c r="R2515" s="73"/>
      <c r="S2515" s="73"/>
      <c r="T2515" s="73"/>
      <c r="U2515" s="73"/>
      <c r="V2515" s="73"/>
      <c r="W2515" s="73"/>
      <c r="X2515" s="73"/>
      <c r="Y2515" s="73"/>
      <c r="Z2515" s="73"/>
      <c r="AA2515" s="73"/>
      <c r="AB2515" s="73"/>
    </row>
    <row r="2516">
      <c r="A2516" s="73"/>
      <c r="B2516" s="73">
        <v>1170046.179</v>
      </c>
      <c r="C2516" s="73">
        <v>1.40569666335407E8</v>
      </c>
      <c r="D2516" s="73">
        <v>5.35753671919976E7</v>
      </c>
      <c r="E2516" s="73">
        <v>7248538.78254725</v>
      </c>
      <c r="F2516" s="73"/>
      <c r="G2516" s="73"/>
      <c r="H2516" s="73"/>
      <c r="I2516" s="73"/>
      <c r="J2516" s="73"/>
      <c r="K2516" s="73"/>
      <c r="L2516" s="73"/>
      <c r="M2516" s="73"/>
      <c r="N2516" s="73"/>
      <c r="O2516" s="73"/>
      <c r="P2516" s="73"/>
      <c r="Q2516" s="73"/>
      <c r="R2516" s="73"/>
      <c r="S2516" s="73"/>
      <c r="T2516" s="73"/>
      <c r="U2516" s="73"/>
      <c r="V2516" s="73"/>
      <c r="W2516" s="73"/>
      <c r="X2516" s="73"/>
      <c r="Y2516" s="73"/>
      <c r="Z2516" s="73"/>
      <c r="AA2516" s="73"/>
      <c r="AB2516" s="73"/>
    </row>
    <row r="2517">
      <c r="A2517" s="73"/>
      <c r="B2517" s="73">
        <v>1171763.233</v>
      </c>
      <c r="C2517" s="73">
        <v>1.40721875611179E8</v>
      </c>
      <c r="D2517" s="73">
        <v>5.36506017119985E7</v>
      </c>
      <c r="E2517" s="73">
        <v>7257351.53746494</v>
      </c>
      <c r="F2517" s="73"/>
      <c r="G2517" s="73"/>
      <c r="H2517" s="73"/>
      <c r="I2517" s="73"/>
      <c r="J2517" s="73"/>
      <c r="K2517" s="73"/>
      <c r="L2517" s="73"/>
      <c r="M2517" s="73"/>
      <c r="N2517" s="73"/>
      <c r="O2517" s="73"/>
      <c r="P2517" s="73"/>
      <c r="Q2517" s="73"/>
      <c r="R2517" s="73"/>
      <c r="S2517" s="73"/>
      <c r="T2517" s="73"/>
      <c r="U2517" s="73"/>
      <c r="V2517" s="73"/>
      <c r="W2517" s="73"/>
      <c r="X2517" s="73"/>
      <c r="Y2517" s="73"/>
      <c r="Z2517" s="73"/>
      <c r="AA2517" s="73"/>
      <c r="AB2517" s="73"/>
    </row>
    <row r="2518">
      <c r="A2518" s="73"/>
      <c r="B2518" s="73">
        <v>1173482.691</v>
      </c>
      <c r="C2518" s="73">
        <v>1.40874167286949E8</v>
      </c>
      <c r="D2518" s="73">
        <v>5.37259035959994E7</v>
      </c>
      <c r="E2518" s="73">
        <v>7266173.11948195</v>
      </c>
      <c r="F2518" s="73"/>
      <c r="G2518" s="73"/>
      <c r="H2518" s="73"/>
      <c r="I2518" s="73"/>
      <c r="J2518" s="73"/>
      <c r="K2518" s="73"/>
      <c r="L2518" s="73"/>
      <c r="M2518" s="73"/>
      <c r="N2518" s="73"/>
      <c r="O2518" s="73"/>
      <c r="P2518" s="73"/>
      <c r="Q2518" s="73"/>
      <c r="R2518" s="73"/>
      <c r="S2518" s="73"/>
      <c r="T2518" s="73"/>
      <c r="U2518" s="73"/>
      <c r="V2518" s="73"/>
      <c r="W2518" s="73"/>
      <c r="X2518" s="73"/>
      <c r="Y2518" s="73"/>
      <c r="Z2518" s="73"/>
      <c r="AA2518" s="73"/>
      <c r="AB2518" s="73"/>
    </row>
    <row r="2519">
      <c r="A2519" s="73"/>
      <c r="B2519" s="73">
        <v>1175204.494</v>
      </c>
      <c r="C2519" s="73">
        <v>1.41026557842716E8</v>
      </c>
      <c r="D2519" s="73">
        <v>5.38012777680003E7</v>
      </c>
      <c r="E2519" s="73">
        <v>7275003.82130924</v>
      </c>
      <c r="F2519" s="73"/>
      <c r="G2519" s="73"/>
      <c r="H2519" s="73"/>
      <c r="I2519" s="73"/>
      <c r="J2519" s="73"/>
      <c r="K2519" s="73"/>
      <c r="L2519" s="73"/>
      <c r="M2519" s="73"/>
      <c r="N2519" s="73"/>
      <c r="O2519" s="73"/>
      <c r="P2519" s="73"/>
      <c r="Q2519" s="73"/>
      <c r="R2519" s="73"/>
      <c r="S2519" s="73"/>
      <c r="T2519" s="73"/>
      <c r="U2519" s="73"/>
      <c r="V2519" s="73"/>
      <c r="W2519" s="73"/>
      <c r="X2519" s="73"/>
      <c r="Y2519" s="73"/>
      <c r="Z2519" s="73"/>
      <c r="AA2519" s="73"/>
      <c r="AB2519" s="73"/>
    </row>
    <row r="2520">
      <c r="A2520" s="73"/>
      <c r="B2520" s="73">
        <v>1176928.742</v>
      </c>
      <c r="C2520" s="73">
        <v>1.4117908023848E8</v>
      </c>
      <c r="D2520" s="73">
        <v>5.38767142200012E7</v>
      </c>
      <c r="E2520" s="73">
        <v>7283843.66633115</v>
      </c>
      <c r="F2520" s="73"/>
      <c r="G2520" s="73"/>
      <c r="H2520" s="73"/>
      <c r="I2520" s="73"/>
      <c r="J2520" s="73"/>
      <c r="K2520" s="73"/>
      <c r="L2520" s="73"/>
      <c r="M2520" s="73"/>
      <c r="N2520" s="73"/>
      <c r="O2520" s="73"/>
      <c r="P2520" s="73"/>
      <c r="Q2520" s="73"/>
      <c r="R2520" s="73"/>
      <c r="S2520" s="73"/>
      <c r="T2520" s="73"/>
      <c r="U2520" s="73"/>
      <c r="V2520" s="73"/>
      <c r="W2520" s="73"/>
      <c r="X2520" s="73"/>
      <c r="Y2520" s="73"/>
      <c r="Z2520" s="73"/>
      <c r="AA2520" s="73"/>
      <c r="AB2520" s="73"/>
    </row>
    <row r="2521">
      <c r="A2521" s="73"/>
      <c r="B2521" s="73">
        <v>1178655.398</v>
      </c>
      <c r="C2521" s="73">
        <v>1.41331668554241E8</v>
      </c>
      <c r="D2521" s="73">
        <v>5.39522229599945E7</v>
      </c>
      <c r="E2521" s="73">
        <v>7292691.93375257</v>
      </c>
      <c r="F2521" s="73"/>
      <c r="G2521" s="73"/>
      <c r="H2521" s="73"/>
      <c r="I2521" s="73"/>
      <c r="J2521" s="73"/>
      <c r="K2521" s="73"/>
      <c r="L2521" s="73"/>
      <c r="M2521" s="73"/>
      <c r="N2521" s="73"/>
      <c r="O2521" s="73"/>
      <c r="P2521" s="73"/>
      <c r="Q2521" s="73"/>
      <c r="R2521" s="73"/>
      <c r="S2521" s="73"/>
      <c r="T2521" s="73"/>
      <c r="U2521" s="73"/>
      <c r="V2521" s="73"/>
      <c r="W2521" s="73"/>
      <c r="X2521" s="73"/>
      <c r="Y2521" s="73"/>
      <c r="Z2521" s="73"/>
      <c r="AA2521" s="73"/>
      <c r="AB2521" s="73"/>
    </row>
    <row r="2522">
      <c r="A2522" s="73"/>
      <c r="B2522" s="73">
        <v>1180384.451</v>
      </c>
      <c r="C2522" s="73">
        <v>1.41484388709999E8</v>
      </c>
      <c r="D2522" s="73">
        <v>5.40278040679954E7</v>
      </c>
      <c r="E2522" s="73">
        <v>7301549.8884467</v>
      </c>
      <c r="F2522" s="73"/>
      <c r="G2522" s="73"/>
      <c r="H2522" s="73"/>
      <c r="I2522" s="73"/>
      <c r="J2522" s="73"/>
      <c r="K2522" s="73"/>
      <c r="L2522" s="73"/>
      <c r="M2522" s="73"/>
      <c r="N2522" s="73"/>
      <c r="O2522" s="73"/>
      <c r="P2522" s="73"/>
      <c r="Q2522" s="73"/>
      <c r="R2522" s="73"/>
      <c r="S2522" s="73"/>
      <c r="T2522" s="73"/>
      <c r="U2522" s="73"/>
      <c r="V2522" s="73"/>
      <c r="W2522" s="73"/>
      <c r="X2522" s="73"/>
      <c r="Y2522" s="73"/>
      <c r="Z2522" s="73"/>
      <c r="AA2522" s="73"/>
      <c r="AB2522" s="73"/>
    </row>
    <row r="2523">
      <c r="A2523" s="73"/>
      <c r="B2523" s="73">
        <v>1182115.949</v>
      </c>
      <c r="C2523" s="73">
        <v>1.41637207745754E8</v>
      </c>
      <c r="D2523" s="73">
        <v>5.41034473759963E7</v>
      </c>
      <c r="E2523" s="73">
        <v>7310416.92096792</v>
      </c>
      <c r="F2523" s="73"/>
      <c r="G2523" s="73"/>
      <c r="H2523" s="73"/>
      <c r="I2523" s="73"/>
      <c r="J2523" s="73"/>
      <c r="K2523" s="73"/>
      <c r="L2523" s="73"/>
      <c r="M2523" s="73"/>
      <c r="N2523" s="73"/>
      <c r="O2523" s="73"/>
      <c r="P2523" s="73"/>
      <c r="Q2523" s="73"/>
      <c r="R2523" s="73"/>
      <c r="S2523" s="73"/>
      <c r="T2523" s="73"/>
      <c r="U2523" s="73"/>
      <c r="V2523" s="73"/>
      <c r="W2523" s="73"/>
      <c r="X2523" s="73"/>
      <c r="Y2523" s="73"/>
      <c r="Z2523" s="73"/>
      <c r="AA2523" s="73"/>
      <c r="AB2523" s="73"/>
    </row>
    <row r="2524">
      <c r="A2524" s="73"/>
      <c r="B2524" s="73">
        <v>1183849.852</v>
      </c>
      <c r="C2524" s="73">
        <v>1.41790125661507E8</v>
      </c>
      <c r="D2524" s="73">
        <v>5.41791631239973E7</v>
      </c>
      <c r="E2524" s="73">
        <v>7319292.68886037</v>
      </c>
      <c r="F2524" s="73"/>
      <c r="G2524" s="73"/>
      <c r="H2524" s="73"/>
      <c r="I2524" s="73"/>
      <c r="J2524" s="73"/>
      <c r="K2524" s="73"/>
      <c r="L2524" s="73"/>
      <c r="M2524" s="73"/>
      <c r="N2524" s="73"/>
      <c r="O2524" s="73"/>
      <c r="P2524" s="73"/>
      <c r="Q2524" s="73"/>
      <c r="R2524" s="73"/>
      <c r="S2524" s="73"/>
      <c r="T2524" s="73"/>
      <c r="U2524" s="73"/>
      <c r="V2524" s="73"/>
      <c r="W2524" s="73"/>
      <c r="X2524" s="73"/>
      <c r="Y2524" s="73"/>
      <c r="Z2524" s="73"/>
      <c r="AA2524" s="73"/>
      <c r="AB2524" s="73"/>
    </row>
    <row r="2525">
      <c r="A2525" s="73"/>
      <c r="B2525" s="73">
        <v>1185586.198</v>
      </c>
      <c r="C2525" s="73">
        <v>1.41943142457256E8</v>
      </c>
      <c r="D2525" s="73">
        <v>5.42549459679982E7</v>
      </c>
      <c r="E2525" s="73">
        <v>7328178.06175391</v>
      </c>
      <c r="F2525" s="73"/>
      <c r="G2525" s="73"/>
      <c r="H2525" s="73"/>
      <c r="I2525" s="73"/>
      <c r="J2525" s="73"/>
      <c r="K2525" s="73"/>
      <c r="L2525" s="73"/>
      <c r="M2525" s="73"/>
      <c r="N2525" s="73"/>
      <c r="O2525" s="73"/>
      <c r="P2525" s="73"/>
      <c r="Q2525" s="73"/>
      <c r="R2525" s="73"/>
      <c r="S2525" s="73"/>
      <c r="T2525" s="73"/>
      <c r="U2525" s="73"/>
      <c r="V2525" s="73"/>
      <c r="W2525" s="73"/>
      <c r="X2525" s="73"/>
      <c r="Y2525" s="73"/>
      <c r="Z2525" s="73"/>
      <c r="AA2525" s="73"/>
      <c r="AB2525" s="73"/>
    </row>
    <row r="2526">
      <c r="A2526" s="73"/>
      <c r="B2526" s="73">
        <v>1187325.025</v>
      </c>
      <c r="C2526" s="73">
        <v>1.42096274613003E8</v>
      </c>
      <c r="D2526" s="73">
        <v>5.43307962119991E7</v>
      </c>
      <c r="E2526" s="73">
        <v>7337072.33874281</v>
      </c>
      <c r="F2526" s="73"/>
      <c r="G2526" s="73"/>
      <c r="H2526" s="73"/>
      <c r="I2526" s="73"/>
      <c r="J2526" s="73"/>
      <c r="K2526" s="73"/>
      <c r="L2526" s="73"/>
      <c r="M2526" s="73"/>
      <c r="N2526" s="73"/>
      <c r="O2526" s="73"/>
      <c r="P2526" s="73"/>
      <c r="Q2526" s="73"/>
      <c r="R2526" s="73"/>
      <c r="S2526" s="73"/>
      <c r="T2526" s="73"/>
      <c r="U2526" s="73"/>
      <c r="V2526" s="73"/>
      <c r="W2526" s="73"/>
      <c r="X2526" s="73"/>
      <c r="Y2526" s="73"/>
      <c r="Z2526" s="73"/>
      <c r="AA2526" s="73"/>
      <c r="AB2526" s="73"/>
    </row>
    <row r="2527">
      <c r="A2527" s="73"/>
      <c r="B2527" s="73">
        <v>1189066.308</v>
      </c>
      <c r="C2527" s="73">
        <v>1.42249522128746E8</v>
      </c>
      <c r="D2527" s="73">
        <v>5.4406718816E7</v>
      </c>
      <c r="E2527" s="73">
        <v>7345976.25675624</v>
      </c>
      <c r="F2527" s="73"/>
      <c r="G2527" s="73"/>
      <c r="H2527" s="73"/>
      <c r="I2527" s="73"/>
      <c r="J2527" s="73"/>
      <c r="K2527" s="73"/>
      <c r="L2527" s="73"/>
      <c r="M2527" s="73"/>
      <c r="N2527" s="73"/>
      <c r="O2527" s="73"/>
      <c r="P2527" s="73"/>
      <c r="Q2527" s="73"/>
      <c r="R2527" s="73"/>
      <c r="S2527" s="73"/>
      <c r="T2527" s="73"/>
      <c r="U2527" s="73"/>
      <c r="V2527" s="73"/>
      <c r="W2527" s="73"/>
      <c r="X2527" s="73"/>
      <c r="Y2527" s="73"/>
      <c r="Z2527" s="73"/>
      <c r="AA2527" s="73"/>
      <c r="AB2527" s="73"/>
    </row>
    <row r="2528">
      <c r="A2528" s="73"/>
      <c r="B2528" s="73">
        <v>1190809.988</v>
      </c>
      <c r="C2528" s="73">
        <v>1.42402852044487E8</v>
      </c>
      <c r="D2528" s="73">
        <v>5.44827086680009E7</v>
      </c>
      <c r="E2528" s="73">
        <v>7354889.35713056</v>
      </c>
      <c r="F2528" s="73"/>
      <c r="G2528" s="73"/>
      <c r="H2528" s="73"/>
      <c r="I2528" s="73"/>
      <c r="J2528" s="73"/>
      <c r="K2528" s="73"/>
      <c r="L2528" s="73"/>
      <c r="M2528" s="73"/>
      <c r="N2528" s="73"/>
      <c r="O2528" s="73"/>
      <c r="P2528" s="73"/>
      <c r="Q2528" s="73"/>
      <c r="R2528" s="73"/>
      <c r="S2528" s="73"/>
      <c r="T2528" s="73"/>
      <c r="U2528" s="73"/>
      <c r="V2528" s="73"/>
      <c r="W2528" s="73"/>
      <c r="X2528" s="73"/>
      <c r="Y2528" s="73"/>
      <c r="Z2528" s="73"/>
      <c r="AA2528" s="73"/>
      <c r="AB2528" s="73"/>
    </row>
    <row r="2529">
      <c r="A2529" s="73"/>
      <c r="B2529" s="73">
        <v>1192556.192</v>
      </c>
      <c r="C2529" s="73">
        <v>1.42556297320225E8</v>
      </c>
      <c r="D2529" s="73">
        <v>5.45587657679942E7</v>
      </c>
      <c r="E2529" s="73">
        <v>7363811.51964127</v>
      </c>
      <c r="F2529" s="73"/>
      <c r="G2529" s="73"/>
      <c r="H2529" s="73"/>
      <c r="I2529" s="73"/>
      <c r="J2529" s="73"/>
      <c r="K2529" s="73"/>
      <c r="L2529" s="73"/>
      <c r="M2529" s="73"/>
      <c r="N2529" s="73"/>
      <c r="O2529" s="73"/>
      <c r="P2529" s="73"/>
      <c r="Q2529" s="73"/>
      <c r="R2529" s="73"/>
      <c r="S2529" s="73"/>
      <c r="T2529" s="73"/>
      <c r="U2529" s="73"/>
      <c r="V2529" s="73"/>
      <c r="W2529" s="73"/>
      <c r="X2529" s="73"/>
      <c r="Y2529" s="73"/>
      <c r="Z2529" s="73"/>
      <c r="AA2529" s="73"/>
      <c r="AB2529" s="73"/>
    </row>
    <row r="2530">
      <c r="A2530" s="73"/>
      <c r="B2530" s="73">
        <v>1194304.846</v>
      </c>
      <c r="C2530" s="73">
        <v>1.42709857955959E8</v>
      </c>
      <c r="D2530" s="73">
        <v>5.46348953079951E7</v>
      </c>
      <c r="E2530" s="73">
        <v>7372743.44434815</v>
      </c>
      <c r="F2530" s="73"/>
      <c r="G2530" s="73"/>
      <c r="H2530" s="73"/>
      <c r="I2530" s="73"/>
      <c r="J2530" s="73"/>
      <c r="K2530" s="73"/>
      <c r="L2530" s="73"/>
      <c r="M2530" s="73"/>
      <c r="N2530" s="73"/>
      <c r="O2530" s="73"/>
      <c r="P2530" s="73"/>
      <c r="Q2530" s="73"/>
      <c r="R2530" s="73"/>
      <c r="S2530" s="73"/>
      <c r="T2530" s="73"/>
      <c r="U2530" s="73"/>
      <c r="V2530" s="73"/>
      <c r="W2530" s="73"/>
      <c r="X2530" s="73"/>
      <c r="Y2530" s="73"/>
      <c r="Z2530" s="73"/>
      <c r="AA2530" s="73"/>
      <c r="AB2530" s="73"/>
    </row>
    <row r="2531">
      <c r="A2531" s="73"/>
      <c r="B2531" s="73">
        <v>1196055.973</v>
      </c>
      <c r="C2531" s="73">
        <v>1.42863500991692E8</v>
      </c>
      <c r="D2531" s="73">
        <v>5.4711092095996E7</v>
      </c>
      <c r="E2531" s="73">
        <v>7381684.58179776</v>
      </c>
      <c r="F2531" s="73"/>
      <c r="G2531" s="73"/>
      <c r="H2531" s="73"/>
      <c r="I2531" s="73"/>
      <c r="J2531" s="73"/>
      <c r="K2531" s="73"/>
      <c r="L2531" s="73"/>
      <c r="M2531" s="73"/>
      <c r="N2531" s="73"/>
      <c r="O2531" s="73"/>
      <c r="P2531" s="73"/>
      <c r="Q2531" s="73"/>
      <c r="R2531" s="73"/>
      <c r="S2531" s="73"/>
      <c r="T2531" s="73"/>
      <c r="U2531" s="73"/>
      <c r="V2531" s="73"/>
      <c r="W2531" s="73"/>
      <c r="X2531" s="73"/>
      <c r="Y2531" s="73"/>
      <c r="Z2531" s="73"/>
      <c r="AA2531" s="73"/>
      <c r="AB2531" s="73"/>
    </row>
    <row r="2532">
      <c r="A2532" s="73"/>
      <c r="B2532" s="73">
        <v>1197809.59</v>
      </c>
      <c r="C2532" s="73">
        <v>1.43017242907421E8</v>
      </c>
      <c r="D2532" s="73">
        <v>5.47873562039969E7</v>
      </c>
      <c r="E2532" s="73">
        <v>7390635.18477006</v>
      </c>
      <c r="F2532" s="73"/>
      <c r="G2532" s="73"/>
      <c r="H2532" s="73"/>
      <c r="I2532" s="73"/>
      <c r="J2532" s="73"/>
      <c r="K2532" s="73"/>
      <c r="L2532" s="73"/>
      <c r="M2532" s="73"/>
      <c r="N2532" s="73"/>
      <c r="O2532" s="73"/>
      <c r="P2532" s="73"/>
      <c r="Q2532" s="73"/>
      <c r="R2532" s="73"/>
      <c r="S2532" s="73"/>
      <c r="T2532" s="73"/>
      <c r="U2532" s="73"/>
      <c r="V2532" s="73"/>
      <c r="W2532" s="73"/>
      <c r="X2532" s="73"/>
      <c r="Y2532" s="73"/>
      <c r="Z2532" s="73"/>
      <c r="AA2532" s="73"/>
      <c r="AB2532" s="73"/>
    </row>
    <row r="2533">
      <c r="A2533" s="73"/>
      <c r="B2533" s="73">
        <v>1199565.697</v>
      </c>
      <c r="C2533" s="73">
        <v>1.43171133143147E8</v>
      </c>
      <c r="D2533" s="73">
        <v>5.48636925279979E7</v>
      </c>
      <c r="E2533" s="73">
        <v>7399595.19792042</v>
      </c>
      <c r="F2533" s="73"/>
      <c r="G2533" s="73"/>
      <c r="H2533" s="73"/>
      <c r="I2533" s="73"/>
      <c r="J2533" s="73"/>
      <c r="K2533" s="73"/>
      <c r="L2533" s="73"/>
      <c r="M2533" s="73"/>
      <c r="N2533" s="73"/>
      <c r="O2533" s="73"/>
      <c r="P2533" s="73"/>
      <c r="Q2533" s="73"/>
      <c r="R2533" s="73"/>
      <c r="S2533" s="73"/>
      <c r="T2533" s="73"/>
      <c r="U2533" s="73"/>
      <c r="V2533" s="73"/>
      <c r="W2533" s="73"/>
      <c r="X2533" s="73"/>
      <c r="Y2533" s="73"/>
      <c r="Z2533" s="73"/>
      <c r="AA2533" s="73"/>
      <c r="AB2533" s="73"/>
    </row>
    <row r="2534">
      <c r="A2534" s="73"/>
      <c r="B2534" s="73">
        <v>1201324.309</v>
      </c>
      <c r="C2534" s="73">
        <v>1.4332508929887E8</v>
      </c>
      <c r="D2534" s="73">
        <v>5.49400963239988E7</v>
      </c>
      <c r="E2534" s="73">
        <v>7408564.87661297</v>
      </c>
      <c r="F2534" s="73"/>
      <c r="G2534" s="73"/>
      <c r="H2534" s="73"/>
      <c r="I2534" s="73"/>
      <c r="J2534" s="73"/>
      <c r="K2534" s="73"/>
      <c r="L2534" s="73"/>
      <c r="M2534" s="73"/>
      <c r="N2534" s="73"/>
      <c r="O2534" s="73"/>
      <c r="P2534" s="73"/>
      <c r="Q2534" s="73"/>
      <c r="R2534" s="73"/>
      <c r="S2534" s="73"/>
      <c r="T2534" s="73"/>
      <c r="U2534" s="73"/>
      <c r="V2534" s="73"/>
      <c r="W2534" s="73"/>
      <c r="X2534" s="73"/>
      <c r="Y2534" s="73"/>
      <c r="Z2534" s="73"/>
      <c r="AA2534" s="73"/>
      <c r="AB2534" s="73"/>
    </row>
    <row r="2535">
      <c r="A2535" s="73"/>
      <c r="B2535" s="73">
        <v>1203085.404</v>
      </c>
      <c r="C2535" s="73">
        <v>1.4347916081459E8</v>
      </c>
      <c r="D2535" s="73">
        <v>5.50165672879997E7</v>
      </c>
      <c r="E2535" s="73">
        <v>7417544.2387611</v>
      </c>
      <c r="F2535" s="73"/>
      <c r="G2535" s="73"/>
      <c r="H2535" s="73"/>
      <c r="I2535" s="73"/>
      <c r="J2535" s="73"/>
      <c r="K2535" s="73"/>
      <c r="L2535" s="73"/>
      <c r="M2535" s="73"/>
      <c r="N2535" s="73"/>
      <c r="O2535" s="73"/>
      <c r="P2535" s="73"/>
      <c r="Q2535" s="73"/>
      <c r="R2535" s="73"/>
      <c r="S2535" s="73"/>
      <c r="T2535" s="73"/>
      <c r="U2535" s="73"/>
      <c r="V2535" s="73"/>
      <c r="W2535" s="73"/>
      <c r="X2535" s="73"/>
      <c r="Y2535" s="73"/>
      <c r="Z2535" s="73"/>
      <c r="AA2535" s="73"/>
      <c r="AB2535" s="73"/>
    </row>
    <row r="2536">
      <c r="A2536" s="73"/>
      <c r="B2536" s="73">
        <v>1204848.999</v>
      </c>
      <c r="C2536" s="73">
        <v>1.43633347690308E8</v>
      </c>
      <c r="D2536" s="73">
        <v>5.50931106200006E7</v>
      </c>
      <c r="E2536" s="73">
        <v>7426532.74283028</v>
      </c>
      <c r="F2536" s="73"/>
      <c r="G2536" s="73"/>
      <c r="H2536" s="73"/>
      <c r="I2536" s="73"/>
      <c r="J2536" s="73"/>
      <c r="K2536" s="73"/>
      <c r="L2536" s="73"/>
      <c r="M2536" s="73"/>
      <c r="N2536" s="73"/>
      <c r="O2536" s="73"/>
      <c r="P2536" s="73"/>
      <c r="Q2536" s="73"/>
      <c r="R2536" s="73"/>
      <c r="S2536" s="73"/>
      <c r="T2536" s="73"/>
      <c r="U2536" s="73"/>
      <c r="V2536" s="73"/>
      <c r="W2536" s="73"/>
      <c r="X2536" s="73"/>
      <c r="Y2536" s="73"/>
      <c r="Z2536" s="73"/>
      <c r="AA2536" s="73"/>
      <c r="AB2536" s="73"/>
    </row>
    <row r="2537">
      <c r="A2537" s="73"/>
      <c r="B2537" s="73">
        <v>1206615.109</v>
      </c>
      <c r="C2537" s="73">
        <v>1.43787616966022E8</v>
      </c>
      <c r="D2537" s="73">
        <v>5.51697263200015E7</v>
      </c>
      <c r="E2537" s="73">
        <v>7435530.98571519</v>
      </c>
      <c r="F2537" s="73"/>
      <c r="G2537" s="73"/>
      <c r="H2537" s="73"/>
      <c r="I2537" s="73"/>
      <c r="J2537" s="73"/>
      <c r="K2537" s="73"/>
      <c r="L2537" s="73"/>
      <c r="M2537" s="73"/>
      <c r="N2537" s="73"/>
      <c r="O2537" s="73"/>
      <c r="P2537" s="73"/>
      <c r="Q2537" s="73"/>
      <c r="R2537" s="73"/>
      <c r="S2537" s="73"/>
      <c r="T2537" s="73"/>
      <c r="U2537" s="73"/>
      <c r="V2537" s="73"/>
      <c r="W2537" s="73"/>
      <c r="X2537" s="73"/>
      <c r="Y2537" s="73"/>
      <c r="Z2537" s="73"/>
      <c r="AA2537" s="73"/>
      <c r="AB2537" s="73"/>
    </row>
    <row r="2538">
      <c r="A2538" s="73"/>
      <c r="B2538" s="73">
        <v>1208383.734</v>
      </c>
      <c r="C2538" s="73">
        <v>1.43942001601734E8</v>
      </c>
      <c r="D2538" s="73">
        <v>5.52464042199948E7</v>
      </c>
      <c r="E2538" s="73">
        <v>7444538.87402776</v>
      </c>
      <c r="F2538" s="73"/>
      <c r="G2538" s="73"/>
      <c r="H2538" s="73"/>
      <c r="I2538" s="73"/>
      <c r="J2538" s="73"/>
      <c r="K2538" s="73"/>
      <c r="L2538" s="73"/>
      <c r="M2538" s="73"/>
      <c r="N2538" s="73"/>
      <c r="O2538" s="73"/>
      <c r="P2538" s="73"/>
      <c r="Q2538" s="73"/>
      <c r="R2538" s="73"/>
      <c r="S2538" s="73"/>
      <c r="T2538" s="73"/>
      <c r="U2538" s="73"/>
      <c r="V2538" s="73"/>
      <c r="W2538" s="73"/>
      <c r="X2538" s="73"/>
      <c r="Y2538" s="73"/>
      <c r="Z2538" s="73"/>
      <c r="AA2538" s="73"/>
      <c r="AB2538" s="73"/>
    </row>
    <row r="2539">
      <c r="A2539" s="73"/>
      <c r="B2539" s="73">
        <v>1210154.919</v>
      </c>
      <c r="C2539" s="73">
        <v>1.44096485117443E8</v>
      </c>
      <c r="D2539" s="73">
        <v>5.53231544799957E7</v>
      </c>
      <c r="E2539" s="73">
        <v>7453556.46997715</v>
      </c>
      <c r="F2539" s="73"/>
      <c r="G2539" s="73"/>
      <c r="H2539" s="73"/>
      <c r="I2539" s="73"/>
      <c r="J2539" s="73"/>
      <c r="K2539" s="73"/>
      <c r="L2539" s="73"/>
      <c r="M2539" s="73"/>
      <c r="N2539" s="73"/>
      <c r="O2539" s="73"/>
      <c r="P2539" s="73"/>
      <c r="Q2539" s="73"/>
      <c r="R2539" s="73"/>
      <c r="S2539" s="73"/>
      <c r="T2539" s="73"/>
      <c r="U2539" s="73"/>
      <c r="V2539" s="73"/>
      <c r="W2539" s="73"/>
      <c r="X2539" s="73"/>
      <c r="Y2539" s="73"/>
      <c r="Z2539" s="73"/>
      <c r="AA2539" s="73"/>
      <c r="AB2539" s="73"/>
    </row>
    <row r="2540">
      <c r="A2540" s="73"/>
      <c r="B2540" s="73">
        <v>1211928.628</v>
      </c>
      <c r="C2540" s="73">
        <v>1.44251100473148E8</v>
      </c>
      <c r="D2540" s="73">
        <v>5.53999720679966E7</v>
      </c>
      <c r="E2540" s="73">
        <v>7462583.42116223</v>
      </c>
      <c r="F2540" s="73"/>
      <c r="G2540" s="73"/>
      <c r="H2540" s="73"/>
      <c r="I2540" s="73"/>
      <c r="J2540" s="73"/>
      <c r="K2540" s="73"/>
      <c r="L2540" s="73"/>
      <c r="M2540" s="73"/>
      <c r="N2540" s="73"/>
      <c r="O2540" s="73"/>
      <c r="P2540" s="73"/>
      <c r="Q2540" s="73"/>
      <c r="R2540" s="73"/>
      <c r="S2540" s="73"/>
      <c r="T2540" s="73"/>
      <c r="U2540" s="73"/>
      <c r="V2540" s="73"/>
      <c r="W2540" s="73"/>
      <c r="X2540" s="73"/>
      <c r="Y2540" s="73"/>
      <c r="Z2540" s="73"/>
      <c r="AA2540" s="73"/>
      <c r="AB2540" s="73"/>
    </row>
    <row r="2541">
      <c r="A2541" s="73"/>
      <c r="B2541" s="73">
        <v>1213704.843</v>
      </c>
      <c r="C2541" s="73">
        <v>1.44405781748852E8</v>
      </c>
      <c r="D2541" s="73">
        <v>5.54768619439976E7</v>
      </c>
      <c r="E2541" s="73">
        <v>7471620.22726616</v>
      </c>
      <c r="F2541" s="73"/>
      <c r="G2541" s="73"/>
      <c r="H2541" s="73"/>
      <c r="I2541" s="73"/>
      <c r="J2541" s="73"/>
      <c r="K2541" s="73"/>
      <c r="L2541" s="73"/>
      <c r="M2541" s="73"/>
      <c r="N2541" s="73"/>
      <c r="O2541" s="73"/>
      <c r="P2541" s="73"/>
      <c r="Q2541" s="73"/>
      <c r="R2541" s="73"/>
      <c r="S2541" s="73"/>
      <c r="T2541" s="73"/>
      <c r="U2541" s="73"/>
      <c r="V2541" s="73"/>
      <c r="W2541" s="73"/>
      <c r="X2541" s="73"/>
      <c r="Y2541" s="73"/>
      <c r="Z2541" s="73"/>
      <c r="AA2541" s="73"/>
      <c r="AB2541" s="73"/>
    </row>
    <row r="2542">
      <c r="A2542" s="73"/>
      <c r="B2542" s="73">
        <v>1215483.574</v>
      </c>
      <c r="C2542" s="73">
        <v>1.44560578384552E8</v>
      </c>
      <c r="D2542" s="73">
        <v>5.55538191399985E7</v>
      </c>
      <c r="E2542" s="73">
        <v>7480667.01979518</v>
      </c>
      <c r="F2542" s="73"/>
      <c r="G2542" s="73"/>
      <c r="H2542" s="73"/>
      <c r="I2542" s="73"/>
      <c r="J2542" s="73"/>
      <c r="K2542" s="73"/>
      <c r="L2542" s="73"/>
      <c r="M2542" s="73"/>
      <c r="N2542" s="73"/>
      <c r="O2542" s="73"/>
      <c r="P2542" s="73"/>
      <c r="Q2542" s="73"/>
      <c r="R2542" s="73"/>
      <c r="S2542" s="73"/>
      <c r="T2542" s="73"/>
      <c r="U2542" s="73"/>
      <c r="V2542" s="73"/>
      <c r="W2542" s="73"/>
      <c r="X2542" s="73"/>
      <c r="Y2542" s="73"/>
      <c r="Z2542" s="73"/>
      <c r="AA2542" s="73"/>
      <c r="AB2542" s="73"/>
    </row>
    <row r="2543">
      <c r="A2543" s="73"/>
      <c r="B2543" s="73">
        <v>1217264.844</v>
      </c>
      <c r="C2543" s="73">
        <v>1.44715506860249E8</v>
      </c>
      <c r="D2543" s="73">
        <v>5.56308435839994E7</v>
      </c>
      <c r="E2543" s="73">
        <v>7489723.57605985</v>
      </c>
      <c r="F2543" s="73"/>
      <c r="G2543" s="73"/>
      <c r="H2543" s="73"/>
      <c r="I2543" s="73"/>
      <c r="J2543" s="73"/>
      <c r="K2543" s="73"/>
      <c r="L2543" s="73"/>
      <c r="M2543" s="73"/>
      <c r="N2543" s="73"/>
      <c r="O2543" s="73"/>
      <c r="P2543" s="73"/>
      <c r="Q2543" s="73"/>
      <c r="R2543" s="73"/>
      <c r="S2543" s="73"/>
      <c r="T2543" s="73"/>
      <c r="U2543" s="73"/>
      <c r="V2543" s="73"/>
      <c r="W2543" s="73"/>
      <c r="X2543" s="73"/>
      <c r="Y2543" s="73"/>
      <c r="Z2543" s="73"/>
      <c r="AA2543" s="73"/>
      <c r="AB2543" s="73"/>
    </row>
    <row r="2544">
      <c r="A2544" s="73"/>
      <c r="B2544" s="73">
        <v>1219048.701</v>
      </c>
      <c r="C2544" s="73">
        <v>1.44870517735943E8</v>
      </c>
      <c r="D2544" s="73">
        <v>5.57079403960003E7</v>
      </c>
      <c r="E2544" s="73">
        <v>7498789.56044185</v>
      </c>
      <c r="F2544" s="73"/>
      <c r="G2544" s="73"/>
      <c r="H2544" s="73"/>
      <c r="I2544" s="73"/>
      <c r="J2544" s="73"/>
      <c r="K2544" s="73"/>
      <c r="L2544" s="73"/>
      <c r="M2544" s="73"/>
      <c r="N2544" s="73"/>
      <c r="O2544" s="73"/>
      <c r="P2544" s="73"/>
      <c r="Q2544" s="73"/>
      <c r="R2544" s="73"/>
      <c r="S2544" s="73"/>
      <c r="T2544" s="73"/>
      <c r="U2544" s="73"/>
      <c r="V2544" s="73"/>
      <c r="W2544" s="73"/>
      <c r="X2544" s="73"/>
      <c r="Y2544" s="73"/>
      <c r="Z2544" s="73"/>
      <c r="AA2544" s="73"/>
      <c r="AB2544" s="73"/>
    </row>
    <row r="2545">
      <c r="A2545" s="73"/>
      <c r="B2545" s="73">
        <v>1220835.098</v>
      </c>
      <c r="C2545" s="73">
        <v>1.45025627491634E8</v>
      </c>
      <c r="D2545" s="73">
        <v>5.57851045280012E7</v>
      </c>
      <c r="E2545" s="73">
        <v>7507865.721904</v>
      </c>
      <c r="F2545" s="73"/>
      <c r="G2545" s="73"/>
      <c r="H2545" s="73"/>
      <c r="I2545" s="73"/>
      <c r="J2545" s="73"/>
      <c r="K2545" s="73"/>
      <c r="L2545" s="73"/>
      <c r="M2545" s="73"/>
      <c r="N2545" s="73"/>
      <c r="O2545" s="73"/>
      <c r="P2545" s="73"/>
      <c r="Q2545" s="73"/>
      <c r="R2545" s="73"/>
      <c r="S2545" s="73"/>
      <c r="T2545" s="73"/>
      <c r="U2545" s="73"/>
      <c r="V2545" s="73"/>
      <c r="W2545" s="73"/>
      <c r="X2545" s="73"/>
      <c r="Y2545" s="73"/>
      <c r="Z2545" s="73"/>
      <c r="AA2545" s="73"/>
      <c r="AB2545" s="73"/>
    </row>
    <row r="2546">
      <c r="A2546" s="73"/>
      <c r="B2546" s="73">
        <v>1222624.057</v>
      </c>
      <c r="C2546" s="73">
        <v>1.45180852607323E8</v>
      </c>
      <c r="D2546" s="73">
        <v>5.58623410279945E7</v>
      </c>
      <c r="E2546" s="73">
        <v>7516951.43408736</v>
      </c>
      <c r="F2546" s="73"/>
      <c r="G2546" s="73"/>
      <c r="H2546" s="73"/>
      <c r="I2546" s="73"/>
      <c r="J2546" s="73"/>
      <c r="K2546" s="73"/>
      <c r="L2546" s="73"/>
      <c r="M2546" s="73"/>
      <c r="N2546" s="73"/>
      <c r="O2546" s="73"/>
      <c r="P2546" s="73"/>
      <c r="Q2546" s="73"/>
      <c r="R2546" s="73"/>
      <c r="S2546" s="73"/>
      <c r="T2546" s="73"/>
      <c r="U2546" s="73"/>
      <c r="V2546" s="73"/>
      <c r="W2546" s="73"/>
      <c r="X2546" s="73"/>
      <c r="Y2546" s="73"/>
      <c r="Z2546" s="73"/>
      <c r="AA2546" s="73"/>
      <c r="AB2546" s="73"/>
    </row>
    <row r="2547">
      <c r="A2547" s="73"/>
      <c r="B2547" s="73">
        <v>1224415.565</v>
      </c>
      <c r="C2547" s="73">
        <v>1.45336193083008E8</v>
      </c>
      <c r="D2547" s="73">
        <v>5.59396447679954E7</v>
      </c>
      <c r="E2547" s="73">
        <v>7526047.18686927</v>
      </c>
      <c r="F2547" s="73"/>
      <c r="G2547" s="73"/>
      <c r="H2547" s="73"/>
      <c r="I2547" s="73"/>
      <c r="J2547" s="73"/>
      <c r="K2547" s="73"/>
      <c r="L2547" s="73"/>
      <c r="M2547" s="73"/>
      <c r="N2547" s="73"/>
      <c r="O2547" s="73"/>
      <c r="P2547" s="73"/>
      <c r="Q2547" s="73"/>
      <c r="R2547" s="73"/>
      <c r="S2547" s="73"/>
      <c r="T2547" s="73"/>
      <c r="U2547" s="73"/>
      <c r="V2547" s="73"/>
      <c r="W2547" s="73"/>
      <c r="X2547" s="73"/>
      <c r="Y2547" s="73"/>
      <c r="Z2547" s="73"/>
      <c r="AA2547" s="73"/>
      <c r="AB2547" s="73"/>
    </row>
    <row r="2548">
      <c r="A2548" s="73"/>
      <c r="B2548" s="73">
        <v>1226209.615</v>
      </c>
      <c r="C2548" s="73">
        <v>1.45491615958691E8</v>
      </c>
      <c r="D2548" s="73">
        <v>5.60170209559963E7</v>
      </c>
      <c r="E2548" s="73">
        <v>7535152.86988798</v>
      </c>
      <c r="F2548" s="73"/>
      <c r="G2548" s="73"/>
      <c r="H2548" s="73"/>
      <c r="I2548" s="73"/>
      <c r="J2548" s="73"/>
      <c r="K2548" s="73"/>
      <c r="L2548" s="73"/>
      <c r="M2548" s="73"/>
      <c r="N2548" s="73"/>
      <c r="O2548" s="73"/>
      <c r="P2548" s="73"/>
      <c r="Q2548" s="73"/>
      <c r="R2548" s="73"/>
      <c r="S2548" s="73"/>
      <c r="T2548" s="73"/>
      <c r="U2548" s="73"/>
      <c r="V2548" s="73"/>
      <c r="W2548" s="73"/>
      <c r="X2548" s="73"/>
      <c r="Y2548" s="73"/>
      <c r="Z2548" s="73"/>
      <c r="AA2548" s="73"/>
      <c r="AB2548" s="73"/>
    </row>
    <row r="2549">
      <c r="A2549" s="73"/>
      <c r="B2549" s="73">
        <v>1228006.256</v>
      </c>
      <c r="C2549" s="73">
        <v>1.4564717067437E8</v>
      </c>
      <c r="D2549" s="73">
        <v>5.60944643839973E7</v>
      </c>
      <c r="E2549" s="73">
        <v>7544268.26902516</v>
      </c>
      <c r="F2549" s="73"/>
      <c r="G2549" s="73"/>
      <c r="H2549" s="73"/>
      <c r="I2549" s="73"/>
      <c r="J2549" s="73"/>
      <c r="K2549" s="73"/>
      <c r="L2549" s="73"/>
      <c r="M2549" s="73"/>
      <c r="N2549" s="73"/>
      <c r="O2549" s="73"/>
      <c r="P2549" s="73"/>
      <c r="Q2549" s="73"/>
      <c r="R2549" s="73"/>
      <c r="S2549" s="73"/>
      <c r="T2549" s="73"/>
      <c r="U2549" s="73"/>
      <c r="V2549" s="73"/>
      <c r="W2549" s="73"/>
      <c r="X2549" s="73"/>
      <c r="Y2549" s="73"/>
      <c r="Z2549" s="73"/>
      <c r="AA2549" s="73"/>
      <c r="AB2549" s="73"/>
    </row>
    <row r="2550">
      <c r="A2550" s="73"/>
      <c r="B2550" s="73">
        <v>1229805.44</v>
      </c>
      <c r="C2550" s="73">
        <v>1.45802807790047E8</v>
      </c>
      <c r="D2550" s="73">
        <v>5.61719750599982E7</v>
      </c>
      <c r="E2550" s="73">
        <v>7553393.46046832</v>
      </c>
      <c r="F2550" s="73"/>
      <c r="G2550" s="73"/>
      <c r="H2550" s="73"/>
      <c r="I2550" s="73"/>
      <c r="J2550" s="73"/>
      <c r="K2550" s="73"/>
      <c r="L2550" s="73"/>
      <c r="M2550" s="73"/>
      <c r="N2550" s="73"/>
      <c r="O2550" s="73"/>
      <c r="P2550" s="73"/>
      <c r="Q2550" s="73"/>
      <c r="R2550" s="73"/>
      <c r="S2550" s="73"/>
      <c r="T2550" s="73"/>
      <c r="U2550" s="73"/>
      <c r="V2550" s="73"/>
      <c r="W2550" s="73"/>
      <c r="X2550" s="73"/>
      <c r="Y2550" s="73"/>
      <c r="Z2550" s="73"/>
      <c r="AA2550" s="73"/>
      <c r="AB2550" s="73"/>
    </row>
    <row r="2551">
      <c r="A2551" s="73"/>
      <c r="B2551" s="73">
        <v>1231607.242</v>
      </c>
      <c r="C2551" s="73">
        <v>1.4595856026572E8</v>
      </c>
      <c r="D2551" s="73">
        <v>5.62495581039991E7</v>
      </c>
      <c r="E2551" s="73">
        <v>7562528.93646155</v>
      </c>
      <c r="F2551" s="73"/>
      <c r="G2551" s="73"/>
      <c r="H2551" s="73"/>
      <c r="I2551" s="73"/>
      <c r="J2551" s="73"/>
      <c r="K2551" s="73"/>
      <c r="L2551" s="73"/>
      <c r="M2551" s="73"/>
      <c r="N2551" s="73"/>
      <c r="O2551" s="73"/>
      <c r="P2551" s="73"/>
      <c r="Q2551" s="73"/>
      <c r="R2551" s="73"/>
      <c r="S2551" s="73"/>
      <c r="T2551" s="73"/>
      <c r="U2551" s="73"/>
      <c r="V2551" s="73"/>
      <c r="W2551" s="73"/>
      <c r="X2551" s="73"/>
      <c r="Y2551" s="73"/>
      <c r="Z2551" s="73"/>
      <c r="AA2551" s="73"/>
      <c r="AB2551" s="73"/>
    </row>
    <row r="2552">
      <c r="A2552" s="73"/>
      <c r="B2552" s="73">
        <v>1233411.582</v>
      </c>
      <c r="C2552" s="73">
        <v>1.46114411621391E8</v>
      </c>
      <c r="D2552" s="73">
        <v>5.6327208468E7</v>
      </c>
      <c r="E2552" s="73">
        <v>7571674.2813416</v>
      </c>
      <c r="F2552" s="73"/>
      <c r="G2552" s="73"/>
      <c r="H2552" s="73"/>
      <c r="I2552" s="73"/>
      <c r="J2552" s="73"/>
      <c r="K2552" s="73"/>
      <c r="L2552" s="73"/>
      <c r="M2552" s="73"/>
      <c r="N2552" s="73"/>
      <c r="O2552" s="73"/>
      <c r="P2552" s="73"/>
      <c r="Q2552" s="73"/>
      <c r="R2552" s="73"/>
      <c r="S2552" s="73"/>
      <c r="T2552" s="73"/>
      <c r="U2552" s="73"/>
      <c r="V2552" s="73"/>
      <c r="W2552" s="73"/>
      <c r="X2552" s="73"/>
      <c r="Y2552" s="73"/>
      <c r="Z2552" s="73"/>
      <c r="AA2552" s="73"/>
      <c r="AB2552" s="73"/>
    </row>
    <row r="2553">
      <c r="A2553" s="73"/>
      <c r="B2553" s="73">
        <v>1235218.541</v>
      </c>
      <c r="C2553" s="73">
        <v>1.46270361857059E8</v>
      </c>
      <c r="D2553" s="73">
        <v>5.64049312720009E7</v>
      </c>
      <c r="E2553" s="73">
        <v>7580829.50624676</v>
      </c>
      <c r="F2553" s="73"/>
      <c r="G2553" s="73"/>
      <c r="H2553" s="73"/>
      <c r="I2553" s="73"/>
      <c r="J2553" s="73"/>
      <c r="K2553" s="73"/>
      <c r="L2553" s="73"/>
      <c r="M2553" s="73"/>
      <c r="N2553" s="73"/>
      <c r="O2553" s="73"/>
      <c r="P2553" s="73"/>
      <c r="Q2553" s="73"/>
      <c r="R2553" s="73"/>
      <c r="S2553" s="73"/>
      <c r="T2553" s="73"/>
      <c r="U2553" s="73"/>
      <c r="V2553" s="73"/>
      <c r="W2553" s="73"/>
      <c r="X2553" s="73"/>
      <c r="Y2553" s="73"/>
      <c r="Z2553" s="73"/>
      <c r="AA2553" s="73"/>
      <c r="AB2553" s="73"/>
    </row>
    <row r="2554">
      <c r="A2554" s="73"/>
      <c r="B2554" s="73">
        <v>1237028.086</v>
      </c>
      <c r="C2554" s="73">
        <v>1.46426427452724E8</v>
      </c>
      <c r="D2554" s="73">
        <v>5.64827212519942E7</v>
      </c>
      <c r="E2554" s="73">
        <v>7589995.2236922</v>
      </c>
      <c r="F2554" s="73"/>
      <c r="G2554" s="73"/>
      <c r="H2554" s="73"/>
      <c r="I2554" s="73"/>
      <c r="J2554" s="73"/>
      <c r="K2554" s="73"/>
      <c r="L2554" s="73"/>
      <c r="M2554" s="73"/>
      <c r="N2554" s="73"/>
      <c r="O2554" s="73"/>
      <c r="P2554" s="73"/>
      <c r="Q2554" s="73"/>
      <c r="R2554" s="73"/>
      <c r="S2554" s="73"/>
      <c r="T2554" s="73"/>
      <c r="U2554" s="73"/>
      <c r="V2554" s="73"/>
      <c r="W2554" s="73"/>
      <c r="X2554" s="73"/>
      <c r="Y2554" s="73"/>
      <c r="Z2554" s="73"/>
      <c r="AA2554" s="73"/>
      <c r="AB2554" s="73"/>
    </row>
    <row r="2555">
      <c r="A2555" s="73"/>
      <c r="B2555" s="73">
        <v>1238840.217</v>
      </c>
      <c r="C2555" s="73">
        <v>1.46582591928387E8</v>
      </c>
      <c r="D2555" s="73">
        <v>5.65605836639951E7</v>
      </c>
      <c r="E2555" s="73">
        <v>7599170.54282333</v>
      </c>
      <c r="F2555" s="73"/>
      <c r="G2555" s="73"/>
      <c r="H2555" s="73"/>
      <c r="I2555" s="73"/>
      <c r="J2555" s="73"/>
      <c r="K2555" s="73"/>
      <c r="L2555" s="73"/>
      <c r="M2555" s="73"/>
      <c r="N2555" s="73"/>
      <c r="O2555" s="73"/>
      <c r="P2555" s="73"/>
      <c r="Q2555" s="73"/>
      <c r="R2555" s="73"/>
      <c r="S2555" s="73"/>
      <c r="T2555" s="73"/>
      <c r="U2555" s="73"/>
      <c r="V2555" s="73"/>
      <c r="W2555" s="73"/>
      <c r="X2555" s="73"/>
      <c r="Y2555" s="73"/>
      <c r="Z2555" s="73"/>
      <c r="AA2555" s="73"/>
      <c r="AB2555" s="73"/>
    </row>
    <row r="2556">
      <c r="A2556" s="73"/>
      <c r="B2556" s="73">
        <v>1240654.925</v>
      </c>
      <c r="C2556" s="73">
        <v>1.46738888244045E8</v>
      </c>
      <c r="D2556" s="73">
        <v>5.6638513331996E7</v>
      </c>
      <c r="E2556" s="73">
        <v>7608356.0860307</v>
      </c>
      <c r="F2556" s="73"/>
      <c r="G2556" s="73"/>
      <c r="H2556" s="73"/>
      <c r="I2556" s="73"/>
      <c r="J2556" s="73"/>
      <c r="K2556" s="73"/>
      <c r="L2556" s="73"/>
      <c r="M2556" s="73"/>
      <c r="N2556" s="73"/>
      <c r="O2556" s="73"/>
      <c r="P2556" s="73"/>
      <c r="Q2556" s="73"/>
      <c r="R2556" s="73"/>
      <c r="S2556" s="73"/>
      <c r="T2556" s="73"/>
      <c r="U2556" s="73"/>
      <c r="V2556" s="73"/>
      <c r="W2556" s="73"/>
      <c r="X2556" s="73"/>
      <c r="Y2556" s="73"/>
      <c r="Z2556" s="73"/>
      <c r="AA2556" s="73"/>
      <c r="AB2556" s="73"/>
    </row>
    <row r="2557">
      <c r="A2557" s="73"/>
      <c r="B2557" s="73">
        <v>1242472.248</v>
      </c>
      <c r="C2557" s="73">
        <v>1.46895266959702E8</v>
      </c>
      <c r="D2557" s="73">
        <v>5.67165153599969E7</v>
      </c>
      <c r="E2557" s="73">
        <v>7617551.463896</v>
      </c>
      <c r="F2557" s="73"/>
      <c r="G2557" s="73"/>
      <c r="H2557" s="73"/>
      <c r="I2557" s="73"/>
      <c r="J2557" s="73"/>
      <c r="K2557" s="73"/>
      <c r="L2557" s="73"/>
      <c r="M2557" s="73"/>
      <c r="N2557" s="73"/>
      <c r="O2557" s="73"/>
      <c r="P2557" s="73"/>
      <c r="Q2557" s="73"/>
      <c r="R2557" s="73"/>
      <c r="S2557" s="73"/>
      <c r="T2557" s="73"/>
      <c r="U2557" s="73"/>
      <c r="V2557" s="73"/>
      <c r="W2557" s="73"/>
      <c r="X2557" s="73"/>
      <c r="Y2557" s="73"/>
      <c r="Z2557" s="73"/>
      <c r="AA2557" s="73"/>
      <c r="AB2557" s="73"/>
    </row>
    <row r="2558">
      <c r="A2558" s="73"/>
      <c r="B2558" s="73">
        <v>1244292.196</v>
      </c>
      <c r="C2558" s="73">
        <v>1.47051744555355E8</v>
      </c>
      <c r="D2558" s="73">
        <v>5.67945847079979E7</v>
      </c>
      <c r="E2558" s="73">
        <v>7626757.28142581</v>
      </c>
      <c r="F2558" s="73"/>
      <c r="G2558" s="73"/>
      <c r="H2558" s="73"/>
      <c r="I2558" s="73"/>
      <c r="J2558" s="73"/>
      <c r="K2558" s="73"/>
      <c r="L2558" s="73"/>
      <c r="M2558" s="73"/>
      <c r="N2558" s="73"/>
      <c r="O2558" s="73"/>
      <c r="P2558" s="73"/>
      <c r="Q2558" s="73"/>
      <c r="R2558" s="73"/>
      <c r="S2558" s="73"/>
      <c r="T2558" s="73"/>
      <c r="U2558" s="73"/>
      <c r="V2558" s="73"/>
      <c r="W2558" s="73"/>
      <c r="X2558" s="73"/>
      <c r="Y2558" s="73"/>
      <c r="Z2558" s="73"/>
      <c r="AA2558" s="73"/>
      <c r="AB2558" s="73"/>
    </row>
    <row r="2559">
      <c r="A2559" s="73"/>
      <c r="B2559" s="73">
        <v>1246114.766</v>
      </c>
      <c r="C2559" s="73">
        <v>1.47208353991005E8</v>
      </c>
      <c r="D2559" s="73">
        <v>5.68727263519988E7</v>
      </c>
      <c r="E2559" s="73">
        <v>7635973.22267719</v>
      </c>
      <c r="F2559" s="73"/>
      <c r="G2559" s="73"/>
      <c r="H2559" s="73"/>
      <c r="I2559" s="73"/>
      <c r="J2559" s="73"/>
      <c r="K2559" s="73"/>
      <c r="L2559" s="73"/>
      <c r="M2559" s="73"/>
      <c r="N2559" s="73"/>
      <c r="O2559" s="73"/>
      <c r="P2559" s="73"/>
      <c r="Q2559" s="73"/>
      <c r="R2559" s="73"/>
      <c r="S2559" s="73"/>
      <c r="T2559" s="73"/>
      <c r="U2559" s="73"/>
      <c r="V2559" s="73"/>
      <c r="W2559" s="73"/>
      <c r="X2559" s="73"/>
      <c r="Y2559" s="73"/>
      <c r="Z2559" s="73"/>
      <c r="AA2559" s="73"/>
      <c r="AB2559" s="73"/>
    </row>
    <row r="2560">
      <c r="A2560" s="73"/>
      <c r="B2560" s="73">
        <v>1247939.88</v>
      </c>
      <c r="C2560" s="73">
        <v>1.47365045826653E8</v>
      </c>
      <c r="D2560" s="73">
        <v>5.69509353879997E7</v>
      </c>
      <c r="E2560" s="73">
        <v>7645199.20251891</v>
      </c>
      <c r="F2560" s="73"/>
      <c r="G2560" s="73"/>
      <c r="H2560" s="73"/>
      <c r="I2560" s="73"/>
      <c r="J2560" s="73"/>
      <c r="K2560" s="73"/>
      <c r="L2560" s="73"/>
      <c r="M2560" s="73"/>
      <c r="N2560" s="73"/>
      <c r="O2560" s="73"/>
      <c r="P2560" s="73"/>
      <c r="Q2560" s="73"/>
      <c r="R2560" s="73"/>
      <c r="S2560" s="73"/>
      <c r="T2560" s="73"/>
      <c r="U2560" s="73"/>
      <c r="V2560" s="73"/>
      <c r="W2560" s="73"/>
      <c r="X2560" s="73"/>
      <c r="Y2560" s="73"/>
      <c r="Z2560" s="73"/>
      <c r="AA2560" s="73"/>
      <c r="AB2560" s="73"/>
    </row>
    <row r="2561">
      <c r="A2561" s="73"/>
      <c r="B2561" s="73">
        <v>1249767.647</v>
      </c>
      <c r="C2561" s="73">
        <v>1.47521836542297E8</v>
      </c>
      <c r="D2561" s="73">
        <v>5.70292167200006E7</v>
      </c>
      <c r="E2561" s="73">
        <v>7654435.50947632</v>
      </c>
      <c r="F2561" s="73"/>
      <c r="G2561" s="73"/>
      <c r="H2561" s="73"/>
      <c r="I2561" s="73"/>
      <c r="J2561" s="73"/>
      <c r="K2561" s="73"/>
      <c r="L2561" s="73"/>
      <c r="M2561" s="73"/>
      <c r="N2561" s="73"/>
      <c r="O2561" s="73"/>
      <c r="P2561" s="73"/>
      <c r="Q2561" s="73"/>
      <c r="R2561" s="73"/>
      <c r="S2561" s="73"/>
      <c r="T2561" s="73"/>
      <c r="U2561" s="73"/>
      <c r="V2561" s="73"/>
      <c r="W2561" s="73"/>
      <c r="X2561" s="73"/>
      <c r="Y2561" s="73"/>
      <c r="Z2561" s="73"/>
      <c r="AA2561" s="73"/>
      <c r="AB2561" s="73"/>
    </row>
    <row r="2562">
      <c r="A2562" s="73"/>
      <c r="B2562" s="73">
        <v>1251598.035</v>
      </c>
      <c r="C2562" s="73">
        <v>1.47678759097939E8</v>
      </c>
      <c r="D2562" s="73">
        <v>5.71075601719939E7</v>
      </c>
      <c r="E2562" s="73">
        <v>7663682.06462249</v>
      </c>
      <c r="F2562" s="73"/>
      <c r="G2562" s="73"/>
      <c r="H2562" s="73"/>
      <c r="I2562" s="73"/>
      <c r="J2562" s="73"/>
      <c r="K2562" s="73"/>
      <c r="L2562" s="73"/>
      <c r="M2562" s="73"/>
      <c r="N2562" s="73"/>
      <c r="O2562" s="73"/>
      <c r="P2562" s="73"/>
      <c r="Q2562" s="73"/>
      <c r="R2562" s="73"/>
      <c r="S2562" s="73"/>
      <c r="T2562" s="73"/>
      <c r="U2562" s="73"/>
      <c r="V2562" s="73"/>
      <c r="W2562" s="73"/>
      <c r="X2562" s="73"/>
      <c r="Y2562" s="73"/>
      <c r="Z2562" s="73"/>
      <c r="AA2562" s="73"/>
      <c r="AB2562" s="73"/>
    </row>
    <row r="2563">
      <c r="A2563" s="73"/>
      <c r="B2563" s="73">
        <v>1253431.058</v>
      </c>
      <c r="C2563" s="73">
        <v>1.47835764053577E8</v>
      </c>
      <c r="D2563" s="73">
        <v>5.71859812639948E7</v>
      </c>
      <c r="E2563" s="73">
        <v>7672938.51666681</v>
      </c>
      <c r="F2563" s="73"/>
      <c r="G2563" s="73"/>
      <c r="H2563" s="73"/>
      <c r="I2563" s="73"/>
      <c r="J2563" s="73"/>
      <c r="K2563" s="73"/>
      <c r="L2563" s="73"/>
      <c r="M2563" s="73"/>
      <c r="N2563" s="73"/>
      <c r="O2563" s="73"/>
      <c r="P2563" s="73"/>
      <c r="Q2563" s="73"/>
      <c r="R2563" s="73"/>
      <c r="S2563" s="73"/>
      <c r="T2563" s="73"/>
      <c r="U2563" s="73"/>
      <c r="V2563" s="73"/>
      <c r="W2563" s="73"/>
      <c r="X2563" s="73"/>
      <c r="Y2563" s="73"/>
      <c r="Z2563" s="73"/>
      <c r="AA2563" s="73"/>
      <c r="AB2563" s="73"/>
    </row>
    <row r="2564">
      <c r="A2564" s="73"/>
      <c r="B2564" s="73">
        <v>1255266.662</v>
      </c>
      <c r="C2564" s="73">
        <v>1.47992884369213E8</v>
      </c>
      <c r="D2564" s="73">
        <v>5.72644695239957E7</v>
      </c>
      <c r="E2564" s="73">
        <v>7682205.61022446</v>
      </c>
      <c r="F2564" s="73"/>
      <c r="G2564" s="73"/>
      <c r="H2564" s="73"/>
      <c r="I2564" s="73"/>
      <c r="J2564" s="73"/>
      <c r="K2564" s="73"/>
      <c r="L2564" s="73"/>
      <c r="M2564" s="73"/>
      <c r="N2564" s="73"/>
      <c r="O2564" s="73"/>
      <c r="P2564" s="73"/>
      <c r="Q2564" s="73"/>
      <c r="R2564" s="73"/>
      <c r="S2564" s="73"/>
      <c r="T2564" s="73"/>
      <c r="U2564" s="73"/>
      <c r="V2564" s="73"/>
      <c r="W2564" s="73"/>
      <c r="X2564" s="73"/>
      <c r="Y2564" s="73"/>
      <c r="Z2564" s="73"/>
      <c r="AA2564" s="73"/>
      <c r="AB2564" s="73"/>
    </row>
    <row r="2565">
      <c r="A2565" s="73"/>
      <c r="B2565" s="73">
        <v>1257104.948</v>
      </c>
      <c r="C2565" s="73">
        <v>1.48150120044846E8</v>
      </c>
      <c r="D2565" s="73">
        <v>5.73430302239966E7</v>
      </c>
      <c r="E2565" s="73">
        <v>7691482.75611933</v>
      </c>
      <c r="F2565" s="73"/>
      <c r="G2565" s="73"/>
      <c r="H2565" s="73"/>
      <c r="I2565" s="73"/>
      <c r="J2565" s="73"/>
      <c r="K2565" s="73"/>
      <c r="L2565" s="73"/>
      <c r="M2565" s="73"/>
      <c r="N2565" s="73"/>
      <c r="O2565" s="73"/>
      <c r="P2565" s="73"/>
      <c r="Q2565" s="73"/>
      <c r="R2565" s="73"/>
      <c r="S2565" s="73"/>
      <c r="T2565" s="73"/>
      <c r="U2565" s="73"/>
      <c r="V2565" s="73"/>
      <c r="W2565" s="73"/>
      <c r="X2565" s="73"/>
      <c r="Y2565" s="73"/>
      <c r="Z2565" s="73"/>
      <c r="AA2565" s="73"/>
      <c r="AB2565" s="73"/>
    </row>
    <row r="2566">
      <c r="A2566" s="73"/>
      <c r="B2566" s="73">
        <v>1258945.827</v>
      </c>
      <c r="C2566" s="73">
        <v>1.48307438120476E8</v>
      </c>
      <c r="D2566" s="73">
        <v>5.74216581799976E7</v>
      </c>
      <c r="E2566" s="73">
        <v>7700770.39156659</v>
      </c>
      <c r="F2566" s="73"/>
      <c r="G2566" s="73"/>
      <c r="H2566" s="73"/>
      <c r="I2566" s="73"/>
      <c r="J2566" s="73"/>
      <c r="K2566" s="73"/>
      <c r="L2566" s="73"/>
      <c r="M2566" s="73"/>
      <c r="N2566" s="73"/>
      <c r="O2566" s="73"/>
      <c r="P2566" s="73"/>
      <c r="Q2566" s="73"/>
      <c r="R2566" s="73"/>
      <c r="S2566" s="73"/>
      <c r="T2566" s="73"/>
      <c r="U2566" s="73"/>
      <c r="V2566" s="73"/>
      <c r="W2566" s="73"/>
      <c r="X2566" s="73"/>
      <c r="Y2566" s="73"/>
      <c r="Z2566" s="73"/>
      <c r="AA2566" s="73"/>
      <c r="AB2566" s="73"/>
    </row>
    <row r="2567">
      <c r="A2567" s="73"/>
      <c r="B2567" s="73">
        <v>1260789.378</v>
      </c>
      <c r="C2567" s="73">
        <v>1.48464871556103E8</v>
      </c>
      <c r="D2567" s="73">
        <v>5.75003584879985E7</v>
      </c>
      <c r="E2567" s="73">
        <v>7710068.22390027</v>
      </c>
      <c r="F2567" s="73"/>
      <c r="G2567" s="73"/>
      <c r="H2567" s="73"/>
      <c r="I2567" s="73"/>
      <c r="J2567" s="73"/>
      <c r="K2567" s="73"/>
      <c r="L2567" s="73"/>
      <c r="M2567" s="73"/>
      <c r="N2567" s="73"/>
      <c r="O2567" s="73"/>
      <c r="P2567" s="73"/>
      <c r="Q2567" s="73"/>
      <c r="R2567" s="73"/>
      <c r="S2567" s="73"/>
      <c r="T2567" s="73"/>
      <c r="U2567" s="73"/>
      <c r="V2567" s="73"/>
      <c r="W2567" s="73"/>
      <c r="X2567" s="73"/>
      <c r="Y2567" s="73"/>
      <c r="Z2567" s="73"/>
      <c r="AA2567" s="73"/>
      <c r="AB2567" s="73"/>
    </row>
    <row r="2568">
      <c r="A2568" s="73"/>
      <c r="B2568" s="73">
        <v>1262635.545</v>
      </c>
      <c r="C2568" s="73">
        <v>1.48622420351727E8</v>
      </c>
      <c r="D2568" s="73">
        <v>5.75791260519994E7</v>
      </c>
      <c r="E2568" s="73">
        <v>7719376.33585005</v>
      </c>
      <c r="F2568" s="73"/>
      <c r="G2568" s="73"/>
      <c r="H2568" s="73"/>
      <c r="I2568" s="73"/>
      <c r="J2568" s="73"/>
      <c r="K2568" s="73"/>
      <c r="L2568" s="73"/>
      <c r="M2568" s="73"/>
      <c r="N2568" s="73"/>
      <c r="O2568" s="73"/>
      <c r="P2568" s="73"/>
      <c r="Q2568" s="73"/>
      <c r="R2568" s="73"/>
      <c r="S2568" s="73"/>
      <c r="T2568" s="73"/>
      <c r="U2568" s="73"/>
      <c r="V2568" s="73"/>
      <c r="W2568" s="73"/>
      <c r="X2568" s="73"/>
      <c r="Y2568" s="73"/>
      <c r="Z2568" s="73"/>
      <c r="AA2568" s="73"/>
      <c r="AB2568" s="73"/>
    </row>
    <row r="2569">
      <c r="A2569" s="73"/>
      <c r="B2569" s="73">
        <v>1264484.372</v>
      </c>
      <c r="C2569" s="73">
        <v>1.48780068027348E8</v>
      </c>
      <c r="D2569" s="73">
        <v>5.76579661280003E7</v>
      </c>
      <c r="E2569" s="73">
        <v>7728694.79247178</v>
      </c>
      <c r="F2569" s="73"/>
      <c r="G2569" s="73"/>
      <c r="H2569" s="73"/>
      <c r="I2569" s="73"/>
      <c r="J2569" s="73"/>
      <c r="K2569" s="73"/>
      <c r="L2569" s="73"/>
      <c r="M2569" s="73"/>
      <c r="N2569" s="73"/>
      <c r="O2569" s="73"/>
      <c r="P2569" s="73"/>
      <c r="Q2569" s="73"/>
      <c r="R2569" s="73"/>
      <c r="S2569" s="73"/>
      <c r="T2569" s="73"/>
      <c r="U2569" s="73"/>
      <c r="V2569" s="73"/>
      <c r="W2569" s="73"/>
      <c r="X2569" s="73"/>
      <c r="Y2569" s="73"/>
      <c r="Z2569" s="73"/>
      <c r="AA2569" s="73"/>
      <c r="AB2569" s="73"/>
    </row>
    <row r="2570">
      <c r="A2570" s="73"/>
      <c r="B2570" s="73">
        <v>1266335.822</v>
      </c>
      <c r="C2570" s="73">
        <v>1.48937814582966E8</v>
      </c>
      <c r="D2570" s="73">
        <v>5.77368733800012E7</v>
      </c>
      <c r="E2570" s="73">
        <v>7738023.70389944</v>
      </c>
      <c r="F2570" s="73"/>
      <c r="G2570" s="73"/>
      <c r="H2570" s="73"/>
      <c r="I2570" s="73"/>
      <c r="J2570" s="73"/>
      <c r="K2570" s="73"/>
      <c r="L2570" s="73"/>
      <c r="M2570" s="73"/>
      <c r="N2570" s="73"/>
      <c r="O2570" s="73"/>
      <c r="P2570" s="73"/>
      <c r="Q2570" s="73"/>
      <c r="R2570" s="73"/>
      <c r="S2570" s="73"/>
      <c r="T2570" s="73"/>
      <c r="U2570" s="73"/>
      <c r="V2570" s="73"/>
      <c r="W2570" s="73"/>
      <c r="X2570" s="73"/>
      <c r="Y2570" s="73"/>
      <c r="Z2570" s="73"/>
      <c r="AA2570" s="73"/>
      <c r="AB2570" s="73"/>
    </row>
    <row r="2571">
      <c r="A2571" s="73"/>
      <c r="B2571" s="73">
        <v>1268189.932</v>
      </c>
      <c r="C2571" s="73">
        <v>1.4909569297858E8</v>
      </c>
      <c r="D2571" s="73">
        <v>5.78158581119945E7</v>
      </c>
      <c r="E2571" s="73">
        <v>7747363.11369904</v>
      </c>
      <c r="F2571" s="73"/>
      <c r="G2571" s="73"/>
      <c r="H2571" s="73"/>
      <c r="I2571" s="73"/>
      <c r="J2571" s="73"/>
      <c r="K2571" s="73"/>
      <c r="L2571" s="73"/>
      <c r="M2571" s="73"/>
      <c r="N2571" s="73"/>
      <c r="O2571" s="73"/>
      <c r="P2571" s="73"/>
      <c r="Q2571" s="73"/>
      <c r="R2571" s="73"/>
      <c r="S2571" s="73"/>
      <c r="T2571" s="73"/>
      <c r="U2571" s="73"/>
      <c r="V2571" s="73"/>
      <c r="W2571" s="73"/>
      <c r="X2571" s="73"/>
      <c r="Y2571" s="73"/>
      <c r="Z2571" s="73"/>
      <c r="AA2571" s="73"/>
      <c r="AB2571" s="73"/>
    </row>
    <row r="2572">
      <c r="A2572" s="73"/>
      <c r="B2572" s="73">
        <v>1270046.717</v>
      </c>
      <c r="C2572" s="73">
        <v>1.49253653774193E8</v>
      </c>
      <c r="D2572" s="73">
        <v>5.78949051239954E7</v>
      </c>
      <c r="E2572" s="73">
        <v>7756712.84522488</v>
      </c>
      <c r="F2572" s="73"/>
      <c r="G2572" s="73"/>
      <c r="H2572" s="73"/>
      <c r="I2572" s="73"/>
      <c r="J2572" s="73"/>
      <c r="K2572" s="73"/>
      <c r="L2572" s="73"/>
      <c r="M2572" s="73"/>
      <c r="N2572" s="73"/>
      <c r="O2572" s="73"/>
      <c r="P2572" s="73"/>
      <c r="Q2572" s="73"/>
      <c r="R2572" s="73"/>
      <c r="S2572" s="73"/>
      <c r="T2572" s="73"/>
      <c r="U2572" s="73"/>
      <c r="V2572" s="73"/>
      <c r="W2572" s="73"/>
      <c r="X2572" s="73"/>
      <c r="Y2572" s="73"/>
      <c r="Z2572" s="73"/>
      <c r="AA2572" s="73"/>
      <c r="AB2572" s="73"/>
    </row>
    <row r="2573">
      <c r="A2573" s="73"/>
      <c r="B2573" s="73">
        <v>1271906.104</v>
      </c>
      <c r="C2573" s="73">
        <v>1.49411713449802E8</v>
      </c>
      <c r="D2573" s="73">
        <v>5.79740244239963E7</v>
      </c>
      <c r="E2573" s="73">
        <v>7766073.11164298</v>
      </c>
      <c r="F2573" s="73"/>
      <c r="G2573" s="73"/>
      <c r="H2573" s="73"/>
      <c r="I2573" s="73"/>
      <c r="J2573" s="73"/>
      <c r="K2573" s="73"/>
      <c r="L2573" s="73"/>
      <c r="M2573" s="73"/>
      <c r="N2573" s="73"/>
      <c r="O2573" s="73"/>
      <c r="P2573" s="73"/>
      <c r="Q2573" s="73"/>
      <c r="R2573" s="73"/>
      <c r="S2573" s="73"/>
      <c r="T2573" s="73"/>
      <c r="U2573" s="73"/>
      <c r="V2573" s="73"/>
      <c r="W2573" s="73"/>
      <c r="X2573" s="73"/>
      <c r="Y2573" s="73"/>
      <c r="Z2573" s="73"/>
      <c r="AA2573" s="73"/>
      <c r="AB2573" s="73"/>
    </row>
    <row r="2574">
      <c r="A2574" s="73"/>
      <c r="B2574" s="73">
        <v>1273768.195</v>
      </c>
      <c r="C2574" s="73">
        <v>1.49569888485409E8</v>
      </c>
      <c r="D2574" s="73">
        <v>5.80532160919973E7</v>
      </c>
      <c r="E2574" s="73">
        <v>7775443.37209166</v>
      </c>
      <c r="F2574" s="73"/>
      <c r="G2574" s="73"/>
      <c r="H2574" s="73"/>
      <c r="I2574" s="73"/>
      <c r="J2574" s="73"/>
      <c r="K2574" s="73"/>
      <c r="L2574" s="73"/>
      <c r="M2574" s="73"/>
      <c r="N2574" s="73"/>
      <c r="O2574" s="73"/>
      <c r="P2574" s="73"/>
      <c r="Q2574" s="73"/>
      <c r="R2574" s="73"/>
      <c r="S2574" s="73"/>
      <c r="T2574" s="73"/>
      <c r="U2574" s="73"/>
      <c r="V2574" s="73"/>
      <c r="W2574" s="73"/>
      <c r="X2574" s="73"/>
      <c r="Y2574" s="73"/>
      <c r="Z2574" s="73"/>
      <c r="AA2574" s="73"/>
      <c r="AB2574" s="73"/>
    </row>
    <row r="2575">
      <c r="A2575" s="73"/>
      <c r="B2575" s="73">
        <v>1275632.917</v>
      </c>
      <c r="C2575" s="73">
        <v>1.49728178881012E8</v>
      </c>
      <c r="D2575" s="73">
        <v>5.81324750799982E7</v>
      </c>
      <c r="E2575" s="73">
        <v>7784824.78989933</v>
      </c>
      <c r="F2575" s="73"/>
      <c r="G2575" s="73"/>
      <c r="H2575" s="73"/>
      <c r="I2575" s="73"/>
      <c r="J2575" s="73"/>
      <c r="K2575" s="73"/>
      <c r="L2575" s="73"/>
      <c r="M2575" s="73"/>
      <c r="N2575" s="73"/>
      <c r="O2575" s="73"/>
      <c r="P2575" s="73"/>
      <c r="Q2575" s="73"/>
      <c r="R2575" s="73"/>
      <c r="S2575" s="73"/>
      <c r="T2575" s="73"/>
      <c r="U2575" s="73"/>
      <c r="V2575" s="73"/>
      <c r="W2575" s="73"/>
      <c r="X2575" s="73"/>
      <c r="Y2575" s="73"/>
      <c r="Z2575" s="73"/>
      <c r="AA2575" s="73"/>
      <c r="AB2575" s="73"/>
    </row>
    <row r="2576">
      <c r="A2576" s="73"/>
      <c r="B2576" s="73">
        <v>1277500.303</v>
      </c>
      <c r="C2576" s="73">
        <v>1.49886568156612E8</v>
      </c>
      <c r="D2576" s="73">
        <v>5.82118064359991E7</v>
      </c>
      <c r="E2576" s="73">
        <v>7794216.46322466</v>
      </c>
      <c r="F2576" s="73"/>
      <c r="G2576" s="73"/>
      <c r="H2576" s="73"/>
      <c r="I2576" s="73"/>
      <c r="J2576" s="73"/>
      <c r="K2576" s="73"/>
      <c r="L2576" s="73"/>
      <c r="M2576" s="73"/>
      <c r="N2576" s="73"/>
      <c r="O2576" s="73"/>
      <c r="P2576" s="73"/>
      <c r="Q2576" s="73"/>
      <c r="R2576" s="73"/>
      <c r="S2576" s="73"/>
      <c r="T2576" s="73"/>
      <c r="U2576" s="73"/>
      <c r="V2576" s="73"/>
      <c r="W2576" s="73"/>
      <c r="X2576" s="73"/>
      <c r="Y2576" s="73"/>
      <c r="Z2576" s="73"/>
      <c r="AA2576" s="73"/>
      <c r="AB2576" s="73"/>
    </row>
    <row r="2577">
      <c r="A2577" s="73"/>
      <c r="B2577" s="73">
        <v>1279370.394</v>
      </c>
      <c r="C2577" s="73">
        <v>1.5004505631221E8</v>
      </c>
      <c r="D2577" s="73">
        <v>5.8291205112E7</v>
      </c>
      <c r="E2577" s="73">
        <v>7803618.43152782</v>
      </c>
      <c r="F2577" s="73"/>
      <c r="G2577" s="73"/>
      <c r="H2577" s="73"/>
      <c r="I2577" s="73"/>
      <c r="J2577" s="73"/>
      <c r="K2577" s="73"/>
      <c r="L2577" s="73"/>
      <c r="M2577" s="73"/>
      <c r="N2577" s="73"/>
      <c r="O2577" s="73"/>
      <c r="P2577" s="73"/>
      <c r="Q2577" s="73"/>
      <c r="R2577" s="73"/>
      <c r="S2577" s="73"/>
      <c r="T2577" s="73"/>
      <c r="U2577" s="73"/>
      <c r="V2577" s="73"/>
      <c r="W2577" s="73"/>
      <c r="X2577" s="73"/>
      <c r="Y2577" s="73"/>
      <c r="Z2577" s="73"/>
      <c r="AA2577" s="73"/>
      <c r="AB2577" s="73"/>
    </row>
    <row r="2578">
      <c r="A2578" s="73"/>
      <c r="B2578" s="73">
        <v>1281243.149</v>
      </c>
      <c r="C2578" s="73">
        <v>1.50203659827805E8</v>
      </c>
      <c r="D2578" s="73">
        <v>5.83706761560009E7</v>
      </c>
      <c r="E2578" s="73">
        <v>7813030.9771994</v>
      </c>
      <c r="F2578" s="73"/>
      <c r="G2578" s="73"/>
      <c r="H2578" s="73"/>
      <c r="I2578" s="73"/>
      <c r="J2578" s="73"/>
      <c r="K2578" s="73"/>
      <c r="L2578" s="73"/>
      <c r="M2578" s="73"/>
      <c r="N2578" s="73"/>
      <c r="O2578" s="73"/>
      <c r="P2578" s="73"/>
      <c r="Q2578" s="73"/>
      <c r="R2578" s="73"/>
      <c r="S2578" s="73"/>
      <c r="T2578" s="73"/>
      <c r="U2578" s="73"/>
      <c r="V2578" s="73"/>
      <c r="W2578" s="73"/>
      <c r="X2578" s="73"/>
      <c r="Y2578" s="73"/>
      <c r="Z2578" s="73"/>
      <c r="AA2578" s="73"/>
      <c r="AB2578" s="73"/>
    </row>
    <row r="2579">
      <c r="A2579" s="73"/>
      <c r="B2579" s="73">
        <v>1283118.581</v>
      </c>
      <c r="C2579" s="73">
        <v>1.50362362223396E8</v>
      </c>
      <c r="D2579" s="73">
        <v>5.84502194879942E7</v>
      </c>
      <c r="E2579" s="73">
        <v>7822454.46388233</v>
      </c>
      <c r="F2579" s="73"/>
      <c r="G2579" s="73"/>
      <c r="H2579" s="73"/>
      <c r="I2579" s="73"/>
      <c r="J2579" s="73"/>
      <c r="K2579" s="73"/>
      <c r="L2579" s="73"/>
      <c r="M2579" s="73"/>
      <c r="N2579" s="73"/>
      <c r="O2579" s="73"/>
      <c r="P2579" s="73"/>
      <c r="Q2579" s="73"/>
      <c r="R2579" s="73"/>
      <c r="S2579" s="73"/>
      <c r="T2579" s="73"/>
      <c r="U2579" s="73"/>
      <c r="V2579" s="73"/>
      <c r="W2579" s="73"/>
      <c r="X2579" s="73"/>
      <c r="Y2579" s="73"/>
      <c r="Z2579" s="73"/>
      <c r="AA2579" s="73"/>
      <c r="AB2579" s="73"/>
    </row>
    <row r="2580">
      <c r="A2580" s="73"/>
      <c r="B2580" s="73">
        <v>1284996.674</v>
      </c>
      <c r="C2580" s="73">
        <v>1.50521179978985E8</v>
      </c>
      <c r="D2580" s="73">
        <v>5.85298302199951E7</v>
      </c>
      <c r="E2580" s="73">
        <v>7831887.99651928</v>
      </c>
      <c r="F2580" s="73"/>
      <c r="G2580" s="73"/>
      <c r="H2580" s="73"/>
      <c r="I2580" s="73"/>
      <c r="J2580" s="73"/>
      <c r="K2580" s="73"/>
      <c r="L2580" s="73"/>
      <c r="M2580" s="73"/>
      <c r="N2580" s="73"/>
      <c r="O2580" s="73"/>
      <c r="P2580" s="73"/>
      <c r="Q2580" s="73"/>
      <c r="R2580" s="73"/>
      <c r="S2580" s="73"/>
      <c r="T2580" s="73"/>
      <c r="U2580" s="73"/>
      <c r="V2580" s="73"/>
      <c r="W2580" s="73"/>
      <c r="X2580" s="73"/>
      <c r="Y2580" s="73"/>
      <c r="Z2580" s="73"/>
      <c r="AA2580" s="73"/>
      <c r="AB2580" s="73"/>
    </row>
    <row r="2581">
      <c r="A2581" s="73"/>
      <c r="B2581" s="73">
        <v>1286877.428</v>
      </c>
      <c r="C2581" s="73">
        <v>1.50680096614571E8</v>
      </c>
      <c r="D2581" s="73">
        <v>5.8609513311996E7</v>
      </c>
      <c r="E2581" s="73">
        <v>7841332.51115314</v>
      </c>
      <c r="F2581" s="73"/>
      <c r="G2581" s="73"/>
      <c r="H2581" s="73"/>
      <c r="I2581" s="73"/>
      <c r="J2581" s="73"/>
      <c r="K2581" s="73"/>
      <c r="L2581" s="73"/>
      <c r="M2581" s="73"/>
      <c r="N2581" s="73"/>
      <c r="O2581" s="73"/>
      <c r="P2581" s="73"/>
      <c r="Q2581" s="73"/>
      <c r="R2581" s="73"/>
      <c r="S2581" s="73"/>
      <c r="T2581" s="73"/>
      <c r="U2581" s="73"/>
      <c r="V2581" s="73"/>
      <c r="W2581" s="73"/>
      <c r="X2581" s="73"/>
      <c r="Y2581" s="73"/>
      <c r="Z2581" s="73"/>
      <c r="AA2581" s="73"/>
      <c r="AB2581" s="73"/>
    </row>
    <row r="2582">
      <c r="A2582" s="73"/>
      <c r="B2582" s="73">
        <v>1288760.908</v>
      </c>
      <c r="C2582" s="73">
        <v>1.50839112130154E8</v>
      </c>
      <c r="D2582" s="73">
        <v>5.86892636519969E7</v>
      </c>
      <c r="E2582" s="73">
        <v>7850787.69657454</v>
      </c>
      <c r="F2582" s="73"/>
      <c r="G2582" s="73"/>
      <c r="H2582" s="73"/>
      <c r="I2582" s="73"/>
      <c r="J2582" s="73"/>
      <c r="K2582" s="73"/>
      <c r="L2582" s="73"/>
      <c r="M2582" s="73"/>
      <c r="N2582" s="73"/>
      <c r="O2582" s="73"/>
      <c r="P2582" s="73"/>
      <c r="Q2582" s="73"/>
      <c r="R2582" s="73"/>
      <c r="S2582" s="73"/>
      <c r="T2582" s="73"/>
      <c r="U2582" s="73"/>
      <c r="V2582" s="73"/>
      <c r="W2582" s="73"/>
      <c r="X2582" s="73"/>
      <c r="Y2582" s="73"/>
      <c r="Z2582" s="73"/>
      <c r="AA2582" s="73"/>
      <c r="AB2582" s="73"/>
    </row>
    <row r="2583">
      <c r="A2583" s="73"/>
      <c r="B2583" s="73">
        <v>1290647.069</v>
      </c>
      <c r="C2583" s="73">
        <v>1.50998243005733E8</v>
      </c>
      <c r="D2583" s="73">
        <v>5.87690863599979E7</v>
      </c>
      <c r="E2583" s="73">
        <v>7860253.24777845</v>
      </c>
      <c r="F2583" s="73"/>
      <c r="G2583" s="73"/>
      <c r="H2583" s="73"/>
      <c r="I2583" s="73"/>
      <c r="J2583" s="73"/>
      <c r="K2583" s="73"/>
      <c r="L2583" s="73"/>
      <c r="M2583" s="73"/>
      <c r="N2583" s="73"/>
      <c r="O2583" s="73"/>
      <c r="P2583" s="73"/>
      <c r="Q2583" s="73"/>
      <c r="R2583" s="73"/>
      <c r="S2583" s="73"/>
      <c r="T2583" s="73"/>
      <c r="U2583" s="73"/>
      <c r="V2583" s="73"/>
      <c r="W2583" s="73"/>
      <c r="X2583" s="73"/>
      <c r="Y2583" s="73"/>
      <c r="Z2583" s="73"/>
      <c r="AA2583" s="73"/>
      <c r="AB2583" s="73"/>
    </row>
    <row r="2584">
      <c r="A2584" s="73"/>
      <c r="B2584" s="73">
        <v>1292535.927</v>
      </c>
      <c r="C2584" s="73">
        <v>1.5115748924131E8</v>
      </c>
      <c r="D2584" s="73">
        <v>5.88489815079988E7</v>
      </c>
      <c r="E2584" s="73">
        <v>7869729.44657579</v>
      </c>
      <c r="F2584" s="73"/>
      <c r="G2584" s="73"/>
      <c r="H2584" s="73"/>
      <c r="I2584" s="73"/>
      <c r="J2584" s="73"/>
      <c r="K2584" s="73"/>
      <c r="L2584" s="73"/>
      <c r="M2584" s="73"/>
      <c r="N2584" s="73"/>
      <c r="O2584" s="73"/>
      <c r="P2584" s="73"/>
      <c r="Q2584" s="73"/>
      <c r="R2584" s="73"/>
      <c r="S2584" s="73"/>
      <c r="T2584" s="73"/>
      <c r="U2584" s="73"/>
      <c r="V2584" s="73"/>
      <c r="W2584" s="73"/>
      <c r="X2584" s="73"/>
      <c r="Y2584" s="73"/>
      <c r="Z2584" s="73"/>
      <c r="AA2584" s="73"/>
      <c r="AB2584" s="73"/>
    </row>
    <row r="2585">
      <c r="A2585" s="73"/>
      <c r="B2585" s="73">
        <v>1294427.477</v>
      </c>
      <c r="C2585" s="73">
        <v>1.51316817876884E8</v>
      </c>
      <c r="D2585" s="73">
        <v>5.89289490239997E7</v>
      </c>
      <c r="E2585" s="73">
        <v>7879216.5880341</v>
      </c>
      <c r="F2585" s="73"/>
      <c r="G2585" s="73"/>
      <c r="H2585" s="73"/>
      <c r="I2585" s="73"/>
      <c r="J2585" s="73"/>
      <c r="K2585" s="73"/>
      <c r="L2585" s="73"/>
      <c r="M2585" s="73"/>
      <c r="N2585" s="73"/>
      <c r="O2585" s="73"/>
      <c r="P2585" s="73"/>
      <c r="Q2585" s="73"/>
      <c r="R2585" s="73"/>
      <c r="S2585" s="73"/>
      <c r="T2585" s="73"/>
      <c r="U2585" s="73"/>
      <c r="V2585" s="73"/>
      <c r="W2585" s="73"/>
      <c r="X2585" s="73"/>
      <c r="Y2585" s="73"/>
      <c r="Z2585" s="73"/>
      <c r="AA2585" s="73"/>
      <c r="AB2585" s="73"/>
    </row>
    <row r="2586">
      <c r="A2586" s="73"/>
      <c r="B2586" s="73">
        <v>1296321.677</v>
      </c>
      <c r="C2586" s="73">
        <v>1.51476261872456E8</v>
      </c>
      <c r="D2586" s="73">
        <v>5.90089786680006E7</v>
      </c>
      <c r="E2586" s="73">
        <v>7888714.03854835</v>
      </c>
      <c r="F2586" s="73"/>
      <c r="G2586" s="73"/>
      <c r="H2586" s="73"/>
      <c r="I2586" s="73"/>
      <c r="J2586" s="73"/>
      <c r="K2586" s="73"/>
      <c r="L2586" s="73"/>
      <c r="M2586" s="73"/>
      <c r="N2586" s="73"/>
      <c r="O2586" s="73"/>
      <c r="P2586" s="73"/>
      <c r="Q2586" s="73"/>
      <c r="R2586" s="73"/>
      <c r="S2586" s="73"/>
      <c r="T2586" s="73"/>
      <c r="U2586" s="73"/>
      <c r="V2586" s="73"/>
      <c r="W2586" s="73"/>
      <c r="X2586" s="73"/>
      <c r="Y2586" s="73"/>
      <c r="Z2586" s="73"/>
      <c r="AA2586" s="73"/>
      <c r="AB2586" s="73"/>
    </row>
    <row r="2587">
      <c r="A2587" s="73"/>
      <c r="B2587" s="73">
        <v>1298218.62</v>
      </c>
      <c r="C2587" s="73">
        <v>1.51635821228024E8</v>
      </c>
      <c r="D2587" s="73">
        <v>5.90890859439939E7</v>
      </c>
      <c r="E2587" s="73">
        <v>7898222.57134544</v>
      </c>
      <c r="F2587" s="73"/>
      <c r="G2587" s="73"/>
      <c r="H2587" s="73"/>
      <c r="I2587" s="73"/>
      <c r="J2587" s="73"/>
      <c r="K2587" s="73"/>
      <c r="L2587" s="73"/>
      <c r="M2587" s="73"/>
      <c r="N2587" s="73"/>
      <c r="O2587" s="73"/>
      <c r="P2587" s="73"/>
      <c r="Q2587" s="73"/>
      <c r="R2587" s="73"/>
      <c r="S2587" s="73"/>
      <c r="T2587" s="73"/>
      <c r="U2587" s="73"/>
      <c r="V2587" s="73"/>
      <c r="W2587" s="73"/>
      <c r="X2587" s="73"/>
      <c r="Y2587" s="73"/>
      <c r="Z2587" s="73"/>
      <c r="AA2587" s="73"/>
      <c r="AB2587" s="73"/>
    </row>
    <row r="2588">
      <c r="A2588" s="73"/>
      <c r="B2588" s="73">
        <v>1300118.242</v>
      </c>
      <c r="C2588" s="73">
        <v>1.51795495943588E8</v>
      </c>
      <c r="D2588" s="73">
        <v>5.91692654359948E7</v>
      </c>
      <c r="E2588" s="73">
        <v>7907741.64822033</v>
      </c>
      <c r="F2588" s="73"/>
      <c r="G2588" s="73"/>
      <c r="H2588" s="73"/>
      <c r="I2588" s="73"/>
      <c r="J2588" s="73"/>
      <c r="K2588" s="73"/>
      <c r="L2588" s="73"/>
      <c r="M2588" s="73"/>
      <c r="N2588" s="73"/>
      <c r="O2588" s="73"/>
      <c r="P2588" s="73"/>
      <c r="Q2588" s="73"/>
      <c r="R2588" s="73"/>
      <c r="S2588" s="73"/>
      <c r="T2588" s="73"/>
      <c r="U2588" s="73"/>
      <c r="V2588" s="73"/>
      <c r="W2588" s="73"/>
      <c r="X2588" s="73"/>
      <c r="Y2588" s="73"/>
      <c r="Z2588" s="73"/>
      <c r="AA2588" s="73"/>
      <c r="AB2588" s="73"/>
    </row>
    <row r="2589">
      <c r="A2589" s="73"/>
      <c r="B2589" s="73">
        <v>1302020.556</v>
      </c>
      <c r="C2589" s="73">
        <v>1.51955253059151E8</v>
      </c>
      <c r="D2589" s="73">
        <v>5.92495072079957E7</v>
      </c>
      <c r="E2589" s="73">
        <v>7917271.28308553</v>
      </c>
      <c r="F2589" s="73"/>
      <c r="G2589" s="73"/>
      <c r="H2589" s="73"/>
      <c r="I2589" s="73"/>
      <c r="J2589" s="73"/>
      <c r="K2589" s="73"/>
      <c r="L2589" s="73"/>
      <c r="M2589" s="73"/>
      <c r="N2589" s="73"/>
      <c r="O2589" s="73"/>
      <c r="P2589" s="73"/>
      <c r="Q2589" s="73"/>
      <c r="R2589" s="73"/>
      <c r="S2589" s="73"/>
      <c r="T2589" s="73"/>
      <c r="U2589" s="73"/>
      <c r="V2589" s="73"/>
      <c r="W2589" s="73"/>
      <c r="X2589" s="73"/>
      <c r="Y2589" s="73"/>
      <c r="Z2589" s="73"/>
      <c r="AA2589" s="73"/>
      <c r="AB2589" s="73"/>
    </row>
    <row r="2590">
      <c r="A2590" s="73"/>
      <c r="B2590" s="73">
        <v>1303925.621</v>
      </c>
      <c r="C2590" s="73">
        <v>1.5211510905471E8</v>
      </c>
      <c r="D2590" s="73">
        <v>5.93298264599966E7</v>
      </c>
      <c r="E2590" s="73">
        <v>7926811.79510702</v>
      </c>
      <c r="F2590" s="73"/>
      <c r="G2590" s="73"/>
      <c r="H2590" s="73"/>
      <c r="I2590" s="73"/>
      <c r="J2590" s="73"/>
      <c r="K2590" s="73"/>
      <c r="L2590" s="73"/>
      <c r="M2590" s="73"/>
      <c r="N2590" s="73"/>
      <c r="O2590" s="73"/>
      <c r="P2590" s="73"/>
      <c r="Q2590" s="73"/>
      <c r="R2590" s="73"/>
      <c r="S2590" s="73"/>
      <c r="T2590" s="73"/>
      <c r="U2590" s="73"/>
      <c r="V2590" s="73"/>
      <c r="W2590" s="73"/>
      <c r="X2590" s="73"/>
      <c r="Y2590" s="73"/>
      <c r="Z2590" s="73"/>
      <c r="AA2590" s="73"/>
      <c r="AB2590" s="73"/>
    </row>
    <row r="2591">
      <c r="A2591" s="73"/>
      <c r="B2591" s="73">
        <v>1305833.359</v>
      </c>
      <c r="C2591" s="73">
        <v>1.52275113370266E8</v>
      </c>
      <c r="D2591" s="73">
        <v>5.94102128879976E7</v>
      </c>
      <c r="E2591" s="73">
        <v>7936363.26179729</v>
      </c>
      <c r="F2591" s="73"/>
      <c r="G2591" s="73"/>
      <c r="H2591" s="73"/>
      <c r="I2591" s="73"/>
      <c r="J2591" s="73"/>
      <c r="K2591" s="73"/>
      <c r="L2591" s="73"/>
      <c r="M2591" s="73"/>
      <c r="N2591" s="73"/>
      <c r="O2591" s="73"/>
      <c r="P2591" s="73"/>
      <c r="Q2591" s="73"/>
      <c r="R2591" s="73"/>
      <c r="S2591" s="73"/>
      <c r="T2591" s="73"/>
      <c r="U2591" s="73"/>
      <c r="V2591" s="73"/>
      <c r="W2591" s="73"/>
      <c r="X2591" s="73"/>
      <c r="Y2591" s="73"/>
      <c r="Z2591" s="73"/>
      <c r="AA2591" s="73"/>
      <c r="AB2591" s="73"/>
    </row>
    <row r="2592">
      <c r="A2592" s="73"/>
      <c r="B2592" s="73">
        <v>1307743.797</v>
      </c>
      <c r="C2592" s="73">
        <v>1.52435200085819E8</v>
      </c>
      <c r="D2592" s="73">
        <v>5.94906718279985E7</v>
      </c>
      <c r="E2592" s="73">
        <v>7945925.47413098</v>
      </c>
      <c r="F2592" s="73"/>
      <c r="G2592" s="73"/>
      <c r="H2592" s="73"/>
      <c r="I2592" s="73"/>
      <c r="J2592" s="73"/>
      <c r="K2592" s="73"/>
      <c r="L2592" s="73"/>
      <c r="M2592" s="73"/>
      <c r="N2592" s="73"/>
      <c r="O2592" s="73"/>
      <c r="P2592" s="73"/>
      <c r="Q2592" s="73"/>
      <c r="R2592" s="73"/>
      <c r="S2592" s="73"/>
      <c r="T2592" s="73"/>
      <c r="U2592" s="73"/>
      <c r="V2592" s="73"/>
      <c r="W2592" s="73"/>
      <c r="X2592" s="73"/>
      <c r="Y2592" s="73"/>
      <c r="Z2592" s="73"/>
      <c r="AA2592" s="73"/>
      <c r="AB2592" s="73"/>
    </row>
    <row r="2593">
      <c r="A2593" s="73"/>
      <c r="B2593" s="73">
        <v>1309657.005</v>
      </c>
      <c r="C2593" s="73">
        <v>1.5259538568137E8</v>
      </c>
      <c r="D2593" s="73">
        <v>5.95712031359994E7</v>
      </c>
      <c r="E2593" s="73">
        <v>7955498.1392003</v>
      </c>
      <c r="F2593" s="73"/>
      <c r="G2593" s="73"/>
      <c r="H2593" s="73"/>
      <c r="I2593" s="73"/>
      <c r="J2593" s="73"/>
      <c r="K2593" s="73"/>
      <c r="L2593" s="73"/>
      <c r="M2593" s="73"/>
      <c r="N2593" s="73"/>
      <c r="O2593" s="73"/>
      <c r="P2593" s="73"/>
      <c r="Q2593" s="73"/>
      <c r="R2593" s="73"/>
      <c r="S2593" s="73"/>
      <c r="T2593" s="73"/>
      <c r="U2593" s="73"/>
      <c r="V2593" s="73"/>
      <c r="W2593" s="73"/>
      <c r="X2593" s="73"/>
      <c r="Y2593" s="73"/>
      <c r="Z2593" s="73"/>
      <c r="AA2593" s="73"/>
      <c r="AB2593" s="73"/>
    </row>
    <row r="2594">
      <c r="A2594" s="73"/>
      <c r="B2594" s="73">
        <v>1311572.853</v>
      </c>
      <c r="C2594" s="73">
        <v>1.52755686636917E8</v>
      </c>
      <c r="D2594" s="73">
        <v>5.96518016920003E7</v>
      </c>
      <c r="E2594" s="73">
        <v>7965081.99785245</v>
      </c>
      <c r="F2594" s="73"/>
      <c r="G2594" s="73"/>
      <c r="H2594" s="73"/>
      <c r="I2594" s="73"/>
      <c r="J2594" s="73"/>
      <c r="K2594" s="73"/>
      <c r="L2594" s="73"/>
      <c r="M2594" s="73"/>
      <c r="N2594" s="73"/>
      <c r="O2594" s="73"/>
      <c r="P2594" s="73"/>
      <c r="Q2594" s="73"/>
      <c r="R2594" s="73"/>
      <c r="S2594" s="73"/>
      <c r="T2594" s="73"/>
      <c r="U2594" s="73"/>
      <c r="V2594" s="73"/>
      <c r="W2594" s="73"/>
      <c r="X2594" s="73"/>
      <c r="Y2594" s="73"/>
      <c r="Z2594" s="73"/>
      <c r="AA2594" s="73"/>
      <c r="AB2594" s="73"/>
    </row>
    <row r="2595">
      <c r="A2595" s="73"/>
      <c r="B2595" s="73">
        <v>1313491.489</v>
      </c>
      <c r="C2595" s="73">
        <v>1.52916086472462E8</v>
      </c>
      <c r="D2595" s="73">
        <v>5.97324726160012E7</v>
      </c>
      <c r="E2595" s="73">
        <v>7974676.51014333</v>
      </c>
      <c r="F2595" s="73"/>
      <c r="G2595" s="73"/>
      <c r="H2595" s="73"/>
      <c r="I2595" s="73"/>
      <c r="J2595" s="73"/>
      <c r="K2595" s="73"/>
      <c r="L2595" s="73"/>
      <c r="M2595" s="73"/>
      <c r="N2595" s="73"/>
      <c r="O2595" s="73"/>
      <c r="P2595" s="73"/>
      <c r="Q2595" s="73"/>
      <c r="R2595" s="73"/>
      <c r="S2595" s="73"/>
      <c r="T2595" s="73"/>
      <c r="U2595" s="73"/>
      <c r="V2595" s="73"/>
      <c r="W2595" s="73"/>
      <c r="X2595" s="73"/>
      <c r="Y2595" s="73"/>
      <c r="Z2595" s="73"/>
      <c r="AA2595" s="73"/>
      <c r="AB2595" s="73"/>
    </row>
    <row r="2596">
      <c r="A2596" s="73"/>
      <c r="B2596" s="73">
        <v>1315412.809</v>
      </c>
      <c r="C2596" s="73">
        <v>1.53076601668003E8</v>
      </c>
      <c r="D2596" s="73">
        <v>5.98132160519945E7</v>
      </c>
      <c r="E2596" s="73">
        <v>7984282.14074049</v>
      </c>
      <c r="F2596" s="73"/>
      <c r="G2596" s="73"/>
      <c r="H2596" s="73"/>
      <c r="I2596" s="73"/>
      <c r="J2596" s="73"/>
      <c r="K2596" s="73"/>
      <c r="L2596" s="73"/>
      <c r="M2596" s="73"/>
      <c r="N2596" s="73"/>
      <c r="O2596" s="73"/>
      <c r="P2596" s="73"/>
      <c r="Q2596" s="73"/>
      <c r="R2596" s="73"/>
      <c r="S2596" s="73"/>
      <c r="T2596" s="73"/>
      <c r="U2596" s="73"/>
      <c r="V2596" s="73"/>
      <c r="W2596" s="73"/>
      <c r="X2596" s="73"/>
      <c r="Y2596" s="73"/>
      <c r="Z2596" s="73"/>
      <c r="AA2596" s="73"/>
      <c r="AB2596" s="73"/>
    </row>
    <row r="2597">
      <c r="A2597" s="73"/>
      <c r="B2597" s="73">
        <v>1317336.881</v>
      </c>
      <c r="C2597" s="73">
        <v>1.53237232223541E8</v>
      </c>
      <c r="D2597" s="73">
        <v>5.98940265839954E7</v>
      </c>
      <c r="E2597" s="73">
        <v>7993898.33967952</v>
      </c>
      <c r="F2597" s="73"/>
      <c r="G2597" s="73"/>
      <c r="H2597" s="73"/>
      <c r="I2597" s="73"/>
      <c r="J2597" s="73"/>
      <c r="K2597" s="73"/>
      <c r="L2597" s="73"/>
      <c r="M2597" s="73"/>
      <c r="N2597" s="73"/>
      <c r="O2597" s="73"/>
      <c r="P2597" s="73"/>
      <c r="Q2597" s="73"/>
      <c r="R2597" s="73"/>
      <c r="S2597" s="73"/>
      <c r="T2597" s="73"/>
      <c r="U2597" s="73"/>
      <c r="V2597" s="73"/>
      <c r="W2597" s="73"/>
      <c r="X2597" s="73"/>
      <c r="Y2597" s="73"/>
      <c r="Z2597" s="73"/>
      <c r="AA2597" s="73"/>
      <c r="AB2597" s="73"/>
    </row>
    <row r="2598">
      <c r="A2598" s="73"/>
      <c r="B2598" s="73">
        <v>1319263.696</v>
      </c>
      <c r="C2598" s="73">
        <v>1.53397945179077E8</v>
      </c>
      <c r="D2598" s="73">
        <v>5.99749096359963E7</v>
      </c>
      <c r="E2598" s="73">
        <v>8003525.53866858</v>
      </c>
      <c r="F2598" s="73"/>
      <c r="G2598" s="73"/>
      <c r="H2598" s="73"/>
      <c r="I2598" s="73"/>
      <c r="J2598" s="73"/>
      <c r="K2598" s="73"/>
      <c r="L2598" s="73"/>
      <c r="M2598" s="73"/>
      <c r="N2598" s="73"/>
      <c r="O2598" s="73"/>
      <c r="P2598" s="73"/>
      <c r="Q2598" s="73"/>
      <c r="R2598" s="73"/>
      <c r="S2598" s="73"/>
      <c r="T2598" s="73"/>
      <c r="U2598" s="73"/>
      <c r="V2598" s="73"/>
      <c r="W2598" s="73"/>
      <c r="X2598" s="73"/>
      <c r="Y2598" s="73"/>
      <c r="Z2598" s="73"/>
      <c r="AA2598" s="73"/>
      <c r="AB2598" s="73"/>
    </row>
    <row r="2599">
      <c r="A2599" s="73"/>
      <c r="B2599" s="73">
        <v>1321193.201</v>
      </c>
      <c r="C2599" s="73">
        <v>1.5355877349461E8</v>
      </c>
      <c r="D2599" s="73">
        <v>6.00558650479973E7</v>
      </c>
      <c r="E2599" s="73">
        <v>8013164.03955922</v>
      </c>
      <c r="F2599" s="73"/>
      <c r="G2599" s="73"/>
      <c r="H2599" s="73"/>
      <c r="I2599" s="73"/>
      <c r="J2599" s="73"/>
      <c r="K2599" s="73"/>
      <c r="L2599" s="73"/>
      <c r="M2599" s="73"/>
      <c r="N2599" s="73"/>
      <c r="O2599" s="73"/>
      <c r="P2599" s="73"/>
      <c r="Q2599" s="73"/>
      <c r="R2599" s="73"/>
      <c r="S2599" s="73"/>
      <c r="T2599" s="73"/>
      <c r="U2599" s="73"/>
      <c r="V2599" s="73"/>
      <c r="W2599" s="73"/>
      <c r="X2599" s="73"/>
      <c r="Y2599" s="73"/>
      <c r="Z2599" s="73"/>
      <c r="AA2599" s="73"/>
      <c r="AB2599" s="73"/>
    </row>
    <row r="2600">
      <c r="A2600" s="73"/>
      <c r="B2600" s="73">
        <v>1323125.466</v>
      </c>
      <c r="C2600" s="73">
        <v>1.53719733650139E8</v>
      </c>
      <c r="D2600" s="73">
        <v>6.01368928279982E7</v>
      </c>
      <c r="E2600" s="73">
        <v>8022812.88519136</v>
      </c>
      <c r="F2600" s="73"/>
      <c r="G2600" s="73"/>
      <c r="H2600" s="73"/>
      <c r="I2600" s="73"/>
      <c r="J2600" s="73"/>
      <c r="K2600" s="73"/>
      <c r="L2600" s="73"/>
      <c r="M2600" s="73"/>
      <c r="N2600" s="73"/>
      <c r="O2600" s="73"/>
      <c r="P2600" s="73"/>
      <c r="Q2600" s="73"/>
      <c r="R2600" s="73"/>
      <c r="S2600" s="73"/>
      <c r="T2600" s="73"/>
      <c r="U2600" s="73"/>
      <c r="V2600" s="73"/>
      <c r="W2600" s="73"/>
      <c r="X2600" s="73"/>
      <c r="Y2600" s="73"/>
      <c r="Z2600" s="73"/>
      <c r="AA2600" s="73"/>
      <c r="AB2600" s="73"/>
    </row>
    <row r="2601">
      <c r="A2601" s="73"/>
      <c r="B2601" s="73">
        <v>1325060.467</v>
      </c>
      <c r="C2601" s="73">
        <v>1.53880759725666E8</v>
      </c>
      <c r="D2601" s="73">
        <v>6.02179878559991E7</v>
      </c>
      <c r="E2601" s="73">
        <v>8032473.1414645</v>
      </c>
      <c r="F2601" s="73"/>
      <c r="G2601" s="73"/>
      <c r="H2601" s="73"/>
      <c r="I2601" s="73"/>
      <c r="J2601" s="73"/>
      <c r="K2601" s="73"/>
      <c r="L2601" s="73"/>
      <c r="M2601" s="73"/>
      <c r="N2601" s="73"/>
      <c r="O2601" s="73"/>
      <c r="P2601" s="73"/>
      <c r="Q2601" s="73"/>
      <c r="R2601" s="73"/>
      <c r="S2601" s="73"/>
      <c r="T2601" s="73"/>
      <c r="U2601" s="73"/>
      <c r="V2601" s="73"/>
      <c r="W2601" s="73"/>
      <c r="X2601" s="73"/>
      <c r="Y2601" s="73"/>
      <c r="Z2601" s="73"/>
      <c r="AA2601" s="73"/>
      <c r="AB2601" s="73"/>
    </row>
    <row r="2602">
      <c r="A2602" s="73"/>
      <c r="B2602" s="73">
        <v>1326998.192</v>
      </c>
      <c r="C2602" s="73">
        <v>1.5404191764119E8</v>
      </c>
      <c r="D2602" s="73">
        <v>6.0299155324E7</v>
      </c>
      <c r="E2602" s="73">
        <v>8042144.04648383</v>
      </c>
      <c r="F2602" s="73"/>
      <c r="G2602" s="73"/>
      <c r="H2602" s="73"/>
      <c r="I2602" s="73"/>
      <c r="J2602" s="73"/>
      <c r="K2602" s="73"/>
      <c r="L2602" s="73"/>
      <c r="M2602" s="73"/>
      <c r="N2602" s="73"/>
      <c r="O2602" s="73"/>
      <c r="P2602" s="73"/>
      <c r="Q2602" s="73"/>
      <c r="R2602" s="73"/>
      <c r="S2602" s="73"/>
      <c r="T2602" s="73"/>
      <c r="U2602" s="73"/>
      <c r="V2602" s="73"/>
      <c r="W2602" s="73"/>
      <c r="X2602" s="73"/>
      <c r="Y2602" s="73"/>
      <c r="Z2602" s="73"/>
      <c r="AA2602" s="73"/>
      <c r="AB2602" s="73"/>
    </row>
    <row r="2603">
      <c r="A2603" s="73"/>
      <c r="B2603" s="73">
        <v>1328938.669</v>
      </c>
      <c r="C2603" s="73">
        <v>1.5420317443671E8</v>
      </c>
      <c r="D2603" s="73">
        <v>6.03803952400009E7</v>
      </c>
      <c r="E2603" s="73">
        <v>8051826.25332855</v>
      </c>
      <c r="F2603" s="73"/>
      <c r="G2603" s="73"/>
      <c r="H2603" s="73"/>
      <c r="I2603" s="73"/>
      <c r="J2603" s="73"/>
      <c r="K2603" s="73"/>
      <c r="L2603" s="73"/>
      <c r="M2603" s="73"/>
      <c r="N2603" s="73"/>
      <c r="O2603" s="73"/>
      <c r="P2603" s="73"/>
      <c r="Q2603" s="73"/>
      <c r="R2603" s="73"/>
      <c r="S2603" s="73"/>
      <c r="T2603" s="73"/>
      <c r="U2603" s="73"/>
      <c r="V2603" s="73"/>
      <c r="W2603" s="73"/>
      <c r="X2603" s="73"/>
      <c r="Y2603" s="73"/>
      <c r="Z2603" s="73"/>
      <c r="AA2603" s="73"/>
      <c r="AB2603" s="73"/>
    </row>
    <row r="2604">
      <c r="A2604" s="73"/>
      <c r="B2604" s="73">
        <v>1330881.862</v>
      </c>
      <c r="C2604" s="73">
        <v>1.54364530112228E8</v>
      </c>
      <c r="D2604" s="73">
        <v>6.04617023159942E7</v>
      </c>
      <c r="E2604" s="73">
        <v>8061519.05542256</v>
      </c>
      <c r="F2604" s="73"/>
      <c r="G2604" s="73"/>
      <c r="H2604" s="73"/>
      <c r="I2604" s="73"/>
      <c r="J2604" s="73"/>
      <c r="K2604" s="73"/>
      <c r="L2604" s="73"/>
      <c r="M2604" s="73"/>
      <c r="N2604" s="73"/>
      <c r="O2604" s="73"/>
      <c r="P2604" s="73"/>
      <c r="Q2604" s="73"/>
      <c r="R2604" s="73"/>
      <c r="S2604" s="73"/>
      <c r="T2604" s="73"/>
      <c r="U2604" s="73"/>
      <c r="V2604" s="73"/>
      <c r="W2604" s="73"/>
      <c r="X2604" s="73"/>
      <c r="Y2604" s="73"/>
      <c r="Z2604" s="73"/>
      <c r="AA2604" s="73"/>
      <c r="AB2604" s="73"/>
    </row>
    <row r="2605">
      <c r="A2605" s="73"/>
      <c r="B2605" s="73">
        <v>1332827.812</v>
      </c>
      <c r="C2605" s="73">
        <v>1.54526001147743E8</v>
      </c>
      <c r="D2605" s="73">
        <v>6.05430818399951E7</v>
      </c>
      <c r="E2605" s="73">
        <v>8071223.15536697</v>
      </c>
      <c r="F2605" s="73"/>
      <c r="G2605" s="73"/>
      <c r="H2605" s="73"/>
      <c r="I2605" s="73"/>
      <c r="J2605" s="73"/>
      <c r="K2605" s="73"/>
      <c r="L2605" s="73"/>
      <c r="M2605" s="73"/>
      <c r="N2605" s="73"/>
      <c r="O2605" s="73"/>
      <c r="P2605" s="73"/>
      <c r="Q2605" s="73"/>
      <c r="R2605" s="73"/>
      <c r="S2605" s="73"/>
      <c r="T2605" s="73"/>
      <c r="U2605" s="73"/>
      <c r="V2605" s="73"/>
      <c r="W2605" s="73"/>
      <c r="X2605" s="73"/>
      <c r="Y2605" s="73"/>
      <c r="Z2605" s="73"/>
      <c r="AA2605" s="73"/>
      <c r="AB2605" s="73"/>
    </row>
    <row r="2606">
      <c r="A2606" s="73"/>
      <c r="B2606" s="73">
        <v>1334776.522</v>
      </c>
      <c r="C2606" s="73">
        <v>1.54687571063255E8</v>
      </c>
      <c r="D2606" s="73">
        <v>6.0624533803996E7</v>
      </c>
      <c r="E2606" s="73">
        <v>8080937.94430442</v>
      </c>
      <c r="F2606" s="73"/>
      <c r="G2606" s="73"/>
      <c r="H2606" s="73"/>
      <c r="I2606" s="73"/>
      <c r="J2606" s="73"/>
      <c r="K2606" s="73"/>
      <c r="L2606" s="73"/>
      <c r="M2606" s="73"/>
      <c r="N2606" s="73"/>
      <c r="O2606" s="73"/>
      <c r="P2606" s="73"/>
      <c r="Q2606" s="73"/>
      <c r="R2606" s="73"/>
      <c r="S2606" s="73"/>
      <c r="T2606" s="73"/>
      <c r="U2606" s="73"/>
      <c r="V2606" s="73"/>
      <c r="W2606" s="73"/>
      <c r="X2606" s="73"/>
      <c r="Y2606" s="73"/>
      <c r="Z2606" s="73"/>
      <c r="AA2606" s="73"/>
      <c r="AB2606" s="73"/>
    </row>
    <row r="2607">
      <c r="A2607" s="73"/>
      <c r="B2607" s="73">
        <v>1336728.006</v>
      </c>
      <c r="C2607" s="73">
        <v>1.54849272818764E8</v>
      </c>
      <c r="D2607" s="73">
        <v>6.07060580559969E7</v>
      </c>
      <c r="E2607" s="73">
        <v>8090664.39927662</v>
      </c>
      <c r="F2607" s="73"/>
      <c r="G2607" s="73"/>
      <c r="H2607" s="73"/>
      <c r="I2607" s="73"/>
      <c r="J2607" s="73"/>
      <c r="K2607" s="73"/>
      <c r="L2607" s="73"/>
      <c r="M2607" s="73"/>
      <c r="N2607" s="73"/>
      <c r="O2607" s="73"/>
      <c r="P2607" s="73"/>
      <c r="Q2607" s="73"/>
      <c r="R2607" s="73"/>
      <c r="S2607" s="73"/>
      <c r="T2607" s="73"/>
      <c r="U2607" s="73"/>
      <c r="V2607" s="73"/>
      <c r="W2607" s="73"/>
      <c r="X2607" s="73"/>
      <c r="Y2607" s="73"/>
      <c r="Z2607" s="73"/>
      <c r="AA2607" s="73"/>
      <c r="AB2607" s="73"/>
    </row>
    <row r="2608">
      <c r="A2608" s="73"/>
      <c r="B2608" s="73">
        <v>1338682.214</v>
      </c>
      <c r="C2608" s="73">
        <v>1.5501105697427E8</v>
      </c>
      <c r="D2608" s="73">
        <v>6.07876497079979E7</v>
      </c>
      <c r="E2608" s="73">
        <v>8100401.25306689</v>
      </c>
      <c r="F2608" s="73"/>
      <c r="G2608" s="73"/>
      <c r="H2608" s="73"/>
      <c r="I2608" s="73"/>
      <c r="J2608" s="73"/>
      <c r="K2608" s="73"/>
      <c r="L2608" s="73"/>
      <c r="M2608" s="73"/>
      <c r="N2608" s="73"/>
      <c r="O2608" s="73"/>
      <c r="P2608" s="73"/>
      <c r="Q2608" s="73"/>
      <c r="R2608" s="73"/>
      <c r="S2608" s="73"/>
      <c r="T2608" s="73"/>
      <c r="U2608" s="73"/>
      <c r="V2608" s="73"/>
      <c r="W2608" s="73"/>
      <c r="X2608" s="73"/>
      <c r="Y2608" s="73"/>
      <c r="Z2608" s="73"/>
      <c r="AA2608" s="73"/>
      <c r="AB2608" s="73"/>
    </row>
    <row r="2609">
      <c r="A2609" s="73"/>
      <c r="B2609" s="73">
        <v>1340639.188</v>
      </c>
      <c r="C2609" s="73">
        <v>1.55172956489773E8</v>
      </c>
      <c r="D2609" s="73">
        <v>6.08693187679988E7</v>
      </c>
      <c r="E2609" s="73">
        <v>8110149.50241966</v>
      </c>
      <c r="F2609" s="73"/>
      <c r="G2609" s="73"/>
      <c r="H2609" s="73"/>
      <c r="I2609" s="73"/>
      <c r="J2609" s="73"/>
      <c r="K2609" s="73"/>
      <c r="L2609" s="73"/>
      <c r="M2609" s="73"/>
      <c r="N2609" s="73"/>
      <c r="O2609" s="73"/>
      <c r="P2609" s="73"/>
      <c r="Q2609" s="73"/>
      <c r="R2609" s="73"/>
      <c r="S2609" s="73"/>
      <c r="T2609" s="73"/>
      <c r="U2609" s="73"/>
      <c r="V2609" s="73"/>
      <c r="W2609" s="73"/>
      <c r="X2609" s="73"/>
      <c r="Y2609" s="73"/>
      <c r="Z2609" s="73"/>
      <c r="AA2609" s="73"/>
      <c r="AB2609" s="73"/>
    </row>
    <row r="2610">
      <c r="A2610" s="73"/>
      <c r="B2610" s="73">
        <v>1342598.913</v>
      </c>
      <c r="C2610" s="73">
        <v>1.55334971365273E8</v>
      </c>
      <c r="D2610" s="73">
        <v>6.09510551479997E7</v>
      </c>
      <c r="E2610" s="73">
        <v>8119908.78908809</v>
      </c>
      <c r="F2610" s="73"/>
      <c r="G2610" s="73"/>
      <c r="H2610" s="73"/>
      <c r="I2610" s="73"/>
      <c r="J2610" s="73"/>
      <c r="K2610" s="73"/>
      <c r="L2610" s="73"/>
      <c r="M2610" s="73"/>
      <c r="N2610" s="73"/>
      <c r="O2610" s="73"/>
      <c r="P2610" s="73"/>
      <c r="Q2610" s="73"/>
      <c r="R2610" s="73"/>
      <c r="S2610" s="73"/>
      <c r="T2610" s="73"/>
      <c r="U2610" s="73"/>
      <c r="V2610" s="73"/>
      <c r="W2610" s="73"/>
      <c r="X2610" s="73"/>
      <c r="Y2610" s="73"/>
      <c r="Z2610" s="73"/>
      <c r="AA2610" s="73"/>
      <c r="AB2610" s="73"/>
    </row>
    <row r="2611">
      <c r="A2611" s="73"/>
      <c r="B2611" s="73">
        <v>1344561.385</v>
      </c>
      <c r="C2611" s="73">
        <v>1.5549708512077E8</v>
      </c>
      <c r="D2611" s="73">
        <v>6.10328587760006E7</v>
      </c>
      <c r="E2611" s="73">
        <v>8129679.46850341</v>
      </c>
      <c r="F2611" s="73"/>
      <c r="G2611" s="73"/>
      <c r="H2611" s="73"/>
      <c r="I2611" s="73"/>
      <c r="J2611" s="73"/>
      <c r="K2611" s="73"/>
      <c r="L2611" s="73"/>
      <c r="M2611" s="73"/>
      <c r="N2611" s="73"/>
      <c r="O2611" s="73"/>
      <c r="P2611" s="73"/>
      <c r="Q2611" s="73"/>
      <c r="R2611" s="73"/>
      <c r="S2611" s="73"/>
      <c r="T2611" s="73"/>
      <c r="U2611" s="73"/>
      <c r="V2611" s="73"/>
      <c r="W2611" s="73"/>
      <c r="X2611" s="73"/>
      <c r="Y2611" s="73"/>
      <c r="Z2611" s="73"/>
      <c r="AA2611" s="73"/>
      <c r="AB2611" s="73"/>
    </row>
    <row r="2612">
      <c r="A2612" s="73"/>
      <c r="B2612" s="73">
        <v>1346526.683</v>
      </c>
      <c r="C2612" s="73">
        <v>1.55659297756264E8</v>
      </c>
      <c r="D2612" s="73">
        <v>6.11147398919939E7</v>
      </c>
      <c r="E2612" s="73">
        <v>8139460.88974614</v>
      </c>
      <c r="F2612" s="73"/>
      <c r="G2612" s="73"/>
      <c r="H2612" s="73"/>
      <c r="I2612" s="73"/>
      <c r="J2612" s="73"/>
      <c r="K2612" s="73"/>
      <c r="L2612" s="73"/>
      <c r="M2612" s="73"/>
      <c r="N2612" s="73"/>
      <c r="O2612" s="73"/>
      <c r="P2612" s="73"/>
      <c r="Q2612" s="73"/>
      <c r="R2612" s="73"/>
      <c r="S2612" s="73"/>
      <c r="T2612" s="73"/>
      <c r="U2612" s="73"/>
      <c r="V2612" s="73"/>
      <c r="W2612" s="73"/>
      <c r="X2612" s="73"/>
      <c r="Y2612" s="73"/>
      <c r="Z2612" s="73"/>
      <c r="AA2612" s="73"/>
      <c r="AB2612" s="73"/>
    </row>
    <row r="2613">
      <c r="A2613" s="73"/>
      <c r="B2613" s="73">
        <v>1348494.675</v>
      </c>
      <c r="C2613" s="73">
        <v>1.55821625751755E8</v>
      </c>
      <c r="D2613" s="73">
        <v>6.11966934479948E7</v>
      </c>
      <c r="E2613" s="73">
        <v>8149253.47484202</v>
      </c>
      <c r="F2613" s="73"/>
      <c r="G2613" s="73"/>
      <c r="H2613" s="73"/>
      <c r="I2613" s="73"/>
      <c r="J2613" s="73"/>
      <c r="K2613" s="73"/>
      <c r="L2613" s="73"/>
      <c r="M2613" s="73"/>
      <c r="N2613" s="73"/>
      <c r="O2613" s="73"/>
      <c r="P2613" s="73"/>
      <c r="Q2613" s="73"/>
      <c r="R2613" s="73"/>
      <c r="S2613" s="73"/>
      <c r="T2613" s="73"/>
      <c r="U2613" s="73"/>
      <c r="V2613" s="73"/>
      <c r="W2613" s="73"/>
      <c r="X2613" s="73"/>
      <c r="Y2613" s="73"/>
      <c r="Z2613" s="73"/>
      <c r="AA2613" s="73"/>
      <c r="AB2613" s="73"/>
    </row>
    <row r="2614">
      <c r="A2614" s="73"/>
      <c r="B2614" s="73">
        <v>1350465.466</v>
      </c>
      <c r="C2614" s="73">
        <v>1.55984052627243E8</v>
      </c>
      <c r="D2614" s="73">
        <v>6.12787142519957E7</v>
      </c>
      <c r="E2614" s="73">
        <v>8159057.2718223</v>
      </c>
      <c r="F2614" s="73"/>
      <c r="G2614" s="73"/>
      <c r="H2614" s="73"/>
      <c r="I2614" s="73"/>
      <c r="J2614" s="73"/>
      <c r="K2614" s="73"/>
      <c r="L2614" s="73"/>
      <c r="M2614" s="73"/>
      <c r="N2614" s="73"/>
      <c r="O2614" s="73"/>
      <c r="P2614" s="73"/>
      <c r="Q2614" s="73"/>
      <c r="R2614" s="73"/>
      <c r="S2614" s="73"/>
      <c r="T2614" s="73"/>
      <c r="U2614" s="73"/>
      <c r="V2614" s="73"/>
      <c r="W2614" s="73"/>
      <c r="X2614" s="73"/>
      <c r="Y2614" s="73"/>
      <c r="Z2614" s="73"/>
      <c r="AA2614" s="73"/>
      <c r="AB2614" s="73"/>
    </row>
    <row r="2615">
      <c r="A2615" s="73"/>
      <c r="B2615" s="73">
        <v>1352439.025</v>
      </c>
      <c r="C2615" s="73">
        <v>1.56146594862728E8</v>
      </c>
      <c r="D2615" s="73">
        <v>6.13608074959966E7</v>
      </c>
      <c r="E2615" s="73">
        <v>8168872.60199945</v>
      </c>
      <c r="F2615" s="73"/>
      <c r="G2615" s="73"/>
      <c r="H2615" s="73"/>
      <c r="I2615" s="73"/>
      <c r="J2615" s="73"/>
      <c r="K2615" s="73"/>
      <c r="L2615" s="73"/>
      <c r="M2615" s="73"/>
      <c r="N2615" s="73"/>
      <c r="O2615" s="73"/>
      <c r="P2615" s="73"/>
      <c r="Q2615" s="73"/>
      <c r="R2615" s="73"/>
      <c r="S2615" s="73"/>
      <c r="T2615" s="73"/>
      <c r="U2615" s="73"/>
      <c r="V2615" s="73"/>
      <c r="W2615" s="73"/>
      <c r="X2615" s="73"/>
      <c r="Y2615" s="73"/>
      <c r="Z2615" s="73"/>
      <c r="AA2615" s="73"/>
      <c r="AB2615" s="73"/>
    </row>
    <row r="2616">
      <c r="A2616" s="73"/>
      <c r="B2616" s="73">
        <v>1354415.365</v>
      </c>
      <c r="C2616" s="73">
        <v>1.5630925245821E8</v>
      </c>
      <c r="D2616" s="73">
        <v>6.14429679799976E7</v>
      </c>
      <c r="E2616" s="73">
        <v>8178698.55889465</v>
      </c>
      <c r="F2616" s="73"/>
      <c r="G2616" s="73"/>
      <c r="H2616" s="73"/>
      <c r="I2616" s="73"/>
      <c r="J2616" s="73"/>
      <c r="K2616" s="73"/>
      <c r="L2616" s="73"/>
      <c r="M2616" s="73"/>
      <c r="N2616" s="73"/>
      <c r="O2616" s="73"/>
      <c r="P2616" s="73"/>
      <c r="Q2616" s="73"/>
      <c r="R2616" s="73"/>
      <c r="S2616" s="73"/>
      <c r="T2616" s="73"/>
      <c r="U2616" s="73"/>
      <c r="V2616" s="73"/>
      <c r="W2616" s="73"/>
      <c r="X2616" s="73"/>
      <c r="Y2616" s="73"/>
      <c r="Z2616" s="73"/>
      <c r="AA2616" s="73"/>
      <c r="AB2616" s="73"/>
    </row>
    <row r="2617">
      <c r="A2617" s="73"/>
      <c r="B2617" s="73">
        <v>1356394.469</v>
      </c>
      <c r="C2617" s="73">
        <v>1.5647199245369E8</v>
      </c>
      <c r="D2617" s="73">
        <v>6.15252060319985E7</v>
      </c>
      <c r="E2617" s="73">
        <v>8188536.20666835</v>
      </c>
      <c r="F2617" s="73"/>
      <c r="G2617" s="73"/>
      <c r="H2617" s="73"/>
      <c r="I2617" s="73"/>
      <c r="J2617" s="73"/>
      <c r="K2617" s="73"/>
      <c r="L2617" s="73"/>
      <c r="M2617" s="73"/>
      <c r="N2617" s="73"/>
      <c r="O2617" s="73"/>
      <c r="P2617" s="73"/>
      <c r="Q2617" s="73"/>
      <c r="R2617" s="73"/>
      <c r="S2617" s="73"/>
      <c r="T2617" s="73"/>
      <c r="U2617" s="73"/>
      <c r="V2617" s="73"/>
      <c r="W2617" s="73"/>
      <c r="X2617" s="73"/>
      <c r="Y2617" s="73"/>
      <c r="Z2617" s="73"/>
      <c r="AA2617" s="73"/>
      <c r="AB2617" s="73"/>
    </row>
    <row r="2618">
      <c r="A2618" s="73"/>
      <c r="B2618" s="73">
        <v>1358376.349</v>
      </c>
      <c r="C2618" s="73">
        <v>1.56634847809166E8</v>
      </c>
      <c r="D2618" s="73">
        <v>6.16075163719994E7</v>
      </c>
      <c r="E2618" s="73">
        <v>8198384.82020108</v>
      </c>
      <c r="F2618" s="73"/>
      <c r="G2618" s="73"/>
      <c r="H2618" s="73"/>
      <c r="I2618" s="73"/>
      <c r="J2618" s="73"/>
      <c r="K2618" s="73"/>
      <c r="L2618" s="73"/>
      <c r="M2618" s="73"/>
      <c r="N2618" s="73"/>
      <c r="O2618" s="73"/>
      <c r="P2618" s="73"/>
      <c r="Q2618" s="73"/>
      <c r="R2618" s="73"/>
      <c r="S2618" s="73"/>
      <c r="T2618" s="73"/>
      <c r="U2618" s="73"/>
      <c r="V2618" s="73"/>
      <c r="W2618" s="73"/>
      <c r="X2618" s="73"/>
      <c r="Y2618" s="73"/>
      <c r="Z2618" s="73"/>
      <c r="AA2618" s="73"/>
      <c r="AB2618" s="73"/>
    </row>
    <row r="2619">
      <c r="A2619" s="73"/>
      <c r="B2619" s="73">
        <v>1360360.997</v>
      </c>
      <c r="C2619" s="73">
        <v>1.56797818524639E8</v>
      </c>
      <c r="D2619" s="73">
        <v>6.16898940400003E7</v>
      </c>
      <c r="E2619" s="73">
        <v>8208244.51824597</v>
      </c>
      <c r="F2619" s="73"/>
      <c r="G2619" s="73"/>
      <c r="H2619" s="73"/>
      <c r="I2619" s="73"/>
      <c r="J2619" s="73"/>
      <c r="K2619" s="73"/>
      <c r="L2619" s="73"/>
      <c r="M2619" s="73"/>
      <c r="N2619" s="73"/>
      <c r="O2619" s="73"/>
      <c r="P2619" s="73"/>
      <c r="Q2619" s="73"/>
      <c r="R2619" s="73"/>
      <c r="S2619" s="73"/>
      <c r="T2619" s="73"/>
      <c r="U2619" s="73"/>
      <c r="V2619" s="73"/>
      <c r="W2619" s="73"/>
      <c r="X2619" s="73"/>
      <c r="Y2619" s="73"/>
      <c r="Z2619" s="73"/>
      <c r="AA2619" s="73"/>
      <c r="AB2619" s="73"/>
    </row>
    <row r="2620">
      <c r="A2620" s="73"/>
      <c r="B2620" s="73">
        <v>1362348.423</v>
      </c>
      <c r="C2620" s="73">
        <v>1.56960904600109E8</v>
      </c>
      <c r="D2620" s="73">
        <v>6.17723441400012E7</v>
      </c>
      <c r="E2620" s="73">
        <v>8218115.73193148</v>
      </c>
      <c r="F2620" s="73"/>
      <c r="G2620" s="73"/>
      <c r="H2620" s="73"/>
      <c r="I2620" s="73"/>
      <c r="J2620" s="73"/>
      <c r="K2620" s="73"/>
      <c r="L2620" s="73"/>
      <c r="M2620" s="73"/>
      <c r="N2620" s="73"/>
      <c r="O2620" s="73"/>
      <c r="P2620" s="73"/>
      <c r="Q2620" s="73"/>
      <c r="R2620" s="73"/>
      <c r="S2620" s="73"/>
      <c r="T2620" s="73"/>
      <c r="U2620" s="73"/>
      <c r="V2620" s="73"/>
      <c r="W2620" s="73"/>
      <c r="X2620" s="73"/>
      <c r="Y2620" s="73"/>
      <c r="Z2620" s="73"/>
      <c r="AA2620" s="73"/>
      <c r="AB2620" s="73"/>
    </row>
    <row r="2621">
      <c r="A2621" s="73"/>
      <c r="B2621" s="73">
        <v>1364338.663</v>
      </c>
      <c r="C2621" s="73">
        <v>1.57124089555576E8</v>
      </c>
      <c r="D2621" s="73">
        <v>6.18548665359945E7</v>
      </c>
      <c r="E2621" s="73">
        <v>8227997.97315414</v>
      </c>
      <c r="F2621" s="73"/>
      <c r="G2621" s="73"/>
      <c r="H2621" s="73"/>
      <c r="I2621" s="73"/>
      <c r="J2621" s="73"/>
      <c r="K2621" s="73"/>
      <c r="L2621" s="73"/>
      <c r="M2621" s="73"/>
      <c r="N2621" s="73"/>
      <c r="O2621" s="73"/>
      <c r="P2621" s="73"/>
      <c r="Q2621" s="73"/>
      <c r="R2621" s="73"/>
      <c r="S2621" s="73"/>
      <c r="T2621" s="73"/>
      <c r="U2621" s="73"/>
      <c r="V2621" s="73"/>
      <c r="W2621" s="73"/>
      <c r="X2621" s="73"/>
      <c r="Y2621" s="73"/>
      <c r="Z2621" s="73"/>
      <c r="AA2621" s="73"/>
      <c r="AB2621" s="73"/>
    </row>
    <row r="2622">
      <c r="A2622" s="73"/>
      <c r="B2622" s="73">
        <v>1366331.695</v>
      </c>
      <c r="C2622" s="73">
        <v>1.57287373391041E8</v>
      </c>
      <c r="D2622" s="73">
        <v>6.19374614439954E7</v>
      </c>
      <c r="E2622" s="73">
        <v>8237891.67188307</v>
      </c>
      <c r="F2622" s="73"/>
      <c r="G2622" s="73"/>
      <c r="H2622" s="73"/>
      <c r="I2622" s="73"/>
      <c r="J2622" s="73"/>
      <c r="K2622" s="73"/>
      <c r="L2622" s="73"/>
      <c r="M2622" s="73"/>
      <c r="N2622" s="73"/>
      <c r="O2622" s="73"/>
      <c r="P2622" s="73"/>
      <c r="Q2622" s="73"/>
      <c r="R2622" s="73"/>
      <c r="S2622" s="73"/>
      <c r="T2622" s="73"/>
      <c r="U2622" s="73"/>
      <c r="V2622" s="73"/>
      <c r="W2622" s="73"/>
      <c r="X2622" s="73"/>
      <c r="Y2622" s="73"/>
      <c r="Z2622" s="73"/>
      <c r="AA2622" s="73"/>
      <c r="AB2622" s="73"/>
    </row>
    <row r="2623">
      <c r="A2623" s="73"/>
      <c r="B2623" s="73">
        <v>1368327.484</v>
      </c>
      <c r="C2623" s="73">
        <v>1.57450772586502E8</v>
      </c>
      <c r="D2623" s="73">
        <v>6.20201235279963E7</v>
      </c>
      <c r="E2623" s="73">
        <v>8247796.73603075</v>
      </c>
      <c r="F2623" s="73"/>
      <c r="G2623" s="73"/>
      <c r="H2623" s="73"/>
      <c r="I2623" s="73"/>
      <c r="J2623" s="73"/>
      <c r="K2623" s="73"/>
      <c r="L2623" s="73"/>
      <c r="M2623" s="73"/>
      <c r="N2623" s="73"/>
      <c r="O2623" s="73"/>
      <c r="P2623" s="73"/>
      <c r="Q2623" s="73"/>
      <c r="R2623" s="73"/>
      <c r="S2623" s="73"/>
      <c r="T2623" s="73"/>
      <c r="U2623" s="73"/>
      <c r="V2623" s="73"/>
      <c r="W2623" s="73"/>
      <c r="X2623" s="73"/>
      <c r="Y2623" s="73"/>
      <c r="Z2623" s="73"/>
      <c r="AA2623" s="73"/>
      <c r="AB2623" s="73"/>
    </row>
    <row r="2624">
      <c r="A2624" s="73"/>
      <c r="B2624" s="73">
        <v>1370326.079</v>
      </c>
      <c r="C2624" s="73">
        <v>1.5761428714196E8</v>
      </c>
      <c r="D2624" s="73">
        <v>6.21028580519973E7</v>
      </c>
      <c r="E2624" s="73">
        <v>8257713.0908937</v>
      </c>
      <c r="F2624" s="73"/>
      <c r="G2624" s="73"/>
      <c r="H2624" s="73"/>
      <c r="I2624" s="73"/>
      <c r="J2624" s="73"/>
      <c r="K2624" s="73"/>
      <c r="L2624" s="73"/>
      <c r="M2624" s="73"/>
      <c r="N2624" s="73"/>
      <c r="O2624" s="73"/>
      <c r="P2624" s="73"/>
      <c r="Q2624" s="73"/>
      <c r="R2624" s="73"/>
      <c r="S2624" s="73"/>
      <c r="T2624" s="73"/>
      <c r="U2624" s="73"/>
      <c r="V2624" s="73"/>
      <c r="W2624" s="73"/>
      <c r="X2624" s="73"/>
      <c r="Y2624" s="73"/>
      <c r="Z2624" s="73"/>
      <c r="AA2624" s="73"/>
      <c r="AB2624" s="73"/>
    </row>
    <row r="2625">
      <c r="A2625" s="73"/>
      <c r="B2625" s="73">
        <v>1372327.485</v>
      </c>
      <c r="C2625" s="73">
        <v>1.57777884097416E8</v>
      </c>
      <c r="D2625" s="73">
        <v>6.21856701359982E7</v>
      </c>
      <c r="E2625" s="73">
        <v>8267640.71892229</v>
      </c>
      <c r="F2625" s="73"/>
      <c r="G2625" s="73"/>
      <c r="H2625" s="73"/>
      <c r="I2625" s="73"/>
      <c r="J2625" s="73"/>
      <c r="K2625" s="73"/>
      <c r="L2625" s="73"/>
      <c r="M2625" s="73"/>
      <c r="N2625" s="73"/>
      <c r="O2625" s="73"/>
      <c r="P2625" s="73"/>
      <c r="Q2625" s="73"/>
      <c r="R2625" s="73"/>
      <c r="S2625" s="73"/>
      <c r="T2625" s="73"/>
      <c r="U2625" s="73"/>
      <c r="V2625" s="73"/>
      <c r="W2625" s="73"/>
      <c r="X2625" s="73"/>
      <c r="Y2625" s="73"/>
      <c r="Z2625" s="73"/>
      <c r="AA2625" s="73"/>
      <c r="AB2625" s="73"/>
    </row>
    <row r="2626">
      <c r="A2626" s="73"/>
      <c r="B2626" s="73">
        <v>1374331.663</v>
      </c>
      <c r="C2626" s="73">
        <v>1.57941612892868E8</v>
      </c>
      <c r="D2626" s="73">
        <v>6.22685494679991E7</v>
      </c>
      <c r="E2626" s="73">
        <v>8277579.64313177</v>
      </c>
      <c r="F2626" s="73"/>
      <c r="G2626" s="73"/>
      <c r="H2626" s="73"/>
      <c r="I2626" s="73"/>
      <c r="J2626" s="73"/>
      <c r="K2626" s="73"/>
      <c r="L2626" s="73"/>
      <c r="M2626" s="73"/>
      <c r="N2626" s="73"/>
      <c r="O2626" s="73"/>
      <c r="P2626" s="73"/>
      <c r="Q2626" s="73"/>
      <c r="R2626" s="73"/>
      <c r="S2626" s="73"/>
      <c r="T2626" s="73"/>
      <c r="U2626" s="73"/>
      <c r="V2626" s="73"/>
      <c r="W2626" s="73"/>
      <c r="X2626" s="73"/>
      <c r="Y2626" s="73"/>
      <c r="Z2626" s="73"/>
      <c r="AA2626" s="73"/>
      <c r="AB2626" s="73"/>
    </row>
    <row r="2627">
      <c r="A2627" s="73"/>
      <c r="B2627" s="73">
        <v>1376338.643</v>
      </c>
      <c r="C2627" s="73">
        <v>1.58105440568317E8</v>
      </c>
      <c r="D2627" s="73">
        <v>6.2351501088E7</v>
      </c>
      <c r="E2627" s="73">
        <v>8287529.72555652</v>
      </c>
      <c r="F2627" s="73"/>
      <c r="G2627" s="73"/>
      <c r="H2627" s="73"/>
      <c r="I2627" s="73"/>
      <c r="J2627" s="73"/>
      <c r="K2627" s="73"/>
      <c r="L2627" s="73"/>
      <c r="M2627" s="73"/>
      <c r="N2627" s="73"/>
      <c r="O2627" s="73"/>
      <c r="P2627" s="73"/>
      <c r="Q2627" s="73"/>
      <c r="R2627" s="73"/>
      <c r="S2627" s="73"/>
      <c r="T2627" s="73"/>
      <c r="U2627" s="73"/>
      <c r="V2627" s="73"/>
      <c r="W2627" s="73"/>
      <c r="X2627" s="73"/>
      <c r="Y2627" s="73"/>
      <c r="Z2627" s="73"/>
      <c r="AA2627" s="73"/>
      <c r="AB2627" s="73"/>
    </row>
    <row r="2628">
      <c r="A2628" s="73"/>
      <c r="B2628" s="73">
        <v>1378348.4</v>
      </c>
      <c r="C2628" s="73">
        <v>1.58269367123764E8</v>
      </c>
      <c r="D2628" s="73">
        <v>6.24345252280009E7</v>
      </c>
      <c r="E2628" s="73">
        <v>8297491.62490039</v>
      </c>
      <c r="F2628" s="73"/>
      <c r="G2628" s="73"/>
      <c r="H2628" s="73"/>
      <c r="I2628" s="73"/>
      <c r="J2628" s="73"/>
      <c r="K2628" s="73"/>
      <c r="L2628" s="73"/>
      <c r="M2628" s="73"/>
      <c r="N2628" s="73"/>
      <c r="O2628" s="73"/>
      <c r="P2628" s="73"/>
      <c r="Q2628" s="73"/>
      <c r="R2628" s="73"/>
      <c r="S2628" s="73"/>
      <c r="T2628" s="73"/>
      <c r="U2628" s="73"/>
      <c r="V2628" s="73"/>
      <c r="W2628" s="73"/>
      <c r="X2628" s="73"/>
      <c r="Y2628" s="73"/>
      <c r="Z2628" s="73"/>
      <c r="AA2628" s="73"/>
      <c r="AB2628" s="73"/>
    </row>
    <row r="2629">
      <c r="A2629" s="73"/>
      <c r="B2629" s="73">
        <v>1380361.002</v>
      </c>
      <c r="C2629" s="73">
        <v>1.58433425519207E8</v>
      </c>
      <c r="D2629" s="73">
        <v>6.25176217279942E7</v>
      </c>
      <c r="E2629" s="73">
        <v>8307464.32370918</v>
      </c>
      <c r="F2629" s="73"/>
      <c r="G2629" s="73"/>
      <c r="H2629" s="73"/>
      <c r="I2629" s="73"/>
      <c r="J2629" s="73"/>
      <c r="K2629" s="73"/>
      <c r="L2629" s="73"/>
      <c r="M2629" s="73"/>
      <c r="N2629" s="73"/>
      <c r="O2629" s="73"/>
      <c r="P2629" s="73"/>
      <c r="Q2629" s="73"/>
      <c r="R2629" s="73"/>
      <c r="S2629" s="73"/>
      <c r="T2629" s="73"/>
      <c r="U2629" s="73"/>
      <c r="V2629" s="73"/>
      <c r="W2629" s="73"/>
      <c r="X2629" s="73"/>
      <c r="Y2629" s="73"/>
      <c r="Z2629" s="73"/>
      <c r="AA2629" s="73"/>
      <c r="AB2629" s="73"/>
    </row>
    <row r="2630">
      <c r="A2630" s="73"/>
      <c r="B2630" s="73">
        <v>1382376.384</v>
      </c>
      <c r="C2630" s="73">
        <v>1.58597566314648E8</v>
      </c>
      <c r="D2630" s="73">
        <v>6.26007854759951E7</v>
      </c>
      <c r="E2630" s="73">
        <v>8317449.06634331</v>
      </c>
      <c r="F2630" s="73"/>
      <c r="G2630" s="73"/>
      <c r="H2630" s="73"/>
      <c r="I2630" s="73"/>
      <c r="J2630" s="73"/>
      <c r="K2630" s="73"/>
      <c r="L2630" s="73"/>
      <c r="M2630" s="73"/>
      <c r="N2630" s="73"/>
      <c r="O2630" s="73"/>
      <c r="P2630" s="73"/>
      <c r="Q2630" s="73"/>
      <c r="R2630" s="73"/>
      <c r="S2630" s="73"/>
      <c r="T2630" s="73"/>
      <c r="U2630" s="73"/>
      <c r="V2630" s="73"/>
      <c r="W2630" s="73"/>
      <c r="X2630" s="73"/>
      <c r="Y2630" s="73"/>
      <c r="Z2630" s="73"/>
      <c r="AA2630" s="73"/>
      <c r="AB2630" s="73"/>
    </row>
    <row r="2631">
      <c r="A2631" s="73"/>
      <c r="B2631" s="73">
        <v>1384394.588</v>
      </c>
      <c r="C2631" s="73">
        <v>1.58761822470085E8</v>
      </c>
      <c r="D2631" s="73">
        <v>6.2684026791996E7</v>
      </c>
      <c r="E2631" s="73">
        <v>8327444.7967646</v>
      </c>
      <c r="F2631" s="73"/>
      <c r="G2631" s="73"/>
      <c r="H2631" s="73"/>
      <c r="I2631" s="73"/>
      <c r="J2631" s="73"/>
      <c r="K2631" s="73"/>
      <c r="L2631" s="73"/>
      <c r="M2631" s="73"/>
      <c r="N2631" s="73"/>
      <c r="O2631" s="73"/>
      <c r="P2631" s="73"/>
      <c r="Q2631" s="73"/>
      <c r="R2631" s="73"/>
      <c r="S2631" s="73"/>
      <c r="T2631" s="73"/>
      <c r="U2631" s="73"/>
      <c r="V2631" s="73"/>
      <c r="W2631" s="73"/>
      <c r="X2631" s="73"/>
      <c r="Y2631" s="73"/>
      <c r="Z2631" s="73"/>
      <c r="AA2631" s="73"/>
      <c r="AB2631" s="73"/>
    </row>
    <row r="2632">
      <c r="A2632" s="73"/>
      <c r="B2632" s="73">
        <v>1386415.585</v>
      </c>
      <c r="C2632" s="73">
        <v>1.58926193985519E8</v>
      </c>
      <c r="D2632" s="73">
        <v>6.2767340467997E7</v>
      </c>
      <c r="E2632" s="73">
        <v>8337452.15428551</v>
      </c>
      <c r="F2632" s="73"/>
      <c r="G2632" s="73"/>
      <c r="H2632" s="73"/>
      <c r="I2632" s="73"/>
      <c r="J2632" s="73"/>
      <c r="K2632" s="73"/>
      <c r="L2632" s="73"/>
      <c r="M2632" s="73"/>
      <c r="N2632" s="73"/>
      <c r="O2632" s="73"/>
      <c r="P2632" s="73"/>
      <c r="Q2632" s="73"/>
      <c r="R2632" s="73"/>
      <c r="S2632" s="73"/>
      <c r="T2632" s="73"/>
      <c r="U2632" s="73"/>
      <c r="V2632" s="73"/>
      <c r="W2632" s="73"/>
      <c r="X2632" s="73"/>
      <c r="Y2632" s="73"/>
      <c r="Z2632" s="73"/>
      <c r="AA2632" s="73"/>
      <c r="AB2632" s="73"/>
    </row>
    <row r="2633">
      <c r="A2633" s="73"/>
      <c r="B2633" s="73">
        <v>1388439.386</v>
      </c>
      <c r="C2633" s="73">
        <v>1.59090664380951E8</v>
      </c>
      <c r="D2633" s="73">
        <v>6.28507213919979E7</v>
      </c>
      <c r="E2633" s="73">
        <v>8347470.85867518</v>
      </c>
      <c r="F2633" s="73"/>
      <c r="G2633" s="73"/>
      <c r="H2633" s="73"/>
      <c r="I2633" s="73"/>
      <c r="J2633" s="73"/>
      <c r="K2633" s="73"/>
      <c r="L2633" s="73"/>
      <c r="M2633" s="73"/>
      <c r="N2633" s="73"/>
      <c r="O2633" s="73"/>
      <c r="P2633" s="73"/>
      <c r="Q2633" s="73"/>
      <c r="R2633" s="73"/>
      <c r="S2633" s="73"/>
      <c r="T2633" s="73"/>
      <c r="U2633" s="73"/>
      <c r="V2633" s="73"/>
      <c r="W2633" s="73"/>
      <c r="X2633" s="73"/>
      <c r="Y2633" s="73"/>
      <c r="Z2633" s="73"/>
      <c r="AA2633" s="73"/>
      <c r="AB2633" s="73"/>
    </row>
    <row r="2634">
      <c r="A2634" s="73"/>
      <c r="B2634" s="73">
        <v>1390466.036</v>
      </c>
      <c r="C2634" s="73">
        <v>1.5925523365638E8</v>
      </c>
      <c r="D2634" s="73">
        <v>6.29341747559988E7</v>
      </c>
      <c r="E2634" s="73">
        <v>8357501.08996799</v>
      </c>
      <c r="F2634" s="73"/>
      <c r="G2634" s="73"/>
      <c r="H2634" s="73"/>
      <c r="I2634" s="73"/>
      <c r="J2634" s="73"/>
      <c r="K2634" s="73"/>
      <c r="L2634" s="73"/>
      <c r="M2634" s="73"/>
      <c r="N2634" s="73"/>
      <c r="O2634" s="73"/>
      <c r="P2634" s="73"/>
      <c r="Q2634" s="73"/>
      <c r="R2634" s="73"/>
      <c r="S2634" s="73"/>
      <c r="T2634" s="73"/>
      <c r="U2634" s="73"/>
      <c r="V2634" s="73"/>
      <c r="W2634" s="73"/>
      <c r="X2634" s="73"/>
      <c r="Y2634" s="73"/>
      <c r="Z2634" s="73"/>
      <c r="AA2634" s="73"/>
      <c r="AB2634" s="73"/>
    </row>
    <row r="2635">
      <c r="A2635" s="73"/>
      <c r="B2635" s="73">
        <v>1392495.453</v>
      </c>
      <c r="C2635" s="73">
        <v>1.59419918291805E8</v>
      </c>
      <c r="D2635" s="73">
        <v>6.30177005599997E7</v>
      </c>
      <c r="E2635" s="73">
        <v>8367542.64857918</v>
      </c>
      <c r="F2635" s="73"/>
      <c r="G2635" s="73"/>
      <c r="H2635" s="73"/>
      <c r="I2635" s="73"/>
      <c r="J2635" s="73"/>
      <c r="K2635" s="73"/>
      <c r="L2635" s="73"/>
      <c r="M2635" s="73"/>
      <c r="N2635" s="73"/>
      <c r="O2635" s="73"/>
      <c r="P2635" s="73"/>
      <c r="Q2635" s="73"/>
      <c r="R2635" s="73"/>
      <c r="S2635" s="73"/>
      <c r="T2635" s="73"/>
      <c r="U2635" s="73"/>
      <c r="V2635" s="73"/>
      <c r="W2635" s="73"/>
      <c r="X2635" s="73"/>
      <c r="Y2635" s="73"/>
      <c r="Z2635" s="73"/>
      <c r="AA2635" s="73"/>
      <c r="AB2635" s="73"/>
    </row>
    <row r="2636">
      <c r="A2636" s="73"/>
      <c r="B2636" s="73">
        <v>1394527.711</v>
      </c>
      <c r="C2636" s="73">
        <v>1.59584718287228E8</v>
      </c>
      <c r="D2636" s="73">
        <v>6.31012985800006E7</v>
      </c>
      <c r="E2636" s="73">
        <v>8377595.92919973</v>
      </c>
      <c r="F2636" s="73"/>
      <c r="G2636" s="73"/>
      <c r="H2636" s="73"/>
      <c r="I2636" s="73"/>
      <c r="J2636" s="73"/>
      <c r="K2636" s="73"/>
      <c r="L2636" s="73"/>
      <c r="M2636" s="73"/>
      <c r="N2636" s="73"/>
      <c r="O2636" s="73"/>
      <c r="P2636" s="73"/>
      <c r="Q2636" s="73"/>
      <c r="R2636" s="73"/>
      <c r="S2636" s="73"/>
      <c r="T2636" s="73"/>
      <c r="U2636" s="73"/>
      <c r="V2636" s="73"/>
      <c r="W2636" s="73"/>
      <c r="X2636" s="73"/>
      <c r="Y2636" s="73"/>
      <c r="Z2636" s="73"/>
      <c r="AA2636" s="73"/>
      <c r="AB2636" s="73"/>
    </row>
    <row r="2637">
      <c r="A2637" s="73"/>
      <c r="B2637" s="73">
        <v>1396562.802</v>
      </c>
      <c r="C2637" s="73">
        <v>1.59749633642647E8</v>
      </c>
      <c r="D2637" s="73">
        <v>6.31849691919939E7</v>
      </c>
      <c r="E2637" s="73">
        <v>8387660.50732618</v>
      </c>
      <c r="F2637" s="73"/>
      <c r="G2637" s="73"/>
      <c r="H2637" s="73"/>
      <c r="I2637" s="73"/>
      <c r="J2637" s="73"/>
      <c r="K2637" s="73"/>
      <c r="L2637" s="73"/>
      <c r="M2637" s="73"/>
      <c r="N2637" s="73"/>
      <c r="O2637" s="73"/>
      <c r="P2637" s="73"/>
      <c r="Q2637" s="73"/>
      <c r="R2637" s="73"/>
      <c r="S2637" s="73"/>
      <c r="T2637" s="73"/>
      <c r="U2637" s="73"/>
      <c r="V2637" s="73"/>
      <c r="W2637" s="73"/>
      <c r="X2637" s="73"/>
      <c r="Y2637" s="73"/>
      <c r="Z2637" s="73"/>
      <c r="AA2637" s="73"/>
      <c r="AB2637" s="73"/>
    </row>
    <row r="2638">
      <c r="A2638" s="73"/>
      <c r="B2638" s="73">
        <v>1398600.675</v>
      </c>
      <c r="C2638" s="73">
        <v>1.59914631398064E8</v>
      </c>
      <c r="D2638" s="73">
        <v>6.32687120999948E7</v>
      </c>
      <c r="E2638" s="73">
        <v>8397736.66568701</v>
      </c>
      <c r="F2638" s="73"/>
      <c r="G2638" s="73"/>
      <c r="H2638" s="73"/>
      <c r="I2638" s="73"/>
      <c r="J2638" s="73"/>
      <c r="K2638" s="73"/>
      <c r="L2638" s="73"/>
      <c r="M2638" s="73"/>
      <c r="N2638" s="73"/>
      <c r="O2638" s="73"/>
      <c r="P2638" s="73"/>
      <c r="Q2638" s="73"/>
      <c r="R2638" s="73"/>
      <c r="S2638" s="73"/>
      <c r="T2638" s="73"/>
      <c r="U2638" s="73"/>
      <c r="V2638" s="73"/>
      <c r="W2638" s="73"/>
      <c r="X2638" s="73"/>
      <c r="Y2638" s="73"/>
      <c r="Z2638" s="73"/>
      <c r="AA2638" s="73"/>
      <c r="AB2638" s="73"/>
    </row>
    <row r="2639">
      <c r="A2639" s="73"/>
      <c r="B2639" s="73">
        <v>1400641.436</v>
      </c>
      <c r="C2639" s="73">
        <v>1.60079760993477E8</v>
      </c>
      <c r="D2639" s="73">
        <v>6.33525274399957E7</v>
      </c>
      <c r="E2639" s="73">
        <v>8407824.19774122</v>
      </c>
      <c r="F2639" s="73"/>
      <c r="G2639" s="73"/>
      <c r="H2639" s="73"/>
      <c r="I2639" s="73"/>
      <c r="J2639" s="73"/>
      <c r="K2639" s="73"/>
      <c r="L2639" s="73"/>
      <c r="M2639" s="73"/>
      <c r="N2639" s="73"/>
      <c r="O2639" s="73"/>
      <c r="P2639" s="73"/>
      <c r="Q2639" s="73"/>
      <c r="R2639" s="73"/>
      <c r="S2639" s="73"/>
      <c r="T2639" s="73"/>
      <c r="U2639" s="73"/>
      <c r="V2639" s="73"/>
      <c r="W2639" s="73"/>
      <c r="X2639" s="73"/>
      <c r="Y2639" s="73"/>
      <c r="Z2639" s="73"/>
      <c r="AA2639" s="73"/>
      <c r="AB2639" s="73"/>
    </row>
    <row r="2640">
      <c r="A2640" s="73"/>
      <c r="B2640" s="73">
        <v>1402684.943</v>
      </c>
      <c r="C2640" s="73">
        <v>1.60244972988888E8</v>
      </c>
      <c r="D2640" s="73">
        <v>6.34364151559966E7</v>
      </c>
      <c r="E2640" s="73">
        <v>8417923.50281729</v>
      </c>
      <c r="F2640" s="73"/>
      <c r="G2640" s="73"/>
      <c r="H2640" s="73"/>
      <c r="I2640" s="73"/>
      <c r="J2640" s="73"/>
      <c r="K2640" s="73"/>
      <c r="L2640" s="73"/>
      <c r="M2640" s="73"/>
      <c r="N2640" s="73"/>
      <c r="O2640" s="73"/>
      <c r="P2640" s="73"/>
      <c r="Q2640" s="73"/>
      <c r="R2640" s="73"/>
      <c r="S2640" s="73"/>
      <c r="T2640" s="73"/>
      <c r="U2640" s="73"/>
      <c r="V2640" s="73"/>
      <c r="W2640" s="73"/>
      <c r="X2640" s="73"/>
      <c r="Y2640" s="73"/>
      <c r="Z2640" s="73"/>
      <c r="AA2640" s="73"/>
      <c r="AB2640" s="73"/>
    </row>
    <row r="2641">
      <c r="A2641" s="73"/>
      <c r="B2641" s="73">
        <v>1404731.329</v>
      </c>
      <c r="C2641" s="73">
        <v>1.60410300344296E8</v>
      </c>
      <c r="D2641" s="73">
        <v>6.35203753039976E7</v>
      </c>
      <c r="E2641" s="73">
        <v>8428034.42290899</v>
      </c>
      <c r="F2641" s="73"/>
      <c r="G2641" s="73"/>
      <c r="H2641" s="73"/>
      <c r="I2641" s="73"/>
      <c r="J2641" s="73"/>
      <c r="K2641" s="73"/>
      <c r="L2641" s="73"/>
      <c r="M2641" s="73"/>
      <c r="N2641" s="73"/>
      <c r="O2641" s="73"/>
      <c r="P2641" s="73"/>
      <c r="Q2641" s="73"/>
      <c r="R2641" s="73"/>
      <c r="S2641" s="73"/>
      <c r="T2641" s="73"/>
      <c r="U2641" s="73"/>
      <c r="V2641" s="73"/>
      <c r="W2641" s="73"/>
      <c r="X2641" s="73"/>
      <c r="Y2641" s="73"/>
      <c r="Z2641" s="73"/>
      <c r="AA2641" s="73"/>
      <c r="AB2641" s="73"/>
    </row>
    <row r="2642">
      <c r="A2642" s="73"/>
      <c r="B2642" s="73">
        <v>1406780.517</v>
      </c>
      <c r="C2642" s="73">
        <v>1.605757595397E8</v>
      </c>
      <c r="D2642" s="73">
        <v>6.36044077479985E7</v>
      </c>
      <c r="E2642" s="73">
        <v>8438156.64779407</v>
      </c>
      <c r="F2642" s="73"/>
      <c r="G2642" s="73"/>
      <c r="H2642" s="73"/>
      <c r="I2642" s="73"/>
      <c r="J2642" s="73"/>
      <c r="K2642" s="73"/>
      <c r="L2642" s="73"/>
      <c r="M2642" s="73"/>
      <c r="N2642" s="73"/>
      <c r="O2642" s="73"/>
      <c r="P2642" s="73"/>
      <c r="Q2642" s="73"/>
      <c r="R2642" s="73"/>
      <c r="S2642" s="73"/>
      <c r="T2642" s="73"/>
      <c r="U2642" s="73"/>
      <c r="V2642" s="73"/>
      <c r="W2642" s="73"/>
      <c r="X2642" s="73"/>
      <c r="Y2642" s="73"/>
      <c r="Z2642" s="73"/>
      <c r="AA2642" s="73"/>
      <c r="AB2642" s="73"/>
    </row>
    <row r="2643">
      <c r="A2643" s="73"/>
      <c r="B2643" s="73">
        <v>1408832.548</v>
      </c>
      <c r="C2643" s="73">
        <v>1.60741301135101E8</v>
      </c>
      <c r="D2643" s="73">
        <v>6.36885127119994E7</v>
      </c>
      <c r="E2643" s="73">
        <v>8448290.56851978</v>
      </c>
      <c r="F2643" s="73"/>
      <c r="G2643" s="73"/>
      <c r="H2643" s="73"/>
      <c r="I2643" s="73"/>
      <c r="J2643" s="73"/>
      <c r="K2643" s="73"/>
      <c r="L2643" s="73"/>
      <c r="M2643" s="73"/>
      <c r="N2643" s="73"/>
      <c r="O2643" s="73"/>
      <c r="P2643" s="73"/>
      <c r="Q2643" s="73"/>
      <c r="R2643" s="73"/>
      <c r="S2643" s="73"/>
      <c r="T2643" s="73"/>
      <c r="U2643" s="73"/>
      <c r="V2643" s="73"/>
      <c r="W2643" s="73"/>
      <c r="X2643" s="73"/>
      <c r="Y2643" s="73"/>
      <c r="Z2643" s="73"/>
      <c r="AA2643" s="73"/>
      <c r="AB2643" s="73"/>
    </row>
    <row r="2644">
      <c r="A2644" s="73"/>
      <c r="B2644" s="73">
        <v>1410887.406</v>
      </c>
      <c r="C2644" s="73">
        <v>1.609069580905E8</v>
      </c>
      <c r="D2644" s="73">
        <v>6.37726849160003E7</v>
      </c>
      <c r="E2644" s="73">
        <v>8458436.09282636</v>
      </c>
      <c r="F2644" s="73"/>
      <c r="G2644" s="73"/>
      <c r="H2644" s="73"/>
      <c r="I2644" s="73"/>
      <c r="J2644" s="73"/>
      <c r="K2644" s="73"/>
      <c r="L2644" s="73"/>
      <c r="M2644" s="73"/>
      <c r="N2644" s="73"/>
      <c r="O2644" s="73"/>
      <c r="P2644" s="73"/>
      <c r="Q2644" s="73"/>
      <c r="R2644" s="73"/>
      <c r="S2644" s="73"/>
      <c r="T2644" s="73"/>
      <c r="U2644" s="73"/>
      <c r="V2644" s="73"/>
      <c r="W2644" s="73"/>
      <c r="X2644" s="73"/>
      <c r="Y2644" s="73"/>
      <c r="Z2644" s="73"/>
      <c r="AA2644" s="73"/>
      <c r="AB2644" s="73"/>
    </row>
    <row r="2645">
      <c r="A2645" s="73"/>
      <c r="B2645" s="73">
        <v>1412945.139</v>
      </c>
      <c r="C2645" s="73">
        <v>1.61072730405895E8</v>
      </c>
      <c r="D2645" s="73">
        <v>6.38569294880012E7</v>
      </c>
      <c r="E2645" s="73">
        <v>8468593.23016106</v>
      </c>
      <c r="F2645" s="73"/>
      <c r="G2645" s="73"/>
      <c r="H2645" s="73"/>
      <c r="I2645" s="73"/>
      <c r="J2645" s="73"/>
      <c r="K2645" s="73"/>
      <c r="L2645" s="73"/>
      <c r="M2645" s="73"/>
      <c r="N2645" s="73"/>
      <c r="O2645" s="73"/>
      <c r="P2645" s="73"/>
      <c r="Q2645" s="73"/>
      <c r="R2645" s="73"/>
      <c r="S2645" s="73"/>
      <c r="T2645" s="73"/>
      <c r="U2645" s="73"/>
      <c r="V2645" s="73"/>
      <c r="W2645" s="73"/>
      <c r="X2645" s="73"/>
      <c r="Y2645" s="73"/>
      <c r="Z2645" s="73"/>
      <c r="AA2645" s="73"/>
      <c r="AB2645" s="73"/>
    </row>
    <row r="2646">
      <c r="A2646" s="73"/>
      <c r="B2646" s="73">
        <v>1415005.67</v>
      </c>
      <c r="C2646" s="73">
        <v>1.61238601601288E8</v>
      </c>
      <c r="D2646" s="73">
        <v>6.39412516199945E7</v>
      </c>
      <c r="E2646" s="73">
        <v>8478762.27368012</v>
      </c>
      <c r="F2646" s="73"/>
      <c r="G2646" s="73"/>
      <c r="H2646" s="73"/>
      <c r="I2646" s="73"/>
      <c r="J2646" s="73"/>
      <c r="K2646" s="73"/>
      <c r="L2646" s="73"/>
      <c r="M2646" s="73"/>
      <c r="N2646" s="73"/>
      <c r="O2646" s="73"/>
      <c r="P2646" s="73"/>
      <c r="Q2646" s="73"/>
      <c r="R2646" s="73"/>
      <c r="S2646" s="73"/>
      <c r="T2646" s="73"/>
      <c r="U2646" s="73"/>
      <c r="V2646" s="73"/>
      <c r="W2646" s="73"/>
      <c r="X2646" s="73"/>
      <c r="Y2646" s="73"/>
      <c r="Z2646" s="73"/>
      <c r="AA2646" s="73"/>
      <c r="AB2646" s="73"/>
    </row>
    <row r="2647">
      <c r="A2647" s="73"/>
      <c r="B2647" s="73">
        <v>1417069.021</v>
      </c>
      <c r="C2647" s="73">
        <v>1.61404571676678E8</v>
      </c>
      <c r="D2647" s="73">
        <v>6.40256461199954E7</v>
      </c>
      <c r="E2647" s="73">
        <v>8488942.44311758</v>
      </c>
      <c r="F2647" s="73"/>
      <c r="G2647" s="73"/>
      <c r="H2647" s="73"/>
      <c r="I2647" s="73"/>
      <c r="J2647" s="73"/>
      <c r="K2647" s="73"/>
      <c r="L2647" s="73"/>
      <c r="M2647" s="73"/>
      <c r="N2647" s="73"/>
      <c r="O2647" s="73"/>
      <c r="P2647" s="73"/>
      <c r="Q2647" s="73"/>
      <c r="R2647" s="73"/>
      <c r="S2647" s="73"/>
      <c r="T2647" s="73"/>
      <c r="U2647" s="73"/>
      <c r="V2647" s="73"/>
      <c r="W2647" s="73"/>
      <c r="X2647" s="73"/>
      <c r="Y2647" s="73"/>
      <c r="Z2647" s="73"/>
      <c r="AA2647" s="73"/>
      <c r="AB2647" s="73"/>
    </row>
    <row r="2648">
      <c r="A2648" s="73"/>
      <c r="B2648" s="73">
        <v>1419135.236</v>
      </c>
      <c r="C2648" s="73">
        <v>1.61570690072063E8</v>
      </c>
      <c r="D2648" s="73">
        <v>6.41101078599963E7</v>
      </c>
      <c r="E2648" s="73">
        <v>8499134.27542965</v>
      </c>
      <c r="F2648" s="73"/>
      <c r="G2648" s="73"/>
      <c r="H2648" s="73"/>
      <c r="I2648" s="73"/>
      <c r="J2648" s="73"/>
      <c r="K2648" s="73"/>
      <c r="L2648" s="73"/>
      <c r="M2648" s="73"/>
      <c r="N2648" s="73"/>
      <c r="O2648" s="73"/>
      <c r="P2648" s="73"/>
      <c r="Q2648" s="73"/>
      <c r="R2648" s="73"/>
      <c r="S2648" s="73"/>
      <c r="T2648" s="73"/>
      <c r="U2648" s="73"/>
      <c r="V2648" s="73"/>
      <c r="W2648" s="73"/>
      <c r="X2648" s="73"/>
      <c r="Y2648" s="73"/>
      <c r="Z2648" s="73"/>
      <c r="AA2648" s="73"/>
      <c r="AB2648" s="73"/>
    </row>
    <row r="2649">
      <c r="A2649" s="73"/>
      <c r="B2649" s="73">
        <v>1421204.292</v>
      </c>
      <c r="C2649" s="73">
        <v>1.61736874387447E8</v>
      </c>
      <c r="D2649" s="73">
        <v>6.41946471679973E7</v>
      </c>
      <c r="E2649" s="73">
        <v>8509338.32216083</v>
      </c>
      <c r="F2649" s="73"/>
      <c r="G2649" s="73"/>
      <c r="H2649" s="73"/>
      <c r="I2649" s="73"/>
      <c r="J2649" s="73"/>
      <c r="K2649" s="73"/>
      <c r="L2649" s="73"/>
      <c r="M2649" s="73"/>
      <c r="N2649" s="73"/>
      <c r="O2649" s="73"/>
      <c r="P2649" s="73"/>
      <c r="Q2649" s="73"/>
      <c r="R2649" s="73"/>
      <c r="S2649" s="73"/>
      <c r="T2649" s="73"/>
      <c r="U2649" s="73"/>
      <c r="V2649" s="73"/>
      <c r="W2649" s="73"/>
      <c r="X2649" s="73"/>
      <c r="Y2649" s="73"/>
      <c r="Z2649" s="73"/>
      <c r="AA2649" s="73"/>
      <c r="AB2649" s="73"/>
    </row>
    <row r="2650">
      <c r="A2650" s="73"/>
      <c r="B2650" s="73">
        <v>1423276.202</v>
      </c>
      <c r="C2650" s="73">
        <v>1.61903174062828E8</v>
      </c>
      <c r="D2650" s="73">
        <v>6.42792537239982E7</v>
      </c>
      <c r="E2650" s="73">
        <v>8519553.70515413</v>
      </c>
      <c r="F2650" s="73"/>
      <c r="G2650" s="73"/>
      <c r="H2650" s="73"/>
      <c r="I2650" s="73"/>
      <c r="J2650" s="73"/>
      <c r="K2650" s="73"/>
      <c r="L2650" s="73"/>
      <c r="M2650" s="73"/>
      <c r="N2650" s="73"/>
      <c r="O2650" s="73"/>
      <c r="P2650" s="73"/>
      <c r="Q2650" s="73"/>
      <c r="R2650" s="73"/>
      <c r="S2650" s="73"/>
      <c r="T2650" s="73"/>
      <c r="U2650" s="73"/>
      <c r="V2650" s="73"/>
      <c r="W2650" s="73"/>
      <c r="X2650" s="73"/>
      <c r="Y2650" s="73"/>
      <c r="Z2650" s="73"/>
      <c r="AA2650" s="73"/>
      <c r="AB2650" s="73"/>
    </row>
    <row r="2651">
      <c r="A2651" s="73"/>
      <c r="B2651" s="73">
        <v>1425350.964</v>
      </c>
      <c r="C2651" s="73">
        <v>1.62069572618206E8</v>
      </c>
      <c r="D2651" s="73">
        <v>6.43639377599991E7</v>
      </c>
      <c r="E2651" s="73">
        <v>8529780.66324081</v>
      </c>
      <c r="F2651" s="73"/>
      <c r="G2651" s="73"/>
      <c r="H2651" s="73"/>
      <c r="I2651" s="73"/>
      <c r="J2651" s="73"/>
      <c r="K2651" s="73"/>
      <c r="L2651" s="73"/>
      <c r="M2651" s="73"/>
      <c r="N2651" s="73"/>
      <c r="O2651" s="73"/>
      <c r="P2651" s="73"/>
      <c r="Q2651" s="73"/>
      <c r="R2651" s="73"/>
      <c r="S2651" s="73"/>
      <c r="T2651" s="73"/>
      <c r="U2651" s="73"/>
      <c r="V2651" s="73"/>
      <c r="W2651" s="73"/>
      <c r="X2651" s="73"/>
      <c r="Y2651" s="73"/>
      <c r="Z2651" s="73"/>
      <c r="AA2651" s="73"/>
      <c r="AB2651" s="73"/>
    </row>
    <row r="2652">
      <c r="A2652" s="73"/>
      <c r="B2652" s="73">
        <v>1427428.563</v>
      </c>
      <c r="C2652" s="73">
        <v>1.6223611949358E8</v>
      </c>
      <c r="D2652" s="73">
        <v>6.4448694316E7</v>
      </c>
      <c r="E2652" s="73">
        <v>8540019.48511186</v>
      </c>
      <c r="F2652" s="73"/>
      <c r="G2652" s="73"/>
      <c r="H2652" s="73"/>
      <c r="I2652" s="73"/>
      <c r="J2652" s="73"/>
      <c r="K2652" s="73"/>
      <c r="L2652" s="73"/>
      <c r="M2652" s="73"/>
      <c r="N2652" s="73"/>
      <c r="O2652" s="73"/>
      <c r="P2652" s="73"/>
      <c r="Q2652" s="73"/>
      <c r="R2652" s="73"/>
      <c r="S2652" s="73"/>
      <c r="T2652" s="73"/>
      <c r="U2652" s="73"/>
      <c r="V2652" s="73"/>
      <c r="W2652" s="73"/>
      <c r="X2652" s="73"/>
      <c r="Y2652" s="73"/>
      <c r="Z2652" s="73"/>
      <c r="AA2652" s="73"/>
      <c r="AB2652" s="73"/>
    </row>
    <row r="2653">
      <c r="A2653" s="73"/>
      <c r="B2653" s="73">
        <v>1429509.008</v>
      </c>
      <c r="C2653" s="73">
        <v>1.62402748768951E8</v>
      </c>
      <c r="D2653" s="73">
        <v>6.45335180400009E7</v>
      </c>
      <c r="E2653" s="73">
        <v>8550270.12936101</v>
      </c>
      <c r="F2653" s="73"/>
      <c r="G2653" s="73"/>
      <c r="H2653" s="73"/>
      <c r="I2653" s="73"/>
      <c r="J2653" s="73"/>
      <c r="K2653" s="73"/>
      <c r="L2653" s="73"/>
      <c r="M2653" s="73"/>
      <c r="N2653" s="73"/>
      <c r="O2653" s="73"/>
      <c r="P2653" s="73"/>
      <c r="Q2653" s="73"/>
      <c r="R2653" s="73"/>
      <c r="S2653" s="73"/>
      <c r="T2653" s="73"/>
      <c r="U2653" s="73"/>
      <c r="V2653" s="73"/>
      <c r="W2653" s="73"/>
      <c r="X2653" s="73"/>
      <c r="Y2653" s="73"/>
      <c r="Z2653" s="73"/>
      <c r="AA2653" s="73"/>
      <c r="AB2653" s="73"/>
    </row>
    <row r="2654">
      <c r="A2654" s="73"/>
      <c r="B2654" s="73">
        <v>1431592.35</v>
      </c>
      <c r="C2654" s="73">
        <v>1.6256947692432E8</v>
      </c>
      <c r="D2654" s="73">
        <v>6.46184142839942E7</v>
      </c>
      <c r="E2654" s="73">
        <v>8560532.21156605</v>
      </c>
      <c r="F2654" s="73"/>
      <c r="G2654" s="73"/>
      <c r="H2654" s="73"/>
      <c r="I2654" s="73"/>
      <c r="J2654" s="73"/>
      <c r="K2654" s="73"/>
      <c r="L2654" s="73"/>
      <c r="M2654" s="73"/>
      <c r="N2654" s="73"/>
      <c r="O2654" s="73"/>
      <c r="P2654" s="73"/>
      <c r="Q2654" s="73"/>
      <c r="R2654" s="73"/>
      <c r="S2654" s="73"/>
      <c r="T2654" s="73"/>
      <c r="U2654" s="73"/>
      <c r="V2654" s="73"/>
      <c r="W2654" s="73"/>
      <c r="X2654" s="73"/>
      <c r="Y2654" s="73"/>
      <c r="Z2654" s="73"/>
      <c r="AA2654" s="73"/>
      <c r="AB2654" s="73"/>
    </row>
    <row r="2655">
      <c r="A2655" s="73"/>
      <c r="B2655" s="73">
        <v>1433678.502</v>
      </c>
      <c r="C2655" s="73">
        <v>1.62736336919685E8</v>
      </c>
      <c r="D2655" s="73">
        <v>6.47033878639951E7</v>
      </c>
      <c r="E2655" s="73">
        <v>8570806.36193668</v>
      </c>
      <c r="F2655" s="73"/>
      <c r="G2655" s="73"/>
      <c r="H2655" s="73"/>
      <c r="I2655" s="73"/>
      <c r="J2655" s="73"/>
      <c r="K2655" s="73"/>
      <c r="L2655" s="73"/>
      <c r="M2655" s="73"/>
      <c r="N2655" s="73"/>
      <c r="O2655" s="73"/>
      <c r="P2655" s="73"/>
      <c r="Q2655" s="73"/>
      <c r="R2655" s="73"/>
      <c r="S2655" s="73"/>
      <c r="T2655" s="73"/>
      <c r="U2655" s="73"/>
      <c r="V2655" s="73"/>
      <c r="W2655" s="73"/>
      <c r="X2655" s="73"/>
      <c r="Y2655" s="73"/>
      <c r="Z2655" s="73"/>
      <c r="AA2655" s="73"/>
      <c r="AB2655" s="73"/>
    </row>
    <row r="2656">
      <c r="A2656" s="73"/>
      <c r="B2656" s="73">
        <v>1435767.533</v>
      </c>
      <c r="C2656" s="73">
        <v>1.62903279315048E8</v>
      </c>
      <c r="D2656" s="73">
        <v>6.4788433955996E7</v>
      </c>
      <c r="E2656" s="73">
        <v>8581091.80385071</v>
      </c>
      <c r="F2656" s="73"/>
      <c r="G2656" s="73"/>
      <c r="H2656" s="73"/>
      <c r="I2656" s="73"/>
      <c r="J2656" s="73"/>
      <c r="K2656" s="73"/>
      <c r="L2656" s="73"/>
      <c r="M2656" s="73"/>
      <c r="N2656" s="73"/>
      <c r="O2656" s="73"/>
      <c r="P2656" s="73"/>
      <c r="Q2656" s="73"/>
      <c r="R2656" s="73"/>
      <c r="S2656" s="73"/>
      <c r="T2656" s="73"/>
      <c r="U2656" s="73"/>
      <c r="V2656" s="73"/>
      <c r="W2656" s="73"/>
      <c r="X2656" s="73"/>
      <c r="Y2656" s="73"/>
      <c r="Z2656" s="73"/>
      <c r="AA2656" s="73"/>
      <c r="AB2656" s="73"/>
    </row>
    <row r="2657">
      <c r="A2657" s="73"/>
      <c r="B2657" s="73">
        <v>1437859.389</v>
      </c>
      <c r="C2657" s="73">
        <v>1.63070337070408E8</v>
      </c>
      <c r="D2657" s="73">
        <v>6.48735524159969E7</v>
      </c>
      <c r="E2657" s="73">
        <v>8591389.68013381</v>
      </c>
      <c r="F2657" s="73"/>
      <c r="G2657" s="73"/>
      <c r="H2657" s="73"/>
      <c r="I2657" s="73"/>
      <c r="J2657" s="73"/>
      <c r="K2657" s="73"/>
      <c r="L2657" s="73"/>
      <c r="M2657" s="73"/>
      <c r="N2657" s="73"/>
      <c r="O2657" s="73"/>
      <c r="P2657" s="73"/>
      <c r="Q2657" s="73"/>
      <c r="R2657" s="73"/>
      <c r="S2657" s="73"/>
      <c r="T2657" s="73"/>
      <c r="U2657" s="73"/>
      <c r="V2657" s="73"/>
      <c r="W2657" s="73"/>
      <c r="X2657" s="73"/>
      <c r="Y2657" s="73"/>
      <c r="Z2657" s="73"/>
      <c r="AA2657" s="73"/>
      <c r="AB2657" s="73"/>
    </row>
    <row r="2658">
      <c r="A2658" s="73"/>
      <c r="B2658" s="73">
        <v>1439954.114</v>
      </c>
      <c r="C2658" s="73">
        <v>1.63237510185764E8</v>
      </c>
      <c r="D2658" s="73">
        <v>6.49587381239979E7</v>
      </c>
      <c r="E2658" s="73">
        <v>8601698.64473182</v>
      </c>
      <c r="F2658" s="73"/>
      <c r="G2658" s="73"/>
      <c r="H2658" s="73"/>
      <c r="I2658" s="73"/>
      <c r="J2658" s="73"/>
      <c r="K2658" s="73"/>
      <c r="L2658" s="73"/>
      <c r="M2658" s="73"/>
      <c r="N2658" s="73"/>
      <c r="O2658" s="73"/>
      <c r="P2658" s="73"/>
      <c r="Q2658" s="73"/>
      <c r="R2658" s="73"/>
      <c r="S2658" s="73"/>
      <c r="T2658" s="73"/>
      <c r="U2658" s="73"/>
      <c r="V2658" s="73"/>
      <c r="W2658" s="73"/>
      <c r="X2658" s="73"/>
      <c r="Y2658" s="73"/>
      <c r="Z2658" s="73"/>
      <c r="AA2658" s="73"/>
      <c r="AB2658" s="73"/>
    </row>
    <row r="2659">
      <c r="A2659" s="73"/>
      <c r="B2659" s="73">
        <v>1442051.73</v>
      </c>
      <c r="C2659" s="73">
        <v>1.63404782181118E8</v>
      </c>
      <c r="D2659" s="73">
        <v>6.50440014639988E7</v>
      </c>
      <c r="E2659" s="73">
        <v>8612019.95028641</v>
      </c>
      <c r="F2659" s="73"/>
      <c r="G2659" s="73"/>
      <c r="H2659" s="73"/>
      <c r="I2659" s="73"/>
      <c r="J2659" s="73"/>
      <c r="K2659" s="73"/>
      <c r="L2659" s="73"/>
      <c r="M2659" s="73"/>
      <c r="N2659" s="73"/>
      <c r="O2659" s="73"/>
      <c r="P2659" s="73"/>
      <c r="Q2659" s="73"/>
      <c r="R2659" s="73"/>
      <c r="S2659" s="73"/>
      <c r="T2659" s="73"/>
      <c r="U2659" s="73"/>
      <c r="V2659" s="73"/>
      <c r="W2659" s="73"/>
      <c r="X2659" s="73"/>
      <c r="Y2659" s="73"/>
      <c r="Z2659" s="73"/>
      <c r="AA2659" s="73"/>
      <c r="AB2659" s="73"/>
    </row>
    <row r="2660">
      <c r="A2660" s="73"/>
      <c r="B2660" s="73">
        <v>1444152.218</v>
      </c>
      <c r="C2660" s="73">
        <v>1.63572169536469E8</v>
      </c>
      <c r="D2660" s="73">
        <v>6.51293370999997E7</v>
      </c>
      <c r="E2660" s="73">
        <v>8622352.99655936</v>
      </c>
      <c r="F2660" s="73"/>
      <c r="G2660" s="73"/>
      <c r="H2660" s="73"/>
      <c r="I2660" s="73"/>
      <c r="J2660" s="73"/>
      <c r="K2660" s="73"/>
      <c r="L2660" s="73"/>
      <c r="M2660" s="73"/>
      <c r="N2660" s="73"/>
      <c r="O2660" s="73"/>
      <c r="P2660" s="73"/>
      <c r="Q2660" s="73"/>
      <c r="R2660" s="73"/>
      <c r="S2660" s="73"/>
      <c r="T2660" s="73"/>
      <c r="U2660" s="73"/>
      <c r="V2660" s="73"/>
      <c r="W2660" s="73"/>
      <c r="X2660" s="73"/>
      <c r="Y2660" s="73"/>
      <c r="Z2660" s="73"/>
      <c r="AA2660" s="73"/>
      <c r="AB2660" s="73"/>
    </row>
    <row r="2661">
      <c r="A2661" s="73"/>
      <c r="B2661" s="73">
        <v>1446255.528</v>
      </c>
      <c r="C2661" s="73">
        <v>1.63739672251816E8</v>
      </c>
      <c r="D2661" s="73">
        <v>6.52147400560006E7</v>
      </c>
      <c r="E2661" s="73">
        <v>8632697.6126257</v>
      </c>
      <c r="F2661" s="73"/>
      <c r="G2661" s="73"/>
      <c r="H2661" s="73"/>
      <c r="I2661" s="73"/>
      <c r="J2661" s="73"/>
      <c r="K2661" s="73"/>
      <c r="L2661" s="73"/>
      <c r="M2661" s="73"/>
      <c r="N2661" s="73"/>
      <c r="O2661" s="73"/>
      <c r="P2661" s="73"/>
      <c r="Q2661" s="73"/>
      <c r="R2661" s="73"/>
      <c r="S2661" s="73"/>
      <c r="T2661" s="73"/>
      <c r="U2661" s="73"/>
      <c r="V2661" s="73"/>
      <c r="W2661" s="73"/>
      <c r="X2661" s="73"/>
      <c r="Y2661" s="73"/>
      <c r="Z2661" s="73"/>
      <c r="AA2661" s="73"/>
      <c r="AB2661" s="73"/>
    </row>
    <row r="2662">
      <c r="A2662" s="73"/>
      <c r="B2662" s="73">
        <v>1448361.735</v>
      </c>
      <c r="C2662" s="73">
        <v>1.6390727384716E8</v>
      </c>
      <c r="D2662" s="73">
        <v>6.53002204919939E7</v>
      </c>
      <c r="E2662" s="73">
        <v>8643054.48782987</v>
      </c>
      <c r="F2662" s="73"/>
      <c r="G2662" s="73"/>
      <c r="H2662" s="73"/>
      <c r="I2662" s="73"/>
      <c r="J2662" s="73"/>
      <c r="K2662" s="73"/>
      <c r="L2662" s="73"/>
      <c r="M2662" s="73"/>
      <c r="N2662" s="73"/>
      <c r="O2662" s="73"/>
      <c r="P2662" s="73"/>
      <c r="Q2662" s="73"/>
      <c r="R2662" s="73"/>
      <c r="S2662" s="73"/>
      <c r="T2662" s="73"/>
      <c r="U2662" s="73"/>
      <c r="V2662" s="73"/>
      <c r="W2662" s="73"/>
      <c r="X2662" s="73"/>
      <c r="Y2662" s="73"/>
      <c r="Z2662" s="73"/>
      <c r="AA2662" s="73"/>
      <c r="AB2662" s="73"/>
    </row>
    <row r="2663">
      <c r="A2663" s="73"/>
      <c r="B2663" s="73">
        <v>1450470.818</v>
      </c>
      <c r="C2663" s="73">
        <v>1.64074990802502E8</v>
      </c>
      <c r="D2663" s="73">
        <v>6.53857733039948E7</v>
      </c>
      <c r="E2663" s="73">
        <v>8653422.57291768</v>
      </c>
      <c r="F2663" s="73"/>
      <c r="G2663" s="73"/>
      <c r="H2663" s="73"/>
      <c r="I2663" s="73"/>
      <c r="J2663" s="73"/>
      <c r="K2663" s="73"/>
      <c r="L2663" s="73"/>
      <c r="M2663" s="73"/>
      <c r="N2663" s="73"/>
      <c r="O2663" s="73"/>
      <c r="P2663" s="73"/>
      <c r="Q2663" s="73"/>
      <c r="R2663" s="73"/>
      <c r="S2663" s="73"/>
      <c r="T2663" s="73"/>
      <c r="U2663" s="73"/>
      <c r="V2663" s="73"/>
      <c r="W2663" s="73"/>
      <c r="X2663" s="73"/>
      <c r="Y2663" s="73"/>
      <c r="Z2663" s="73"/>
      <c r="AA2663" s="73"/>
      <c r="AB2663" s="73"/>
    </row>
    <row r="2664">
      <c r="A2664" s="73"/>
      <c r="B2664" s="73">
        <v>1452582.738</v>
      </c>
      <c r="C2664" s="73">
        <v>1.6424282311784E8</v>
      </c>
      <c r="D2664" s="73">
        <v>6.54713986279957E7</v>
      </c>
      <c r="E2664" s="73">
        <v>8663802.98869333</v>
      </c>
      <c r="F2664" s="73"/>
      <c r="G2664" s="73"/>
      <c r="H2664" s="73"/>
      <c r="I2664" s="73"/>
      <c r="J2664" s="73"/>
      <c r="K2664" s="73"/>
      <c r="L2664" s="73"/>
      <c r="M2664" s="73"/>
      <c r="N2664" s="73"/>
      <c r="O2664" s="73"/>
      <c r="P2664" s="73"/>
      <c r="Q2664" s="73"/>
      <c r="R2664" s="73"/>
      <c r="S2664" s="73"/>
      <c r="T2664" s="73"/>
      <c r="U2664" s="73"/>
      <c r="V2664" s="73"/>
      <c r="W2664" s="73"/>
      <c r="X2664" s="73"/>
      <c r="Y2664" s="73"/>
      <c r="Z2664" s="73"/>
      <c r="AA2664" s="73"/>
      <c r="AB2664" s="73"/>
    </row>
    <row r="2665">
      <c r="A2665" s="73"/>
      <c r="B2665" s="73">
        <v>1454697.589</v>
      </c>
      <c r="C2665" s="73">
        <v>1.64410754313175E8</v>
      </c>
      <c r="D2665" s="73">
        <v>6.55571013599966E7</v>
      </c>
      <c r="E2665" s="73">
        <v>8674195.26907484</v>
      </c>
      <c r="F2665" s="73"/>
      <c r="G2665" s="73"/>
      <c r="H2665" s="73"/>
      <c r="I2665" s="73"/>
      <c r="J2665" s="73"/>
      <c r="K2665" s="73"/>
      <c r="L2665" s="73"/>
      <c r="M2665" s="73"/>
      <c r="N2665" s="73"/>
      <c r="O2665" s="73"/>
      <c r="P2665" s="73"/>
      <c r="Q2665" s="73"/>
      <c r="R2665" s="73"/>
      <c r="S2665" s="73"/>
      <c r="T2665" s="73"/>
      <c r="U2665" s="73"/>
      <c r="V2665" s="73"/>
      <c r="W2665" s="73"/>
      <c r="X2665" s="73"/>
      <c r="Y2665" s="73"/>
      <c r="Z2665" s="73"/>
      <c r="AA2665" s="73"/>
      <c r="AB2665" s="73"/>
    </row>
    <row r="2666">
      <c r="A2666" s="73"/>
      <c r="B2666" s="73">
        <v>1456815.264</v>
      </c>
      <c r="C2666" s="73">
        <v>1.64578784388508E8</v>
      </c>
      <c r="D2666" s="73">
        <v>6.56428714199976E7</v>
      </c>
      <c r="E2666" s="73">
        <v>8684599.28239696</v>
      </c>
      <c r="F2666" s="73"/>
      <c r="G2666" s="73"/>
      <c r="H2666" s="73"/>
      <c r="I2666" s="73"/>
      <c r="J2666" s="73"/>
      <c r="K2666" s="73"/>
      <c r="L2666" s="73"/>
      <c r="M2666" s="73"/>
      <c r="N2666" s="73"/>
      <c r="O2666" s="73"/>
      <c r="P2666" s="73"/>
      <c r="Q2666" s="73"/>
      <c r="R2666" s="73"/>
      <c r="S2666" s="73"/>
      <c r="T2666" s="73"/>
      <c r="U2666" s="73"/>
      <c r="V2666" s="73"/>
      <c r="W2666" s="73"/>
      <c r="X2666" s="73"/>
      <c r="Y2666" s="73"/>
      <c r="Z2666" s="73"/>
      <c r="AA2666" s="73"/>
      <c r="AB2666" s="73"/>
    </row>
    <row r="2667">
      <c r="A2667" s="73"/>
      <c r="B2667" s="73">
        <v>1458935.838</v>
      </c>
      <c r="C2667" s="73">
        <v>1.64746946303837E8</v>
      </c>
      <c r="D2667" s="73">
        <v>6.57287189599985E7</v>
      </c>
      <c r="E2667" s="73">
        <v>8695015.1069937</v>
      </c>
      <c r="F2667" s="73"/>
      <c r="G2667" s="73"/>
      <c r="H2667" s="73"/>
      <c r="I2667" s="73"/>
      <c r="J2667" s="73"/>
      <c r="K2667" s="73"/>
      <c r="L2667" s="73"/>
      <c r="M2667" s="73"/>
      <c r="N2667" s="73"/>
      <c r="O2667" s="73"/>
      <c r="P2667" s="73"/>
      <c r="Q2667" s="73"/>
      <c r="R2667" s="73"/>
      <c r="S2667" s="73"/>
      <c r="T2667" s="73"/>
      <c r="U2667" s="73"/>
      <c r="V2667" s="73"/>
      <c r="W2667" s="73"/>
      <c r="X2667" s="73"/>
      <c r="Y2667" s="73"/>
      <c r="Z2667" s="73"/>
      <c r="AA2667" s="73"/>
      <c r="AB2667" s="73"/>
    </row>
    <row r="2668">
      <c r="A2668" s="73"/>
      <c r="B2668" s="73">
        <v>1461059.279</v>
      </c>
      <c r="C2668" s="73">
        <v>1.64915174139164E8</v>
      </c>
      <c r="D2668" s="73">
        <v>6.58146338199994E7</v>
      </c>
      <c r="E2668" s="73">
        <v>8705442.98683729</v>
      </c>
      <c r="F2668" s="73"/>
      <c r="G2668" s="73"/>
      <c r="H2668" s="73"/>
      <c r="I2668" s="73"/>
      <c r="J2668" s="73"/>
      <c r="K2668" s="73"/>
      <c r="L2668" s="73"/>
      <c r="M2668" s="73"/>
      <c r="N2668" s="73"/>
      <c r="O2668" s="73"/>
      <c r="P2668" s="73"/>
      <c r="Q2668" s="73"/>
      <c r="R2668" s="73"/>
      <c r="S2668" s="73"/>
      <c r="T2668" s="73"/>
      <c r="U2668" s="73"/>
      <c r="V2668" s="73"/>
      <c r="W2668" s="73"/>
      <c r="X2668" s="73"/>
      <c r="Y2668" s="73"/>
      <c r="Z2668" s="73"/>
      <c r="AA2668" s="73"/>
      <c r="AB2668" s="73"/>
    </row>
    <row r="2669">
      <c r="A2669" s="73"/>
      <c r="B2669" s="73">
        <v>1463185.616</v>
      </c>
      <c r="C2669" s="73">
        <v>1.65083550294487E8</v>
      </c>
      <c r="D2669" s="73">
        <v>6.59006210480003E7</v>
      </c>
      <c r="E2669" s="73">
        <v>8715882.97592147</v>
      </c>
      <c r="F2669" s="73"/>
      <c r="G2669" s="73"/>
      <c r="H2669" s="73"/>
      <c r="I2669" s="73"/>
      <c r="J2669" s="73"/>
      <c r="K2669" s="73"/>
      <c r="L2669" s="73"/>
      <c r="M2669" s="73"/>
      <c r="N2669" s="73"/>
      <c r="O2669" s="73"/>
      <c r="P2669" s="73"/>
      <c r="Q2669" s="73"/>
      <c r="R2669" s="73"/>
      <c r="S2669" s="73"/>
      <c r="T2669" s="73"/>
      <c r="U2669" s="73"/>
      <c r="V2669" s="73"/>
      <c r="W2669" s="73"/>
      <c r="X2669" s="73"/>
      <c r="Y2669" s="73"/>
      <c r="Z2669" s="73"/>
      <c r="AA2669" s="73"/>
      <c r="AB2669" s="73"/>
    </row>
    <row r="2670">
      <c r="A2670" s="73"/>
      <c r="B2670" s="73">
        <v>1465314.84</v>
      </c>
      <c r="C2670" s="73">
        <v>1.65252008849808E8</v>
      </c>
      <c r="D2670" s="73">
        <v>6.59866857640012E7</v>
      </c>
      <c r="E2670" s="73">
        <v>8726334.53082403</v>
      </c>
      <c r="F2670" s="73"/>
      <c r="G2670" s="73"/>
      <c r="H2670" s="73"/>
      <c r="I2670" s="73"/>
      <c r="J2670" s="73"/>
      <c r="K2670" s="73"/>
      <c r="L2670" s="73"/>
      <c r="M2670" s="73"/>
      <c r="N2670" s="73"/>
      <c r="O2670" s="73"/>
      <c r="P2670" s="73"/>
      <c r="Q2670" s="73"/>
      <c r="R2670" s="73"/>
      <c r="S2670" s="73"/>
      <c r="T2670" s="73"/>
      <c r="U2670" s="73"/>
      <c r="V2670" s="73"/>
      <c r="W2670" s="73"/>
      <c r="X2670" s="73"/>
      <c r="Y2670" s="73"/>
      <c r="Z2670" s="73"/>
      <c r="AA2670" s="73"/>
      <c r="AB2670" s="73"/>
    </row>
    <row r="2671">
      <c r="A2671" s="73"/>
      <c r="B2671" s="73">
        <v>1467446.913</v>
      </c>
      <c r="C2671" s="73">
        <v>1.65420615725124E8</v>
      </c>
      <c r="D2671" s="73">
        <v>6.60728229999945E7</v>
      </c>
      <c r="E2671" s="73">
        <v>8736798.33475468</v>
      </c>
      <c r="F2671" s="73"/>
      <c r="G2671" s="73"/>
      <c r="H2671" s="73"/>
      <c r="I2671" s="73"/>
      <c r="J2671" s="73"/>
      <c r="K2671" s="73"/>
      <c r="L2671" s="73"/>
      <c r="M2671" s="73"/>
      <c r="N2671" s="73"/>
      <c r="O2671" s="73"/>
      <c r="P2671" s="73"/>
      <c r="Q2671" s="73"/>
      <c r="R2671" s="73"/>
      <c r="S2671" s="73"/>
      <c r="T2671" s="73"/>
      <c r="U2671" s="73"/>
      <c r="V2671" s="73"/>
      <c r="W2671" s="73"/>
      <c r="X2671" s="73"/>
      <c r="Y2671" s="73"/>
      <c r="Z2671" s="73"/>
      <c r="AA2671" s="73"/>
      <c r="AB2671" s="73"/>
    </row>
    <row r="2672">
      <c r="A2672" s="73"/>
      <c r="B2672" s="73">
        <v>1469581.922</v>
      </c>
      <c r="C2672" s="73">
        <v>1.65589288520439E8</v>
      </c>
      <c r="D2672" s="73">
        <v>6.61590274759954E7</v>
      </c>
      <c r="E2672" s="73">
        <v>8747274.12370718</v>
      </c>
      <c r="F2672" s="73"/>
      <c r="G2672" s="73"/>
      <c r="H2672" s="73"/>
      <c r="I2672" s="73"/>
      <c r="J2672" s="73"/>
      <c r="K2672" s="73"/>
      <c r="L2672" s="73"/>
      <c r="M2672" s="73"/>
      <c r="N2672" s="73"/>
      <c r="O2672" s="73"/>
      <c r="P2672" s="73"/>
      <c r="Q2672" s="73"/>
      <c r="R2672" s="73"/>
      <c r="S2672" s="73"/>
      <c r="T2672" s="73"/>
      <c r="U2672" s="73"/>
      <c r="V2672" s="73"/>
      <c r="W2672" s="73"/>
      <c r="X2672" s="73"/>
      <c r="Y2672" s="73"/>
      <c r="Z2672" s="73"/>
      <c r="AA2672" s="73"/>
      <c r="AB2672" s="73"/>
    </row>
    <row r="2673">
      <c r="A2673" s="73"/>
      <c r="B2673" s="73">
        <v>1471719.788</v>
      </c>
      <c r="C2673" s="73">
        <v>1.65758076675751E8</v>
      </c>
      <c r="D2673" s="73">
        <v>6.62453144799963E7</v>
      </c>
      <c r="E2673" s="73">
        <v>8757761.67822179</v>
      </c>
      <c r="F2673" s="73"/>
      <c r="G2673" s="73"/>
      <c r="H2673" s="73"/>
      <c r="I2673" s="73"/>
      <c r="J2673" s="73"/>
      <c r="K2673" s="73"/>
      <c r="L2673" s="73"/>
      <c r="M2673" s="73"/>
      <c r="N2673" s="73"/>
      <c r="O2673" s="73"/>
      <c r="P2673" s="73"/>
      <c r="Q2673" s="73"/>
      <c r="R2673" s="73"/>
      <c r="S2673" s="73"/>
      <c r="T2673" s="73"/>
      <c r="U2673" s="73"/>
      <c r="V2673" s="73"/>
      <c r="W2673" s="73"/>
      <c r="X2673" s="73"/>
      <c r="Y2673" s="73"/>
      <c r="Z2673" s="73"/>
      <c r="AA2673" s="73"/>
      <c r="AB2673" s="73"/>
    </row>
    <row r="2674">
      <c r="A2674" s="73"/>
      <c r="B2674" s="73">
        <v>1473860.528</v>
      </c>
      <c r="C2674" s="73">
        <v>1.65926996671059E8</v>
      </c>
      <c r="D2674" s="73">
        <v>6.63316688119973E7</v>
      </c>
      <c r="E2674" s="73">
        <v>8768261.344627</v>
      </c>
      <c r="F2674" s="73"/>
      <c r="G2674" s="73"/>
      <c r="H2674" s="73"/>
      <c r="I2674" s="73"/>
      <c r="J2674" s="73"/>
      <c r="K2674" s="73"/>
      <c r="L2674" s="73"/>
      <c r="M2674" s="73"/>
      <c r="N2674" s="73"/>
      <c r="O2674" s="73"/>
      <c r="P2674" s="73"/>
      <c r="Q2674" s="73"/>
      <c r="R2674" s="73"/>
      <c r="S2674" s="73"/>
      <c r="T2674" s="73"/>
      <c r="U2674" s="73"/>
      <c r="V2674" s="73"/>
      <c r="W2674" s="73"/>
      <c r="X2674" s="73"/>
      <c r="Y2674" s="73"/>
      <c r="Z2674" s="73"/>
      <c r="AA2674" s="73"/>
      <c r="AB2674" s="73"/>
    </row>
    <row r="2675">
      <c r="A2675" s="73"/>
      <c r="B2675" s="73">
        <v>1476004.188</v>
      </c>
      <c r="C2675" s="73">
        <v>1.66096015546364E8</v>
      </c>
      <c r="D2675" s="73">
        <v>6.64180955839982E7</v>
      </c>
      <c r="E2675" s="73">
        <v>8778773.18751656</v>
      </c>
      <c r="F2675" s="73"/>
      <c r="G2675" s="73"/>
      <c r="H2675" s="73"/>
      <c r="I2675" s="73"/>
      <c r="J2675" s="73"/>
      <c r="K2675" s="73"/>
      <c r="L2675" s="73"/>
      <c r="M2675" s="73"/>
      <c r="N2675" s="73"/>
      <c r="O2675" s="73"/>
      <c r="P2675" s="73"/>
      <c r="Q2675" s="73"/>
      <c r="R2675" s="73"/>
      <c r="S2675" s="73"/>
      <c r="T2675" s="73"/>
      <c r="U2675" s="73"/>
      <c r="V2675" s="73"/>
      <c r="W2675" s="73"/>
      <c r="X2675" s="73"/>
      <c r="Y2675" s="73"/>
      <c r="Z2675" s="73"/>
      <c r="AA2675" s="73"/>
      <c r="AB2675" s="73"/>
    </row>
    <row r="2676">
      <c r="A2676" s="73"/>
      <c r="B2676" s="73">
        <v>1478150.743</v>
      </c>
      <c r="C2676" s="73">
        <v>1.66265133301666E8</v>
      </c>
      <c r="D2676" s="73">
        <v>6.65045947959991E7</v>
      </c>
      <c r="E2676" s="73">
        <v>8789296.84134948</v>
      </c>
      <c r="F2676" s="73"/>
      <c r="G2676" s="73"/>
      <c r="H2676" s="73"/>
      <c r="I2676" s="73"/>
      <c r="J2676" s="73"/>
      <c r="K2676" s="73"/>
      <c r="L2676" s="73"/>
      <c r="M2676" s="73"/>
      <c r="N2676" s="73"/>
      <c r="O2676" s="73"/>
      <c r="P2676" s="73"/>
      <c r="Q2676" s="73"/>
      <c r="R2676" s="73"/>
      <c r="S2676" s="73"/>
      <c r="T2676" s="73"/>
      <c r="U2676" s="73"/>
      <c r="V2676" s="73"/>
      <c r="W2676" s="73"/>
      <c r="X2676" s="73"/>
      <c r="Y2676" s="73"/>
      <c r="Z2676" s="73"/>
      <c r="AA2676" s="73"/>
      <c r="AB2676" s="73"/>
    </row>
    <row r="2677">
      <c r="A2677" s="73"/>
      <c r="B2677" s="73">
        <v>1480300.182</v>
      </c>
      <c r="C2677" s="73">
        <v>1.66434382896965E8</v>
      </c>
      <c r="D2677" s="73">
        <v>6.6591171496E7</v>
      </c>
      <c r="E2677" s="73">
        <v>8799832.52061674</v>
      </c>
      <c r="F2677" s="73"/>
      <c r="G2677" s="73"/>
      <c r="H2677" s="73"/>
      <c r="I2677" s="73"/>
      <c r="J2677" s="73"/>
      <c r="K2677" s="73"/>
      <c r="L2677" s="73"/>
      <c r="M2677" s="73"/>
      <c r="N2677" s="73"/>
      <c r="O2677" s="73"/>
      <c r="P2677" s="73"/>
      <c r="Q2677" s="73"/>
      <c r="R2677" s="73"/>
      <c r="S2677" s="73"/>
      <c r="T2677" s="73"/>
      <c r="U2677" s="73"/>
      <c r="V2677" s="73"/>
      <c r="W2677" s="73"/>
      <c r="X2677" s="73"/>
      <c r="Y2677" s="73"/>
      <c r="Z2677" s="73"/>
      <c r="AA2677" s="73"/>
      <c r="AB2677" s="73"/>
    </row>
    <row r="2678">
      <c r="A2678" s="73"/>
      <c r="B2678" s="73">
        <v>1482452.528</v>
      </c>
      <c r="C2678" s="73">
        <v>1.66603714892262E8</v>
      </c>
      <c r="D2678" s="73">
        <v>6.66778153640009E7</v>
      </c>
      <c r="E2678" s="73">
        <v>8810380.02341487</v>
      </c>
      <c r="F2678" s="73"/>
      <c r="G2678" s="73"/>
      <c r="H2678" s="73"/>
      <c r="I2678" s="73"/>
      <c r="J2678" s="73"/>
      <c r="K2678" s="73"/>
      <c r="L2678" s="73"/>
      <c r="M2678" s="73"/>
      <c r="N2678" s="73"/>
      <c r="O2678" s="73"/>
      <c r="P2678" s="73"/>
      <c r="Q2678" s="73"/>
      <c r="R2678" s="73"/>
      <c r="S2678" s="73"/>
      <c r="T2678" s="73"/>
      <c r="U2678" s="73"/>
      <c r="V2678" s="73"/>
      <c r="W2678" s="73"/>
      <c r="X2678" s="73"/>
      <c r="Y2678" s="73"/>
      <c r="Z2678" s="73"/>
      <c r="AA2678" s="73"/>
      <c r="AB2678" s="73"/>
    </row>
    <row r="2679">
      <c r="A2679" s="73"/>
      <c r="B2679" s="73">
        <v>1484607.773</v>
      </c>
      <c r="C2679" s="73">
        <v>1.66773162247555E8</v>
      </c>
      <c r="D2679" s="73">
        <v>6.67645368719942E7</v>
      </c>
      <c r="E2679" s="73">
        <v>8820940.18881332</v>
      </c>
      <c r="F2679" s="73"/>
      <c r="G2679" s="73"/>
      <c r="H2679" s="73"/>
      <c r="I2679" s="73"/>
      <c r="J2679" s="73"/>
      <c r="K2679" s="73"/>
      <c r="L2679" s="73"/>
      <c r="M2679" s="73"/>
      <c r="N2679" s="73"/>
      <c r="O2679" s="73"/>
      <c r="P2679" s="73"/>
      <c r="Q2679" s="73"/>
      <c r="R2679" s="73"/>
      <c r="S2679" s="73"/>
      <c r="T2679" s="73"/>
      <c r="U2679" s="73"/>
      <c r="V2679" s="73"/>
      <c r="W2679" s="73"/>
      <c r="X2679" s="73"/>
      <c r="Y2679" s="73"/>
      <c r="Z2679" s="73"/>
      <c r="AA2679" s="73"/>
      <c r="AB2679" s="73"/>
    </row>
    <row r="2680">
      <c r="A2680" s="73"/>
      <c r="B2680" s="73">
        <v>1486765.932</v>
      </c>
      <c r="C2680" s="73">
        <v>1.66942741442844E8</v>
      </c>
      <c r="D2680" s="73">
        <v>6.68513307399951E7</v>
      </c>
      <c r="E2680" s="73">
        <v>8831511.64591415</v>
      </c>
      <c r="F2680" s="73"/>
      <c r="G2680" s="73"/>
      <c r="H2680" s="73"/>
      <c r="I2680" s="73"/>
      <c r="J2680" s="73"/>
      <c r="K2680" s="73"/>
      <c r="L2680" s="73"/>
      <c r="M2680" s="73"/>
      <c r="N2680" s="73"/>
      <c r="O2680" s="73"/>
      <c r="P2680" s="73"/>
      <c r="Q2680" s="73"/>
      <c r="R2680" s="73"/>
      <c r="S2680" s="73"/>
      <c r="T2680" s="73"/>
      <c r="U2680" s="73"/>
      <c r="V2680" s="73"/>
      <c r="W2680" s="73"/>
      <c r="X2680" s="73"/>
      <c r="Y2680" s="73"/>
      <c r="Z2680" s="73"/>
      <c r="AA2680" s="73"/>
      <c r="AB2680" s="73"/>
    </row>
    <row r="2681">
      <c r="A2681" s="73"/>
      <c r="B2681" s="73">
        <v>1488926.953</v>
      </c>
      <c r="C2681" s="73">
        <v>1.67112403038132E8</v>
      </c>
      <c r="D2681" s="73">
        <v>6.6938197055996E7</v>
      </c>
      <c r="E2681" s="73">
        <v>8842095.80404031</v>
      </c>
      <c r="F2681" s="73"/>
      <c r="G2681" s="73"/>
      <c r="H2681" s="73"/>
      <c r="I2681" s="73"/>
      <c r="J2681" s="73"/>
      <c r="K2681" s="73"/>
      <c r="L2681" s="73"/>
      <c r="M2681" s="73"/>
      <c r="N2681" s="73"/>
      <c r="O2681" s="73"/>
      <c r="P2681" s="73"/>
      <c r="Q2681" s="73"/>
      <c r="R2681" s="73"/>
      <c r="S2681" s="73"/>
      <c r="T2681" s="73"/>
      <c r="U2681" s="73"/>
      <c r="V2681" s="73"/>
      <c r="W2681" s="73"/>
      <c r="X2681" s="73"/>
      <c r="Y2681" s="73"/>
      <c r="Z2681" s="73"/>
      <c r="AA2681" s="73"/>
      <c r="AB2681" s="73"/>
    </row>
    <row r="2682">
      <c r="A2682" s="73"/>
      <c r="B2682" s="73">
        <v>1491090.892</v>
      </c>
      <c r="C2682" s="73">
        <v>1.67282179993416E8</v>
      </c>
      <c r="D2682" s="73">
        <v>6.7025140851997E7</v>
      </c>
      <c r="E2682" s="73">
        <v>8852691.75919732</v>
      </c>
      <c r="F2682" s="73"/>
      <c r="G2682" s="73"/>
      <c r="H2682" s="73"/>
      <c r="I2682" s="73"/>
      <c r="J2682" s="73"/>
      <c r="K2682" s="73"/>
      <c r="L2682" s="73"/>
      <c r="M2682" s="73"/>
      <c r="N2682" s="73"/>
      <c r="O2682" s="73"/>
      <c r="P2682" s="73"/>
      <c r="Q2682" s="73"/>
      <c r="R2682" s="73"/>
      <c r="S2682" s="73"/>
      <c r="T2682" s="73"/>
      <c r="U2682" s="73"/>
      <c r="V2682" s="73"/>
      <c r="W2682" s="73"/>
      <c r="X2682" s="73"/>
      <c r="Y2682" s="73"/>
      <c r="Z2682" s="73"/>
      <c r="AA2682" s="73"/>
      <c r="AB2682" s="73"/>
    </row>
    <row r="2683">
      <c r="A2683" s="73"/>
      <c r="B2683" s="73">
        <v>1493257.696</v>
      </c>
      <c r="C2683" s="73">
        <v>1.67452072308697E8</v>
      </c>
      <c r="D2683" s="73">
        <v>6.71121570159979E7</v>
      </c>
      <c r="E2683" s="73">
        <v>8863300.04255117</v>
      </c>
      <c r="F2683" s="73"/>
      <c r="G2683" s="73"/>
      <c r="H2683" s="73"/>
      <c r="I2683" s="73"/>
      <c r="J2683" s="73"/>
      <c r="K2683" s="73"/>
      <c r="L2683" s="73"/>
      <c r="M2683" s="73"/>
      <c r="N2683" s="73"/>
      <c r="O2683" s="73"/>
      <c r="P2683" s="73"/>
      <c r="Q2683" s="73"/>
      <c r="R2683" s="73"/>
      <c r="S2683" s="73"/>
      <c r="T2683" s="73"/>
      <c r="U2683" s="73"/>
      <c r="V2683" s="73"/>
      <c r="W2683" s="73"/>
      <c r="X2683" s="73"/>
      <c r="Y2683" s="73"/>
      <c r="Z2683" s="73"/>
      <c r="AA2683" s="73"/>
      <c r="AB2683" s="73"/>
    </row>
    <row r="2684">
      <c r="A2684" s="73"/>
      <c r="B2684" s="73">
        <v>1495427.494</v>
      </c>
      <c r="C2684" s="73">
        <v>1.67622063503975E8</v>
      </c>
      <c r="D2684" s="73">
        <v>6.71992404279988E7</v>
      </c>
      <c r="E2684" s="73">
        <v>8873920.31490187</v>
      </c>
      <c r="F2684" s="73"/>
      <c r="G2684" s="73"/>
      <c r="H2684" s="73"/>
      <c r="I2684" s="73"/>
      <c r="J2684" s="73"/>
      <c r="K2684" s="73"/>
      <c r="L2684" s="73"/>
      <c r="M2684" s="73"/>
      <c r="N2684" s="73"/>
      <c r="O2684" s="73"/>
      <c r="P2684" s="73"/>
      <c r="Q2684" s="73"/>
      <c r="R2684" s="73"/>
      <c r="S2684" s="73"/>
      <c r="T2684" s="73"/>
      <c r="U2684" s="73"/>
      <c r="V2684" s="73"/>
      <c r="W2684" s="73"/>
      <c r="X2684" s="73"/>
      <c r="Y2684" s="73"/>
      <c r="Z2684" s="73"/>
      <c r="AA2684" s="73"/>
      <c r="AB2684" s="73"/>
    </row>
    <row r="2685">
      <c r="A2685" s="73"/>
      <c r="B2685" s="73">
        <v>1497600.149</v>
      </c>
      <c r="C2685" s="73">
        <v>1.6779217005925E8</v>
      </c>
      <c r="D2685" s="73">
        <v>6.72864014799997E7</v>
      </c>
      <c r="E2685" s="73">
        <v>8884552.65922092</v>
      </c>
      <c r="F2685" s="73"/>
      <c r="G2685" s="73"/>
      <c r="H2685" s="73"/>
      <c r="I2685" s="73"/>
      <c r="J2685" s="73"/>
      <c r="K2685" s="73"/>
      <c r="L2685" s="73"/>
      <c r="M2685" s="73"/>
      <c r="N2685" s="73"/>
      <c r="O2685" s="73"/>
      <c r="P2685" s="73"/>
      <c r="Q2685" s="73"/>
      <c r="R2685" s="73"/>
      <c r="S2685" s="73"/>
      <c r="T2685" s="73"/>
      <c r="U2685" s="73"/>
      <c r="V2685" s="73"/>
      <c r="W2685" s="73"/>
      <c r="X2685" s="73"/>
      <c r="Y2685" s="73"/>
      <c r="Z2685" s="73"/>
      <c r="AA2685" s="73"/>
      <c r="AB2685" s="73"/>
    </row>
    <row r="2686">
      <c r="A2686" s="73"/>
      <c r="B2686" s="73">
        <v>1499775.739</v>
      </c>
      <c r="C2686" s="73">
        <v>1.67962375494522E8</v>
      </c>
      <c r="D2686" s="73">
        <v>6.73736348920006E7</v>
      </c>
      <c r="E2686" s="73">
        <v>8895197.23832431</v>
      </c>
      <c r="F2686" s="73"/>
      <c r="G2686" s="73"/>
      <c r="H2686" s="73"/>
      <c r="I2686" s="73"/>
      <c r="J2686" s="73"/>
      <c r="K2686" s="73"/>
      <c r="L2686" s="73"/>
      <c r="M2686" s="73"/>
      <c r="N2686" s="73"/>
      <c r="O2686" s="73"/>
      <c r="P2686" s="73"/>
      <c r="Q2686" s="73"/>
      <c r="R2686" s="73"/>
      <c r="S2686" s="73"/>
      <c r="T2686" s="73"/>
      <c r="U2686" s="73"/>
      <c r="V2686" s="73"/>
      <c r="W2686" s="73"/>
      <c r="X2686" s="73"/>
      <c r="Y2686" s="73"/>
      <c r="Z2686" s="73"/>
      <c r="AA2686" s="73"/>
      <c r="AB2686" s="73"/>
    </row>
    <row r="2687">
      <c r="A2687" s="73"/>
      <c r="B2687" s="73">
        <v>1501954.226</v>
      </c>
      <c r="C2687" s="73">
        <v>1.68132712769791E8</v>
      </c>
      <c r="D2687" s="73">
        <v>6.74609457919939E7</v>
      </c>
      <c r="E2687" s="73">
        <v>8905854.01312454</v>
      </c>
      <c r="F2687" s="73"/>
      <c r="G2687" s="73"/>
      <c r="H2687" s="73"/>
      <c r="I2687" s="73"/>
      <c r="J2687" s="73"/>
      <c r="K2687" s="73"/>
      <c r="L2687" s="73"/>
      <c r="M2687" s="73"/>
      <c r="N2687" s="73"/>
      <c r="O2687" s="73"/>
      <c r="P2687" s="73"/>
      <c r="Q2687" s="73"/>
      <c r="R2687" s="73"/>
      <c r="S2687" s="73"/>
      <c r="T2687" s="73"/>
      <c r="U2687" s="73"/>
      <c r="V2687" s="73"/>
      <c r="W2687" s="73"/>
      <c r="X2687" s="73"/>
      <c r="Y2687" s="73"/>
      <c r="Z2687" s="73"/>
      <c r="AA2687" s="73"/>
      <c r="AB2687" s="73"/>
    </row>
    <row r="2688">
      <c r="A2688" s="73"/>
      <c r="B2688" s="73">
        <v>1504135.634</v>
      </c>
      <c r="C2688" s="73">
        <v>1.68303132445057E8</v>
      </c>
      <c r="D2688" s="73">
        <v>6.75483240119948E7</v>
      </c>
      <c r="E2688" s="73">
        <v>8916522.66048063</v>
      </c>
      <c r="F2688" s="73"/>
      <c r="G2688" s="73"/>
      <c r="H2688" s="73"/>
      <c r="I2688" s="73"/>
      <c r="J2688" s="73"/>
      <c r="K2688" s="73"/>
      <c r="L2688" s="73"/>
      <c r="M2688" s="73"/>
      <c r="N2688" s="73"/>
      <c r="O2688" s="73"/>
      <c r="P2688" s="73"/>
      <c r="Q2688" s="73"/>
      <c r="R2688" s="73"/>
      <c r="S2688" s="73"/>
      <c r="T2688" s="73"/>
      <c r="U2688" s="73"/>
      <c r="V2688" s="73"/>
      <c r="W2688" s="73"/>
      <c r="X2688" s="73"/>
      <c r="Y2688" s="73"/>
      <c r="Z2688" s="73"/>
      <c r="AA2688" s="73"/>
      <c r="AB2688" s="73"/>
    </row>
    <row r="2689">
      <c r="A2689" s="73"/>
      <c r="B2689" s="73">
        <v>1506319.934</v>
      </c>
      <c r="C2689" s="73">
        <v>1.6847368396032E8</v>
      </c>
      <c r="D2689" s="73">
        <v>6.76357745999957E7</v>
      </c>
      <c r="E2689" s="73">
        <v>8927203.69632105</v>
      </c>
      <c r="F2689" s="73"/>
      <c r="G2689" s="73"/>
      <c r="H2689" s="73"/>
      <c r="I2689" s="73"/>
      <c r="J2689" s="73"/>
      <c r="K2689" s="73"/>
      <c r="L2689" s="73"/>
      <c r="M2689" s="73"/>
      <c r="N2689" s="73"/>
      <c r="O2689" s="73"/>
      <c r="P2689" s="73"/>
      <c r="Q2689" s="73"/>
      <c r="R2689" s="73"/>
      <c r="S2689" s="73"/>
      <c r="T2689" s="73"/>
      <c r="U2689" s="73"/>
      <c r="V2689" s="73"/>
      <c r="W2689" s="73"/>
      <c r="X2689" s="73"/>
      <c r="Y2689" s="73"/>
      <c r="Z2689" s="73"/>
      <c r="AA2689" s="73"/>
      <c r="AB2689" s="73"/>
    </row>
    <row r="2690">
      <c r="A2690" s="73"/>
      <c r="B2690" s="73">
        <v>1508507.184</v>
      </c>
      <c r="C2690" s="73">
        <v>1.68644350835579E8</v>
      </c>
      <c r="D2690" s="73">
        <v>6.77233027479966E7</v>
      </c>
      <c r="E2690" s="73">
        <v>8937897.0663208</v>
      </c>
      <c r="F2690" s="73"/>
      <c r="G2690" s="73"/>
      <c r="H2690" s="73"/>
      <c r="I2690" s="73"/>
      <c r="J2690" s="73"/>
      <c r="K2690" s="73"/>
      <c r="L2690" s="73"/>
      <c r="M2690" s="73"/>
      <c r="N2690" s="73"/>
      <c r="O2690" s="73"/>
      <c r="P2690" s="73"/>
      <c r="Q2690" s="73"/>
      <c r="R2690" s="73"/>
      <c r="S2690" s="73"/>
      <c r="T2690" s="73"/>
      <c r="U2690" s="73"/>
      <c r="V2690" s="73"/>
      <c r="W2690" s="73"/>
      <c r="X2690" s="73"/>
      <c r="Y2690" s="73"/>
      <c r="Z2690" s="73"/>
      <c r="AA2690" s="73"/>
      <c r="AB2690" s="73"/>
    </row>
    <row r="2691">
      <c r="A2691" s="73"/>
      <c r="B2691" s="73">
        <v>1510697.324</v>
      </c>
      <c r="C2691" s="73">
        <v>1.68815100110836E8</v>
      </c>
      <c r="D2691" s="73">
        <v>6.78109083839976E7</v>
      </c>
      <c r="E2691" s="73">
        <v>8948602.28833892</v>
      </c>
      <c r="F2691" s="73"/>
      <c r="G2691" s="73"/>
      <c r="H2691" s="73"/>
      <c r="I2691" s="73"/>
      <c r="J2691" s="73"/>
      <c r="K2691" s="73"/>
      <c r="L2691" s="73"/>
      <c r="M2691" s="73"/>
      <c r="N2691" s="73"/>
      <c r="O2691" s="73"/>
      <c r="P2691" s="73"/>
      <c r="Q2691" s="73"/>
      <c r="R2691" s="73"/>
      <c r="S2691" s="73"/>
      <c r="T2691" s="73"/>
      <c r="U2691" s="73"/>
      <c r="V2691" s="73"/>
      <c r="W2691" s="73"/>
      <c r="X2691" s="73"/>
      <c r="Y2691" s="73"/>
      <c r="Z2691" s="73"/>
      <c r="AA2691" s="73"/>
      <c r="AB2691" s="73"/>
    </row>
    <row r="2692">
      <c r="A2692" s="73"/>
      <c r="B2692" s="73">
        <v>1512890.417</v>
      </c>
      <c r="C2692" s="73">
        <v>1.6898596474609E8</v>
      </c>
      <c r="D2692" s="73">
        <v>6.78985811879985E7</v>
      </c>
      <c r="E2692" s="73">
        <v>8959319.80542887</v>
      </c>
      <c r="F2692" s="73"/>
      <c r="G2692" s="73"/>
      <c r="H2692" s="73"/>
      <c r="I2692" s="73"/>
      <c r="J2692" s="73"/>
      <c r="K2692" s="73"/>
      <c r="L2692" s="73"/>
      <c r="M2692" s="73"/>
      <c r="N2692" s="73"/>
      <c r="O2692" s="73"/>
      <c r="P2692" s="73"/>
      <c r="Q2692" s="73"/>
      <c r="R2692" s="73"/>
      <c r="S2692" s="73"/>
      <c r="T2692" s="73"/>
      <c r="U2692" s="73"/>
      <c r="V2692" s="73"/>
      <c r="W2692" s="73"/>
      <c r="X2692" s="73"/>
      <c r="Y2692" s="73"/>
      <c r="Z2692" s="73"/>
      <c r="AA2692" s="73"/>
      <c r="AB2692" s="73"/>
    </row>
    <row r="2693">
      <c r="A2693" s="73"/>
      <c r="B2693" s="73">
        <v>1515086.394</v>
      </c>
      <c r="C2693" s="73">
        <v>1.6915696122134E8</v>
      </c>
      <c r="D2693" s="73">
        <v>6.79863316319994E7</v>
      </c>
      <c r="E2693" s="73">
        <v>8970049.70437815</v>
      </c>
      <c r="F2693" s="73"/>
      <c r="G2693" s="73"/>
      <c r="H2693" s="73"/>
      <c r="I2693" s="73"/>
      <c r="J2693" s="73"/>
      <c r="K2693" s="73"/>
      <c r="L2693" s="73"/>
      <c r="M2693" s="73"/>
      <c r="N2693" s="73"/>
      <c r="O2693" s="73"/>
      <c r="P2693" s="73"/>
      <c r="Q2693" s="73"/>
      <c r="R2693" s="73"/>
      <c r="S2693" s="73"/>
      <c r="T2693" s="73"/>
      <c r="U2693" s="73"/>
      <c r="V2693" s="73"/>
      <c r="W2693" s="73"/>
      <c r="X2693" s="73"/>
      <c r="Y2693" s="73"/>
      <c r="Z2693" s="73"/>
      <c r="AA2693" s="73"/>
      <c r="AB2693" s="73"/>
    </row>
    <row r="2694">
      <c r="A2694" s="73"/>
      <c r="B2694" s="73">
        <v>1517285.352</v>
      </c>
      <c r="C2694" s="73">
        <v>1.69328040096588E8</v>
      </c>
      <c r="D2694" s="73">
        <v>6.80741493160003E7</v>
      </c>
      <c r="E2694" s="73">
        <v>8980791.64217079</v>
      </c>
      <c r="F2694" s="73"/>
      <c r="G2694" s="73"/>
      <c r="H2694" s="73"/>
      <c r="I2694" s="73"/>
      <c r="J2694" s="73"/>
      <c r="K2694" s="73"/>
      <c r="L2694" s="73"/>
      <c r="M2694" s="73"/>
      <c r="N2694" s="73"/>
      <c r="O2694" s="73"/>
      <c r="P2694" s="73"/>
      <c r="Q2694" s="73"/>
      <c r="R2694" s="73"/>
      <c r="S2694" s="73"/>
      <c r="T2694" s="73"/>
      <c r="U2694" s="73"/>
      <c r="V2694" s="73"/>
      <c r="W2694" s="73"/>
      <c r="X2694" s="73"/>
      <c r="Y2694" s="73"/>
      <c r="Z2694" s="73"/>
      <c r="AA2694" s="73"/>
      <c r="AB2694" s="73"/>
    </row>
    <row r="2695">
      <c r="A2695" s="73"/>
      <c r="B2695" s="73">
        <v>1519487.232</v>
      </c>
      <c r="C2695" s="73">
        <v>1.69499234331833E8</v>
      </c>
      <c r="D2695" s="73">
        <v>6.81620496880012E7</v>
      </c>
      <c r="E2695" s="73">
        <v>8991545.91809775</v>
      </c>
      <c r="F2695" s="73"/>
      <c r="G2695" s="73"/>
      <c r="H2695" s="73"/>
      <c r="I2695" s="73"/>
      <c r="J2695" s="73"/>
      <c r="K2695" s="73"/>
      <c r="L2695" s="73"/>
      <c r="M2695" s="73"/>
      <c r="N2695" s="73"/>
      <c r="O2695" s="73"/>
      <c r="P2695" s="73"/>
      <c r="Q2695" s="73"/>
      <c r="R2695" s="73"/>
      <c r="S2695" s="73"/>
      <c r="T2695" s="73"/>
      <c r="U2695" s="73"/>
      <c r="V2695" s="73"/>
      <c r="W2695" s="73"/>
      <c r="X2695" s="73"/>
      <c r="Y2695" s="73"/>
      <c r="Z2695" s="73"/>
      <c r="AA2695" s="73"/>
      <c r="AB2695" s="73"/>
    </row>
    <row r="2696">
      <c r="A2696" s="73"/>
      <c r="B2696" s="73">
        <v>1521691.957</v>
      </c>
      <c r="C2696" s="73">
        <v>1.69670543927074E8</v>
      </c>
      <c r="D2696" s="73">
        <v>6.82500172999945E7</v>
      </c>
      <c r="E2696" s="73">
        <v>9002312.47650906</v>
      </c>
      <c r="F2696" s="73"/>
      <c r="G2696" s="73"/>
      <c r="H2696" s="73"/>
      <c r="I2696" s="73"/>
      <c r="J2696" s="73"/>
      <c r="K2696" s="73"/>
      <c r="L2696" s="73"/>
      <c r="M2696" s="73"/>
      <c r="N2696" s="73"/>
      <c r="O2696" s="73"/>
      <c r="P2696" s="73"/>
      <c r="Q2696" s="73"/>
      <c r="R2696" s="73"/>
      <c r="S2696" s="73"/>
      <c r="T2696" s="73"/>
      <c r="U2696" s="73"/>
      <c r="V2696" s="73"/>
      <c r="W2696" s="73"/>
      <c r="X2696" s="73"/>
      <c r="Y2696" s="73"/>
      <c r="Z2696" s="73"/>
      <c r="AA2696" s="73"/>
      <c r="AB2696" s="73"/>
    </row>
    <row r="2697">
      <c r="A2697" s="73"/>
      <c r="B2697" s="73">
        <v>1523899.712</v>
      </c>
      <c r="C2697" s="73">
        <v>1.69841968882313E8</v>
      </c>
      <c r="D2697" s="73">
        <v>6.83380574319954E7</v>
      </c>
      <c r="E2697" s="73">
        <v>9013091.39160469</v>
      </c>
      <c r="F2697" s="73"/>
      <c r="G2697" s="73"/>
      <c r="H2697" s="73"/>
      <c r="I2697" s="73"/>
      <c r="J2697" s="73"/>
      <c r="K2697" s="73"/>
      <c r="L2697" s="73"/>
      <c r="M2697" s="73"/>
      <c r="N2697" s="73"/>
      <c r="O2697" s="73"/>
      <c r="P2697" s="73"/>
      <c r="Q2697" s="73"/>
      <c r="R2697" s="73"/>
      <c r="S2697" s="73"/>
      <c r="T2697" s="73"/>
      <c r="U2697" s="73"/>
      <c r="V2697" s="73"/>
      <c r="W2697" s="73"/>
      <c r="X2697" s="73"/>
      <c r="Y2697" s="73"/>
      <c r="Z2697" s="73"/>
      <c r="AA2697" s="73"/>
      <c r="AB2697" s="73"/>
    </row>
    <row r="2698">
      <c r="A2698" s="73"/>
      <c r="B2698" s="73">
        <v>1526110.334</v>
      </c>
      <c r="C2698" s="73">
        <v>1.70013476237549E8</v>
      </c>
      <c r="D2698" s="73">
        <v>6.84261748999963E7</v>
      </c>
      <c r="E2698" s="73">
        <v>9023882.50851868</v>
      </c>
      <c r="F2698" s="73"/>
      <c r="G2698" s="73"/>
      <c r="H2698" s="73"/>
      <c r="I2698" s="73"/>
      <c r="J2698" s="73"/>
      <c r="K2698" s="73"/>
      <c r="L2698" s="73"/>
      <c r="M2698" s="73"/>
      <c r="N2698" s="73"/>
      <c r="O2698" s="73"/>
      <c r="P2698" s="73"/>
      <c r="Q2698" s="73"/>
      <c r="R2698" s="73"/>
      <c r="S2698" s="73"/>
      <c r="T2698" s="73"/>
      <c r="U2698" s="73"/>
      <c r="V2698" s="73"/>
      <c r="W2698" s="73"/>
      <c r="X2698" s="73"/>
      <c r="Y2698" s="73"/>
      <c r="Z2698" s="73"/>
      <c r="AA2698" s="73"/>
      <c r="AB2698" s="73"/>
    </row>
    <row r="2699">
      <c r="A2699" s="73"/>
      <c r="B2699" s="73">
        <v>1528323.897</v>
      </c>
      <c r="C2699" s="73">
        <v>1.70185115432781E8</v>
      </c>
      <c r="D2699" s="73">
        <v>6.85143649599973E7</v>
      </c>
      <c r="E2699" s="73">
        <v>9034685.94170449</v>
      </c>
      <c r="F2699" s="73"/>
      <c r="G2699" s="73"/>
      <c r="H2699" s="73"/>
      <c r="I2699" s="73"/>
      <c r="J2699" s="73"/>
      <c r="K2699" s="73"/>
      <c r="L2699" s="73"/>
      <c r="M2699" s="73"/>
      <c r="N2699" s="73"/>
      <c r="O2699" s="73"/>
      <c r="P2699" s="73"/>
      <c r="Q2699" s="73"/>
      <c r="R2699" s="73"/>
      <c r="S2699" s="73"/>
      <c r="T2699" s="73"/>
      <c r="U2699" s="73"/>
      <c r="V2699" s="73"/>
      <c r="W2699" s="73"/>
      <c r="X2699" s="73"/>
      <c r="Y2699" s="73"/>
      <c r="Z2699" s="73"/>
      <c r="AA2699" s="73"/>
      <c r="AB2699" s="73"/>
    </row>
    <row r="2700">
      <c r="A2700" s="73"/>
      <c r="B2700" s="73">
        <v>1530540.402</v>
      </c>
      <c r="C2700" s="73">
        <v>1.7035688646801E8</v>
      </c>
      <c r="D2700" s="73">
        <v>6.86026323559982E7</v>
      </c>
      <c r="E2700" s="73">
        <v>9045501.58847464</v>
      </c>
      <c r="F2700" s="73"/>
      <c r="G2700" s="73"/>
      <c r="H2700" s="73"/>
      <c r="I2700" s="73"/>
      <c r="J2700" s="73"/>
      <c r="K2700" s="73"/>
      <c r="L2700" s="73"/>
      <c r="M2700" s="73"/>
      <c r="N2700" s="73"/>
      <c r="O2700" s="73"/>
      <c r="P2700" s="73"/>
      <c r="Q2700" s="73"/>
      <c r="R2700" s="73"/>
      <c r="S2700" s="73"/>
      <c r="T2700" s="73"/>
      <c r="U2700" s="73"/>
      <c r="V2700" s="73"/>
      <c r="W2700" s="73"/>
      <c r="X2700" s="73"/>
      <c r="Y2700" s="73"/>
      <c r="Z2700" s="73"/>
      <c r="AA2700" s="73"/>
      <c r="AB2700" s="73"/>
    </row>
    <row r="2701">
      <c r="A2701" s="73"/>
      <c r="B2701" s="73">
        <v>1532759.872</v>
      </c>
      <c r="C2701" s="73">
        <v>1.70528723423237E8</v>
      </c>
      <c r="D2701" s="73">
        <v>6.86909723439991E7</v>
      </c>
      <c r="E2701" s="73">
        <v>9056329.69345062</v>
      </c>
      <c r="F2701" s="73"/>
      <c r="G2701" s="73"/>
      <c r="H2701" s="73"/>
      <c r="I2701" s="73"/>
      <c r="J2701" s="73"/>
      <c r="K2701" s="73"/>
      <c r="L2701" s="73"/>
      <c r="M2701" s="73"/>
      <c r="N2701" s="73"/>
      <c r="O2701" s="73"/>
      <c r="P2701" s="73"/>
      <c r="Q2701" s="73"/>
      <c r="R2701" s="73"/>
      <c r="S2701" s="73"/>
      <c r="T2701" s="73"/>
      <c r="U2701" s="73"/>
      <c r="V2701" s="73"/>
      <c r="W2701" s="73"/>
      <c r="X2701" s="73"/>
      <c r="Y2701" s="73"/>
      <c r="Z2701" s="73"/>
      <c r="AA2701" s="73"/>
      <c r="AB2701" s="73"/>
    </row>
    <row r="2702">
      <c r="A2702" s="73"/>
      <c r="B2702" s="73">
        <v>1534982.224</v>
      </c>
      <c r="C2702" s="73">
        <v>1.70700675738461E8</v>
      </c>
      <c r="D2702" s="73">
        <v>6.87793795E7</v>
      </c>
      <c r="E2702" s="73">
        <v>9067169.92456095</v>
      </c>
      <c r="F2702" s="73"/>
      <c r="G2702" s="73"/>
      <c r="H2702" s="73"/>
      <c r="I2702" s="73"/>
      <c r="J2702" s="73"/>
      <c r="K2702" s="73"/>
      <c r="L2702" s="73"/>
      <c r="M2702" s="73"/>
      <c r="N2702" s="73"/>
      <c r="O2702" s="73"/>
      <c r="P2702" s="73"/>
      <c r="Q2702" s="73"/>
      <c r="R2702" s="73"/>
      <c r="S2702" s="73"/>
      <c r="T2702" s="73"/>
      <c r="U2702" s="73"/>
      <c r="V2702" s="73"/>
      <c r="W2702" s="73"/>
      <c r="X2702" s="73"/>
      <c r="Y2702" s="73"/>
      <c r="Z2702" s="73"/>
      <c r="AA2702" s="73"/>
      <c r="AB2702" s="73"/>
    </row>
    <row r="2703">
      <c r="A2703" s="73"/>
      <c r="B2703" s="73">
        <v>1537207.544</v>
      </c>
      <c r="C2703" s="73">
        <v>1.70872759893681E8</v>
      </c>
      <c r="D2703" s="73">
        <v>6.88678692640009E7</v>
      </c>
      <c r="E2703" s="73">
        <v>9078022.6773181</v>
      </c>
      <c r="F2703" s="73"/>
      <c r="G2703" s="73"/>
      <c r="H2703" s="73"/>
      <c r="I2703" s="73"/>
      <c r="J2703" s="73"/>
      <c r="K2703" s="73"/>
      <c r="L2703" s="73"/>
      <c r="M2703" s="73"/>
      <c r="N2703" s="73"/>
      <c r="O2703" s="73"/>
      <c r="P2703" s="73"/>
      <c r="Q2703" s="73"/>
      <c r="R2703" s="73"/>
      <c r="S2703" s="73"/>
      <c r="T2703" s="73"/>
      <c r="U2703" s="73"/>
      <c r="V2703" s="73"/>
      <c r="W2703" s="73"/>
      <c r="X2703" s="73"/>
      <c r="Y2703" s="73"/>
      <c r="Z2703" s="73"/>
      <c r="AA2703" s="73"/>
      <c r="AB2703" s="73"/>
    </row>
    <row r="2704">
      <c r="A2704" s="73"/>
      <c r="B2704" s="73">
        <v>1539435.81</v>
      </c>
      <c r="C2704" s="73">
        <v>1.71044959408897E8</v>
      </c>
      <c r="D2704" s="73">
        <v>6.89564314679942E7</v>
      </c>
      <c r="E2704" s="73">
        <v>9088887.91395958</v>
      </c>
      <c r="F2704" s="73"/>
      <c r="G2704" s="73"/>
      <c r="H2704" s="73"/>
      <c r="I2704" s="73"/>
      <c r="J2704" s="73"/>
      <c r="K2704" s="73"/>
      <c r="L2704" s="73"/>
      <c r="M2704" s="73"/>
      <c r="N2704" s="73"/>
      <c r="O2704" s="73"/>
      <c r="P2704" s="73"/>
      <c r="Q2704" s="73"/>
      <c r="R2704" s="73"/>
      <c r="S2704" s="73"/>
      <c r="T2704" s="73"/>
      <c r="U2704" s="73"/>
      <c r="V2704" s="73"/>
      <c r="W2704" s="73"/>
      <c r="X2704" s="73"/>
      <c r="Y2704" s="73"/>
      <c r="Z2704" s="73"/>
      <c r="AA2704" s="73"/>
      <c r="AB2704" s="73"/>
    </row>
    <row r="2705">
      <c r="A2705" s="73"/>
      <c r="B2705" s="73">
        <v>1541667.025</v>
      </c>
      <c r="C2705" s="73">
        <v>1.71217224844112E8</v>
      </c>
      <c r="D2705" s="73">
        <v>6.90450609919951E7</v>
      </c>
      <c r="E2705" s="73">
        <v>9099765.2537069</v>
      </c>
      <c r="F2705" s="73"/>
      <c r="G2705" s="73"/>
      <c r="H2705" s="73"/>
      <c r="I2705" s="73"/>
      <c r="J2705" s="73"/>
      <c r="K2705" s="73"/>
      <c r="L2705" s="73"/>
      <c r="M2705" s="73"/>
      <c r="N2705" s="73"/>
      <c r="O2705" s="73"/>
      <c r="P2705" s="73"/>
      <c r="Q2705" s="73"/>
      <c r="R2705" s="73"/>
      <c r="S2705" s="73"/>
      <c r="T2705" s="73"/>
      <c r="U2705" s="73"/>
      <c r="V2705" s="73"/>
      <c r="W2705" s="73"/>
      <c r="X2705" s="73"/>
      <c r="Y2705" s="73"/>
      <c r="Z2705" s="73"/>
      <c r="AA2705" s="73"/>
      <c r="AB2705" s="73"/>
    </row>
    <row r="2706">
      <c r="A2706" s="73"/>
      <c r="B2706" s="73">
        <v>1543901.159</v>
      </c>
      <c r="C2706" s="73">
        <v>1.71389671559322E8</v>
      </c>
      <c r="D2706" s="73">
        <v>6.9133773123996E7</v>
      </c>
      <c r="E2706" s="73">
        <v>9110654.97332606</v>
      </c>
      <c r="F2706" s="73"/>
      <c r="G2706" s="73"/>
      <c r="H2706" s="73"/>
      <c r="I2706" s="73"/>
      <c r="J2706" s="73"/>
      <c r="K2706" s="73"/>
      <c r="L2706" s="73"/>
      <c r="M2706" s="73"/>
      <c r="N2706" s="73"/>
      <c r="O2706" s="73"/>
      <c r="P2706" s="73"/>
      <c r="Q2706" s="73"/>
      <c r="R2706" s="73"/>
      <c r="S2706" s="73"/>
      <c r="T2706" s="73"/>
      <c r="U2706" s="73"/>
      <c r="V2706" s="73"/>
      <c r="W2706" s="73"/>
      <c r="X2706" s="73"/>
      <c r="Y2706" s="73"/>
      <c r="Z2706" s="73"/>
      <c r="AA2706" s="73"/>
      <c r="AB2706" s="73"/>
    </row>
    <row r="2707">
      <c r="A2707" s="73"/>
      <c r="B2707" s="73">
        <v>1546138.256</v>
      </c>
      <c r="C2707" s="73">
        <v>1.71562167714531E8</v>
      </c>
      <c r="D2707" s="73">
        <v>6.92225525039969E7</v>
      </c>
      <c r="E2707" s="73">
        <v>9121557.32589203</v>
      </c>
      <c r="F2707" s="73"/>
      <c r="G2707" s="73"/>
      <c r="H2707" s="73"/>
      <c r="I2707" s="73"/>
      <c r="J2707" s="73"/>
      <c r="K2707" s="73"/>
      <c r="L2707" s="73"/>
      <c r="M2707" s="73"/>
      <c r="N2707" s="73"/>
      <c r="O2707" s="73"/>
      <c r="P2707" s="73"/>
      <c r="Q2707" s="73"/>
      <c r="R2707" s="73"/>
      <c r="S2707" s="73"/>
      <c r="T2707" s="73"/>
      <c r="U2707" s="73"/>
      <c r="V2707" s="73"/>
      <c r="W2707" s="73"/>
      <c r="X2707" s="73"/>
      <c r="Y2707" s="73"/>
      <c r="Z2707" s="73"/>
      <c r="AA2707" s="73"/>
      <c r="AB2707" s="73"/>
    </row>
    <row r="2708">
      <c r="A2708" s="73"/>
      <c r="B2708" s="73">
        <v>1548378.305</v>
      </c>
      <c r="C2708" s="73">
        <v>1.71734779229736E8</v>
      </c>
      <c r="D2708" s="73">
        <v>6.93114043239979E7</v>
      </c>
      <c r="E2708" s="73">
        <v>9132471.68218886</v>
      </c>
      <c r="F2708" s="73"/>
      <c r="G2708" s="73"/>
      <c r="H2708" s="73"/>
      <c r="I2708" s="73"/>
      <c r="J2708" s="73"/>
      <c r="K2708" s="73"/>
      <c r="L2708" s="73"/>
      <c r="M2708" s="73"/>
      <c r="N2708" s="73"/>
      <c r="O2708" s="73"/>
      <c r="P2708" s="73"/>
      <c r="Q2708" s="73"/>
      <c r="R2708" s="73"/>
      <c r="S2708" s="73"/>
      <c r="T2708" s="73"/>
      <c r="U2708" s="73"/>
      <c r="V2708" s="73"/>
      <c r="W2708" s="73"/>
      <c r="X2708" s="73"/>
      <c r="Y2708" s="73"/>
      <c r="Z2708" s="73"/>
      <c r="AA2708" s="73"/>
      <c r="AB2708" s="73"/>
    </row>
    <row r="2709">
      <c r="A2709" s="73"/>
      <c r="B2709" s="73">
        <v>1550621.256</v>
      </c>
      <c r="C2709" s="73">
        <v>1.71907522584938E8</v>
      </c>
      <c r="D2709" s="73">
        <v>6.94003388239988E7</v>
      </c>
      <c r="E2709" s="73">
        <v>9143398.85743599</v>
      </c>
      <c r="F2709" s="73"/>
      <c r="G2709" s="73"/>
      <c r="H2709" s="73"/>
      <c r="I2709" s="73"/>
      <c r="J2709" s="73"/>
      <c r="K2709" s="73"/>
      <c r="L2709" s="73"/>
      <c r="M2709" s="73"/>
      <c r="N2709" s="73"/>
      <c r="O2709" s="73"/>
      <c r="P2709" s="73"/>
      <c r="Q2709" s="73"/>
      <c r="R2709" s="73"/>
      <c r="S2709" s="73"/>
      <c r="T2709" s="73"/>
      <c r="U2709" s="73"/>
      <c r="V2709" s="73"/>
      <c r="W2709" s="73"/>
      <c r="X2709" s="73"/>
      <c r="Y2709" s="73"/>
      <c r="Z2709" s="73"/>
      <c r="AA2709" s="73"/>
      <c r="AB2709" s="73"/>
    </row>
    <row r="2710">
      <c r="A2710" s="73"/>
      <c r="B2710" s="73">
        <v>1552867.195</v>
      </c>
      <c r="C2710" s="73">
        <v>1.72080364820137E8</v>
      </c>
      <c r="D2710" s="73">
        <v>6.94893404919997E7</v>
      </c>
      <c r="E2710" s="73">
        <v>9154338.40343896</v>
      </c>
      <c r="F2710" s="73"/>
      <c r="G2710" s="73"/>
      <c r="H2710" s="73"/>
      <c r="I2710" s="73"/>
      <c r="J2710" s="73"/>
      <c r="K2710" s="73"/>
      <c r="L2710" s="73"/>
      <c r="M2710" s="73"/>
      <c r="N2710" s="73"/>
      <c r="O2710" s="73"/>
      <c r="P2710" s="73"/>
      <c r="Q2710" s="73"/>
      <c r="R2710" s="73"/>
      <c r="S2710" s="73"/>
      <c r="T2710" s="73"/>
      <c r="U2710" s="73"/>
      <c r="V2710" s="73"/>
      <c r="W2710" s="73"/>
      <c r="X2710" s="73"/>
      <c r="Y2710" s="73"/>
      <c r="Z2710" s="73"/>
      <c r="AA2710" s="73"/>
      <c r="AB2710" s="73"/>
    </row>
    <row r="2711">
      <c r="A2711" s="73"/>
      <c r="B2711" s="73">
        <v>1555116.09</v>
      </c>
      <c r="C2711" s="73">
        <v>1.72253305935333E8</v>
      </c>
      <c r="D2711" s="73">
        <v>6.95784198000006E7</v>
      </c>
      <c r="E2711" s="73">
        <v>9165289.94323528</v>
      </c>
      <c r="F2711" s="73"/>
      <c r="G2711" s="73"/>
      <c r="H2711" s="73"/>
      <c r="I2711" s="73"/>
      <c r="J2711" s="73"/>
      <c r="K2711" s="73"/>
      <c r="L2711" s="73"/>
      <c r="M2711" s="73"/>
      <c r="N2711" s="73"/>
      <c r="O2711" s="73"/>
      <c r="P2711" s="73"/>
      <c r="Q2711" s="73"/>
      <c r="R2711" s="73"/>
      <c r="S2711" s="73"/>
      <c r="T2711" s="73"/>
      <c r="U2711" s="73"/>
      <c r="V2711" s="73"/>
      <c r="W2711" s="73"/>
      <c r="X2711" s="73"/>
      <c r="Y2711" s="73"/>
      <c r="Z2711" s="73"/>
      <c r="AA2711" s="73"/>
      <c r="AB2711" s="73"/>
    </row>
    <row r="2712">
      <c r="A2712" s="73"/>
      <c r="B2712" s="73">
        <v>1557367.943</v>
      </c>
      <c r="C2712" s="73">
        <v>1.72426378890526E8</v>
      </c>
      <c r="D2712" s="73">
        <v>6.96675714759939E7</v>
      </c>
      <c r="E2712" s="73">
        <v>9176254.4311694</v>
      </c>
      <c r="F2712" s="73"/>
      <c r="G2712" s="73"/>
      <c r="H2712" s="73"/>
      <c r="I2712" s="73"/>
      <c r="J2712" s="73"/>
      <c r="K2712" s="73"/>
      <c r="L2712" s="73"/>
      <c r="M2712" s="73"/>
      <c r="N2712" s="73"/>
      <c r="O2712" s="73"/>
      <c r="P2712" s="73"/>
      <c r="Q2712" s="73"/>
      <c r="R2712" s="73"/>
      <c r="S2712" s="73"/>
      <c r="T2712" s="73"/>
      <c r="U2712" s="73"/>
      <c r="V2712" s="73"/>
      <c r="W2712" s="73"/>
      <c r="X2712" s="73"/>
      <c r="Y2712" s="73"/>
      <c r="Z2712" s="73"/>
      <c r="AA2712" s="73"/>
      <c r="AB2712" s="73"/>
    </row>
    <row r="2713">
      <c r="A2713" s="73"/>
      <c r="B2713" s="73">
        <v>1559622.714</v>
      </c>
      <c r="C2713" s="73">
        <v>1.72599550725716E8</v>
      </c>
      <c r="D2713" s="73">
        <v>6.97568005599948E7</v>
      </c>
      <c r="E2713" s="73">
        <v>9187230.98312187</v>
      </c>
      <c r="F2713" s="73"/>
      <c r="G2713" s="73"/>
      <c r="H2713" s="73"/>
      <c r="I2713" s="73"/>
      <c r="J2713" s="73"/>
      <c r="K2713" s="73"/>
      <c r="L2713" s="73"/>
      <c r="M2713" s="73"/>
      <c r="N2713" s="73"/>
      <c r="O2713" s="73"/>
      <c r="P2713" s="73"/>
      <c r="Q2713" s="73"/>
      <c r="R2713" s="73"/>
      <c r="S2713" s="73"/>
      <c r="T2713" s="73"/>
      <c r="U2713" s="73"/>
      <c r="V2713" s="73"/>
      <c r="W2713" s="73"/>
      <c r="X2713" s="73"/>
      <c r="Y2713" s="73"/>
      <c r="Z2713" s="73"/>
      <c r="AA2713" s="73"/>
      <c r="AB2713" s="73"/>
    </row>
    <row r="2714">
      <c r="A2714" s="73"/>
      <c r="B2714" s="73">
        <v>1561880.479</v>
      </c>
      <c r="C2714" s="73">
        <v>1.72772821440903E8</v>
      </c>
      <c r="D2714" s="73">
        <v>6.98460971159957E7</v>
      </c>
      <c r="E2714" s="73">
        <v>9198220.22830865</v>
      </c>
      <c r="F2714" s="73"/>
      <c r="G2714" s="73"/>
      <c r="H2714" s="73"/>
      <c r="I2714" s="73"/>
      <c r="J2714" s="73"/>
      <c r="K2714" s="73"/>
      <c r="L2714" s="73"/>
      <c r="M2714" s="73"/>
      <c r="N2714" s="73"/>
      <c r="O2714" s="73"/>
      <c r="P2714" s="73"/>
      <c r="Q2714" s="73"/>
      <c r="R2714" s="73"/>
      <c r="S2714" s="73"/>
      <c r="T2714" s="73"/>
      <c r="U2714" s="73"/>
      <c r="V2714" s="73"/>
      <c r="W2714" s="73"/>
      <c r="X2714" s="73"/>
      <c r="Y2714" s="73"/>
      <c r="Z2714" s="73"/>
      <c r="AA2714" s="73"/>
      <c r="AB2714" s="73"/>
    </row>
    <row r="2715">
      <c r="A2715" s="73"/>
      <c r="B2715" s="73">
        <v>1564141.194</v>
      </c>
      <c r="C2715" s="73">
        <v>1.72946207516087E8</v>
      </c>
      <c r="D2715" s="73">
        <v>6.99354761279967E7</v>
      </c>
      <c r="E2715" s="73">
        <v>9209221.78926377</v>
      </c>
      <c r="F2715" s="73"/>
      <c r="G2715" s="73"/>
      <c r="H2715" s="73"/>
      <c r="I2715" s="73"/>
      <c r="J2715" s="73"/>
      <c r="K2715" s="73"/>
      <c r="L2715" s="73"/>
      <c r="M2715" s="73"/>
      <c r="N2715" s="73"/>
      <c r="O2715" s="73"/>
      <c r="P2715" s="73"/>
      <c r="Q2715" s="73"/>
      <c r="R2715" s="73"/>
      <c r="S2715" s="73"/>
      <c r="T2715" s="73"/>
      <c r="U2715" s="73"/>
      <c r="V2715" s="73"/>
      <c r="W2715" s="73"/>
      <c r="X2715" s="73"/>
      <c r="Y2715" s="73"/>
      <c r="Z2715" s="73"/>
      <c r="AA2715" s="73"/>
      <c r="AB2715" s="73"/>
    </row>
    <row r="2716">
      <c r="A2716" s="73"/>
      <c r="B2716" s="73">
        <v>1566404.883</v>
      </c>
      <c r="C2716" s="73">
        <v>1.73119741911266E8</v>
      </c>
      <c r="D2716" s="73">
        <v>7.00249226119976E7</v>
      </c>
      <c r="E2716" s="73">
        <v>9220236.0976192</v>
      </c>
      <c r="F2716" s="73"/>
      <c r="G2716" s="73"/>
      <c r="H2716" s="73"/>
      <c r="I2716" s="73"/>
      <c r="J2716" s="73"/>
      <c r="K2716" s="73"/>
      <c r="L2716" s="73"/>
      <c r="M2716" s="73"/>
      <c r="N2716" s="73"/>
      <c r="O2716" s="73"/>
      <c r="P2716" s="73"/>
      <c r="Q2716" s="73"/>
      <c r="R2716" s="73"/>
      <c r="S2716" s="73"/>
      <c r="T2716" s="73"/>
      <c r="U2716" s="73"/>
      <c r="V2716" s="73"/>
      <c r="W2716" s="73"/>
      <c r="X2716" s="73"/>
      <c r="Y2716" s="73"/>
      <c r="Z2716" s="73"/>
      <c r="AA2716" s="73"/>
      <c r="AB2716" s="73"/>
    </row>
    <row r="2717">
      <c r="A2717" s="73"/>
      <c r="B2717" s="73">
        <v>1568671.465</v>
      </c>
      <c r="C2717" s="73">
        <v>1.73293342226444E8</v>
      </c>
      <c r="D2717" s="73">
        <v>7.01144464319985E7</v>
      </c>
      <c r="E2717" s="73">
        <v>9231262.69789296</v>
      </c>
      <c r="F2717" s="73"/>
      <c r="G2717" s="73"/>
      <c r="H2717" s="73"/>
      <c r="I2717" s="73"/>
      <c r="J2717" s="73"/>
      <c r="K2717" s="73"/>
      <c r="L2717" s="73"/>
      <c r="M2717" s="73"/>
      <c r="N2717" s="73"/>
      <c r="O2717" s="73"/>
      <c r="P2717" s="73"/>
      <c r="Q2717" s="73"/>
      <c r="R2717" s="73"/>
      <c r="S2717" s="73"/>
      <c r="T2717" s="73"/>
      <c r="U2717" s="73"/>
      <c r="V2717" s="73"/>
      <c r="W2717" s="73"/>
      <c r="X2717" s="73"/>
      <c r="Y2717" s="73"/>
      <c r="Z2717" s="73"/>
      <c r="AA2717" s="73"/>
      <c r="AB2717" s="73"/>
    </row>
    <row r="2718">
      <c r="A2718" s="73"/>
      <c r="B2718" s="73">
        <v>1570941.104</v>
      </c>
      <c r="C2718" s="73">
        <v>1.73467057901619E8</v>
      </c>
      <c r="D2718" s="73">
        <v>7.02040428439994E7</v>
      </c>
      <c r="E2718" s="73">
        <v>9242302.08017604</v>
      </c>
      <c r="F2718" s="73"/>
      <c r="G2718" s="73"/>
      <c r="H2718" s="73"/>
      <c r="I2718" s="73"/>
      <c r="J2718" s="73"/>
      <c r="K2718" s="73"/>
      <c r="L2718" s="73"/>
      <c r="M2718" s="73"/>
      <c r="N2718" s="73"/>
      <c r="O2718" s="73"/>
      <c r="P2718" s="73"/>
      <c r="Q2718" s="73"/>
      <c r="R2718" s="73"/>
      <c r="S2718" s="73"/>
      <c r="T2718" s="73"/>
      <c r="U2718" s="73"/>
      <c r="V2718" s="73"/>
      <c r="W2718" s="73"/>
      <c r="X2718" s="73"/>
      <c r="Y2718" s="73"/>
      <c r="Z2718" s="73"/>
      <c r="AA2718" s="73"/>
      <c r="AB2718" s="73"/>
    </row>
    <row r="2719">
      <c r="A2719" s="73"/>
      <c r="B2719" s="73">
        <v>1573213.608</v>
      </c>
      <c r="C2719" s="73">
        <v>1.7364090541679E8</v>
      </c>
      <c r="D2719" s="73">
        <v>7.02937166640003E7</v>
      </c>
      <c r="E2719" s="73">
        <v>9253353.79926845</v>
      </c>
      <c r="F2719" s="73"/>
      <c r="G2719" s="73"/>
      <c r="H2719" s="73"/>
      <c r="I2719" s="73"/>
      <c r="J2719" s="73"/>
      <c r="K2719" s="73"/>
      <c r="L2719" s="73"/>
      <c r="M2719" s="73"/>
      <c r="N2719" s="73"/>
      <c r="O2719" s="73"/>
      <c r="P2719" s="73"/>
      <c r="Q2719" s="73"/>
      <c r="R2719" s="73"/>
      <c r="S2719" s="73"/>
      <c r="T2719" s="73"/>
      <c r="U2719" s="73"/>
      <c r="V2719" s="73"/>
      <c r="W2719" s="73"/>
      <c r="X2719" s="73"/>
      <c r="Y2719" s="73"/>
      <c r="Z2719" s="73"/>
      <c r="AA2719" s="73"/>
      <c r="AB2719" s="73"/>
    </row>
    <row r="2720">
      <c r="A2720" s="73"/>
      <c r="B2720" s="73">
        <v>1575489.175</v>
      </c>
      <c r="C2720" s="73">
        <v>1.73814851811958E8</v>
      </c>
      <c r="D2720" s="73">
        <v>7.03834578120012E7</v>
      </c>
      <c r="E2720" s="73">
        <v>9264417.54808821</v>
      </c>
      <c r="F2720" s="73"/>
      <c r="G2720" s="73"/>
      <c r="H2720" s="73"/>
      <c r="I2720" s="73"/>
      <c r="J2720" s="73"/>
      <c r="K2720" s="73"/>
      <c r="L2720" s="73"/>
      <c r="M2720" s="73"/>
      <c r="N2720" s="73"/>
      <c r="O2720" s="73"/>
      <c r="P2720" s="73"/>
      <c r="Q2720" s="73"/>
      <c r="R2720" s="73"/>
      <c r="S2720" s="73"/>
      <c r="T2720" s="73"/>
      <c r="U2720" s="73"/>
      <c r="V2720" s="73"/>
      <c r="W2720" s="73"/>
      <c r="X2720" s="73"/>
      <c r="Y2720" s="73"/>
      <c r="Z2720" s="73"/>
      <c r="AA2720" s="73"/>
      <c r="AB2720" s="73"/>
    </row>
    <row r="2721">
      <c r="A2721" s="73"/>
      <c r="B2721" s="73">
        <v>1577767.66</v>
      </c>
      <c r="C2721" s="73">
        <v>1.73988880607124E8</v>
      </c>
      <c r="D2721" s="73">
        <v>7.04732815599945E7</v>
      </c>
      <c r="E2721" s="73">
        <v>9275494.66093675</v>
      </c>
      <c r="F2721" s="73"/>
      <c r="G2721" s="73"/>
      <c r="H2721" s="73"/>
      <c r="I2721" s="73"/>
      <c r="J2721" s="73"/>
      <c r="K2721" s="73"/>
      <c r="L2721" s="73"/>
      <c r="M2721" s="73"/>
      <c r="N2721" s="73"/>
      <c r="O2721" s="73"/>
      <c r="P2721" s="73"/>
      <c r="Q2721" s="73"/>
      <c r="R2721" s="73"/>
      <c r="S2721" s="73"/>
      <c r="T2721" s="73"/>
      <c r="U2721" s="73"/>
      <c r="V2721" s="73"/>
      <c r="W2721" s="73"/>
      <c r="X2721" s="73"/>
      <c r="Y2721" s="73"/>
      <c r="Z2721" s="73"/>
      <c r="AA2721" s="73"/>
      <c r="AB2721" s="73"/>
    </row>
    <row r="2722">
      <c r="A2722" s="73"/>
      <c r="B2722" s="73">
        <v>1580049.103</v>
      </c>
      <c r="C2722" s="73">
        <v>1.74163057722286E8</v>
      </c>
      <c r="D2722" s="73">
        <v>7.05631776759954E7</v>
      </c>
      <c r="E2722" s="73">
        <v>9286584.38089461</v>
      </c>
      <c r="F2722" s="73"/>
      <c r="G2722" s="73"/>
      <c r="H2722" s="73"/>
      <c r="I2722" s="73"/>
      <c r="J2722" s="73"/>
      <c r="K2722" s="73"/>
      <c r="L2722" s="73"/>
      <c r="M2722" s="73"/>
      <c r="N2722" s="73"/>
      <c r="O2722" s="73"/>
      <c r="P2722" s="73"/>
      <c r="Q2722" s="73"/>
      <c r="R2722" s="73"/>
      <c r="S2722" s="73"/>
      <c r="T2722" s="73"/>
      <c r="U2722" s="73"/>
      <c r="V2722" s="73"/>
      <c r="W2722" s="73"/>
      <c r="X2722" s="73"/>
      <c r="Y2722" s="73"/>
      <c r="Z2722" s="73"/>
      <c r="AA2722" s="73"/>
      <c r="AB2722" s="73"/>
    </row>
    <row r="2723">
      <c r="A2723" s="73"/>
      <c r="B2723" s="73">
        <v>1582333.523</v>
      </c>
      <c r="C2723" s="73">
        <v>1.74337333717445E8</v>
      </c>
      <c r="D2723" s="73">
        <v>7.06531462319963E7</v>
      </c>
      <c r="E2723" s="73">
        <v>9297685.98416733</v>
      </c>
      <c r="F2723" s="73"/>
      <c r="G2723" s="73"/>
      <c r="H2723" s="73"/>
      <c r="I2723" s="73"/>
      <c r="J2723" s="73"/>
      <c r="K2723" s="73"/>
      <c r="L2723" s="73"/>
      <c r="M2723" s="73"/>
      <c r="N2723" s="73"/>
      <c r="O2723" s="73"/>
      <c r="P2723" s="73"/>
      <c r="Q2723" s="73"/>
      <c r="R2723" s="73"/>
      <c r="S2723" s="73"/>
      <c r="T2723" s="73"/>
      <c r="U2723" s="73"/>
      <c r="V2723" s="73"/>
      <c r="W2723" s="73"/>
      <c r="X2723" s="73"/>
      <c r="Y2723" s="73"/>
      <c r="Z2723" s="73"/>
      <c r="AA2723" s="73"/>
      <c r="AB2723" s="73"/>
    </row>
    <row r="2724">
      <c r="A2724" s="73"/>
      <c r="B2724" s="73">
        <v>1584620.944</v>
      </c>
      <c r="C2724" s="73">
        <v>1.74511708592602E8</v>
      </c>
      <c r="D2724" s="73">
        <v>7.07431872279972E7</v>
      </c>
      <c r="E2724" s="73">
        <v>9308800.25549936</v>
      </c>
      <c r="F2724" s="73"/>
      <c r="G2724" s="73"/>
      <c r="H2724" s="73"/>
      <c r="I2724" s="73"/>
      <c r="J2724" s="73"/>
      <c r="K2724" s="73"/>
      <c r="L2724" s="73"/>
      <c r="M2724" s="73"/>
      <c r="N2724" s="73"/>
      <c r="O2724" s="73"/>
      <c r="P2724" s="73"/>
      <c r="Q2724" s="73"/>
      <c r="R2724" s="73"/>
      <c r="S2724" s="73"/>
      <c r="T2724" s="73"/>
      <c r="U2724" s="73"/>
      <c r="V2724" s="73"/>
      <c r="W2724" s="73"/>
      <c r="X2724" s="73"/>
      <c r="Y2724" s="73"/>
      <c r="Z2724" s="73"/>
      <c r="AA2724" s="73"/>
      <c r="AB2724" s="73"/>
    </row>
    <row r="2725">
      <c r="A2725" s="73"/>
      <c r="B2725" s="73">
        <v>1586911.286</v>
      </c>
      <c r="C2725" s="73">
        <v>1.74686215307755E8</v>
      </c>
      <c r="D2725" s="73">
        <v>7.08333108319982E7</v>
      </c>
      <c r="E2725" s="73">
        <v>9319927.22072821</v>
      </c>
      <c r="F2725" s="73"/>
      <c r="G2725" s="73"/>
      <c r="H2725" s="73"/>
      <c r="I2725" s="73"/>
      <c r="J2725" s="73"/>
      <c r="K2725" s="73"/>
      <c r="L2725" s="73"/>
      <c r="M2725" s="73"/>
      <c r="N2725" s="73"/>
      <c r="O2725" s="73"/>
      <c r="P2725" s="73"/>
      <c r="Q2725" s="73"/>
      <c r="R2725" s="73"/>
      <c r="S2725" s="73"/>
      <c r="T2725" s="73"/>
      <c r="U2725" s="73"/>
      <c r="V2725" s="73"/>
      <c r="W2725" s="73"/>
      <c r="X2725" s="73"/>
      <c r="Y2725" s="73"/>
      <c r="Z2725" s="73"/>
      <c r="AA2725" s="73"/>
      <c r="AB2725" s="73"/>
    </row>
    <row r="2726">
      <c r="A2726" s="73"/>
      <c r="B2726" s="73">
        <v>1589204.66</v>
      </c>
      <c r="C2726" s="73">
        <v>1.74860804422905E8</v>
      </c>
      <c r="D2726" s="73">
        <v>7.09235018359991E7</v>
      </c>
      <c r="E2726" s="73">
        <v>9331066.97856637</v>
      </c>
      <c r="F2726" s="73"/>
      <c r="G2726" s="73"/>
      <c r="H2726" s="73"/>
      <c r="I2726" s="73"/>
      <c r="J2726" s="73"/>
      <c r="K2726" s="73"/>
      <c r="L2726" s="73"/>
      <c r="M2726" s="73"/>
      <c r="N2726" s="73"/>
      <c r="O2726" s="73"/>
      <c r="P2726" s="73"/>
      <c r="Q2726" s="73"/>
      <c r="R2726" s="73"/>
      <c r="S2726" s="73"/>
      <c r="T2726" s="73"/>
      <c r="U2726" s="73"/>
      <c r="V2726" s="73"/>
      <c r="W2726" s="73"/>
      <c r="X2726" s="73"/>
      <c r="Y2726" s="73"/>
      <c r="Z2726" s="73"/>
      <c r="AA2726" s="73"/>
      <c r="AB2726" s="73"/>
    </row>
    <row r="2727">
      <c r="A2727" s="73"/>
      <c r="B2727" s="73">
        <v>1591500.961</v>
      </c>
      <c r="C2727" s="73">
        <v>1.75035508898052E8</v>
      </c>
      <c r="D2727" s="73">
        <v>7.1013770248E7</v>
      </c>
      <c r="E2727" s="73">
        <v>9342219.27925135</v>
      </c>
      <c r="F2727" s="73"/>
      <c r="G2727" s="73"/>
      <c r="H2727" s="73"/>
      <c r="I2727" s="73"/>
      <c r="J2727" s="73"/>
      <c r="K2727" s="73"/>
      <c r="L2727" s="73"/>
      <c r="M2727" s="73"/>
      <c r="N2727" s="73"/>
      <c r="O2727" s="73"/>
      <c r="P2727" s="73"/>
      <c r="Q2727" s="73"/>
      <c r="R2727" s="73"/>
      <c r="S2727" s="73"/>
      <c r="T2727" s="73"/>
      <c r="U2727" s="73"/>
      <c r="V2727" s="73"/>
      <c r="W2727" s="73"/>
      <c r="X2727" s="73"/>
      <c r="Y2727" s="73"/>
      <c r="Z2727" s="73"/>
      <c r="AA2727" s="73"/>
      <c r="AB2727" s="73"/>
    </row>
    <row r="2728">
      <c r="A2728" s="73"/>
      <c r="B2728" s="73">
        <v>1593800.265</v>
      </c>
      <c r="C2728" s="73">
        <v>1.75210361693195E8</v>
      </c>
      <c r="D2728" s="73">
        <v>7.11041109480009E7</v>
      </c>
      <c r="E2728" s="73">
        <v>9353384.28045815</v>
      </c>
      <c r="F2728" s="73"/>
      <c r="G2728" s="73"/>
      <c r="H2728" s="73"/>
      <c r="I2728" s="73"/>
      <c r="J2728" s="73"/>
      <c r="K2728" s="73"/>
      <c r="L2728" s="73"/>
      <c r="M2728" s="73"/>
      <c r="N2728" s="73"/>
      <c r="O2728" s="73"/>
      <c r="P2728" s="73"/>
      <c r="Q2728" s="73"/>
      <c r="R2728" s="73"/>
      <c r="S2728" s="73"/>
      <c r="T2728" s="73"/>
      <c r="U2728" s="73"/>
      <c r="V2728" s="73"/>
      <c r="W2728" s="73"/>
      <c r="X2728" s="73"/>
      <c r="Y2728" s="73"/>
      <c r="Z2728" s="73"/>
      <c r="AA2728" s="73"/>
      <c r="AB2728" s="73"/>
    </row>
    <row r="2729">
      <c r="A2729" s="73"/>
      <c r="B2729" s="73">
        <v>1596102.556</v>
      </c>
      <c r="C2729" s="73">
        <v>1.75385296888336E8</v>
      </c>
      <c r="D2729" s="73">
        <v>7.11945293599942E7</v>
      </c>
      <c r="E2729" s="73">
        <v>9364562.12329925</v>
      </c>
      <c r="F2729" s="73"/>
      <c r="G2729" s="73"/>
      <c r="H2729" s="73"/>
      <c r="I2729" s="73"/>
      <c r="J2729" s="73"/>
      <c r="K2729" s="73"/>
      <c r="L2729" s="73"/>
      <c r="M2729" s="73"/>
      <c r="N2729" s="73"/>
      <c r="O2729" s="73"/>
      <c r="P2729" s="73"/>
      <c r="Q2729" s="73"/>
      <c r="R2729" s="73"/>
      <c r="S2729" s="73"/>
      <c r="T2729" s="73"/>
      <c r="U2729" s="73"/>
      <c r="V2729" s="73"/>
      <c r="W2729" s="73"/>
      <c r="X2729" s="73"/>
      <c r="Y2729" s="73"/>
      <c r="Z2729" s="73"/>
      <c r="AA2729" s="73"/>
      <c r="AB2729" s="73"/>
    </row>
    <row r="2730">
      <c r="A2730" s="73"/>
      <c r="B2730" s="73">
        <v>1598407.795</v>
      </c>
      <c r="C2730" s="73">
        <v>1.75560330963474E8</v>
      </c>
      <c r="D2730" s="73">
        <v>7.12850202199951E7</v>
      </c>
      <c r="E2730" s="73">
        <v>9375751.91901771</v>
      </c>
      <c r="F2730" s="73"/>
      <c r="G2730" s="73"/>
      <c r="H2730" s="73"/>
      <c r="I2730" s="73"/>
      <c r="J2730" s="73"/>
      <c r="K2730" s="73"/>
      <c r="L2730" s="73"/>
      <c r="M2730" s="73"/>
      <c r="N2730" s="73"/>
      <c r="O2730" s="73"/>
      <c r="P2730" s="73"/>
      <c r="Q2730" s="73"/>
      <c r="R2730" s="73"/>
      <c r="S2730" s="73"/>
      <c r="T2730" s="73"/>
      <c r="U2730" s="73"/>
      <c r="V2730" s="73"/>
      <c r="W2730" s="73"/>
      <c r="X2730" s="73"/>
      <c r="Y2730" s="73"/>
      <c r="Z2730" s="73"/>
      <c r="AA2730" s="73"/>
      <c r="AB2730" s="73"/>
    </row>
    <row r="2731">
      <c r="A2731" s="73"/>
      <c r="B2731" s="73">
        <v>1600716.046</v>
      </c>
      <c r="C2731" s="73">
        <v>1.75735480398609E8</v>
      </c>
      <c r="D2731" s="73">
        <v>7.1375583367996E7</v>
      </c>
      <c r="E2731" s="73">
        <v>9386954.93831495</v>
      </c>
      <c r="F2731" s="73"/>
      <c r="G2731" s="73"/>
      <c r="H2731" s="73"/>
      <c r="I2731" s="73"/>
      <c r="J2731" s="73"/>
      <c r="K2731" s="73"/>
      <c r="L2731" s="73"/>
      <c r="M2731" s="73"/>
      <c r="N2731" s="73"/>
      <c r="O2731" s="73"/>
      <c r="P2731" s="73"/>
      <c r="Q2731" s="73"/>
      <c r="R2731" s="73"/>
      <c r="S2731" s="73"/>
      <c r="T2731" s="73"/>
      <c r="U2731" s="73"/>
      <c r="V2731" s="73"/>
      <c r="W2731" s="73"/>
      <c r="X2731" s="73"/>
      <c r="Y2731" s="73"/>
      <c r="Z2731" s="73"/>
      <c r="AA2731" s="73"/>
      <c r="AB2731" s="73"/>
    </row>
    <row r="2732">
      <c r="A2732" s="73"/>
      <c r="B2732" s="73">
        <v>1603027.312</v>
      </c>
      <c r="C2732" s="73">
        <v>1.7591076167374E8</v>
      </c>
      <c r="D2732" s="73">
        <v>7.14662291159969E7</v>
      </c>
      <c r="E2732" s="73">
        <v>9398170.05160204</v>
      </c>
      <c r="F2732" s="73"/>
      <c r="G2732" s="73"/>
      <c r="H2732" s="73"/>
      <c r="I2732" s="73"/>
      <c r="J2732" s="73"/>
      <c r="K2732" s="73"/>
      <c r="L2732" s="73"/>
      <c r="M2732" s="73"/>
      <c r="N2732" s="73"/>
      <c r="O2732" s="73"/>
      <c r="P2732" s="73"/>
      <c r="Q2732" s="73"/>
      <c r="R2732" s="73"/>
      <c r="S2732" s="73"/>
      <c r="T2732" s="73"/>
      <c r="U2732" s="73"/>
      <c r="V2732" s="73"/>
      <c r="W2732" s="73"/>
      <c r="X2732" s="73"/>
      <c r="Y2732" s="73"/>
      <c r="Z2732" s="73"/>
      <c r="AA2732" s="73"/>
      <c r="AB2732" s="73"/>
    </row>
    <row r="2733">
      <c r="A2733" s="73"/>
      <c r="B2733" s="73">
        <v>1605341.469</v>
      </c>
      <c r="C2733" s="73">
        <v>1.76086125348869E8</v>
      </c>
      <c r="D2733" s="73">
        <v>7.15569421919979E7</v>
      </c>
      <c r="E2733" s="73">
        <v>9409398.25098593</v>
      </c>
      <c r="F2733" s="73"/>
      <c r="G2733" s="73"/>
      <c r="H2733" s="73"/>
      <c r="I2733" s="73"/>
      <c r="J2733" s="73"/>
      <c r="K2733" s="73"/>
      <c r="L2733" s="73"/>
      <c r="M2733" s="73"/>
      <c r="N2733" s="73"/>
      <c r="O2733" s="73"/>
      <c r="P2733" s="73"/>
      <c r="Q2733" s="73"/>
      <c r="R2733" s="73"/>
      <c r="S2733" s="73"/>
      <c r="T2733" s="73"/>
      <c r="U2733" s="73"/>
      <c r="V2733" s="73"/>
      <c r="W2733" s="73"/>
      <c r="X2733" s="73"/>
      <c r="Y2733" s="73"/>
      <c r="Z2733" s="73"/>
      <c r="AA2733" s="73"/>
      <c r="AB2733" s="73"/>
    </row>
    <row r="2734">
      <c r="A2734" s="73"/>
      <c r="B2734" s="73">
        <v>1607658.665</v>
      </c>
      <c r="C2734" s="73">
        <v>1.76261604383995E8</v>
      </c>
      <c r="D2734" s="73">
        <v>7.16477328279988E7</v>
      </c>
      <c r="E2734" s="73">
        <v>9420638.82957914</v>
      </c>
      <c r="F2734" s="73"/>
      <c r="G2734" s="73"/>
      <c r="H2734" s="73"/>
      <c r="I2734" s="73"/>
      <c r="J2734" s="73"/>
      <c r="K2734" s="73"/>
      <c r="L2734" s="73"/>
      <c r="M2734" s="73"/>
      <c r="N2734" s="73"/>
      <c r="O2734" s="73"/>
      <c r="P2734" s="73"/>
      <c r="Q2734" s="73"/>
      <c r="R2734" s="73"/>
      <c r="S2734" s="73"/>
      <c r="T2734" s="73"/>
      <c r="U2734" s="73"/>
      <c r="V2734" s="73"/>
      <c r="W2734" s="73"/>
      <c r="X2734" s="73"/>
      <c r="Y2734" s="73"/>
      <c r="Z2734" s="73"/>
      <c r="AA2734" s="73"/>
      <c r="AB2734" s="73"/>
    </row>
    <row r="2735">
      <c r="A2735" s="73"/>
      <c r="B2735" s="73">
        <v>1609978.879</v>
      </c>
      <c r="C2735" s="73">
        <v>1.76437231739117E8</v>
      </c>
      <c r="D2735" s="73">
        <v>7.17386009439997E7</v>
      </c>
      <c r="E2735" s="73">
        <v>9431892.41145666</v>
      </c>
      <c r="F2735" s="73"/>
      <c r="G2735" s="73"/>
      <c r="H2735" s="73"/>
      <c r="I2735" s="73"/>
      <c r="J2735" s="73"/>
      <c r="K2735" s="73"/>
      <c r="L2735" s="73"/>
      <c r="M2735" s="73"/>
      <c r="N2735" s="73"/>
      <c r="O2735" s="73"/>
      <c r="P2735" s="73"/>
      <c r="Q2735" s="73"/>
      <c r="R2735" s="73"/>
      <c r="S2735" s="73"/>
      <c r="T2735" s="73"/>
      <c r="U2735" s="73"/>
      <c r="V2735" s="73"/>
      <c r="W2735" s="73"/>
      <c r="X2735" s="73"/>
      <c r="Y2735" s="73"/>
      <c r="Z2735" s="73"/>
      <c r="AA2735" s="73"/>
      <c r="AB2735" s="73"/>
    </row>
    <row r="2736">
      <c r="A2736" s="73"/>
      <c r="B2736" s="73">
        <v>1612302.053</v>
      </c>
      <c r="C2736" s="73">
        <v>1.76612925014236E8</v>
      </c>
      <c r="D2736" s="73">
        <v>7.18295415080006E7</v>
      </c>
      <c r="E2736" s="73">
        <v>9443158.82701848</v>
      </c>
      <c r="F2736" s="73"/>
      <c r="G2736" s="73"/>
      <c r="H2736" s="73"/>
      <c r="I2736" s="73"/>
      <c r="J2736" s="73"/>
      <c r="K2736" s="73"/>
      <c r="L2736" s="73"/>
      <c r="M2736" s="73"/>
      <c r="N2736" s="73"/>
      <c r="O2736" s="73"/>
      <c r="P2736" s="73"/>
      <c r="Q2736" s="73"/>
      <c r="R2736" s="73"/>
      <c r="S2736" s="73"/>
      <c r="T2736" s="73"/>
      <c r="U2736" s="73"/>
      <c r="V2736" s="73"/>
      <c r="W2736" s="73"/>
      <c r="X2736" s="73"/>
      <c r="Y2736" s="73"/>
      <c r="Z2736" s="73"/>
      <c r="AA2736" s="73"/>
      <c r="AB2736" s="73"/>
    </row>
    <row r="2737">
      <c r="A2737" s="73"/>
      <c r="B2737" s="73">
        <v>1614628.223</v>
      </c>
      <c r="C2737" s="73">
        <v>1.76788733649353E8</v>
      </c>
      <c r="D2737" s="73">
        <v>7.19205544399939E7</v>
      </c>
      <c r="E2737" s="73">
        <v>9454437.81921462</v>
      </c>
      <c r="F2737" s="73"/>
      <c r="G2737" s="73"/>
      <c r="H2737" s="73"/>
      <c r="I2737" s="73"/>
      <c r="J2737" s="73"/>
      <c r="K2737" s="73"/>
      <c r="L2737" s="73"/>
      <c r="M2737" s="73"/>
      <c r="N2737" s="73"/>
      <c r="O2737" s="73"/>
      <c r="P2737" s="73"/>
      <c r="Q2737" s="73"/>
      <c r="R2737" s="73"/>
      <c r="S2737" s="73"/>
      <c r="T2737" s="73"/>
      <c r="U2737" s="73"/>
      <c r="V2737" s="73"/>
      <c r="W2737" s="73"/>
      <c r="X2737" s="73"/>
      <c r="Y2737" s="73"/>
      <c r="Z2737" s="73"/>
      <c r="AA2737" s="73"/>
      <c r="AB2737" s="73"/>
    </row>
    <row r="2738">
      <c r="A2738" s="73"/>
      <c r="B2738" s="73">
        <v>1616957.396</v>
      </c>
      <c r="C2738" s="73">
        <v>1.76964690604465E8</v>
      </c>
      <c r="D2738" s="73">
        <v>7.20116398119948E7</v>
      </c>
      <c r="E2738" s="73">
        <v>9465729.76964507</v>
      </c>
      <c r="F2738" s="73"/>
      <c r="G2738" s="73"/>
      <c r="H2738" s="73"/>
      <c r="I2738" s="73"/>
      <c r="J2738" s="73"/>
      <c r="K2738" s="73"/>
      <c r="L2738" s="73"/>
      <c r="M2738" s="73"/>
      <c r="N2738" s="73"/>
      <c r="O2738" s="73"/>
      <c r="P2738" s="73"/>
      <c r="Q2738" s="73"/>
      <c r="R2738" s="73"/>
      <c r="S2738" s="73"/>
      <c r="T2738" s="73"/>
      <c r="U2738" s="73"/>
      <c r="V2738" s="73"/>
      <c r="W2738" s="73"/>
      <c r="X2738" s="73"/>
      <c r="Y2738" s="73"/>
      <c r="Z2738" s="73"/>
      <c r="AA2738" s="73"/>
      <c r="AB2738" s="73"/>
    </row>
    <row r="2739">
      <c r="A2739" s="73"/>
      <c r="B2739" s="73">
        <v>1619289.508</v>
      </c>
      <c r="C2739" s="73">
        <v>1.77140713479576E8</v>
      </c>
      <c r="D2739" s="73">
        <v>7.21028077839957E7</v>
      </c>
      <c r="E2739" s="73">
        <v>9477034.31525983</v>
      </c>
      <c r="F2739" s="73"/>
      <c r="G2739" s="73"/>
      <c r="H2739" s="73"/>
      <c r="I2739" s="73"/>
      <c r="J2739" s="73"/>
      <c r="K2739" s="73"/>
      <c r="L2739" s="73"/>
      <c r="M2739" s="73"/>
      <c r="N2739" s="73"/>
      <c r="O2739" s="73"/>
      <c r="P2739" s="73"/>
      <c r="Q2739" s="73"/>
      <c r="R2739" s="73"/>
      <c r="S2739" s="73"/>
      <c r="T2739" s="73"/>
      <c r="U2739" s="73"/>
      <c r="V2739" s="73"/>
      <c r="W2739" s="73"/>
      <c r="X2739" s="73"/>
      <c r="Y2739" s="73"/>
      <c r="Z2739" s="73"/>
      <c r="AA2739" s="73"/>
      <c r="AB2739" s="73"/>
    </row>
    <row r="2740">
      <c r="A2740" s="73"/>
      <c r="B2740" s="73">
        <v>1621624.67</v>
      </c>
      <c r="C2740" s="73">
        <v>1.77316868194683E8</v>
      </c>
      <c r="D2740" s="73">
        <v>7.21940482039967E7</v>
      </c>
      <c r="E2740" s="73">
        <v>9488351.30930192</v>
      </c>
      <c r="F2740" s="73"/>
      <c r="G2740" s="73"/>
      <c r="H2740" s="73"/>
      <c r="I2740" s="73"/>
      <c r="J2740" s="73"/>
      <c r="K2740" s="73"/>
      <c r="L2740" s="73"/>
      <c r="M2740" s="73"/>
      <c r="N2740" s="73"/>
      <c r="O2740" s="73"/>
      <c r="P2740" s="73"/>
      <c r="Q2740" s="73"/>
      <c r="R2740" s="73"/>
      <c r="S2740" s="73"/>
      <c r="T2740" s="73"/>
      <c r="U2740" s="73"/>
      <c r="V2740" s="73"/>
      <c r="W2740" s="73"/>
      <c r="X2740" s="73"/>
      <c r="Y2740" s="73"/>
      <c r="Z2740" s="73"/>
      <c r="AA2740" s="73"/>
      <c r="AB2740" s="73"/>
    </row>
    <row r="2741">
      <c r="A2741" s="73"/>
      <c r="B2741" s="73">
        <v>1623962.823</v>
      </c>
      <c r="C2741" s="73">
        <v>1.77493138269787E8</v>
      </c>
      <c r="D2741" s="73">
        <v>7.22853609839976E7</v>
      </c>
      <c r="E2741" s="73">
        <v>9499680.84420333</v>
      </c>
      <c r="F2741" s="73"/>
      <c r="G2741" s="73"/>
      <c r="H2741" s="73"/>
      <c r="I2741" s="73"/>
      <c r="J2741" s="73"/>
      <c r="K2741" s="73"/>
      <c r="L2741" s="73"/>
      <c r="M2741" s="73"/>
      <c r="N2741" s="73"/>
      <c r="O2741" s="73"/>
      <c r="P2741" s="73"/>
      <c r="Q2741" s="73"/>
      <c r="R2741" s="73"/>
      <c r="S2741" s="73"/>
      <c r="T2741" s="73"/>
      <c r="U2741" s="73"/>
      <c r="V2741" s="73"/>
      <c r="W2741" s="73"/>
      <c r="X2741" s="73"/>
      <c r="Y2741" s="73"/>
      <c r="Z2741" s="73"/>
      <c r="AA2741" s="73"/>
      <c r="AB2741" s="73"/>
    </row>
    <row r="2742">
      <c r="A2742" s="73"/>
      <c r="B2742" s="73">
        <v>1626303.97</v>
      </c>
      <c r="C2742" s="73">
        <v>1.77669490744888E8</v>
      </c>
      <c r="D2742" s="73">
        <v>7.23767514039985E7</v>
      </c>
      <c r="E2742" s="73">
        <v>9511024.10287101</v>
      </c>
      <c r="F2742" s="73"/>
      <c r="G2742" s="73"/>
      <c r="H2742" s="73"/>
      <c r="I2742" s="73"/>
      <c r="J2742" s="73"/>
      <c r="K2742" s="73"/>
      <c r="L2742" s="73"/>
      <c r="M2742" s="73"/>
      <c r="N2742" s="73"/>
      <c r="O2742" s="73"/>
      <c r="P2742" s="73"/>
      <c r="Q2742" s="73"/>
      <c r="R2742" s="73"/>
      <c r="S2742" s="73"/>
      <c r="T2742" s="73"/>
      <c r="U2742" s="73"/>
      <c r="V2742" s="73"/>
      <c r="W2742" s="73"/>
      <c r="X2742" s="73"/>
      <c r="Y2742" s="73"/>
      <c r="Z2742" s="73"/>
      <c r="AA2742" s="73"/>
      <c r="AB2742" s="73"/>
    </row>
    <row r="2743">
      <c r="A2743" s="73"/>
      <c r="B2743" s="73">
        <v>1628648.084</v>
      </c>
      <c r="C2743" s="73">
        <v>1.77845991539986E8</v>
      </c>
      <c r="D2743" s="73">
        <v>7.24682140399994E7</v>
      </c>
      <c r="E2743" s="73">
        <v>9522379.37139103</v>
      </c>
      <c r="F2743" s="73"/>
      <c r="G2743" s="73"/>
      <c r="H2743" s="73"/>
      <c r="I2743" s="73"/>
      <c r="J2743" s="73"/>
      <c r="K2743" s="73"/>
      <c r="L2743" s="73"/>
      <c r="M2743" s="73"/>
      <c r="N2743" s="73"/>
      <c r="O2743" s="73"/>
      <c r="P2743" s="73"/>
      <c r="Q2743" s="73"/>
      <c r="R2743" s="73"/>
      <c r="S2743" s="73"/>
      <c r="T2743" s="73"/>
      <c r="U2743" s="73"/>
      <c r="V2743" s="73"/>
      <c r="W2743" s="73"/>
      <c r="X2743" s="73"/>
      <c r="Y2743" s="73"/>
      <c r="Z2743" s="73"/>
      <c r="AA2743" s="73"/>
      <c r="AB2743" s="73"/>
    </row>
    <row r="2744">
      <c r="A2744" s="73"/>
      <c r="B2744" s="73">
        <v>1630995.207</v>
      </c>
      <c r="C2744" s="73">
        <v>1.7802259121508E8</v>
      </c>
      <c r="D2744" s="73">
        <v>7.25597543880003E7</v>
      </c>
      <c r="E2744" s="73">
        <v>9533747.67499535</v>
      </c>
      <c r="F2744" s="73"/>
      <c r="G2744" s="73"/>
      <c r="H2744" s="73"/>
      <c r="I2744" s="73"/>
      <c r="J2744" s="73"/>
      <c r="K2744" s="73"/>
      <c r="L2744" s="73"/>
      <c r="M2744" s="73"/>
      <c r="N2744" s="73"/>
      <c r="O2744" s="73"/>
      <c r="P2744" s="73"/>
      <c r="Q2744" s="73"/>
      <c r="R2744" s="73"/>
      <c r="S2744" s="73"/>
      <c r="T2744" s="73"/>
      <c r="U2744" s="73"/>
      <c r="V2744" s="73"/>
      <c r="W2744" s="73"/>
      <c r="X2744" s="73"/>
      <c r="Y2744" s="73"/>
      <c r="Z2744" s="73"/>
      <c r="AA2744" s="73"/>
      <c r="AB2744" s="73"/>
    </row>
    <row r="2745">
      <c r="A2745" s="73"/>
      <c r="B2745" s="73">
        <v>1633345.362</v>
      </c>
      <c r="C2745" s="73">
        <v>1.78199289770172E8</v>
      </c>
      <c r="D2745" s="73">
        <v>7.26513670240012E7</v>
      </c>
      <c r="E2745" s="73">
        <v>9545128.72615898</v>
      </c>
      <c r="F2745" s="73"/>
      <c r="G2745" s="73"/>
      <c r="H2745" s="73"/>
      <c r="I2745" s="73"/>
      <c r="J2745" s="73"/>
      <c r="K2745" s="73"/>
      <c r="L2745" s="73"/>
      <c r="M2745" s="73"/>
      <c r="N2745" s="73"/>
      <c r="O2745" s="73"/>
      <c r="P2745" s="73"/>
      <c r="Q2745" s="73"/>
      <c r="R2745" s="73"/>
      <c r="S2745" s="73"/>
      <c r="T2745" s="73"/>
      <c r="U2745" s="73"/>
      <c r="V2745" s="73"/>
      <c r="W2745" s="73"/>
      <c r="X2745" s="73"/>
      <c r="Y2745" s="73"/>
      <c r="Z2745" s="73"/>
      <c r="AA2745" s="73"/>
      <c r="AB2745" s="73"/>
    </row>
    <row r="2746">
      <c r="A2746" s="73"/>
      <c r="B2746" s="73">
        <v>1635698.537</v>
      </c>
      <c r="C2746" s="73">
        <v>1.78376103685261E8</v>
      </c>
      <c r="D2746" s="73">
        <v>7.27430571479945E7</v>
      </c>
      <c r="E2746" s="73">
        <v>9556522.71303192</v>
      </c>
      <c r="F2746" s="73"/>
      <c r="G2746" s="73"/>
      <c r="H2746" s="73"/>
      <c r="I2746" s="73"/>
      <c r="J2746" s="73"/>
      <c r="K2746" s="73"/>
      <c r="L2746" s="73"/>
      <c r="M2746" s="73"/>
      <c r="N2746" s="73"/>
      <c r="O2746" s="73"/>
      <c r="P2746" s="73"/>
      <c r="Q2746" s="73"/>
      <c r="R2746" s="73"/>
      <c r="S2746" s="73"/>
      <c r="T2746" s="73"/>
      <c r="U2746" s="73"/>
      <c r="V2746" s="73"/>
      <c r="W2746" s="73"/>
      <c r="X2746" s="73"/>
      <c r="Y2746" s="73"/>
      <c r="Z2746" s="73"/>
      <c r="AA2746" s="73"/>
      <c r="AB2746" s="73"/>
    </row>
    <row r="2747">
      <c r="A2747" s="73"/>
      <c r="B2747" s="73">
        <v>1638054.648</v>
      </c>
      <c r="C2747" s="73">
        <v>1.78553032960346E8</v>
      </c>
      <c r="D2747" s="73">
        <v>7.28348248319954E7</v>
      </c>
      <c r="E2747" s="73">
        <v>9567929.36001417</v>
      </c>
      <c r="F2747" s="73"/>
      <c r="G2747" s="73"/>
      <c r="H2747" s="73"/>
      <c r="I2747" s="73"/>
      <c r="J2747" s="73"/>
      <c r="K2747" s="73"/>
      <c r="L2747" s="73"/>
      <c r="M2747" s="73"/>
      <c r="N2747" s="73"/>
      <c r="O2747" s="73"/>
      <c r="P2747" s="73"/>
      <c r="Q2747" s="73"/>
      <c r="R2747" s="73"/>
      <c r="S2747" s="73"/>
      <c r="T2747" s="73"/>
      <c r="U2747" s="73"/>
      <c r="V2747" s="73"/>
      <c r="W2747" s="73"/>
      <c r="X2747" s="73"/>
      <c r="Y2747" s="73"/>
      <c r="Z2747" s="73"/>
      <c r="AA2747" s="73"/>
      <c r="AB2747" s="73"/>
    </row>
    <row r="2748">
      <c r="A2748" s="73"/>
      <c r="B2748" s="73">
        <v>1640413.808</v>
      </c>
      <c r="C2748" s="73">
        <v>1.78730077595428E8</v>
      </c>
      <c r="D2748" s="73">
        <v>7.29266650359963E7</v>
      </c>
      <c r="E2748" s="73">
        <v>9579349.12158071</v>
      </c>
      <c r="F2748" s="73"/>
      <c r="G2748" s="73"/>
      <c r="H2748" s="73"/>
      <c r="I2748" s="73"/>
      <c r="J2748" s="73"/>
      <c r="K2748" s="73"/>
      <c r="L2748" s="73"/>
      <c r="M2748" s="73"/>
      <c r="N2748" s="73"/>
      <c r="O2748" s="73"/>
      <c r="P2748" s="73"/>
      <c r="Q2748" s="73"/>
      <c r="R2748" s="73"/>
      <c r="S2748" s="73"/>
      <c r="T2748" s="73"/>
      <c r="U2748" s="73"/>
      <c r="V2748" s="73"/>
      <c r="W2748" s="73"/>
      <c r="X2748" s="73"/>
      <c r="Y2748" s="73"/>
      <c r="Z2748" s="73"/>
      <c r="AA2748" s="73"/>
      <c r="AB2748" s="73"/>
    </row>
    <row r="2749">
      <c r="A2749" s="73"/>
      <c r="B2749" s="73">
        <v>1642775.992</v>
      </c>
      <c r="C2749" s="73">
        <v>1.78907221110508E8</v>
      </c>
      <c r="D2749" s="73">
        <v>7.30185775279973E7</v>
      </c>
      <c r="E2749" s="73">
        <v>9590781.83740656</v>
      </c>
      <c r="F2749" s="73"/>
      <c r="G2749" s="73"/>
      <c r="H2749" s="73"/>
      <c r="I2749" s="73"/>
      <c r="J2749" s="73"/>
      <c r="K2749" s="73"/>
      <c r="L2749" s="73"/>
      <c r="M2749" s="73"/>
      <c r="N2749" s="73"/>
      <c r="O2749" s="73"/>
      <c r="P2749" s="73"/>
      <c r="Q2749" s="73"/>
      <c r="R2749" s="73"/>
      <c r="S2749" s="73"/>
      <c r="T2749" s="73"/>
      <c r="U2749" s="73"/>
      <c r="V2749" s="73"/>
      <c r="W2749" s="73"/>
      <c r="X2749" s="73"/>
      <c r="Y2749" s="73"/>
      <c r="Z2749" s="73"/>
      <c r="AA2749" s="73"/>
      <c r="AB2749" s="73"/>
    </row>
    <row r="2750">
      <c r="A2750" s="73"/>
      <c r="B2750" s="73">
        <v>1645141.156</v>
      </c>
      <c r="C2750" s="73">
        <v>1.79084463505585E8</v>
      </c>
      <c r="D2750" s="73">
        <v>7.31105675799982E7</v>
      </c>
      <c r="E2750" s="73">
        <v>9602226.57633475</v>
      </c>
      <c r="F2750" s="73"/>
      <c r="G2750" s="73"/>
      <c r="H2750" s="73"/>
      <c r="I2750" s="73"/>
      <c r="J2750" s="73"/>
      <c r="K2750" s="73"/>
      <c r="L2750" s="73"/>
      <c r="M2750" s="73"/>
      <c r="N2750" s="73"/>
      <c r="O2750" s="73"/>
      <c r="P2750" s="73"/>
      <c r="Q2750" s="73"/>
      <c r="R2750" s="73"/>
      <c r="S2750" s="73"/>
      <c r="T2750" s="73"/>
      <c r="U2750" s="73"/>
      <c r="V2750" s="73"/>
      <c r="W2750" s="73"/>
      <c r="X2750" s="73"/>
      <c r="Y2750" s="73"/>
      <c r="Z2750" s="73"/>
      <c r="AA2750" s="73"/>
      <c r="AB2750" s="73"/>
    </row>
    <row r="2751">
      <c r="A2751" s="73"/>
      <c r="B2751" s="73">
        <v>1647509.33</v>
      </c>
      <c r="C2751" s="73">
        <v>1.79261854220657E8</v>
      </c>
      <c r="D2751" s="73">
        <v>7.32026351999991E7</v>
      </c>
      <c r="E2751" s="73">
        <v>9613685.05890421</v>
      </c>
      <c r="F2751" s="73"/>
      <c r="G2751" s="73"/>
      <c r="H2751" s="73"/>
      <c r="I2751" s="73"/>
      <c r="J2751" s="73"/>
      <c r="K2751" s="73"/>
      <c r="L2751" s="73"/>
      <c r="M2751" s="73"/>
      <c r="N2751" s="73"/>
      <c r="O2751" s="73"/>
      <c r="P2751" s="73"/>
      <c r="Q2751" s="73"/>
      <c r="R2751" s="73"/>
      <c r="S2751" s="73"/>
      <c r="T2751" s="73"/>
      <c r="U2751" s="73"/>
      <c r="V2751" s="73"/>
      <c r="W2751" s="73"/>
      <c r="X2751" s="73"/>
      <c r="Y2751" s="73"/>
      <c r="Z2751" s="73"/>
      <c r="AA2751" s="73"/>
      <c r="AB2751" s="73"/>
    </row>
    <row r="2752">
      <c r="A2752" s="73"/>
      <c r="B2752" s="73">
        <v>1649880.544</v>
      </c>
      <c r="C2752" s="73">
        <v>1.79439327335728E8</v>
      </c>
      <c r="D2752" s="73">
        <v>7.329477518E7</v>
      </c>
      <c r="E2752" s="73">
        <v>9625155.64672601</v>
      </c>
      <c r="F2752" s="73"/>
      <c r="G2752" s="73"/>
      <c r="H2752" s="73"/>
      <c r="I2752" s="73"/>
      <c r="J2752" s="73"/>
      <c r="K2752" s="73"/>
      <c r="L2752" s="73"/>
      <c r="M2752" s="73"/>
      <c r="N2752" s="73"/>
      <c r="O2752" s="73"/>
      <c r="P2752" s="73"/>
      <c r="Q2752" s="73"/>
      <c r="R2752" s="73"/>
      <c r="S2752" s="73"/>
      <c r="T2752" s="73"/>
      <c r="U2752" s="73"/>
      <c r="V2752" s="73"/>
      <c r="W2752" s="73"/>
      <c r="X2752" s="73"/>
      <c r="Y2752" s="73"/>
      <c r="Z2752" s="73"/>
      <c r="AA2752" s="73"/>
      <c r="AB2752" s="73"/>
    </row>
    <row r="2753">
      <c r="A2753" s="73"/>
      <c r="B2753" s="73">
        <v>1652254.765</v>
      </c>
      <c r="C2753" s="73">
        <v>1.79616915810795E8</v>
      </c>
      <c r="D2753" s="73">
        <v>7.33869927200009E7</v>
      </c>
      <c r="E2753" s="73">
        <v>9636639.3955071</v>
      </c>
      <c r="F2753" s="73"/>
      <c r="G2753" s="73"/>
      <c r="H2753" s="73"/>
      <c r="I2753" s="73"/>
      <c r="J2753" s="73"/>
      <c r="K2753" s="73"/>
      <c r="L2753" s="73"/>
      <c r="M2753" s="73"/>
      <c r="N2753" s="73"/>
      <c r="O2753" s="73"/>
      <c r="P2753" s="73"/>
      <c r="Q2753" s="73"/>
      <c r="R2753" s="73"/>
      <c r="S2753" s="73"/>
      <c r="T2753" s="73"/>
      <c r="U2753" s="73"/>
      <c r="V2753" s="73"/>
      <c r="W2753" s="73"/>
      <c r="X2753" s="73"/>
      <c r="Y2753" s="73"/>
      <c r="Z2753" s="73"/>
      <c r="AA2753" s="73"/>
      <c r="AB2753" s="73"/>
    </row>
    <row r="2754">
      <c r="A2754" s="73"/>
      <c r="B2754" s="73">
        <v>1654632.006</v>
      </c>
      <c r="C2754" s="73">
        <v>1.79794636125858E8</v>
      </c>
      <c r="D2754" s="73">
        <v>7.34792825559942E7</v>
      </c>
      <c r="E2754" s="73">
        <v>9648136.64015445</v>
      </c>
      <c r="F2754" s="73"/>
      <c r="G2754" s="73"/>
      <c r="H2754" s="73"/>
      <c r="I2754" s="73"/>
      <c r="J2754" s="73"/>
      <c r="K2754" s="73"/>
      <c r="L2754" s="73"/>
      <c r="M2754" s="73"/>
      <c r="N2754" s="73"/>
      <c r="O2754" s="73"/>
      <c r="P2754" s="73"/>
      <c r="Q2754" s="73"/>
      <c r="R2754" s="73"/>
      <c r="S2754" s="73"/>
      <c r="T2754" s="73"/>
      <c r="U2754" s="73"/>
      <c r="V2754" s="73"/>
      <c r="W2754" s="73"/>
      <c r="X2754" s="73"/>
      <c r="Y2754" s="73"/>
      <c r="Z2754" s="73"/>
      <c r="AA2754" s="73"/>
      <c r="AB2754" s="73"/>
    </row>
    <row r="2755">
      <c r="A2755" s="73"/>
      <c r="B2755" s="73">
        <v>1657012.214</v>
      </c>
      <c r="C2755" s="73">
        <v>1.79972438840919E8</v>
      </c>
      <c r="D2755" s="73">
        <v>7.35716500239951E7</v>
      </c>
      <c r="E2755" s="73">
        <v>9659646.22987915</v>
      </c>
      <c r="F2755" s="73"/>
      <c r="G2755" s="73"/>
      <c r="H2755" s="73"/>
      <c r="I2755" s="73"/>
      <c r="J2755" s="73"/>
      <c r="K2755" s="73"/>
      <c r="L2755" s="73"/>
      <c r="M2755" s="73"/>
      <c r="N2755" s="73"/>
      <c r="O2755" s="73"/>
      <c r="P2755" s="73"/>
      <c r="Q2755" s="73"/>
      <c r="R2755" s="73"/>
      <c r="S2755" s="73"/>
      <c r="T2755" s="73"/>
      <c r="U2755" s="73"/>
      <c r="V2755" s="73"/>
      <c r="W2755" s="73"/>
      <c r="X2755" s="73"/>
      <c r="Y2755" s="73"/>
      <c r="Z2755" s="73"/>
      <c r="AA2755" s="73"/>
      <c r="AB2755" s="73"/>
    </row>
    <row r="2756">
      <c r="A2756" s="73"/>
      <c r="B2756" s="73">
        <v>1659395.48</v>
      </c>
      <c r="C2756" s="73">
        <v>1.80150356915977E8</v>
      </c>
      <c r="D2756" s="73">
        <v>7.3664089859996E7</v>
      </c>
      <c r="E2756" s="73">
        <v>9671168.78711315</v>
      </c>
      <c r="F2756" s="73"/>
      <c r="G2756" s="73"/>
      <c r="H2756" s="73"/>
      <c r="I2756" s="73"/>
      <c r="J2756" s="73"/>
      <c r="K2756" s="73"/>
      <c r="L2756" s="73"/>
      <c r="M2756" s="73"/>
      <c r="N2756" s="73"/>
      <c r="O2756" s="73"/>
      <c r="P2756" s="73"/>
      <c r="Q2756" s="73"/>
      <c r="R2756" s="73"/>
      <c r="S2756" s="73"/>
      <c r="T2756" s="73"/>
      <c r="U2756" s="73"/>
      <c r="V2756" s="73"/>
      <c r="W2756" s="73"/>
      <c r="X2756" s="73"/>
      <c r="Y2756" s="73"/>
      <c r="Z2756" s="73"/>
      <c r="AA2756" s="73"/>
      <c r="AB2756" s="73"/>
    </row>
    <row r="2757">
      <c r="A2757" s="73"/>
      <c r="B2757" s="73">
        <v>1661781.755</v>
      </c>
      <c r="C2757" s="73">
        <v>1.80328406831032E8</v>
      </c>
      <c r="D2757" s="73">
        <v>7.37566123759969E7</v>
      </c>
      <c r="E2757" s="73">
        <v>9682704.29993144</v>
      </c>
      <c r="F2757" s="73"/>
      <c r="G2757" s="73"/>
      <c r="H2757" s="73"/>
      <c r="I2757" s="73"/>
      <c r="J2757" s="73"/>
      <c r="K2757" s="73"/>
      <c r="L2757" s="73"/>
      <c r="M2757" s="73"/>
      <c r="N2757" s="73"/>
      <c r="O2757" s="73"/>
      <c r="P2757" s="73"/>
      <c r="Q2757" s="73"/>
      <c r="R2757" s="73"/>
      <c r="S2757" s="73"/>
      <c r="T2757" s="73"/>
      <c r="U2757" s="73"/>
      <c r="V2757" s="73"/>
      <c r="W2757" s="73"/>
      <c r="X2757" s="73"/>
      <c r="Y2757" s="73"/>
      <c r="Z2757" s="73"/>
      <c r="AA2757" s="73"/>
      <c r="AB2757" s="73"/>
    </row>
    <row r="2758">
      <c r="A2758" s="73"/>
      <c r="B2758" s="73">
        <v>1664171.055</v>
      </c>
      <c r="C2758" s="73">
        <v>1.80506555626083E8</v>
      </c>
      <c r="D2758" s="73">
        <v>7.38492021399979E7</v>
      </c>
      <c r="E2758" s="73">
        <v>9694252.75375904</v>
      </c>
      <c r="F2758" s="73"/>
      <c r="G2758" s="73"/>
      <c r="H2758" s="73"/>
      <c r="I2758" s="73"/>
      <c r="J2758" s="73"/>
      <c r="K2758" s="73"/>
      <c r="L2758" s="73"/>
      <c r="M2758" s="73"/>
      <c r="N2758" s="73"/>
      <c r="O2758" s="73"/>
      <c r="P2758" s="73"/>
      <c r="Q2758" s="73"/>
      <c r="R2758" s="73"/>
      <c r="S2758" s="73"/>
      <c r="T2758" s="73"/>
      <c r="U2758" s="73"/>
      <c r="V2758" s="73"/>
      <c r="W2758" s="73"/>
      <c r="X2758" s="73"/>
      <c r="Y2758" s="73"/>
      <c r="Z2758" s="73"/>
      <c r="AA2758" s="73"/>
      <c r="AB2758" s="73"/>
    </row>
    <row r="2759">
      <c r="A2759" s="73"/>
      <c r="B2759" s="73">
        <v>1666563.361</v>
      </c>
      <c r="C2759" s="73">
        <v>1.80684803301132E8</v>
      </c>
      <c r="D2759" s="73">
        <v>7.39418694639988E7</v>
      </c>
      <c r="E2759" s="73">
        <v>9705814.29964592</v>
      </c>
      <c r="F2759" s="73"/>
      <c r="G2759" s="73"/>
      <c r="H2759" s="73"/>
      <c r="I2759" s="73"/>
      <c r="J2759" s="73"/>
      <c r="K2759" s="73"/>
      <c r="L2759" s="73"/>
      <c r="M2759" s="73"/>
      <c r="N2759" s="73"/>
      <c r="O2759" s="73"/>
      <c r="P2759" s="73"/>
      <c r="Q2759" s="73"/>
      <c r="R2759" s="73"/>
      <c r="S2759" s="73"/>
      <c r="T2759" s="73"/>
      <c r="U2759" s="73"/>
      <c r="V2759" s="73"/>
      <c r="W2759" s="73"/>
      <c r="X2759" s="73"/>
      <c r="Y2759" s="73"/>
      <c r="Z2759" s="73"/>
      <c r="AA2759" s="73"/>
      <c r="AB2759" s="73"/>
    </row>
    <row r="2760">
      <c r="A2760" s="73"/>
      <c r="B2760" s="73">
        <v>1668958.719</v>
      </c>
      <c r="C2760" s="73">
        <v>1.80863182816177E8</v>
      </c>
      <c r="D2760" s="73">
        <v>7.40346142759997E7</v>
      </c>
      <c r="E2760" s="73">
        <v>9717388.74149212</v>
      </c>
      <c r="F2760" s="73"/>
      <c r="G2760" s="73"/>
      <c r="H2760" s="73"/>
      <c r="I2760" s="73"/>
      <c r="J2760" s="73"/>
      <c r="K2760" s="73"/>
      <c r="L2760" s="73"/>
      <c r="M2760" s="73"/>
      <c r="N2760" s="73"/>
      <c r="O2760" s="73"/>
      <c r="P2760" s="73"/>
      <c r="Q2760" s="73"/>
      <c r="R2760" s="73"/>
      <c r="S2760" s="73"/>
      <c r="T2760" s="73"/>
      <c r="U2760" s="73"/>
      <c r="V2760" s="73"/>
      <c r="W2760" s="73"/>
      <c r="X2760" s="73"/>
      <c r="Y2760" s="73"/>
      <c r="Z2760" s="73"/>
      <c r="AA2760" s="73"/>
      <c r="AB2760" s="73"/>
    </row>
    <row r="2761">
      <c r="A2761" s="73"/>
      <c r="B2761" s="73">
        <v>1671357.08</v>
      </c>
      <c r="C2761" s="73">
        <v>1.81041677691219E8</v>
      </c>
      <c r="D2761" s="73">
        <v>7.41274366480006E7</v>
      </c>
      <c r="E2761" s="73">
        <v>9728975.62911564</v>
      </c>
      <c r="F2761" s="73"/>
      <c r="G2761" s="73"/>
      <c r="H2761" s="73"/>
      <c r="I2761" s="73"/>
      <c r="J2761" s="73"/>
      <c r="K2761" s="73"/>
      <c r="L2761" s="73"/>
      <c r="M2761" s="73"/>
      <c r="N2761" s="73"/>
      <c r="O2761" s="73"/>
      <c r="P2761" s="73"/>
      <c r="Q2761" s="73"/>
      <c r="R2761" s="73"/>
      <c r="S2761" s="73"/>
      <c r="T2761" s="73"/>
      <c r="U2761" s="73"/>
      <c r="V2761" s="73"/>
      <c r="W2761" s="73"/>
      <c r="X2761" s="73"/>
      <c r="Y2761" s="73"/>
      <c r="Z2761" s="73"/>
      <c r="AA2761" s="73"/>
      <c r="AB2761" s="73"/>
    </row>
    <row r="2762">
      <c r="A2762" s="73"/>
      <c r="B2762" s="73">
        <v>1673758.489</v>
      </c>
      <c r="C2762" s="73">
        <v>1.81220254966259E8</v>
      </c>
      <c r="D2762" s="73">
        <v>7.42203313879939E7</v>
      </c>
      <c r="E2762" s="73">
        <v>9740576.18353042</v>
      </c>
      <c r="F2762" s="73"/>
      <c r="G2762" s="73"/>
      <c r="H2762" s="73"/>
      <c r="I2762" s="73"/>
      <c r="J2762" s="73"/>
      <c r="K2762" s="73"/>
      <c r="L2762" s="73"/>
      <c r="M2762" s="73"/>
      <c r="N2762" s="73"/>
      <c r="O2762" s="73"/>
      <c r="P2762" s="73"/>
      <c r="Q2762" s="73"/>
      <c r="R2762" s="73"/>
      <c r="S2762" s="73"/>
      <c r="T2762" s="73"/>
      <c r="U2762" s="73"/>
      <c r="V2762" s="73"/>
      <c r="W2762" s="73"/>
      <c r="X2762" s="73"/>
      <c r="Y2762" s="73"/>
      <c r="Z2762" s="73"/>
      <c r="AA2762" s="73"/>
      <c r="AB2762" s="73"/>
    </row>
    <row r="2763">
      <c r="A2763" s="73"/>
      <c r="B2763" s="73">
        <v>1676162.893</v>
      </c>
      <c r="C2763" s="73">
        <v>1.81398964081295E8</v>
      </c>
      <c r="D2763" s="73">
        <v>7.43132985679948E7</v>
      </c>
      <c r="E2763" s="73">
        <v>9752189.28442253</v>
      </c>
      <c r="F2763" s="73"/>
      <c r="G2763" s="73"/>
      <c r="H2763" s="73"/>
      <c r="I2763" s="73"/>
      <c r="J2763" s="73"/>
      <c r="K2763" s="73"/>
      <c r="L2763" s="73"/>
      <c r="M2763" s="73"/>
      <c r="N2763" s="73"/>
      <c r="O2763" s="73"/>
      <c r="P2763" s="73"/>
      <c r="Q2763" s="73"/>
      <c r="R2763" s="73"/>
      <c r="S2763" s="73"/>
      <c r="T2763" s="73"/>
      <c r="U2763" s="73"/>
      <c r="V2763" s="73"/>
      <c r="W2763" s="73"/>
      <c r="X2763" s="73"/>
      <c r="Y2763" s="73"/>
      <c r="Z2763" s="73"/>
      <c r="AA2763" s="73"/>
      <c r="AB2763" s="73"/>
    </row>
    <row r="2764">
      <c r="A2764" s="73"/>
      <c r="B2764" s="73">
        <v>1678570.333</v>
      </c>
      <c r="C2764" s="73">
        <v>1.81577788556328E8</v>
      </c>
      <c r="D2764" s="73">
        <v>7.44063484279957E7</v>
      </c>
      <c r="E2764" s="73">
        <v>9763815.79505591</v>
      </c>
      <c r="F2764" s="73"/>
      <c r="G2764" s="73"/>
      <c r="H2764" s="73"/>
      <c r="I2764" s="73"/>
      <c r="J2764" s="73"/>
      <c r="K2764" s="73"/>
      <c r="L2764" s="73"/>
      <c r="M2764" s="73"/>
      <c r="N2764" s="73"/>
      <c r="O2764" s="73"/>
      <c r="P2764" s="73"/>
      <c r="Q2764" s="73"/>
      <c r="R2764" s="73"/>
      <c r="S2764" s="73"/>
      <c r="T2764" s="73"/>
      <c r="U2764" s="73"/>
      <c r="V2764" s="73"/>
      <c r="W2764" s="73"/>
      <c r="X2764" s="73"/>
      <c r="Y2764" s="73"/>
      <c r="Z2764" s="73"/>
      <c r="AA2764" s="73"/>
      <c r="AB2764" s="73"/>
    </row>
    <row r="2765">
      <c r="A2765" s="73"/>
      <c r="B2765" s="73">
        <v>1680980.819</v>
      </c>
      <c r="C2765" s="73">
        <v>1.81756711911358E8</v>
      </c>
      <c r="D2765" s="73">
        <v>7.44994705759967E7</v>
      </c>
      <c r="E2765" s="73">
        <v>9775454.73424163</v>
      </c>
      <c r="F2765" s="73"/>
      <c r="G2765" s="73"/>
      <c r="H2765" s="73"/>
      <c r="I2765" s="73"/>
      <c r="J2765" s="73"/>
      <c r="K2765" s="73"/>
      <c r="L2765" s="73"/>
      <c r="M2765" s="73"/>
      <c r="N2765" s="73"/>
      <c r="O2765" s="73"/>
      <c r="P2765" s="73"/>
      <c r="Q2765" s="73"/>
      <c r="R2765" s="73"/>
      <c r="S2765" s="73"/>
      <c r="T2765" s="73"/>
      <c r="U2765" s="73"/>
      <c r="V2765" s="73"/>
      <c r="W2765" s="73"/>
      <c r="X2765" s="73"/>
      <c r="Y2765" s="73"/>
      <c r="Z2765" s="73"/>
      <c r="AA2765" s="73"/>
      <c r="AB2765" s="73"/>
    </row>
    <row r="2766">
      <c r="A2766" s="73"/>
      <c r="B2766" s="73">
        <v>1683394.358</v>
      </c>
      <c r="C2766" s="73">
        <v>1.81935750626385E8</v>
      </c>
      <c r="D2766" s="73">
        <v>7.45926652439976E7</v>
      </c>
      <c r="E2766" s="73">
        <v>9787107.50451859</v>
      </c>
      <c r="F2766" s="73"/>
      <c r="G2766" s="73"/>
      <c r="H2766" s="73"/>
      <c r="I2766" s="73"/>
      <c r="J2766" s="73"/>
      <c r="K2766" s="73"/>
      <c r="L2766" s="73"/>
      <c r="M2766" s="73"/>
      <c r="N2766" s="73"/>
      <c r="O2766" s="73"/>
      <c r="P2766" s="73"/>
      <c r="Q2766" s="73"/>
      <c r="R2766" s="73"/>
      <c r="S2766" s="73"/>
      <c r="T2766" s="73"/>
      <c r="U2766" s="73"/>
      <c r="V2766" s="73"/>
      <c r="W2766" s="73"/>
      <c r="X2766" s="73"/>
      <c r="Y2766" s="73"/>
      <c r="Z2766" s="73"/>
      <c r="AA2766" s="73"/>
      <c r="AB2766" s="73"/>
    </row>
    <row r="2767">
      <c r="A2767" s="73"/>
      <c r="B2767" s="73">
        <v>1685810.881</v>
      </c>
      <c r="C2767" s="73">
        <v>1.82114904701408E8</v>
      </c>
      <c r="D2767" s="73">
        <v>7.46859425199985E7</v>
      </c>
      <c r="E2767" s="73">
        <v>9798772.71262288</v>
      </c>
      <c r="F2767" s="73"/>
      <c r="G2767" s="73"/>
      <c r="H2767" s="73"/>
      <c r="I2767" s="73"/>
      <c r="J2767" s="73"/>
      <c r="K2767" s="73"/>
      <c r="L2767" s="73"/>
      <c r="M2767" s="73"/>
      <c r="N2767" s="73"/>
      <c r="O2767" s="73"/>
      <c r="P2767" s="73"/>
      <c r="Q2767" s="73"/>
      <c r="R2767" s="73"/>
      <c r="S2767" s="73"/>
      <c r="T2767" s="73"/>
      <c r="U2767" s="73"/>
      <c r="V2767" s="73"/>
      <c r="W2767" s="73"/>
      <c r="X2767" s="73"/>
      <c r="Y2767" s="73"/>
      <c r="Z2767" s="73"/>
      <c r="AA2767" s="73"/>
      <c r="AB2767" s="73"/>
    </row>
    <row r="2768">
      <c r="A2768" s="73"/>
      <c r="B2768" s="73">
        <v>1688230.45</v>
      </c>
      <c r="C2768" s="73">
        <v>1.82294157656429E8</v>
      </c>
      <c r="D2768" s="73">
        <v>7.47792871159994E7</v>
      </c>
      <c r="E2768" s="73">
        <v>9810450.99953647</v>
      </c>
      <c r="F2768" s="73"/>
      <c r="G2768" s="73"/>
      <c r="H2768" s="73"/>
      <c r="I2768" s="73"/>
      <c r="J2768" s="73"/>
      <c r="K2768" s="73"/>
      <c r="L2768" s="73"/>
      <c r="M2768" s="73"/>
      <c r="N2768" s="73"/>
      <c r="O2768" s="73"/>
      <c r="P2768" s="73"/>
      <c r="Q2768" s="73"/>
      <c r="R2768" s="73"/>
      <c r="S2768" s="73"/>
      <c r="T2768" s="73"/>
      <c r="U2768" s="73"/>
      <c r="V2768" s="73"/>
      <c r="W2768" s="73"/>
      <c r="X2768" s="73"/>
      <c r="Y2768" s="73"/>
      <c r="Z2768" s="73"/>
      <c r="AA2768" s="73"/>
      <c r="AB2768" s="73"/>
    </row>
    <row r="2769">
      <c r="A2769" s="73"/>
      <c r="B2769" s="73">
        <v>1690653.043</v>
      </c>
      <c r="C2769" s="73">
        <v>1.82473542451447E8</v>
      </c>
      <c r="D2769" s="73">
        <v>7.48727143200003E7</v>
      </c>
      <c r="E2769" s="73">
        <v>9822142.34405936</v>
      </c>
      <c r="F2769" s="73"/>
      <c r="G2769" s="73"/>
      <c r="H2769" s="73"/>
      <c r="I2769" s="73"/>
      <c r="J2769" s="73"/>
      <c r="K2769" s="73"/>
      <c r="L2769" s="73"/>
      <c r="M2769" s="73"/>
      <c r="N2769" s="73"/>
      <c r="O2769" s="73"/>
      <c r="P2769" s="73"/>
      <c r="Q2769" s="73"/>
      <c r="R2769" s="73"/>
      <c r="S2769" s="73"/>
      <c r="T2769" s="73"/>
      <c r="U2769" s="73"/>
      <c r="V2769" s="73"/>
      <c r="W2769" s="73"/>
      <c r="X2769" s="73"/>
      <c r="Y2769" s="73"/>
      <c r="Z2769" s="73"/>
      <c r="AA2769" s="73"/>
      <c r="AB2769" s="73"/>
    </row>
    <row r="2770">
      <c r="A2770" s="73"/>
      <c r="B2770" s="73">
        <v>1693078.711</v>
      </c>
      <c r="C2770" s="73">
        <v>1.82653042606461E8</v>
      </c>
      <c r="D2770" s="73">
        <v>7.49662139640012E7</v>
      </c>
      <c r="E2770" s="73">
        <v>9833847.3964485</v>
      </c>
      <c r="F2770" s="73"/>
      <c r="G2770" s="73"/>
      <c r="H2770" s="73"/>
      <c r="I2770" s="73"/>
      <c r="J2770" s="73"/>
      <c r="K2770" s="73"/>
      <c r="L2770" s="73"/>
      <c r="M2770" s="73"/>
      <c r="N2770" s="73"/>
      <c r="O2770" s="73"/>
      <c r="P2770" s="73"/>
      <c r="Q2770" s="73"/>
      <c r="R2770" s="73"/>
      <c r="S2770" s="73"/>
      <c r="T2770" s="73"/>
      <c r="U2770" s="73"/>
      <c r="V2770" s="73"/>
      <c r="W2770" s="73"/>
      <c r="X2770" s="73"/>
      <c r="Y2770" s="73"/>
      <c r="Z2770" s="73"/>
      <c r="AA2770" s="73"/>
      <c r="AB2770" s="73"/>
    </row>
    <row r="2771">
      <c r="A2771" s="73"/>
      <c r="B2771" s="73">
        <v>1695507.434</v>
      </c>
      <c r="C2771" s="73">
        <v>1.82832625161472E8</v>
      </c>
      <c r="D2771" s="73">
        <v>7.50597910879945E7</v>
      </c>
      <c r="E2771" s="73">
        <v>9845564.92376497</v>
      </c>
      <c r="F2771" s="73"/>
      <c r="G2771" s="73"/>
      <c r="H2771" s="73"/>
      <c r="I2771" s="73"/>
      <c r="J2771" s="73"/>
      <c r="K2771" s="73"/>
      <c r="L2771" s="73"/>
      <c r="M2771" s="73"/>
      <c r="N2771" s="73"/>
      <c r="O2771" s="73"/>
      <c r="P2771" s="73"/>
      <c r="Q2771" s="73"/>
      <c r="R2771" s="73"/>
      <c r="S2771" s="73"/>
      <c r="T2771" s="73"/>
      <c r="U2771" s="73"/>
      <c r="V2771" s="73"/>
      <c r="W2771" s="73"/>
      <c r="X2771" s="73"/>
      <c r="Y2771" s="73"/>
      <c r="Z2771" s="73"/>
      <c r="AA2771" s="73"/>
      <c r="AB2771" s="73"/>
    </row>
    <row r="2772">
      <c r="A2772" s="73"/>
      <c r="B2772" s="73">
        <v>1697939.16</v>
      </c>
      <c r="C2772" s="73">
        <v>1.83012323076481E8</v>
      </c>
      <c r="D2772" s="73">
        <v>7.51534406599954E7</v>
      </c>
      <c r="E2772" s="73">
        <v>9857295.05320876</v>
      </c>
      <c r="F2772" s="73"/>
      <c r="G2772" s="73"/>
      <c r="H2772" s="73"/>
      <c r="I2772" s="73"/>
      <c r="J2772" s="73"/>
      <c r="K2772" s="73"/>
      <c r="L2772" s="73"/>
      <c r="M2772" s="73"/>
      <c r="N2772" s="73"/>
      <c r="O2772" s="73"/>
      <c r="P2772" s="73"/>
      <c r="Q2772" s="73"/>
      <c r="R2772" s="73"/>
      <c r="S2772" s="73"/>
      <c r="T2772" s="73"/>
      <c r="U2772" s="73"/>
      <c r="V2772" s="73"/>
      <c r="W2772" s="73"/>
      <c r="X2772" s="73"/>
      <c r="Y2772" s="73"/>
      <c r="Z2772" s="73"/>
      <c r="AA2772" s="73"/>
      <c r="AB2772" s="73"/>
    </row>
    <row r="2773">
      <c r="A2773" s="73"/>
      <c r="B2773" s="73">
        <v>1700373.91</v>
      </c>
      <c r="C2773" s="73">
        <v>1.83192152831486E8</v>
      </c>
      <c r="D2773" s="73">
        <v>7.52471677919963E7</v>
      </c>
      <c r="E2773" s="73">
        <v>9869038.85474381</v>
      </c>
      <c r="F2773" s="73"/>
      <c r="G2773" s="73"/>
      <c r="H2773" s="73"/>
      <c r="I2773" s="73"/>
      <c r="J2773" s="73"/>
      <c r="K2773" s="73"/>
      <c r="L2773" s="73"/>
      <c r="M2773" s="73"/>
      <c r="N2773" s="73"/>
      <c r="O2773" s="73"/>
      <c r="P2773" s="73"/>
      <c r="Q2773" s="73"/>
      <c r="R2773" s="73"/>
      <c r="S2773" s="73"/>
      <c r="T2773" s="73"/>
      <c r="U2773" s="73"/>
      <c r="V2773" s="73"/>
      <c r="W2773" s="73"/>
      <c r="X2773" s="73"/>
      <c r="Y2773" s="73"/>
      <c r="Z2773" s="73"/>
      <c r="AA2773" s="73"/>
      <c r="AB2773" s="73"/>
    </row>
    <row r="2774">
      <c r="A2774" s="73"/>
      <c r="B2774" s="73">
        <v>1702811.688</v>
      </c>
      <c r="C2774" s="73">
        <v>1.83372081466488E8</v>
      </c>
      <c r="D2774" s="73">
        <v>7.53409723319973E7</v>
      </c>
      <c r="E2774" s="73">
        <v>9880795.74171315</v>
      </c>
      <c r="F2774" s="73"/>
      <c r="G2774" s="73"/>
      <c r="H2774" s="73"/>
      <c r="I2774" s="73"/>
      <c r="J2774" s="73"/>
      <c r="K2774" s="73"/>
      <c r="L2774" s="73"/>
      <c r="M2774" s="73"/>
      <c r="N2774" s="73"/>
      <c r="O2774" s="73"/>
      <c r="P2774" s="73"/>
      <c r="Q2774" s="73"/>
      <c r="R2774" s="73"/>
      <c r="S2774" s="73"/>
      <c r="T2774" s="73"/>
      <c r="U2774" s="73"/>
      <c r="V2774" s="73"/>
      <c r="W2774" s="73"/>
      <c r="X2774" s="73"/>
      <c r="Y2774" s="73"/>
      <c r="Z2774" s="73"/>
      <c r="AA2774" s="73"/>
      <c r="AB2774" s="73"/>
    </row>
    <row r="2775">
      <c r="A2775" s="73"/>
      <c r="B2775" s="73">
        <v>1705252.559</v>
      </c>
      <c r="C2775" s="73">
        <v>1.83552125461487E8</v>
      </c>
      <c r="D2775" s="73">
        <v>7.54348544399982E7</v>
      </c>
      <c r="E2775" s="73">
        <v>9892565.95129178</v>
      </c>
      <c r="F2775" s="73"/>
      <c r="G2775" s="73"/>
      <c r="H2775" s="73"/>
      <c r="I2775" s="73"/>
      <c r="J2775" s="73"/>
      <c r="K2775" s="73"/>
      <c r="L2775" s="73"/>
      <c r="M2775" s="73"/>
      <c r="N2775" s="73"/>
      <c r="O2775" s="73"/>
      <c r="P2775" s="73"/>
      <c r="Q2775" s="73"/>
      <c r="R2775" s="73"/>
      <c r="S2775" s="73"/>
      <c r="T2775" s="73"/>
      <c r="U2775" s="73"/>
      <c r="V2775" s="73"/>
      <c r="W2775" s="73"/>
      <c r="X2775" s="73"/>
      <c r="Y2775" s="73"/>
      <c r="Z2775" s="73"/>
      <c r="AA2775" s="73"/>
      <c r="AB2775" s="73"/>
    </row>
    <row r="2776">
      <c r="A2776" s="73"/>
      <c r="B2776" s="73">
        <v>1707696.455</v>
      </c>
      <c r="C2776" s="73">
        <v>1.83732301296482E8</v>
      </c>
      <c r="D2776" s="73">
        <v>7.55288090599991E7</v>
      </c>
      <c r="E2776" s="73">
        <v>9904349.1681297</v>
      </c>
      <c r="F2776" s="73"/>
      <c r="G2776" s="73"/>
      <c r="H2776" s="73"/>
      <c r="I2776" s="73"/>
      <c r="J2776" s="73"/>
      <c r="K2776" s="73"/>
      <c r="L2776" s="73"/>
      <c r="M2776" s="73"/>
      <c r="N2776" s="73"/>
      <c r="O2776" s="73"/>
      <c r="P2776" s="73"/>
      <c r="Q2776" s="73"/>
      <c r="R2776" s="73"/>
      <c r="S2776" s="73"/>
      <c r="T2776" s="73"/>
      <c r="U2776" s="73"/>
      <c r="V2776" s="73"/>
      <c r="W2776" s="73"/>
      <c r="X2776" s="73"/>
      <c r="Y2776" s="73"/>
      <c r="Z2776" s="73"/>
      <c r="AA2776" s="73"/>
      <c r="AB2776" s="73"/>
    </row>
    <row r="2777">
      <c r="A2777" s="73"/>
      <c r="B2777" s="73">
        <v>1710143.374</v>
      </c>
      <c r="C2777" s="73">
        <v>1.83912543051476E8</v>
      </c>
      <c r="D2777" s="73">
        <v>7.5622841088E7</v>
      </c>
      <c r="E2777" s="73">
        <v>9916144.87314495</v>
      </c>
      <c r="F2777" s="73"/>
      <c r="G2777" s="73"/>
      <c r="H2777" s="73"/>
      <c r="I2777" s="73"/>
      <c r="J2777" s="73"/>
      <c r="K2777" s="73"/>
      <c r="L2777" s="73"/>
      <c r="M2777" s="73"/>
      <c r="N2777" s="73"/>
      <c r="O2777" s="73"/>
      <c r="P2777" s="73"/>
      <c r="Q2777" s="73"/>
      <c r="R2777" s="73"/>
      <c r="S2777" s="73"/>
      <c r="T2777" s="73"/>
      <c r="U2777" s="73"/>
      <c r="V2777" s="73"/>
      <c r="W2777" s="73"/>
      <c r="X2777" s="73"/>
      <c r="Y2777" s="73"/>
      <c r="Z2777" s="73"/>
      <c r="AA2777" s="73"/>
      <c r="AB2777" s="73"/>
    </row>
    <row r="2778">
      <c r="A2778" s="73"/>
      <c r="B2778" s="73">
        <v>1712593.371</v>
      </c>
      <c r="C2778" s="73">
        <v>1.84092933126465E8</v>
      </c>
      <c r="D2778" s="73">
        <v>7.57169455640009E7</v>
      </c>
      <c r="E2778" s="73">
        <v>9927954.43840145</v>
      </c>
      <c r="F2778" s="73"/>
      <c r="G2778" s="73"/>
      <c r="H2778" s="73"/>
      <c r="I2778" s="73"/>
      <c r="J2778" s="73"/>
      <c r="K2778" s="73"/>
      <c r="L2778" s="73"/>
      <c r="M2778" s="73"/>
      <c r="N2778" s="73"/>
      <c r="O2778" s="73"/>
      <c r="P2778" s="73"/>
      <c r="Q2778" s="73"/>
      <c r="R2778" s="73"/>
      <c r="S2778" s="73"/>
      <c r="T2778" s="73"/>
      <c r="U2778" s="73"/>
      <c r="V2778" s="73"/>
      <c r="W2778" s="73"/>
      <c r="X2778" s="73"/>
      <c r="Y2778" s="73"/>
      <c r="Z2778" s="73"/>
      <c r="AA2778" s="73"/>
      <c r="AB2778" s="73"/>
    </row>
    <row r="2779">
      <c r="A2779" s="73"/>
      <c r="B2779" s="73">
        <v>1715046.439</v>
      </c>
      <c r="C2779" s="73">
        <v>1.84273438561451E8</v>
      </c>
      <c r="D2779" s="73">
        <v>7.58111327919942E7</v>
      </c>
      <c r="E2779" s="73">
        <v>9939777.21761724</v>
      </c>
      <c r="F2779" s="73"/>
      <c r="G2779" s="73"/>
      <c r="H2779" s="73"/>
      <c r="I2779" s="73"/>
      <c r="J2779" s="73"/>
      <c r="K2779" s="73"/>
      <c r="L2779" s="73"/>
      <c r="M2779" s="73"/>
      <c r="N2779" s="73"/>
      <c r="O2779" s="73"/>
      <c r="P2779" s="73"/>
      <c r="Q2779" s="73"/>
      <c r="R2779" s="73"/>
      <c r="S2779" s="73"/>
      <c r="T2779" s="73"/>
      <c r="U2779" s="73"/>
      <c r="V2779" s="73"/>
      <c r="W2779" s="73"/>
      <c r="X2779" s="73"/>
      <c r="Y2779" s="73"/>
      <c r="Z2779" s="73"/>
      <c r="AA2779" s="73"/>
      <c r="AB2779" s="73"/>
    </row>
    <row r="2780">
      <c r="A2780" s="73"/>
      <c r="B2780" s="73">
        <v>1717502.514</v>
      </c>
      <c r="C2780" s="73">
        <v>1.84454042876434E8</v>
      </c>
      <c r="D2780" s="73">
        <v>7.59053922359951E7</v>
      </c>
      <c r="E2780" s="73">
        <v>9951612.60956035</v>
      </c>
      <c r="F2780" s="73"/>
      <c r="G2780" s="73"/>
      <c r="H2780" s="73"/>
      <c r="I2780" s="73"/>
      <c r="J2780" s="73"/>
      <c r="K2780" s="73"/>
      <c r="L2780" s="73"/>
      <c r="M2780" s="73"/>
      <c r="N2780" s="73"/>
      <c r="O2780" s="73"/>
      <c r="P2780" s="73"/>
      <c r="Q2780" s="73"/>
      <c r="R2780" s="73"/>
      <c r="S2780" s="73"/>
      <c r="T2780" s="73"/>
      <c r="U2780" s="73"/>
      <c r="V2780" s="73"/>
      <c r="W2780" s="73"/>
      <c r="X2780" s="73"/>
      <c r="Y2780" s="73"/>
      <c r="Z2780" s="73"/>
      <c r="AA2780" s="73"/>
      <c r="AB2780" s="73"/>
    </row>
    <row r="2781">
      <c r="A2781" s="73"/>
      <c r="B2781" s="73">
        <v>1719961.637</v>
      </c>
      <c r="C2781" s="73">
        <v>1.84634729591415E8</v>
      </c>
      <c r="D2781" s="73">
        <v>7.5999729319996E7</v>
      </c>
      <c r="E2781" s="73">
        <v>9963461.79284471</v>
      </c>
      <c r="F2781" s="73"/>
      <c r="G2781" s="73"/>
      <c r="H2781" s="73"/>
      <c r="I2781" s="73"/>
      <c r="J2781" s="73"/>
      <c r="K2781" s="73"/>
      <c r="L2781" s="73"/>
      <c r="M2781" s="73"/>
      <c r="N2781" s="73"/>
      <c r="O2781" s="73"/>
      <c r="P2781" s="73"/>
      <c r="Q2781" s="73"/>
      <c r="R2781" s="73"/>
      <c r="S2781" s="73"/>
      <c r="T2781" s="73"/>
      <c r="U2781" s="73"/>
      <c r="V2781" s="73"/>
      <c r="W2781" s="73"/>
      <c r="X2781" s="73"/>
      <c r="Y2781" s="73"/>
      <c r="Z2781" s="73"/>
      <c r="AA2781" s="73"/>
      <c r="AB2781" s="73"/>
    </row>
    <row r="2782">
      <c r="A2782" s="73"/>
      <c r="B2782" s="73">
        <v>1722423.844</v>
      </c>
      <c r="C2782" s="73">
        <v>1.84815564626392E8</v>
      </c>
      <c r="D2782" s="73">
        <v>7.6094138763997E7</v>
      </c>
      <c r="E2782" s="73">
        <v>9975323.4378064</v>
      </c>
      <c r="F2782" s="73"/>
      <c r="G2782" s="73"/>
      <c r="H2782" s="73"/>
      <c r="I2782" s="73"/>
      <c r="J2782" s="73"/>
      <c r="K2782" s="73"/>
      <c r="L2782" s="73"/>
      <c r="M2782" s="73"/>
      <c r="N2782" s="73"/>
      <c r="O2782" s="73"/>
      <c r="P2782" s="73"/>
      <c r="Q2782" s="73"/>
      <c r="R2782" s="73"/>
      <c r="S2782" s="73"/>
      <c r="T2782" s="73"/>
      <c r="U2782" s="73"/>
      <c r="V2782" s="73"/>
      <c r="W2782" s="73"/>
      <c r="X2782" s="73"/>
      <c r="Y2782" s="73"/>
      <c r="Z2782" s="73"/>
      <c r="AA2782" s="73"/>
      <c r="AB2782" s="73"/>
    </row>
    <row r="2783">
      <c r="A2783" s="73"/>
      <c r="B2783" s="73">
        <v>1724889.051</v>
      </c>
      <c r="C2783" s="73">
        <v>1.84996515021366E8</v>
      </c>
      <c r="D2783" s="73">
        <v>7.61886258479979E7</v>
      </c>
      <c r="E2783" s="73">
        <v>9987198.48487737</v>
      </c>
      <c r="F2783" s="73"/>
      <c r="G2783" s="73"/>
      <c r="H2783" s="73"/>
      <c r="I2783" s="73"/>
      <c r="J2783" s="73"/>
      <c r="K2783" s="73"/>
      <c r="L2783" s="73"/>
      <c r="M2783" s="73"/>
      <c r="N2783" s="73"/>
      <c r="O2783" s="73"/>
      <c r="P2783" s="73"/>
      <c r="Q2783" s="73"/>
      <c r="R2783" s="73"/>
      <c r="S2783" s="73"/>
      <c r="T2783" s="73"/>
      <c r="U2783" s="73"/>
      <c r="V2783" s="73"/>
      <c r="W2783" s="73"/>
      <c r="X2783" s="73"/>
      <c r="Y2783" s="73"/>
      <c r="Z2783" s="73"/>
      <c r="AA2783" s="73"/>
      <c r="AB2783" s="73"/>
    </row>
    <row r="2784">
      <c r="A2784" s="73"/>
      <c r="B2784" s="73">
        <v>1727357.382</v>
      </c>
      <c r="C2784" s="73">
        <v>1.85177564296337E8</v>
      </c>
      <c r="D2784" s="73">
        <v>7.62831954599988E7</v>
      </c>
      <c r="E2784" s="73">
        <v>9999087.28751459</v>
      </c>
      <c r="F2784" s="73"/>
      <c r="G2784" s="73"/>
      <c r="H2784" s="73"/>
      <c r="I2784" s="73"/>
      <c r="J2784" s="73"/>
      <c r="K2784" s="73"/>
      <c r="L2784" s="73"/>
      <c r="M2784" s="73"/>
      <c r="N2784" s="73"/>
      <c r="O2784" s="73"/>
      <c r="P2784" s="73"/>
      <c r="Q2784" s="73"/>
      <c r="R2784" s="73"/>
      <c r="S2784" s="73"/>
      <c r="T2784" s="73"/>
      <c r="U2784" s="73"/>
      <c r="V2784" s="73"/>
      <c r="W2784" s="73"/>
      <c r="X2784" s="73"/>
      <c r="Y2784" s="73"/>
      <c r="Z2784" s="73"/>
      <c r="AA2784" s="73"/>
      <c r="AB2784" s="73"/>
    </row>
    <row r="2785">
      <c r="A2785" s="73"/>
      <c r="B2785" s="73">
        <v>1729828.729</v>
      </c>
      <c r="C2785" s="73">
        <v>1.85358712451305E8</v>
      </c>
      <c r="D2785" s="73">
        <v>7.63778323999997E7</v>
      </c>
      <c r="E2785" s="73">
        <v>1.00109886432541E7</v>
      </c>
      <c r="F2785" s="73"/>
      <c r="G2785" s="73"/>
      <c r="H2785" s="73"/>
      <c r="I2785" s="73"/>
      <c r="J2785" s="73"/>
      <c r="K2785" s="73"/>
      <c r="L2785" s="73"/>
      <c r="M2785" s="73"/>
      <c r="N2785" s="73"/>
      <c r="O2785" s="73"/>
      <c r="P2785" s="73"/>
      <c r="Q2785" s="73"/>
      <c r="R2785" s="73"/>
      <c r="S2785" s="73"/>
      <c r="T2785" s="73"/>
      <c r="U2785" s="73"/>
      <c r="V2785" s="73"/>
      <c r="W2785" s="73"/>
      <c r="X2785" s="73"/>
      <c r="Y2785" s="73"/>
      <c r="Z2785" s="73"/>
      <c r="AA2785" s="73"/>
      <c r="AB2785" s="73"/>
    </row>
    <row r="2786">
      <c r="A2786" s="73"/>
      <c r="B2786" s="73">
        <v>1732303.162</v>
      </c>
      <c r="C2786" s="73">
        <v>1.8553999244627E8</v>
      </c>
      <c r="D2786" s="73">
        <v>7.64725519400006E7</v>
      </c>
      <c r="E2786" s="73">
        <v>1.0022903259328E7</v>
      </c>
      <c r="F2786" s="73"/>
      <c r="G2786" s="73"/>
      <c r="H2786" s="73"/>
      <c r="I2786" s="73"/>
      <c r="J2786" s="73"/>
      <c r="K2786" s="73"/>
      <c r="L2786" s="73"/>
      <c r="M2786" s="73"/>
      <c r="N2786" s="73"/>
      <c r="O2786" s="73"/>
      <c r="P2786" s="73"/>
      <c r="Q2786" s="73"/>
      <c r="R2786" s="73"/>
      <c r="S2786" s="73"/>
      <c r="T2786" s="73"/>
      <c r="U2786" s="73"/>
      <c r="V2786" s="73"/>
      <c r="W2786" s="73"/>
      <c r="X2786" s="73"/>
      <c r="Y2786" s="73"/>
      <c r="Z2786" s="73"/>
      <c r="AA2786" s="73"/>
      <c r="AB2786" s="73"/>
    </row>
    <row r="2787">
      <c r="A2787" s="73"/>
      <c r="B2787" s="73">
        <v>1734780.608</v>
      </c>
      <c r="C2787" s="73">
        <v>1.85721387801231E8</v>
      </c>
      <c r="D2787" s="73">
        <v>7.65673439999939E7</v>
      </c>
      <c r="E2787" s="73">
        <v>1.00348312178861E7</v>
      </c>
      <c r="F2787" s="73"/>
      <c r="G2787" s="73"/>
      <c r="H2787" s="73"/>
      <c r="I2787" s="73"/>
      <c r="J2787" s="73"/>
      <c r="K2787" s="73"/>
      <c r="L2787" s="73"/>
      <c r="M2787" s="73"/>
      <c r="N2787" s="73"/>
      <c r="O2787" s="73"/>
      <c r="P2787" s="73"/>
      <c r="Q2787" s="73"/>
      <c r="R2787" s="73"/>
      <c r="S2787" s="73"/>
      <c r="T2787" s="73"/>
      <c r="U2787" s="73"/>
      <c r="V2787" s="73"/>
      <c r="W2787" s="73"/>
      <c r="X2787" s="73"/>
      <c r="Y2787" s="73"/>
      <c r="Z2787" s="73"/>
      <c r="AA2787" s="73"/>
      <c r="AB2787" s="73"/>
    </row>
    <row r="2788">
      <c r="A2788" s="73"/>
      <c r="B2788" s="73">
        <v>1737261.155</v>
      </c>
      <c r="C2788" s="73">
        <v>1.8590288203619E8</v>
      </c>
      <c r="D2788" s="73">
        <v>7.66622134679948E7</v>
      </c>
      <c r="E2788" s="73">
        <v>1.00467724553285E7</v>
      </c>
      <c r="F2788" s="73"/>
      <c r="G2788" s="73"/>
      <c r="H2788" s="73"/>
      <c r="I2788" s="73"/>
      <c r="J2788" s="73"/>
      <c r="K2788" s="73"/>
      <c r="L2788" s="73"/>
      <c r="M2788" s="73"/>
      <c r="N2788" s="73"/>
      <c r="O2788" s="73"/>
      <c r="P2788" s="73"/>
      <c r="Q2788" s="73"/>
      <c r="R2788" s="73"/>
      <c r="S2788" s="73"/>
      <c r="T2788" s="73"/>
      <c r="U2788" s="73"/>
      <c r="V2788" s="73"/>
      <c r="W2788" s="73"/>
      <c r="X2788" s="73"/>
      <c r="Y2788" s="73"/>
      <c r="Z2788" s="73"/>
      <c r="AA2788" s="73"/>
      <c r="AB2788" s="73"/>
    </row>
    <row r="2789">
      <c r="A2789" s="73"/>
      <c r="B2789" s="73">
        <v>1739744.749</v>
      </c>
      <c r="C2789" s="73">
        <v>1.86084508111145E8</v>
      </c>
      <c r="D2789" s="73">
        <v>7.67571605759957E7</v>
      </c>
      <c r="E2789" s="73">
        <v>1.00587268842052E7</v>
      </c>
      <c r="F2789" s="73"/>
      <c r="G2789" s="73"/>
      <c r="H2789" s="73"/>
      <c r="I2789" s="73"/>
      <c r="J2789" s="73"/>
      <c r="K2789" s="73"/>
      <c r="L2789" s="73"/>
      <c r="M2789" s="73"/>
      <c r="N2789" s="73"/>
      <c r="O2789" s="73"/>
      <c r="P2789" s="73"/>
      <c r="Q2789" s="73"/>
      <c r="R2789" s="73"/>
      <c r="S2789" s="73"/>
      <c r="T2789" s="73"/>
      <c r="U2789" s="73"/>
      <c r="V2789" s="73"/>
      <c r="W2789" s="73"/>
      <c r="X2789" s="73"/>
      <c r="Y2789" s="73"/>
      <c r="Z2789" s="73"/>
      <c r="AA2789" s="73"/>
      <c r="AB2789" s="73"/>
    </row>
    <row r="2790">
      <c r="A2790" s="73"/>
      <c r="B2790" s="73">
        <v>1742231.401</v>
      </c>
      <c r="C2790" s="73">
        <v>1.86266216586098E8</v>
      </c>
      <c r="D2790" s="73">
        <v>7.68521800439966E7</v>
      </c>
      <c r="E2790" s="73">
        <v>1.00706945045161E7</v>
      </c>
      <c r="F2790" s="73"/>
      <c r="G2790" s="73"/>
      <c r="H2790" s="73"/>
      <c r="I2790" s="73"/>
      <c r="J2790" s="73"/>
      <c r="K2790" s="73"/>
      <c r="L2790" s="73"/>
      <c r="M2790" s="73"/>
      <c r="N2790" s="73"/>
      <c r="O2790" s="73"/>
      <c r="P2790" s="73"/>
      <c r="Q2790" s="73"/>
      <c r="R2790" s="73"/>
      <c r="S2790" s="73"/>
      <c r="T2790" s="73"/>
      <c r="U2790" s="73"/>
      <c r="V2790" s="73"/>
      <c r="W2790" s="73"/>
      <c r="X2790" s="73"/>
      <c r="Y2790" s="73"/>
      <c r="Z2790" s="73"/>
      <c r="AA2790" s="73"/>
      <c r="AB2790" s="73"/>
    </row>
    <row r="2791">
      <c r="A2791" s="73"/>
      <c r="B2791" s="73">
        <v>1744721.135</v>
      </c>
      <c r="C2791" s="73">
        <v>1.86448056901047E8</v>
      </c>
      <c r="D2791" s="73">
        <v>7.69472770799976E7</v>
      </c>
      <c r="E2791" s="73">
        <v>1.00826756554614E7</v>
      </c>
      <c r="F2791" s="73"/>
      <c r="G2791" s="73"/>
      <c r="H2791" s="73"/>
      <c r="I2791" s="73"/>
      <c r="J2791" s="73"/>
      <c r="K2791" s="73"/>
      <c r="L2791" s="73"/>
      <c r="M2791" s="73"/>
      <c r="N2791" s="73"/>
      <c r="O2791" s="73"/>
      <c r="P2791" s="73"/>
      <c r="Q2791" s="73"/>
      <c r="R2791" s="73"/>
      <c r="S2791" s="73"/>
      <c r="T2791" s="73"/>
      <c r="U2791" s="73"/>
      <c r="V2791" s="73"/>
      <c r="W2791" s="73"/>
      <c r="X2791" s="73"/>
      <c r="Y2791" s="73"/>
      <c r="Z2791" s="73"/>
      <c r="AA2791" s="73"/>
      <c r="AB2791" s="73"/>
    </row>
    <row r="2792">
      <c r="A2792" s="73"/>
      <c r="B2792" s="73">
        <v>1747213.907</v>
      </c>
      <c r="C2792" s="73">
        <v>1.86630012575993E8</v>
      </c>
      <c r="D2792" s="73">
        <v>7.70424515239985E7</v>
      </c>
      <c r="E2792" s="73">
        <v>1.00946699620659E7</v>
      </c>
      <c r="F2792" s="73"/>
      <c r="G2792" s="73"/>
      <c r="H2792" s="73"/>
      <c r="I2792" s="73"/>
      <c r="J2792" s="73"/>
      <c r="K2792" s="73"/>
      <c r="L2792" s="73"/>
      <c r="M2792" s="73"/>
      <c r="N2792" s="73"/>
      <c r="O2792" s="73"/>
      <c r="P2792" s="73"/>
      <c r="Q2792" s="73"/>
      <c r="R2792" s="73"/>
      <c r="S2792" s="73"/>
      <c r="T2792" s="73"/>
      <c r="U2792" s="73"/>
      <c r="V2792" s="73"/>
      <c r="W2792" s="73"/>
      <c r="X2792" s="73"/>
      <c r="Y2792" s="73"/>
      <c r="Z2792" s="73"/>
      <c r="AA2792" s="73"/>
      <c r="AB2792" s="73"/>
    </row>
    <row r="2793">
      <c r="A2793" s="73"/>
      <c r="B2793" s="73">
        <v>1749709.768</v>
      </c>
      <c r="C2793" s="73">
        <v>1.86812050650936E8</v>
      </c>
      <c r="D2793" s="73">
        <v>7.71377036079994E7</v>
      </c>
      <c r="E2793" s="73">
        <v>1.01066775422547E7</v>
      </c>
      <c r="F2793" s="73"/>
      <c r="G2793" s="73"/>
      <c r="H2793" s="73"/>
      <c r="I2793" s="73"/>
      <c r="J2793" s="73"/>
      <c r="K2793" s="73"/>
      <c r="L2793" s="73"/>
      <c r="M2793" s="73"/>
      <c r="N2793" s="73"/>
      <c r="O2793" s="73"/>
      <c r="P2793" s="73"/>
      <c r="Q2793" s="73"/>
      <c r="R2793" s="73"/>
      <c r="S2793" s="73"/>
      <c r="T2793" s="73"/>
      <c r="U2793" s="73"/>
      <c r="V2793" s="73"/>
      <c r="W2793" s="73"/>
      <c r="X2793" s="73"/>
      <c r="Y2793" s="73"/>
      <c r="Z2793" s="73"/>
      <c r="AA2793" s="73"/>
      <c r="AB2793" s="73"/>
    </row>
    <row r="2794">
      <c r="A2794" s="73"/>
      <c r="B2794" s="73">
        <v>1752208.677</v>
      </c>
      <c r="C2794" s="73">
        <v>1.86994237045876E8</v>
      </c>
      <c r="D2794" s="73">
        <v>7.72330331720003E7</v>
      </c>
      <c r="E2794" s="73">
        <v>1.01186984569778E7</v>
      </c>
      <c r="F2794" s="73"/>
      <c r="G2794" s="73"/>
      <c r="H2794" s="73"/>
      <c r="I2794" s="73"/>
      <c r="J2794" s="73"/>
      <c r="K2794" s="73"/>
      <c r="L2794" s="73"/>
      <c r="M2794" s="73"/>
      <c r="N2794" s="73"/>
      <c r="O2794" s="73"/>
      <c r="P2794" s="73"/>
      <c r="Q2794" s="73"/>
      <c r="R2794" s="73"/>
      <c r="S2794" s="73"/>
      <c r="T2794" s="73"/>
      <c r="U2794" s="73"/>
      <c r="V2794" s="73"/>
      <c r="W2794" s="73"/>
      <c r="X2794" s="73"/>
      <c r="Y2794" s="73"/>
      <c r="Z2794" s="73"/>
      <c r="AA2794" s="73"/>
      <c r="AB2794" s="73"/>
    </row>
    <row r="2795">
      <c r="A2795" s="73"/>
      <c r="B2795" s="73">
        <v>1754710.664</v>
      </c>
      <c r="C2795" s="73">
        <v>1.87176522320812E8</v>
      </c>
      <c r="D2795" s="73">
        <v>7.73284351840012E7</v>
      </c>
      <c r="E2795" s="73">
        <v>1.01307327155102E7</v>
      </c>
      <c r="F2795" s="73"/>
      <c r="G2795" s="73"/>
      <c r="H2795" s="73"/>
      <c r="I2795" s="73"/>
      <c r="J2795" s="73"/>
      <c r="K2795" s="73"/>
      <c r="L2795" s="73"/>
      <c r="M2795" s="73"/>
      <c r="N2795" s="73"/>
      <c r="O2795" s="73"/>
      <c r="P2795" s="73"/>
      <c r="Q2795" s="73"/>
      <c r="R2795" s="73"/>
      <c r="S2795" s="73"/>
      <c r="T2795" s="73"/>
      <c r="U2795" s="73"/>
      <c r="V2795" s="73"/>
      <c r="W2795" s="73"/>
      <c r="X2795" s="73"/>
      <c r="Y2795" s="73"/>
      <c r="Z2795" s="73"/>
      <c r="AA2795" s="73"/>
      <c r="AB2795" s="73"/>
    </row>
    <row r="2796">
      <c r="A2796" s="73"/>
      <c r="B2796" s="73">
        <v>1757215.751</v>
      </c>
      <c r="C2796" s="73">
        <v>1.87358922955746E8</v>
      </c>
      <c r="D2796" s="73">
        <v>7.74239146759945E7</v>
      </c>
      <c r="E2796" s="73">
        <v>1.01427803814518E7</v>
      </c>
      <c r="F2796" s="73"/>
      <c r="G2796" s="73"/>
      <c r="H2796" s="73"/>
      <c r="I2796" s="73"/>
      <c r="J2796" s="73"/>
      <c r="K2796" s="73"/>
      <c r="L2796" s="73"/>
      <c r="M2796" s="73"/>
      <c r="N2796" s="73"/>
      <c r="O2796" s="73"/>
      <c r="P2796" s="73"/>
      <c r="Q2796" s="73"/>
      <c r="R2796" s="73"/>
      <c r="S2796" s="73"/>
      <c r="T2796" s="73"/>
      <c r="U2796" s="73"/>
      <c r="V2796" s="73"/>
      <c r="W2796" s="73"/>
      <c r="X2796" s="73"/>
      <c r="Y2796" s="73"/>
      <c r="Z2796" s="73"/>
      <c r="AA2796" s="73"/>
      <c r="AB2796" s="73"/>
    </row>
    <row r="2797">
      <c r="A2797" s="73"/>
      <c r="B2797" s="73">
        <v>1759723.859</v>
      </c>
      <c r="C2797" s="73">
        <v>1.87541422470676E8</v>
      </c>
      <c r="D2797" s="73">
        <v>7.75194718079954E7</v>
      </c>
      <c r="E2797" s="73">
        <v>1.01548413580777E7</v>
      </c>
      <c r="F2797" s="73"/>
      <c r="G2797" s="73"/>
      <c r="H2797" s="73"/>
      <c r="I2797" s="73"/>
      <c r="J2797" s="73"/>
      <c r="K2797" s="73"/>
      <c r="L2797" s="73"/>
      <c r="M2797" s="73"/>
      <c r="N2797" s="73"/>
      <c r="O2797" s="73"/>
      <c r="P2797" s="73"/>
      <c r="Q2797" s="73"/>
      <c r="R2797" s="73"/>
      <c r="S2797" s="73"/>
      <c r="T2797" s="73"/>
      <c r="U2797" s="73"/>
      <c r="V2797" s="73"/>
      <c r="W2797" s="73"/>
      <c r="X2797" s="73"/>
      <c r="Y2797" s="73"/>
      <c r="Z2797" s="73"/>
      <c r="AA2797" s="73"/>
      <c r="AB2797" s="73"/>
    </row>
    <row r="2798">
      <c r="A2798" s="73"/>
      <c r="B2798" s="73">
        <v>1762235.057</v>
      </c>
      <c r="C2798" s="73">
        <v>1.87724037345604E8</v>
      </c>
      <c r="D2798" s="73">
        <v>7.76151063479963E7</v>
      </c>
      <c r="E2798" s="73">
        <v>1.0166914853356E7</v>
      </c>
      <c r="F2798" s="73"/>
      <c r="G2798" s="73"/>
      <c r="H2798" s="73"/>
      <c r="I2798" s="73"/>
      <c r="J2798" s="73"/>
      <c r="K2798" s="73"/>
      <c r="L2798" s="73"/>
      <c r="M2798" s="73"/>
      <c r="N2798" s="73"/>
      <c r="O2798" s="73"/>
      <c r="P2798" s="73"/>
      <c r="Q2798" s="73"/>
      <c r="R2798" s="73"/>
      <c r="S2798" s="73"/>
      <c r="T2798" s="73"/>
      <c r="U2798" s="73"/>
      <c r="V2798" s="73"/>
      <c r="W2798" s="73"/>
      <c r="X2798" s="73"/>
      <c r="Y2798" s="73"/>
      <c r="Z2798" s="73"/>
      <c r="AA2798" s="73"/>
      <c r="AB2798" s="73"/>
    </row>
    <row r="2799">
      <c r="A2799" s="73"/>
      <c r="B2799" s="73">
        <v>1764749.32</v>
      </c>
      <c r="C2799" s="73">
        <v>1.87906784060528E8</v>
      </c>
      <c r="D2799" s="73">
        <v>7.77108183759973E7</v>
      </c>
      <c r="E2799" s="73">
        <v>1.01790026275755E7</v>
      </c>
      <c r="F2799" s="73"/>
      <c r="G2799" s="73"/>
      <c r="H2799" s="73"/>
      <c r="I2799" s="73"/>
      <c r="J2799" s="73"/>
      <c r="K2799" s="73"/>
      <c r="L2799" s="73"/>
      <c r="M2799" s="73"/>
      <c r="N2799" s="73"/>
      <c r="O2799" s="73"/>
      <c r="P2799" s="73"/>
      <c r="Q2799" s="73"/>
      <c r="R2799" s="73"/>
      <c r="S2799" s="73"/>
      <c r="T2799" s="73"/>
      <c r="U2799" s="73"/>
      <c r="V2799" s="73"/>
      <c r="W2799" s="73"/>
      <c r="X2799" s="73"/>
      <c r="Y2799" s="73"/>
      <c r="Z2799" s="73"/>
      <c r="AA2799" s="73"/>
      <c r="AB2799" s="73"/>
    </row>
    <row r="2800">
      <c r="A2800" s="73"/>
      <c r="B2800" s="73">
        <v>1767266.698</v>
      </c>
      <c r="C2800" s="73">
        <v>1.88089629655449E8</v>
      </c>
      <c r="D2800" s="73">
        <v>7.78066029959982E7</v>
      </c>
      <c r="E2800" s="73">
        <v>1.01911037827042E7</v>
      </c>
      <c r="F2800" s="73"/>
      <c r="G2800" s="73"/>
      <c r="H2800" s="73"/>
      <c r="I2800" s="73"/>
      <c r="J2800" s="73"/>
      <c r="K2800" s="73"/>
      <c r="L2800" s="73"/>
      <c r="M2800" s="73"/>
      <c r="N2800" s="73"/>
      <c r="O2800" s="73"/>
      <c r="P2800" s="73"/>
      <c r="Q2800" s="73"/>
      <c r="R2800" s="73"/>
      <c r="S2800" s="73"/>
      <c r="T2800" s="73"/>
      <c r="U2800" s="73"/>
      <c r="V2800" s="73"/>
      <c r="W2800" s="73"/>
      <c r="X2800" s="73"/>
      <c r="Y2800" s="73"/>
      <c r="Z2800" s="73"/>
      <c r="AA2800" s="73"/>
      <c r="AB2800" s="73"/>
    </row>
    <row r="2801">
      <c r="A2801" s="73"/>
      <c r="B2801" s="73">
        <v>1769787.107</v>
      </c>
      <c r="C2801" s="73">
        <v>1.88272574130367E8</v>
      </c>
      <c r="D2801" s="73">
        <v>7.79024701439991E7</v>
      </c>
      <c r="E2801" s="73">
        <v>1.02032176115103E7</v>
      </c>
      <c r="F2801" s="73"/>
      <c r="G2801" s="73"/>
      <c r="H2801" s="73"/>
      <c r="I2801" s="73"/>
      <c r="J2801" s="73"/>
      <c r="K2801" s="73"/>
      <c r="L2801" s="73"/>
      <c r="M2801" s="73"/>
      <c r="N2801" s="73"/>
      <c r="O2801" s="73"/>
      <c r="P2801" s="73"/>
      <c r="Q2801" s="73"/>
      <c r="R2801" s="73"/>
      <c r="S2801" s="73"/>
      <c r="T2801" s="73"/>
      <c r="U2801" s="73"/>
      <c r="V2801" s="73"/>
      <c r="W2801" s="73"/>
      <c r="X2801" s="73"/>
      <c r="Y2801" s="73"/>
      <c r="Z2801" s="73"/>
      <c r="AA2801" s="73"/>
      <c r="AB2801" s="73"/>
    </row>
    <row r="2802">
      <c r="A2802" s="73"/>
      <c r="B2802" s="73">
        <v>1772310.584</v>
      </c>
      <c r="C2802" s="73">
        <v>1.88455666925282E8</v>
      </c>
      <c r="D2802" s="73">
        <v>7.799840966E7</v>
      </c>
      <c r="E2802" s="73">
        <v>1.02153453257326E7</v>
      </c>
      <c r="F2802" s="73"/>
      <c r="G2802" s="73"/>
      <c r="H2802" s="73"/>
      <c r="I2802" s="73"/>
      <c r="J2802" s="73"/>
      <c r="K2802" s="73"/>
      <c r="L2802" s="73"/>
      <c r="M2802" s="73"/>
      <c r="N2802" s="73"/>
      <c r="O2802" s="73"/>
      <c r="P2802" s="73"/>
      <c r="Q2802" s="73"/>
      <c r="R2802" s="73"/>
      <c r="S2802" s="73"/>
      <c r="T2802" s="73"/>
      <c r="U2802" s="73"/>
      <c r="V2802" s="73"/>
      <c r="W2802" s="73"/>
      <c r="X2802" s="73"/>
      <c r="Y2802" s="73"/>
      <c r="Z2802" s="73"/>
      <c r="AA2802" s="73"/>
      <c r="AB2802" s="73"/>
    </row>
    <row r="2803">
      <c r="A2803" s="73"/>
      <c r="B2803" s="73">
        <v>1774837.176</v>
      </c>
      <c r="C2803" s="73">
        <v>1.88638842120193E8</v>
      </c>
      <c r="D2803" s="73">
        <v>7.80944216960009E7</v>
      </c>
      <c r="E2803" s="73">
        <v>1.02274859110573E7</v>
      </c>
      <c r="F2803" s="73"/>
      <c r="G2803" s="73"/>
      <c r="H2803" s="73"/>
      <c r="I2803" s="73"/>
      <c r="J2803" s="73"/>
      <c r="K2803" s="73"/>
      <c r="L2803" s="73"/>
      <c r="M2803" s="73"/>
      <c r="N2803" s="73"/>
      <c r="O2803" s="73"/>
      <c r="P2803" s="73"/>
      <c r="Q2803" s="73"/>
      <c r="R2803" s="73"/>
      <c r="S2803" s="73"/>
      <c r="T2803" s="73"/>
      <c r="U2803" s="73"/>
      <c r="V2803" s="73"/>
      <c r="W2803" s="73"/>
      <c r="X2803" s="73"/>
      <c r="Y2803" s="73"/>
      <c r="Z2803" s="73"/>
      <c r="AA2803" s="73"/>
      <c r="AB2803" s="73"/>
    </row>
    <row r="2804">
      <c r="A2804" s="73"/>
      <c r="B2804" s="73">
        <v>1777366.839</v>
      </c>
      <c r="C2804" s="73">
        <v>1.88822132675102E8</v>
      </c>
      <c r="D2804" s="73">
        <v>7.81905163319942E7</v>
      </c>
      <c r="E2804" s="73">
        <v>1.02396405063482E7</v>
      </c>
      <c r="F2804" s="73"/>
      <c r="G2804" s="73"/>
      <c r="H2804" s="73"/>
      <c r="I2804" s="73"/>
      <c r="J2804" s="73"/>
      <c r="K2804" s="73"/>
      <c r="L2804" s="73"/>
      <c r="M2804" s="73"/>
      <c r="N2804" s="73"/>
      <c r="O2804" s="73"/>
      <c r="P2804" s="73"/>
      <c r="Q2804" s="73"/>
      <c r="R2804" s="73"/>
      <c r="S2804" s="73"/>
      <c r="T2804" s="73"/>
      <c r="U2804" s="73"/>
      <c r="V2804" s="73"/>
      <c r="W2804" s="73"/>
      <c r="X2804" s="73"/>
      <c r="Y2804" s="73"/>
      <c r="Z2804" s="73"/>
      <c r="AA2804" s="73"/>
      <c r="AB2804" s="73"/>
    </row>
    <row r="2805">
      <c r="A2805" s="73"/>
      <c r="B2805" s="73">
        <v>1779899.579</v>
      </c>
      <c r="C2805" s="73">
        <v>1.89005555070007E8</v>
      </c>
      <c r="D2805" s="73">
        <v>7.82866885359951E7</v>
      </c>
      <c r="E2805" s="73">
        <v>1.02518086468483E7</v>
      </c>
      <c r="F2805" s="73"/>
      <c r="G2805" s="73"/>
      <c r="H2805" s="73"/>
      <c r="I2805" s="73"/>
      <c r="J2805" s="73"/>
      <c r="K2805" s="73"/>
      <c r="L2805" s="73"/>
      <c r="M2805" s="73"/>
      <c r="N2805" s="73"/>
      <c r="O2805" s="73"/>
      <c r="P2805" s="73"/>
      <c r="Q2805" s="73"/>
      <c r="R2805" s="73"/>
      <c r="S2805" s="73"/>
      <c r="T2805" s="73"/>
      <c r="U2805" s="73"/>
      <c r="V2805" s="73"/>
      <c r="W2805" s="73"/>
      <c r="X2805" s="73"/>
      <c r="Y2805" s="73"/>
      <c r="Z2805" s="73"/>
      <c r="AA2805" s="73"/>
      <c r="AB2805" s="73"/>
    </row>
    <row r="2806">
      <c r="A2806" s="73"/>
      <c r="B2806" s="73">
        <v>1782435.423</v>
      </c>
      <c r="C2806" s="73">
        <v>1.8918907634491E8</v>
      </c>
      <c r="D2806" s="73">
        <v>7.8382938219996E7</v>
      </c>
      <c r="E2806" s="73">
        <v>1.02639894345258E7</v>
      </c>
      <c r="F2806" s="73"/>
      <c r="G2806" s="73"/>
      <c r="H2806" s="73"/>
      <c r="I2806" s="73"/>
      <c r="J2806" s="73"/>
      <c r="K2806" s="73"/>
      <c r="L2806" s="73"/>
      <c r="M2806" s="73"/>
      <c r="N2806" s="73"/>
      <c r="O2806" s="73"/>
      <c r="P2806" s="73"/>
      <c r="Q2806" s="73"/>
      <c r="R2806" s="73"/>
      <c r="S2806" s="73"/>
      <c r="T2806" s="73"/>
      <c r="U2806" s="73"/>
      <c r="V2806" s="73"/>
      <c r="W2806" s="73"/>
      <c r="X2806" s="73"/>
      <c r="Y2806" s="73"/>
      <c r="Z2806" s="73"/>
      <c r="AA2806" s="73"/>
      <c r="AB2806" s="73"/>
    </row>
    <row r="2807">
      <c r="A2807" s="73"/>
      <c r="B2807" s="73">
        <v>1784974.338</v>
      </c>
      <c r="C2807" s="73">
        <v>1.89372696499809E8</v>
      </c>
      <c r="D2807" s="73">
        <v>7.84792602719969E7</v>
      </c>
      <c r="E2807" s="73">
        <v>1.02761842268695E7</v>
      </c>
      <c r="F2807" s="73"/>
      <c r="G2807" s="73"/>
      <c r="H2807" s="73"/>
      <c r="I2807" s="73"/>
      <c r="J2807" s="73"/>
      <c r="K2807" s="73"/>
      <c r="L2807" s="73"/>
      <c r="M2807" s="73"/>
      <c r="N2807" s="73"/>
      <c r="O2807" s="73"/>
      <c r="P2807" s="73"/>
      <c r="Q2807" s="73"/>
      <c r="R2807" s="73"/>
      <c r="S2807" s="73"/>
      <c r="T2807" s="73"/>
      <c r="U2807" s="73"/>
      <c r="V2807" s="73"/>
      <c r="W2807" s="73"/>
      <c r="X2807" s="73"/>
      <c r="Y2807" s="73"/>
      <c r="Z2807" s="73"/>
      <c r="AA2807" s="73"/>
      <c r="AB2807" s="73"/>
    </row>
    <row r="2808">
      <c r="A2808" s="73"/>
      <c r="B2808" s="73">
        <v>1787516.33</v>
      </c>
      <c r="C2808" s="73">
        <v>1.89556464974705E8</v>
      </c>
      <c r="D2808" s="73">
        <v>7.85756599639979E7</v>
      </c>
      <c r="E2808" s="73">
        <v>1.02883918876655E7</v>
      </c>
      <c r="F2808" s="73"/>
      <c r="G2808" s="73"/>
      <c r="H2808" s="73"/>
      <c r="I2808" s="73"/>
      <c r="J2808" s="73"/>
      <c r="K2808" s="73"/>
      <c r="L2808" s="73"/>
      <c r="M2808" s="73"/>
      <c r="N2808" s="73"/>
      <c r="O2808" s="73"/>
      <c r="P2808" s="73"/>
      <c r="Q2808" s="73"/>
      <c r="R2808" s="73"/>
      <c r="S2808" s="73"/>
      <c r="T2808" s="73"/>
      <c r="U2808" s="73"/>
      <c r="V2808" s="73"/>
      <c r="W2808" s="73"/>
      <c r="X2808" s="73"/>
      <c r="Y2808" s="73"/>
      <c r="Z2808" s="73"/>
      <c r="AA2808" s="73"/>
      <c r="AB2808" s="73"/>
    </row>
    <row r="2809">
      <c r="A2809" s="73"/>
      <c r="B2809" s="73">
        <v>1790061.399</v>
      </c>
      <c r="C2809" s="73">
        <v>1.89740299369598E8</v>
      </c>
      <c r="D2809" s="73">
        <v>7.86721371359988E7</v>
      </c>
      <c r="E2809" s="73">
        <v>1.03006128551708E7</v>
      </c>
      <c r="F2809" s="73"/>
      <c r="G2809" s="73"/>
      <c r="H2809" s="73"/>
      <c r="I2809" s="73"/>
      <c r="J2809" s="73"/>
      <c r="K2809" s="73"/>
      <c r="L2809" s="73"/>
      <c r="M2809" s="73"/>
      <c r="N2809" s="73"/>
      <c r="O2809" s="73"/>
      <c r="P2809" s="73"/>
      <c r="Q2809" s="73"/>
      <c r="R2809" s="73"/>
      <c r="S2809" s="73"/>
      <c r="T2809" s="73"/>
      <c r="U2809" s="73"/>
      <c r="V2809" s="73"/>
      <c r="W2809" s="73"/>
      <c r="X2809" s="73"/>
      <c r="Y2809" s="73"/>
      <c r="Z2809" s="73"/>
      <c r="AA2809" s="73"/>
      <c r="AB2809" s="73"/>
    </row>
    <row r="2810">
      <c r="A2810" s="73"/>
      <c r="B2810" s="73">
        <v>1792609.572</v>
      </c>
      <c r="C2810" s="73">
        <v>1.89924282084488E8</v>
      </c>
      <c r="D2810" s="73">
        <v>7.87686918759997E7</v>
      </c>
      <c r="E2810" s="73">
        <v>1.03128481850923E7</v>
      </c>
      <c r="F2810" s="73"/>
      <c r="G2810" s="73"/>
      <c r="H2810" s="73"/>
      <c r="I2810" s="73"/>
      <c r="J2810" s="73"/>
      <c r="K2810" s="73"/>
      <c r="L2810" s="73"/>
      <c r="M2810" s="73"/>
      <c r="N2810" s="73"/>
      <c r="O2810" s="73"/>
      <c r="P2810" s="73"/>
      <c r="Q2810" s="73"/>
      <c r="R2810" s="73"/>
      <c r="S2810" s="73"/>
      <c r="T2810" s="73"/>
      <c r="U2810" s="73"/>
      <c r="V2810" s="73"/>
      <c r="W2810" s="73"/>
      <c r="X2810" s="73"/>
      <c r="Y2810" s="73"/>
      <c r="Z2810" s="73"/>
      <c r="AA2810" s="73"/>
      <c r="AB2810" s="73"/>
    </row>
    <row r="2811">
      <c r="A2811" s="73"/>
      <c r="B2811" s="73">
        <v>1795160.843</v>
      </c>
      <c r="C2811" s="73">
        <v>1.90108380159374E8</v>
      </c>
      <c r="D2811" s="73">
        <v>7.88653240240006E7</v>
      </c>
      <c r="E2811" s="73">
        <v>1.03250963052911E7</v>
      </c>
      <c r="F2811" s="73"/>
      <c r="G2811" s="73"/>
      <c r="H2811" s="73"/>
      <c r="I2811" s="73"/>
      <c r="J2811" s="73"/>
      <c r="K2811" s="73"/>
      <c r="L2811" s="73"/>
      <c r="M2811" s="73"/>
      <c r="N2811" s="73"/>
      <c r="O2811" s="73"/>
      <c r="P2811" s="73"/>
      <c r="Q2811" s="73"/>
      <c r="R2811" s="73"/>
      <c r="S2811" s="73"/>
      <c r="T2811" s="73"/>
      <c r="U2811" s="73"/>
      <c r="V2811" s="73"/>
      <c r="W2811" s="73"/>
      <c r="X2811" s="73"/>
      <c r="Y2811" s="73"/>
      <c r="Z2811" s="73"/>
      <c r="AA2811" s="73"/>
      <c r="AB2811" s="73"/>
    </row>
    <row r="2812">
      <c r="A2812" s="73"/>
      <c r="B2812" s="73">
        <v>1797715.177</v>
      </c>
      <c r="C2812" s="73">
        <v>1.90292577114258E8</v>
      </c>
      <c r="D2812" s="73">
        <v>7.89620338039939E7</v>
      </c>
      <c r="E2812" s="73">
        <v>1.03373584579812E7</v>
      </c>
      <c r="F2812" s="73"/>
      <c r="G2812" s="73"/>
      <c r="H2812" s="73"/>
      <c r="I2812" s="73"/>
      <c r="J2812" s="73"/>
      <c r="K2812" s="73"/>
      <c r="L2812" s="73"/>
      <c r="M2812" s="73"/>
      <c r="N2812" s="73"/>
      <c r="O2812" s="73"/>
      <c r="P2812" s="73"/>
      <c r="Q2812" s="73"/>
      <c r="R2812" s="73"/>
      <c r="S2812" s="73"/>
      <c r="T2812" s="73"/>
      <c r="U2812" s="73"/>
      <c r="V2812" s="73"/>
      <c r="W2812" s="73"/>
      <c r="X2812" s="73"/>
      <c r="Y2812" s="73"/>
      <c r="Z2812" s="73"/>
      <c r="AA2812" s="73"/>
      <c r="AB2812" s="73"/>
    </row>
    <row r="2813">
      <c r="A2813" s="73"/>
      <c r="B2813" s="73">
        <v>1800272.595</v>
      </c>
      <c r="C2813" s="73">
        <v>1.90476872949139E8</v>
      </c>
      <c r="D2813" s="73">
        <v>7.90588211519948E7</v>
      </c>
      <c r="E2813" s="73">
        <v>1.03496334194986E7</v>
      </c>
      <c r="F2813" s="73"/>
      <c r="G2813" s="73"/>
      <c r="H2813" s="73"/>
      <c r="I2813" s="73"/>
      <c r="J2813" s="73"/>
      <c r="K2813" s="73"/>
      <c r="L2813" s="73"/>
      <c r="M2813" s="73"/>
      <c r="N2813" s="73"/>
      <c r="O2813" s="73"/>
      <c r="P2813" s="73"/>
      <c r="Q2813" s="73"/>
      <c r="R2813" s="73"/>
      <c r="S2813" s="73"/>
      <c r="T2813" s="73"/>
      <c r="U2813" s="73"/>
      <c r="V2813" s="73"/>
      <c r="W2813" s="73"/>
      <c r="X2813" s="73"/>
      <c r="Y2813" s="73"/>
      <c r="Z2813" s="73"/>
      <c r="AA2813" s="73"/>
      <c r="AB2813" s="73"/>
    </row>
    <row r="2814">
      <c r="A2814" s="73"/>
      <c r="B2814" s="73">
        <v>1802833.137</v>
      </c>
      <c r="C2814" s="73">
        <v>1.90661284144016E8</v>
      </c>
      <c r="D2814" s="73">
        <v>7.91556807879957E7</v>
      </c>
      <c r="E2814" s="73">
        <v>1.03619220004252E7</v>
      </c>
      <c r="F2814" s="73"/>
      <c r="G2814" s="73"/>
      <c r="H2814" s="73"/>
      <c r="I2814" s="73"/>
      <c r="J2814" s="73"/>
      <c r="K2814" s="73"/>
      <c r="L2814" s="73"/>
      <c r="M2814" s="73"/>
      <c r="N2814" s="73"/>
      <c r="O2814" s="73"/>
      <c r="P2814" s="73"/>
      <c r="Q2814" s="73"/>
      <c r="R2814" s="73"/>
      <c r="S2814" s="73"/>
      <c r="T2814" s="73"/>
      <c r="U2814" s="73"/>
      <c r="V2814" s="73"/>
      <c r="W2814" s="73"/>
      <c r="X2814" s="73"/>
      <c r="Y2814" s="73"/>
      <c r="Z2814" s="73"/>
      <c r="AA2814" s="73"/>
      <c r="AB2814" s="73"/>
    </row>
    <row r="2815">
      <c r="A2815" s="73"/>
      <c r="B2815" s="73">
        <v>1805396.784</v>
      </c>
      <c r="C2815" s="73">
        <v>1.9084584365889E8</v>
      </c>
      <c r="D2815" s="73">
        <v>7.92526232559966E7</v>
      </c>
      <c r="E2815" s="73">
        <v>1.03742246959931E7</v>
      </c>
      <c r="F2815" s="73"/>
      <c r="G2815" s="73"/>
      <c r="H2815" s="73"/>
      <c r="I2815" s="73"/>
      <c r="J2815" s="73"/>
      <c r="K2815" s="73"/>
      <c r="L2815" s="73"/>
      <c r="M2815" s="73"/>
      <c r="N2815" s="73"/>
      <c r="O2815" s="73"/>
      <c r="P2815" s="73"/>
      <c r="Q2815" s="73"/>
      <c r="R2815" s="73"/>
      <c r="S2815" s="73"/>
      <c r="T2815" s="73"/>
      <c r="U2815" s="73"/>
      <c r="V2815" s="73"/>
      <c r="W2815" s="73"/>
      <c r="X2815" s="73"/>
      <c r="Y2815" s="73"/>
      <c r="Z2815" s="73"/>
      <c r="AA2815" s="73"/>
      <c r="AB2815" s="73"/>
    </row>
    <row r="2816">
      <c r="A2816" s="73"/>
      <c r="B2816" s="73">
        <v>1807963.497</v>
      </c>
      <c r="C2816" s="73">
        <v>1.91030469093761E8</v>
      </c>
      <c r="D2816" s="73">
        <v>7.93496379399976E7</v>
      </c>
      <c r="E2816" s="73">
        <v>1.03865401553383E7</v>
      </c>
      <c r="F2816" s="73"/>
      <c r="G2816" s="73"/>
      <c r="H2816" s="73"/>
      <c r="I2816" s="73"/>
      <c r="J2816" s="73"/>
      <c r="K2816" s="73"/>
      <c r="L2816" s="73"/>
      <c r="M2816" s="73"/>
      <c r="N2816" s="73"/>
      <c r="O2816" s="73"/>
      <c r="P2816" s="73"/>
      <c r="Q2816" s="73"/>
      <c r="R2816" s="73"/>
      <c r="S2816" s="73"/>
      <c r="T2816" s="73"/>
      <c r="U2816" s="73"/>
      <c r="V2816" s="73"/>
      <c r="W2816" s="73"/>
      <c r="X2816" s="73"/>
      <c r="Y2816" s="73"/>
      <c r="Z2816" s="73"/>
      <c r="AA2816" s="73"/>
      <c r="AB2816" s="73"/>
    </row>
    <row r="2817">
      <c r="A2817" s="73"/>
      <c r="B2817" s="73">
        <v>1810533.293</v>
      </c>
      <c r="C2817" s="73">
        <v>1.91215242848629E8</v>
      </c>
      <c r="D2817" s="73">
        <v>7.94467302559985E7</v>
      </c>
      <c r="E2817" s="73">
        <v>1.03988691015927E7</v>
      </c>
      <c r="F2817" s="73"/>
      <c r="G2817" s="73"/>
      <c r="H2817" s="73"/>
      <c r="I2817" s="73"/>
      <c r="J2817" s="73"/>
      <c r="K2817" s="73"/>
      <c r="L2817" s="73"/>
      <c r="M2817" s="73"/>
      <c r="N2817" s="73"/>
      <c r="O2817" s="73"/>
      <c r="P2817" s="73"/>
      <c r="Q2817" s="73"/>
      <c r="R2817" s="73"/>
      <c r="S2817" s="73"/>
      <c r="T2817" s="73"/>
      <c r="U2817" s="73"/>
      <c r="V2817" s="73"/>
      <c r="W2817" s="73"/>
      <c r="X2817" s="73"/>
      <c r="Y2817" s="73"/>
      <c r="Z2817" s="73"/>
      <c r="AA2817" s="73"/>
      <c r="AB2817" s="73"/>
    </row>
    <row r="2818">
      <c r="A2818" s="73"/>
      <c r="B2818" s="73">
        <v>1813106.183</v>
      </c>
      <c r="C2818" s="73">
        <v>1.91400131963493E8</v>
      </c>
      <c r="D2818" s="73">
        <v>7.95439001399994E7</v>
      </c>
      <c r="E2818" s="73">
        <v>1.04112122870384E7</v>
      </c>
      <c r="F2818" s="73"/>
      <c r="G2818" s="73"/>
      <c r="H2818" s="73"/>
      <c r="I2818" s="73"/>
      <c r="J2818" s="73"/>
      <c r="K2818" s="73"/>
      <c r="L2818" s="73"/>
      <c r="M2818" s="73"/>
      <c r="N2818" s="73"/>
      <c r="O2818" s="73"/>
      <c r="P2818" s="73"/>
      <c r="Q2818" s="73"/>
      <c r="R2818" s="73"/>
      <c r="S2818" s="73"/>
      <c r="T2818" s="73"/>
      <c r="U2818" s="73"/>
      <c r="V2818" s="73"/>
      <c r="W2818" s="73"/>
      <c r="X2818" s="73"/>
      <c r="Y2818" s="73"/>
      <c r="Z2818" s="73"/>
      <c r="AA2818" s="73"/>
      <c r="AB2818" s="73"/>
    </row>
    <row r="2819">
      <c r="A2819" s="73"/>
      <c r="B2819" s="73">
        <v>1815682.222</v>
      </c>
      <c r="C2819" s="73">
        <v>1.91585119958355E8</v>
      </c>
      <c r="D2819" s="73">
        <v>7.96411474320003E7</v>
      </c>
      <c r="E2819" s="73">
        <v>1.04235683820114E7</v>
      </c>
      <c r="F2819" s="73"/>
      <c r="G2819" s="73"/>
      <c r="H2819" s="73"/>
      <c r="I2819" s="73"/>
      <c r="J2819" s="73"/>
      <c r="K2819" s="73"/>
      <c r="L2819" s="73"/>
      <c r="M2819" s="73"/>
      <c r="N2819" s="73"/>
      <c r="O2819" s="73"/>
      <c r="P2819" s="73"/>
      <c r="Q2819" s="73"/>
      <c r="R2819" s="73"/>
      <c r="S2819" s="73"/>
      <c r="T2819" s="73"/>
      <c r="U2819" s="73"/>
      <c r="V2819" s="73"/>
      <c r="W2819" s="73"/>
      <c r="X2819" s="73"/>
      <c r="Y2819" s="73"/>
      <c r="Z2819" s="73"/>
      <c r="AA2819" s="73"/>
      <c r="AB2819" s="73"/>
    </row>
    <row r="2820">
      <c r="A2820" s="73"/>
      <c r="B2820" s="73">
        <v>1818261.348</v>
      </c>
      <c r="C2820" s="73">
        <v>1.91770206833214E8</v>
      </c>
      <c r="D2820" s="73">
        <v>7.97384774040012E7</v>
      </c>
      <c r="E2820" s="73">
        <v>1.04359380248437E7</v>
      </c>
      <c r="F2820" s="73"/>
      <c r="G2820" s="73"/>
      <c r="H2820" s="73"/>
      <c r="I2820" s="73"/>
      <c r="J2820" s="73"/>
      <c r="K2820" s="73"/>
      <c r="L2820" s="73"/>
      <c r="M2820" s="73"/>
      <c r="N2820" s="73"/>
      <c r="O2820" s="73"/>
      <c r="P2820" s="73"/>
      <c r="Q2820" s="73"/>
      <c r="R2820" s="73"/>
      <c r="S2820" s="73"/>
      <c r="T2820" s="73"/>
      <c r="U2820" s="73"/>
      <c r="V2820" s="73"/>
      <c r="W2820" s="73"/>
      <c r="X2820" s="73"/>
      <c r="Y2820" s="73"/>
      <c r="Z2820" s="73"/>
      <c r="AA2820" s="73"/>
      <c r="AB2820" s="73"/>
    </row>
    <row r="2821">
      <c r="A2821" s="73"/>
      <c r="B2821" s="73">
        <v>1820843.542</v>
      </c>
      <c r="C2821" s="73">
        <v>1.91955425548069E8</v>
      </c>
      <c r="D2821" s="73">
        <v>7.98358798959945E7</v>
      </c>
      <c r="E2821" s="73">
        <v>1.04483210671352E7</v>
      </c>
      <c r="F2821" s="73"/>
      <c r="G2821" s="73"/>
      <c r="H2821" s="73"/>
      <c r="I2821" s="73"/>
      <c r="J2821" s="73"/>
      <c r="K2821" s="73"/>
      <c r="L2821" s="73"/>
      <c r="M2821" s="73"/>
      <c r="N2821" s="73"/>
      <c r="O2821" s="73"/>
      <c r="P2821" s="73"/>
      <c r="Q2821" s="73"/>
      <c r="R2821" s="73"/>
      <c r="S2821" s="73"/>
      <c r="T2821" s="73"/>
      <c r="U2821" s="73"/>
      <c r="V2821" s="73"/>
      <c r="W2821" s="73"/>
      <c r="X2821" s="73"/>
      <c r="Y2821" s="73"/>
      <c r="Z2821" s="73"/>
      <c r="AA2821" s="73"/>
      <c r="AB2821" s="73"/>
    </row>
    <row r="2822">
      <c r="A2822" s="73"/>
      <c r="B2822" s="73">
        <v>1823428.876</v>
      </c>
      <c r="C2822" s="73">
        <v>1.92140759622921E8</v>
      </c>
      <c r="D2822" s="73">
        <v>7.99333546759954E7</v>
      </c>
      <c r="E2822" s="73">
        <v>1.0460718748768E7</v>
      </c>
      <c r="F2822" s="73"/>
      <c r="G2822" s="73"/>
      <c r="H2822" s="73"/>
      <c r="I2822" s="73"/>
      <c r="J2822" s="73"/>
      <c r="K2822" s="73"/>
      <c r="L2822" s="73"/>
      <c r="M2822" s="73"/>
      <c r="N2822" s="73"/>
      <c r="O2822" s="73"/>
      <c r="P2822" s="73"/>
      <c r="Q2822" s="73"/>
      <c r="R2822" s="73"/>
      <c r="S2822" s="73"/>
      <c r="T2822" s="73"/>
      <c r="U2822" s="73"/>
      <c r="V2822" s="73"/>
      <c r="W2822" s="73"/>
      <c r="X2822" s="73"/>
      <c r="Y2822" s="73"/>
      <c r="Z2822" s="73"/>
      <c r="AA2822" s="73"/>
      <c r="AB2822" s="73"/>
    </row>
    <row r="2823">
      <c r="A2823" s="73"/>
      <c r="B2823" s="73">
        <v>1826017.258</v>
      </c>
      <c r="C2823" s="73">
        <v>1.9232619257777E8</v>
      </c>
      <c r="D2823" s="73">
        <v>8.00309122159963E7</v>
      </c>
      <c r="E2823" s="73">
        <v>1.04731289503781E7</v>
      </c>
      <c r="F2823" s="73"/>
      <c r="G2823" s="73"/>
      <c r="H2823" s="73"/>
      <c r="I2823" s="73"/>
      <c r="J2823" s="73"/>
      <c r="K2823" s="73"/>
      <c r="L2823" s="73"/>
      <c r="M2823" s="73"/>
      <c r="N2823" s="73"/>
      <c r="O2823" s="73"/>
      <c r="P2823" s="73"/>
      <c r="Q2823" s="73"/>
      <c r="R2823" s="73"/>
      <c r="S2823" s="73"/>
      <c r="T2823" s="73"/>
      <c r="U2823" s="73"/>
      <c r="V2823" s="73"/>
      <c r="W2823" s="73"/>
      <c r="X2823" s="73"/>
      <c r="Y2823" s="73"/>
      <c r="Z2823" s="73"/>
      <c r="AA2823" s="73"/>
      <c r="AB2823" s="73"/>
    </row>
    <row r="2824">
      <c r="A2824" s="73"/>
      <c r="B2824" s="73">
        <v>1828608.754</v>
      </c>
      <c r="C2824" s="73">
        <v>1.92511757372616E8</v>
      </c>
      <c r="D2824" s="73">
        <v>8.01285472359973E7</v>
      </c>
      <c r="E2824" s="73">
        <v>1.04855528879974E7</v>
      </c>
      <c r="F2824" s="73"/>
      <c r="G2824" s="73"/>
      <c r="H2824" s="73"/>
      <c r="I2824" s="73"/>
      <c r="J2824" s="73"/>
      <c r="K2824" s="73"/>
      <c r="L2824" s="73"/>
      <c r="M2824" s="73"/>
      <c r="N2824" s="73"/>
      <c r="O2824" s="73"/>
      <c r="P2824" s="73"/>
      <c r="Q2824" s="73"/>
      <c r="R2824" s="73"/>
      <c r="S2824" s="73"/>
      <c r="T2824" s="73"/>
      <c r="U2824" s="73"/>
      <c r="V2824" s="73"/>
      <c r="W2824" s="73"/>
      <c r="X2824" s="73"/>
      <c r="Y2824" s="73"/>
      <c r="Z2824" s="73"/>
      <c r="AA2824" s="73"/>
      <c r="AB2824" s="73"/>
    </row>
    <row r="2825">
      <c r="A2825" s="73"/>
      <c r="B2825" s="73">
        <v>1831203.404</v>
      </c>
      <c r="C2825" s="73">
        <v>1.92697404567459E8</v>
      </c>
      <c r="D2825" s="73">
        <v>8.02262598239982E7</v>
      </c>
      <c r="E2825" s="73">
        <v>1.0497990180026E7</v>
      </c>
      <c r="F2825" s="73"/>
      <c r="G2825" s="73"/>
      <c r="H2825" s="73"/>
      <c r="I2825" s="73"/>
      <c r="J2825" s="73"/>
      <c r="K2825" s="73"/>
      <c r="L2825" s="73"/>
      <c r="M2825" s="73"/>
      <c r="N2825" s="73"/>
      <c r="O2825" s="73"/>
      <c r="P2825" s="73"/>
      <c r="Q2825" s="73"/>
      <c r="R2825" s="73"/>
      <c r="S2825" s="73"/>
      <c r="T2825" s="73"/>
      <c r="U2825" s="73"/>
      <c r="V2825" s="73"/>
      <c r="W2825" s="73"/>
      <c r="X2825" s="73"/>
      <c r="Y2825" s="73"/>
      <c r="Z2825" s="73"/>
      <c r="AA2825" s="73"/>
      <c r="AB2825" s="73"/>
    </row>
    <row r="2826">
      <c r="A2826" s="73"/>
      <c r="B2826" s="73">
        <v>1833801.133</v>
      </c>
      <c r="C2826" s="73">
        <v>1.92883183602299E8</v>
      </c>
      <c r="D2826" s="73">
        <v>8.03240498199991E7</v>
      </c>
      <c r="E2826" s="73">
        <v>1.05104419364959E7</v>
      </c>
      <c r="F2826" s="73"/>
      <c r="G2826" s="73"/>
      <c r="H2826" s="73"/>
      <c r="I2826" s="73"/>
      <c r="J2826" s="73"/>
      <c r="K2826" s="73"/>
      <c r="L2826" s="73"/>
      <c r="M2826" s="73"/>
      <c r="N2826" s="73"/>
      <c r="O2826" s="73"/>
      <c r="P2826" s="73"/>
      <c r="Q2826" s="73"/>
      <c r="R2826" s="73"/>
      <c r="S2826" s="73"/>
      <c r="T2826" s="73"/>
      <c r="U2826" s="73"/>
      <c r="V2826" s="73"/>
      <c r="W2826" s="73"/>
      <c r="X2826" s="73"/>
      <c r="Y2826" s="73"/>
      <c r="Z2826" s="73"/>
      <c r="AA2826" s="73"/>
      <c r="AB2826" s="73"/>
    </row>
    <row r="2827">
      <c r="A2827" s="73"/>
      <c r="B2827" s="73">
        <v>1836401.999</v>
      </c>
      <c r="C2827" s="73">
        <v>1.93069077997135E8</v>
      </c>
      <c r="D2827" s="73">
        <v>8.0421917528E7</v>
      </c>
      <c r="E2827" s="73">
        <v>1.0522906631643E7</v>
      </c>
      <c r="F2827" s="73"/>
      <c r="G2827" s="73"/>
      <c r="H2827" s="73"/>
      <c r="I2827" s="73"/>
      <c r="J2827" s="73"/>
      <c r="K2827" s="73"/>
      <c r="L2827" s="73"/>
      <c r="M2827" s="73"/>
      <c r="N2827" s="73"/>
      <c r="O2827" s="73"/>
      <c r="P2827" s="73"/>
      <c r="Q2827" s="73"/>
      <c r="R2827" s="73"/>
      <c r="S2827" s="73"/>
      <c r="T2827" s="73"/>
      <c r="U2827" s="73"/>
      <c r="V2827" s="73"/>
      <c r="W2827" s="73"/>
      <c r="X2827" s="73"/>
      <c r="Y2827" s="73"/>
      <c r="Z2827" s="73"/>
      <c r="AA2827" s="73"/>
      <c r="AB2827" s="73"/>
    </row>
    <row r="2828">
      <c r="A2828" s="73"/>
      <c r="B2828" s="73">
        <v>1839005.921</v>
      </c>
      <c r="C2828" s="73">
        <v>1.93255104231968E8</v>
      </c>
      <c r="D2828" s="73">
        <v>8.05198575240009E7</v>
      </c>
      <c r="E2828" s="73">
        <v>1.05353848693494E7</v>
      </c>
      <c r="F2828" s="73"/>
      <c r="G2828" s="73"/>
      <c r="H2828" s="73"/>
      <c r="I2828" s="73"/>
      <c r="J2828" s="73"/>
      <c r="K2828" s="73"/>
      <c r="L2828" s="73"/>
      <c r="M2828" s="73"/>
      <c r="N2828" s="73"/>
      <c r="O2828" s="73"/>
      <c r="P2828" s="73"/>
      <c r="Q2828" s="73"/>
      <c r="R2828" s="73"/>
      <c r="S2828" s="73"/>
      <c r="T2828" s="73"/>
      <c r="U2828" s="73"/>
      <c r="V2828" s="73"/>
      <c r="W2828" s="73"/>
      <c r="X2828" s="73"/>
      <c r="Y2828" s="73"/>
      <c r="Z2828" s="73"/>
      <c r="AA2828" s="73"/>
      <c r="AB2828" s="73"/>
    </row>
    <row r="2829">
      <c r="A2829" s="73"/>
      <c r="B2829" s="73">
        <v>1841612.979</v>
      </c>
      <c r="C2829" s="73">
        <v>1.93441212866798E8</v>
      </c>
      <c r="D2829" s="73">
        <v>8.06178802079942E7</v>
      </c>
      <c r="E2829" s="73">
        <v>1.05478767556151E7</v>
      </c>
      <c r="F2829" s="73"/>
      <c r="G2829" s="73"/>
      <c r="H2829" s="73"/>
      <c r="I2829" s="73"/>
      <c r="J2829" s="73"/>
      <c r="K2829" s="73"/>
      <c r="L2829" s="73"/>
      <c r="M2829" s="73"/>
      <c r="N2829" s="73"/>
      <c r="O2829" s="73"/>
      <c r="P2829" s="73"/>
      <c r="Q2829" s="73"/>
      <c r="R2829" s="73"/>
      <c r="S2829" s="73"/>
      <c r="T2829" s="73"/>
      <c r="U2829" s="73"/>
      <c r="V2829" s="73"/>
      <c r="W2829" s="73"/>
      <c r="X2829" s="73"/>
      <c r="Y2829" s="73"/>
      <c r="Z2829" s="73"/>
      <c r="AA2829" s="73"/>
      <c r="AB2829" s="73"/>
    </row>
    <row r="2830">
      <c r="A2830" s="73"/>
      <c r="B2830" s="73">
        <v>1844223.137</v>
      </c>
      <c r="C2830" s="73">
        <v>1.93627436861626E8</v>
      </c>
      <c r="D2830" s="73">
        <v>8.07159803719951E7</v>
      </c>
      <c r="E2830" s="73">
        <v>1.0560382992372E7</v>
      </c>
      <c r="F2830" s="73"/>
      <c r="G2830" s="73"/>
      <c r="H2830" s="73"/>
      <c r="I2830" s="73"/>
      <c r="J2830" s="73"/>
      <c r="K2830" s="73"/>
      <c r="L2830" s="73"/>
      <c r="M2830" s="73"/>
      <c r="N2830" s="73"/>
      <c r="O2830" s="73"/>
      <c r="P2830" s="73"/>
      <c r="Q2830" s="73"/>
      <c r="R2830" s="73"/>
      <c r="S2830" s="73"/>
      <c r="T2830" s="73"/>
      <c r="U2830" s="73"/>
      <c r="V2830" s="73"/>
      <c r="W2830" s="73"/>
      <c r="X2830" s="73"/>
      <c r="Y2830" s="73"/>
      <c r="Z2830" s="73"/>
      <c r="AA2830" s="73"/>
      <c r="AB2830" s="73"/>
    </row>
    <row r="2831">
      <c r="A2831" s="73"/>
      <c r="B2831" s="73">
        <v>1846836.442</v>
      </c>
      <c r="C2831" s="73">
        <v>1.93813809176449E8</v>
      </c>
      <c r="D2831" s="73">
        <v>8.0814153055996E7</v>
      </c>
      <c r="E2831" s="73">
        <v>1.05729020803562E7</v>
      </c>
      <c r="F2831" s="73"/>
      <c r="G2831" s="73"/>
      <c r="H2831" s="73"/>
      <c r="I2831" s="73"/>
      <c r="J2831" s="73"/>
      <c r="K2831" s="73"/>
      <c r="L2831" s="73"/>
      <c r="M2831" s="73"/>
      <c r="N2831" s="73"/>
      <c r="O2831" s="73"/>
      <c r="P2831" s="73"/>
      <c r="Q2831" s="73"/>
      <c r="R2831" s="73"/>
      <c r="S2831" s="73"/>
      <c r="T2831" s="73"/>
      <c r="U2831" s="73"/>
      <c r="V2831" s="73"/>
      <c r="W2831" s="73"/>
      <c r="X2831" s="73"/>
      <c r="Y2831" s="73"/>
      <c r="Z2831" s="73"/>
      <c r="AA2831" s="73"/>
      <c r="AB2831" s="73"/>
    </row>
    <row r="2832">
      <c r="A2832" s="73"/>
      <c r="B2832" s="73">
        <v>1849452.82</v>
      </c>
      <c r="C2832" s="73">
        <v>1.9400024741127E8</v>
      </c>
      <c r="D2832" s="73">
        <v>8.09124083399969E7</v>
      </c>
      <c r="E2832" s="73">
        <v>1.05854347479996E7</v>
      </c>
      <c r="F2832" s="73"/>
      <c r="G2832" s="73"/>
      <c r="H2832" s="73"/>
      <c r="I2832" s="73"/>
      <c r="J2832" s="73"/>
      <c r="K2832" s="73"/>
      <c r="L2832" s="73"/>
      <c r="M2832" s="73"/>
      <c r="N2832" s="73"/>
      <c r="O2832" s="73"/>
      <c r="P2832" s="73"/>
      <c r="Q2832" s="73"/>
      <c r="R2832" s="73"/>
      <c r="S2832" s="73"/>
      <c r="T2832" s="73"/>
      <c r="U2832" s="73"/>
      <c r="V2832" s="73"/>
      <c r="W2832" s="73"/>
      <c r="X2832" s="73"/>
      <c r="Y2832" s="73"/>
      <c r="Z2832" s="73"/>
      <c r="AA2832" s="73"/>
      <c r="AB2832" s="73"/>
    </row>
    <row r="2833">
      <c r="A2833" s="73"/>
      <c r="B2833" s="73">
        <v>1852072.328</v>
      </c>
      <c r="C2833" s="73">
        <v>1.94186817486088E8</v>
      </c>
      <c r="D2833" s="73">
        <v>8.10107411199979E7</v>
      </c>
      <c r="E2833" s="73">
        <v>1.05979812073024E7</v>
      </c>
      <c r="F2833" s="73"/>
      <c r="G2833" s="73"/>
      <c r="H2833" s="73"/>
      <c r="I2833" s="73"/>
      <c r="J2833" s="73"/>
      <c r="K2833" s="73"/>
      <c r="L2833" s="73"/>
      <c r="M2833" s="73"/>
      <c r="N2833" s="73"/>
      <c r="O2833" s="73"/>
      <c r="P2833" s="73"/>
      <c r="Q2833" s="73"/>
      <c r="R2833" s="73"/>
      <c r="S2833" s="73"/>
      <c r="T2833" s="73"/>
      <c r="U2833" s="73"/>
      <c r="V2833" s="73"/>
      <c r="W2833" s="73"/>
      <c r="X2833" s="73"/>
      <c r="Y2833" s="73"/>
      <c r="Z2833" s="73"/>
      <c r="AA2833" s="73"/>
      <c r="AB2833" s="73"/>
    </row>
    <row r="2834">
      <c r="A2834" s="73"/>
      <c r="B2834" s="73">
        <v>1854694.951</v>
      </c>
      <c r="C2834" s="73">
        <v>1.94373519400902E8</v>
      </c>
      <c r="D2834" s="73">
        <v>8.11091463319988E7</v>
      </c>
      <c r="E2834" s="73">
        <v>1.06105420356463E7</v>
      </c>
      <c r="F2834" s="73"/>
      <c r="G2834" s="73"/>
      <c r="H2834" s="73"/>
      <c r="I2834" s="73"/>
      <c r="J2834" s="73"/>
      <c r="K2834" s="73"/>
      <c r="L2834" s="73"/>
      <c r="M2834" s="73"/>
      <c r="N2834" s="73"/>
      <c r="O2834" s="73"/>
      <c r="P2834" s="73"/>
      <c r="Q2834" s="73"/>
      <c r="R2834" s="73"/>
      <c r="S2834" s="73"/>
      <c r="T2834" s="73"/>
      <c r="U2834" s="73"/>
      <c r="V2834" s="73"/>
      <c r="W2834" s="73"/>
      <c r="X2834" s="73"/>
      <c r="Y2834" s="73"/>
      <c r="Z2834" s="73"/>
      <c r="AA2834" s="73"/>
      <c r="AB2834" s="73"/>
    </row>
    <row r="2835">
      <c r="A2835" s="73"/>
      <c r="B2835" s="73">
        <v>1857320.707</v>
      </c>
      <c r="C2835" s="73">
        <v>1.94560320195713E8</v>
      </c>
      <c r="D2835" s="73">
        <v>8.12076342319997E7</v>
      </c>
      <c r="E2835" s="73">
        <v>1.06231157337676E7</v>
      </c>
      <c r="F2835" s="73"/>
      <c r="G2835" s="73"/>
      <c r="H2835" s="73"/>
      <c r="I2835" s="73"/>
      <c r="J2835" s="73"/>
      <c r="K2835" s="73"/>
      <c r="L2835" s="73"/>
      <c r="M2835" s="73"/>
      <c r="N2835" s="73"/>
      <c r="O2835" s="73"/>
      <c r="P2835" s="73"/>
      <c r="Q2835" s="73"/>
      <c r="R2835" s="73"/>
      <c r="S2835" s="73"/>
      <c r="T2835" s="73"/>
      <c r="U2835" s="73"/>
      <c r="V2835" s="73"/>
      <c r="W2835" s="73"/>
      <c r="X2835" s="73"/>
      <c r="Y2835" s="73"/>
      <c r="Z2835" s="73"/>
      <c r="AA2835" s="73"/>
      <c r="AB2835" s="73"/>
    </row>
    <row r="2836">
      <c r="A2836" s="73"/>
      <c r="B2836" s="73">
        <v>1859949.565</v>
      </c>
      <c r="C2836" s="73">
        <v>1.94747219870522E8</v>
      </c>
      <c r="D2836" s="73">
        <v>8.13061996120006E7</v>
      </c>
      <c r="E2836" s="73">
        <v>1.06357032182481E7</v>
      </c>
      <c r="F2836" s="73"/>
      <c r="G2836" s="73"/>
      <c r="H2836" s="73"/>
      <c r="I2836" s="73"/>
      <c r="J2836" s="73"/>
      <c r="K2836" s="73"/>
      <c r="L2836" s="73"/>
      <c r="M2836" s="73"/>
      <c r="N2836" s="73"/>
      <c r="O2836" s="73"/>
      <c r="P2836" s="73"/>
      <c r="Q2836" s="73"/>
      <c r="R2836" s="73"/>
      <c r="S2836" s="73"/>
      <c r="T2836" s="73"/>
      <c r="U2836" s="73"/>
      <c r="V2836" s="73"/>
      <c r="W2836" s="73"/>
      <c r="X2836" s="73"/>
      <c r="Y2836" s="73"/>
      <c r="Z2836" s="73"/>
      <c r="AA2836" s="73"/>
      <c r="AB2836" s="73"/>
    </row>
    <row r="2837">
      <c r="A2837" s="73"/>
      <c r="B2837" s="73">
        <v>1862581.524</v>
      </c>
      <c r="C2837" s="73">
        <v>1.94934251385326E8</v>
      </c>
      <c r="D2837" s="73">
        <v>8.14048425599939E7</v>
      </c>
      <c r="E2837" s="73">
        <v>1.06483050717698E7</v>
      </c>
      <c r="F2837" s="73"/>
      <c r="G2837" s="73"/>
      <c r="H2837" s="73"/>
      <c r="I2837" s="73"/>
      <c r="J2837" s="73"/>
      <c r="K2837" s="73"/>
      <c r="L2837" s="73"/>
      <c r="M2837" s="73"/>
      <c r="N2837" s="73"/>
      <c r="O2837" s="73"/>
      <c r="P2837" s="73"/>
      <c r="Q2837" s="73"/>
      <c r="R2837" s="73"/>
      <c r="S2837" s="73"/>
      <c r="T2837" s="73"/>
      <c r="U2837" s="73"/>
      <c r="V2837" s="73"/>
      <c r="W2837" s="73"/>
      <c r="X2837" s="73"/>
      <c r="Y2837" s="73"/>
      <c r="Z2837" s="73"/>
      <c r="AA2837" s="73"/>
      <c r="AB2837" s="73"/>
    </row>
    <row r="2838">
      <c r="A2838" s="73"/>
      <c r="B2838" s="73">
        <v>1865216.616</v>
      </c>
      <c r="C2838" s="73">
        <v>1.95121398260128E8</v>
      </c>
      <c r="D2838" s="73">
        <v>8.15035578679948E7</v>
      </c>
      <c r="E2838" s="73">
        <v>1.06609199567188E7</v>
      </c>
      <c r="F2838" s="73"/>
      <c r="G2838" s="73"/>
      <c r="H2838" s="73"/>
      <c r="I2838" s="73"/>
      <c r="J2838" s="73"/>
      <c r="K2838" s="73"/>
      <c r="L2838" s="73"/>
      <c r="M2838" s="73"/>
      <c r="N2838" s="73"/>
      <c r="O2838" s="73"/>
      <c r="P2838" s="73"/>
      <c r="Q2838" s="73"/>
      <c r="R2838" s="73"/>
      <c r="S2838" s="73"/>
      <c r="T2838" s="73"/>
      <c r="U2838" s="73"/>
      <c r="V2838" s="73"/>
      <c r="W2838" s="73"/>
      <c r="X2838" s="73"/>
      <c r="Y2838" s="73"/>
      <c r="Z2838" s="73"/>
      <c r="AA2838" s="73"/>
      <c r="AB2838" s="73"/>
    </row>
    <row r="2839">
      <c r="A2839" s="73"/>
      <c r="B2839" s="73">
        <v>1867854.879</v>
      </c>
      <c r="C2839" s="73">
        <v>1.95308644014927E8</v>
      </c>
      <c r="D2839" s="73">
        <v>8.16023559359957E7</v>
      </c>
      <c r="E2839" s="73">
        <v>1.06735483338771E7</v>
      </c>
      <c r="F2839" s="73"/>
      <c r="G2839" s="73"/>
      <c r="H2839" s="73"/>
      <c r="I2839" s="73"/>
      <c r="J2839" s="73"/>
      <c r="K2839" s="73"/>
      <c r="L2839" s="73"/>
      <c r="M2839" s="73"/>
      <c r="N2839" s="73"/>
      <c r="O2839" s="73"/>
      <c r="P2839" s="73"/>
      <c r="Q2839" s="73"/>
      <c r="R2839" s="73"/>
      <c r="S2839" s="73"/>
      <c r="T2839" s="73"/>
      <c r="U2839" s="73"/>
      <c r="V2839" s="73"/>
      <c r="W2839" s="73"/>
      <c r="X2839" s="73"/>
      <c r="Y2839" s="73"/>
      <c r="Z2839" s="73"/>
      <c r="AA2839" s="73"/>
      <c r="AB2839" s="73"/>
    </row>
    <row r="2840">
      <c r="A2840" s="73"/>
      <c r="B2840" s="73">
        <v>1870496.203</v>
      </c>
      <c r="C2840" s="73">
        <v>1.95496021609722E8</v>
      </c>
      <c r="D2840" s="73">
        <v>8.17012314919966E7</v>
      </c>
      <c r="E2840" s="73">
        <v>1.06861912602766E7</v>
      </c>
      <c r="F2840" s="73"/>
      <c r="G2840" s="73"/>
      <c r="H2840" s="73"/>
      <c r="I2840" s="73"/>
      <c r="J2840" s="73"/>
      <c r="K2840" s="73"/>
      <c r="L2840" s="73"/>
      <c r="M2840" s="73"/>
      <c r="N2840" s="73"/>
      <c r="O2840" s="73"/>
      <c r="P2840" s="73"/>
      <c r="Q2840" s="73"/>
      <c r="R2840" s="73"/>
      <c r="S2840" s="73"/>
      <c r="T2840" s="73"/>
      <c r="U2840" s="73"/>
      <c r="V2840" s="73"/>
      <c r="W2840" s="73"/>
      <c r="X2840" s="73"/>
      <c r="Y2840" s="73"/>
      <c r="Z2840" s="73"/>
      <c r="AA2840" s="73"/>
      <c r="AB2840" s="73"/>
    </row>
    <row r="2841">
      <c r="A2841" s="73"/>
      <c r="B2841" s="73">
        <v>1873140.661</v>
      </c>
      <c r="C2841" s="73">
        <v>1.95683514564514E8</v>
      </c>
      <c r="D2841" s="73">
        <v>8.18001846079976E7</v>
      </c>
      <c r="E2841" s="73">
        <v>1.06988470750035E7</v>
      </c>
      <c r="F2841" s="73"/>
      <c r="G2841" s="73"/>
      <c r="H2841" s="73"/>
      <c r="I2841" s="73"/>
      <c r="J2841" s="73"/>
      <c r="K2841" s="73"/>
      <c r="L2841" s="73"/>
      <c r="M2841" s="73"/>
      <c r="N2841" s="73"/>
      <c r="O2841" s="73"/>
      <c r="P2841" s="73"/>
      <c r="Q2841" s="73"/>
      <c r="R2841" s="73"/>
      <c r="S2841" s="73"/>
      <c r="T2841" s="73"/>
      <c r="U2841" s="73"/>
      <c r="V2841" s="73"/>
      <c r="W2841" s="73"/>
      <c r="X2841" s="73"/>
      <c r="Y2841" s="73"/>
      <c r="Z2841" s="73"/>
      <c r="AA2841" s="73"/>
      <c r="AB2841" s="73"/>
    </row>
    <row r="2842">
      <c r="A2842" s="73"/>
      <c r="B2842" s="73">
        <v>1875788.294</v>
      </c>
      <c r="C2842" s="73">
        <v>1.95871089919304E8</v>
      </c>
      <c r="D2842" s="73">
        <v>8.18992151319985E7</v>
      </c>
      <c r="E2842" s="73">
        <v>1.07115169013395E7</v>
      </c>
      <c r="F2842" s="73"/>
      <c r="G2842" s="73"/>
      <c r="H2842" s="73"/>
      <c r="I2842" s="73"/>
      <c r="J2842" s="73"/>
      <c r="K2842" s="73"/>
      <c r="L2842" s="73"/>
      <c r="M2842" s="73"/>
      <c r="N2842" s="73"/>
      <c r="O2842" s="73"/>
      <c r="P2842" s="73"/>
      <c r="Q2842" s="73"/>
      <c r="R2842" s="73"/>
      <c r="S2842" s="73"/>
      <c r="T2842" s="73"/>
      <c r="U2842" s="73"/>
      <c r="V2842" s="73"/>
      <c r="W2842" s="73"/>
      <c r="X2842" s="73"/>
      <c r="Y2842" s="73"/>
      <c r="Z2842" s="73"/>
      <c r="AA2842" s="73"/>
      <c r="AB2842" s="73"/>
    </row>
    <row r="2843">
      <c r="A2843" s="73"/>
      <c r="B2843" s="73">
        <v>1878438.97</v>
      </c>
      <c r="C2843" s="73">
        <v>1.9605881359409E8</v>
      </c>
      <c r="D2843" s="73">
        <v>8.19983233679994E7</v>
      </c>
      <c r="E2843" s="73">
        <v>1.07242009191668E7</v>
      </c>
      <c r="F2843" s="73"/>
      <c r="G2843" s="73"/>
      <c r="H2843" s="73"/>
      <c r="I2843" s="73"/>
      <c r="J2843" s="73"/>
      <c r="K2843" s="73"/>
      <c r="L2843" s="73"/>
      <c r="M2843" s="73"/>
      <c r="N2843" s="73"/>
      <c r="O2843" s="73"/>
      <c r="P2843" s="73"/>
      <c r="Q2843" s="73"/>
      <c r="R2843" s="73"/>
      <c r="S2843" s="73"/>
      <c r="T2843" s="73"/>
      <c r="U2843" s="73"/>
      <c r="V2843" s="73"/>
      <c r="W2843" s="73"/>
      <c r="X2843" s="73"/>
      <c r="Y2843" s="73"/>
      <c r="Z2843" s="73"/>
      <c r="AA2843" s="73"/>
      <c r="AB2843" s="73"/>
    </row>
    <row r="2844">
      <c r="A2844" s="73"/>
      <c r="B2844" s="73">
        <v>1881092.805</v>
      </c>
      <c r="C2844" s="73">
        <v>1.96246636148872E8</v>
      </c>
      <c r="D2844" s="73">
        <v>8.20975090200003E7</v>
      </c>
      <c r="E2844" s="73">
        <v>1.07368981141714E7</v>
      </c>
      <c r="F2844" s="73"/>
      <c r="G2844" s="73"/>
      <c r="H2844" s="73"/>
      <c r="I2844" s="73"/>
      <c r="J2844" s="73"/>
      <c r="K2844" s="73"/>
      <c r="L2844" s="73"/>
      <c r="M2844" s="73"/>
      <c r="N2844" s="73"/>
      <c r="O2844" s="73"/>
      <c r="P2844" s="73"/>
      <c r="Q2844" s="73"/>
      <c r="R2844" s="73"/>
      <c r="S2844" s="73"/>
      <c r="T2844" s="73"/>
      <c r="U2844" s="73"/>
      <c r="V2844" s="73"/>
      <c r="W2844" s="73"/>
      <c r="X2844" s="73"/>
      <c r="Y2844" s="73"/>
      <c r="Z2844" s="73"/>
      <c r="AA2844" s="73"/>
      <c r="AB2844" s="73"/>
    </row>
    <row r="2845">
      <c r="A2845" s="73"/>
      <c r="B2845" s="73">
        <v>1883749.836</v>
      </c>
      <c r="C2845" s="73">
        <v>1.96434574063652E8</v>
      </c>
      <c r="D2845" s="73">
        <v>8.21967722240012E7</v>
      </c>
      <c r="E2845" s="73">
        <v>1.07496089365353E7</v>
      </c>
      <c r="F2845" s="73"/>
      <c r="G2845" s="73"/>
      <c r="H2845" s="73"/>
      <c r="I2845" s="73"/>
      <c r="J2845" s="73"/>
      <c r="K2845" s="73"/>
      <c r="L2845" s="73"/>
      <c r="M2845" s="73"/>
      <c r="N2845" s="73"/>
      <c r="O2845" s="73"/>
      <c r="P2845" s="73"/>
      <c r="Q2845" s="73"/>
      <c r="R2845" s="73"/>
      <c r="S2845" s="73"/>
      <c r="T2845" s="73"/>
      <c r="U2845" s="73"/>
      <c r="V2845" s="73"/>
      <c r="W2845" s="73"/>
      <c r="X2845" s="73"/>
      <c r="Y2845" s="73"/>
      <c r="Z2845" s="73"/>
      <c r="AA2845" s="73"/>
      <c r="AB2845" s="73"/>
    </row>
    <row r="2846">
      <c r="A2846" s="73"/>
      <c r="B2846" s="73">
        <v>1886409.876</v>
      </c>
      <c r="C2846" s="73">
        <v>1.96622610858429E8</v>
      </c>
      <c r="D2846" s="73">
        <v>8.22961129239945E7</v>
      </c>
      <c r="E2846" s="73">
        <v>1.07623341835903E7</v>
      </c>
      <c r="F2846" s="73"/>
      <c r="G2846" s="73"/>
      <c r="H2846" s="73"/>
      <c r="I2846" s="73"/>
      <c r="J2846" s="73"/>
      <c r="K2846" s="73"/>
      <c r="L2846" s="73"/>
      <c r="M2846" s="73"/>
      <c r="N2846" s="73"/>
      <c r="O2846" s="73"/>
      <c r="P2846" s="73"/>
      <c r="Q2846" s="73"/>
      <c r="R2846" s="73"/>
      <c r="S2846" s="73"/>
      <c r="T2846" s="73"/>
      <c r="U2846" s="73"/>
      <c r="V2846" s="73"/>
      <c r="W2846" s="73"/>
      <c r="X2846" s="73"/>
      <c r="Y2846" s="73"/>
      <c r="Z2846" s="73"/>
      <c r="AA2846" s="73"/>
      <c r="AB2846" s="73"/>
    </row>
    <row r="2847">
      <c r="A2847" s="73"/>
      <c r="B2847" s="73">
        <v>1889073.112</v>
      </c>
      <c r="C2847" s="73">
        <v>1.96810779493202E8</v>
      </c>
      <c r="D2847" s="73">
        <v>8.23955362959954E7</v>
      </c>
      <c r="E2847" s="73">
        <v>1.07750727509227E7</v>
      </c>
      <c r="F2847" s="73"/>
      <c r="G2847" s="73"/>
      <c r="H2847" s="73"/>
      <c r="I2847" s="73"/>
      <c r="J2847" s="73"/>
      <c r="K2847" s="73"/>
      <c r="L2847" s="73"/>
      <c r="M2847" s="73"/>
      <c r="N2847" s="73"/>
      <c r="O2847" s="73"/>
      <c r="P2847" s="73"/>
      <c r="Q2847" s="73"/>
      <c r="R2847" s="73"/>
      <c r="S2847" s="73"/>
      <c r="T2847" s="73"/>
      <c r="U2847" s="73"/>
      <c r="V2847" s="73"/>
      <c r="W2847" s="73"/>
      <c r="X2847" s="73"/>
      <c r="Y2847" s="73"/>
      <c r="Z2847" s="73"/>
      <c r="AA2847" s="73"/>
      <c r="AB2847" s="73"/>
    </row>
    <row r="2848">
      <c r="A2848" s="73"/>
      <c r="B2848" s="73">
        <v>1891739.53</v>
      </c>
      <c r="C2848" s="73">
        <v>1.96999063487972E8</v>
      </c>
      <c r="D2848" s="73">
        <v>8.24950321159963E7</v>
      </c>
      <c r="E2848" s="73">
        <v>1.07878255044463E7</v>
      </c>
      <c r="F2848" s="73"/>
      <c r="G2848" s="73"/>
      <c r="H2848" s="73"/>
      <c r="I2848" s="73"/>
      <c r="J2848" s="73"/>
      <c r="K2848" s="73"/>
      <c r="L2848" s="73"/>
      <c r="M2848" s="73"/>
      <c r="N2848" s="73"/>
      <c r="O2848" s="73"/>
      <c r="P2848" s="73"/>
      <c r="Q2848" s="73"/>
      <c r="R2848" s="73"/>
      <c r="S2848" s="73"/>
      <c r="T2848" s="73"/>
      <c r="U2848" s="73"/>
      <c r="V2848" s="73"/>
      <c r="W2848" s="73"/>
      <c r="X2848" s="73"/>
      <c r="Y2848" s="73"/>
      <c r="Z2848" s="73"/>
      <c r="AA2848" s="73"/>
      <c r="AB2848" s="73"/>
    </row>
    <row r="2849">
      <c r="A2849" s="73"/>
      <c r="B2849" s="73">
        <v>1894408.999</v>
      </c>
      <c r="C2849" s="73">
        <v>1.9718744636274E8</v>
      </c>
      <c r="D2849" s="73">
        <v>8.25946054959973E7</v>
      </c>
      <c r="E2849" s="73">
        <v>1.08005915782471E7</v>
      </c>
      <c r="F2849" s="73"/>
      <c r="G2849" s="73"/>
      <c r="H2849" s="73"/>
      <c r="I2849" s="73"/>
      <c r="J2849" s="73"/>
      <c r="K2849" s="73"/>
      <c r="L2849" s="73"/>
      <c r="M2849" s="73"/>
      <c r="N2849" s="73"/>
      <c r="O2849" s="73"/>
      <c r="P2849" s="73"/>
      <c r="Q2849" s="73"/>
      <c r="R2849" s="73"/>
      <c r="S2849" s="73"/>
      <c r="T2849" s="73"/>
      <c r="U2849" s="73"/>
      <c r="V2849" s="73"/>
      <c r="W2849" s="73"/>
      <c r="X2849" s="73"/>
      <c r="Y2849" s="73"/>
      <c r="Z2849" s="73"/>
      <c r="AA2849" s="73"/>
      <c r="AB2849" s="73"/>
    </row>
    <row r="2850">
      <c r="A2850" s="73"/>
      <c r="B2850" s="73">
        <v>1897081.631</v>
      </c>
      <c r="C2850" s="73">
        <v>1.97375961077503E8</v>
      </c>
      <c r="D2850" s="73">
        <v>8.26942614839982E7</v>
      </c>
      <c r="E2850" s="73">
        <v>1.08133719442392E7</v>
      </c>
      <c r="F2850" s="73"/>
      <c r="G2850" s="73"/>
      <c r="H2850" s="73"/>
      <c r="I2850" s="73"/>
      <c r="J2850" s="73"/>
      <c r="K2850" s="73"/>
      <c r="L2850" s="73"/>
      <c r="M2850" s="73"/>
      <c r="N2850" s="73"/>
      <c r="O2850" s="73"/>
      <c r="P2850" s="73"/>
      <c r="Q2850" s="73"/>
      <c r="R2850" s="73"/>
      <c r="S2850" s="73"/>
      <c r="T2850" s="73"/>
      <c r="U2850" s="73"/>
      <c r="V2850" s="73"/>
      <c r="W2850" s="73"/>
      <c r="X2850" s="73"/>
      <c r="Y2850" s="73"/>
      <c r="Z2850" s="73"/>
      <c r="AA2850" s="73"/>
      <c r="AB2850" s="73"/>
    </row>
    <row r="2851">
      <c r="A2851" s="73"/>
      <c r="B2851" s="73">
        <v>1899757.396</v>
      </c>
      <c r="C2851" s="73">
        <v>1.97564591152264E8</v>
      </c>
      <c r="D2851" s="73">
        <v>8.27939950319991E7</v>
      </c>
      <c r="E2851" s="73">
        <v>1.08261654794586E7</v>
      </c>
      <c r="F2851" s="73"/>
      <c r="G2851" s="73"/>
      <c r="H2851" s="73"/>
      <c r="I2851" s="73"/>
      <c r="J2851" s="73"/>
      <c r="K2851" s="73"/>
      <c r="L2851" s="73"/>
      <c r="M2851" s="73"/>
      <c r="N2851" s="73"/>
      <c r="O2851" s="73"/>
      <c r="P2851" s="73"/>
      <c r="Q2851" s="73"/>
      <c r="R2851" s="73"/>
      <c r="S2851" s="73"/>
      <c r="T2851" s="73"/>
      <c r="U2851" s="73"/>
      <c r="V2851" s="73"/>
      <c r="W2851" s="73"/>
      <c r="X2851" s="73"/>
      <c r="Y2851" s="73"/>
      <c r="Z2851" s="73"/>
      <c r="AA2851" s="73"/>
      <c r="AB2851" s="73"/>
    </row>
    <row r="2852">
      <c r="A2852" s="73"/>
      <c r="B2852" s="73">
        <v>1902436.349</v>
      </c>
      <c r="C2852" s="73">
        <v>1.97753303627022E8</v>
      </c>
      <c r="D2852" s="73">
        <v>8.289380102E7</v>
      </c>
      <c r="E2852" s="73">
        <v>1.08389733625192E7</v>
      </c>
      <c r="F2852" s="73"/>
      <c r="G2852" s="73"/>
      <c r="H2852" s="73"/>
      <c r="I2852" s="73"/>
      <c r="J2852" s="73"/>
      <c r="K2852" s="73"/>
      <c r="L2852" s="73"/>
      <c r="M2852" s="73"/>
      <c r="N2852" s="73"/>
      <c r="O2852" s="73"/>
      <c r="P2852" s="73"/>
      <c r="Q2852" s="73"/>
      <c r="R2852" s="73"/>
      <c r="S2852" s="73"/>
      <c r="T2852" s="73"/>
      <c r="U2852" s="73"/>
      <c r="V2852" s="73"/>
      <c r="W2852" s="73"/>
      <c r="X2852" s="73"/>
      <c r="Y2852" s="73"/>
      <c r="Z2852" s="73"/>
      <c r="AA2852" s="73"/>
      <c r="AB2852" s="73"/>
    </row>
    <row r="2853">
      <c r="A2853" s="73"/>
      <c r="B2853" s="73">
        <v>1905118.375</v>
      </c>
      <c r="C2853" s="73">
        <v>1.97942164421776E8</v>
      </c>
      <c r="D2853" s="73">
        <v>8.29936895360009E7</v>
      </c>
      <c r="E2853" s="73">
        <v>1.08517954638891E7</v>
      </c>
      <c r="F2853" s="73"/>
      <c r="G2853" s="73"/>
      <c r="H2853" s="73"/>
      <c r="I2853" s="73"/>
      <c r="J2853" s="73"/>
      <c r="K2853" s="73"/>
      <c r="L2853" s="73"/>
      <c r="M2853" s="73"/>
      <c r="N2853" s="73"/>
      <c r="O2853" s="73"/>
      <c r="P2853" s="73"/>
      <c r="Q2853" s="73"/>
      <c r="R2853" s="73"/>
      <c r="S2853" s="73"/>
      <c r="T2853" s="73"/>
      <c r="U2853" s="73"/>
      <c r="V2853" s="73"/>
      <c r="W2853" s="73"/>
      <c r="X2853" s="73"/>
      <c r="Y2853" s="73"/>
      <c r="Z2853" s="73"/>
      <c r="AA2853" s="73"/>
      <c r="AB2853" s="73"/>
    </row>
    <row r="2854">
      <c r="A2854" s="73"/>
      <c r="B2854" s="73">
        <v>1907803.548</v>
      </c>
      <c r="C2854" s="73">
        <v>1.98131124096527E8</v>
      </c>
      <c r="D2854" s="73">
        <v>8.30936556919942E7</v>
      </c>
      <c r="E2854" s="73">
        <v>1.08646302442362E7</v>
      </c>
      <c r="F2854" s="73"/>
      <c r="G2854" s="73"/>
      <c r="H2854" s="73"/>
      <c r="I2854" s="73"/>
      <c r="J2854" s="73"/>
      <c r="K2854" s="73"/>
      <c r="L2854" s="73"/>
      <c r="M2854" s="73"/>
      <c r="N2854" s="73"/>
      <c r="O2854" s="73"/>
      <c r="P2854" s="73"/>
      <c r="Q2854" s="73"/>
      <c r="R2854" s="73"/>
      <c r="S2854" s="73"/>
      <c r="T2854" s="73"/>
      <c r="U2854" s="73"/>
      <c r="V2854" s="73"/>
      <c r="W2854" s="73"/>
      <c r="X2854" s="73"/>
      <c r="Y2854" s="73"/>
      <c r="Z2854" s="73"/>
      <c r="AA2854" s="73"/>
      <c r="AB2854" s="73"/>
    </row>
    <row r="2855">
      <c r="A2855" s="73"/>
      <c r="B2855" s="73">
        <v>1910491.839</v>
      </c>
      <c r="C2855" s="73">
        <v>1.98320182651276E8</v>
      </c>
      <c r="D2855" s="73">
        <v>8.31937045359951E7</v>
      </c>
      <c r="E2855" s="73">
        <v>1.08774797752246E7</v>
      </c>
      <c r="F2855" s="73"/>
      <c r="G2855" s="73"/>
      <c r="H2855" s="73"/>
      <c r="I2855" s="73"/>
      <c r="J2855" s="73"/>
      <c r="K2855" s="73"/>
      <c r="L2855" s="73"/>
      <c r="M2855" s="73"/>
      <c r="N2855" s="73"/>
      <c r="O2855" s="73"/>
      <c r="P2855" s="73"/>
      <c r="Q2855" s="73"/>
      <c r="R2855" s="73"/>
      <c r="S2855" s="73"/>
      <c r="T2855" s="73"/>
      <c r="U2855" s="73"/>
      <c r="V2855" s="73"/>
      <c r="W2855" s="73"/>
      <c r="X2855" s="73"/>
      <c r="Y2855" s="73"/>
      <c r="Z2855" s="73"/>
      <c r="AA2855" s="73"/>
      <c r="AB2855" s="73"/>
    </row>
    <row r="2856">
      <c r="A2856" s="73"/>
      <c r="B2856" s="73">
        <v>1913183.318</v>
      </c>
      <c r="C2856" s="73">
        <v>1.9850938952602E8</v>
      </c>
      <c r="D2856" s="73">
        <v>8.3293825811996E7</v>
      </c>
      <c r="E2856" s="73">
        <v>1.08903431137722E7</v>
      </c>
      <c r="F2856" s="73"/>
      <c r="G2856" s="73"/>
      <c r="H2856" s="73"/>
      <c r="I2856" s="73"/>
      <c r="J2856" s="73"/>
      <c r="K2856" s="73"/>
      <c r="L2856" s="73"/>
      <c r="M2856" s="73"/>
      <c r="N2856" s="73"/>
      <c r="O2856" s="73"/>
      <c r="P2856" s="73"/>
      <c r="Q2856" s="73"/>
      <c r="R2856" s="73"/>
      <c r="S2856" s="73"/>
      <c r="T2856" s="73"/>
      <c r="U2856" s="73"/>
      <c r="V2856" s="73"/>
      <c r="W2856" s="73"/>
      <c r="X2856" s="73"/>
      <c r="Y2856" s="73"/>
      <c r="Z2856" s="73"/>
      <c r="AA2856" s="73"/>
      <c r="AB2856" s="73"/>
    </row>
    <row r="2857">
      <c r="A2857" s="73"/>
      <c r="B2857" s="73">
        <v>1915877.946</v>
      </c>
      <c r="C2857" s="73">
        <v>1.98698678800762E8</v>
      </c>
      <c r="D2857" s="73">
        <v>8.33940244239969E7</v>
      </c>
      <c r="E2857" s="73">
        <v>1.09032196586471E7</v>
      </c>
      <c r="F2857" s="73"/>
      <c r="G2857" s="73"/>
      <c r="H2857" s="73"/>
      <c r="I2857" s="73"/>
      <c r="J2857" s="73"/>
      <c r="K2857" s="73"/>
      <c r="L2857" s="73"/>
      <c r="M2857" s="73"/>
      <c r="N2857" s="73"/>
      <c r="O2857" s="73"/>
      <c r="P2857" s="73"/>
      <c r="Q2857" s="73"/>
      <c r="R2857" s="73"/>
      <c r="S2857" s="73"/>
      <c r="T2857" s="73"/>
      <c r="U2857" s="73"/>
      <c r="V2857" s="73"/>
      <c r="W2857" s="73"/>
      <c r="X2857" s="73"/>
      <c r="Y2857" s="73"/>
      <c r="Z2857" s="73"/>
      <c r="AA2857" s="73"/>
      <c r="AB2857" s="73"/>
    </row>
    <row r="2858">
      <c r="A2858" s="73"/>
      <c r="B2858" s="73">
        <v>1918575.677</v>
      </c>
      <c r="C2858" s="73">
        <v>1.98888083435501E8</v>
      </c>
      <c r="D2858" s="73">
        <v>8.34943058679979E7</v>
      </c>
      <c r="E2858" s="73">
        <v>1.09161106785632E7</v>
      </c>
      <c r="F2858" s="73"/>
      <c r="G2858" s="73"/>
      <c r="H2858" s="73"/>
      <c r="I2858" s="73"/>
      <c r="J2858" s="73"/>
      <c r="K2858" s="73"/>
      <c r="L2858" s="73"/>
      <c r="M2858" s="73"/>
      <c r="N2858" s="73"/>
      <c r="O2858" s="73"/>
      <c r="P2858" s="73"/>
      <c r="Q2858" s="73"/>
      <c r="R2858" s="73"/>
      <c r="S2858" s="73"/>
      <c r="T2858" s="73"/>
      <c r="U2858" s="73"/>
      <c r="V2858" s="73"/>
      <c r="W2858" s="73"/>
      <c r="X2858" s="73"/>
      <c r="Y2858" s="73"/>
      <c r="Z2858" s="73"/>
      <c r="AA2858" s="73"/>
      <c r="AB2858" s="73"/>
    </row>
    <row r="2859">
      <c r="A2859" s="73"/>
      <c r="B2859" s="73">
        <v>1921276.566</v>
      </c>
      <c r="C2859" s="73">
        <v>1.99077619910236E8</v>
      </c>
      <c r="D2859" s="73">
        <v>8.35946596079988E7</v>
      </c>
      <c r="E2859" s="73">
        <v>1.09290155881886E7</v>
      </c>
      <c r="F2859" s="73"/>
      <c r="G2859" s="73"/>
      <c r="H2859" s="73"/>
      <c r="I2859" s="73"/>
      <c r="J2859" s="73"/>
      <c r="K2859" s="73"/>
      <c r="L2859" s="73"/>
      <c r="M2859" s="73"/>
      <c r="N2859" s="73"/>
      <c r="O2859" s="73"/>
      <c r="P2859" s="73"/>
      <c r="Q2859" s="73"/>
      <c r="R2859" s="73"/>
      <c r="S2859" s="73"/>
      <c r="T2859" s="73"/>
      <c r="U2859" s="73"/>
      <c r="V2859" s="73"/>
      <c r="W2859" s="73"/>
      <c r="X2859" s="73"/>
      <c r="Y2859" s="73"/>
      <c r="Z2859" s="73"/>
      <c r="AA2859" s="73"/>
      <c r="AB2859" s="73"/>
    </row>
    <row r="2860">
      <c r="A2860" s="73"/>
      <c r="B2860" s="73">
        <v>1923980.614</v>
      </c>
      <c r="C2860" s="73">
        <v>1.99267271744968E8</v>
      </c>
      <c r="D2860" s="73">
        <v>8.36950960999997E7</v>
      </c>
      <c r="E2860" s="73">
        <v>1.09419343239232E7</v>
      </c>
      <c r="F2860" s="73"/>
      <c r="G2860" s="73"/>
      <c r="H2860" s="73"/>
      <c r="I2860" s="73"/>
      <c r="J2860" s="73"/>
      <c r="K2860" s="73"/>
      <c r="L2860" s="73"/>
      <c r="M2860" s="73"/>
      <c r="N2860" s="73"/>
      <c r="O2860" s="73"/>
      <c r="P2860" s="73"/>
      <c r="Q2860" s="73"/>
      <c r="R2860" s="73"/>
      <c r="S2860" s="73"/>
      <c r="T2860" s="73"/>
      <c r="U2860" s="73"/>
      <c r="V2860" s="73"/>
      <c r="W2860" s="73"/>
      <c r="X2860" s="73"/>
      <c r="Y2860" s="73"/>
      <c r="Z2860" s="73"/>
      <c r="AA2860" s="73"/>
      <c r="AB2860" s="73"/>
    </row>
    <row r="2861">
      <c r="A2861" s="73"/>
      <c r="B2861" s="73">
        <v>1926687.806</v>
      </c>
      <c r="C2861" s="73">
        <v>1.99457022459698E8</v>
      </c>
      <c r="D2861" s="73">
        <v>8.37956100800006E7</v>
      </c>
      <c r="E2861" s="73">
        <v>1.09548669069671E7</v>
      </c>
      <c r="F2861" s="73"/>
      <c r="G2861" s="73"/>
      <c r="H2861" s="73"/>
      <c r="I2861" s="73"/>
      <c r="J2861" s="73"/>
      <c r="K2861" s="73"/>
      <c r="L2861" s="73"/>
      <c r="M2861" s="73"/>
      <c r="N2861" s="73"/>
      <c r="O2861" s="73"/>
      <c r="P2861" s="73"/>
      <c r="Q2861" s="73"/>
      <c r="R2861" s="73"/>
      <c r="S2861" s="73"/>
      <c r="T2861" s="73"/>
      <c r="U2861" s="73"/>
      <c r="V2861" s="73"/>
      <c r="W2861" s="73"/>
      <c r="X2861" s="73"/>
      <c r="Y2861" s="73"/>
      <c r="Z2861" s="73"/>
      <c r="AA2861" s="73"/>
      <c r="AB2861" s="73"/>
    </row>
    <row r="2862">
      <c r="A2862" s="73"/>
      <c r="B2862" s="73">
        <v>1929398.121</v>
      </c>
      <c r="C2862" s="73">
        <v>1.99646905014423E8</v>
      </c>
      <c r="D2862" s="73">
        <v>8.38962016199939E7</v>
      </c>
      <c r="E2862" s="73">
        <v>1.09678135228202E7</v>
      </c>
      <c r="F2862" s="73"/>
      <c r="G2862" s="73"/>
      <c r="H2862" s="73"/>
      <c r="I2862" s="73"/>
      <c r="J2862" s="73"/>
      <c r="K2862" s="73"/>
      <c r="L2862" s="73"/>
      <c r="M2862" s="73"/>
      <c r="N2862" s="73"/>
      <c r="O2862" s="73"/>
      <c r="P2862" s="73"/>
      <c r="Q2862" s="73"/>
      <c r="R2862" s="73"/>
      <c r="S2862" s="73"/>
      <c r="T2862" s="73"/>
      <c r="U2862" s="73"/>
      <c r="V2862" s="73"/>
      <c r="W2862" s="73"/>
      <c r="X2862" s="73"/>
      <c r="Y2862" s="73"/>
      <c r="Z2862" s="73"/>
      <c r="AA2862" s="73"/>
      <c r="AB2862" s="73"/>
    </row>
    <row r="2863">
      <c r="A2863" s="73"/>
      <c r="B2863" s="73">
        <v>1932111.616</v>
      </c>
      <c r="C2863" s="73">
        <v>1.99836902929146E8</v>
      </c>
      <c r="D2863" s="73">
        <v>8.39968759199948E7</v>
      </c>
      <c r="E2863" s="73">
        <v>1.09807739223826E7</v>
      </c>
      <c r="F2863" s="73"/>
      <c r="G2863" s="73"/>
      <c r="H2863" s="73"/>
      <c r="I2863" s="73"/>
      <c r="J2863" s="73"/>
      <c r="K2863" s="73"/>
      <c r="L2863" s="73"/>
      <c r="M2863" s="73"/>
      <c r="N2863" s="73"/>
      <c r="O2863" s="73"/>
      <c r="P2863" s="73"/>
      <c r="Q2863" s="73"/>
      <c r="R2863" s="73"/>
      <c r="S2863" s="73"/>
      <c r="T2863" s="73"/>
      <c r="U2863" s="73"/>
      <c r="V2863" s="73"/>
      <c r="W2863" s="73"/>
      <c r="X2863" s="73"/>
      <c r="Y2863" s="73"/>
      <c r="Z2863" s="73"/>
      <c r="AA2863" s="73"/>
      <c r="AB2863" s="73"/>
    </row>
    <row r="2864">
      <c r="A2864" s="73"/>
      <c r="B2864" s="73">
        <v>1934828.211</v>
      </c>
      <c r="C2864" s="73">
        <v>2.00026999723866E8</v>
      </c>
      <c r="D2864" s="73">
        <v>8.40976225079957E7</v>
      </c>
      <c r="E2864" s="73">
        <v>1.09937482487542E7</v>
      </c>
      <c r="F2864" s="73"/>
      <c r="G2864" s="73"/>
      <c r="H2864" s="73"/>
      <c r="I2864" s="73"/>
      <c r="J2864" s="73"/>
      <c r="K2864" s="73"/>
      <c r="L2864" s="73"/>
      <c r="M2864" s="73"/>
      <c r="N2864" s="73"/>
      <c r="O2864" s="73"/>
      <c r="P2864" s="73"/>
      <c r="Q2864" s="73"/>
      <c r="R2864" s="73"/>
      <c r="S2864" s="73"/>
      <c r="T2864" s="73"/>
      <c r="U2864" s="73"/>
      <c r="V2864" s="73"/>
      <c r="W2864" s="73"/>
      <c r="X2864" s="73"/>
      <c r="Y2864" s="73"/>
      <c r="Z2864" s="73"/>
      <c r="AA2864" s="73"/>
      <c r="AB2864" s="73"/>
    </row>
    <row r="2865">
      <c r="A2865" s="73"/>
      <c r="B2865" s="73">
        <v>1937547.984</v>
      </c>
      <c r="C2865" s="73">
        <v>2.00217228358582E8</v>
      </c>
      <c r="D2865" s="73">
        <v>8.41984517759966E7</v>
      </c>
      <c r="E2865" s="73">
        <v>1.10067363959351E7</v>
      </c>
      <c r="F2865" s="73"/>
      <c r="G2865" s="73"/>
      <c r="H2865" s="73"/>
      <c r="I2865" s="73"/>
      <c r="J2865" s="73"/>
      <c r="K2865" s="73"/>
      <c r="L2865" s="73"/>
      <c r="M2865" s="73"/>
      <c r="N2865" s="73"/>
      <c r="O2865" s="73"/>
      <c r="P2865" s="73"/>
      <c r="Q2865" s="73"/>
      <c r="R2865" s="73"/>
      <c r="S2865" s="73"/>
      <c r="T2865" s="73"/>
      <c r="U2865" s="73"/>
      <c r="V2865" s="73"/>
      <c r="W2865" s="73"/>
      <c r="X2865" s="73"/>
      <c r="Y2865" s="73"/>
      <c r="Z2865" s="73"/>
      <c r="AA2865" s="73"/>
      <c r="AB2865" s="73"/>
    </row>
    <row r="2866">
      <c r="A2866" s="73"/>
      <c r="B2866" s="73">
        <v>1940270.933</v>
      </c>
      <c r="C2866" s="73">
        <v>2.00407555873295E8</v>
      </c>
      <c r="D2866" s="73">
        <v>8.42993585319975E7</v>
      </c>
      <c r="E2866" s="73">
        <v>1.10197385573752E7</v>
      </c>
      <c r="F2866" s="73"/>
      <c r="G2866" s="73"/>
      <c r="H2866" s="73"/>
      <c r="I2866" s="73"/>
      <c r="J2866" s="73"/>
      <c r="K2866" s="73"/>
      <c r="L2866" s="73"/>
      <c r="M2866" s="73"/>
      <c r="N2866" s="73"/>
      <c r="O2866" s="73"/>
      <c r="P2866" s="73"/>
      <c r="Q2866" s="73"/>
      <c r="R2866" s="73"/>
      <c r="S2866" s="73"/>
      <c r="T2866" s="73"/>
      <c r="U2866" s="73"/>
      <c r="V2866" s="73"/>
      <c r="W2866" s="73"/>
      <c r="X2866" s="73"/>
      <c r="Y2866" s="73"/>
      <c r="Z2866" s="73"/>
      <c r="AA2866" s="73"/>
      <c r="AB2866" s="73"/>
    </row>
    <row r="2867">
      <c r="A2867" s="73"/>
      <c r="B2867" s="73">
        <v>1942997.011</v>
      </c>
      <c r="C2867" s="73">
        <v>2.00598015228004E8</v>
      </c>
      <c r="D2867" s="73">
        <v>8.44003428479985E7</v>
      </c>
      <c r="E2867" s="73">
        <v>1.10327546403246E7</v>
      </c>
      <c r="F2867" s="73"/>
      <c r="G2867" s="73"/>
      <c r="H2867" s="73"/>
      <c r="I2867" s="73"/>
      <c r="J2867" s="73"/>
      <c r="K2867" s="73"/>
      <c r="L2867" s="73"/>
      <c r="M2867" s="73"/>
      <c r="N2867" s="73"/>
      <c r="O2867" s="73"/>
      <c r="P2867" s="73"/>
      <c r="Q2867" s="73"/>
      <c r="R2867" s="73"/>
      <c r="S2867" s="73"/>
      <c r="T2867" s="73"/>
      <c r="U2867" s="73"/>
      <c r="V2867" s="73"/>
      <c r="W2867" s="73"/>
      <c r="X2867" s="73"/>
      <c r="Y2867" s="73"/>
      <c r="Z2867" s="73"/>
      <c r="AA2867" s="73"/>
      <c r="AB2867" s="73"/>
    </row>
    <row r="2868">
      <c r="A2868" s="73"/>
      <c r="B2868" s="73">
        <v>1945726.265</v>
      </c>
      <c r="C2868" s="73">
        <v>2.00788556982712E8</v>
      </c>
      <c r="D2868" s="73">
        <v>8.45014047239994E7</v>
      </c>
      <c r="E2868" s="73">
        <v>1.10457847560832E7</v>
      </c>
      <c r="F2868" s="73"/>
      <c r="G2868" s="73"/>
      <c r="H2868" s="73"/>
      <c r="I2868" s="73"/>
      <c r="J2868" s="73"/>
      <c r="K2868" s="73"/>
      <c r="L2868" s="73"/>
      <c r="M2868" s="73"/>
      <c r="N2868" s="73"/>
      <c r="O2868" s="73"/>
      <c r="P2868" s="73"/>
      <c r="Q2868" s="73"/>
      <c r="R2868" s="73"/>
      <c r="S2868" s="73"/>
      <c r="T2868" s="73"/>
      <c r="U2868" s="73"/>
      <c r="V2868" s="73"/>
      <c r="W2868" s="73"/>
      <c r="X2868" s="73"/>
      <c r="Y2868" s="73"/>
      <c r="Z2868" s="73"/>
      <c r="AA2868" s="73"/>
      <c r="AB2868" s="73"/>
    </row>
    <row r="2869">
      <c r="A2869" s="73"/>
      <c r="B2869" s="73">
        <v>1948458.653</v>
      </c>
      <c r="C2869" s="73">
        <v>2.00979247057415E8</v>
      </c>
      <c r="D2869" s="73">
        <v>8.46025492880003E7</v>
      </c>
      <c r="E2869" s="73">
        <v>1.10588285601511E7</v>
      </c>
      <c r="F2869" s="73"/>
      <c r="G2869" s="73"/>
      <c r="H2869" s="73"/>
      <c r="I2869" s="73"/>
      <c r="J2869" s="73"/>
      <c r="K2869" s="73"/>
      <c r="L2869" s="73"/>
      <c r="M2869" s="73"/>
      <c r="N2869" s="73"/>
      <c r="O2869" s="73"/>
      <c r="P2869" s="73"/>
      <c r="Q2869" s="73"/>
      <c r="R2869" s="73"/>
      <c r="S2869" s="73"/>
      <c r="T2869" s="73"/>
      <c r="U2869" s="73"/>
      <c r="V2869" s="73"/>
      <c r="W2869" s="73"/>
      <c r="X2869" s="73"/>
      <c r="Y2869" s="73"/>
      <c r="Z2869" s="73"/>
      <c r="AA2869" s="73"/>
      <c r="AB2869" s="73"/>
    </row>
    <row r="2870">
      <c r="A2870" s="73"/>
      <c r="B2870" s="73">
        <v>1951194.183</v>
      </c>
      <c r="C2870" s="73">
        <v>2.01170036012115E8</v>
      </c>
      <c r="D2870" s="73">
        <v>8.47037661400012E7</v>
      </c>
      <c r="E2870" s="73">
        <v>1.10718863731782E7</v>
      </c>
      <c r="F2870" s="73"/>
      <c r="G2870" s="73"/>
      <c r="H2870" s="73"/>
      <c r="I2870" s="73"/>
      <c r="J2870" s="73"/>
      <c r="K2870" s="73"/>
      <c r="L2870" s="73"/>
      <c r="M2870" s="73"/>
      <c r="N2870" s="73"/>
      <c r="O2870" s="73"/>
      <c r="P2870" s="73"/>
      <c r="Q2870" s="73"/>
      <c r="R2870" s="73"/>
      <c r="S2870" s="73"/>
      <c r="T2870" s="73"/>
      <c r="U2870" s="73"/>
      <c r="V2870" s="73"/>
      <c r="W2870" s="73"/>
      <c r="X2870" s="73"/>
      <c r="Y2870" s="73"/>
      <c r="Z2870" s="73"/>
      <c r="AA2870" s="73"/>
      <c r="AB2870" s="73"/>
    </row>
    <row r="2871">
      <c r="A2871" s="73"/>
      <c r="B2871" s="73">
        <v>1953932.922</v>
      </c>
      <c r="C2871" s="73">
        <v>2.01360923846813E8</v>
      </c>
      <c r="D2871" s="73">
        <v>8.48050658239945E7</v>
      </c>
      <c r="E2871" s="73">
        <v>1.10849590030965E7</v>
      </c>
      <c r="F2871" s="73"/>
      <c r="G2871" s="73"/>
      <c r="H2871" s="73"/>
      <c r="I2871" s="73"/>
      <c r="J2871" s="73"/>
      <c r="K2871" s="73"/>
      <c r="L2871" s="73"/>
      <c r="M2871" s="73"/>
      <c r="N2871" s="73"/>
      <c r="O2871" s="73"/>
      <c r="P2871" s="73"/>
      <c r="Q2871" s="73"/>
      <c r="R2871" s="73"/>
      <c r="S2871" s="73"/>
      <c r="T2871" s="73"/>
      <c r="U2871" s="73"/>
      <c r="V2871" s="73"/>
      <c r="W2871" s="73"/>
      <c r="X2871" s="73"/>
      <c r="Y2871" s="73"/>
      <c r="Z2871" s="73"/>
      <c r="AA2871" s="73"/>
      <c r="AB2871" s="73"/>
    </row>
    <row r="2872">
      <c r="A2872" s="73"/>
      <c r="B2872" s="73">
        <v>1956674.783</v>
      </c>
      <c r="C2872" s="73">
        <v>2.01551960001507E8</v>
      </c>
      <c r="D2872" s="73">
        <v>8.49064429159954E7</v>
      </c>
      <c r="E2872" s="73">
        <v>1.10980446988921E7</v>
      </c>
      <c r="F2872" s="73"/>
      <c r="G2872" s="73"/>
      <c r="H2872" s="73"/>
      <c r="I2872" s="73"/>
      <c r="J2872" s="73"/>
      <c r="K2872" s="73"/>
      <c r="L2872" s="73"/>
      <c r="M2872" s="73"/>
      <c r="N2872" s="73"/>
      <c r="O2872" s="73"/>
      <c r="P2872" s="73"/>
      <c r="Q2872" s="73"/>
      <c r="R2872" s="73"/>
      <c r="S2872" s="73"/>
      <c r="T2872" s="73"/>
      <c r="U2872" s="73"/>
      <c r="V2872" s="73"/>
      <c r="W2872" s="73"/>
      <c r="X2872" s="73"/>
      <c r="Y2872" s="73"/>
      <c r="Z2872" s="73"/>
      <c r="AA2872" s="73"/>
      <c r="AB2872" s="73"/>
    </row>
    <row r="2873">
      <c r="A2873" s="73"/>
      <c r="B2873" s="73">
        <v>1959419.803</v>
      </c>
      <c r="C2873" s="73">
        <v>2.01743095036198E8</v>
      </c>
      <c r="D2873" s="73">
        <v>8.50078975679963E7</v>
      </c>
      <c r="E2873" s="73">
        <v>1.1111144504347E7</v>
      </c>
      <c r="F2873" s="73"/>
      <c r="G2873" s="73"/>
      <c r="H2873" s="73"/>
      <c r="I2873" s="73"/>
      <c r="J2873" s="73"/>
      <c r="K2873" s="73"/>
      <c r="L2873" s="73"/>
      <c r="M2873" s="73"/>
      <c r="N2873" s="73"/>
      <c r="O2873" s="73"/>
      <c r="P2873" s="73"/>
      <c r="Q2873" s="73"/>
      <c r="R2873" s="73"/>
      <c r="S2873" s="73"/>
      <c r="T2873" s="73"/>
      <c r="U2873" s="73"/>
      <c r="V2873" s="73"/>
      <c r="W2873" s="73"/>
      <c r="X2873" s="73"/>
      <c r="Y2873" s="73"/>
      <c r="Z2873" s="73"/>
      <c r="AA2873" s="73"/>
      <c r="AB2873" s="73"/>
    </row>
    <row r="2874">
      <c r="A2874" s="73"/>
      <c r="B2874" s="73">
        <v>1962168.026</v>
      </c>
      <c r="C2874" s="73">
        <v>2.01934328950886E8</v>
      </c>
      <c r="D2874" s="73">
        <v>8.51094349079973E7</v>
      </c>
      <c r="E2874" s="73">
        <v>1.11242588510931E7</v>
      </c>
      <c r="F2874" s="73"/>
      <c r="G2874" s="73"/>
      <c r="H2874" s="73"/>
      <c r="I2874" s="73"/>
      <c r="J2874" s="73"/>
      <c r="K2874" s="73"/>
      <c r="L2874" s="73"/>
      <c r="M2874" s="73"/>
      <c r="N2874" s="73"/>
      <c r="O2874" s="73"/>
      <c r="P2874" s="73"/>
      <c r="Q2874" s="73"/>
      <c r="R2874" s="73"/>
      <c r="S2874" s="73"/>
      <c r="T2874" s="73"/>
      <c r="U2874" s="73"/>
      <c r="V2874" s="73"/>
      <c r="W2874" s="73"/>
      <c r="X2874" s="73"/>
      <c r="Y2874" s="73"/>
      <c r="Z2874" s="73"/>
      <c r="AA2874" s="73"/>
      <c r="AB2874" s="73"/>
    </row>
    <row r="2875">
      <c r="A2875" s="73"/>
      <c r="B2875" s="73">
        <v>1964919.293</v>
      </c>
      <c r="C2875" s="73">
        <v>2.0212569470557E8</v>
      </c>
      <c r="D2875" s="73">
        <v>8.52110497999982E7</v>
      </c>
      <c r="E2875" s="73">
        <v>1.11373867460164E7</v>
      </c>
      <c r="F2875" s="73"/>
      <c r="G2875" s="73"/>
      <c r="H2875" s="73"/>
      <c r="I2875" s="73"/>
      <c r="J2875" s="73"/>
      <c r="K2875" s="73"/>
      <c r="L2875" s="73"/>
      <c r="M2875" s="73"/>
      <c r="N2875" s="73"/>
      <c r="O2875" s="73"/>
      <c r="P2875" s="73"/>
      <c r="Q2875" s="73"/>
      <c r="R2875" s="73"/>
      <c r="S2875" s="73"/>
      <c r="T2875" s="73"/>
      <c r="U2875" s="73"/>
      <c r="V2875" s="73"/>
      <c r="W2875" s="73"/>
      <c r="X2875" s="73"/>
      <c r="Y2875" s="73"/>
      <c r="Z2875" s="73"/>
      <c r="AA2875" s="73"/>
      <c r="AB2875" s="73"/>
    </row>
    <row r="2876">
      <c r="A2876" s="73"/>
      <c r="B2876" s="73">
        <v>1967673.843</v>
      </c>
      <c r="C2876" s="73">
        <v>2.02317159340252E8</v>
      </c>
      <c r="D2876" s="73">
        <v>8.53127421879991E7</v>
      </c>
      <c r="E2876" s="73">
        <v>1.1150528988781E7</v>
      </c>
      <c r="F2876" s="73"/>
      <c r="G2876" s="73"/>
      <c r="H2876" s="73"/>
      <c r="I2876" s="73"/>
      <c r="J2876" s="73"/>
      <c r="K2876" s="73"/>
      <c r="L2876" s="73"/>
      <c r="M2876" s="73"/>
      <c r="N2876" s="73"/>
      <c r="O2876" s="73"/>
      <c r="P2876" s="73"/>
      <c r="Q2876" s="73"/>
      <c r="R2876" s="73"/>
      <c r="S2876" s="73"/>
      <c r="T2876" s="73"/>
      <c r="U2876" s="73"/>
      <c r="V2876" s="73"/>
      <c r="W2876" s="73"/>
      <c r="X2876" s="73"/>
      <c r="Y2876" s="73"/>
      <c r="Z2876" s="73"/>
      <c r="AA2876" s="73"/>
      <c r="AB2876" s="73"/>
    </row>
    <row r="2877">
      <c r="A2877" s="73"/>
      <c r="B2877" s="73">
        <v>1970431.57</v>
      </c>
      <c r="C2877" s="73">
        <v>2.0250873933493E8</v>
      </c>
      <c r="D2877" s="73">
        <v>8.5414512056E7</v>
      </c>
      <c r="E2877" s="73">
        <v>1.11636853385548E7</v>
      </c>
      <c r="F2877" s="73"/>
      <c r="G2877" s="73"/>
      <c r="H2877" s="73"/>
      <c r="I2877" s="73"/>
      <c r="J2877" s="73"/>
      <c r="K2877" s="73"/>
      <c r="L2877" s="73"/>
      <c r="M2877" s="73"/>
      <c r="N2877" s="73"/>
      <c r="O2877" s="73"/>
      <c r="P2877" s="73"/>
      <c r="Q2877" s="73"/>
      <c r="R2877" s="73"/>
      <c r="S2877" s="73"/>
      <c r="T2877" s="73"/>
      <c r="U2877" s="73"/>
      <c r="V2877" s="73"/>
      <c r="W2877" s="73"/>
      <c r="X2877" s="73"/>
      <c r="Y2877" s="73"/>
      <c r="Z2877" s="73"/>
      <c r="AA2877" s="73"/>
      <c r="AB2877" s="73"/>
    </row>
    <row r="2878">
      <c r="A2878" s="73"/>
      <c r="B2878" s="73">
        <v>1973192.372</v>
      </c>
      <c r="C2878" s="73">
        <v>2.02700451169605E8</v>
      </c>
      <c r="D2878" s="73">
        <v>8.55163595640009E7</v>
      </c>
      <c r="E2878" s="73">
        <v>1.11768551066558E7</v>
      </c>
      <c r="F2878" s="73"/>
      <c r="G2878" s="73"/>
      <c r="H2878" s="73"/>
      <c r="I2878" s="73"/>
      <c r="J2878" s="73"/>
      <c r="K2878" s="73"/>
      <c r="L2878" s="73"/>
      <c r="M2878" s="73"/>
      <c r="N2878" s="73"/>
      <c r="O2878" s="73"/>
      <c r="P2878" s="73"/>
      <c r="Q2878" s="73"/>
      <c r="R2878" s="73"/>
      <c r="S2878" s="73"/>
      <c r="T2878" s="73"/>
      <c r="U2878" s="73"/>
      <c r="V2878" s="73"/>
      <c r="W2878" s="73"/>
      <c r="X2878" s="73"/>
      <c r="Y2878" s="73"/>
      <c r="Z2878" s="73"/>
      <c r="AA2878" s="73"/>
      <c r="AB2878" s="73"/>
    </row>
    <row r="2879">
      <c r="A2879" s="73"/>
      <c r="B2879" s="73">
        <v>1975956.357</v>
      </c>
      <c r="C2879" s="73">
        <v>2.02892294844276E8</v>
      </c>
      <c r="D2879" s="73">
        <v>8.56182896719942E7</v>
      </c>
      <c r="E2879" s="73">
        <v>1.11900395591481E7</v>
      </c>
      <c r="F2879" s="73"/>
      <c r="G2879" s="73"/>
      <c r="H2879" s="73"/>
      <c r="I2879" s="73"/>
      <c r="J2879" s="73"/>
      <c r="K2879" s="73"/>
      <c r="L2879" s="73"/>
      <c r="M2879" s="73"/>
      <c r="N2879" s="73"/>
      <c r="O2879" s="73"/>
      <c r="P2879" s="73"/>
      <c r="Q2879" s="73"/>
      <c r="R2879" s="73"/>
      <c r="S2879" s="73"/>
      <c r="T2879" s="73"/>
      <c r="U2879" s="73"/>
      <c r="V2879" s="73"/>
      <c r="W2879" s="73"/>
      <c r="X2879" s="73"/>
      <c r="Y2879" s="73"/>
      <c r="Z2879" s="73"/>
      <c r="AA2879" s="73"/>
      <c r="AB2879" s="73"/>
    </row>
    <row r="2880">
      <c r="A2880" s="73"/>
      <c r="B2880" s="73">
        <v>1978723.494</v>
      </c>
      <c r="C2880" s="73">
        <v>2.03084220918945E8</v>
      </c>
      <c r="D2880" s="73">
        <v>8.57202973479951E7</v>
      </c>
      <c r="E2880" s="73">
        <v>1.12032380947996E7</v>
      </c>
      <c r="F2880" s="73"/>
      <c r="G2880" s="73"/>
      <c r="H2880" s="73"/>
      <c r="I2880" s="73"/>
      <c r="J2880" s="73"/>
      <c r="K2880" s="73"/>
      <c r="L2880" s="73"/>
      <c r="M2880" s="73"/>
      <c r="N2880" s="73"/>
      <c r="O2880" s="73"/>
      <c r="P2880" s="73"/>
      <c r="Q2880" s="73"/>
      <c r="R2880" s="73"/>
      <c r="S2880" s="73"/>
      <c r="T2880" s="73"/>
      <c r="U2880" s="73"/>
      <c r="V2880" s="73"/>
      <c r="W2880" s="73"/>
      <c r="X2880" s="73"/>
      <c r="Y2880" s="73"/>
      <c r="Z2880" s="73"/>
      <c r="AA2880" s="73"/>
      <c r="AB2880" s="73"/>
    </row>
    <row r="2881">
      <c r="A2881" s="73"/>
      <c r="B2881" s="73">
        <v>1981493.878</v>
      </c>
      <c r="C2881" s="73">
        <v>2.03276262353611E8</v>
      </c>
      <c r="D2881" s="73">
        <v>8.5822382583996E7</v>
      </c>
      <c r="E2881" s="73">
        <v>1.12164505175104E7</v>
      </c>
      <c r="F2881" s="73"/>
      <c r="G2881" s="73"/>
      <c r="H2881" s="73"/>
      <c r="I2881" s="73"/>
      <c r="J2881" s="73"/>
      <c r="K2881" s="73"/>
      <c r="L2881" s="73"/>
      <c r="M2881" s="73"/>
      <c r="N2881" s="73"/>
      <c r="O2881" s="73"/>
      <c r="P2881" s="73"/>
      <c r="Q2881" s="73"/>
      <c r="R2881" s="73"/>
      <c r="S2881" s="73"/>
      <c r="T2881" s="73"/>
      <c r="U2881" s="73"/>
      <c r="V2881" s="73"/>
      <c r="W2881" s="73"/>
      <c r="X2881" s="73"/>
      <c r="Y2881" s="73"/>
      <c r="Z2881" s="73"/>
      <c r="AA2881" s="73"/>
      <c r="AB2881" s="73"/>
    </row>
    <row r="2882">
      <c r="A2882" s="73"/>
      <c r="B2882" s="73">
        <v>1984267.365</v>
      </c>
      <c r="C2882" s="73">
        <v>2.03468435628273E8</v>
      </c>
      <c r="D2882" s="73">
        <v>8.5924550347997E7</v>
      </c>
      <c r="E2882" s="73">
        <v>1.12296762949485E7</v>
      </c>
      <c r="F2882" s="73"/>
      <c r="G2882" s="73"/>
      <c r="H2882" s="73"/>
      <c r="I2882" s="73"/>
      <c r="J2882" s="73"/>
      <c r="K2882" s="73"/>
      <c r="L2882" s="73"/>
      <c r="M2882" s="73"/>
      <c r="N2882" s="73"/>
      <c r="O2882" s="73"/>
      <c r="P2882" s="73"/>
      <c r="Q2882" s="73"/>
      <c r="R2882" s="73"/>
      <c r="S2882" s="73"/>
      <c r="T2882" s="73"/>
      <c r="U2882" s="73"/>
      <c r="V2882" s="73"/>
      <c r="W2882" s="73"/>
      <c r="X2882" s="73"/>
      <c r="Y2882" s="73"/>
      <c r="Z2882" s="73"/>
      <c r="AA2882" s="73"/>
      <c r="AB2882" s="73"/>
    </row>
    <row r="2883">
      <c r="A2883" s="73"/>
      <c r="B2883" s="73">
        <v>1987044.058</v>
      </c>
      <c r="C2883" s="73">
        <v>2.03660707782932E8</v>
      </c>
      <c r="D2883" s="73">
        <v>8.60267957519979E7</v>
      </c>
      <c r="E2883" s="73">
        <v>1.12429169210777E7</v>
      </c>
      <c r="F2883" s="73"/>
      <c r="G2883" s="73"/>
      <c r="H2883" s="73"/>
      <c r="I2883" s="73"/>
      <c r="J2883" s="73"/>
      <c r="K2883" s="73"/>
      <c r="L2883" s="73"/>
      <c r="M2883" s="73"/>
      <c r="N2883" s="73"/>
      <c r="O2883" s="73"/>
      <c r="P2883" s="73"/>
      <c r="Q2883" s="73"/>
      <c r="R2883" s="73"/>
      <c r="S2883" s="73"/>
      <c r="T2883" s="73"/>
      <c r="U2883" s="73"/>
      <c r="V2883" s="73"/>
      <c r="W2883" s="73"/>
      <c r="X2883" s="73"/>
      <c r="Y2883" s="73"/>
      <c r="Z2883" s="73"/>
      <c r="AA2883" s="73"/>
      <c r="AB2883" s="73"/>
    </row>
    <row r="2884">
      <c r="A2884" s="73"/>
      <c r="B2884" s="73">
        <v>1989823.879</v>
      </c>
      <c r="C2884" s="73">
        <v>2.03853111777588E8</v>
      </c>
      <c r="D2884" s="73">
        <v>8.61291186359988E7</v>
      </c>
      <c r="E2884" s="73">
        <v>1.12561722050982E7</v>
      </c>
      <c r="F2884" s="73"/>
      <c r="G2884" s="73"/>
      <c r="H2884" s="73"/>
      <c r="I2884" s="73"/>
      <c r="J2884" s="73"/>
      <c r="K2884" s="73"/>
      <c r="L2884" s="73"/>
      <c r="M2884" s="73"/>
      <c r="N2884" s="73"/>
      <c r="O2884" s="73"/>
      <c r="P2884" s="73"/>
      <c r="Q2884" s="73"/>
      <c r="R2884" s="73"/>
      <c r="S2884" s="73"/>
      <c r="T2884" s="73"/>
      <c r="U2884" s="73"/>
      <c r="V2884" s="73"/>
      <c r="W2884" s="73"/>
      <c r="X2884" s="73"/>
      <c r="Y2884" s="73"/>
      <c r="Z2884" s="73"/>
      <c r="AA2884" s="73"/>
      <c r="AB2884" s="73"/>
    </row>
    <row r="2885">
      <c r="A2885" s="73"/>
      <c r="B2885" s="73">
        <v>1992606.914</v>
      </c>
      <c r="C2885" s="73">
        <v>2.0404563113224E8</v>
      </c>
      <c r="D2885" s="73">
        <v>8.62315191599997E7</v>
      </c>
      <c r="E2885" s="73">
        <v>1.12694408385459E7</v>
      </c>
      <c r="F2885" s="73"/>
      <c r="G2885" s="73"/>
      <c r="H2885" s="73"/>
      <c r="I2885" s="73"/>
      <c r="J2885" s="73"/>
      <c r="K2885" s="73"/>
      <c r="L2885" s="73"/>
      <c r="M2885" s="73"/>
      <c r="N2885" s="73"/>
      <c r="O2885" s="73"/>
      <c r="P2885" s="73"/>
      <c r="Q2885" s="73"/>
      <c r="R2885" s="73"/>
      <c r="S2885" s="73"/>
      <c r="T2885" s="73"/>
      <c r="U2885" s="73"/>
      <c r="V2885" s="73"/>
      <c r="W2885" s="73"/>
      <c r="X2885" s="73"/>
      <c r="Y2885" s="73"/>
      <c r="Z2885" s="73"/>
      <c r="AA2885" s="73"/>
      <c r="AB2885" s="73"/>
    </row>
    <row r="2886">
      <c r="A2886" s="73"/>
      <c r="B2886" s="73">
        <v>1995393.102</v>
      </c>
      <c r="C2886" s="73">
        <v>2.0423823288689E8</v>
      </c>
      <c r="D2886" s="73">
        <v>8.63340022920006E7</v>
      </c>
      <c r="E2886" s="73">
        <v>1.12827236532029E7</v>
      </c>
      <c r="F2886" s="73"/>
      <c r="G2886" s="73"/>
      <c r="H2886" s="73"/>
      <c r="I2886" s="73"/>
      <c r="J2886" s="73"/>
      <c r="K2886" s="73"/>
      <c r="L2886" s="73"/>
      <c r="M2886" s="73"/>
      <c r="N2886" s="73"/>
      <c r="O2886" s="73"/>
      <c r="P2886" s="73"/>
      <c r="Q2886" s="73"/>
      <c r="R2886" s="73"/>
      <c r="S2886" s="73"/>
      <c r="T2886" s="73"/>
      <c r="U2886" s="73"/>
      <c r="V2886" s="73"/>
      <c r="W2886" s="73"/>
      <c r="X2886" s="73"/>
      <c r="Y2886" s="73"/>
      <c r="Z2886" s="73"/>
      <c r="AA2886" s="73"/>
      <c r="AB2886" s="73"/>
    </row>
    <row r="2887">
      <c r="A2887" s="73"/>
      <c r="B2887" s="73">
        <v>1998182.493</v>
      </c>
      <c r="C2887" s="73">
        <v>2.04430982961536E8</v>
      </c>
      <c r="D2887" s="73">
        <v>8.64365629839939E7</v>
      </c>
      <c r="E2887" s="73">
        <v>1.12960205006691E7</v>
      </c>
      <c r="F2887" s="73"/>
      <c r="G2887" s="73"/>
      <c r="H2887" s="73"/>
      <c r="I2887" s="73"/>
      <c r="J2887" s="73"/>
      <c r="K2887" s="73"/>
      <c r="L2887" s="73"/>
      <c r="M2887" s="73"/>
      <c r="N2887" s="73"/>
      <c r="O2887" s="73"/>
      <c r="P2887" s="73"/>
      <c r="Q2887" s="73"/>
      <c r="R2887" s="73"/>
      <c r="S2887" s="73"/>
      <c r="T2887" s="73"/>
      <c r="U2887" s="73"/>
      <c r="V2887" s="73"/>
      <c r="W2887" s="73"/>
      <c r="X2887" s="73"/>
      <c r="Y2887" s="73"/>
      <c r="Z2887" s="73"/>
      <c r="AA2887" s="73"/>
      <c r="AB2887" s="73"/>
    </row>
    <row r="2888">
      <c r="A2888" s="73"/>
      <c r="B2888" s="73">
        <v>2000974.996</v>
      </c>
      <c r="C2888" s="73">
        <v>2.04623848396179E8</v>
      </c>
      <c r="D2888" s="73">
        <v>8.65392011639948E7</v>
      </c>
      <c r="E2888" s="73">
        <v>1.13093314233446E7</v>
      </c>
      <c r="F2888" s="73"/>
      <c r="G2888" s="73"/>
      <c r="H2888" s="73"/>
      <c r="I2888" s="73"/>
      <c r="J2888" s="73"/>
      <c r="K2888" s="73"/>
      <c r="L2888" s="73"/>
      <c r="M2888" s="73"/>
      <c r="N2888" s="73"/>
      <c r="O2888" s="73"/>
      <c r="P2888" s="73"/>
      <c r="Q2888" s="73"/>
      <c r="R2888" s="73"/>
      <c r="S2888" s="73"/>
      <c r="T2888" s="73"/>
      <c r="U2888" s="73"/>
      <c r="V2888" s="73"/>
      <c r="W2888" s="73"/>
      <c r="X2888" s="73"/>
      <c r="Y2888" s="73"/>
      <c r="Z2888" s="73"/>
      <c r="AA2888" s="73"/>
      <c r="AB2888" s="73"/>
    </row>
    <row r="2889">
      <c r="A2889" s="73"/>
      <c r="B2889" s="73">
        <v>2003770.713</v>
      </c>
      <c r="C2889" s="73">
        <v>2.04816812710819E8</v>
      </c>
      <c r="D2889" s="73">
        <v>8.66419220239957E7</v>
      </c>
      <c r="E2889" s="73">
        <v>1.13226571867612E7</v>
      </c>
      <c r="F2889" s="73"/>
      <c r="G2889" s="73"/>
      <c r="H2889" s="73"/>
      <c r="I2889" s="73"/>
      <c r="J2889" s="73"/>
      <c r="K2889" s="73"/>
      <c r="L2889" s="73"/>
      <c r="M2889" s="73"/>
      <c r="N2889" s="73"/>
      <c r="O2889" s="73"/>
      <c r="P2889" s="73"/>
      <c r="Q2889" s="73"/>
      <c r="R2889" s="73"/>
      <c r="S2889" s="73"/>
      <c r="T2889" s="73"/>
      <c r="U2889" s="73"/>
      <c r="V2889" s="73"/>
      <c r="W2889" s="73"/>
      <c r="X2889" s="73"/>
      <c r="Y2889" s="73"/>
      <c r="Z2889" s="73"/>
      <c r="AA2889" s="73"/>
      <c r="AB2889" s="73"/>
    </row>
    <row r="2890">
      <c r="A2890" s="73"/>
      <c r="B2890" s="73">
        <v>2006569.624</v>
      </c>
      <c r="C2890" s="73">
        <v>2.05009908865456E8</v>
      </c>
      <c r="D2890" s="73">
        <v>8.67447203719967E7</v>
      </c>
      <c r="E2890" s="73">
        <v>1.13359961273552E7</v>
      </c>
      <c r="F2890" s="73"/>
      <c r="G2890" s="73"/>
      <c r="H2890" s="73"/>
      <c r="I2890" s="73"/>
      <c r="J2890" s="73"/>
      <c r="K2890" s="73"/>
      <c r="L2890" s="73"/>
      <c r="M2890" s="73"/>
      <c r="N2890" s="73"/>
      <c r="O2890" s="73"/>
      <c r="P2890" s="73"/>
      <c r="Q2890" s="73"/>
      <c r="R2890" s="73"/>
      <c r="S2890" s="73"/>
      <c r="T2890" s="73"/>
      <c r="U2890" s="73"/>
      <c r="V2890" s="73"/>
      <c r="W2890" s="73"/>
      <c r="X2890" s="73"/>
      <c r="Y2890" s="73"/>
      <c r="Z2890" s="73"/>
      <c r="AA2890" s="73"/>
      <c r="AB2890" s="73"/>
    </row>
    <row r="2891">
      <c r="A2891" s="73"/>
      <c r="B2891" s="73">
        <v>2009371.695</v>
      </c>
      <c r="C2891" s="73">
        <v>2.05203103900089E8</v>
      </c>
      <c r="D2891" s="73">
        <v>8.68475962799976E7</v>
      </c>
      <c r="E2891" s="73">
        <v>1.13493501418903E7</v>
      </c>
      <c r="F2891" s="73"/>
      <c r="G2891" s="73"/>
      <c r="H2891" s="73"/>
      <c r="I2891" s="73"/>
      <c r="J2891" s="73"/>
      <c r="K2891" s="73"/>
      <c r="L2891" s="73"/>
      <c r="M2891" s="73"/>
      <c r="N2891" s="73"/>
      <c r="O2891" s="73"/>
      <c r="P2891" s="73"/>
      <c r="Q2891" s="73"/>
      <c r="R2891" s="73"/>
      <c r="S2891" s="73"/>
      <c r="T2891" s="73"/>
      <c r="U2891" s="73"/>
      <c r="V2891" s="73"/>
      <c r="W2891" s="73"/>
      <c r="X2891" s="73"/>
      <c r="Y2891" s="73"/>
      <c r="Z2891" s="73"/>
      <c r="AA2891" s="73"/>
      <c r="AB2891" s="73"/>
    </row>
    <row r="2892">
      <c r="A2892" s="73"/>
      <c r="B2892" s="73">
        <v>2012176.948</v>
      </c>
      <c r="C2892" s="73">
        <v>2.0539641429472E8</v>
      </c>
      <c r="D2892" s="73">
        <v>8.69505497479985E7</v>
      </c>
      <c r="E2892" s="73">
        <v>1.13627174157527E7</v>
      </c>
      <c r="F2892" s="73"/>
      <c r="G2892" s="73"/>
      <c r="H2892" s="73"/>
      <c r="I2892" s="73"/>
      <c r="J2892" s="73"/>
      <c r="K2892" s="73"/>
      <c r="L2892" s="73"/>
      <c r="M2892" s="73"/>
      <c r="N2892" s="73"/>
      <c r="O2892" s="73"/>
      <c r="P2892" s="73"/>
      <c r="Q2892" s="73"/>
      <c r="R2892" s="73"/>
      <c r="S2892" s="73"/>
      <c r="T2892" s="73"/>
      <c r="U2892" s="73"/>
      <c r="V2892" s="73"/>
      <c r="W2892" s="73"/>
      <c r="X2892" s="73"/>
      <c r="Y2892" s="73"/>
      <c r="Z2892" s="73"/>
      <c r="AA2892" s="73"/>
      <c r="AB2892" s="73"/>
    </row>
    <row r="2893">
      <c r="A2893" s="73"/>
      <c r="B2893" s="73">
        <v>2014985.411</v>
      </c>
      <c r="C2893" s="73">
        <v>2.05589840049347E8</v>
      </c>
      <c r="D2893" s="73">
        <v>8.70535858959994E7</v>
      </c>
      <c r="E2893" s="73">
        <v>1.13760996125063E7</v>
      </c>
      <c r="F2893" s="73"/>
      <c r="G2893" s="73"/>
      <c r="H2893" s="73"/>
      <c r="I2893" s="73"/>
      <c r="J2893" s="73"/>
      <c r="K2893" s="73"/>
      <c r="L2893" s="73"/>
      <c r="M2893" s="73"/>
      <c r="N2893" s="73"/>
      <c r="O2893" s="73"/>
      <c r="P2893" s="73"/>
      <c r="Q2893" s="73"/>
      <c r="R2893" s="73"/>
      <c r="S2893" s="73"/>
      <c r="T2893" s="73"/>
      <c r="U2893" s="73"/>
      <c r="V2893" s="73"/>
      <c r="W2893" s="73"/>
      <c r="X2893" s="73"/>
      <c r="Y2893" s="73"/>
      <c r="Z2893" s="73"/>
      <c r="AA2893" s="73"/>
      <c r="AB2893" s="73"/>
    </row>
    <row r="2894">
      <c r="A2894" s="73"/>
      <c r="B2894" s="73">
        <v>2017797.023</v>
      </c>
      <c r="C2894" s="73">
        <v>2.05783381163971E8</v>
      </c>
      <c r="D2894" s="73">
        <v>8.71566996120003E7</v>
      </c>
      <c r="E2894" s="73">
        <v>1.13894950235372E7</v>
      </c>
      <c r="F2894" s="73"/>
      <c r="G2894" s="73"/>
      <c r="H2894" s="73"/>
      <c r="I2894" s="73"/>
      <c r="J2894" s="73"/>
      <c r="K2894" s="73"/>
      <c r="L2894" s="73"/>
      <c r="M2894" s="73"/>
      <c r="N2894" s="73"/>
      <c r="O2894" s="73"/>
      <c r="P2894" s="73"/>
      <c r="Q2894" s="73"/>
      <c r="R2894" s="73"/>
      <c r="S2894" s="73"/>
      <c r="T2894" s="73"/>
      <c r="U2894" s="73"/>
      <c r="V2894" s="73"/>
      <c r="W2894" s="73"/>
      <c r="X2894" s="73"/>
      <c r="Y2894" s="73"/>
      <c r="Z2894" s="73"/>
      <c r="AA2894" s="73"/>
      <c r="AB2894" s="73"/>
    </row>
    <row r="2895">
      <c r="A2895" s="73"/>
      <c r="B2895" s="73">
        <v>2020611.809</v>
      </c>
      <c r="C2895" s="73">
        <v>2.05977037638592E8</v>
      </c>
      <c r="D2895" s="73">
        <v>8.72598959280012E7</v>
      </c>
      <c r="E2895" s="73">
        <v>1.14029055880093E7</v>
      </c>
      <c r="F2895" s="73"/>
      <c r="G2895" s="73"/>
      <c r="H2895" s="73"/>
      <c r="I2895" s="73"/>
      <c r="J2895" s="73"/>
      <c r="K2895" s="73"/>
      <c r="L2895" s="73"/>
      <c r="M2895" s="73"/>
      <c r="N2895" s="73"/>
      <c r="O2895" s="73"/>
      <c r="P2895" s="73"/>
      <c r="Q2895" s="73"/>
      <c r="R2895" s="73"/>
      <c r="S2895" s="73"/>
      <c r="T2895" s="73"/>
      <c r="U2895" s="73"/>
      <c r="V2895" s="73"/>
      <c r="W2895" s="73"/>
      <c r="X2895" s="73"/>
      <c r="Y2895" s="73"/>
      <c r="Z2895" s="73"/>
      <c r="AA2895" s="73"/>
      <c r="AB2895" s="73"/>
    </row>
    <row r="2896">
      <c r="A2896" s="73"/>
      <c r="B2896" s="73">
        <v>2023429.806</v>
      </c>
      <c r="C2896" s="73">
        <v>2.06170825953209E8</v>
      </c>
      <c r="D2896" s="73">
        <v>8.73631697319945E7</v>
      </c>
      <c r="E2896" s="73">
        <v>1.14163300527906E7</v>
      </c>
      <c r="F2896" s="73"/>
      <c r="G2896" s="73"/>
      <c r="H2896" s="73"/>
      <c r="I2896" s="73"/>
      <c r="J2896" s="73"/>
      <c r="K2896" s="73"/>
      <c r="L2896" s="73"/>
      <c r="M2896" s="73"/>
      <c r="N2896" s="73"/>
      <c r="O2896" s="73"/>
      <c r="P2896" s="73"/>
      <c r="Q2896" s="73"/>
      <c r="R2896" s="73"/>
      <c r="S2896" s="73"/>
      <c r="T2896" s="73"/>
      <c r="U2896" s="73"/>
      <c r="V2896" s="73"/>
      <c r="W2896" s="73"/>
      <c r="X2896" s="73"/>
      <c r="Y2896" s="73"/>
      <c r="Z2896" s="73"/>
      <c r="AA2896" s="73"/>
      <c r="AB2896" s="73"/>
    </row>
    <row r="2897">
      <c r="A2897" s="73"/>
      <c r="B2897" s="73">
        <v>2026250.998</v>
      </c>
      <c r="C2897" s="73">
        <v>2.06364696667824E8</v>
      </c>
      <c r="D2897" s="73">
        <v>8.74665211679954E7</v>
      </c>
      <c r="E2897" s="73">
        <v>1.14297687915312E7</v>
      </c>
      <c r="F2897" s="73"/>
      <c r="G2897" s="73"/>
      <c r="H2897" s="73"/>
      <c r="I2897" s="73"/>
      <c r="J2897" s="73"/>
      <c r="K2897" s="73"/>
      <c r="L2897" s="73"/>
      <c r="M2897" s="73"/>
      <c r="N2897" s="73"/>
      <c r="O2897" s="73"/>
      <c r="P2897" s="73"/>
      <c r="Q2897" s="73"/>
      <c r="R2897" s="73"/>
      <c r="S2897" s="73"/>
      <c r="T2897" s="73"/>
      <c r="U2897" s="73"/>
      <c r="V2897" s="73"/>
      <c r="W2897" s="73"/>
      <c r="X2897" s="73"/>
      <c r="Y2897" s="73"/>
      <c r="Z2897" s="73"/>
      <c r="AA2897" s="73"/>
      <c r="AB2897" s="73"/>
    </row>
    <row r="2898">
      <c r="A2898" s="73"/>
      <c r="B2898" s="73">
        <v>2029075.323</v>
      </c>
      <c r="C2898" s="73">
        <v>2.06558715702435E8</v>
      </c>
      <c r="D2898" s="73">
        <v>8.75699552119963E7</v>
      </c>
      <c r="E2898" s="73">
        <v>1.1443221618731E7</v>
      </c>
      <c r="F2898" s="73"/>
      <c r="G2898" s="73"/>
      <c r="H2898" s="73"/>
      <c r="I2898" s="73"/>
      <c r="J2898" s="73"/>
      <c r="K2898" s="73"/>
      <c r="L2898" s="73"/>
      <c r="M2898" s="73"/>
      <c r="N2898" s="73"/>
      <c r="O2898" s="73"/>
      <c r="P2898" s="73"/>
      <c r="Q2898" s="73"/>
      <c r="R2898" s="73"/>
      <c r="S2898" s="73"/>
      <c r="T2898" s="73"/>
      <c r="U2898" s="73"/>
      <c r="V2898" s="73"/>
      <c r="W2898" s="73"/>
      <c r="X2898" s="73"/>
      <c r="Y2898" s="73"/>
      <c r="Z2898" s="73"/>
      <c r="AA2898" s="73"/>
      <c r="AB2898" s="73"/>
    </row>
    <row r="2899">
      <c r="A2899" s="73"/>
      <c r="B2899" s="73">
        <v>2031902.874</v>
      </c>
      <c r="C2899" s="73">
        <v>2.06752833617043E8</v>
      </c>
      <c r="D2899" s="73">
        <v>8.76734668239972E7</v>
      </c>
      <c r="E2899" s="73">
        <v>1.145668861389E7</v>
      </c>
      <c r="F2899" s="73"/>
      <c r="G2899" s="73"/>
      <c r="H2899" s="73"/>
      <c r="I2899" s="73"/>
      <c r="J2899" s="73"/>
      <c r="K2899" s="73"/>
      <c r="L2899" s="73"/>
      <c r="M2899" s="73"/>
      <c r="N2899" s="73"/>
      <c r="O2899" s="73"/>
      <c r="P2899" s="73"/>
      <c r="Q2899" s="73"/>
      <c r="R2899" s="73"/>
      <c r="S2899" s="73"/>
      <c r="T2899" s="73"/>
      <c r="U2899" s="73"/>
      <c r="V2899" s="73"/>
      <c r="W2899" s="73"/>
      <c r="X2899" s="73"/>
      <c r="Y2899" s="73"/>
      <c r="Z2899" s="73"/>
      <c r="AA2899" s="73"/>
      <c r="AB2899" s="73"/>
    </row>
    <row r="2900">
      <c r="A2900" s="73"/>
      <c r="B2900" s="73">
        <v>2034733.561</v>
      </c>
      <c r="C2900" s="73">
        <v>2.06947066891647E8</v>
      </c>
      <c r="D2900" s="73">
        <v>8.77770610359982E7</v>
      </c>
      <c r="E2900" s="73">
        <v>1.14701698856582E7</v>
      </c>
      <c r="F2900" s="73"/>
      <c r="G2900" s="73"/>
      <c r="H2900" s="73"/>
      <c r="I2900" s="73"/>
      <c r="J2900" s="73"/>
      <c r="K2900" s="73"/>
      <c r="L2900" s="73"/>
      <c r="M2900" s="73"/>
      <c r="N2900" s="73"/>
      <c r="O2900" s="73"/>
      <c r="P2900" s="73"/>
      <c r="Q2900" s="73"/>
      <c r="R2900" s="73"/>
      <c r="S2900" s="73"/>
      <c r="T2900" s="73"/>
      <c r="U2900" s="73"/>
      <c r="V2900" s="73"/>
      <c r="W2900" s="73"/>
      <c r="X2900" s="73"/>
      <c r="Y2900" s="73"/>
      <c r="Z2900" s="73"/>
      <c r="AA2900" s="73"/>
      <c r="AB2900" s="73"/>
    </row>
    <row r="2901">
      <c r="A2901" s="73"/>
      <c r="B2901" s="73">
        <v>2037567.542</v>
      </c>
      <c r="C2901" s="73">
        <v>2.07141432006248E8</v>
      </c>
      <c r="D2901" s="73">
        <v>8.78807277679991E7</v>
      </c>
      <c r="E2901" s="73">
        <v>1.14836659266177E7</v>
      </c>
      <c r="F2901" s="73"/>
      <c r="G2901" s="73"/>
      <c r="H2901" s="73"/>
      <c r="I2901" s="73"/>
      <c r="J2901" s="73"/>
      <c r="K2901" s="73"/>
      <c r="L2901" s="73"/>
      <c r="M2901" s="73"/>
      <c r="N2901" s="73"/>
      <c r="O2901" s="73"/>
      <c r="P2901" s="73"/>
      <c r="Q2901" s="73"/>
      <c r="R2901" s="73"/>
      <c r="S2901" s="73"/>
      <c r="T2901" s="73"/>
      <c r="U2901" s="73"/>
      <c r="V2901" s="73"/>
      <c r="W2901" s="73"/>
      <c r="X2901" s="73"/>
      <c r="Y2901" s="73"/>
      <c r="Z2901" s="73"/>
      <c r="AA2901" s="73"/>
      <c r="AB2901" s="73"/>
    </row>
    <row r="2902">
      <c r="A2902" s="73"/>
      <c r="B2902" s="73">
        <v>2040404.6</v>
      </c>
      <c r="C2902" s="73">
        <v>2.07335896000847E8</v>
      </c>
      <c r="D2902" s="73">
        <v>8.7984477028E7</v>
      </c>
      <c r="E2902" s="73">
        <v>1.14971754468544E7</v>
      </c>
      <c r="F2902" s="73"/>
      <c r="G2902" s="73"/>
      <c r="H2902" s="73"/>
      <c r="I2902" s="73"/>
      <c r="J2902" s="73"/>
      <c r="K2902" s="73"/>
      <c r="L2902" s="73"/>
      <c r="M2902" s="73"/>
      <c r="N2902" s="73"/>
      <c r="O2902" s="73"/>
      <c r="P2902" s="73"/>
      <c r="Q2902" s="73"/>
      <c r="R2902" s="73"/>
      <c r="S2902" s="73"/>
      <c r="T2902" s="73"/>
      <c r="U2902" s="73"/>
      <c r="V2902" s="73"/>
      <c r="W2902" s="73"/>
      <c r="X2902" s="73"/>
      <c r="Y2902" s="73"/>
      <c r="Z2902" s="73"/>
      <c r="AA2902" s="73"/>
      <c r="AB2902" s="73"/>
    </row>
    <row r="2903">
      <c r="A2903" s="73"/>
      <c r="B2903" s="73">
        <v>2043244.917</v>
      </c>
      <c r="C2903" s="73">
        <v>2.07530458875443E8</v>
      </c>
      <c r="D2903" s="73">
        <v>8.80883090480009E7</v>
      </c>
      <c r="E2903" s="73">
        <v>1.15106992596004E7</v>
      </c>
      <c r="F2903" s="73"/>
      <c r="G2903" s="73"/>
      <c r="H2903" s="73"/>
      <c r="I2903" s="73"/>
      <c r="J2903" s="73"/>
      <c r="K2903" s="73"/>
      <c r="L2903" s="73"/>
      <c r="M2903" s="73"/>
      <c r="N2903" s="73"/>
      <c r="O2903" s="73"/>
      <c r="P2903" s="73"/>
      <c r="Q2903" s="73"/>
      <c r="R2903" s="73"/>
      <c r="S2903" s="73"/>
      <c r="T2903" s="73"/>
      <c r="U2903" s="73"/>
      <c r="V2903" s="73"/>
      <c r="W2903" s="73"/>
      <c r="X2903" s="73"/>
      <c r="Y2903" s="73"/>
      <c r="Z2903" s="73"/>
      <c r="AA2903" s="73"/>
      <c r="AB2903" s="73"/>
    </row>
    <row r="2904">
      <c r="A2904" s="73"/>
      <c r="B2904" s="73">
        <v>2046088.406</v>
      </c>
      <c r="C2904" s="73">
        <v>2.07725170070034E8</v>
      </c>
      <c r="D2904" s="73">
        <v>8.81922134279942E7</v>
      </c>
      <c r="E2904" s="73">
        <v>1.15242378812876E7</v>
      </c>
      <c r="F2904" s="73"/>
      <c r="G2904" s="73"/>
      <c r="H2904" s="73"/>
      <c r="I2904" s="73"/>
      <c r="J2904" s="73"/>
      <c r="K2904" s="73"/>
      <c r="L2904" s="73"/>
      <c r="M2904" s="73"/>
      <c r="N2904" s="73"/>
      <c r="O2904" s="73"/>
      <c r="P2904" s="73"/>
      <c r="Q2904" s="73"/>
      <c r="R2904" s="73"/>
      <c r="S2904" s="73"/>
      <c r="T2904" s="73"/>
      <c r="U2904" s="73"/>
      <c r="V2904" s="73"/>
      <c r="W2904" s="73"/>
      <c r="X2904" s="73"/>
      <c r="Y2904" s="73"/>
      <c r="Z2904" s="73"/>
      <c r="AA2904" s="73"/>
      <c r="AB2904" s="73"/>
    </row>
    <row r="2905">
      <c r="A2905" s="73"/>
      <c r="B2905" s="73">
        <v>2048935.101</v>
      </c>
      <c r="C2905" s="73">
        <v>2.07919980144623E8</v>
      </c>
      <c r="D2905" s="73">
        <v>8.82962004959951E7</v>
      </c>
      <c r="E2905" s="73">
        <v>1.1537790106802E7</v>
      </c>
      <c r="F2905" s="73"/>
      <c r="G2905" s="73"/>
      <c r="H2905" s="73"/>
      <c r="I2905" s="73"/>
      <c r="J2905" s="73"/>
      <c r="K2905" s="73"/>
      <c r="L2905" s="73"/>
      <c r="M2905" s="73"/>
      <c r="N2905" s="73"/>
      <c r="O2905" s="73"/>
      <c r="P2905" s="73"/>
      <c r="Q2905" s="73"/>
      <c r="R2905" s="73"/>
      <c r="S2905" s="73"/>
      <c r="T2905" s="73"/>
      <c r="U2905" s="73"/>
      <c r="V2905" s="73"/>
      <c r="W2905" s="73"/>
      <c r="X2905" s="73"/>
      <c r="Y2905" s="73"/>
      <c r="Z2905" s="73"/>
      <c r="AA2905" s="73"/>
      <c r="AB2905" s="73"/>
    </row>
    <row r="2906">
      <c r="A2906" s="73"/>
      <c r="B2906" s="73">
        <v>2051784.982</v>
      </c>
      <c r="C2906" s="73">
        <v>2.08114922059208E8</v>
      </c>
      <c r="D2906" s="73">
        <v>8.8400270163996E7</v>
      </c>
      <c r="E2906" s="73">
        <v>1.15513572896576E7</v>
      </c>
      <c r="F2906" s="73"/>
      <c r="G2906" s="73"/>
      <c r="H2906" s="73"/>
      <c r="I2906" s="73"/>
      <c r="J2906" s="73"/>
      <c r="K2906" s="73"/>
      <c r="L2906" s="73"/>
      <c r="M2906" s="73"/>
      <c r="N2906" s="73"/>
      <c r="O2906" s="73"/>
      <c r="P2906" s="73"/>
      <c r="Q2906" s="73"/>
      <c r="R2906" s="73"/>
      <c r="S2906" s="73"/>
      <c r="T2906" s="73"/>
      <c r="U2906" s="73"/>
      <c r="V2906" s="73"/>
      <c r="W2906" s="73"/>
      <c r="X2906" s="73"/>
      <c r="Y2906" s="73"/>
      <c r="Z2906" s="73"/>
      <c r="AA2906" s="73"/>
      <c r="AB2906" s="73"/>
    </row>
    <row r="2907">
      <c r="A2907" s="73"/>
      <c r="B2907" s="73">
        <v>2054638.05</v>
      </c>
      <c r="C2907" s="73">
        <v>2.08309946373791E8</v>
      </c>
      <c r="D2907" s="73">
        <v>8.8504422591997E7</v>
      </c>
      <c r="E2907" s="73">
        <v>1.15649384841225E7</v>
      </c>
      <c r="F2907" s="73"/>
      <c r="G2907" s="73"/>
      <c r="H2907" s="73"/>
      <c r="I2907" s="73"/>
      <c r="J2907" s="73"/>
      <c r="K2907" s="73"/>
      <c r="L2907" s="73"/>
      <c r="M2907" s="73"/>
      <c r="N2907" s="73"/>
      <c r="O2907" s="73"/>
      <c r="P2907" s="73"/>
      <c r="Q2907" s="73"/>
      <c r="R2907" s="73"/>
      <c r="S2907" s="73"/>
      <c r="T2907" s="73"/>
      <c r="U2907" s="73"/>
      <c r="V2907" s="73"/>
      <c r="W2907" s="73"/>
      <c r="X2907" s="73"/>
      <c r="Y2907" s="73"/>
      <c r="Z2907" s="73"/>
      <c r="AA2907" s="73"/>
      <c r="AB2907" s="73"/>
    </row>
    <row r="2908">
      <c r="A2908" s="73"/>
      <c r="B2908" s="73">
        <v>2057494.283</v>
      </c>
      <c r="C2908" s="73">
        <v>2.08505119008369E8</v>
      </c>
      <c r="D2908" s="73">
        <v>8.86086473879979E7</v>
      </c>
      <c r="E2908" s="73">
        <v>1.15785341168466E7</v>
      </c>
      <c r="F2908" s="73"/>
      <c r="G2908" s="73"/>
      <c r="H2908" s="73"/>
      <c r="I2908" s="73"/>
      <c r="J2908" s="73"/>
      <c r="K2908" s="73"/>
      <c r="L2908" s="73"/>
      <c r="M2908" s="73"/>
      <c r="N2908" s="73"/>
      <c r="O2908" s="73"/>
      <c r="P2908" s="73"/>
      <c r="Q2908" s="73"/>
      <c r="R2908" s="73"/>
      <c r="S2908" s="73"/>
      <c r="T2908" s="73"/>
      <c r="U2908" s="73"/>
      <c r="V2908" s="73"/>
      <c r="W2908" s="73"/>
      <c r="X2908" s="73"/>
      <c r="Y2908" s="73"/>
      <c r="Z2908" s="73"/>
      <c r="AA2908" s="73"/>
      <c r="AB2908" s="73"/>
    </row>
    <row r="2909">
      <c r="A2909" s="73"/>
      <c r="B2909" s="73">
        <v>2060353.763</v>
      </c>
      <c r="C2909" s="73">
        <v>2.08700407002945E8</v>
      </c>
      <c r="D2909" s="73">
        <v>8.87129548639988E7</v>
      </c>
      <c r="E2909" s="73">
        <v>1.15921439095799E7</v>
      </c>
      <c r="F2909" s="73"/>
      <c r="G2909" s="73"/>
      <c r="H2909" s="73"/>
      <c r="I2909" s="73"/>
      <c r="J2909" s="73"/>
      <c r="K2909" s="73"/>
      <c r="L2909" s="73"/>
      <c r="M2909" s="73"/>
      <c r="N2909" s="73"/>
      <c r="O2909" s="73"/>
      <c r="P2909" s="73"/>
      <c r="Q2909" s="73"/>
      <c r="R2909" s="73"/>
      <c r="S2909" s="73"/>
      <c r="T2909" s="73"/>
      <c r="U2909" s="73"/>
      <c r="V2909" s="73"/>
      <c r="W2909" s="73"/>
      <c r="X2909" s="73"/>
      <c r="Y2909" s="73"/>
      <c r="Z2909" s="73"/>
      <c r="AA2909" s="73"/>
      <c r="AB2909" s="73"/>
    </row>
    <row r="2910">
      <c r="A2910" s="73"/>
      <c r="B2910" s="73">
        <v>2063216.421</v>
      </c>
      <c r="C2910" s="73">
        <v>2.08895777397518E8</v>
      </c>
      <c r="D2910" s="73">
        <v>8.88173450199997E7</v>
      </c>
      <c r="E2910" s="73">
        <v>1.16057679471224E7</v>
      </c>
      <c r="F2910" s="73"/>
      <c r="G2910" s="73"/>
      <c r="H2910" s="73"/>
      <c r="I2910" s="73"/>
      <c r="J2910" s="73"/>
      <c r="K2910" s="73"/>
      <c r="L2910" s="73"/>
      <c r="M2910" s="73"/>
      <c r="N2910" s="73"/>
      <c r="O2910" s="73"/>
      <c r="P2910" s="73"/>
      <c r="Q2910" s="73"/>
      <c r="R2910" s="73"/>
      <c r="S2910" s="73"/>
      <c r="T2910" s="73"/>
      <c r="U2910" s="73"/>
      <c r="V2910" s="73"/>
      <c r="W2910" s="73"/>
      <c r="X2910" s="73"/>
      <c r="Y2910" s="73"/>
      <c r="Z2910" s="73"/>
      <c r="AA2910" s="73"/>
      <c r="AB2910" s="73"/>
    </row>
    <row r="2911">
      <c r="A2911" s="73"/>
      <c r="B2911" s="73">
        <v>2066082.291</v>
      </c>
      <c r="C2911" s="73">
        <v>2.09091296112087E8</v>
      </c>
      <c r="D2911" s="73">
        <v>8.89218075440006E7</v>
      </c>
      <c r="E2911" s="73">
        <v>1.16194061817742E7</v>
      </c>
      <c r="F2911" s="73"/>
      <c r="G2911" s="73"/>
      <c r="H2911" s="73"/>
      <c r="I2911" s="73"/>
      <c r="J2911" s="73"/>
      <c r="K2911" s="73"/>
      <c r="L2911" s="73"/>
      <c r="M2911" s="73"/>
      <c r="N2911" s="73"/>
      <c r="O2911" s="73"/>
      <c r="P2911" s="73"/>
      <c r="Q2911" s="73"/>
      <c r="R2911" s="73"/>
      <c r="S2911" s="73"/>
      <c r="T2911" s="73"/>
      <c r="U2911" s="73"/>
      <c r="V2911" s="73"/>
      <c r="W2911" s="73"/>
      <c r="X2911" s="73"/>
      <c r="Y2911" s="73"/>
      <c r="Z2911" s="73"/>
      <c r="AA2911" s="73"/>
      <c r="AB2911" s="73"/>
    </row>
    <row r="2912">
      <c r="A2912" s="73"/>
      <c r="B2912" s="73">
        <v>2068951.373</v>
      </c>
      <c r="C2912" s="73">
        <v>2.09286913706654E8</v>
      </c>
      <c r="D2912" s="73">
        <v>8.90263527479939E7</v>
      </c>
      <c r="E2912" s="73">
        <v>1.16330586850853E7</v>
      </c>
      <c r="F2912" s="73"/>
      <c r="G2912" s="73"/>
      <c r="H2912" s="73"/>
      <c r="I2912" s="73"/>
      <c r="J2912" s="73"/>
      <c r="K2912" s="73"/>
      <c r="L2912" s="73"/>
      <c r="M2912" s="73"/>
      <c r="N2912" s="73"/>
      <c r="O2912" s="73"/>
      <c r="P2912" s="73"/>
      <c r="Q2912" s="73"/>
      <c r="R2912" s="73"/>
      <c r="S2912" s="73"/>
      <c r="T2912" s="73"/>
      <c r="U2912" s="73"/>
      <c r="V2912" s="73"/>
      <c r="W2912" s="73"/>
      <c r="X2912" s="73"/>
      <c r="Y2912" s="73"/>
      <c r="Z2912" s="73"/>
      <c r="AA2912" s="73"/>
      <c r="AB2912" s="73"/>
    </row>
    <row r="2913">
      <c r="A2913" s="73"/>
      <c r="B2913" s="73">
        <v>2071823.641</v>
      </c>
      <c r="C2913" s="73">
        <v>2.09482646661217E8</v>
      </c>
      <c r="D2913" s="73">
        <v>8.91309805599948E7</v>
      </c>
      <c r="E2913" s="73">
        <v>1.16467255312555E7</v>
      </c>
      <c r="F2913" s="73"/>
      <c r="G2913" s="73"/>
      <c r="H2913" s="73"/>
      <c r="I2913" s="73"/>
      <c r="J2913" s="73"/>
      <c r="K2913" s="73"/>
      <c r="L2913" s="73"/>
      <c r="M2913" s="73"/>
      <c r="N2913" s="73"/>
      <c r="O2913" s="73"/>
      <c r="P2913" s="73"/>
      <c r="Q2913" s="73"/>
      <c r="R2913" s="73"/>
      <c r="S2913" s="73"/>
      <c r="T2913" s="73"/>
      <c r="U2913" s="73"/>
      <c r="V2913" s="73"/>
      <c r="W2913" s="73"/>
      <c r="X2913" s="73"/>
      <c r="Y2913" s="73"/>
      <c r="Z2913" s="73"/>
      <c r="AA2913" s="73"/>
      <c r="AB2913" s="73"/>
    </row>
    <row r="2914">
      <c r="A2914" s="73"/>
      <c r="B2914" s="73">
        <v>2074699.107</v>
      </c>
      <c r="C2914" s="73">
        <v>2.09678511455776E8</v>
      </c>
      <c r="D2914" s="73">
        <v>8.92356808119957E7</v>
      </c>
      <c r="E2914" s="73">
        <v>1.16604075176169E7</v>
      </c>
      <c r="F2914" s="73"/>
      <c r="G2914" s="73"/>
      <c r="H2914" s="73"/>
      <c r="I2914" s="73"/>
      <c r="J2914" s="73"/>
      <c r="K2914" s="73"/>
      <c r="L2914" s="73"/>
      <c r="M2914" s="73"/>
      <c r="N2914" s="73"/>
      <c r="O2914" s="73"/>
      <c r="P2914" s="73"/>
      <c r="Q2914" s="73"/>
      <c r="R2914" s="73"/>
      <c r="S2914" s="73"/>
      <c r="T2914" s="73"/>
      <c r="U2914" s="73"/>
      <c r="V2914" s="73"/>
      <c r="W2914" s="73"/>
      <c r="X2914" s="73"/>
      <c r="Y2914" s="73"/>
      <c r="Z2914" s="73"/>
      <c r="AA2914" s="73"/>
      <c r="AB2914" s="73"/>
    </row>
    <row r="2915">
      <c r="A2915" s="73"/>
      <c r="B2915" s="73">
        <v>2077577.721</v>
      </c>
      <c r="C2915" s="73">
        <v>2.09874475130333E8</v>
      </c>
      <c r="D2915" s="73">
        <v>8.93404740559966E7</v>
      </c>
      <c r="E2915" s="73">
        <v>1.16741028852056E7</v>
      </c>
      <c r="F2915" s="73"/>
      <c r="G2915" s="73"/>
      <c r="H2915" s="73"/>
      <c r="I2915" s="73"/>
      <c r="J2915" s="73"/>
      <c r="K2915" s="73"/>
      <c r="L2915" s="73"/>
      <c r="M2915" s="73"/>
      <c r="N2915" s="73"/>
      <c r="O2915" s="73"/>
      <c r="P2915" s="73"/>
      <c r="Q2915" s="73"/>
      <c r="R2915" s="73"/>
      <c r="S2915" s="73"/>
      <c r="T2915" s="73"/>
      <c r="U2915" s="73"/>
      <c r="V2915" s="73"/>
      <c r="W2915" s="73"/>
      <c r="X2915" s="73"/>
      <c r="Y2915" s="73"/>
      <c r="Z2915" s="73"/>
      <c r="AA2915" s="73"/>
      <c r="AB2915" s="73"/>
    </row>
    <row r="2916">
      <c r="A2916" s="73"/>
      <c r="B2916" s="73">
        <v>2080459.657</v>
      </c>
      <c r="C2916" s="73">
        <v>2.10070570644886E8</v>
      </c>
      <c r="D2916" s="73">
        <v>8.94453395959976E7</v>
      </c>
      <c r="E2916" s="73">
        <v>1.16878131809855E7</v>
      </c>
      <c r="F2916" s="73"/>
      <c r="G2916" s="73"/>
      <c r="H2916" s="73"/>
      <c r="I2916" s="73"/>
      <c r="J2916" s="73"/>
      <c r="K2916" s="73"/>
      <c r="L2916" s="73"/>
      <c r="M2916" s="73"/>
      <c r="N2916" s="73"/>
      <c r="O2916" s="73"/>
      <c r="P2916" s="73"/>
      <c r="Q2916" s="73"/>
      <c r="R2916" s="73"/>
      <c r="S2916" s="73"/>
      <c r="T2916" s="73"/>
      <c r="U2916" s="73"/>
      <c r="V2916" s="73"/>
      <c r="W2916" s="73"/>
      <c r="X2916" s="73"/>
      <c r="Y2916" s="73"/>
      <c r="Z2916" s="73"/>
      <c r="AA2916" s="73"/>
      <c r="AB2916" s="73"/>
    </row>
    <row r="2917">
      <c r="A2917" s="73"/>
      <c r="B2917" s="73">
        <v>2083344.701</v>
      </c>
      <c r="C2917" s="73">
        <v>2.10266765039436E8</v>
      </c>
      <c r="D2917" s="73">
        <v>8.95502776479985E7</v>
      </c>
      <c r="E2917" s="73">
        <v>1.17015378196246E7</v>
      </c>
      <c r="F2917" s="73"/>
      <c r="G2917" s="73"/>
      <c r="H2917" s="73"/>
      <c r="I2917" s="73"/>
      <c r="J2917" s="73"/>
      <c r="K2917" s="73"/>
      <c r="L2917" s="73"/>
      <c r="M2917" s="73"/>
      <c r="N2917" s="73"/>
      <c r="O2917" s="73"/>
      <c r="P2917" s="73"/>
      <c r="Q2917" s="73"/>
      <c r="R2917" s="73"/>
      <c r="S2917" s="73"/>
      <c r="T2917" s="73"/>
      <c r="U2917" s="73"/>
      <c r="V2917" s="73"/>
      <c r="W2917" s="73"/>
      <c r="X2917" s="73"/>
      <c r="Y2917" s="73"/>
      <c r="Z2917" s="73"/>
      <c r="AA2917" s="73"/>
      <c r="AB2917" s="73"/>
    </row>
    <row r="2918">
      <c r="A2918" s="73"/>
      <c r="B2918" s="73">
        <v>2086232.983</v>
      </c>
      <c r="C2918" s="73">
        <v>2.10463091273983E8</v>
      </c>
      <c r="D2918" s="73">
        <v>8.96553084759994E7</v>
      </c>
      <c r="E2918" s="73">
        <v>1.1715276072691E7</v>
      </c>
      <c r="F2918" s="73"/>
      <c r="G2918" s="73"/>
      <c r="H2918" s="73"/>
      <c r="I2918" s="73"/>
      <c r="J2918" s="73"/>
      <c r="K2918" s="73"/>
      <c r="L2918" s="73"/>
      <c r="M2918" s="73"/>
      <c r="N2918" s="73"/>
      <c r="O2918" s="73"/>
      <c r="P2918" s="73"/>
      <c r="Q2918" s="73"/>
      <c r="R2918" s="73"/>
      <c r="S2918" s="73"/>
      <c r="T2918" s="73"/>
      <c r="U2918" s="73"/>
      <c r="V2918" s="73"/>
      <c r="W2918" s="73"/>
      <c r="X2918" s="73"/>
      <c r="Y2918" s="73"/>
      <c r="Z2918" s="73"/>
      <c r="AA2918" s="73"/>
      <c r="AB2918" s="73"/>
    </row>
    <row r="2919">
      <c r="A2919" s="73"/>
      <c r="B2919" s="73">
        <v>2089124.424</v>
      </c>
      <c r="C2919" s="73">
        <v>2.10659516388527E8</v>
      </c>
      <c r="D2919" s="73">
        <v>8.97604118960003E7</v>
      </c>
      <c r="E2919" s="73">
        <v>1.17290294765486E7</v>
      </c>
      <c r="F2919" s="73"/>
      <c r="G2919" s="73"/>
      <c r="H2919" s="73"/>
      <c r="I2919" s="73"/>
      <c r="J2919" s="73"/>
      <c r="K2919" s="73"/>
      <c r="L2919" s="73"/>
      <c r="M2919" s="73"/>
      <c r="N2919" s="73"/>
      <c r="O2919" s="73"/>
      <c r="P2919" s="73"/>
      <c r="Q2919" s="73"/>
      <c r="R2919" s="73"/>
      <c r="S2919" s="73"/>
      <c r="T2919" s="73"/>
      <c r="U2919" s="73"/>
      <c r="V2919" s="73"/>
      <c r="W2919" s="73"/>
      <c r="X2919" s="73"/>
      <c r="Y2919" s="73"/>
      <c r="Z2919" s="73"/>
      <c r="AA2919" s="73"/>
      <c r="AB2919" s="73"/>
    </row>
    <row r="2920">
      <c r="A2920" s="73"/>
      <c r="B2920" s="73">
        <v>2092019.168</v>
      </c>
      <c r="C2920" s="73">
        <v>2.10856073343067E8</v>
      </c>
      <c r="D2920" s="73">
        <v>8.98655978439936E7</v>
      </c>
      <c r="E2920" s="73">
        <v>1.17427970536654E7</v>
      </c>
      <c r="F2920" s="73"/>
      <c r="G2920" s="73"/>
      <c r="H2920" s="73"/>
      <c r="I2920" s="73"/>
      <c r="J2920" s="73"/>
      <c r="K2920" s="73"/>
      <c r="L2920" s="73"/>
      <c r="M2920" s="73"/>
      <c r="N2920" s="73"/>
      <c r="O2920" s="73"/>
      <c r="P2920" s="73"/>
      <c r="Q2920" s="73"/>
      <c r="R2920" s="73"/>
      <c r="S2920" s="73"/>
      <c r="T2920" s="73"/>
      <c r="U2920" s="73"/>
      <c r="V2920" s="73"/>
      <c r="W2920" s="73"/>
      <c r="X2920" s="73"/>
      <c r="Y2920" s="73"/>
      <c r="Z2920" s="73"/>
      <c r="AA2920" s="73"/>
      <c r="AB2920" s="73"/>
    </row>
    <row r="2921">
      <c r="A2921" s="73"/>
      <c r="B2921" s="73">
        <v>2094917.105</v>
      </c>
      <c r="C2921" s="73">
        <v>2.11052729177605E8</v>
      </c>
      <c r="D2921" s="73">
        <v>8.99708665519945E7</v>
      </c>
      <c r="E2921" s="73">
        <v>1.17565789736414E7</v>
      </c>
      <c r="F2921" s="73"/>
      <c r="G2921" s="73"/>
      <c r="H2921" s="73"/>
      <c r="I2921" s="73"/>
      <c r="J2921" s="73"/>
      <c r="K2921" s="73"/>
      <c r="L2921" s="73"/>
      <c r="M2921" s="73"/>
      <c r="N2921" s="73"/>
      <c r="O2921" s="73"/>
      <c r="P2921" s="73"/>
      <c r="Q2921" s="73"/>
      <c r="R2921" s="73"/>
      <c r="S2921" s="73"/>
      <c r="T2921" s="73"/>
      <c r="U2921" s="73"/>
      <c r="V2921" s="73"/>
      <c r="W2921" s="73"/>
      <c r="X2921" s="73"/>
      <c r="Y2921" s="73"/>
      <c r="Z2921" s="73"/>
      <c r="AA2921" s="73"/>
      <c r="AB2921" s="73"/>
    </row>
    <row r="2922">
      <c r="A2922" s="73"/>
      <c r="B2922" s="73">
        <v>2097818.206</v>
      </c>
      <c r="C2922" s="73">
        <v>2.11249516852139E8</v>
      </c>
      <c r="D2922" s="73">
        <v>9.00762075479954E7</v>
      </c>
      <c r="E2922" s="73">
        <v>1.17703759384087E7</v>
      </c>
      <c r="F2922" s="73"/>
      <c r="G2922" s="73"/>
      <c r="H2922" s="73"/>
      <c r="I2922" s="73"/>
      <c r="J2922" s="73"/>
      <c r="K2922" s="73"/>
      <c r="L2922" s="73"/>
      <c r="M2922" s="73"/>
      <c r="N2922" s="73"/>
      <c r="O2922" s="73"/>
      <c r="P2922" s="73"/>
      <c r="Q2922" s="73"/>
      <c r="R2922" s="73"/>
      <c r="S2922" s="73"/>
      <c r="T2922" s="73"/>
      <c r="U2922" s="73"/>
      <c r="V2922" s="73"/>
      <c r="W2922" s="73"/>
      <c r="X2922" s="73"/>
      <c r="Y2922" s="73"/>
      <c r="Z2922" s="73"/>
      <c r="AA2922" s="73"/>
      <c r="AB2922" s="73"/>
    </row>
    <row r="2923">
      <c r="A2923" s="73"/>
      <c r="B2923" s="73">
        <v>2100722.546</v>
      </c>
      <c r="C2923" s="73">
        <v>2.1144638692667E8</v>
      </c>
      <c r="D2923" s="73">
        <v>9.01816313039963E7</v>
      </c>
      <c r="E2923" s="73">
        <v>1.17841864487031E7</v>
      </c>
      <c r="F2923" s="73"/>
      <c r="G2923" s="73"/>
      <c r="H2923" s="73"/>
      <c r="I2923" s="73"/>
      <c r="J2923" s="73"/>
      <c r="K2923" s="73"/>
      <c r="L2923" s="73"/>
      <c r="M2923" s="73"/>
      <c r="N2923" s="73"/>
      <c r="O2923" s="73"/>
      <c r="P2923" s="73"/>
      <c r="Q2923" s="73"/>
      <c r="R2923" s="73"/>
      <c r="S2923" s="73"/>
      <c r="T2923" s="73"/>
      <c r="U2923" s="73"/>
      <c r="V2923" s="73"/>
      <c r="W2923" s="73"/>
      <c r="X2923" s="73"/>
      <c r="Y2923" s="73"/>
      <c r="Z2923" s="73"/>
      <c r="AA2923" s="73"/>
      <c r="AB2923" s="73"/>
    </row>
    <row r="2924">
      <c r="A2924" s="73"/>
      <c r="B2924" s="73">
        <v>2103630.091</v>
      </c>
      <c r="C2924" s="73">
        <v>2.11643438281197E8</v>
      </c>
      <c r="D2924" s="73">
        <v>9.02871377319973E7</v>
      </c>
      <c r="E2924" s="73">
        <v>1.17980115456568E7</v>
      </c>
      <c r="F2924" s="73"/>
      <c r="G2924" s="73"/>
      <c r="H2924" s="73"/>
      <c r="I2924" s="73"/>
      <c r="J2924" s="73"/>
      <c r="K2924" s="73"/>
      <c r="L2924" s="73"/>
      <c r="M2924" s="73"/>
      <c r="N2924" s="73"/>
      <c r="O2924" s="73"/>
      <c r="P2924" s="73"/>
      <c r="Q2924" s="73"/>
      <c r="R2924" s="73"/>
      <c r="S2924" s="73"/>
      <c r="T2924" s="73"/>
      <c r="U2924" s="73"/>
      <c r="V2924" s="73"/>
      <c r="W2924" s="73"/>
      <c r="X2924" s="73"/>
      <c r="Y2924" s="73"/>
      <c r="Z2924" s="73"/>
      <c r="AA2924" s="73"/>
      <c r="AB2924" s="73"/>
    </row>
    <row r="2925">
      <c r="A2925" s="73"/>
      <c r="B2925" s="73">
        <v>2106540.828</v>
      </c>
      <c r="C2925" s="73">
        <v>2.11840539075722E8</v>
      </c>
      <c r="D2925" s="73">
        <v>9.03927267759982E7</v>
      </c>
      <c r="E2925" s="73">
        <v>1.18118514171017E7</v>
      </c>
      <c r="F2925" s="73"/>
      <c r="G2925" s="73"/>
      <c r="H2925" s="73"/>
      <c r="I2925" s="73"/>
      <c r="J2925" s="73"/>
      <c r="K2925" s="73"/>
      <c r="L2925" s="73"/>
      <c r="M2925" s="73"/>
      <c r="N2925" s="73"/>
      <c r="O2925" s="73"/>
      <c r="P2925" s="73"/>
      <c r="Q2925" s="73"/>
      <c r="R2925" s="73"/>
      <c r="S2925" s="73"/>
      <c r="T2925" s="73"/>
      <c r="U2925" s="73"/>
      <c r="V2925" s="73"/>
      <c r="W2925" s="73"/>
      <c r="X2925" s="73"/>
      <c r="Y2925" s="73"/>
      <c r="Z2925" s="73"/>
      <c r="AA2925" s="73"/>
      <c r="AB2925" s="73"/>
    </row>
    <row r="2926">
      <c r="A2926" s="73"/>
      <c r="B2926" s="73">
        <v>2109454.795</v>
      </c>
      <c r="C2926" s="73">
        <v>2.12037788190243E8</v>
      </c>
      <c r="D2926" s="73">
        <v>9.04983882599991E7</v>
      </c>
      <c r="E2926" s="73">
        <v>1.18257059388059E7</v>
      </c>
      <c r="F2926" s="73"/>
      <c r="G2926" s="73"/>
      <c r="H2926" s="73"/>
      <c r="I2926" s="73"/>
      <c r="J2926" s="73"/>
      <c r="K2926" s="73"/>
      <c r="L2926" s="73"/>
      <c r="M2926" s="73"/>
      <c r="N2926" s="73"/>
      <c r="O2926" s="73"/>
      <c r="P2926" s="73"/>
      <c r="Q2926" s="73"/>
      <c r="R2926" s="73"/>
      <c r="S2926" s="73"/>
      <c r="T2926" s="73"/>
      <c r="U2926" s="73"/>
      <c r="V2926" s="73"/>
      <c r="W2926" s="73"/>
      <c r="X2926" s="73"/>
      <c r="Y2926" s="73"/>
      <c r="Z2926" s="73"/>
      <c r="AA2926" s="73"/>
      <c r="AB2926" s="73"/>
    </row>
    <row r="2927">
      <c r="A2927" s="73"/>
      <c r="B2927" s="73">
        <v>2112371.981</v>
      </c>
      <c r="C2927" s="73">
        <v>2.1223516914476E8</v>
      </c>
      <c r="D2927" s="73">
        <v>9.0604132344E7</v>
      </c>
      <c r="E2927" s="73">
        <v>1.18395739159372E7</v>
      </c>
      <c r="F2927" s="73"/>
      <c r="G2927" s="73"/>
      <c r="H2927" s="73"/>
      <c r="I2927" s="73"/>
      <c r="J2927" s="73"/>
      <c r="K2927" s="73"/>
      <c r="L2927" s="73"/>
      <c r="M2927" s="73"/>
      <c r="N2927" s="73"/>
      <c r="O2927" s="73"/>
      <c r="P2927" s="73"/>
      <c r="Q2927" s="73"/>
      <c r="R2927" s="73"/>
      <c r="S2927" s="73"/>
      <c r="T2927" s="73"/>
      <c r="U2927" s="73"/>
      <c r="V2927" s="73"/>
      <c r="W2927" s="73"/>
      <c r="X2927" s="73"/>
      <c r="Y2927" s="73"/>
      <c r="Z2927" s="73"/>
      <c r="AA2927" s="73"/>
      <c r="AB2927" s="73"/>
    </row>
    <row r="2928">
      <c r="A2928" s="73"/>
      <c r="B2928" s="73">
        <v>2115292.352</v>
      </c>
      <c r="C2928" s="73">
        <v>2.12432648979275E8</v>
      </c>
      <c r="D2928" s="73">
        <v>9.07099592680009E7</v>
      </c>
      <c r="E2928" s="73">
        <v>1.18534571074598E7</v>
      </c>
      <c r="F2928" s="73"/>
      <c r="G2928" s="73"/>
      <c r="H2928" s="73"/>
      <c r="I2928" s="73"/>
      <c r="J2928" s="73"/>
      <c r="K2928" s="73"/>
      <c r="L2928" s="73"/>
      <c r="M2928" s="73"/>
      <c r="N2928" s="73"/>
      <c r="O2928" s="73"/>
      <c r="P2928" s="73"/>
      <c r="Q2928" s="73"/>
      <c r="R2928" s="73"/>
      <c r="S2928" s="73"/>
      <c r="T2928" s="73"/>
      <c r="U2928" s="73"/>
      <c r="V2928" s="73"/>
      <c r="W2928" s="73"/>
      <c r="X2928" s="73"/>
      <c r="Y2928" s="73"/>
      <c r="Z2928" s="73"/>
      <c r="AA2928" s="73"/>
      <c r="AB2928" s="73"/>
    </row>
    <row r="2929">
      <c r="A2929" s="73"/>
      <c r="B2929" s="73">
        <v>2118215.973</v>
      </c>
      <c r="C2929" s="73">
        <v>2.12630211213787E8</v>
      </c>
      <c r="D2929" s="73">
        <v>9.08158686399942E7</v>
      </c>
      <c r="E2929" s="73">
        <v>1.18673545676416E7</v>
      </c>
      <c r="F2929" s="73"/>
      <c r="G2929" s="73"/>
      <c r="H2929" s="73"/>
      <c r="I2929" s="73"/>
      <c r="J2929" s="73"/>
      <c r="K2929" s="73"/>
      <c r="L2929" s="73"/>
      <c r="M2929" s="73"/>
      <c r="N2929" s="73"/>
      <c r="O2929" s="73"/>
      <c r="P2929" s="73"/>
      <c r="Q2929" s="73"/>
      <c r="R2929" s="73"/>
      <c r="S2929" s="73"/>
      <c r="T2929" s="73"/>
      <c r="U2929" s="73"/>
      <c r="V2929" s="73"/>
      <c r="W2929" s="73"/>
      <c r="X2929" s="73"/>
      <c r="Y2929" s="73"/>
      <c r="Z2929" s="73"/>
      <c r="AA2929" s="73"/>
      <c r="AB2929" s="73"/>
    </row>
    <row r="2930">
      <c r="A2930" s="73"/>
      <c r="B2930" s="73">
        <v>2121142.818</v>
      </c>
      <c r="C2930" s="73">
        <v>2.12827938248295E8</v>
      </c>
      <c r="D2930" s="73">
        <v>9.09218606999951E7</v>
      </c>
      <c r="E2930" s="73">
        <v>1.18812664607826E7</v>
      </c>
      <c r="F2930" s="73"/>
      <c r="G2930" s="73"/>
      <c r="H2930" s="73"/>
      <c r="I2930" s="73"/>
      <c r="J2930" s="73"/>
      <c r="K2930" s="73"/>
      <c r="L2930" s="73"/>
      <c r="M2930" s="73"/>
      <c r="N2930" s="73"/>
      <c r="O2930" s="73"/>
      <c r="P2930" s="73"/>
      <c r="Q2930" s="73"/>
      <c r="R2930" s="73"/>
      <c r="S2930" s="73"/>
      <c r="T2930" s="73"/>
      <c r="U2930" s="73"/>
      <c r="V2930" s="73"/>
      <c r="W2930" s="73"/>
      <c r="X2930" s="73"/>
      <c r="Y2930" s="73"/>
      <c r="Z2930" s="73"/>
      <c r="AA2930" s="73"/>
      <c r="AB2930" s="73"/>
    </row>
    <row r="2931">
      <c r="A2931" s="73"/>
      <c r="B2931" s="73">
        <v>2124072.895</v>
      </c>
      <c r="C2931" s="73">
        <v>2.130257641628E8</v>
      </c>
      <c r="D2931" s="73">
        <v>9.1027925271996E7</v>
      </c>
      <c r="E2931" s="73">
        <v>1.18951934994148E7</v>
      </c>
      <c r="F2931" s="73"/>
      <c r="G2931" s="73"/>
      <c r="H2931" s="73"/>
      <c r="I2931" s="73"/>
      <c r="J2931" s="73"/>
      <c r="K2931" s="73"/>
      <c r="L2931" s="73"/>
      <c r="M2931" s="73"/>
      <c r="N2931" s="73"/>
      <c r="O2931" s="73"/>
      <c r="P2931" s="73"/>
      <c r="Q2931" s="73"/>
      <c r="R2931" s="73"/>
      <c r="S2931" s="73"/>
      <c r="T2931" s="73"/>
      <c r="U2931" s="73"/>
      <c r="V2931" s="73"/>
      <c r="W2931" s="73"/>
      <c r="X2931" s="73"/>
      <c r="Y2931" s="73"/>
      <c r="Z2931" s="73"/>
      <c r="AA2931" s="73"/>
      <c r="AB2931" s="73"/>
    </row>
    <row r="2932">
      <c r="A2932" s="73"/>
      <c r="B2932" s="73">
        <v>2127006.15</v>
      </c>
      <c r="C2932" s="73">
        <v>2.13223688957302E8</v>
      </c>
      <c r="D2932" s="73">
        <v>9.1134072531997E7</v>
      </c>
      <c r="E2932" s="73">
        <v>1.19091342266743E7</v>
      </c>
      <c r="F2932" s="73"/>
      <c r="G2932" s="73"/>
      <c r="H2932" s="73"/>
      <c r="I2932" s="73"/>
      <c r="J2932" s="73"/>
      <c r="K2932" s="73"/>
      <c r="L2932" s="73"/>
      <c r="M2932" s="73"/>
      <c r="N2932" s="73"/>
      <c r="O2932" s="73"/>
      <c r="P2932" s="73"/>
      <c r="Q2932" s="73"/>
      <c r="R2932" s="73"/>
      <c r="S2932" s="73"/>
      <c r="T2932" s="73"/>
      <c r="U2932" s="73"/>
      <c r="V2932" s="73"/>
      <c r="W2932" s="73"/>
      <c r="X2932" s="73"/>
      <c r="Y2932" s="73"/>
      <c r="Z2932" s="73"/>
      <c r="AA2932" s="73"/>
      <c r="AB2932" s="73"/>
    </row>
    <row r="2933">
      <c r="A2933" s="73"/>
      <c r="B2933" s="73">
        <v>2129942.591</v>
      </c>
      <c r="C2933" s="73">
        <v>2.134217785518E8</v>
      </c>
      <c r="D2933" s="73">
        <v>9.12403023919979E7</v>
      </c>
      <c r="E2933" s="73">
        <v>1.19230893020929E7</v>
      </c>
      <c r="F2933" s="73"/>
      <c r="G2933" s="73"/>
      <c r="H2933" s="73"/>
      <c r="I2933" s="73"/>
      <c r="J2933" s="73"/>
      <c r="K2933" s="73"/>
      <c r="L2933" s="73"/>
      <c r="M2933" s="73"/>
      <c r="N2933" s="73"/>
      <c r="O2933" s="73"/>
      <c r="P2933" s="73"/>
      <c r="Q2933" s="73"/>
      <c r="R2933" s="73"/>
      <c r="S2933" s="73"/>
      <c r="T2933" s="73"/>
      <c r="U2933" s="73"/>
      <c r="V2933" s="73"/>
      <c r="W2933" s="73"/>
      <c r="X2933" s="73"/>
      <c r="Y2933" s="73"/>
      <c r="Z2933" s="73"/>
      <c r="AA2933" s="73"/>
      <c r="AB2933" s="73"/>
    </row>
    <row r="2934">
      <c r="A2934" s="73"/>
      <c r="B2934" s="73">
        <v>2132882.353</v>
      </c>
      <c r="C2934" s="73">
        <v>2.13619934066296E8</v>
      </c>
      <c r="D2934" s="73">
        <v>9.13466045399988E7</v>
      </c>
      <c r="E2934" s="73">
        <v>1.19370595018028E7</v>
      </c>
      <c r="F2934" s="73"/>
      <c r="G2934" s="73"/>
      <c r="H2934" s="73"/>
      <c r="I2934" s="73"/>
      <c r="J2934" s="73"/>
      <c r="K2934" s="73"/>
      <c r="L2934" s="73"/>
      <c r="M2934" s="73"/>
      <c r="N2934" s="73"/>
      <c r="O2934" s="73"/>
      <c r="P2934" s="73"/>
      <c r="Q2934" s="73"/>
      <c r="R2934" s="73"/>
      <c r="S2934" s="73"/>
      <c r="T2934" s="73"/>
      <c r="U2934" s="73"/>
      <c r="V2934" s="73"/>
      <c r="W2934" s="73"/>
      <c r="X2934" s="73"/>
      <c r="Y2934" s="73"/>
      <c r="Z2934" s="73"/>
      <c r="AA2934" s="73"/>
      <c r="AB2934" s="73"/>
    </row>
    <row r="2935">
      <c r="A2935" s="73"/>
      <c r="B2935" s="73">
        <v>2135825.299</v>
      </c>
      <c r="C2935" s="73">
        <v>2.13818221420788E8</v>
      </c>
      <c r="D2935" s="73">
        <v>9.14529998399997E7</v>
      </c>
      <c r="E2935" s="73">
        <v>1.19510443199719E7</v>
      </c>
      <c r="F2935" s="73"/>
      <c r="G2935" s="73"/>
      <c r="H2935" s="73"/>
      <c r="I2935" s="73"/>
      <c r="J2935" s="73"/>
      <c r="K2935" s="73"/>
      <c r="L2935" s="73"/>
      <c r="M2935" s="73"/>
      <c r="N2935" s="73"/>
      <c r="O2935" s="73"/>
      <c r="P2935" s="73"/>
      <c r="Q2935" s="73"/>
      <c r="R2935" s="73"/>
      <c r="S2935" s="73"/>
      <c r="T2935" s="73"/>
      <c r="U2935" s="73"/>
      <c r="V2935" s="73"/>
      <c r="W2935" s="73"/>
      <c r="X2935" s="73"/>
      <c r="Y2935" s="73"/>
      <c r="Z2935" s="73"/>
      <c r="AA2935" s="73"/>
      <c r="AB2935" s="73"/>
    </row>
    <row r="2936">
      <c r="A2936" s="73"/>
      <c r="B2936" s="73">
        <v>2138771.432</v>
      </c>
      <c r="C2936" s="73">
        <v>2.14016640615276E8</v>
      </c>
      <c r="D2936" s="73">
        <v>9.15594674280006E7</v>
      </c>
      <c r="E2936" s="73">
        <v>1.19650426942682E7</v>
      </c>
      <c r="F2936" s="73"/>
      <c r="G2936" s="73"/>
      <c r="H2936" s="73"/>
      <c r="I2936" s="73"/>
      <c r="J2936" s="73"/>
      <c r="K2936" s="73"/>
      <c r="L2936" s="73"/>
      <c r="M2936" s="73"/>
      <c r="N2936" s="73"/>
      <c r="O2936" s="73"/>
      <c r="P2936" s="73"/>
      <c r="Q2936" s="73"/>
      <c r="R2936" s="73"/>
      <c r="S2936" s="73"/>
      <c r="T2936" s="73"/>
      <c r="U2936" s="73"/>
      <c r="V2936" s="73"/>
      <c r="W2936" s="73"/>
      <c r="X2936" s="73"/>
      <c r="Y2936" s="73"/>
      <c r="Z2936" s="73"/>
      <c r="AA2936" s="73"/>
      <c r="AB2936" s="73"/>
    </row>
    <row r="2937">
      <c r="A2937" s="73"/>
      <c r="B2937" s="73">
        <v>2141720.846</v>
      </c>
      <c r="C2937" s="73">
        <v>2.14215158689762E8</v>
      </c>
      <c r="D2937" s="73">
        <v>9.16660176239939E7</v>
      </c>
      <c r="E2937" s="73">
        <v>1.19790561875558E7</v>
      </c>
      <c r="F2937" s="73"/>
      <c r="G2937" s="73"/>
      <c r="H2937" s="73"/>
      <c r="I2937" s="73"/>
      <c r="J2937" s="73"/>
      <c r="K2937" s="73"/>
      <c r="L2937" s="73"/>
      <c r="M2937" s="73"/>
      <c r="N2937" s="73"/>
      <c r="O2937" s="73"/>
      <c r="P2937" s="73"/>
      <c r="Q2937" s="73"/>
      <c r="R2937" s="73"/>
      <c r="S2937" s="73"/>
      <c r="T2937" s="73"/>
      <c r="U2937" s="73"/>
      <c r="V2937" s="73"/>
      <c r="W2937" s="73"/>
      <c r="X2937" s="73"/>
      <c r="Y2937" s="73"/>
      <c r="Z2937" s="73"/>
      <c r="AA2937" s="73"/>
      <c r="AB2937" s="73"/>
    </row>
    <row r="2938">
      <c r="A2938" s="73"/>
      <c r="B2938" s="73">
        <v>2144673.491</v>
      </c>
      <c r="C2938" s="73">
        <v>2.14413792124245E8</v>
      </c>
      <c r="D2938" s="73">
        <v>9.17726404119948E7</v>
      </c>
      <c r="E2938" s="73">
        <v>1.19930842357025E7</v>
      </c>
      <c r="F2938" s="73"/>
      <c r="G2938" s="73"/>
      <c r="H2938" s="73"/>
      <c r="I2938" s="73"/>
      <c r="J2938" s="73"/>
      <c r="K2938" s="73"/>
      <c r="L2938" s="73"/>
      <c r="M2938" s="73"/>
      <c r="N2938" s="73"/>
      <c r="O2938" s="73"/>
      <c r="P2938" s="73"/>
      <c r="Q2938" s="73"/>
      <c r="R2938" s="73"/>
      <c r="S2938" s="73"/>
      <c r="T2938" s="73"/>
      <c r="U2938" s="73"/>
      <c r="V2938" s="73"/>
      <c r="W2938" s="73"/>
      <c r="X2938" s="73"/>
      <c r="Y2938" s="73"/>
      <c r="Z2938" s="73"/>
      <c r="AA2938" s="73"/>
      <c r="AB2938" s="73"/>
    </row>
    <row r="2939">
      <c r="A2939" s="73"/>
      <c r="B2939" s="73">
        <v>2147629.282</v>
      </c>
      <c r="C2939" s="73">
        <v>2.14612557398724E8</v>
      </c>
      <c r="D2939" s="73">
        <v>9.18793558959957E7</v>
      </c>
      <c r="E2939" s="73">
        <v>1.20071267168085E7</v>
      </c>
      <c r="F2939" s="73"/>
      <c r="G2939" s="73"/>
      <c r="H2939" s="73"/>
      <c r="I2939" s="73"/>
      <c r="J2939" s="73"/>
      <c r="K2939" s="73"/>
      <c r="L2939" s="73"/>
      <c r="M2939" s="73"/>
      <c r="N2939" s="73"/>
      <c r="O2939" s="73"/>
      <c r="P2939" s="73"/>
      <c r="Q2939" s="73"/>
      <c r="R2939" s="73"/>
      <c r="S2939" s="73"/>
      <c r="T2939" s="73"/>
      <c r="U2939" s="73"/>
      <c r="V2939" s="73"/>
      <c r="W2939" s="73"/>
      <c r="X2939" s="73"/>
      <c r="Y2939" s="73"/>
      <c r="Z2939" s="73"/>
      <c r="AA2939" s="73"/>
      <c r="AB2939" s="73"/>
    </row>
    <row r="2940">
      <c r="A2940" s="73"/>
      <c r="B2940" s="73">
        <v>2150588.394</v>
      </c>
      <c r="C2940" s="73">
        <v>2.148114215532E8</v>
      </c>
      <c r="D2940" s="73">
        <v>9.19861439719966E7</v>
      </c>
      <c r="E2940" s="73">
        <v>1.20211843116056E7</v>
      </c>
      <c r="F2940" s="73"/>
      <c r="G2940" s="73"/>
      <c r="H2940" s="73"/>
      <c r="I2940" s="73"/>
      <c r="J2940" s="73"/>
      <c r="K2940" s="73"/>
      <c r="L2940" s="73"/>
      <c r="M2940" s="73"/>
      <c r="N2940" s="73"/>
      <c r="O2940" s="73"/>
      <c r="P2940" s="73"/>
      <c r="Q2940" s="73"/>
      <c r="R2940" s="73"/>
      <c r="S2940" s="73"/>
      <c r="T2940" s="73"/>
      <c r="U2940" s="73"/>
      <c r="V2940" s="73"/>
      <c r="W2940" s="73"/>
      <c r="X2940" s="73"/>
      <c r="Y2940" s="73"/>
      <c r="Z2940" s="73"/>
      <c r="AA2940" s="73"/>
      <c r="AB2940" s="73"/>
    </row>
    <row r="2941">
      <c r="A2941" s="73"/>
      <c r="B2941" s="73">
        <v>2153550.647</v>
      </c>
      <c r="C2941" s="73">
        <v>2.15010417547672E8</v>
      </c>
      <c r="D2941" s="73">
        <v>9.20930146559976E7</v>
      </c>
      <c r="E2941" s="73">
        <v>1.203525579643E7</v>
      </c>
      <c r="F2941" s="73"/>
      <c r="G2941" s="73"/>
      <c r="H2941" s="73"/>
      <c r="I2941" s="73"/>
      <c r="J2941" s="73"/>
      <c r="K2941" s="73"/>
      <c r="L2941" s="73"/>
      <c r="M2941" s="73"/>
      <c r="N2941" s="73"/>
      <c r="O2941" s="73"/>
      <c r="P2941" s="73"/>
      <c r="Q2941" s="73"/>
      <c r="R2941" s="73"/>
      <c r="S2941" s="73"/>
      <c r="T2941" s="73"/>
      <c r="U2941" s="73"/>
      <c r="V2941" s="73"/>
      <c r="W2941" s="73"/>
      <c r="X2941" s="73"/>
      <c r="Y2941" s="73"/>
      <c r="Z2941" s="73"/>
      <c r="AA2941" s="73"/>
      <c r="AB2941" s="73"/>
    </row>
    <row r="2942">
      <c r="A2942" s="73"/>
      <c r="B2942" s="73">
        <v>2156516.143</v>
      </c>
      <c r="C2942" s="73">
        <v>2.15209512422142E8</v>
      </c>
      <c r="D2942" s="73">
        <v>9.21999679399985E7</v>
      </c>
      <c r="E2942" s="73">
        <v>1.20493420716456E7</v>
      </c>
      <c r="F2942" s="73"/>
      <c r="G2942" s="73"/>
      <c r="H2942" s="73"/>
      <c r="I2942" s="73"/>
      <c r="J2942" s="73"/>
      <c r="K2942" s="73"/>
      <c r="L2942" s="73"/>
      <c r="M2942" s="73"/>
      <c r="N2942" s="73"/>
      <c r="O2942" s="73"/>
      <c r="P2942" s="73"/>
      <c r="Q2942" s="73"/>
      <c r="R2942" s="73"/>
      <c r="S2942" s="73"/>
      <c r="T2942" s="73"/>
      <c r="U2942" s="73"/>
      <c r="V2942" s="73"/>
      <c r="W2942" s="73"/>
      <c r="X2942" s="73"/>
      <c r="Y2942" s="73"/>
      <c r="Z2942" s="73"/>
      <c r="AA2942" s="73"/>
      <c r="AB2942" s="73"/>
    </row>
    <row r="2943">
      <c r="A2943" s="73"/>
      <c r="B2943" s="73">
        <v>2159484.92</v>
      </c>
      <c r="C2943" s="73">
        <v>2.15408755616608E8</v>
      </c>
      <c r="D2943" s="73">
        <v>9.23070039119994E7</v>
      </c>
      <c r="E2943" s="73">
        <v>1.20634425813885E7</v>
      </c>
      <c r="F2943" s="73"/>
      <c r="G2943" s="73"/>
      <c r="H2943" s="73"/>
      <c r="I2943" s="73"/>
      <c r="J2943" s="73"/>
      <c r="K2943" s="73"/>
      <c r="L2943" s="73"/>
      <c r="M2943" s="73"/>
      <c r="N2943" s="73"/>
      <c r="O2943" s="73"/>
      <c r="P2943" s="73"/>
      <c r="Q2943" s="73"/>
      <c r="R2943" s="73"/>
      <c r="S2943" s="73"/>
      <c r="T2943" s="73"/>
      <c r="U2943" s="73"/>
      <c r="V2943" s="73"/>
      <c r="W2943" s="73"/>
      <c r="X2943" s="73"/>
      <c r="Y2943" s="73"/>
      <c r="Z2943" s="73"/>
      <c r="AA2943" s="73"/>
      <c r="AB2943" s="73"/>
    </row>
    <row r="2944">
      <c r="A2944" s="73"/>
      <c r="B2944" s="73">
        <v>2162456.914</v>
      </c>
      <c r="C2944" s="73">
        <v>2.15608081211071E8</v>
      </c>
      <c r="D2944" s="73">
        <v>9.24141123960003E7</v>
      </c>
      <c r="E2944" s="73">
        <v>1.20775580458225E7</v>
      </c>
      <c r="F2944" s="73"/>
      <c r="G2944" s="73"/>
      <c r="H2944" s="73"/>
      <c r="I2944" s="73"/>
      <c r="J2944" s="73"/>
      <c r="K2944" s="73"/>
      <c r="L2944" s="73"/>
      <c r="M2944" s="73"/>
      <c r="N2944" s="73"/>
      <c r="O2944" s="73"/>
      <c r="P2944" s="73"/>
      <c r="Q2944" s="73"/>
      <c r="R2944" s="73"/>
      <c r="S2944" s="73"/>
      <c r="T2944" s="73"/>
      <c r="U2944" s="73"/>
      <c r="V2944" s="73"/>
      <c r="W2944" s="73"/>
      <c r="X2944" s="73"/>
      <c r="Y2944" s="73"/>
      <c r="Z2944" s="73"/>
      <c r="AA2944" s="73"/>
      <c r="AB2944" s="73"/>
    </row>
    <row r="2945">
      <c r="A2945" s="73"/>
      <c r="B2945" s="73">
        <v>2165432.166</v>
      </c>
      <c r="C2945" s="73">
        <v>2.1580755512553E8</v>
      </c>
      <c r="D2945" s="73">
        <v>9.25213034879936E7</v>
      </c>
      <c r="E2945" s="73">
        <v>1.20916880651157E7</v>
      </c>
      <c r="F2945" s="73"/>
      <c r="G2945" s="73"/>
      <c r="H2945" s="73"/>
      <c r="I2945" s="73"/>
      <c r="J2945" s="73"/>
      <c r="K2945" s="73"/>
      <c r="L2945" s="73"/>
      <c r="M2945" s="73"/>
      <c r="N2945" s="73"/>
      <c r="O2945" s="73"/>
      <c r="P2945" s="73"/>
      <c r="Q2945" s="73"/>
      <c r="R2945" s="73"/>
      <c r="S2945" s="73"/>
      <c r="T2945" s="73"/>
      <c r="U2945" s="73"/>
      <c r="V2945" s="73"/>
      <c r="W2945" s="73"/>
      <c r="X2945" s="73"/>
      <c r="Y2945" s="73"/>
      <c r="Z2945" s="73"/>
      <c r="AA2945" s="73"/>
      <c r="AB2945" s="73"/>
    </row>
    <row r="2946">
      <c r="A2946" s="73"/>
      <c r="B2946" s="73">
        <v>2168410.543</v>
      </c>
      <c r="C2946" s="73">
        <v>2.16007127919987E8</v>
      </c>
      <c r="D2946" s="73">
        <v>9.26285874999945E7</v>
      </c>
      <c r="E2946" s="73">
        <v>1.21058325544682E7</v>
      </c>
      <c r="F2946" s="73"/>
      <c r="G2946" s="73"/>
      <c r="H2946" s="73"/>
      <c r="I2946" s="73"/>
      <c r="J2946" s="73"/>
      <c r="K2946" s="73"/>
      <c r="L2946" s="73"/>
      <c r="M2946" s="73"/>
      <c r="N2946" s="73"/>
      <c r="O2946" s="73"/>
      <c r="P2946" s="73"/>
      <c r="Q2946" s="73"/>
      <c r="R2946" s="73"/>
      <c r="S2946" s="73"/>
      <c r="T2946" s="73"/>
      <c r="U2946" s="73"/>
      <c r="V2946" s="73"/>
      <c r="W2946" s="73"/>
      <c r="X2946" s="73"/>
      <c r="Y2946" s="73"/>
      <c r="Z2946" s="73"/>
      <c r="AA2946" s="73"/>
      <c r="AB2946" s="73"/>
    </row>
    <row r="2947">
      <c r="A2947" s="73"/>
      <c r="B2947" s="73">
        <v>2171392.3</v>
      </c>
      <c r="C2947" s="73">
        <v>2.1620681607444E8</v>
      </c>
      <c r="D2947" s="73">
        <v>9.27359336399954E7</v>
      </c>
      <c r="E2947" s="73">
        <v>1.21199916728798E7</v>
      </c>
      <c r="F2947" s="73"/>
      <c r="G2947" s="73"/>
      <c r="H2947" s="73"/>
      <c r="I2947" s="73"/>
      <c r="J2947" s="73"/>
      <c r="K2947" s="73"/>
      <c r="L2947" s="73"/>
      <c r="M2947" s="73"/>
      <c r="N2947" s="73"/>
      <c r="O2947" s="73"/>
      <c r="P2947" s="73"/>
      <c r="Q2947" s="73"/>
      <c r="R2947" s="73"/>
      <c r="S2947" s="73"/>
      <c r="T2947" s="73"/>
      <c r="U2947" s="73"/>
      <c r="V2947" s="73"/>
      <c r="W2947" s="73"/>
      <c r="X2947" s="73"/>
      <c r="Y2947" s="73"/>
      <c r="Z2947" s="73"/>
      <c r="AA2947" s="73"/>
      <c r="AB2947" s="73"/>
    </row>
    <row r="2948">
      <c r="A2948" s="73"/>
      <c r="B2948" s="73">
        <v>2174377.177</v>
      </c>
      <c r="C2948" s="73">
        <v>2.16406603108891E8</v>
      </c>
      <c r="D2948" s="73">
        <v>9.28433726279963E7</v>
      </c>
      <c r="E2948" s="73">
        <v>1.21341660056827E7</v>
      </c>
      <c r="F2948" s="73"/>
      <c r="G2948" s="73"/>
      <c r="H2948" s="73"/>
      <c r="I2948" s="73"/>
      <c r="J2948" s="73"/>
      <c r="K2948" s="73"/>
      <c r="L2948" s="73"/>
      <c r="M2948" s="73"/>
      <c r="N2948" s="73"/>
      <c r="O2948" s="73"/>
      <c r="P2948" s="73"/>
      <c r="Q2948" s="73"/>
      <c r="R2948" s="73"/>
      <c r="S2948" s="73"/>
      <c r="T2948" s="73"/>
      <c r="U2948" s="73"/>
      <c r="V2948" s="73"/>
      <c r="W2948" s="73"/>
      <c r="X2948" s="73"/>
      <c r="Y2948" s="73"/>
      <c r="Z2948" s="73"/>
      <c r="AA2948" s="73"/>
      <c r="AB2948" s="73"/>
    </row>
    <row r="2949">
      <c r="A2949" s="73"/>
      <c r="B2949" s="73">
        <v>2177365.323</v>
      </c>
      <c r="C2949" s="73">
        <v>2.16606538463337E8</v>
      </c>
      <c r="D2949" s="73">
        <v>9.29508943679973E7</v>
      </c>
      <c r="E2949" s="73">
        <v>1.21483539847128E7</v>
      </c>
      <c r="F2949" s="73"/>
      <c r="G2949" s="73"/>
      <c r="H2949" s="73"/>
      <c r="I2949" s="73"/>
      <c r="J2949" s="73"/>
      <c r="K2949" s="73"/>
      <c r="L2949" s="73"/>
      <c r="M2949" s="73"/>
      <c r="N2949" s="73"/>
      <c r="O2949" s="73"/>
      <c r="P2949" s="73"/>
      <c r="Q2949" s="73"/>
      <c r="R2949" s="73"/>
      <c r="S2949" s="73"/>
      <c r="T2949" s="73"/>
      <c r="U2949" s="73"/>
      <c r="V2949" s="73"/>
      <c r="W2949" s="73"/>
      <c r="X2949" s="73"/>
      <c r="Y2949" s="73"/>
      <c r="Z2949" s="73"/>
      <c r="AA2949" s="73"/>
      <c r="AB2949" s="73"/>
    </row>
    <row r="2950">
      <c r="A2950" s="73"/>
      <c r="B2950" s="73">
        <v>2180356.757</v>
      </c>
      <c r="C2950" s="73">
        <v>2.16806572697781E8</v>
      </c>
      <c r="D2950" s="73">
        <v>9.30584885479982E7</v>
      </c>
      <c r="E2950" s="73">
        <v>1.21625572841341E7</v>
      </c>
      <c r="F2950" s="73"/>
      <c r="G2950" s="73"/>
      <c r="H2950" s="73"/>
      <c r="I2950" s="73"/>
      <c r="J2950" s="73"/>
      <c r="K2950" s="73"/>
      <c r="L2950" s="73"/>
      <c r="M2950" s="73"/>
      <c r="N2950" s="73"/>
      <c r="O2950" s="73"/>
      <c r="P2950" s="73"/>
      <c r="Q2950" s="73"/>
      <c r="R2950" s="73"/>
      <c r="S2950" s="73"/>
      <c r="T2950" s="73"/>
      <c r="U2950" s="73"/>
      <c r="V2950" s="73"/>
      <c r="W2950" s="73"/>
      <c r="X2950" s="73"/>
      <c r="Y2950" s="73"/>
      <c r="Z2950" s="73"/>
      <c r="AA2950" s="73"/>
      <c r="AB2950" s="73"/>
    </row>
    <row r="2951">
      <c r="A2951" s="73"/>
      <c r="B2951" s="73">
        <v>2183351.408</v>
      </c>
      <c r="C2951" s="73">
        <v>2.17006722292221E8</v>
      </c>
      <c r="D2951" s="73">
        <v>9.31661654159991E7</v>
      </c>
      <c r="E2951" s="73">
        <v>1.21767745106826E7</v>
      </c>
      <c r="F2951" s="73"/>
      <c r="G2951" s="73"/>
      <c r="H2951" s="73"/>
      <c r="I2951" s="73"/>
      <c r="J2951" s="73"/>
      <c r="K2951" s="73"/>
      <c r="L2951" s="73"/>
      <c r="M2951" s="73"/>
      <c r="N2951" s="73"/>
      <c r="O2951" s="73"/>
      <c r="P2951" s="73"/>
      <c r="Q2951" s="73"/>
      <c r="R2951" s="73"/>
      <c r="S2951" s="73"/>
      <c r="T2951" s="73"/>
      <c r="U2951" s="73"/>
      <c r="V2951" s="73"/>
      <c r="W2951" s="73"/>
      <c r="X2951" s="73"/>
      <c r="Y2951" s="73"/>
      <c r="Z2951" s="73"/>
      <c r="AA2951" s="73"/>
      <c r="AB2951" s="73"/>
    </row>
    <row r="2952">
      <c r="A2952" s="73"/>
      <c r="B2952" s="73">
        <v>2186349.278</v>
      </c>
      <c r="C2952" s="73">
        <v>2.17207003726658E8</v>
      </c>
      <c r="D2952" s="73">
        <v>9.3273924884E7</v>
      </c>
      <c r="E2952" s="73">
        <v>1.21910068774223E7</v>
      </c>
      <c r="F2952" s="73"/>
      <c r="G2952" s="73"/>
      <c r="H2952" s="73"/>
      <c r="I2952" s="73"/>
      <c r="J2952" s="73"/>
      <c r="K2952" s="73"/>
      <c r="L2952" s="73"/>
      <c r="M2952" s="73"/>
      <c r="N2952" s="73"/>
      <c r="O2952" s="73"/>
      <c r="P2952" s="73"/>
      <c r="Q2952" s="73"/>
      <c r="R2952" s="73"/>
      <c r="S2952" s="73"/>
      <c r="T2952" s="73"/>
      <c r="U2952" s="73"/>
      <c r="V2952" s="73"/>
      <c r="W2952" s="73"/>
      <c r="X2952" s="73"/>
      <c r="Y2952" s="73"/>
      <c r="Z2952" s="73"/>
      <c r="AA2952" s="73"/>
      <c r="AB2952" s="73"/>
    </row>
    <row r="2953">
      <c r="A2953" s="73"/>
      <c r="B2953" s="73">
        <v>2189350.356</v>
      </c>
      <c r="C2953" s="73">
        <v>2.17407384041092E8</v>
      </c>
      <c r="D2953" s="73">
        <v>9.33817669600009E7</v>
      </c>
      <c r="E2953" s="73">
        <v>1.22052539421213E7</v>
      </c>
      <c r="F2953" s="73"/>
      <c r="G2953" s="73"/>
      <c r="H2953" s="73"/>
      <c r="I2953" s="73"/>
      <c r="J2953" s="73"/>
      <c r="K2953" s="73"/>
      <c r="L2953" s="73"/>
      <c r="M2953" s="73"/>
      <c r="N2953" s="73"/>
      <c r="O2953" s="73"/>
      <c r="P2953" s="73"/>
      <c r="Q2953" s="73"/>
      <c r="R2953" s="73"/>
      <c r="S2953" s="73"/>
      <c r="T2953" s="73"/>
      <c r="U2953" s="73"/>
      <c r="V2953" s="73"/>
      <c r="W2953" s="73"/>
      <c r="X2953" s="73"/>
      <c r="Y2953" s="73"/>
      <c r="Z2953" s="73"/>
      <c r="AA2953" s="73"/>
      <c r="AB2953" s="73"/>
    </row>
    <row r="2954">
      <c r="A2954" s="73"/>
      <c r="B2954" s="73">
        <v>2192354.762</v>
      </c>
      <c r="C2954" s="73">
        <v>2.17607896195522E8</v>
      </c>
      <c r="D2954" s="73">
        <v>9.34896917959942E7</v>
      </c>
      <c r="E2954" s="73">
        <v>1.22195154609794E7</v>
      </c>
      <c r="F2954" s="73"/>
      <c r="G2954" s="73"/>
      <c r="H2954" s="73"/>
      <c r="I2954" s="73"/>
      <c r="J2954" s="73"/>
      <c r="K2954" s="73"/>
      <c r="L2954" s="73"/>
      <c r="M2954" s="73"/>
      <c r="N2954" s="73"/>
      <c r="O2954" s="73"/>
      <c r="P2954" s="73"/>
      <c r="Q2954" s="73"/>
      <c r="R2954" s="73"/>
      <c r="S2954" s="73"/>
      <c r="T2954" s="73"/>
      <c r="U2954" s="73"/>
      <c r="V2954" s="73"/>
      <c r="W2954" s="73"/>
      <c r="X2954" s="73"/>
      <c r="Y2954" s="73"/>
      <c r="Z2954" s="73"/>
      <c r="AA2954" s="73"/>
      <c r="AB2954" s="73"/>
    </row>
    <row r="2955">
      <c r="A2955" s="73"/>
      <c r="B2955" s="73">
        <v>2195362.327</v>
      </c>
      <c r="C2955" s="73">
        <v>2.17808523709949E8</v>
      </c>
      <c r="D2955" s="73">
        <v>9.35976889199951E7</v>
      </c>
      <c r="E2955" s="73">
        <v>1.22337921889287E7</v>
      </c>
      <c r="F2955" s="73"/>
      <c r="G2955" s="73"/>
      <c r="H2955" s="73"/>
      <c r="I2955" s="73"/>
      <c r="J2955" s="73"/>
      <c r="K2955" s="73"/>
      <c r="L2955" s="73"/>
      <c r="M2955" s="73"/>
      <c r="N2955" s="73"/>
      <c r="O2955" s="73"/>
      <c r="P2955" s="73"/>
      <c r="Q2955" s="73"/>
      <c r="R2955" s="73"/>
      <c r="S2955" s="73"/>
      <c r="T2955" s="73"/>
      <c r="U2955" s="73"/>
      <c r="V2955" s="73"/>
      <c r="W2955" s="73"/>
      <c r="X2955" s="73"/>
      <c r="Y2955" s="73"/>
      <c r="Z2955" s="73"/>
      <c r="AA2955" s="73"/>
      <c r="AB2955" s="73"/>
    </row>
    <row r="2956">
      <c r="A2956" s="73"/>
      <c r="B2956" s="73">
        <v>2198373.18</v>
      </c>
      <c r="C2956" s="73">
        <v>2.18009266584373E8</v>
      </c>
      <c r="D2956" s="73">
        <v>9.3705779115996E7</v>
      </c>
      <c r="E2956" s="73">
        <v>1.22480828811053E7</v>
      </c>
      <c r="F2956" s="73"/>
      <c r="G2956" s="73"/>
      <c r="H2956" s="73"/>
      <c r="I2956" s="73"/>
      <c r="J2956" s="73"/>
      <c r="K2956" s="73"/>
      <c r="L2956" s="73"/>
      <c r="M2956" s="73"/>
      <c r="N2956" s="73"/>
      <c r="O2956" s="73"/>
      <c r="P2956" s="73"/>
      <c r="Q2956" s="73"/>
      <c r="R2956" s="73"/>
      <c r="S2956" s="73"/>
      <c r="T2956" s="73"/>
      <c r="U2956" s="73"/>
      <c r="V2956" s="73"/>
      <c r="W2956" s="73"/>
      <c r="X2956" s="73"/>
      <c r="Y2956" s="73"/>
      <c r="Z2956" s="73"/>
      <c r="AA2956" s="73"/>
      <c r="AB2956" s="73"/>
    </row>
    <row r="2957">
      <c r="A2957" s="73"/>
      <c r="B2957" s="73">
        <v>2201387.263</v>
      </c>
      <c r="C2957" s="73">
        <v>2.18210108338795E8</v>
      </c>
      <c r="D2957" s="73">
        <v>9.3813941679997E7</v>
      </c>
      <c r="E2957" s="73">
        <v>1.2262388904273E7</v>
      </c>
      <c r="F2957" s="73"/>
      <c r="G2957" s="73"/>
      <c r="H2957" s="73"/>
      <c r="I2957" s="73"/>
      <c r="J2957" s="73"/>
      <c r="K2957" s="73"/>
      <c r="L2957" s="73"/>
      <c r="M2957" s="73"/>
      <c r="N2957" s="73"/>
      <c r="O2957" s="73"/>
      <c r="P2957" s="73"/>
      <c r="Q2957" s="73"/>
      <c r="R2957" s="73"/>
      <c r="S2957" s="73"/>
      <c r="T2957" s="73"/>
      <c r="U2957" s="73"/>
      <c r="V2957" s="73"/>
      <c r="W2957" s="73"/>
      <c r="X2957" s="73"/>
      <c r="Y2957" s="73"/>
      <c r="Z2957" s="73"/>
      <c r="AA2957" s="73"/>
      <c r="AB2957" s="73"/>
    </row>
    <row r="2958">
      <c r="A2958" s="73"/>
      <c r="B2958" s="73">
        <v>2204404.588</v>
      </c>
      <c r="C2958" s="73">
        <v>2.18411065453213E8</v>
      </c>
      <c r="D2958" s="73">
        <v>9.39221868439979E7</v>
      </c>
      <c r="E2958" s="73">
        <v>1.2276708605468E7</v>
      </c>
      <c r="F2958" s="73"/>
      <c r="G2958" s="73"/>
      <c r="H2958" s="73"/>
      <c r="I2958" s="73"/>
      <c r="J2958" s="73"/>
      <c r="K2958" s="73"/>
      <c r="L2958" s="73"/>
      <c r="M2958" s="73"/>
      <c r="N2958" s="73"/>
      <c r="O2958" s="73"/>
      <c r="P2958" s="73"/>
      <c r="Q2958" s="73"/>
      <c r="R2958" s="73"/>
      <c r="S2958" s="73"/>
      <c r="T2958" s="73"/>
      <c r="U2958" s="73"/>
      <c r="V2958" s="73"/>
      <c r="W2958" s="73"/>
      <c r="X2958" s="73"/>
      <c r="Y2958" s="73"/>
      <c r="Z2958" s="73"/>
      <c r="AA2958" s="73"/>
      <c r="AB2958" s="73"/>
    </row>
    <row r="2959">
      <c r="A2959" s="73"/>
      <c r="B2959" s="73">
        <v>2207425.158</v>
      </c>
      <c r="C2959" s="73">
        <v>2.18612170887627E8</v>
      </c>
      <c r="D2959" s="73">
        <v>9.40305146959988E7</v>
      </c>
      <c r="E2959" s="73">
        <v>1.22910437701542E7</v>
      </c>
      <c r="F2959" s="73"/>
      <c r="G2959" s="73"/>
      <c r="H2959" s="73"/>
      <c r="I2959" s="73"/>
      <c r="J2959" s="73"/>
      <c r="K2959" s="73"/>
      <c r="L2959" s="73"/>
      <c r="M2959" s="73"/>
      <c r="N2959" s="73"/>
      <c r="O2959" s="73"/>
      <c r="P2959" s="73"/>
      <c r="Q2959" s="73"/>
      <c r="R2959" s="73"/>
      <c r="S2959" s="73"/>
      <c r="T2959" s="73"/>
      <c r="U2959" s="73"/>
      <c r="V2959" s="73"/>
      <c r="W2959" s="73"/>
      <c r="X2959" s="73"/>
      <c r="Y2959" s="73"/>
      <c r="Z2959" s="73"/>
      <c r="AA2959" s="73"/>
      <c r="AB2959" s="73"/>
    </row>
    <row r="2960">
      <c r="A2960" s="73"/>
      <c r="B2960" s="73">
        <v>2210448.968</v>
      </c>
      <c r="C2960" s="73">
        <v>2.18813375202038E8</v>
      </c>
      <c r="D2960" s="73">
        <v>9.41389252999997E7</v>
      </c>
      <c r="E2960" s="73">
        <v>1.23053936645996E7</v>
      </c>
      <c r="F2960" s="73"/>
      <c r="G2960" s="73"/>
      <c r="H2960" s="73"/>
      <c r="I2960" s="73"/>
      <c r="J2960" s="73"/>
      <c r="K2960" s="73"/>
      <c r="L2960" s="73"/>
      <c r="M2960" s="73"/>
      <c r="N2960" s="73"/>
      <c r="O2960" s="73"/>
      <c r="P2960" s="73"/>
      <c r="Q2960" s="73"/>
      <c r="R2960" s="73"/>
      <c r="S2960" s="73"/>
      <c r="T2960" s="73"/>
      <c r="U2960" s="73"/>
      <c r="V2960" s="73"/>
      <c r="W2960" s="73"/>
      <c r="X2960" s="73"/>
      <c r="Y2960" s="73"/>
      <c r="Z2960" s="73"/>
      <c r="AA2960" s="73"/>
      <c r="AB2960" s="73"/>
    </row>
    <row r="2961">
      <c r="A2961" s="73"/>
      <c r="B2961" s="73">
        <v>2213476.087</v>
      </c>
      <c r="C2961" s="73">
        <v>2.19014711356445E8</v>
      </c>
      <c r="D2961" s="73">
        <v>9.42474082720006E7</v>
      </c>
      <c r="E2961" s="73">
        <v>1.23197579655041E7</v>
      </c>
      <c r="F2961" s="73"/>
      <c r="G2961" s="73"/>
      <c r="H2961" s="73"/>
      <c r="I2961" s="73"/>
      <c r="J2961" s="73"/>
      <c r="K2961" s="73"/>
      <c r="L2961" s="73"/>
      <c r="M2961" s="73"/>
      <c r="N2961" s="73"/>
      <c r="O2961" s="73"/>
      <c r="P2961" s="73"/>
      <c r="Q2961" s="73"/>
      <c r="R2961" s="73"/>
      <c r="S2961" s="73"/>
      <c r="T2961" s="73"/>
      <c r="U2961" s="73"/>
      <c r="V2961" s="73"/>
      <c r="W2961" s="73"/>
      <c r="X2961" s="73"/>
      <c r="Y2961" s="73"/>
      <c r="Z2961" s="73"/>
      <c r="AA2961" s="73"/>
      <c r="AB2961" s="73"/>
    </row>
    <row r="2962">
      <c r="A2962" s="73"/>
      <c r="B2962" s="73">
        <v>2216506.39</v>
      </c>
      <c r="C2962" s="73">
        <v>2.19216179350849E8</v>
      </c>
      <c r="D2962" s="73">
        <v>9.43559840919939E7</v>
      </c>
      <c r="E2962" s="73">
        <v>1.23341376397999E7</v>
      </c>
      <c r="F2962" s="73"/>
      <c r="G2962" s="73"/>
      <c r="H2962" s="73"/>
      <c r="I2962" s="73"/>
      <c r="J2962" s="73"/>
      <c r="K2962" s="73"/>
      <c r="L2962" s="73"/>
      <c r="M2962" s="73"/>
      <c r="N2962" s="73"/>
      <c r="O2962" s="73"/>
      <c r="P2962" s="73"/>
      <c r="Q2962" s="73"/>
      <c r="R2962" s="73"/>
      <c r="S2962" s="73"/>
      <c r="T2962" s="73"/>
      <c r="U2962" s="73"/>
      <c r="V2962" s="73"/>
      <c r="W2962" s="73"/>
      <c r="X2962" s="73"/>
      <c r="Y2962" s="73"/>
      <c r="Z2962" s="73"/>
      <c r="AA2962" s="73"/>
      <c r="AB2962" s="73"/>
    </row>
    <row r="2963">
      <c r="A2963" s="73"/>
      <c r="B2963" s="73">
        <v>2219539.942</v>
      </c>
      <c r="C2963" s="73">
        <v>2.19417713265251E8</v>
      </c>
      <c r="D2963" s="73">
        <v>9.44646324239948E7</v>
      </c>
      <c r="E2963" s="73">
        <v>1.23485312253229E7</v>
      </c>
      <c r="F2963" s="73"/>
      <c r="G2963" s="73"/>
      <c r="H2963" s="73"/>
      <c r="I2963" s="73"/>
      <c r="J2963" s="73"/>
      <c r="K2963" s="73"/>
      <c r="L2963" s="73"/>
      <c r="M2963" s="73"/>
      <c r="N2963" s="73"/>
      <c r="O2963" s="73"/>
      <c r="P2963" s="73"/>
      <c r="Q2963" s="73"/>
      <c r="R2963" s="73"/>
      <c r="S2963" s="73"/>
      <c r="T2963" s="73"/>
      <c r="U2963" s="73"/>
      <c r="V2963" s="73"/>
      <c r="W2963" s="73"/>
      <c r="X2963" s="73"/>
      <c r="Y2963" s="73"/>
      <c r="Z2963" s="73"/>
      <c r="AA2963" s="73"/>
      <c r="AB2963" s="73"/>
    </row>
    <row r="2964">
      <c r="A2964" s="73"/>
      <c r="B2964" s="73">
        <v>2222576.776</v>
      </c>
      <c r="C2964" s="73">
        <v>2.19619395499649E8</v>
      </c>
      <c r="D2964" s="73">
        <v>9.45733634439957E7</v>
      </c>
      <c r="E2964" s="73">
        <v>1.23629399298371E7</v>
      </c>
      <c r="F2964" s="73"/>
      <c r="G2964" s="73"/>
      <c r="H2964" s="73"/>
      <c r="I2964" s="73"/>
      <c r="J2964" s="73"/>
      <c r="K2964" s="73"/>
      <c r="L2964" s="73"/>
      <c r="M2964" s="73"/>
      <c r="N2964" s="73"/>
      <c r="O2964" s="73"/>
      <c r="P2964" s="73"/>
      <c r="Q2964" s="73"/>
      <c r="R2964" s="73"/>
      <c r="S2964" s="73"/>
      <c r="T2964" s="73"/>
      <c r="U2964" s="73"/>
      <c r="V2964" s="73"/>
      <c r="W2964" s="73"/>
      <c r="X2964" s="73"/>
      <c r="Y2964" s="73"/>
      <c r="Z2964" s="73"/>
      <c r="AA2964" s="73"/>
      <c r="AB2964" s="73"/>
    </row>
    <row r="2965">
      <c r="A2965" s="73"/>
      <c r="B2965" s="73">
        <v>2225616.833</v>
      </c>
      <c r="C2965" s="73">
        <v>2.19821193094044E8</v>
      </c>
      <c r="D2965" s="73">
        <v>9.46821769919967E7</v>
      </c>
      <c r="E2965" s="73">
        <v>1.23773629854785E7</v>
      </c>
      <c r="F2965" s="73"/>
      <c r="G2965" s="73"/>
      <c r="H2965" s="73"/>
      <c r="I2965" s="73"/>
      <c r="J2965" s="73"/>
      <c r="K2965" s="73"/>
      <c r="L2965" s="73"/>
      <c r="M2965" s="73"/>
      <c r="N2965" s="73"/>
      <c r="O2965" s="73"/>
      <c r="P2965" s="73"/>
      <c r="Q2965" s="73"/>
      <c r="R2965" s="73"/>
      <c r="S2965" s="73"/>
      <c r="T2965" s="73"/>
      <c r="U2965" s="73"/>
      <c r="V2965" s="73"/>
      <c r="W2965" s="73"/>
      <c r="X2965" s="73"/>
      <c r="Y2965" s="73"/>
      <c r="Z2965" s="73"/>
      <c r="AA2965" s="73"/>
      <c r="AB2965" s="73"/>
    </row>
    <row r="2966">
      <c r="A2966" s="73"/>
      <c r="B2966" s="73">
        <v>2228660.171</v>
      </c>
      <c r="C2966" s="73">
        <v>2.20023106048435E8</v>
      </c>
      <c r="D2966" s="73">
        <v>9.47910732919976E7</v>
      </c>
      <c r="E2966" s="73">
        <v>1.23918011760111E7</v>
      </c>
      <c r="F2966" s="73"/>
      <c r="G2966" s="73"/>
      <c r="H2966" s="73"/>
      <c r="I2966" s="73"/>
      <c r="J2966" s="73"/>
      <c r="K2966" s="73"/>
      <c r="L2966" s="73"/>
      <c r="M2966" s="73"/>
      <c r="N2966" s="73"/>
      <c r="O2966" s="73"/>
      <c r="P2966" s="73"/>
      <c r="Q2966" s="73"/>
      <c r="R2966" s="73"/>
      <c r="S2966" s="73"/>
      <c r="T2966" s="73"/>
      <c r="U2966" s="73"/>
      <c r="V2966" s="73"/>
      <c r="W2966" s="73"/>
      <c r="X2966" s="73"/>
      <c r="Y2966" s="73"/>
      <c r="Z2966" s="73"/>
      <c r="AA2966" s="73"/>
      <c r="AB2966" s="73"/>
    </row>
    <row r="2967">
      <c r="A2967" s="73"/>
      <c r="B2967" s="73">
        <v>2231706.713</v>
      </c>
      <c r="C2967" s="73">
        <v>2.20225134362823E8</v>
      </c>
      <c r="D2967" s="73">
        <v>9.49000522079985E7</v>
      </c>
      <c r="E2967" s="73">
        <v>1.2406253942603E7</v>
      </c>
      <c r="F2967" s="73"/>
      <c r="G2967" s="73"/>
      <c r="H2967" s="73"/>
      <c r="I2967" s="73"/>
      <c r="J2967" s="73"/>
      <c r="K2967" s="73"/>
      <c r="L2967" s="73"/>
      <c r="M2967" s="73"/>
      <c r="N2967" s="73"/>
      <c r="O2967" s="73"/>
      <c r="P2967" s="73"/>
      <c r="Q2967" s="73"/>
      <c r="R2967" s="73"/>
      <c r="S2967" s="73"/>
      <c r="T2967" s="73"/>
      <c r="U2967" s="73"/>
      <c r="V2967" s="73"/>
      <c r="W2967" s="73"/>
      <c r="X2967" s="73"/>
      <c r="Y2967" s="73"/>
      <c r="Z2967" s="73"/>
      <c r="AA2967" s="73"/>
      <c r="AB2967" s="73"/>
    </row>
    <row r="2968">
      <c r="A2968" s="73"/>
      <c r="B2968" s="73">
        <v>2234756.556</v>
      </c>
      <c r="C2968" s="73">
        <v>2.20427278037209E8</v>
      </c>
      <c r="D2968" s="73">
        <v>9.50091035559994E7</v>
      </c>
      <c r="E2968" s="73">
        <v>1.24207220507859E7</v>
      </c>
      <c r="F2968" s="73"/>
      <c r="G2968" s="73"/>
      <c r="H2968" s="73"/>
      <c r="I2968" s="73"/>
      <c r="J2968" s="73"/>
      <c r="K2968" s="73"/>
      <c r="L2968" s="73"/>
      <c r="M2968" s="73"/>
      <c r="N2968" s="73"/>
      <c r="O2968" s="73"/>
      <c r="P2968" s="73"/>
      <c r="Q2968" s="73"/>
      <c r="R2968" s="73"/>
      <c r="S2968" s="73"/>
      <c r="T2968" s="73"/>
      <c r="U2968" s="73"/>
      <c r="V2968" s="73"/>
      <c r="W2968" s="73"/>
      <c r="X2968" s="73"/>
      <c r="Y2968" s="73"/>
      <c r="Z2968" s="73"/>
      <c r="AA2968" s="73"/>
      <c r="AB2968" s="73"/>
    </row>
    <row r="2969">
      <c r="A2969" s="73"/>
      <c r="B2969" s="73">
        <v>2237809.641</v>
      </c>
      <c r="C2969" s="73">
        <v>2.2062953707159E8</v>
      </c>
      <c r="D2969" s="73">
        <v>9.51182479040003E7</v>
      </c>
      <c r="E2969" s="73">
        <v>1.24352043404962E7</v>
      </c>
      <c r="F2969" s="73"/>
      <c r="G2969" s="73"/>
      <c r="H2969" s="73"/>
      <c r="I2969" s="73"/>
      <c r="J2969" s="73"/>
      <c r="K2969" s="73"/>
      <c r="L2969" s="73"/>
      <c r="M2969" s="73"/>
      <c r="N2969" s="73"/>
      <c r="O2969" s="73"/>
      <c r="P2969" s="73"/>
      <c r="Q2969" s="73"/>
      <c r="R2969" s="73"/>
      <c r="S2969" s="73"/>
      <c r="T2969" s="73"/>
      <c r="U2969" s="73"/>
      <c r="V2969" s="73"/>
      <c r="W2969" s="73"/>
      <c r="X2969" s="73"/>
      <c r="Y2969" s="73"/>
      <c r="Z2969" s="73"/>
      <c r="AA2969" s="73"/>
      <c r="AB2969" s="73"/>
    </row>
    <row r="2970">
      <c r="A2970" s="73"/>
      <c r="B2970" s="73">
        <v>2240865.974</v>
      </c>
      <c r="C2970" s="73">
        <v>2.20831911465969E8</v>
      </c>
      <c r="D2970" s="73">
        <v>9.52274645399936E7</v>
      </c>
      <c r="E2970" s="73">
        <v>1.24497016590976E7</v>
      </c>
      <c r="F2970" s="73"/>
      <c r="G2970" s="73"/>
      <c r="H2970" s="73"/>
      <c r="I2970" s="73"/>
      <c r="J2970" s="73"/>
      <c r="K2970" s="73"/>
      <c r="L2970" s="73"/>
      <c r="M2970" s="73"/>
      <c r="N2970" s="73"/>
      <c r="O2970" s="73"/>
      <c r="P2970" s="73"/>
      <c r="Q2970" s="73"/>
      <c r="R2970" s="73"/>
      <c r="S2970" s="73"/>
      <c r="T2970" s="73"/>
      <c r="U2970" s="73"/>
      <c r="V2970" s="73"/>
      <c r="W2970" s="73"/>
      <c r="X2970" s="73"/>
      <c r="Y2970" s="73"/>
      <c r="Z2970" s="73"/>
      <c r="AA2970" s="73"/>
      <c r="AB2970" s="73"/>
    </row>
    <row r="2971">
      <c r="A2971" s="73"/>
      <c r="B2971" s="73">
        <v>2243925.59</v>
      </c>
      <c r="C2971" s="73">
        <v>2.21034417700344E8</v>
      </c>
      <c r="D2971" s="73">
        <v>9.53367638639945E7</v>
      </c>
      <c r="E2971" s="73">
        <v>1.24642133288262E7</v>
      </c>
      <c r="F2971" s="73"/>
      <c r="G2971" s="73"/>
      <c r="H2971" s="73"/>
      <c r="I2971" s="73"/>
      <c r="J2971" s="73"/>
      <c r="K2971" s="73"/>
      <c r="L2971" s="73"/>
      <c r="M2971" s="73"/>
      <c r="N2971" s="73"/>
      <c r="O2971" s="73"/>
      <c r="P2971" s="73"/>
      <c r="Q2971" s="73"/>
      <c r="R2971" s="73"/>
      <c r="S2971" s="73"/>
      <c r="T2971" s="73"/>
      <c r="U2971" s="73"/>
      <c r="V2971" s="73"/>
      <c r="W2971" s="73"/>
      <c r="X2971" s="73"/>
      <c r="Y2971" s="73"/>
      <c r="Z2971" s="73"/>
      <c r="AA2971" s="73"/>
      <c r="AB2971" s="73"/>
    </row>
    <row r="2972">
      <c r="A2972" s="73"/>
      <c r="B2972" s="73">
        <v>2246988.415</v>
      </c>
      <c r="C2972" s="73">
        <v>2.21237039294716E8</v>
      </c>
      <c r="D2972" s="73">
        <v>9.54461459399954E7</v>
      </c>
      <c r="E2972" s="73">
        <v>1.2478740170546E7</v>
      </c>
      <c r="F2972" s="73"/>
      <c r="G2972" s="73"/>
      <c r="H2972" s="73"/>
      <c r="I2972" s="73"/>
      <c r="J2972" s="73"/>
      <c r="K2972" s="73"/>
      <c r="L2972" s="73"/>
      <c r="M2972" s="73"/>
      <c r="N2972" s="73"/>
      <c r="O2972" s="73"/>
      <c r="P2972" s="73"/>
      <c r="Q2972" s="73"/>
      <c r="R2972" s="73"/>
      <c r="S2972" s="73"/>
      <c r="T2972" s="73"/>
      <c r="U2972" s="73"/>
      <c r="V2972" s="73"/>
      <c r="W2972" s="73"/>
      <c r="X2972" s="73"/>
      <c r="Y2972" s="73"/>
      <c r="Z2972" s="73"/>
      <c r="AA2972" s="73"/>
      <c r="AB2972" s="73"/>
    </row>
    <row r="2973">
      <c r="A2973" s="73"/>
      <c r="B2973" s="73">
        <v>2250054.522</v>
      </c>
      <c r="C2973" s="73">
        <v>2.21439759769085E8</v>
      </c>
      <c r="D2973" s="73">
        <v>9.55556105439963E7</v>
      </c>
      <c r="E2973" s="73">
        <v>1.24932816837251E7</v>
      </c>
      <c r="F2973" s="73"/>
      <c r="G2973" s="73"/>
      <c r="H2973" s="73"/>
      <c r="I2973" s="73"/>
      <c r="J2973" s="73"/>
      <c r="K2973" s="73"/>
      <c r="L2973" s="73"/>
      <c r="M2973" s="73"/>
      <c r="N2973" s="73"/>
      <c r="O2973" s="73"/>
      <c r="P2973" s="73"/>
      <c r="Q2973" s="73"/>
      <c r="R2973" s="73"/>
      <c r="S2973" s="73"/>
      <c r="T2973" s="73"/>
      <c r="U2973" s="73"/>
      <c r="V2973" s="73"/>
      <c r="W2973" s="73"/>
      <c r="X2973" s="73"/>
      <c r="Y2973" s="73"/>
      <c r="Z2973" s="73"/>
      <c r="AA2973" s="73"/>
      <c r="AB2973" s="73"/>
    </row>
    <row r="2974">
      <c r="A2974" s="73"/>
      <c r="B2974" s="73">
        <v>2253123.896</v>
      </c>
      <c r="C2974" s="73">
        <v>2.21642595603451E8</v>
      </c>
      <c r="D2974" s="73">
        <v>9.56651579079973E7</v>
      </c>
      <c r="E2974" s="73">
        <v>1.25078380856633E7</v>
      </c>
      <c r="F2974" s="73"/>
      <c r="G2974" s="73"/>
      <c r="H2974" s="73"/>
      <c r="I2974" s="73"/>
      <c r="J2974" s="73"/>
      <c r="K2974" s="73"/>
      <c r="L2974" s="73"/>
      <c r="M2974" s="73"/>
      <c r="N2974" s="73"/>
      <c r="O2974" s="73"/>
      <c r="P2974" s="73"/>
      <c r="Q2974" s="73"/>
      <c r="R2974" s="73"/>
      <c r="S2974" s="73"/>
      <c r="T2974" s="73"/>
      <c r="U2974" s="73"/>
      <c r="V2974" s="73"/>
      <c r="W2974" s="73"/>
      <c r="X2974" s="73"/>
      <c r="Y2974" s="73"/>
      <c r="Z2974" s="73"/>
      <c r="AA2974" s="73"/>
      <c r="AB2974" s="73"/>
    </row>
    <row r="2975">
      <c r="A2975" s="73"/>
      <c r="B2975" s="73">
        <v>2256196.546</v>
      </c>
      <c r="C2975" s="73">
        <v>2.21845579757813E8</v>
      </c>
      <c r="D2975" s="73">
        <v>9.57747879599982E7</v>
      </c>
      <c r="E2975" s="73">
        <v>1.25224096966927E7</v>
      </c>
      <c r="F2975" s="73"/>
      <c r="G2975" s="73"/>
      <c r="H2975" s="73"/>
      <c r="I2975" s="73"/>
      <c r="J2975" s="73"/>
      <c r="K2975" s="73"/>
      <c r="L2975" s="73"/>
      <c r="M2975" s="73"/>
      <c r="N2975" s="73"/>
      <c r="O2975" s="73"/>
      <c r="P2975" s="73"/>
      <c r="Q2975" s="73"/>
      <c r="R2975" s="73"/>
      <c r="S2975" s="73"/>
      <c r="T2975" s="73"/>
      <c r="U2975" s="73"/>
      <c r="V2975" s="73"/>
      <c r="W2975" s="73"/>
      <c r="X2975" s="73"/>
      <c r="Y2975" s="73"/>
      <c r="Z2975" s="73"/>
      <c r="AA2975" s="73"/>
      <c r="AB2975" s="73"/>
    </row>
    <row r="2976">
      <c r="A2976" s="73"/>
      <c r="B2976" s="73">
        <v>2259272.417</v>
      </c>
      <c r="C2976" s="73">
        <v>2.22048662792171E8</v>
      </c>
      <c r="D2976" s="73">
        <v>9.58845006119991E7</v>
      </c>
      <c r="E2976" s="73">
        <v>1.25369953832493E7</v>
      </c>
      <c r="F2976" s="73"/>
      <c r="G2976" s="73"/>
      <c r="H2976" s="73"/>
      <c r="I2976" s="73"/>
      <c r="J2976" s="73"/>
      <c r="K2976" s="73"/>
      <c r="L2976" s="73"/>
      <c r="M2976" s="73"/>
      <c r="N2976" s="73"/>
      <c r="O2976" s="73"/>
      <c r="P2976" s="73"/>
      <c r="Q2976" s="73"/>
      <c r="R2976" s="73"/>
      <c r="S2976" s="73"/>
      <c r="T2976" s="73"/>
      <c r="U2976" s="73"/>
      <c r="V2976" s="73"/>
      <c r="W2976" s="73"/>
      <c r="X2976" s="73"/>
      <c r="Y2976" s="73"/>
      <c r="Z2976" s="73"/>
      <c r="AA2976" s="73"/>
      <c r="AB2976" s="73"/>
    </row>
    <row r="2977">
      <c r="A2977" s="73"/>
      <c r="B2977" s="73">
        <v>2262351.583</v>
      </c>
      <c r="C2977" s="73">
        <v>2.22251861186527E8</v>
      </c>
      <c r="D2977" s="73">
        <v>9.5994285776E7</v>
      </c>
      <c r="E2977" s="73">
        <v>1.25515966127971E7</v>
      </c>
      <c r="F2977" s="73"/>
      <c r="G2977" s="73"/>
      <c r="H2977" s="73"/>
      <c r="I2977" s="73"/>
      <c r="J2977" s="73"/>
      <c r="K2977" s="73"/>
      <c r="L2977" s="73"/>
      <c r="M2977" s="73"/>
      <c r="N2977" s="73"/>
      <c r="O2977" s="73"/>
      <c r="P2977" s="73"/>
      <c r="Q2977" s="73"/>
      <c r="R2977" s="73"/>
      <c r="S2977" s="73"/>
      <c r="T2977" s="73"/>
      <c r="U2977" s="73"/>
      <c r="V2977" s="73"/>
      <c r="W2977" s="73"/>
      <c r="X2977" s="73"/>
      <c r="Y2977" s="73"/>
      <c r="Z2977" s="73"/>
      <c r="AA2977" s="73"/>
      <c r="AB2977" s="73"/>
    </row>
    <row r="2978">
      <c r="A2978" s="73"/>
      <c r="B2978" s="73">
        <v>2265434.017</v>
      </c>
      <c r="C2978" s="73">
        <v>2.22455191420879E8</v>
      </c>
      <c r="D2978" s="73">
        <v>9.61041637160009E7</v>
      </c>
      <c r="E2978" s="73">
        <v>1.25662118277722E7</v>
      </c>
      <c r="F2978" s="73"/>
      <c r="G2978" s="73"/>
      <c r="H2978" s="73"/>
      <c r="I2978" s="73"/>
      <c r="J2978" s="73"/>
      <c r="K2978" s="73"/>
      <c r="L2978" s="73"/>
      <c r="M2978" s="73"/>
      <c r="N2978" s="73"/>
      <c r="O2978" s="73"/>
      <c r="P2978" s="73"/>
      <c r="Q2978" s="73"/>
      <c r="R2978" s="73"/>
      <c r="S2978" s="73"/>
      <c r="T2978" s="73"/>
      <c r="U2978" s="73"/>
      <c r="V2978" s="73"/>
      <c r="W2978" s="73"/>
      <c r="X2978" s="73"/>
      <c r="Y2978" s="73"/>
      <c r="Z2978" s="73"/>
      <c r="AA2978" s="73"/>
      <c r="AB2978" s="73"/>
    </row>
    <row r="2979">
      <c r="A2979" s="73"/>
      <c r="B2979" s="73">
        <v>2268519.706</v>
      </c>
      <c r="C2979" s="73">
        <v>2.22658637015228E8</v>
      </c>
      <c r="D2979" s="73">
        <v>9.62141141679942E7</v>
      </c>
      <c r="E2979" s="73">
        <v>1.25808423578384E7</v>
      </c>
      <c r="F2979" s="73"/>
      <c r="G2979" s="73"/>
      <c r="H2979" s="73"/>
      <c r="I2979" s="73"/>
      <c r="J2979" s="73"/>
      <c r="K2979" s="73"/>
      <c r="L2979" s="73"/>
      <c r="M2979" s="73"/>
      <c r="N2979" s="73"/>
      <c r="O2979" s="73"/>
      <c r="P2979" s="73"/>
      <c r="Q2979" s="73"/>
      <c r="R2979" s="73"/>
      <c r="S2979" s="73"/>
      <c r="T2979" s="73"/>
      <c r="U2979" s="73"/>
      <c r="V2979" s="73"/>
      <c r="W2979" s="73"/>
      <c r="X2979" s="73"/>
      <c r="Y2979" s="73"/>
      <c r="Z2979" s="73"/>
      <c r="AA2979" s="73"/>
      <c r="AB2979" s="73"/>
    </row>
    <row r="2980">
      <c r="A2980" s="73"/>
      <c r="B2980" s="73">
        <v>2271608.638</v>
      </c>
      <c r="C2980" s="73">
        <v>2.22862165009575E8</v>
      </c>
      <c r="D2980" s="73">
        <v>9.63241472359951E7</v>
      </c>
      <c r="E2980" s="73">
        <v>1.25954874321638E7</v>
      </c>
      <c r="F2980" s="73"/>
      <c r="G2980" s="73"/>
      <c r="H2980" s="73"/>
      <c r="I2980" s="73"/>
      <c r="J2980" s="73"/>
      <c r="K2980" s="73"/>
      <c r="L2980" s="73"/>
      <c r="M2980" s="73"/>
      <c r="N2980" s="73"/>
      <c r="O2980" s="73"/>
      <c r="P2980" s="73"/>
      <c r="Q2980" s="73"/>
      <c r="R2980" s="73"/>
      <c r="S2980" s="73"/>
      <c r="T2980" s="73"/>
      <c r="U2980" s="73"/>
      <c r="V2980" s="73"/>
      <c r="W2980" s="73"/>
      <c r="X2980" s="73"/>
      <c r="Y2980" s="73"/>
      <c r="Z2980" s="73"/>
      <c r="AA2980" s="73"/>
      <c r="AB2980" s="73"/>
    </row>
    <row r="2981">
      <c r="A2981" s="73"/>
      <c r="B2981" s="73">
        <v>2274700.857</v>
      </c>
      <c r="C2981" s="73">
        <v>2.23065874283916E8</v>
      </c>
      <c r="D2981" s="73">
        <v>9.6434262975996E7</v>
      </c>
      <c r="E2981" s="73">
        <v>1.26101483197804E7</v>
      </c>
      <c r="F2981" s="73"/>
      <c r="G2981" s="73"/>
      <c r="H2981" s="73"/>
      <c r="I2981" s="73"/>
      <c r="J2981" s="73"/>
      <c r="K2981" s="73"/>
      <c r="L2981" s="73"/>
      <c r="M2981" s="73"/>
      <c r="N2981" s="73"/>
      <c r="O2981" s="73"/>
      <c r="P2981" s="73"/>
      <c r="Q2981" s="73"/>
      <c r="R2981" s="73"/>
      <c r="S2981" s="73"/>
      <c r="T2981" s="73"/>
      <c r="U2981" s="73"/>
      <c r="V2981" s="73"/>
      <c r="W2981" s="73"/>
      <c r="X2981" s="73"/>
      <c r="Y2981" s="73"/>
      <c r="Z2981" s="73"/>
      <c r="AA2981" s="73"/>
      <c r="AB2981" s="73"/>
    </row>
    <row r="2982">
      <c r="A2982" s="73"/>
      <c r="B2982" s="73">
        <v>2277796.37</v>
      </c>
      <c r="C2982" s="73">
        <v>2.23269632998257E8</v>
      </c>
      <c r="D2982" s="73">
        <v>9.6544461475997E7</v>
      </c>
      <c r="E2982" s="73">
        <v>1.26248229225243E7</v>
      </c>
      <c r="F2982" s="73"/>
      <c r="G2982" s="73"/>
      <c r="H2982" s="73"/>
      <c r="I2982" s="73"/>
      <c r="J2982" s="73"/>
      <c r="K2982" s="73"/>
      <c r="L2982" s="73"/>
      <c r="M2982" s="73"/>
      <c r="N2982" s="73"/>
      <c r="O2982" s="73"/>
      <c r="P2982" s="73"/>
      <c r="Q2982" s="73"/>
      <c r="R2982" s="73"/>
      <c r="S2982" s="73"/>
      <c r="T2982" s="73"/>
      <c r="U2982" s="73"/>
      <c r="V2982" s="73"/>
      <c r="W2982" s="73"/>
      <c r="X2982" s="73"/>
      <c r="Y2982" s="73"/>
      <c r="Z2982" s="73"/>
      <c r="AA2982" s="73"/>
      <c r="AB2982" s="73"/>
    </row>
    <row r="2983">
      <c r="A2983" s="73"/>
      <c r="B2983" s="73">
        <v>2280895.11</v>
      </c>
      <c r="C2983" s="73">
        <v>2.23473540032593E8</v>
      </c>
      <c r="D2983" s="73">
        <v>9.66547425839979E7</v>
      </c>
      <c r="E2983" s="73">
        <v>1.26395133544593E7</v>
      </c>
      <c r="F2983" s="73"/>
      <c r="G2983" s="73"/>
      <c r="H2983" s="73"/>
      <c r="I2983" s="73"/>
      <c r="J2983" s="73"/>
      <c r="K2983" s="73"/>
      <c r="L2983" s="73"/>
      <c r="M2983" s="73"/>
      <c r="N2983" s="73"/>
      <c r="O2983" s="73"/>
      <c r="P2983" s="73"/>
      <c r="Q2983" s="73"/>
      <c r="R2983" s="73"/>
      <c r="S2983" s="73"/>
      <c r="T2983" s="73"/>
      <c r="U2983" s="73"/>
      <c r="V2983" s="73"/>
      <c r="W2983" s="73"/>
      <c r="X2983" s="73"/>
      <c r="Y2983" s="73"/>
      <c r="Z2983" s="73"/>
      <c r="AA2983" s="73"/>
      <c r="AB2983" s="73"/>
    </row>
    <row r="2984">
      <c r="A2984" s="73"/>
      <c r="B2984" s="73">
        <v>2283997.173</v>
      </c>
      <c r="C2984" s="73">
        <v>2.23677595386925E8</v>
      </c>
      <c r="D2984" s="73">
        <v>9.67651063719988E7</v>
      </c>
      <c r="E2984" s="73">
        <v>1.26542183147535E7</v>
      </c>
      <c r="F2984" s="73"/>
      <c r="G2984" s="73"/>
      <c r="H2984" s="73"/>
      <c r="I2984" s="73"/>
      <c r="J2984" s="73"/>
      <c r="K2984" s="73"/>
      <c r="L2984" s="73"/>
      <c r="M2984" s="73"/>
      <c r="N2984" s="73"/>
      <c r="O2984" s="73"/>
      <c r="P2984" s="73"/>
      <c r="Q2984" s="73"/>
      <c r="R2984" s="73"/>
      <c r="S2984" s="73"/>
      <c r="T2984" s="73"/>
      <c r="U2984" s="73"/>
      <c r="V2984" s="73"/>
      <c r="W2984" s="73"/>
      <c r="X2984" s="73"/>
      <c r="Y2984" s="73"/>
      <c r="Z2984" s="73"/>
      <c r="AA2984" s="73"/>
      <c r="AB2984" s="73"/>
    </row>
    <row r="2985">
      <c r="A2985" s="73"/>
      <c r="B2985" s="73">
        <v>2287102.438</v>
      </c>
      <c r="C2985" s="73">
        <v>2.23881716661255E8</v>
      </c>
      <c r="D2985" s="73">
        <v>9.68755527679997E7</v>
      </c>
      <c r="E2985" s="73">
        <v>1.26689381426069E7</v>
      </c>
      <c r="F2985" s="73"/>
      <c r="G2985" s="73"/>
      <c r="H2985" s="73"/>
      <c r="I2985" s="73"/>
      <c r="J2985" s="73"/>
      <c r="K2985" s="73"/>
      <c r="L2985" s="73"/>
      <c r="M2985" s="73"/>
      <c r="N2985" s="73"/>
      <c r="O2985" s="73"/>
      <c r="P2985" s="73"/>
      <c r="Q2985" s="73"/>
      <c r="R2985" s="73"/>
      <c r="S2985" s="73"/>
      <c r="T2985" s="73"/>
      <c r="U2985" s="73"/>
      <c r="V2985" s="73"/>
      <c r="W2985" s="73"/>
      <c r="X2985" s="73"/>
      <c r="Y2985" s="73"/>
      <c r="Z2985" s="73"/>
      <c r="AA2985" s="73"/>
      <c r="AB2985" s="73"/>
    </row>
    <row r="2986">
      <c r="A2986" s="73"/>
      <c r="B2986" s="73">
        <v>2290211.022</v>
      </c>
      <c r="C2986" s="73">
        <v>2.24085969775581E8</v>
      </c>
      <c r="D2986" s="73">
        <v>9.69860818360006E7</v>
      </c>
      <c r="E2986" s="73">
        <v>1.26836729175194E7</v>
      </c>
      <c r="F2986" s="73"/>
      <c r="G2986" s="73"/>
      <c r="H2986" s="73"/>
      <c r="I2986" s="73"/>
      <c r="J2986" s="73"/>
      <c r="K2986" s="73"/>
      <c r="L2986" s="73"/>
      <c r="M2986" s="73"/>
      <c r="N2986" s="73"/>
      <c r="O2986" s="73"/>
      <c r="P2986" s="73"/>
      <c r="Q2986" s="73"/>
      <c r="R2986" s="73"/>
      <c r="S2986" s="73"/>
      <c r="T2986" s="73"/>
      <c r="U2986" s="73"/>
      <c r="V2986" s="73"/>
      <c r="W2986" s="73"/>
      <c r="X2986" s="73"/>
      <c r="Y2986" s="73"/>
      <c r="Z2986" s="73"/>
      <c r="AA2986" s="73"/>
      <c r="AB2986" s="73"/>
    </row>
    <row r="2987">
      <c r="A2987" s="73"/>
      <c r="B2987" s="73">
        <v>2293322.823</v>
      </c>
      <c r="C2987" s="73">
        <v>2.24290338249905E8</v>
      </c>
      <c r="D2987" s="73">
        <v>9.70966833519939E7</v>
      </c>
      <c r="E2987" s="73">
        <v>1.26984222048913E7</v>
      </c>
      <c r="F2987" s="73"/>
      <c r="G2987" s="73"/>
      <c r="H2987" s="73"/>
      <c r="I2987" s="73"/>
      <c r="J2987" s="73"/>
      <c r="K2987" s="73"/>
      <c r="L2987" s="73"/>
      <c r="M2987" s="73"/>
      <c r="N2987" s="73"/>
      <c r="O2987" s="73"/>
      <c r="P2987" s="73"/>
      <c r="Q2987" s="73"/>
      <c r="R2987" s="73"/>
      <c r="S2987" s="73"/>
      <c r="T2987" s="73"/>
      <c r="U2987" s="73"/>
      <c r="V2987" s="73"/>
      <c r="W2987" s="73"/>
      <c r="X2987" s="73"/>
      <c r="Y2987" s="73"/>
      <c r="Z2987" s="73"/>
      <c r="AA2987" s="73"/>
      <c r="AB2987" s="73"/>
    </row>
    <row r="2988">
      <c r="A2988" s="73"/>
      <c r="B2988" s="73">
        <v>2296437.987</v>
      </c>
      <c r="C2988" s="73">
        <v>2.24494855044224E8</v>
      </c>
      <c r="D2988" s="73">
        <v>9.72073777959948E7</v>
      </c>
      <c r="E2988" s="73">
        <v>1.27131869875542E7</v>
      </c>
      <c r="F2988" s="73"/>
      <c r="G2988" s="73"/>
      <c r="H2988" s="73"/>
      <c r="I2988" s="73"/>
      <c r="J2988" s="73"/>
      <c r="K2988" s="73"/>
      <c r="L2988" s="73"/>
      <c r="M2988" s="73"/>
      <c r="N2988" s="73"/>
      <c r="O2988" s="73"/>
      <c r="P2988" s="73"/>
      <c r="Q2988" s="73"/>
      <c r="R2988" s="73"/>
      <c r="S2988" s="73"/>
      <c r="T2988" s="73"/>
      <c r="U2988" s="73"/>
      <c r="V2988" s="73"/>
      <c r="W2988" s="73"/>
      <c r="X2988" s="73"/>
      <c r="Y2988" s="73"/>
      <c r="Z2988" s="73"/>
      <c r="AA2988" s="73"/>
      <c r="AB2988" s="73"/>
    </row>
    <row r="2989">
      <c r="A2989" s="73"/>
      <c r="B2989" s="73">
        <v>2299556.276</v>
      </c>
      <c r="C2989" s="73">
        <v>2.2469947071854E8</v>
      </c>
      <c r="D2989" s="73">
        <v>9.73181549119957E7</v>
      </c>
      <c r="E2989" s="73">
        <v>1.27279658510444E7</v>
      </c>
      <c r="F2989" s="73"/>
      <c r="G2989" s="73"/>
      <c r="H2989" s="73"/>
      <c r="I2989" s="73"/>
      <c r="J2989" s="73"/>
      <c r="K2989" s="73"/>
      <c r="L2989" s="73"/>
      <c r="M2989" s="73"/>
      <c r="N2989" s="73"/>
      <c r="O2989" s="73"/>
      <c r="P2989" s="73"/>
      <c r="Q2989" s="73"/>
      <c r="R2989" s="73"/>
      <c r="S2989" s="73"/>
      <c r="T2989" s="73"/>
      <c r="U2989" s="73"/>
      <c r="V2989" s="73"/>
      <c r="W2989" s="73"/>
      <c r="X2989" s="73"/>
      <c r="Y2989" s="73"/>
      <c r="Z2989" s="73"/>
      <c r="AA2989" s="73"/>
      <c r="AB2989" s="73"/>
    </row>
    <row r="2990">
      <c r="A2990" s="73"/>
      <c r="B2990" s="73">
        <v>2302677.971</v>
      </c>
      <c r="C2990" s="73">
        <v>2.24904185272854E8</v>
      </c>
      <c r="D2990" s="73">
        <v>9.74290043959966E7</v>
      </c>
      <c r="E2990" s="73">
        <v>1.27427603635258E7</v>
      </c>
      <c r="F2990" s="73"/>
      <c r="G2990" s="73"/>
      <c r="H2990" s="73"/>
      <c r="I2990" s="73"/>
      <c r="J2990" s="73"/>
      <c r="K2990" s="73"/>
      <c r="L2990" s="73"/>
      <c r="M2990" s="73"/>
      <c r="N2990" s="73"/>
      <c r="O2990" s="73"/>
      <c r="P2990" s="73"/>
      <c r="Q2990" s="73"/>
      <c r="R2990" s="73"/>
      <c r="S2990" s="73"/>
      <c r="T2990" s="73"/>
      <c r="U2990" s="73"/>
      <c r="V2990" s="73"/>
      <c r="W2990" s="73"/>
      <c r="X2990" s="73"/>
      <c r="Y2990" s="73"/>
      <c r="Z2990" s="73"/>
      <c r="AA2990" s="73"/>
      <c r="AB2990" s="73"/>
    </row>
    <row r="2991">
      <c r="A2991" s="73"/>
      <c r="B2991" s="73">
        <v>2305802.895</v>
      </c>
      <c r="C2991" s="73">
        <v>2.25109048147163E8</v>
      </c>
      <c r="D2991" s="73">
        <v>9.75399365679975E7</v>
      </c>
      <c r="E2991" s="73">
        <v>1.27575703394983E7</v>
      </c>
      <c r="F2991" s="73"/>
      <c r="G2991" s="73"/>
      <c r="H2991" s="73"/>
      <c r="I2991" s="73"/>
      <c r="J2991" s="73"/>
      <c r="K2991" s="73"/>
      <c r="L2991" s="73"/>
      <c r="M2991" s="73"/>
      <c r="N2991" s="73"/>
      <c r="O2991" s="73"/>
      <c r="P2991" s="73"/>
      <c r="Q2991" s="73"/>
      <c r="R2991" s="73"/>
      <c r="S2991" s="73"/>
      <c r="T2991" s="73"/>
      <c r="U2991" s="73"/>
      <c r="V2991" s="73"/>
      <c r="W2991" s="73"/>
      <c r="X2991" s="73"/>
      <c r="Y2991" s="73"/>
      <c r="Z2991" s="73"/>
      <c r="AA2991" s="73"/>
      <c r="AB2991" s="73"/>
    </row>
    <row r="2992">
      <c r="A2992" s="73"/>
      <c r="B2992" s="73">
        <v>2308931.163</v>
      </c>
      <c r="C2992" s="73">
        <v>2.2531402638147E8</v>
      </c>
      <c r="D2992" s="73">
        <v>9.76509616519985E7</v>
      </c>
      <c r="E2992" s="73">
        <v>1.27723944015981E7</v>
      </c>
      <c r="F2992" s="73"/>
      <c r="G2992" s="73"/>
      <c r="H2992" s="73"/>
      <c r="I2992" s="73"/>
      <c r="J2992" s="73"/>
      <c r="K2992" s="73"/>
      <c r="L2992" s="73"/>
      <c r="M2992" s="73"/>
      <c r="N2992" s="73"/>
      <c r="O2992" s="73"/>
      <c r="P2992" s="73"/>
      <c r="Q2992" s="73"/>
      <c r="R2992" s="73"/>
      <c r="S2992" s="73"/>
      <c r="T2992" s="73"/>
      <c r="U2992" s="73"/>
      <c r="V2992" s="73"/>
      <c r="W2992" s="73"/>
      <c r="X2992" s="73"/>
      <c r="Y2992" s="73"/>
      <c r="Z2992" s="73"/>
      <c r="AA2992" s="73"/>
      <c r="AB2992" s="73"/>
    </row>
    <row r="2993">
      <c r="A2993" s="73"/>
      <c r="B2993" s="73">
        <v>2312062.575</v>
      </c>
      <c r="C2993" s="73">
        <v>2.25519103495773E8</v>
      </c>
      <c r="D2993" s="73">
        <v>9.77620591839994E7</v>
      </c>
      <c r="E2993" s="73">
        <v>1.27872331828571E7</v>
      </c>
      <c r="F2993" s="73"/>
      <c r="G2993" s="73"/>
      <c r="H2993" s="73"/>
      <c r="I2993" s="73"/>
      <c r="J2993" s="73"/>
      <c r="K2993" s="73"/>
      <c r="L2993" s="73"/>
      <c r="M2993" s="73"/>
      <c r="N2993" s="73"/>
      <c r="O2993" s="73"/>
      <c r="P2993" s="73"/>
      <c r="Q2993" s="73"/>
      <c r="R2993" s="73"/>
      <c r="S2993" s="73"/>
      <c r="T2993" s="73"/>
      <c r="U2993" s="73"/>
      <c r="V2993" s="73"/>
      <c r="W2993" s="73"/>
      <c r="X2993" s="73"/>
      <c r="Y2993" s="73"/>
      <c r="Z2993" s="73"/>
      <c r="AA2993" s="73"/>
      <c r="AB2993" s="73"/>
    </row>
    <row r="2994">
      <c r="A2994" s="73"/>
      <c r="B2994" s="73">
        <v>2315197.386</v>
      </c>
      <c r="C2994" s="73">
        <v>2.25724312450073E8</v>
      </c>
      <c r="D2994" s="73">
        <v>9.78732393160003E7</v>
      </c>
      <c r="E2994" s="73">
        <v>1.28020878569072E7</v>
      </c>
      <c r="F2994" s="73"/>
      <c r="G2994" s="73"/>
      <c r="H2994" s="73"/>
      <c r="I2994" s="73"/>
      <c r="J2994" s="73"/>
      <c r="K2994" s="73"/>
      <c r="L2994" s="73"/>
      <c r="M2994" s="73"/>
      <c r="N2994" s="73"/>
      <c r="O2994" s="73"/>
      <c r="P2994" s="73"/>
      <c r="Q2994" s="73"/>
      <c r="R2994" s="73"/>
      <c r="S2994" s="73"/>
      <c r="T2994" s="73"/>
      <c r="U2994" s="73"/>
      <c r="V2994" s="73"/>
      <c r="W2994" s="73"/>
      <c r="X2994" s="73"/>
      <c r="Y2994" s="73"/>
      <c r="Z2994" s="73"/>
      <c r="AA2994" s="73"/>
      <c r="AB2994" s="73"/>
    </row>
    <row r="2995">
      <c r="A2995" s="73"/>
      <c r="B2995" s="73">
        <v>2318335.391</v>
      </c>
      <c r="C2995" s="73">
        <v>2.2592965324437E8</v>
      </c>
      <c r="D2995" s="73">
        <v>9.79845021359936E7</v>
      </c>
      <c r="E2995" s="73">
        <v>1.28169569798166E7</v>
      </c>
      <c r="F2995" s="73"/>
      <c r="G2995" s="73"/>
      <c r="H2995" s="73"/>
      <c r="I2995" s="73"/>
      <c r="J2995" s="73"/>
      <c r="K2995" s="73"/>
      <c r="L2995" s="73"/>
      <c r="M2995" s="73"/>
      <c r="N2995" s="73"/>
      <c r="O2995" s="73"/>
      <c r="P2995" s="73"/>
      <c r="Q2995" s="73"/>
      <c r="R2995" s="73"/>
      <c r="S2995" s="73"/>
      <c r="T2995" s="73"/>
      <c r="U2995" s="73"/>
      <c r="V2995" s="73"/>
      <c r="W2995" s="73"/>
      <c r="X2995" s="73"/>
      <c r="Y2995" s="73"/>
      <c r="Z2995" s="73"/>
      <c r="AA2995" s="73"/>
      <c r="AB2995" s="73"/>
    </row>
    <row r="2996">
      <c r="A2996" s="73"/>
      <c r="B2996" s="73">
        <v>2321476.77</v>
      </c>
      <c r="C2996" s="73">
        <v>2.26135076438663E8</v>
      </c>
      <c r="D2996" s="73">
        <v>9.80958477079945E7</v>
      </c>
      <c r="E2996" s="73">
        <v>1.28318403690531E7</v>
      </c>
      <c r="F2996" s="73"/>
      <c r="G2996" s="73"/>
      <c r="H2996" s="73"/>
      <c r="I2996" s="73"/>
      <c r="J2996" s="73"/>
      <c r="K2996" s="73"/>
      <c r="L2996" s="73"/>
      <c r="M2996" s="73"/>
      <c r="N2996" s="73"/>
      <c r="O2996" s="73"/>
      <c r="P2996" s="73"/>
      <c r="Q2996" s="73"/>
      <c r="R2996" s="73"/>
      <c r="S2996" s="73"/>
      <c r="T2996" s="73"/>
      <c r="U2996" s="73"/>
      <c r="V2996" s="73"/>
      <c r="W2996" s="73"/>
      <c r="X2996" s="73"/>
      <c r="Y2996" s="73"/>
      <c r="Z2996" s="73"/>
      <c r="AA2996" s="73"/>
      <c r="AB2996" s="73"/>
    </row>
    <row r="2997">
      <c r="A2997" s="73"/>
      <c r="B2997" s="73">
        <v>2324621.298</v>
      </c>
      <c r="C2997" s="73">
        <v>2.26340647952953E8</v>
      </c>
      <c r="D2997" s="73">
        <v>9.82072758079954E7</v>
      </c>
      <c r="E2997" s="73">
        <v>1.28467400138128E7</v>
      </c>
      <c r="F2997" s="73"/>
      <c r="G2997" s="73"/>
      <c r="H2997" s="73"/>
      <c r="I2997" s="73"/>
      <c r="J2997" s="73"/>
      <c r="K2997" s="73"/>
      <c r="L2997" s="73"/>
      <c r="M2997" s="73"/>
      <c r="N2997" s="73"/>
      <c r="O2997" s="73"/>
      <c r="P2997" s="73"/>
      <c r="Q2997" s="73"/>
      <c r="R2997" s="73"/>
      <c r="S2997" s="73"/>
      <c r="T2997" s="73"/>
      <c r="U2997" s="73"/>
      <c r="V2997" s="73"/>
      <c r="W2997" s="73"/>
      <c r="X2997" s="73"/>
      <c r="Y2997" s="73"/>
      <c r="Z2997" s="73"/>
      <c r="AA2997" s="73"/>
      <c r="AB2997" s="73"/>
    </row>
    <row r="2998">
      <c r="A2998" s="73"/>
      <c r="B2998" s="73">
        <v>2327769.177</v>
      </c>
      <c r="C2998" s="73">
        <v>2.2654631834724E8</v>
      </c>
      <c r="D2998" s="73">
        <v>9.83187866679963E7</v>
      </c>
      <c r="E2998" s="73">
        <v>1.28616539460998E7</v>
      </c>
      <c r="F2998" s="73"/>
      <c r="G2998" s="73"/>
      <c r="H2998" s="73"/>
      <c r="I2998" s="73"/>
      <c r="J2998" s="73"/>
      <c r="K2998" s="73"/>
      <c r="L2998" s="73"/>
      <c r="M2998" s="73"/>
      <c r="N2998" s="73"/>
      <c r="O2998" s="73"/>
      <c r="P2998" s="73"/>
      <c r="Q2998" s="73"/>
      <c r="R2998" s="73"/>
      <c r="S2998" s="73"/>
      <c r="T2998" s="73"/>
      <c r="U2998" s="73"/>
      <c r="V2998" s="73"/>
      <c r="W2998" s="73"/>
      <c r="X2998" s="73"/>
      <c r="Y2998" s="73"/>
      <c r="Z2998" s="73"/>
      <c r="AA2998" s="73"/>
      <c r="AB2998" s="73"/>
    </row>
    <row r="2999">
      <c r="A2999" s="73"/>
      <c r="B2999" s="73">
        <v>2330920.298</v>
      </c>
      <c r="C2999" s="73">
        <v>2.26752104101524E8</v>
      </c>
      <c r="D2999" s="73">
        <v>9.84303802159972E7</v>
      </c>
      <c r="E2999" s="73">
        <v>1.28765831722779E7</v>
      </c>
      <c r="F2999" s="73"/>
      <c r="G2999" s="73"/>
      <c r="H2999" s="73"/>
      <c r="I2999" s="73"/>
      <c r="J2999" s="73"/>
      <c r="K2999" s="73"/>
      <c r="L2999" s="73"/>
      <c r="M2999" s="73"/>
      <c r="N2999" s="73"/>
      <c r="O2999" s="73"/>
      <c r="P2999" s="73"/>
      <c r="Q2999" s="73"/>
      <c r="R2999" s="73"/>
      <c r="S2999" s="73"/>
      <c r="T2999" s="73"/>
      <c r="U2999" s="73"/>
      <c r="V2999" s="73"/>
      <c r="W2999" s="73"/>
      <c r="X2999" s="73"/>
      <c r="Y2999" s="73"/>
      <c r="Z2999" s="73"/>
      <c r="AA2999" s="73"/>
      <c r="AB2999" s="73"/>
    </row>
    <row r="3000">
      <c r="A3000" s="73"/>
      <c r="B3000" s="73">
        <v>2334074.851</v>
      </c>
      <c r="C3000" s="73">
        <v>2.26958038175804E8</v>
      </c>
      <c r="D3000" s="73">
        <v>9.85420563639982E7</v>
      </c>
      <c r="E3000" s="73">
        <v>1.28915269615832E7</v>
      </c>
      <c r="F3000" s="73"/>
      <c r="G3000" s="73"/>
      <c r="H3000" s="73"/>
      <c r="I3000" s="73"/>
      <c r="J3000" s="73"/>
      <c r="K3000" s="73"/>
      <c r="L3000" s="73"/>
      <c r="M3000" s="73"/>
      <c r="N3000" s="73"/>
      <c r="O3000" s="73"/>
      <c r="P3000" s="73"/>
      <c r="Q3000" s="73"/>
      <c r="R3000" s="73"/>
      <c r="S3000" s="73"/>
      <c r="T3000" s="73"/>
      <c r="U3000" s="73"/>
      <c r="V3000" s="73"/>
      <c r="W3000" s="73"/>
      <c r="X3000" s="73"/>
      <c r="Y3000" s="73"/>
      <c r="Z3000" s="73"/>
      <c r="AA3000" s="73"/>
      <c r="AB3000" s="73"/>
    </row>
    <row r="3001">
      <c r="A3001" s="73"/>
      <c r="B3001" s="73">
        <v>2337232.527</v>
      </c>
      <c r="C3001" s="73">
        <v>2.27164054650082E8</v>
      </c>
      <c r="D3001" s="73">
        <v>9.86538151919991E7</v>
      </c>
      <c r="E3001" s="73">
        <v>1.29064859387797E7</v>
      </c>
      <c r="F3001" s="73"/>
      <c r="G3001" s="73"/>
      <c r="H3001" s="73"/>
      <c r="I3001" s="73"/>
      <c r="J3001" s="73"/>
      <c r="K3001" s="73"/>
      <c r="L3001" s="73"/>
      <c r="M3001" s="73"/>
      <c r="N3001" s="73"/>
      <c r="O3001" s="73"/>
      <c r="P3001" s="73"/>
      <c r="Q3001" s="73"/>
      <c r="R3001" s="73"/>
      <c r="S3001" s="73"/>
      <c r="T3001" s="73"/>
      <c r="U3001" s="73"/>
      <c r="V3001" s="73"/>
      <c r="W3001" s="73"/>
      <c r="X3001" s="73"/>
      <c r="Y3001" s="73"/>
      <c r="Z3001" s="73"/>
      <c r="AA3001" s="73"/>
      <c r="AB3001" s="73"/>
    </row>
    <row r="3002">
      <c r="A3002" s="73"/>
      <c r="B3002" s="73">
        <v>2340393.71</v>
      </c>
      <c r="C3002" s="73">
        <v>2.27370202964355E8</v>
      </c>
      <c r="D3002" s="73">
        <v>9.876564654E7</v>
      </c>
      <c r="E3002" s="73">
        <v>1.29214606391673E7</v>
      </c>
      <c r="F3002" s="73"/>
      <c r="G3002" s="73"/>
      <c r="H3002" s="73"/>
      <c r="I3002" s="73"/>
      <c r="J3002" s="73"/>
      <c r="K3002" s="73"/>
      <c r="L3002" s="73"/>
      <c r="M3002" s="73"/>
      <c r="N3002" s="73"/>
      <c r="O3002" s="73"/>
      <c r="P3002" s="73"/>
      <c r="Q3002" s="73"/>
      <c r="R3002" s="73"/>
      <c r="S3002" s="73"/>
      <c r="T3002" s="73"/>
      <c r="U3002" s="73"/>
      <c r="V3002" s="73"/>
      <c r="W3002" s="73"/>
      <c r="X3002" s="73"/>
      <c r="Y3002" s="73"/>
      <c r="Z3002" s="73"/>
      <c r="AA3002" s="73"/>
      <c r="AB3002" s="73"/>
    </row>
    <row r="3003">
      <c r="A3003" s="73"/>
      <c r="B3003" s="73">
        <v>2343558.626</v>
      </c>
      <c r="C3003" s="73">
        <v>2.27576483118626E8</v>
      </c>
      <c r="D3003" s="73">
        <v>9.88775706560009E7</v>
      </c>
      <c r="E3003" s="73">
        <v>1.29364496747822E7</v>
      </c>
      <c r="F3003" s="73"/>
      <c r="G3003" s="73"/>
      <c r="H3003" s="73"/>
      <c r="I3003" s="73"/>
      <c r="J3003" s="73"/>
      <c r="K3003" s="73"/>
      <c r="L3003" s="73"/>
      <c r="M3003" s="73"/>
      <c r="N3003" s="73"/>
      <c r="O3003" s="73"/>
      <c r="P3003" s="73"/>
      <c r="Q3003" s="73"/>
      <c r="R3003" s="73"/>
      <c r="S3003" s="73"/>
      <c r="T3003" s="73"/>
      <c r="U3003" s="73"/>
      <c r="V3003" s="73"/>
      <c r="W3003" s="73"/>
      <c r="X3003" s="73"/>
      <c r="Y3003" s="73"/>
      <c r="Z3003" s="73"/>
      <c r="AA3003" s="73"/>
      <c r="AB3003" s="73"/>
    </row>
    <row r="3004">
      <c r="A3004" s="73"/>
      <c r="B3004" s="73">
        <v>2346727.365</v>
      </c>
      <c r="C3004" s="73">
        <v>2.27782862152893E8</v>
      </c>
      <c r="D3004" s="73">
        <v>9.89895775319942E7</v>
      </c>
      <c r="E3004" s="73">
        <v>1.29514533659562E7</v>
      </c>
      <c r="F3004" s="73"/>
      <c r="G3004" s="73"/>
      <c r="H3004" s="73"/>
      <c r="I3004" s="73"/>
      <c r="J3004" s="73"/>
      <c r="K3004" s="73"/>
      <c r="L3004" s="73"/>
      <c r="M3004" s="73"/>
      <c r="N3004" s="73"/>
      <c r="O3004" s="73"/>
      <c r="P3004" s="73"/>
      <c r="Q3004" s="73"/>
      <c r="R3004" s="73"/>
      <c r="S3004" s="73"/>
      <c r="T3004" s="73"/>
      <c r="U3004" s="73"/>
      <c r="V3004" s="73"/>
      <c r="W3004" s="73"/>
      <c r="X3004" s="73"/>
      <c r="Y3004" s="73"/>
      <c r="Z3004" s="73"/>
      <c r="AA3004" s="73"/>
      <c r="AB3004" s="73"/>
    </row>
    <row r="3005">
      <c r="A3005" s="73"/>
      <c r="B3005" s="73">
        <v>2349899.908</v>
      </c>
      <c r="C3005" s="73">
        <v>2.27989373027157E8</v>
      </c>
      <c r="D3005" s="73">
        <v>9.91016670079951E7</v>
      </c>
      <c r="E3005" s="73">
        <v>1.29664728333215E7</v>
      </c>
      <c r="F3005" s="73"/>
      <c r="G3005" s="73"/>
      <c r="H3005" s="73"/>
      <c r="I3005" s="73"/>
      <c r="J3005" s="73"/>
      <c r="K3005" s="73"/>
      <c r="L3005" s="73"/>
      <c r="M3005" s="73"/>
      <c r="N3005" s="73"/>
      <c r="O3005" s="73"/>
      <c r="P3005" s="73"/>
      <c r="Q3005" s="73"/>
      <c r="R3005" s="73"/>
      <c r="S3005" s="73"/>
      <c r="T3005" s="73"/>
      <c r="U3005" s="73"/>
      <c r="V3005" s="73"/>
      <c r="W3005" s="73"/>
      <c r="X3005" s="73"/>
      <c r="Y3005" s="73"/>
      <c r="Z3005" s="73"/>
      <c r="AA3005" s="73"/>
      <c r="AB3005" s="73"/>
    </row>
    <row r="3006">
      <c r="A3006" s="73"/>
      <c r="B3006" s="73">
        <v>2353076.542</v>
      </c>
      <c r="C3006" s="73">
        <v>2.28195982781418E8</v>
      </c>
      <c r="D3006" s="73">
        <v>9.9213828931996E7</v>
      </c>
      <c r="E3006" s="73">
        <v>1.29815070145459E7</v>
      </c>
      <c r="F3006" s="73"/>
      <c r="G3006" s="73"/>
      <c r="H3006" s="73"/>
      <c r="I3006" s="73"/>
      <c r="J3006" s="73"/>
      <c r="K3006" s="73"/>
      <c r="L3006" s="73"/>
      <c r="M3006" s="73"/>
      <c r="N3006" s="73"/>
      <c r="O3006" s="73"/>
      <c r="P3006" s="73"/>
      <c r="Q3006" s="73"/>
      <c r="R3006" s="73"/>
      <c r="S3006" s="73"/>
      <c r="T3006" s="73"/>
      <c r="U3006" s="73"/>
      <c r="V3006" s="73"/>
      <c r="W3006" s="73"/>
      <c r="X3006" s="73"/>
      <c r="Y3006" s="73"/>
      <c r="Z3006" s="73"/>
      <c r="AA3006" s="73"/>
      <c r="AB3006" s="73"/>
    </row>
    <row r="3007">
      <c r="A3007" s="73"/>
      <c r="B3007" s="73">
        <v>2356257.176</v>
      </c>
      <c r="C3007" s="73">
        <v>2.28402740855675E8</v>
      </c>
      <c r="D3007" s="73">
        <v>9.9326083775997E7</v>
      </c>
      <c r="E3007" s="73">
        <v>1.29965564343295E7</v>
      </c>
      <c r="F3007" s="73"/>
      <c r="G3007" s="73"/>
      <c r="H3007" s="73"/>
      <c r="I3007" s="73"/>
      <c r="J3007" s="73"/>
      <c r="K3007" s="73"/>
      <c r="L3007" s="73"/>
      <c r="M3007" s="73"/>
      <c r="N3007" s="73"/>
      <c r="O3007" s="73"/>
      <c r="P3007" s="73"/>
      <c r="Q3007" s="73"/>
      <c r="R3007" s="73"/>
      <c r="S3007" s="73"/>
      <c r="T3007" s="73"/>
      <c r="U3007" s="73"/>
      <c r="V3007" s="73"/>
      <c r="W3007" s="73"/>
      <c r="X3007" s="73"/>
      <c r="Y3007" s="73"/>
      <c r="Z3007" s="73"/>
      <c r="AA3007" s="73"/>
      <c r="AB3007" s="73"/>
    </row>
    <row r="3008">
      <c r="A3008" s="73"/>
      <c r="B3008" s="73">
        <v>2359441.884</v>
      </c>
      <c r="C3008" s="73">
        <v>2.28609597809929E8</v>
      </c>
      <c r="D3008" s="73">
        <v>9.94384110599979E7</v>
      </c>
      <c r="E3008" s="73">
        <v>1.30116205467723E7</v>
      </c>
      <c r="F3008" s="73"/>
      <c r="G3008" s="73"/>
      <c r="H3008" s="73"/>
      <c r="I3008" s="73"/>
      <c r="J3008" s="73"/>
      <c r="K3008" s="73"/>
      <c r="L3008" s="73"/>
      <c r="M3008" s="73"/>
      <c r="N3008" s="73"/>
      <c r="O3008" s="73"/>
      <c r="P3008" s="73"/>
      <c r="Q3008" s="73"/>
      <c r="R3008" s="73"/>
      <c r="S3008" s="73"/>
      <c r="T3008" s="73"/>
      <c r="U3008" s="73"/>
      <c r="V3008" s="73"/>
      <c r="W3008" s="73"/>
      <c r="X3008" s="73"/>
      <c r="Y3008" s="73"/>
      <c r="Z3008" s="73"/>
      <c r="AA3008" s="73"/>
      <c r="AB3008" s="73"/>
    </row>
    <row r="3009">
      <c r="A3009" s="73"/>
      <c r="B3009" s="73">
        <v>2362630.602</v>
      </c>
      <c r="C3009" s="73">
        <v>2.2881657012418E8</v>
      </c>
      <c r="D3009" s="73">
        <v>9.95508311839988E7</v>
      </c>
      <c r="E3009" s="73">
        <v>1.30267003612063E7</v>
      </c>
      <c r="F3009" s="73"/>
      <c r="G3009" s="73"/>
      <c r="H3009" s="73"/>
      <c r="I3009" s="73"/>
      <c r="J3009" s="73"/>
      <c r="K3009" s="73"/>
      <c r="L3009" s="73"/>
      <c r="M3009" s="73"/>
      <c r="N3009" s="73"/>
      <c r="O3009" s="73"/>
      <c r="P3009" s="73"/>
      <c r="Q3009" s="73"/>
      <c r="R3009" s="73"/>
      <c r="S3009" s="73"/>
      <c r="T3009" s="73"/>
      <c r="U3009" s="73"/>
      <c r="V3009" s="73"/>
      <c r="W3009" s="73"/>
      <c r="X3009" s="73"/>
      <c r="Y3009" s="73"/>
      <c r="Z3009" s="73"/>
      <c r="AA3009" s="73"/>
      <c r="AB3009" s="73"/>
    </row>
    <row r="3010">
      <c r="A3010" s="73"/>
      <c r="B3010" s="73">
        <v>2365823.524</v>
      </c>
      <c r="C3010" s="73">
        <v>2.29023674278427E8</v>
      </c>
      <c r="D3010" s="73">
        <v>9.96633238359997E7</v>
      </c>
      <c r="E3010" s="73">
        <v>1.30417949371995E7</v>
      </c>
      <c r="F3010" s="73"/>
      <c r="G3010" s="73"/>
      <c r="H3010" s="73"/>
      <c r="I3010" s="73"/>
      <c r="J3010" s="73"/>
      <c r="K3010" s="73"/>
      <c r="L3010" s="73"/>
      <c r="M3010" s="73"/>
      <c r="N3010" s="73"/>
      <c r="O3010" s="73"/>
      <c r="P3010" s="73"/>
      <c r="Q3010" s="73"/>
      <c r="R3010" s="73"/>
      <c r="S3010" s="73"/>
      <c r="T3010" s="73"/>
      <c r="U3010" s="73"/>
      <c r="V3010" s="73"/>
      <c r="W3010" s="73"/>
      <c r="X3010" s="73"/>
      <c r="Y3010" s="73"/>
      <c r="Z3010" s="73"/>
      <c r="AA3010" s="73"/>
      <c r="AB3010" s="73"/>
    </row>
    <row r="3011">
      <c r="A3011" s="73"/>
      <c r="B3011" s="73">
        <v>2369020.551</v>
      </c>
      <c r="C3011" s="73">
        <v>2.29230893792671E8</v>
      </c>
      <c r="D3011" s="73">
        <v>9.97759093280006E7</v>
      </c>
      <c r="E3011" s="73">
        <v>1.30569039491199E7</v>
      </c>
      <c r="F3011" s="73"/>
      <c r="G3011" s="73"/>
      <c r="H3011" s="73"/>
      <c r="I3011" s="73"/>
      <c r="J3011" s="73"/>
      <c r="K3011" s="73"/>
      <c r="L3011" s="73"/>
      <c r="M3011" s="73"/>
      <c r="N3011" s="73"/>
      <c r="O3011" s="73"/>
      <c r="P3011" s="73"/>
      <c r="Q3011" s="73"/>
      <c r="R3011" s="73"/>
      <c r="S3011" s="73"/>
      <c r="T3011" s="73"/>
      <c r="U3011" s="73"/>
      <c r="V3011" s="73"/>
      <c r="W3011" s="73"/>
      <c r="X3011" s="73"/>
      <c r="Y3011" s="73"/>
      <c r="Z3011" s="73"/>
      <c r="AA3011" s="73"/>
      <c r="AB3011" s="73"/>
    </row>
    <row r="3012">
      <c r="A3012" s="73"/>
      <c r="B3012" s="73">
        <v>2372221.872</v>
      </c>
      <c r="C3012" s="73">
        <v>2.29438212186913E8</v>
      </c>
      <c r="D3012" s="73">
        <v>9.98885774999939E7</v>
      </c>
      <c r="E3012" s="73">
        <v>1.30720285888314E7</v>
      </c>
      <c r="F3012" s="73"/>
      <c r="G3012" s="73"/>
      <c r="H3012" s="73"/>
      <c r="I3012" s="73"/>
      <c r="J3012" s="73"/>
      <c r="K3012" s="73"/>
      <c r="L3012" s="73"/>
      <c r="M3012" s="73"/>
      <c r="N3012" s="73"/>
      <c r="O3012" s="73"/>
      <c r="P3012" s="73"/>
      <c r="Q3012" s="73"/>
      <c r="R3012" s="73"/>
      <c r="S3012" s="73"/>
      <c r="T3012" s="73"/>
      <c r="U3012" s="73"/>
      <c r="V3012" s="73"/>
      <c r="W3012" s="73"/>
      <c r="X3012" s="73"/>
      <c r="Y3012" s="73"/>
      <c r="Z3012" s="73"/>
      <c r="AA3012" s="73"/>
      <c r="AB3012" s="73"/>
    </row>
    <row r="3013">
      <c r="A3013" s="73"/>
      <c r="B3013" s="73">
        <v>2375427.288</v>
      </c>
      <c r="C3013" s="73">
        <v>2.2964566242115E8</v>
      </c>
      <c r="D3013" s="73">
        <v>1.00001318119995E8</v>
      </c>
      <c r="E3013" s="73">
        <v>1.30871688987341E7</v>
      </c>
      <c r="F3013" s="73"/>
      <c r="G3013" s="73"/>
      <c r="H3013" s="73"/>
      <c r="I3013" s="73"/>
      <c r="J3013" s="73"/>
      <c r="K3013" s="73"/>
      <c r="L3013" s="73"/>
      <c r="M3013" s="73"/>
      <c r="N3013" s="73"/>
      <c r="O3013" s="73"/>
      <c r="P3013" s="73"/>
      <c r="Q3013" s="73"/>
      <c r="R3013" s="73"/>
      <c r="S3013" s="73"/>
      <c r="T3013" s="73"/>
      <c r="U3013" s="73"/>
      <c r="V3013" s="73"/>
      <c r="W3013" s="73"/>
      <c r="X3013" s="73"/>
      <c r="Y3013" s="73"/>
      <c r="Z3013" s="73"/>
      <c r="AA3013" s="73"/>
      <c r="AB3013" s="73"/>
    </row>
    <row r="3014">
      <c r="A3014" s="73"/>
      <c r="B3014" s="73">
        <v>2378636.942</v>
      </c>
      <c r="C3014" s="73">
        <v>2.29853244495384E8</v>
      </c>
      <c r="D3014" s="73">
        <v>1.00114151579996E8</v>
      </c>
      <c r="E3014" s="73">
        <v>1.3102323474964E7</v>
      </c>
      <c r="F3014" s="73"/>
      <c r="G3014" s="73"/>
      <c r="H3014" s="73"/>
      <c r="I3014" s="73"/>
      <c r="J3014" s="73"/>
      <c r="K3014" s="73"/>
      <c r="L3014" s="73"/>
      <c r="M3014" s="73"/>
      <c r="N3014" s="73"/>
      <c r="O3014" s="73"/>
      <c r="P3014" s="73"/>
      <c r="Q3014" s="73"/>
      <c r="R3014" s="73"/>
      <c r="S3014" s="73"/>
      <c r="T3014" s="73"/>
      <c r="U3014" s="73"/>
      <c r="V3014" s="73"/>
      <c r="W3014" s="73"/>
      <c r="X3014" s="73"/>
      <c r="Y3014" s="73"/>
      <c r="Z3014" s="73"/>
      <c r="AA3014" s="73"/>
      <c r="AB3014" s="73"/>
    </row>
    <row r="3015">
      <c r="A3015" s="73"/>
      <c r="B3015" s="73">
        <v>2381850.989</v>
      </c>
      <c r="C3015" s="73">
        <v>2.30060908969616E8</v>
      </c>
      <c r="D3015" s="73">
        <v>1.00227057559997E8</v>
      </c>
      <c r="E3015" s="73">
        <v>1.31174935517851E7</v>
      </c>
      <c r="F3015" s="73"/>
      <c r="G3015" s="73"/>
      <c r="H3015" s="73"/>
      <c r="I3015" s="73"/>
      <c r="J3015" s="73"/>
      <c r="K3015" s="73"/>
      <c r="L3015" s="73"/>
      <c r="M3015" s="73"/>
      <c r="N3015" s="73"/>
      <c r="O3015" s="73"/>
      <c r="P3015" s="73"/>
      <c r="Q3015" s="73"/>
      <c r="R3015" s="73"/>
      <c r="S3015" s="73"/>
      <c r="T3015" s="73"/>
      <c r="U3015" s="73"/>
      <c r="V3015" s="73"/>
      <c r="W3015" s="73"/>
      <c r="X3015" s="73"/>
      <c r="Y3015" s="73"/>
      <c r="Z3015" s="73"/>
      <c r="AA3015" s="73"/>
      <c r="AB3015" s="73"/>
    </row>
    <row r="3016">
      <c r="A3016" s="73"/>
      <c r="B3016" s="73">
        <v>2385069.245</v>
      </c>
      <c r="C3016" s="73">
        <v>2.30268754723843E8</v>
      </c>
      <c r="D3016" s="73">
        <v>1.00340056459998E8</v>
      </c>
      <c r="E3016" s="73">
        <v>1.31326786657654E7</v>
      </c>
      <c r="F3016" s="73"/>
      <c r="G3016" s="73"/>
      <c r="H3016" s="73"/>
      <c r="I3016" s="73"/>
      <c r="J3016" s="73"/>
      <c r="K3016" s="73"/>
      <c r="L3016" s="73"/>
      <c r="M3016" s="73"/>
      <c r="N3016" s="73"/>
      <c r="O3016" s="73"/>
      <c r="P3016" s="73"/>
      <c r="Q3016" s="73"/>
      <c r="R3016" s="73"/>
      <c r="S3016" s="73"/>
      <c r="T3016" s="73"/>
      <c r="U3016" s="73"/>
      <c r="V3016" s="73"/>
      <c r="W3016" s="73"/>
      <c r="X3016" s="73"/>
      <c r="Y3016" s="73"/>
      <c r="Z3016" s="73"/>
      <c r="AA3016" s="73"/>
      <c r="AB3016" s="73"/>
    </row>
    <row r="3017">
      <c r="A3017" s="73"/>
      <c r="B3017" s="73">
        <v>2388291.773</v>
      </c>
      <c r="C3017" s="73">
        <v>2.30476649918068E8</v>
      </c>
      <c r="D3017" s="73">
        <v>1.00453127647998E8</v>
      </c>
      <c r="E3017" s="73">
        <v>1.31478789494049E7</v>
      </c>
      <c r="F3017" s="73"/>
      <c r="G3017" s="73"/>
      <c r="H3017" s="73"/>
      <c r="I3017" s="73"/>
      <c r="J3017" s="73"/>
      <c r="K3017" s="73"/>
      <c r="L3017" s="73"/>
      <c r="M3017" s="73"/>
      <c r="N3017" s="73"/>
      <c r="O3017" s="73"/>
      <c r="P3017" s="73"/>
      <c r="Q3017" s="73"/>
      <c r="R3017" s="73"/>
      <c r="S3017" s="73"/>
      <c r="T3017" s="73"/>
      <c r="U3017" s="73"/>
      <c r="V3017" s="73"/>
      <c r="W3017" s="73"/>
      <c r="X3017" s="73"/>
      <c r="Y3017" s="73"/>
      <c r="Z3017" s="73"/>
      <c r="AA3017" s="73"/>
      <c r="AB3017" s="73"/>
    </row>
    <row r="3018">
      <c r="A3018" s="73"/>
      <c r="B3018" s="73">
        <v>2391518.707</v>
      </c>
      <c r="C3018" s="73">
        <v>2.30684709912289E8</v>
      </c>
      <c r="D3018" s="73">
        <v>1.00566291835999E8</v>
      </c>
      <c r="E3018" s="73">
        <v>1.31630939999035E7</v>
      </c>
      <c r="F3018" s="73"/>
      <c r="G3018" s="73"/>
      <c r="H3018" s="73"/>
      <c r="I3018" s="73"/>
      <c r="J3018" s="73"/>
      <c r="K3018" s="73"/>
      <c r="L3018" s="73"/>
      <c r="M3018" s="73"/>
      <c r="N3018" s="73"/>
      <c r="O3018" s="73"/>
      <c r="P3018" s="73"/>
      <c r="Q3018" s="73"/>
      <c r="R3018" s="73"/>
      <c r="S3018" s="73"/>
      <c r="T3018" s="73"/>
      <c r="U3018" s="73"/>
      <c r="V3018" s="73"/>
      <c r="W3018" s="73"/>
      <c r="X3018" s="73"/>
      <c r="Y3018" s="73"/>
      <c r="Z3018" s="73"/>
      <c r="AA3018" s="73"/>
      <c r="AB3018" s="73"/>
    </row>
    <row r="3019">
      <c r="A3019" s="73"/>
      <c r="B3019" s="73">
        <v>2394749.932</v>
      </c>
      <c r="C3019" s="73">
        <v>2.30892852306507E8</v>
      </c>
      <c r="D3019" s="73">
        <v>1.00679528464E8</v>
      </c>
      <c r="E3019" s="73">
        <v>1.31783249219934E7</v>
      </c>
      <c r="F3019" s="73"/>
      <c r="G3019" s="73"/>
      <c r="H3019" s="73"/>
      <c r="I3019" s="73"/>
      <c r="J3019" s="73"/>
      <c r="K3019" s="73"/>
      <c r="L3019" s="73"/>
      <c r="M3019" s="73"/>
      <c r="N3019" s="73"/>
      <c r="O3019" s="73"/>
      <c r="P3019" s="73"/>
      <c r="Q3019" s="73"/>
      <c r="R3019" s="73"/>
      <c r="S3019" s="73"/>
      <c r="T3019" s="73"/>
      <c r="U3019" s="73"/>
      <c r="V3019" s="73"/>
      <c r="W3019" s="73"/>
      <c r="X3019" s="73"/>
      <c r="Y3019" s="73"/>
      <c r="Z3019" s="73"/>
      <c r="AA3019" s="73"/>
      <c r="AB3019" s="73"/>
    </row>
    <row r="3020">
      <c r="A3020" s="73"/>
      <c r="B3020" s="73">
        <v>2397985.569</v>
      </c>
      <c r="C3020" s="73">
        <v>2.31101159500721E8</v>
      </c>
      <c r="D3020" s="73">
        <v>1.00792858011994E8</v>
      </c>
      <c r="E3020" s="73">
        <v>1.31935707752424E7</v>
      </c>
      <c r="F3020" s="73"/>
      <c r="G3020" s="73"/>
      <c r="H3020" s="73"/>
      <c r="I3020" s="73"/>
      <c r="J3020" s="73"/>
      <c r="K3020" s="73"/>
      <c r="L3020" s="73"/>
      <c r="M3020" s="73"/>
      <c r="N3020" s="73"/>
      <c r="O3020" s="73"/>
      <c r="P3020" s="73"/>
      <c r="Q3020" s="73"/>
      <c r="R3020" s="73"/>
      <c r="S3020" s="73"/>
      <c r="T3020" s="73"/>
      <c r="U3020" s="73"/>
      <c r="V3020" s="73"/>
      <c r="W3020" s="73"/>
      <c r="X3020" s="73"/>
      <c r="Y3020" s="73"/>
      <c r="Z3020" s="73"/>
      <c r="AA3020" s="73"/>
      <c r="AB3020" s="73"/>
    </row>
    <row r="3021">
      <c r="A3021" s="73"/>
      <c r="B3021" s="73">
        <v>2401225.552</v>
      </c>
      <c r="C3021" s="73">
        <v>2.31309565574932E8</v>
      </c>
      <c r="D3021" s="73">
        <v>1.00906259927995E8</v>
      </c>
      <c r="E3021" s="73">
        <v>1.32088316073506E7</v>
      </c>
      <c r="F3021" s="73"/>
      <c r="G3021" s="73"/>
      <c r="H3021" s="73"/>
      <c r="I3021" s="73"/>
      <c r="J3021" s="73"/>
      <c r="K3021" s="73"/>
      <c r="L3021" s="73"/>
      <c r="M3021" s="73"/>
      <c r="N3021" s="73"/>
      <c r="O3021" s="73"/>
      <c r="P3021" s="73"/>
      <c r="Q3021" s="73"/>
      <c r="R3021" s="73"/>
      <c r="S3021" s="73"/>
      <c r="T3021" s="73"/>
      <c r="U3021" s="73"/>
      <c r="V3021" s="73"/>
      <c r="W3021" s="73"/>
      <c r="X3021" s="73"/>
      <c r="Y3021" s="73"/>
      <c r="Z3021" s="73"/>
      <c r="AA3021" s="73"/>
      <c r="AB3021" s="73"/>
    </row>
    <row r="3022">
      <c r="A3022" s="73"/>
      <c r="B3022" s="73">
        <v>2404469.98</v>
      </c>
      <c r="C3022" s="73">
        <v>2.3151807052914E8</v>
      </c>
      <c r="D3022" s="73">
        <v>1.01019754843995E8</v>
      </c>
      <c r="E3022" s="73">
        <v>1.32241074077179E7</v>
      </c>
      <c r="F3022" s="73"/>
      <c r="G3022" s="73"/>
      <c r="H3022" s="73"/>
      <c r="I3022" s="73"/>
      <c r="J3022" s="73"/>
      <c r="K3022" s="73"/>
      <c r="L3022" s="73"/>
      <c r="M3022" s="73"/>
      <c r="N3022" s="73"/>
      <c r="O3022" s="73"/>
      <c r="P3022" s="73"/>
      <c r="Q3022" s="73"/>
      <c r="R3022" s="73"/>
      <c r="S3022" s="73"/>
      <c r="T3022" s="73"/>
      <c r="U3022" s="73"/>
      <c r="V3022" s="73"/>
      <c r="W3022" s="73"/>
      <c r="X3022" s="73"/>
      <c r="Y3022" s="73"/>
      <c r="Z3022" s="73"/>
      <c r="AA3022" s="73"/>
      <c r="AB3022" s="73"/>
    </row>
    <row r="3023">
      <c r="A3023" s="73"/>
      <c r="B3023" s="73">
        <v>2407718.814</v>
      </c>
      <c r="C3023" s="73">
        <v>2.31726723803345E8</v>
      </c>
      <c r="D3023" s="73">
        <v>1.01133332359996E8</v>
      </c>
      <c r="E3023" s="73">
        <v>1.32393982876445E7</v>
      </c>
      <c r="F3023" s="73"/>
      <c r="G3023" s="73"/>
      <c r="H3023" s="73"/>
      <c r="I3023" s="73"/>
      <c r="J3023" s="73"/>
      <c r="K3023" s="73"/>
      <c r="L3023" s="73"/>
      <c r="M3023" s="73"/>
      <c r="N3023" s="73"/>
      <c r="O3023" s="73"/>
      <c r="P3023" s="73"/>
      <c r="Q3023" s="73"/>
      <c r="R3023" s="73"/>
      <c r="S3023" s="73"/>
      <c r="T3023" s="73"/>
      <c r="U3023" s="73"/>
      <c r="V3023" s="73"/>
      <c r="W3023" s="73"/>
      <c r="X3023" s="73"/>
      <c r="Y3023" s="73"/>
      <c r="Z3023" s="73"/>
      <c r="AA3023" s="73"/>
      <c r="AB3023" s="73"/>
    </row>
    <row r="3024">
      <c r="A3024" s="73"/>
      <c r="B3024" s="73">
        <v>2410972.067</v>
      </c>
      <c r="C3024" s="73">
        <v>2.31935459477547E8</v>
      </c>
      <c r="D3024" s="73">
        <v>1.01246982243997E8</v>
      </c>
      <c r="E3024" s="73">
        <v>1.32547047635623E7</v>
      </c>
      <c r="F3024" s="73"/>
      <c r="G3024" s="73"/>
      <c r="H3024" s="73"/>
      <c r="I3024" s="73"/>
      <c r="J3024" s="73"/>
      <c r="K3024" s="73"/>
      <c r="L3024" s="73"/>
      <c r="M3024" s="73"/>
      <c r="N3024" s="73"/>
      <c r="O3024" s="73"/>
      <c r="P3024" s="73"/>
      <c r="Q3024" s="73"/>
      <c r="R3024" s="73"/>
      <c r="S3024" s="73"/>
      <c r="T3024" s="73"/>
      <c r="U3024" s="73"/>
      <c r="V3024" s="73"/>
      <c r="W3024" s="73"/>
      <c r="X3024" s="73"/>
      <c r="Y3024" s="73"/>
      <c r="Z3024" s="73"/>
      <c r="AA3024" s="73"/>
      <c r="AB3024" s="73"/>
    </row>
    <row r="3025">
      <c r="A3025" s="73"/>
      <c r="B3025" s="73">
        <v>2414229.733</v>
      </c>
      <c r="C3025" s="73">
        <v>2.32144343471745E8</v>
      </c>
      <c r="D3025" s="73">
        <v>1.01360725127998E8</v>
      </c>
      <c r="E3025" s="73">
        <v>1.32700265893392E7</v>
      </c>
      <c r="F3025" s="73"/>
      <c r="G3025" s="73"/>
      <c r="H3025" s="73"/>
      <c r="I3025" s="73"/>
      <c r="J3025" s="73"/>
      <c r="K3025" s="73"/>
      <c r="L3025" s="73"/>
      <c r="M3025" s="73"/>
      <c r="N3025" s="73"/>
      <c r="O3025" s="73"/>
      <c r="P3025" s="73"/>
      <c r="Q3025" s="73"/>
      <c r="R3025" s="73"/>
      <c r="S3025" s="73"/>
      <c r="T3025" s="73"/>
      <c r="U3025" s="73"/>
      <c r="V3025" s="73"/>
      <c r="W3025" s="73"/>
      <c r="X3025" s="73"/>
      <c r="Y3025" s="73"/>
      <c r="Z3025" s="73"/>
      <c r="AA3025" s="73"/>
      <c r="AB3025" s="73"/>
    </row>
    <row r="3026">
      <c r="A3026" s="73"/>
      <c r="B3026" s="73">
        <v>2417491.929</v>
      </c>
      <c r="C3026" s="73">
        <v>2.32353342825939E8</v>
      </c>
      <c r="D3026" s="73">
        <v>1.01474540451999E8</v>
      </c>
      <c r="E3026" s="73">
        <v>1.32853632402753E7</v>
      </c>
      <c r="F3026" s="73"/>
      <c r="G3026" s="73"/>
      <c r="H3026" s="73"/>
      <c r="I3026" s="73"/>
      <c r="J3026" s="73"/>
      <c r="K3026" s="73"/>
      <c r="L3026" s="73"/>
      <c r="M3026" s="73"/>
      <c r="N3026" s="73"/>
      <c r="O3026" s="73"/>
      <c r="P3026" s="73"/>
      <c r="Q3026" s="73"/>
      <c r="R3026" s="73"/>
      <c r="S3026" s="73"/>
      <c r="T3026" s="73"/>
      <c r="U3026" s="73"/>
      <c r="V3026" s="73"/>
      <c r="W3026" s="73"/>
      <c r="X3026" s="73"/>
      <c r="Y3026" s="73"/>
      <c r="Z3026" s="73"/>
      <c r="AA3026" s="73"/>
      <c r="AB3026" s="73"/>
    </row>
    <row r="3027">
      <c r="A3027" s="73"/>
      <c r="B3027" s="73">
        <v>2420758.622</v>
      </c>
      <c r="C3027" s="73">
        <v>2.3256247402013E8</v>
      </c>
      <c r="D3027" s="73">
        <v>1.01588448696E8</v>
      </c>
      <c r="E3027" s="73">
        <v>1.33007149442706E7</v>
      </c>
      <c r="F3027" s="73"/>
      <c r="G3027" s="73"/>
      <c r="H3027" s="73"/>
      <c r="I3027" s="73"/>
      <c r="J3027" s="73"/>
      <c r="K3027" s="73"/>
      <c r="L3027" s="73"/>
      <c r="M3027" s="73"/>
      <c r="N3027" s="73"/>
      <c r="O3027" s="73"/>
      <c r="P3027" s="73"/>
      <c r="Q3027" s="73"/>
      <c r="R3027" s="73"/>
      <c r="S3027" s="73"/>
      <c r="T3027" s="73"/>
      <c r="U3027" s="73"/>
      <c r="V3027" s="73"/>
      <c r="W3027" s="73"/>
      <c r="X3027" s="73"/>
      <c r="Y3027" s="73"/>
      <c r="Z3027" s="73"/>
      <c r="AA3027" s="73"/>
      <c r="AB3027" s="73"/>
    </row>
    <row r="3028">
      <c r="A3028" s="73"/>
      <c r="B3028" s="73">
        <v>2424029.796</v>
      </c>
      <c r="C3028" s="73">
        <v>2.32771671134319E8</v>
      </c>
      <c r="D3028" s="73">
        <v>1.01702439548001E8</v>
      </c>
      <c r="E3028" s="73">
        <v>1.3316081802025E7</v>
      </c>
      <c r="F3028" s="73"/>
      <c r="G3028" s="73"/>
      <c r="H3028" s="73"/>
      <c r="I3028" s="73"/>
      <c r="J3028" s="73"/>
      <c r="K3028" s="73"/>
      <c r="L3028" s="73"/>
      <c r="M3028" s="73"/>
      <c r="N3028" s="73"/>
      <c r="O3028" s="73"/>
      <c r="P3028" s="73"/>
      <c r="Q3028" s="73"/>
      <c r="R3028" s="73"/>
      <c r="S3028" s="73"/>
      <c r="T3028" s="73"/>
      <c r="U3028" s="73"/>
      <c r="V3028" s="73"/>
      <c r="W3028" s="73"/>
      <c r="X3028" s="73"/>
      <c r="Y3028" s="73"/>
      <c r="Z3028" s="73"/>
      <c r="AA3028" s="73"/>
      <c r="AB3028" s="73"/>
    </row>
    <row r="3029">
      <c r="A3029" s="73"/>
      <c r="B3029" s="73">
        <v>2427305.485</v>
      </c>
      <c r="C3029" s="73">
        <v>2.32981066008503E8</v>
      </c>
      <c r="D3029" s="73">
        <v>1.01816513079994E8</v>
      </c>
      <c r="E3029" s="73">
        <v>1.33314643829707E7</v>
      </c>
      <c r="F3029" s="73"/>
      <c r="G3029" s="73"/>
      <c r="H3029" s="73"/>
      <c r="I3029" s="73"/>
      <c r="J3029" s="73"/>
      <c r="K3029" s="73"/>
      <c r="L3029" s="73"/>
      <c r="M3029" s="73"/>
      <c r="N3029" s="73"/>
      <c r="O3029" s="73"/>
      <c r="P3029" s="73"/>
      <c r="Q3029" s="73"/>
      <c r="R3029" s="73"/>
      <c r="S3029" s="73"/>
      <c r="T3029" s="73"/>
      <c r="U3029" s="73"/>
      <c r="V3029" s="73"/>
      <c r="W3029" s="73"/>
      <c r="X3029" s="73"/>
      <c r="Y3029" s="73"/>
      <c r="Z3029" s="73"/>
      <c r="AA3029" s="73"/>
      <c r="AB3029" s="73"/>
    </row>
    <row r="3030">
      <c r="A3030" s="73"/>
      <c r="B3030" s="73">
        <v>2430585.701</v>
      </c>
      <c r="C3030" s="73">
        <v>2.33190510322685E8</v>
      </c>
      <c r="D3030" s="73">
        <v>1.01930659051995E8</v>
      </c>
      <c r="E3030" s="73">
        <v>1.33468619480755E7</v>
      </c>
      <c r="F3030" s="73"/>
      <c r="G3030" s="73"/>
      <c r="H3030" s="73"/>
      <c r="I3030" s="73"/>
      <c r="J3030" s="73"/>
      <c r="K3030" s="73"/>
      <c r="L3030" s="73"/>
      <c r="M3030" s="73"/>
      <c r="N3030" s="73"/>
      <c r="O3030" s="73"/>
      <c r="P3030" s="73"/>
      <c r="Q3030" s="73"/>
      <c r="R3030" s="73"/>
      <c r="S3030" s="73"/>
      <c r="T3030" s="73"/>
      <c r="U3030" s="73"/>
      <c r="V3030" s="73"/>
      <c r="W3030" s="73"/>
      <c r="X3030" s="73"/>
      <c r="Y3030" s="73"/>
      <c r="Z3030" s="73"/>
      <c r="AA3030" s="73"/>
      <c r="AB3030" s="73"/>
    </row>
    <row r="3031">
      <c r="A3031" s="73"/>
      <c r="B3031" s="73">
        <v>2433870.458</v>
      </c>
      <c r="C3031" s="73">
        <v>2.33400102956863E8</v>
      </c>
      <c r="D3031" s="73">
        <v>1.02044897871996E8</v>
      </c>
      <c r="E3031" s="73">
        <v>1.33622744814395E7</v>
      </c>
      <c r="F3031" s="73"/>
      <c r="G3031" s="73"/>
      <c r="H3031" s="73"/>
      <c r="I3031" s="73"/>
      <c r="J3031" s="73"/>
      <c r="K3031" s="73"/>
      <c r="L3031" s="73"/>
      <c r="M3031" s="73"/>
      <c r="N3031" s="73"/>
      <c r="O3031" s="73"/>
      <c r="P3031" s="73"/>
      <c r="Q3031" s="73"/>
      <c r="R3031" s="73"/>
      <c r="S3031" s="73"/>
      <c r="T3031" s="73"/>
      <c r="U3031" s="73"/>
      <c r="V3031" s="73"/>
      <c r="W3031" s="73"/>
      <c r="X3031" s="73"/>
      <c r="Y3031" s="73"/>
      <c r="Z3031" s="73"/>
      <c r="AA3031" s="73"/>
      <c r="AB3031" s="73"/>
    </row>
    <row r="3032">
      <c r="A3032" s="73"/>
      <c r="B3032" s="73">
        <v>2437159.793</v>
      </c>
      <c r="C3032" s="73">
        <v>2.33609827431038E8</v>
      </c>
      <c r="D3032" s="73">
        <v>1.02159219443997E8</v>
      </c>
      <c r="E3032" s="73">
        <v>1.33777029658946E7</v>
      </c>
      <c r="F3032" s="73"/>
      <c r="G3032" s="73"/>
      <c r="H3032" s="73"/>
      <c r="I3032" s="73"/>
      <c r="J3032" s="73"/>
      <c r="K3032" s="73"/>
      <c r="L3032" s="73"/>
      <c r="M3032" s="73"/>
      <c r="N3032" s="73"/>
      <c r="O3032" s="73"/>
      <c r="P3032" s="73"/>
      <c r="Q3032" s="73"/>
      <c r="R3032" s="73"/>
      <c r="S3032" s="73"/>
      <c r="T3032" s="73"/>
      <c r="U3032" s="73"/>
      <c r="V3032" s="73"/>
      <c r="W3032" s="73"/>
      <c r="X3032" s="73"/>
      <c r="Y3032" s="73"/>
      <c r="Z3032" s="73"/>
      <c r="AA3032" s="73"/>
      <c r="AB3032" s="73"/>
    </row>
    <row r="3033">
      <c r="A3033" s="73"/>
      <c r="B3033" s="73">
        <v>2440453.613</v>
      </c>
      <c r="C3033" s="73">
        <v>2.3381965078521E8</v>
      </c>
      <c r="D3033" s="73">
        <v>1.02273623631998E8</v>
      </c>
      <c r="E3033" s="73">
        <v>1.3393145870377E7</v>
      </c>
      <c r="F3033" s="73"/>
      <c r="G3033" s="73"/>
      <c r="H3033" s="73"/>
      <c r="I3033" s="73"/>
      <c r="J3033" s="73"/>
      <c r="K3033" s="73"/>
      <c r="L3033" s="73"/>
      <c r="M3033" s="73"/>
      <c r="N3033" s="73"/>
      <c r="O3033" s="73"/>
      <c r="P3033" s="73"/>
      <c r="Q3033" s="73"/>
      <c r="R3033" s="73"/>
      <c r="S3033" s="73"/>
      <c r="T3033" s="73"/>
      <c r="U3033" s="73"/>
      <c r="V3033" s="73"/>
      <c r="W3033" s="73"/>
      <c r="X3033" s="73"/>
      <c r="Y3033" s="73"/>
      <c r="Z3033" s="73"/>
      <c r="AA3033" s="73"/>
      <c r="AB3033" s="73"/>
    </row>
    <row r="3034">
      <c r="A3034" s="73"/>
      <c r="B3034" s="73">
        <v>2443752.071</v>
      </c>
      <c r="C3034" s="73">
        <v>2.34029589499378E8</v>
      </c>
      <c r="D3034" s="73">
        <v>1.02388110491999E8</v>
      </c>
      <c r="E3034" s="73">
        <v>1.34086043019505E7</v>
      </c>
      <c r="F3034" s="73"/>
      <c r="G3034" s="73"/>
      <c r="H3034" s="73"/>
      <c r="I3034" s="73"/>
      <c r="J3034" s="73"/>
      <c r="K3034" s="73"/>
      <c r="L3034" s="73"/>
      <c r="M3034" s="73"/>
      <c r="N3034" s="73"/>
      <c r="O3034" s="73"/>
      <c r="P3034" s="73"/>
      <c r="Q3034" s="73"/>
      <c r="R3034" s="73"/>
      <c r="S3034" s="73"/>
      <c r="T3034" s="73"/>
      <c r="U3034" s="73"/>
      <c r="V3034" s="73"/>
      <c r="W3034" s="73"/>
      <c r="X3034" s="73"/>
      <c r="Y3034" s="73"/>
      <c r="Z3034" s="73"/>
      <c r="AA3034" s="73"/>
      <c r="AB3034" s="73"/>
    </row>
    <row r="3035">
      <c r="A3035" s="73"/>
      <c r="B3035" s="73">
        <v>2447055.209</v>
      </c>
      <c r="C3035" s="73">
        <v>2.34239643573544E8</v>
      </c>
      <c r="D3035" s="73">
        <v>1.0250268004E8</v>
      </c>
      <c r="E3035" s="73">
        <v>1.34240781204832E7</v>
      </c>
      <c r="F3035" s="73"/>
      <c r="G3035" s="73"/>
      <c r="H3035" s="73"/>
      <c r="I3035" s="73"/>
      <c r="J3035" s="73"/>
      <c r="K3035" s="73"/>
      <c r="L3035" s="73"/>
      <c r="M3035" s="73"/>
      <c r="N3035" s="73"/>
      <c r="O3035" s="73"/>
      <c r="P3035" s="73"/>
      <c r="Q3035" s="73"/>
      <c r="R3035" s="73"/>
      <c r="S3035" s="73"/>
      <c r="T3035" s="73"/>
      <c r="U3035" s="73"/>
      <c r="V3035" s="73"/>
      <c r="W3035" s="73"/>
      <c r="X3035" s="73"/>
      <c r="Y3035" s="73"/>
      <c r="Z3035" s="73"/>
      <c r="AA3035" s="73"/>
      <c r="AB3035" s="73"/>
    </row>
    <row r="3036">
      <c r="A3036" s="73"/>
      <c r="B3036" s="73">
        <v>2450362.812</v>
      </c>
      <c r="C3036" s="73">
        <v>2.34449845967705E8</v>
      </c>
      <c r="D3036" s="73">
        <v>1.02617332340001E8</v>
      </c>
      <c r="E3036" s="73">
        <v>1.34395670238751E7</v>
      </c>
      <c r="F3036" s="73"/>
      <c r="G3036" s="73"/>
      <c r="H3036" s="73"/>
      <c r="I3036" s="73"/>
      <c r="J3036" s="73"/>
      <c r="K3036" s="73"/>
      <c r="L3036" s="73"/>
      <c r="M3036" s="73"/>
      <c r="N3036" s="73"/>
      <c r="O3036" s="73"/>
      <c r="P3036" s="73"/>
      <c r="Q3036" s="73"/>
      <c r="R3036" s="73"/>
      <c r="S3036" s="73"/>
      <c r="T3036" s="73"/>
      <c r="U3036" s="73"/>
      <c r="V3036" s="73"/>
      <c r="W3036" s="73"/>
      <c r="X3036" s="73"/>
      <c r="Y3036" s="73"/>
      <c r="Z3036" s="73"/>
      <c r="AA3036" s="73"/>
      <c r="AB3036" s="73"/>
    </row>
    <row r="3037">
      <c r="A3037" s="73"/>
      <c r="B3037" s="73">
        <v>2453675.107</v>
      </c>
      <c r="C3037" s="73">
        <v>2.34660147241863E8</v>
      </c>
      <c r="D3037" s="73">
        <v>1.02732067247994E8</v>
      </c>
      <c r="E3037" s="73">
        <v>1.34550714967581E7</v>
      </c>
      <c r="F3037" s="73"/>
      <c r="G3037" s="73"/>
      <c r="H3037" s="73"/>
      <c r="I3037" s="73"/>
      <c r="J3037" s="73"/>
      <c r="K3037" s="73"/>
      <c r="L3037" s="73"/>
      <c r="M3037" s="73"/>
      <c r="N3037" s="73"/>
      <c r="O3037" s="73"/>
      <c r="P3037" s="73"/>
      <c r="Q3037" s="73"/>
      <c r="R3037" s="73"/>
      <c r="S3037" s="73"/>
      <c r="T3037" s="73"/>
      <c r="U3037" s="73"/>
      <c r="V3037" s="73"/>
      <c r="W3037" s="73"/>
      <c r="X3037" s="73"/>
      <c r="Y3037" s="73"/>
      <c r="Z3037" s="73"/>
      <c r="AA3037" s="73"/>
      <c r="AB3037" s="73"/>
    </row>
    <row r="3038">
      <c r="A3038" s="73"/>
      <c r="B3038" s="73">
        <v>2456992.028</v>
      </c>
      <c r="C3038" s="73">
        <v>2.34870563876019E8</v>
      </c>
      <c r="D3038" s="73">
        <v>1.02846884763995E8</v>
      </c>
      <c r="E3038" s="73">
        <v>1.34705911976004E7</v>
      </c>
      <c r="F3038" s="73"/>
      <c r="G3038" s="73"/>
      <c r="H3038" s="73"/>
      <c r="I3038" s="73"/>
      <c r="J3038" s="73"/>
      <c r="K3038" s="73"/>
      <c r="L3038" s="73"/>
      <c r="M3038" s="73"/>
      <c r="N3038" s="73"/>
      <c r="O3038" s="73"/>
      <c r="P3038" s="73"/>
      <c r="Q3038" s="73"/>
      <c r="R3038" s="73"/>
      <c r="S3038" s="73"/>
      <c r="T3038" s="73"/>
      <c r="U3038" s="73"/>
      <c r="V3038" s="73"/>
      <c r="W3038" s="73"/>
      <c r="X3038" s="73"/>
      <c r="Y3038" s="73"/>
      <c r="Z3038" s="73"/>
      <c r="AA3038" s="73"/>
      <c r="AB3038" s="73"/>
    </row>
    <row r="3039">
      <c r="A3039" s="73"/>
      <c r="B3039" s="73">
        <v>2460313.573</v>
      </c>
      <c r="C3039" s="73">
        <v>2.3508112883017E8</v>
      </c>
      <c r="D3039" s="73">
        <v>1.02961795191996E8</v>
      </c>
      <c r="E3039" s="73">
        <v>1.34861262006018E7</v>
      </c>
      <c r="F3039" s="73"/>
      <c r="G3039" s="73"/>
      <c r="H3039" s="73"/>
      <c r="I3039" s="73"/>
      <c r="J3039" s="73"/>
      <c r="K3039" s="73"/>
      <c r="L3039" s="73"/>
      <c r="M3039" s="73"/>
      <c r="N3039" s="73"/>
      <c r="O3039" s="73"/>
      <c r="P3039" s="73"/>
      <c r="Q3039" s="73"/>
      <c r="R3039" s="73"/>
      <c r="S3039" s="73"/>
      <c r="T3039" s="73"/>
      <c r="U3039" s="73"/>
      <c r="V3039" s="73"/>
      <c r="W3039" s="73"/>
      <c r="X3039" s="73"/>
      <c r="Y3039" s="73"/>
      <c r="Z3039" s="73"/>
      <c r="AA3039" s="73"/>
      <c r="AB3039" s="73"/>
    </row>
    <row r="3040">
      <c r="A3040" s="73"/>
      <c r="B3040" s="73">
        <v>2463639.798</v>
      </c>
      <c r="C3040" s="73">
        <v>2.35291792664318E8</v>
      </c>
      <c r="D3040" s="73">
        <v>1.03076778147997E8</v>
      </c>
      <c r="E3040" s="73">
        <v>1.35016762937623E7</v>
      </c>
      <c r="F3040" s="73"/>
      <c r="G3040" s="73"/>
      <c r="H3040" s="73"/>
      <c r="I3040" s="73"/>
      <c r="J3040" s="73"/>
      <c r="K3040" s="73"/>
      <c r="L3040" s="73"/>
      <c r="M3040" s="73"/>
      <c r="N3040" s="73"/>
      <c r="O3040" s="73"/>
      <c r="P3040" s="73"/>
      <c r="Q3040" s="73"/>
      <c r="R3040" s="73"/>
      <c r="S3040" s="73"/>
      <c r="T3040" s="73"/>
      <c r="U3040" s="73"/>
      <c r="V3040" s="73"/>
      <c r="W3040" s="73"/>
      <c r="X3040" s="73"/>
      <c r="Y3040" s="73"/>
      <c r="Z3040" s="73"/>
      <c r="AA3040" s="73"/>
      <c r="AB3040" s="73"/>
    </row>
    <row r="3041">
      <c r="A3041" s="73"/>
      <c r="B3041" s="73">
        <v>2466970.655</v>
      </c>
      <c r="C3041" s="73">
        <v>2.35502571858463E8</v>
      </c>
      <c r="D3041" s="73">
        <v>1.03191843703998E8</v>
      </c>
      <c r="E3041" s="73">
        <v>1.35172420253141E7</v>
      </c>
      <c r="F3041" s="73"/>
      <c r="G3041" s="73"/>
      <c r="H3041" s="73"/>
      <c r="I3041" s="73"/>
      <c r="J3041" s="73"/>
      <c r="K3041" s="73"/>
      <c r="L3041" s="73"/>
      <c r="M3041" s="73"/>
      <c r="N3041" s="73"/>
      <c r="O3041" s="73"/>
      <c r="P3041" s="73"/>
      <c r="Q3041" s="73"/>
      <c r="R3041" s="73"/>
      <c r="S3041" s="73"/>
      <c r="T3041" s="73"/>
      <c r="U3041" s="73"/>
      <c r="V3041" s="73"/>
      <c r="W3041" s="73"/>
      <c r="X3041" s="73"/>
      <c r="Y3041" s="73"/>
      <c r="Z3041" s="73"/>
      <c r="AA3041" s="73"/>
      <c r="AB3041" s="73"/>
    </row>
    <row r="3042">
      <c r="A3042" s="73"/>
      <c r="B3042" s="73">
        <v>2470306.192</v>
      </c>
      <c r="C3042" s="73">
        <v>2.35713466412605E8</v>
      </c>
      <c r="D3042" s="73">
        <v>1.03307002107998E8</v>
      </c>
      <c r="E3042" s="73">
        <v>1.3532822219293E7</v>
      </c>
      <c r="F3042" s="73"/>
      <c r="G3042" s="73"/>
      <c r="H3042" s="73"/>
      <c r="I3042" s="73"/>
      <c r="J3042" s="73"/>
      <c r="K3042" s="73"/>
      <c r="L3042" s="73"/>
      <c r="M3042" s="73"/>
      <c r="N3042" s="73"/>
      <c r="O3042" s="73"/>
      <c r="P3042" s="73"/>
      <c r="Q3042" s="73"/>
      <c r="R3042" s="73"/>
      <c r="S3042" s="73"/>
      <c r="T3042" s="73"/>
      <c r="U3042" s="73"/>
      <c r="V3042" s="73"/>
      <c r="W3042" s="73"/>
      <c r="X3042" s="73"/>
      <c r="Y3042" s="73"/>
      <c r="Z3042" s="73"/>
      <c r="AA3042" s="73"/>
      <c r="AB3042" s="73"/>
    </row>
    <row r="3043">
      <c r="A3043" s="73"/>
      <c r="B3043" s="73">
        <v>2473646.418</v>
      </c>
      <c r="C3043" s="73">
        <v>2.35924509286743E8</v>
      </c>
      <c r="D3043" s="73">
        <v>1.03422233031999E8</v>
      </c>
      <c r="E3043" s="73">
        <v>1.35484183961631E7</v>
      </c>
      <c r="F3043" s="73"/>
      <c r="G3043" s="73"/>
      <c r="H3043" s="73"/>
      <c r="I3043" s="73"/>
      <c r="J3043" s="73"/>
      <c r="K3043" s="73"/>
      <c r="L3043" s="73"/>
      <c r="M3043" s="73"/>
      <c r="N3043" s="73"/>
      <c r="O3043" s="73"/>
      <c r="P3043" s="73"/>
      <c r="Q3043" s="73"/>
      <c r="R3043" s="73"/>
      <c r="S3043" s="73"/>
      <c r="T3043" s="73"/>
      <c r="U3043" s="73"/>
      <c r="V3043" s="73"/>
      <c r="W3043" s="73"/>
      <c r="X3043" s="73"/>
      <c r="Y3043" s="73"/>
      <c r="Z3043" s="73"/>
      <c r="AA3043" s="73"/>
      <c r="AB3043" s="73"/>
    </row>
    <row r="3044">
      <c r="A3044" s="73"/>
      <c r="B3044" s="73">
        <v>2476991.329</v>
      </c>
      <c r="C3044" s="73">
        <v>2.36135618080879E8</v>
      </c>
      <c r="D3044" s="73">
        <v>1.03537556948E8</v>
      </c>
      <c r="E3044" s="73">
        <v>1.35640302803244E7</v>
      </c>
      <c r="F3044" s="73"/>
      <c r="G3044" s="73"/>
      <c r="H3044" s="73"/>
      <c r="I3044" s="73"/>
      <c r="J3044" s="73"/>
      <c r="K3044" s="73"/>
      <c r="L3044" s="73"/>
      <c r="M3044" s="73"/>
      <c r="N3044" s="73"/>
      <c r="O3044" s="73"/>
      <c r="P3044" s="73"/>
      <c r="Q3044" s="73"/>
      <c r="R3044" s="73"/>
      <c r="S3044" s="73"/>
      <c r="T3044" s="73"/>
      <c r="U3044" s="73"/>
      <c r="V3044" s="73"/>
      <c r="W3044" s="73"/>
      <c r="X3044" s="73"/>
      <c r="Y3044" s="73"/>
      <c r="Z3044" s="73"/>
      <c r="AA3044" s="73"/>
      <c r="AB3044" s="73"/>
    </row>
    <row r="3045">
      <c r="A3045" s="73"/>
      <c r="B3045" s="73">
        <v>2480341.007</v>
      </c>
      <c r="C3045" s="73">
        <v>2.3634690815501E8</v>
      </c>
      <c r="D3045" s="73">
        <v>1.03652963391994E8</v>
      </c>
      <c r="E3045" s="73">
        <v>1.35796566852128E7</v>
      </c>
      <c r="F3045" s="73"/>
      <c r="G3045" s="73"/>
      <c r="H3045" s="73"/>
      <c r="I3045" s="73"/>
      <c r="J3045" s="73"/>
      <c r="K3045" s="73"/>
      <c r="L3045" s="73"/>
      <c r="M3045" s="73"/>
      <c r="N3045" s="73"/>
      <c r="O3045" s="73"/>
      <c r="P3045" s="73"/>
      <c r="Q3045" s="73"/>
      <c r="R3045" s="73"/>
      <c r="S3045" s="73"/>
      <c r="T3045" s="73"/>
      <c r="U3045" s="73"/>
      <c r="V3045" s="73"/>
      <c r="W3045" s="73"/>
      <c r="X3045" s="73"/>
      <c r="Y3045" s="73"/>
      <c r="Z3045" s="73"/>
      <c r="AA3045" s="73"/>
      <c r="AB3045" s="73"/>
    </row>
    <row r="3046">
      <c r="A3046" s="73"/>
      <c r="B3046" s="73">
        <v>2483695.333</v>
      </c>
      <c r="C3046" s="73">
        <v>2.36558264149139E8</v>
      </c>
      <c r="D3046" s="73">
        <v>1.03768442283995E8</v>
      </c>
      <c r="E3046" s="73">
        <v>1.35952990040924E7</v>
      </c>
      <c r="F3046" s="73"/>
      <c r="G3046" s="73"/>
      <c r="H3046" s="73"/>
      <c r="I3046" s="73"/>
      <c r="J3046" s="73"/>
      <c r="K3046" s="73"/>
      <c r="L3046" s="73"/>
      <c r="M3046" s="73"/>
      <c r="N3046" s="73"/>
      <c r="O3046" s="73"/>
      <c r="P3046" s="73"/>
      <c r="Q3046" s="73"/>
      <c r="R3046" s="73"/>
      <c r="S3046" s="73"/>
      <c r="T3046" s="73"/>
      <c r="U3046" s="73"/>
      <c r="V3046" s="73"/>
      <c r="W3046" s="73"/>
      <c r="X3046" s="73"/>
      <c r="Y3046" s="73"/>
      <c r="Z3046" s="73"/>
      <c r="AA3046" s="73"/>
      <c r="AB3046" s="73"/>
    </row>
    <row r="3047">
      <c r="A3047" s="73"/>
      <c r="B3047" s="73">
        <v>2487054.443</v>
      </c>
      <c r="C3047" s="73">
        <v>2.36769768463264E8</v>
      </c>
      <c r="D3047" s="73">
        <v>1.03884014095995E8</v>
      </c>
      <c r="E3047" s="73">
        <v>1.36109557164993E7</v>
      </c>
      <c r="F3047" s="73"/>
      <c r="G3047" s="73"/>
      <c r="H3047" s="73"/>
      <c r="I3047" s="73"/>
      <c r="J3047" s="73"/>
      <c r="K3047" s="73"/>
      <c r="L3047" s="73"/>
      <c r="M3047" s="73"/>
      <c r="N3047" s="73"/>
      <c r="O3047" s="73"/>
      <c r="P3047" s="73"/>
      <c r="Q3047" s="73"/>
      <c r="R3047" s="73"/>
      <c r="S3047" s="73"/>
      <c r="T3047" s="73"/>
      <c r="U3047" s="73"/>
      <c r="V3047" s="73"/>
      <c r="W3047" s="73"/>
      <c r="X3047" s="73"/>
      <c r="Y3047" s="73"/>
      <c r="Z3047" s="73"/>
      <c r="AA3047" s="73"/>
      <c r="AB3047" s="73"/>
    </row>
    <row r="3048">
      <c r="A3048" s="73"/>
      <c r="B3048" s="73">
        <v>2490418.224</v>
      </c>
      <c r="C3048" s="73">
        <v>2.36981404617386E8</v>
      </c>
      <c r="D3048" s="73">
        <v>1.03999668587996E8</v>
      </c>
      <c r="E3048" s="73">
        <v>1.36266285177972E7</v>
      </c>
      <c r="F3048" s="73"/>
      <c r="G3048" s="73"/>
      <c r="H3048" s="73"/>
      <c r="I3048" s="73"/>
      <c r="J3048" s="73"/>
      <c r="K3048" s="73"/>
      <c r="L3048" s="73"/>
      <c r="M3048" s="73"/>
      <c r="N3048" s="73"/>
      <c r="O3048" s="73"/>
      <c r="P3048" s="73"/>
      <c r="Q3048" s="73"/>
      <c r="R3048" s="73"/>
      <c r="S3048" s="73"/>
      <c r="T3048" s="73"/>
      <c r="U3048" s="73"/>
      <c r="V3048" s="73"/>
      <c r="W3048" s="73"/>
      <c r="X3048" s="73"/>
      <c r="Y3048" s="73"/>
      <c r="Z3048" s="73"/>
      <c r="AA3048" s="73"/>
      <c r="AB3048" s="73"/>
    </row>
    <row r="3049">
      <c r="A3049" s="73"/>
      <c r="B3049" s="73">
        <v>2493786.839</v>
      </c>
      <c r="C3049" s="73">
        <v>2.37193139651505E8</v>
      </c>
      <c r="D3049" s="73">
        <v>1.04115405759997E8</v>
      </c>
      <c r="E3049" s="73">
        <v>1.36423169574863E7</v>
      </c>
      <c r="F3049" s="73"/>
      <c r="G3049" s="73"/>
      <c r="H3049" s="73"/>
      <c r="I3049" s="73"/>
      <c r="J3049" s="73"/>
      <c r="K3049" s="73"/>
      <c r="L3049" s="73"/>
      <c r="M3049" s="73"/>
      <c r="N3049" s="73"/>
      <c r="O3049" s="73"/>
      <c r="P3049" s="73"/>
      <c r="Q3049" s="73"/>
      <c r="R3049" s="73"/>
      <c r="S3049" s="73"/>
      <c r="T3049" s="73"/>
      <c r="U3049" s="73"/>
      <c r="V3049" s="73"/>
      <c r="W3049" s="73"/>
      <c r="X3049" s="73"/>
      <c r="Y3049" s="73"/>
      <c r="Z3049" s="73"/>
      <c r="AA3049" s="73"/>
      <c r="AB3049" s="73"/>
    </row>
    <row r="3050">
      <c r="A3050" s="73"/>
      <c r="B3050" s="73">
        <v>2497160.107</v>
      </c>
      <c r="C3050" s="73">
        <v>2.3740497356562E8</v>
      </c>
      <c r="D3050" s="73">
        <v>1.04231225691998E8</v>
      </c>
      <c r="E3050" s="73">
        <v>1.36580199709027E7</v>
      </c>
      <c r="F3050" s="73"/>
      <c r="G3050" s="73"/>
      <c r="H3050" s="73"/>
      <c r="I3050" s="73"/>
      <c r="J3050" s="73"/>
      <c r="K3050" s="73"/>
      <c r="L3050" s="73"/>
      <c r="M3050" s="73"/>
      <c r="N3050" s="73"/>
      <c r="O3050" s="73"/>
      <c r="P3050" s="73"/>
      <c r="Q3050" s="73"/>
      <c r="R3050" s="73"/>
      <c r="S3050" s="73"/>
      <c r="T3050" s="73"/>
      <c r="U3050" s="73"/>
      <c r="V3050" s="73"/>
      <c r="W3050" s="73"/>
      <c r="X3050" s="73"/>
      <c r="Y3050" s="73"/>
      <c r="Z3050" s="73"/>
      <c r="AA3050" s="73"/>
      <c r="AB3050" s="73"/>
    </row>
    <row r="3051">
      <c r="A3051" s="73"/>
      <c r="B3051" s="73">
        <v>2500538.29</v>
      </c>
      <c r="C3051" s="73">
        <v>2.37616988759731E8</v>
      </c>
      <c r="D3051" s="73">
        <v>1.04347128151999E8</v>
      </c>
      <c r="E3051" s="73">
        <v>1.36737388877101E7</v>
      </c>
      <c r="F3051" s="73"/>
      <c r="G3051" s="73"/>
      <c r="H3051" s="73"/>
      <c r="I3051" s="73"/>
      <c r="J3051" s="73"/>
      <c r="K3051" s="73"/>
      <c r="L3051" s="73"/>
      <c r="M3051" s="73"/>
      <c r="N3051" s="73"/>
      <c r="O3051" s="73"/>
      <c r="P3051" s="73"/>
      <c r="Q3051" s="73"/>
      <c r="R3051" s="73"/>
      <c r="S3051" s="73"/>
      <c r="T3051" s="73"/>
      <c r="U3051" s="73"/>
      <c r="V3051" s="73"/>
      <c r="W3051" s="73"/>
      <c r="X3051" s="73"/>
      <c r="Y3051" s="73"/>
      <c r="Z3051" s="73"/>
      <c r="AA3051" s="73"/>
      <c r="AB3051" s="73"/>
    </row>
    <row r="3052">
      <c r="A3052" s="73"/>
      <c r="B3052" s="73">
        <v>2503921.175</v>
      </c>
      <c r="C3052" s="73">
        <v>2.3782906987384E8</v>
      </c>
      <c r="D3052" s="73">
        <v>1.04463123612E8</v>
      </c>
      <c r="E3052" s="73">
        <v>1.36894736655087E7</v>
      </c>
      <c r="F3052" s="73"/>
      <c r="G3052" s="73"/>
      <c r="H3052" s="73"/>
      <c r="I3052" s="73"/>
      <c r="J3052" s="73"/>
      <c r="K3052" s="73"/>
      <c r="L3052" s="73"/>
      <c r="M3052" s="73"/>
      <c r="N3052" s="73"/>
      <c r="O3052" s="73"/>
      <c r="P3052" s="73"/>
      <c r="Q3052" s="73"/>
      <c r="R3052" s="73"/>
      <c r="S3052" s="73"/>
      <c r="T3052" s="73"/>
      <c r="U3052" s="73"/>
      <c r="V3052" s="73"/>
      <c r="W3052" s="73"/>
      <c r="X3052" s="73"/>
      <c r="Y3052" s="73"/>
      <c r="Z3052" s="73"/>
      <c r="AA3052" s="73"/>
      <c r="AB3052" s="73"/>
    </row>
    <row r="3053">
      <c r="A3053" s="73"/>
      <c r="B3053" s="73">
        <v>2507308.772</v>
      </c>
      <c r="C3053" s="73">
        <v>2.38041282827946E8</v>
      </c>
      <c r="D3053" s="73">
        <v>1.04579191360001E8</v>
      </c>
      <c r="E3053" s="73">
        <v>1.37052229110346E7</v>
      </c>
      <c r="F3053" s="73"/>
      <c r="G3053" s="73"/>
      <c r="H3053" s="73"/>
      <c r="I3053" s="73"/>
      <c r="J3053" s="73"/>
      <c r="K3053" s="73"/>
      <c r="L3053" s="73"/>
      <c r="M3053" s="73"/>
      <c r="N3053" s="73"/>
      <c r="O3053" s="73"/>
      <c r="P3053" s="73"/>
      <c r="Q3053" s="73"/>
      <c r="R3053" s="73"/>
      <c r="S3053" s="73"/>
      <c r="T3053" s="73"/>
      <c r="U3053" s="73"/>
      <c r="V3053" s="73"/>
      <c r="W3053" s="73"/>
      <c r="X3053" s="73"/>
      <c r="Y3053" s="73"/>
      <c r="Z3053" s="73"/>
      <c r="AA3053" s="73"/>
      <c r="AB3053" s="73"/>
    </row>
    <row r="3054">
      <c r="A3054" s="73"/>
      <c r="B3054" s="73">
        <v>2510701.287</v>
      </c>
      <c r="C3054" s="73">
        <v>2.38253611142048E8</v>
      </c>
      <c r="D3054" s="73">
        <v>1.04695352179994E8</v>
      </c>
      <c r="E3054" s="73">
        <v>1.37209882295515E7</v>
      </c>
      <c r="F3054" s="73"/>
      <c r="G3054" s="73"/>
      <c r="H3054" s="73"/>
      <c r="I3054" s="73"/>
      <c r="J3054" s="73"/>
      <c r="K3054" s="73"/>
      <c r="L3054" s="73"/>
      <c r="M3054" s="73"/>
      <c r="N3054" s="73"/>
      <c r="O3054" s="73"/>
      <c r="P3054" s="73"/>
      <c r="Q3054" s="73"/>
      <c r="R3054" s="73"/>
      <c r="S3054" s="73"/>
      <c r="T3054" s="73"/>
      <c r="U3054" s="73"/>
      <c r="V3054" s="73"/>
      <c r="W3054" s="73"/>
      <c r="X3054" s="73"/>
      <c r="Y3054" s="73"/>
      <c r="Z3054" s="73"/>
      <c r="AA3054" s="73"/>
      <c r="AB3054" s="73"/>
    </row>
    <row r="3055">
      <c r="A3055" s="73"/>
      <c r="B3055" s="73">
        <v>2514098.565</v>
      </c>
      <c r="C3055" s="73">
        <v>2.38466087776146E8</v>
      </c>
      <c r="D3055" s="73">
        <v>1.04811585367995E8</v>
      </c>
      <c r="E3055" s="73">
        <v>1.37367679839957E7</v>
      </c>
      <c r="F3055" s="73"/>
      <c r="G3055" s="73"/>
      <c r="H3055" s="73"/>
      <c r="I3055" s="73"/>
      <c r="J3055" s="73"/>
      <c r="K3055" s="73"/>
      <c r="L3055" s="73"/>
      <c r="M3055" s="73"/>
      <c r="N3055" s="73"/>
      <c r="O3055" s="73"/>
      <c r="P3055" s="73"/>
      <c r="Q3055" s="73"/>
      <c r="R3055" s="73"/>
      <c r="S3055" s="73"/>
      <c r="T3055" s="73"/>
      <c r="U3055" s="73"/>
      <c r="V3055" s="73"/>
      <c r="W3055" s="73"/>
      <c r="X3055" s="73"/>
      <c r="Y3055" s="73"/>
      <c r="Z3055" s="73"/>
      <c r="AA3055" s="73"/>
      <c r="AB3055" s="73"/>
    </row>
    <row r="3056">
      <c r="A3056" s="73"/>
      <c r="B3056" s="73">
        <v>2517500.628</v>
      </c>
      <c r="C3056" s="73">
        <v>2.38678646810242E8</v>
      </c>
      <c r="D3056" s="73">
        <v>1.04927911475996E8</v>
      </c>
      <c r="E3056" s="73">
        <v>1.3752563716031E7</v>
      </c>
      <c r="F3056" s="73"/>
      <c r="G3056" s="73"/>
      <c r="H3056" s="73"/>
      <c r="I3056" s="73"/>
      <c r="J3056" s="73"/>
      <c r="K3056" s="73"/>
      <c r="L3056" s="73"/>
      <c r="M3056" s="73"/>
      <c r="N3056" s="73"/>
      <c r="O3056" s="73"/>
      <c r="P3056" s="73"/>
      <c r="Q3056" s="73"/>
      <c r="R3056" s="73"/>
      <c r="S3056" s="73"/>
      <c r="T3056" s="73"/>
      <c r="U3056" s="73"/>
      <c r="V3056" s="73"/>
      <c r="W3056" s="73"/>
      <c r="X3056" s="73"/>
      <c r="Y3056" s="73"/>
      <c r="Z3056" s="73"/>
      <c r="AA3056" s="73"/>
      <c r="AB3056" s="73"/>
    </row>
    <row r="3057">
      <c r="A3057" s="73"/>
      <c r="B3057" s="73">
        <v>2520907.551</v>
      </c>
      <c r="C3057" s="73">
        <v>2.38891337684334E8</v>
      </c>
      <c r="D3057" s="73">
        <v>1.05044320263997E8</v>
      </c>
      <c r="E3057" s="73">
        <v>1.37683752136575E7</v>
      </c>
      <c r="F3057" s="73"/>
      <c r="G3057" s="73"/>
      <c r="H3057" s="73"/>
      <c r="I3057" s="73"/>
      <c r="J3057" s="73"/>
      <c r="K3057" s="73"/>
      <c r="L3057" s="73"/>
      <c r="M3057" s="73"/>
      <c r="N3057" s="73"/>
      <c r="O3057" s="73"/>
      <c r="P3057" s="73"/>
      <c r="Q3057" s="73"/>
      <c r="R3057" s="73"/>
      <c r="S3057" s="73"/>
      <c r="T3057" s="73"/>
      <c r="U3057" s="73"/>
      <c r="V3057" s="73"/>
      <c r="W3057" s="73"/>
      <c r="X3057" s="73"/>
      <c r="Y3057" s="73"/>
      <c r="Z3057" s="73"/>
      <c r="AA3057" s="73"/>
      <c r="AB3057" s="73"/>
    </row>
    <row r="3058">
      <c r="A3058" s="73"/>
      <c r="B3058" s="73">
        <v>2524319.299</v>
      </c>
      <c r="C3058" s="73">
        <v>2.39104176878422E8</v>
      </c>
      <c r="D3058" s="73">
        <v>1.05160811659998E8</v>
      </c>
      <c r="E3058" s="73">
        <v>1.37842014334112E7</v>
      </c>
      <c r="F3058" s="73"/>
      <c r="G3058" s="73"/>
      <c r="H3058" s="73"/>
      <c r="I3058" s="73"/>
      <c r="J3058" s="73"/>
      <c r="K3058" s="73"/>
      <c r="L3058" s="73"/>
      <c r="M3058" s="73"/>
      <c r="N3058" s="73"/>
      <c r="O3058" s="73"/>
      <c r="P3058" s="73"/>
      <c r="Q3058" s="73"/>
      <c r="R3058" s="73"/>
      <c r="S3058" s="73"/>
      <c r="T3058" s="73"/>
      <c r="U3058" s="73"/>
      <c r="V3058" s="73"/>
      <c r="W3058" s="73"/>
      <c r="X3058" s="73"/>
      <c r="Y3058" s="73"/>
      <c r="Z3058" s="73"/>
      <c r="AA3058" s="73"/>
      <c r="AB3058" s="73"/>
    </row>
    <row r="3059">
      <c r="A3059" s="73"/>
      <c r="B3059" s="73">
        <v>2527735.854</v>
      </c>
      <c r="C3059" s="73">
        <v>2.39317098472507E8</v>
      </c>
      <c r="D3059" s="73">
        <v>1.05277385815999E8</v>
      </c>
      <c r="E3059" s="73">
        <v>1.3800043545956E7</v>
      </c>
      <c r="F3059" s="73"/>
      <c r="G3059" s="73"/>
      <c r="H3059" s="73"/>
      <c r="I3059" s="73"/>
      <c r="J3059" s="73"/>
      <c r="K3059" s="73"/>
      <c r="L3059" s="73"/>
      <c r="M3059" s="73"/>
      <c r="N3059" s="73"/>
      <c r="O3059" s="73"/>
      <c r="P3059" s="73"/>
      <c r="Q3059" s="73"/>
      <c r="R3059" s="73"/>
      <c r="S3059" s="73"/>
      <c r="T3059" s="73"/>
      <c r="U3059" s="73"/>
      <c r="V3059" s="73"/>
      <c r="W3059" s="73"/>
      <c r="X3059" s="73"/>
      <c r="Y3059" s="73"/>
      <c r="Z3059" s="73"/>
      <c r="AA3059" s="73"/>
      <c r="AB3059" s="73"/>
    </row>
    <row r="3060">
      <c r="A3060" s="73"/>
      <c r="B3060" s="73">
        <v>2531157.295</v>
      </c>
      <c r="C3060" s="73">
        <v>2.39530168386589E8</v>
      </c>
      <c r="D3060" s="73">
        <v>1.05394042644E8</v>
      </c>
      <c r="E3060" s="73">
        <v>1.381590088646E7</v>
      </c>
      <c r="F3060" s="73"/>
      <c r="G3060" s="73"/>
      <c r="H3060" s="73"/>
      <c r="I3060" s="73"/>
      <c r="J3060" s="73"/>
      <c r="K3060" s="73"/>
      <c r="L3060" s="73"/>
      <c r="M3060" s="73"/>
      <c r="N3060" s="73"/>
      <c r="O3060" s="73"/>
      <c r="P3060" s="73"/>
      <c r="Q3060" s="73"/>
      <c r="R3060" s="73"/>
      <c r="S3060" s="73"/>
      <c r="T3060" s="73"/>
      <c r="U3060" s="73"/>
      <c r="V3060" s="73"/>
      <c r="W3060" s="73"/>
      <c r="X3060" s="73"/>
      <c r="Y3060" s="73"/>
      <c r="Z3060" s="73"/>
      <c r="AA3060" s="73"/>
      <c r="AB3060" s="73"/>
    </row>
    <row r="3061">
      <c r="A3061" s="73"/>
      <c r="B3061" s="73">
        <v>2534583.616</v>
      </c>
      <c r="C3061" s="73">
        <v>2.39743337180668E8</v>
      </c>
      <c r="D3061" s="73">
        <v>1.05510782088001E8</v>
      </c>
      <c r="E3061" s="73">
        <v>1.38317740773551E7</v>
      </c>
      <c r="F3061" s="73"/>
      <c r="G3061" s="73"/>
      <c r="H3061" s="73"/>
      <c r="I3061" s="73"/>
      <c r="J3061" s="73"/>
      <c r="K3061" s="73"/>
      <c r="L3061" s="73"/>
      <c r="M3061" s="73"/>
      <c r="N3061" s="73"/>
      <c r="O3061" s="73"/>
      <c r="P3061" s="73"/>
      <c r="Q3061" s="73"/>
      <c r="R3061" s="73"/>
      <c r="S3061" s="73"/>
      <c r="T3061" s="73"/>
      <c r="U3061" s="73"/>
      <c r="V3061" s="73"/>
      <c r="W3061" s="73"/>
      <c r="X3061" s="73"/>
      <c r="Y3061" s="73"/>
      <c r="Z3061" s="73"/>
      <c r="AA3061" s="73"/>
      <c r="AB3061" s="73"/>
    </row>
    <row r="3062">
      <c r="A3062" s="73"/>
      <c r="B3062" s="73">
        <v>2538014.806</v>
      </c>
      <c r="C3062" s="73">
        <v>2.39956621334744E8</v>
      </c>
      <c r="D3062" s="73">
        <v>1.05627614443994E8</v>
      </c>
      <c r="E3062" s="73">
        <v>1.38476619373775E7</v>
      </c>
      <c r="F3062" s="73"/>
      <c r="G3062" s="73"/>
      <c r="H3062" s="73"/>
      <c r="I3062" s="73"/>
      <c r="J3062" s="73"/>
      <c r="K3062" s="73"/>
      <c r="L3062" s="73"/>
      <c r="M3062" s="73"/>
      <c r="N3062" s="73"/>
      <c r="O3062" s="73"/>
      <c r="P3062" s="73"/>
      <c r="Q3062" s="73"/>
      <c r="R3062" s="73"/>
      <c r="S3062" s="73"/>
      <c r="T3062" s="73"/>
      <c r="U3062" s="73"/>
      <c r="V3062" s="73"/>
      <c r="W3062" s="73"/>
      <c r="X3062" s="73"/>
      <c r="Y3062" s="73"/>
      <c r="Z3062" s="73"/>
      <c r="AA3062" s="73"/>
      <c r="AB3062" s="73"/>
    </row>
    <row r="3063">
      <c r="A3063" s="73"/>
      <c r="B3063" s="73">
        <v>2541450.866</v>
      </c>
      <c r="C3063" s="73">
        <v>2.40170037328815E8</v>
      </c>
      <c r="D3063" s="73">
        <v>1.05744519247995E8</v>
      </c>
      <c r="E3063" s="73">
        <v>1.3863565965791E7</v>
      </c>
      <c r="F3063" s="73"/>
      <c r="G3063" s="73"/>
      <c r="H3063" s="73"/>
      <c r="I3063" s="73"/>
      <c r="J3063" s="73"/>
      <c r="K3063" s="73"/>
      <c r="L3063" s="73"/>
      <c r="M3063" s="73"/>
      <c r="N3063" s="73"/>
      <c r="O3063" s="73"/>
      <c r="P3063" s="73"/>
      <c r="Q3063" s="73"/>
      <c r="R3063" s="73"/>
      <c r="S3063" s="73"/>
      <c r="T3063" s="73"/>
      <c r="U3063" s="73"/>
      <c r="V3063" s="73"/>
      <c r="W3063" s="73"/>
      <c r="X3063" s="73"/>
      <c r="Y3063" s="73"/>
      <c r="Z3063" s="73"/>
      <c r="AA3063" s="73"/>
      <c r="AB3063" s="73"/>
    </row>
    <row r="3064">
      <c r="A3064" s="73"/>
      <c r="B3064" s="73">
        <v>2544891.743</v>
      </c>
      <c r="C3064" s="73">
        <v>2.40383585162884E8</v>
      </c>
      <c r="D3064" s="73">
        <v>1.05861516971996E8</v>
      </c>
      <c r="E3064" s="73">
        <v>1.38794850737636E7</v>
      </c>
      <c r="F3064" s="73"/>
      <c r="G3064" s="73"/>
      <c r="H3064" s="73"/>
      <c r="I3064" s="73"/>
      <c r="J3064" s="73"/>
      <c r="K3064" s="73"/>
      <c r="L3064" s="73"/>
      <c r="M3064" s="73"/>
      <c r="N3064" s="73"/>
      <c r="O3064" s="73"/>
      <c r="P3064" s="73"/>
      <c r="Q3064" s="73"/>
      <c r="R3064" s="73"/>
      <c r="S3064" s="73"/>
      <c r="T3064" s="73"/>
      <c r="U3064" s="73"/>
      <c r="V3064" s="73"/>
      <c r="W3064" s="73"/>
      <c r="X3064" s="73"/>
      <c r="Y3064" s="73"/>
      <c r="Z3064" s="73"/>
      <c r="AA3064" s="73"/>
      <c r="AB3064" s="73"/>
    </row>
    <row r="3065">
      <c r="A3065" s="73"/>
      <c r="B3065" s="73">
        <v>2548337.578</v>
      </c>
      <c r="C3065" s="73">
        <v>2.40597231876949E8</v>
      </c>
      <c r="D3065" s="73">
        <v>1.05978597375997E8</v>
      </c>
      <c r="E3065" s="73">
        <v>1.38954201487274E7</v>
      </c>
      <c r="F3065" s="73"/>
      <c r="G3065" s="73"/>
      <c r="H3065" s="73"/>
      <c r="I3065" s="73"/>
      <c r="J3065" s="73"/>
      <c r="K3065" s="73"/>
      <c r="L3065" s="73"/>
      <c r="M3065" s="73"/>
      <c r="N3065" s="73"/>
      <c r="O3065" s="73"/>
      <c r="P3065" s="73"/>
      <c r="Q3065" s="73"/>
      <c r="R3065" s="73"/>
      <c r="S3065" s="73"/>
      <c r="T3065" s="73"/>
      <c r="U3065" s="73"/>
      <c r="V3065" s="73"/>
      <c r="W3065" s="73"/>
      <c r="X3065" s="73"/>
      <c r="Y3065" s="73"/>
      <c r="Z3065" s="73"/>
      <c r="AA3065" s="73"/>
      <c r="AB3065" s="73"/>
    </row>
    <row r="3066">
      <c r="A3066" s="73"/>
      <c r="B3066" s="73">
        <v>2551788.306</v>
      </c>
      <c r="C3066" s="73">
        <v>2.40811010431011E8</v>
      </c>
      <c r="D3066" s="73">
        <v>1.06095760387998E8</v>
      </c>
      <c r="E3066" s="73">
        <v>1.39113698928184E7</v>
      </c>
      <c r="F3066" s="73"/>
      <c r="G3066" s="73"/>
      <c r="H3066" s="73"/>
      <c r="I3066" s="73"/>
      <c r="J3066" s="73"/>
      <c r="K3066" s="73"/>
      <c r="L3066" s="73"/>
      <c r="M3066" s="73"/>
      <c r="N3066" s="73"/>
      <c r="O3066" s="73"/>
      <c r="P3066" s="73"/>
      <c r="Q3066" s="73"/>
      <c r="R3066" s="73"/>
      <c r="S3066" s="73"/>
      <c r="T3066" s="73"/>
      <c r="U3066" s="73"/>
      <c r="V3066" s="73"/>
      <c r="W3066" s="73"/>
      <c r="X3066" s="73"/>
      <c r="Y3066" s="73"/>
      <c r="Z3066" s="73"/>
      <c r="AA3066" s="73"/>
      <c r="AB3066" s="73"/>
    </row>
    <row r="3067">
      <c r="A3067" s="73"/>
      <c r="B3067" s="73">
        <v>2555243.952</v>
      </c>
      <c r="C3067" s="73">
        <v>2.41024920825069E8</v>
      </c>
      <c r="D3067" s="73">
        <v>1.06213006159998E8</v>
      </c>
      <c r="E3067" s="73">
        <v>1.39273356357006E7</v>
      </c>
      <c r="F3067" s="73"/>
      <c r="G3067" s="73"/>
      <c r="H3067" s="73"/>
      <c r="I3067" s="73"/>
      <c r="J3067" s="73"/>
      <c r="K3067" s="73"/>
      <c r="L3067" s="73"/>
      <c r="M3067" s="73"/>
      <c r="N3067" s="73"/>
      <c r="O3067" s="73"/>
      <c r="P3067" s="73"/>
      <c r="Q3067" s="73"/>
      <c r="R3067" s="73"/>
      <c r="S3067" s="73"/>
      <c r="T3067" s="73"/>
      <c r="U3067" s="73"/>
      <c r="V3067" s="73"/>
      <c r="W3067" s="73"/>
      <c r="X3067" s="73"/>
      <c r="Y3067" s="73"/>
      <c r="Z3067" s="73"/>
      <c r="AA3067" s="73"/>
      <c r="AB3067" s="73"/>
    </row>
    <row r="3068">
      <c r="A3068" s="73"/>
      <c r="B3068" s="73">
        <v>2558704.463</v>
      </c>
      <c r="C3068" s="73">
        <v>2.41238913619125E8</v>
      </c>
      <c r="D3068" s="73">
        <v>1.06330334531999E8</v>
      </c>
      <c r="E3068" s="73">
        <v>1.39433172925739E7</v>
      </c>
      <c r="F3068" s="73"/>
      <c r="G3068" s="73"/>
      <c r="H3068" s="73"/>
      <c r="I3068" s="73"/>
      <c r="J3068" s="73"/>
      <c r="K3068" s="73"/>
      <c r="L3068" s="73"/>
      <c r="M3068" s="73"/>
      <c r="N3068" s="73"/>
      <c r="O3068" s="73"/>
      <c r="P3068" s="73"/>
      <c r="Q3068" s="73"/>
      <c r="R3068" s="73"/>
      <c r="S3068" s="73"/>
      <c r="T3068" s="73"/>
      <c r="U3068" s="73"/>
      <c r="V3068" s="73"/>
      <c r="W3068" s="73"/>
      <c r="X3068" s="73"/>
      <c r="Y3068" s="73"/>
      <c r="Z3068" s="73"/>
      <c r="AA3068" s="73"/>
      <c r="AB3068" s="73"/>
    </row>
    <row r="3069">
      <c r="A3069" s="73"/>
      <c r="B3069" s="73">
        <v>2562169.994</v>
      </c>
      <c r="C3069" s="73">
        <v>2.41453054733177E8</v>
      </c>
      <c r="D3069" s="73">
        <v>1.06447745664E8</v>
      </c>
      <c r="E3069" s="73">
        <v>1.39593135231744E7</v>
      </c>
      <c r="F3069" s="73"/>
      <c r="G3069" s="73"/>
      <c r="H3069" s="73"/>
      <c r="I3069" s="73"/>
      <c r="J3069" s="73"/>
      <c r="K3069" s="73"/>
      <c r="L3069" s="73"/>
      <c r="M3069" s="73"/>
      <c r="N3069" s="73"/>
      <c r="O3069" s="73"/>
      <c r="P3069" s="73"/>
      <c r="Q3069" s="73"/>
      <c r="R3069" s="73"/>
      <c r="S3069" s="73"/>
      <c r="T3069" s="73"/>
      <c r="U3069" s="73"/>
      <c r="V3069" s="73"/>
      <c r="W3069" s="73"/>
      <c r="X3069" s="73"/>
      <c r="Y3069" s="73"/>
      <c r="Z3069" s="73"/>
      <c r="AA3069" s="73"/>
      <c r="AB3069" s="73"/>
    </row>
    <row r="3070">
      <c r="A3070" s="73"/>
      <c r="B3070" s="73">
        <v>2565640.34</v>
      </c>
      <c r="C3070" s="73">
        <v>2.41667327687225E8</v>
      </c>
      <c r="D3070" s="73">
        <v>1.06565249563994E8</v>
      </c>
      <c r="E3070" s="73">
        <v>1.3975325943366E7</v>
      </c>
      <c r="F3070" s="73"/>
      <c r="G3070" s="73"/>
      <c r="H3070" s="73"/>
      <c r="I3070" s="73"/>
      <c r="J3070" s="73"/>
      <c r="K3070" s="73"/>
      <c r="L3070" s="73"/>
      <c r="M3070" s="73"/>
      <c r="N3070" s="73"/>
      <c r="O3070" s="73"/>
      <c r="P3070" s="73"/>
      <c r="Q3070" s="73"/>
      <c r="R3070" s="73"/>
      <c r="S3070" s="73"/>
      <c r="T3070" s="73"/>
      <c r="U3070" s="73"/>
      <c r="V3070" s="73"/>
      <c r="W3070" s="73"/>
      <c r="X3070" s="73"/>
      <c r="Y3070" s="73"/>
      <c r="Z3070" s="73"/>
      <c r="AA3070" s="73"/>
      <c r="AB3070" s="73"/>
    </row>
    <row r="3071">
      <c r="A3071" s="73"/>
      <c r="B3071" s="73">
        <v>2569115.707</v>
      </c>
      <c r="C3071" s="73">
        <v>2.41881699521271E8</v>
      </c>
      <c r="D3071" s="73">
        <v>1.06682826055995E8</v>
      </c>
      <c r="E3071" s="73">
        <v>1.39913534749168E7</v>
      </c>
      <c r="F3071" s="73"/>
      <c r="G3071" s="73"/>
      <c r="H3071" s="73"/>
      <c r="I3071" s="73"/>
      <c r="J3071" s="73"/>
      <c r="K3071" s="73"/>
      <c r="L3071" s="73"/>
      <c r="M3071" s="73"/>
      <c r="N3071" s="73"/>
      <c r="O3071" s="73"/>
      <c r="P3071" s="73"/>
      <c r="Q3071" s="73"/>
      <c r="R3071" s="73"/>
      <c r="S3071" s="73"/>
      <c r="T3071" s="73"/>
      <c r="U3071" s="73"/>
      <c r="V3071" s="73"/>
      <c r="W3071" s="73"/>
      <c r="X3071" s="73"/>
      <c r="Y3071" s="73"/>
      <c r="Z3071" s="73"/>
      <c r="AA3071" s="73"/>
      <c r="AB3071" s="73"/>
    </row>
    <row r="3072">
      <c r="A3072" s="73"/>
      <c r="B3072" s="73">
        <v>2572595.968</v>
      </c>
      <c r="C3072" s="73">
        <v>2.42096186715313E8</v>
      </c>
      <c r="D3072" s="73">
        <v>1.06800495395995E8</v>
      </c>
      <c r="E3072" s="73">
        <v>1.40073964358268E7</v>
      </c>
      <c r="F3072" s="73"/>
      <c r="G3072" s="73"/>
      <c r="H3072" s="73"/>
      <c r="I3072" s="73"/>
      <c r="J3072" s="73"/>
      <c r="K3072" s="73"/>
      <c r="L3072" s="73"/>
      <c r="M3072" s="73"/>
      <c r="N3072" s="73"/>
      <c r="O3072" s="73"/>
      <c r="P3072" s="73"/>
      <c r="Q3072" s="73"/>
      <c r="R3072" s="73"/>
      <c r="S3072" s="73"/>
      <c r="T3072" s="73"/>
      <c r="U3072" s="73"/>
      <c r="V3072" s="73"/>
      <c r="W3072" s="73"/>
      <c r="X3072" s="73"/>
      <c r="Y3072" s="73"/>
      <c r="Z3072" s="73"/>
      <c r="AA3072" s="73"/>
      <c r="AB3072" s="73"/>
    </row>
    <row r="3073">
      <c r="A3073" s="73"/>
      <c r="B3073" s="73">
        <v>2576081.326</v>
      </c>
      <c r="C3073" s="73">
        <v>2.42310789269352E8</v>
      </c>
      <c r="D3073" s="73">
        <v>1.06918247343996E8</v>
      </c>
      <c r="E3073" s="73">
        <v>1.40234548684959E7</v>
      </c>
      <c r="F3073" s="73"/>
      <c r="G3073" s="73"/>
      <c r="H3073" s="73"/>
      <c r="I3073" s="73"/>
      <c r="J3073" s="73"/>
      <c r="K3073" s="73"/>
      <c r="L3073" s="73"/>
      <c r="M3073" s="73"/>
      <c r="N3073" s="73"/>
      <c r="O3073" s="73"/>
      <c r="P3073" s="73"/>
      <c r="Q3073" s="73"/>
      <c r="R3073" s="73"/>
      <c r="S3073" s="73"/>
      <c r="T3073" s="73"/>
      <c r="U3073" s="73"/>
      <c r="V3073" s="73"/>
      <c r="W3073" s="73"/>
      <c r="X3073" s="73"/>
      <c r="Y3073" s="73"/>
      <c r="Z3073" s="73"/>
      <c r="AA3073" s="73"/>
      <c r="AB3073" s="73"/>
    </row>
    <row r="3074">
      <c r="A3074" s="73"/>
      <c r="B3074" s="73">
        <v>2579571.476</v>
      </c>
      <c r="C3074" s="73">
        <v>2.42525540143387E8</v>
      </c>
      <c r="D3074" s="73">
        <v>1.07036082043997E8</v>
      </c>
      <c r="E3074" s="73">
        <v>1.40395297209882E7</v>
      </c>
      <c r="F3074" s="73"/>
      <c r="G3074" s="73"/>
      <c r="H3074" s="73"/>
      <c r="I3074" s="73"/>
      <c r="J3074" s="73"/>
      <c r="K3074" s="73"/>
      <c r="L3074" s="73"/>
      <c r="M3074" s="73"/>
      <c r="N3074" s="73"/>
      <c r="O3074" s="73"/>
      <c r="P3074" s="73"/>
      <c r="Q3074" s="73"/>
      <c r="R3074" s="73"/>
      <c r="S3074" s="73"/>
      <c r="T3074" s="73"/>
      <c r="U3074" s="73"/>
      <c r="V3074" s="73"/>
      <c r="W3074" s="73"/>
      <c r="X3074" s="73"/>
      <c r="Y3074" s="73"/>
      <c r="Z3074" s="73"/>
      <c r="AA3074" s="73"/>
      <c r="AB3074" s="73"/>
    </row>
    <row r="3075">
      <c r="A3075" s="73"/>
      <c r="B3075" s="73">
        <v>2583066.62</v>
      </c>
      <c r="C3075" s="73">
        <v>2.42740406377419E8</v>
      </c>
      <c r="D3075" s="73">
        <v>1.07153999431998E8</v>
      </c>
      <c r="E3075" s="73">
        <v>1.40556194122076E7</v>
      </c>
      <c r="F3075" s="73"/>
      <c r="G3075" s="73"/>
      <c r="H3075" s="73"/>
      <c r="I3075" s="73"/>
      <c r="J3075" s="73"/>
      <c r="K3075" s="73"/>
      <c r="L3075" s="73"/>
      <c r="M3075" s="73"/>
      <c r="N3075" s="73"/>
      <c r="O3075" s="73"/>
      <c r="P3075" s="73"/>
      <c r="Q3075" s="73"/>
      <c r="R3075" s="73"/>
      <c r="S3075" s="73"/>
      <c r="T3075" s="73"/>
      <c r="U3075" s="73"/>
      <c r="V3075" s="73"/>
      <c r="W3075" s="73"/>
      <c r="X3075" s="73"/>
      <c r="Y3075" s="73"/>
      <c r="Z3075" s="73"/>
      <c r="AA3075" s="73"/>
      <c r="AB3075" s="73"/>
    </row>
    <row r="3076">
      <c r="A3076" s="73"/>
      <c r="B3076" s="73">
        <v>2586566.776</v>
      </c>
      <c r="C3076" s="73">
        <v>2.42955371491447E8</v>
      </c>
      <c r="D3076" s="73">
        <v>1.07272009659999E8</v>
      </c>
      <c r="E3076" s="73">
        <v>1.40717246069862E7</v>
      </c>
      <c r="F3076" s="73"/>
      <c r="G3076" s="73"/>
      <c r="H3076" s="73"/>
      <c r="I3076" s="73"/>
      <c r="J3076" s="73"/>
      <c r="K3076" s="73"/>
      <c r="L3076" s="73"/>
      <c r="M3076" s="73"/>
      <c r="N3076" s="73"/>
      <c r="O3076" s="73"/>
      <c r="P3076" s="73"/>
      <c r="Q3076" s="73"/>
      <c r="R3076" s="73"/>
      <c r="S3076" s="73"/>
      <c r="T3076" s="73"/>
      <c r="U3076" s="73"/>
      <c r="V3076" s="73"/>
      <c r="W3076" s="73"/>
      <c r="X3076" s="73"/>
      <c r="Y3076" s="73"/>
      <c r="Z3076" s="73"/>
      <c r="AA3076" s="73"/>
      <c r="AB3076" s="73"/>
    </row>
    <row r="3077">
      <c r="A3077" s="73"/>
      <c r="B3077" s="73">
        <v>2590072.019</v>
      </c>
      <c r="C3077" s="73">
        <v>2.43170468445473E8</v>
      </c>
      <c r="D3077" s="73">
        <v>1.07390102648E8</v>
      </c>
      <c r="E3077" s="73">
        <v>1.4087845694556E7</v>
      </c>
      <c r="F3077" s="73"/>
      <c r="G3077" s="73"/>
      <c r="H3077" s="73"/>
      <c r="I3077" s="73"/>
      <c r="J3077" s="73"/>
      <c r="K3077" s="73"/>
      <c r="L3077" s="73"/>
      <c r="M3077" s="73"/>
      <c r="N3077" s="73"/>
      <c r="O3077" s="73"/>
      <c r="P3077" s="73"/>
      <c r="Q3077" s="73"/>
      <c r="R3077" s="73"/>
      <c r="S3077" s="73"/>
      <c r="T3077" s="73"/>
      <c r="U3077" s="73"/>
      <c r="V3077" s="73"/>
      <c r="W3077" s="73"/>
      <c r="X3077" s="73"/>
      <c r="Y3077" s="73"/>
      <c r="Z3077" s="73"/>
      <c r="AA3077" s="73"/>
      <c r="AB3077" s="73"/>
    </row>
    <row r="3078">
      <c r="A3078" s="73"/>
      <c r="B3078" s="73">
        <v>2593582.144</v>
      </c>
      <c r="C3078" s="73">
        <v>2.43385680759495E8</v>
      </c>
      <c r="D3078" s="73">
        <v>1.07508267924001E8</v>
      </c>
      <c r="E3078" s="73">
        <v>1.4103981451253E7</v>
      </c>
      <c r="F3078" s="73"/>
      <c r="G3078" s="73"/>
      <c r="H3078" s="73"/>
      <c r="I3078" s="73"/>
      <c r="J3078" s="73"/>
      <c r="K3078" s="73"/>
      <c r="L3078" s="73"/>
      <c r="M3078" s="73"/>
      <c r="N3078" s="73"/>
      <c r="O3078" s="73"/>
      <c r="P3078" s="73"/>
      <c r="Q3078" s="73"/>
      <c r="R3078" s="73"/>
      <c r="S3078" s="73"/>
      <c r="T3078" s="73"/>
      <c r="U3078" s="73"/>
      <c r="V3078" s="73"/>
      <c r="W3078" s="73"/>
      <c r="X3078" s="73"/>
      <c r="Y3078" s="73"/>
      <c r="Z3078" s="73"/>
      <c r="AA3078" s="73"/>
      <c r="AB3078" s="73"/>
    </row>
    <row r="3079">
      <c r="A3079" s="73"/>
      <c r="B3079" s="73">
        <v>2597097.263</v>
      </c>
      <c r="C3079" s="73">
        <v>2.43601024913513E8</v>
      </c>
      <c r="D3079" s="73">
        <v>1.07626526199994E8</v>
      </c>
      <c r="E3079" s="73">
        <v>1.41201331537411E7</v>
      </c>
      <c r="F3079" s="73"/>
      <c r="G3079" s="73"/>
      <c r="H3079" s="73"/>
      <c r="I3079" s="73"/>
      <c r="J3079" s="73"/>
      <c r="K3079" s="73"/>
      <c r="L3079" s="73"/>
      <c r="M3079" s="73"/>
      <c r="N3079" s="73"/>
      <c r="O3079" s="73"/>
      <c r="P3079" s="73"/>
      <c r="Q3079" s="73"/>
      <c r="R3079" s="73"/>
      <c r="S3079" s="73"/>
      <c r="T3079" s="73"/>
      <c r="U3079" s="73"/>
      <c r="V3079" s="73"/>
      <c r="W3079" s="73"/>
      <c r="X3079" s="73"/>
      <c r="Y3079" s="73"/>
      <c r="Z3079" s="73"/>
      <c r="AA3079" s="73"/>
      <c r="AB3079" s="73"/>
    </row>
    <row r="3080">
      <c r="A3080" s="73"/>
      <c r="B3080" s="73">
        <v>2600617.433</v>
      </c>
      <c r="C3080" s="73">
        <v>2.43816500907528E8</v>
      </c>
      <c r="D3080" s="73">
        <v>1.07744867155995E8</v>
      </c>
      <c r="E3080" s="73">
        <v>1.41363010246203E7</v>
      </c>
      <c r="F3080" s="73"/>
      <c r="G3080" s="73"/>
      <c r="H3080" s="73"/>
      <c r="I3080" s="73"/>
      <c r="J3080" s="73"/>
      <c r="K3080" s="73"/>
      <c r="L3080" s="73"/>
      <c r="M3080" s="73"/>
      <c r="N3080" s="73"/>
      <c r="O3080" s="73"/>
      <c r="P3080" s="73"/>
      <c r="Q3080" s="73"/>
      <c r="R3080" s="73"/>
      <c r="S3080" s="73"/>
      <c r="T3080" s="73"/>
      <c r="U3080" s="73"/>
      <c r="V3080" s="73"/>
      <c r="W3080" s="73"/>
      <c r="X3080" s="73"/>
      <c r="Y3080" s="73"/>
      <c r="Z3080" s="73"/>
      <c r="AA3080" s="73"/>
      <c r="AB3080" s="73"/>
    </row>
    <row r="3081">
      <c r="A3081" s="73"/>
      <c r="B3081" s="73">
        <v>2604142.578</v>
      </c>
      <c r="C3081" s="73">
        <v>2.4403207578154E8</v>
      </c>
      <c r="D3081" s="73">
        <v>1.07863301103996E8</v>
      </c>
      <c r="E3081" s="73">
        <v>1.41524844308587E7</v>
      </c>
      <c r="F3081" s="73"/>
      <c r="G3081" s="73"/>
      <c r="H3081" s="73"/>
      <c r="I3081" s="73"/>
      <c r="J3081" s="73"/>
      <c r="K3081" s="73"/>
      <c r="L3081" s="73"/>
      <c r="M3081" s="73"/>
      <c r="N3081" s="73"/>
      <c r="O3081" s="73"/>
      <c r="P3081" s="73"/>
      <c r="Q3081" s="73"/>
      <c r="R3081" s="73"/>
      <c r="S3081" s="73"/>
      <c r="T3081" s="73"/>
      <c r="U3081" s="73"/>
      <c r="V3081" s="73"/>
      <c r="W3081" s="73"/>
      <c r="X3081" s="73"/>
      <c r="Y3081" s="73"/>
      <c r="Z3081" s="73"/>
      <c r="AA3081" s="73"/>
      <c r="AB3081" s="73"/>
    </row>
    <row r="3082">
      <c r="A3082" s="73"/>
      <c r="B3082" s="73">
        <v>2607672.788</v>
      </c>
      <c r="C3082" s="73">
        <v>2.44247782495548E8</v>
      </c>
      <c r="D3082" s="73">
        <v>1.07981807347997E8</v>
      </c>
      <c r="E3082" s="73">
        <v>1.41686829802563E7</v>
      </c>
      <c r="F3082" s="73"/>
      <c r="G3082" s="73"/>
      <c r="H3082" s="73"/>
      <c r="I3082" s="73"/>
      <c r="J3082" s="73"/>
      <c r="K3082" s="73"/>
      <c r="L3082" s="73"/>
      <c r="M3082" s="73"/>
      <c r="N3082" s="73"/>
      <c r="O3082" s="73"/>
      <c r="P3082" s="73"/>
      <c r="Q3082" s="73"/>
      <c r="R3082" s="73"/>
      <c r="S3082" s="73"/>
      <c r="T3082" s="73"/>
      <c r="U3082" s="73"/>
      <c r="V3082" s="73"/>
      <c r="W3082" s="73"/>
      <c r="X3082" s="73"/>
      <c r="Y3082" s="73"/>
      <c r="Z3082" s="73"/>
      <c r="AA3082" s="73"/>
      <c r="AB3082" s="73"/>
    </row>
    <row r="3083">
      <c r="A3083" s="73"/>
      <c r="B3083" s="73">
        <v>2611208.01</v>
      </c>
      <c r="C3083" s="73">
        <v>2.44463604569553E8</v>
      </c>
      <c r="D3083" s="73">
        <v>1.08100406591998E8</v>
      </c>
      <c r="E3083" s="73">
        <v>1.4184897118013E7</v>
      </c>
      <c r="F3083" s="73"/>
      <c r="G3083" s="73"/>
      <c r="H3083" s="73"/>
      <c r="I3083" s="73"/>
      <c r="J3083" s="73"/>
      <c r="K3083" s="73"/>
      <c r="L3083" s="73"/>
      <c r="M3083" s="73"/>
      <c r="N3083" s="73"/>
      <c r="O3083" s="73"/>
      <c r="P3083" s="73"/>
      <c r="Q3083" s="73"/>
      <c r="R3083" s="73"/>
      <c r="S3083" s="73"/>
      <c r="T3083" s="73"/>
      <c r="U3083" s="73"/>
      <c r="V3083" s="73"/>
      <c r="W3083" s="73"/>
      <c r="X3083" s="73"/>
      <c r="Y3083" s="73"/>
      <c r="Z3083" s="73"/>
      <c r="AA3083" s="73"/>
      <c r="AB3083" s="73"/>
    </row>
    <row r="3084">
      <c r="A3084" s="73"/>
      <c r="B3084" s="73">
        <v>2614748.308</v>
      </c>
      <c r="C3084" s="73">
        <v>2.44679525523556E8</v>
      </c>
      <c r="D3084" s="73">
        <v>1.08219088435999E8</v>
      </c>
      <c r="E3084" s="73">
        <v>1.42011270743609E7</v>
      </c>
      <c r="F3084" s="73"/>
      <c r="G3084" s="73"/>
      <c r="H3084" s="73"/>
      <c r="I3084" s="73"/>
      <c r="J3084" s="73"/>
      <c r="K3084" s="73"/>
      <c r="L3084" s="73"/>
      <c r="M3084" s="73"/>
      <c r="N3084" s="73"/>
      <c r="O3084" s="73"/>
      <c r="P3084" s="73"/>
      <c r="Q3084" s="73"/>
      <c r="R3084" s="73"/>
      <c r="S3084" s="73"/>
      <c r="T3084" s="73"/>
      <c r="U3084" s="73"/>
      <c r="V3084" s="73"/>
      <c r="W3084" s="73"/>
      <c r="X3084" s="73"/>
      <c r="Y3084" s="73"/>
      <c r="Z3084" s="73"/>
      <c r="AA3084" s="73"/>
      <c r="AB3084" s="73"/>
    </row>
    <row r="3085">
      <c r="A3085" s="73"/>
      <c r="B3085" s="73">
        <v>2618293.606</v>
      </c>
      <c r="C3085" s="73">
        <v>2.44895594797554E8</v>
      </c>
      <c r="D3085" s="73">
        <v>1.083378428E8</v>
      </c>
      <c r="E3085" s="73">
        <v>1.4217372070836E7</v>
      </c>
      <c r="F3085" s="73"/>
      <c r="G3085" s="73"/>
      <c r="H3085" s="73"/>
      <c r="I3085" s="73"/>
      <c r="J3085" s="73"/>
      <c r="K3085" s="73"/>
      <c r="L3085" s="73"/>
      <c r="M3085" s="73"/>
      <c r="N3085" s="73"/>
      <c r="O3085" s="73"/>
      <c r="P3085" s="73"/>
      <c r="Q3085" s="73"/>
      <c r="R3085" s="73"/>
      <c r="S3085" s="73"/>
      <c r="T3085" s="73"/>
      <c r="U3085" s="73"/>
      <c r="V3085" s="73"/>
      <c r="W3085" s="73"/>
      <c r="X3085" s="73"/>
      <c r="Y3085" s="73"/>
      <c r="Z3085" s="73"/>
      <c r="AA3085" s="73"/>
      <c r="AB3085" s="73"/>
    </row>
    <row r="3086">
      <c r="A3086" s="73"/>
      <c r="B3086" s="73">
        <v>2621843.993</v>
      </c>
      <c r="C3086" s="73">
        <v>2.45111779431549E8</v>
      </c>
      <c r="D3086" s="73">
        <v>1.08456700244001E8</v>
      </c>
      <c r="E3086" s="73">
        <v>1.42336331403022E7</v>
      </c>
      <c r="F3086" s="73"/>
      <c r="G3086" s="73"/>
      <c r="H3086" s="73"/>
      <c r="I3086" s="73"/>
      <c r="J3086" s="73"/>
      <c r="K3086" s="73"/>
      <c r="L3086" s="73"/>
      <c r="M3086" s="73"/>
      <c r="N3086" s="73"/>
      <c r="O3086" s="73"/>
      <c r="P3086" s="73"/>
      <c r="Q3086" s="73"/>
      <c r="R3086" s="73"/>
      <c r="S3086" s="73"/>
      <c r="T3086" s="73"/>
      <c r="U3086" s="73"/>
      <c r="V3086" s="73"/>
      <c r="W3086" s="73"/>
      <c r="X3086" s="73"/>
      <c r="Y3086" s="73"/>
      <c r="Z3086" s="73"/>
      <c r="AA3086" s="73"/>
      <c r="AB3086" s="73"/>
    </row>
    <row r="3087">
      <c r="A3087" s="73"/>
      <c r="B3087" s="73">
        <v>2625399.416</v>
      </c>
      <c r="C3087" s="73">
        <v>2.45328079425541E8</v>
      </c>
      <c r="D3087" s="73">
        <v>1.08575630135994E8</v>
      </c>
      <c r="E3087" s="73">
        <v>1.42499099753595E7</v>
      </c>
      <c r="F3087" s="73"/>
      <c r="G3087" s="73"/>
      <c r="H3087" s="73"/>
      <c r="I3087" s="73"/>
      <c r="J3087" s="73"/>
      <c r="K3087" s="73"/>
      <c r="L3087" s="73"/>
      <c r="M3087" s="73"/>
      <c r="N3087" s="73"/>
      <c r="O3087" s="73"/>
      <c r="P3087" s="73"/>
      <c r="Q3087" s="73"/>
      <c r="R3087" s="73"/>
      <c r="S3087" s="73"/>
      <c r="T3087" s="73"/>
      <c r="U3087" s="73"/>
      <c r="V3087" s="73"/>
      <c r="W3087" s="73"/>
      <c r="X3087" s="73"/>
      <c r="Y3087" s="73"/>
      <c r="Z3087" s="73"/>
      <c r="AA3087" s="73"/>
      <c r="AB3087" s="73"/>
    </row>
    <row r="3088">
      <c r="A3088" s="73"/>
      <c r="B3088" s="73">
        <v>2628959.791</v>
      </c>
      <c r="C3088" s="73">
        <v>2.45544511259529E8</v>
      </c>
      <c r="D3088" s="73">
        <v>1.08694652947995E8</v>
      </c>
      <c r="E3088" s="73">
        <v>1.4266202589576E7</v>
      </c>
      <c r="F3088" s="73"/>
      <c r="G3088" s="73"/>
      <c r="H3088" s="73"/>
      <c r="I3088" s="73"/>
      <c r="J3088" s="73"/>
      <c r="K3088" s="73"/>
      <c r="L3088" s="73"/>
      <c r="M3088" s="73"/>
      <c r="N3088" s="73"/>
      <c r="O3088" s="73"/>
      <c r="P3088" s="73"/>
      <c r="Q3088" s="73"/>
      <c r="R3088" s="73"/>
      <c r="S3088" s="73"/>
      <c r="T3088" s="73"/>
      <c r="U3088" s="73"/>
      <c r="V3088" s="73"/>
      <c r="W3088" s="73"/>
      <c r="X3088" s="73"/>
      <c r="Y3088" s="73"/>
      <c r="Z3088" s="73"/>
      <c r="AA3088" s="73"/>
      <c r="AB3088" s="73"/>
    </row>
    <row r="3089">
      <c r="A3089" s="73"/>
      <c r="B3089" s="73">
        <v>2632525.351</v>
      </c>
      <c r="C3089" s="73">
        <v>2.45761041973515E8</v>
      </c>
      <c r="D3089" s="73">
        <v>1.08813748199996E8</v>
      </c>
      <c r="E3089" s="73">
        <v>1.42825098729197E7</v>
      </c>
      <c r="F3089" s="73"/>
      <c r="G3089" s="73"/>
      <c r="H3089" s="73"/>
      <c r="I3089" s="73"/>
      <c r="J3089" s="73"/>
      <c r="K3089" s="73"/>
      <c r="L3089" s="73"/>
      <c r="M3089" s="73"/>
      <c r="N3089" s="73"/>
      <c r="O3089" s="73"/>
      <c r="P3089" s="73"/>
      <c r="Q3089" s="73"/>
      <c r="R3089" s="73"/>
      <c r="S3089" s="73"/>
      <c r="T3089" s="73"/>
      <c r="U3089" s="73"/>
      <c r="V3089" s="73"/>
      <c r="W3089" s="73"/>
      <c r="X3089" s="73"/>
      <c r="Y3089" s="73"/>
      <c r="Z3089" s="73"/>
      <c r="AA3089" s="73"/>
      <c r="AB3089" s="73"/>
    </row>
    <row r="3090">
      <c r="A3090" s="73"/>
      <c r="B3090" s="73">
        <v>2636095.999</v>
      </c>
      <c r="C3090" s="73">
        <v>2.45977721007496E8</v>
      </c>
      <c r="D3090" s="73">
        <v>1.08932936371997E8</v>
      </c>
      <c r="E3090" s="73">
        <v>1.42988338410865E7</v>
      </c>
      <c r="F3090" s="73"/>
      <c r="G3090" s="73"/>
      <c r="H3090" s="73"/>
      <c r="I3090" s="73"/>
      <c r="J3090" s="73"/>
      <c r="K3090" s="73"/>
      <c r="L3090" s="73"/>
      <c r="M3090" s="73"/>
      <c r="N3090" s="73"/>
      <c r="O3090" s="73"/>
      <c r="P3090" s="73"/>
      <c r="Q3090" s="73"/>
      <c r="R3090" s="73"/>
      <c r="S3090" s="73"/>
      <c r="T3090" s="73"/>
      <c r="U3090" s="73"/>
      <c r="V3090" s="73"/>
      <c r="W3090" s="73"/>
      <c r="X3090" s="73"/>
      <c r="Y3090" s="73"/>
      <c r="Z3090" s="73"/>
      <c r="AA3090" s="73"/>
      <c r="AB3090" s="73"/>
    </row>
    <row r="3091">
      <c r="A3091" s="73"/>
      <c r="B3091" s="73">
        <v>2639671.778</v>
      </c>
      <c r="C3091" s="73">
        <v>2.46194515401474E8</v>
      </c>
      <c r="D3091" s="73">
        <v>1.09052207303998E8</v>
      </c>
      <c r="E3091" s="73">
        <v>1.43151726479805E7</v>
      </c>
      <c r="F3091" s="73"/>
      <c r="G3091" s="73"/>
      <c r="H3091" s="73"/>
      <c r="I3091" s="73"/>
      <c r="J3091" s="73"/>
      <c r="K3091" s="73"/>
      <c r="L3091" s="73"/>
      <c r="M3091" s="73"/>
      <c r="N3091" s="73"/>
      <c r="O3091" s="73"/>
      <c r="P3091" s="73"/>
      <c r="Q3091" s="73"/>
      <c r="R3091" s="73"/>
      <c r="S3091" s="73"/>
      <c r="T3091" s="73"/>
      <c r="U3091" s="73"/>
      <c r="V3091" s="73"/>
      <c r="W3091" s="73"/>
      <c r="X3091" s="73"/>
      <c r="Y3091" s="73"/>
      <c r="Z3091" s="73"/>
      <c r="AA3091" s="73"/>
      <c r="AB3091" s="73"/>
    </row>
    <row r="3092">
      <c r="A3092" s="73"/>
      <c r="B3092" s="73">
        <v>2643252.498</v>
      </c>
      <c r="C3092" s="73">
        <v>2.4641139219545E8</v>
      </c>
      <c r="D3092" s="73">
        <v>1.09171570931998E8</v>
      </c>
      <c r="E3092" s="73">
        <v>1.43315276232657E7</v>
      </c>
      <c r="F3092" s="73"/>
      <c r="G3092" s="73"/>
      <c r="H3092" s="73"/>
      <c r="I3092" s="73"/>
      <c r="J3092" s="73"/>
      <c r="K3092" s="73"/>
      <c r="L3092" s="73"/>
      <c r="M3092" s="73"/>
      <c r="N3092" s="73"/>
      <c r="O3092" s="73"/>
      <c r="P3092" s="73"/>
      <c r="Q3092" s="73"/>
      <c r="R3092" s="73"/>
      <c r="S3092" s="73"/>
      <c r="T3092" s="73"/>
      <c r="U3092" s="73"/>
      <c r="V3092" s="73"/>
      <c r="W3092" s="73"/>
      <c r="X3092" s="73"/>
      <c r="Y3092" s="73"/>
      <c r="Z3092" s="73"/>
      <c r="AA3092" s="73"/>
      <c r="AB3092" s="73"/>
    </row>
    <row r="3093">
      <c r="A3093" s="73"/>
      <c r="B3093" s="73">
        <v>2646838.415</v>
      </c>
      <c r="C3093" s="73">
        <v>2.46628450269421E8</v>
      </c>
      <c r="D3093" s="73">
        <v>1.09291017391999E8</v>
      </c>
      <c r="E3093" s="73">
        <v>1.43478988199419E7</v>
      </c>
      <c r="F3093" s="73"/>
      <c r="G3093" s="73"/>
      <c r="H3093" s="73"/>
      <c r="I3093" s="73"/>
      <c r="J3093" s="73"/>
      <c r="K3093" s="73"/>
      <c r="L3093" s="73"/>
      <c r="M3093" s="73"/>
      <c r="N3093" s="73"/>
      <c r="O3093" s="73"/>
      <c r="P3093" s="73"/>
      <c r="Q3093" s="73"/>
      <c r="R3093" s="73"/>
      <c r="S3093" s="73"/>
      <c r="T3093" s="73"/>
      <c r="U3093" s="73"/>
      <c r="V3093" s="73"/>
      <c r="W3093" s="73"/>
      <c r="X3093" s="73"/>
      <c r="Y3093" s="73"/>
      <c r="Z3093" s="73"/>
      <c r="AA3093" s="73"/>
      <c r="AB3093" s="73"/>
    </row>
    <row r="3094">
      <c r="A3094" s="73"/>
      <c r="B3094" s="73">
        <v>2650429.331</v>
      </c>
      <c r="C3094" s="73">
        <v>2.4684557426339E8</v>
      </c>
      <c r="D3094" s="73">
        <v>1.09410536292E8</v>
      </c>
      <c r="E3094" s="73">
        <v>1.43642846221454E7</v>
      </c>
      <c r="F3094" s="73"/>
      <c r="G3094" s="73"/>
      <c r="H3094" s="73"/>
      <c r="I3094" s="73"/>
      <c r="J3094" s="73"/>
      <c r="K3094" s="73"/>
      <c r="L3094" s="73"/>
      <c r="M3094" s="73"/>
      <c r="N3094" s="73"/>
      <c r="O3094" s="73"/>
      <c r="P3094" s="73"/>
      <c r="Q3094" s="73"/>
      <c r="R3094" s="73"/>
      <c r="S3094" s="73"/>
      <c r="T3094" s="73"/>
      <c r="U3094" s="73"/>
      <c r="V3094" s="73"/>
      <c r="W3094" s="73"/>
      <c r="X3094" s="73"/>
      <c r="Y3094" s="73"/>
      <c r="Z3094" s="73"/>
      <c r="AA3094" s="73"/>
      <c r="AB3094" s="73"/>
    </row>
    <row r="3095">
      <c r="A3095" s="73"/>
      <c r="B3095" s="73">
        <v>2654025.549</v>
      </c>
      <c r="C3095" s="73">
        <v>2.47062846577354E8</v>
      </c>
      <c r="D3095" s="73">
        <v>1.09530148111994E8</v>
      </c>
      <c r="E3095" s="73">
        <v>1.438068670934E7</v>
      </c>
      <c r="F3095" s="73"/>
      <c r="G3095" s="73"/>
      <c r="H3095" s="73"/>
      <c r="I3095" s="73"/>
      <c r="J3095" s="73"/>
      <c r="K3095" s="73"/>
      <c r="L3095" s="73"/>
      <c r="M3095" s="73"/>
      <c r="N3095" s="73"/>
      <c r="O3095" s="73"/>
      <c r="P3095" s="73"/>
      <c r="Q3095" s="73"/>
      <c r="R3095" s="73"/>
      <c r="S3095" s="73"/>
      <c r="T3095" s="73"/>
      <c r="U3095" s="73"/>
      <c r="V3095" s="73"/>
      <c r="W3095" s="73"/>
      <c r="X3095" s="73"/>
      <c r="Y3095" s="73"/>
      <c r="Z3095" s="73"/>
      <c r="AA3095" s="73"/>
      <c r="AB3095" s="73"/>
    </row>
    <row r="3096">
      <c r="A3096" s="73"/>
      <c r="B3096" s="73">
        <v>2657626.682</v>
      </c>
      <c r="C3096" s="73">
        <v>2.47280250731316E8</v>
      </c>
      <c r="D3096" s="73">
        <v>1.09649842539995E8</v>
      </c>
      <c r="E3096" s="73">
        <v>1.43971041622937E7</v>
      </c>
      <c r="F3096" s="73"/>
      <c r="G3096" s="73"/>
      <c r="H3096" s="73"/>
      <c r="I3096" s="73"/>
      <c r="J3096" s="73"/>
      <c r="K3096" s="73"/>
      <c r="L3096" s="73"/>
      <c r="M3096" s="73"/>
      <c r="N3096" s="73"/>
      <c r="O3096" s="73"/>
      <c r="P3096" s="73"/>
      <c r="Q3096" s="73"/>
      <c r="R3096" s="73"/>
      <c r="S3096" s="73"/>
      <c r="T3096" s="73"/>
      <c r="U3096" s="73"/>
      <c r="V3096" s="73"/>
      <c r="W3096" s="73"/>
      <c r="X3096" s="73"/>
      <c r="Y3096" s="73"/>
      <c r="Z3096" s="73"/>
      <c r="AA3096" s="73"/>
      <c r="AB3096" s="73"/>
    </row>
    <row r="3097">
      <c r="A3097" s="73"/>
      <c r="B3097" s="73">
        <v>2661233.13</v>
      </c>
      <c r="C3097" s="73">
        <v>2.47497753765274E8</v>
      </c>
      <c r="D3097" s="73">
        <v>1.09769629887995E8</v>
      </c>
      <c r="E3097" s="73">
        <v>1.44135370976067E7</v>
      </c>
      <c r="F3097" s="73"/>
      <c r="G3097" s="73"/>
      <c r="H3097" s="73"/>
      <c r="I3097" s="73"/>
      <c r="J3097" s="73"/>
      <c r="K3097" s="73"/>
      <c r="L3097" s="73"/>
      <c r="M3097" s="73"/>
      <c r="N3097" s="73"/>
      <c r="O3097" s="73"/>
      <c r="P3097" s="73"/>
      <c r="Q3097" s="73"/>
      <c r="R3097" s="73"/>
      <c r="S3097" s="73"/>
      <c r="T3097" s="73"/>
      <c r="U3097" s="73"/>
      <c r="V3097" s="73"/>
      <c r="W3097" s="73"/>
      <c r="X3097" s="73"/>
      <c r="Y3097" s="73"/>
      <c r="Z3097" s="73"/>
      <c r="AA3097" s="73"/>
      <c r="AB3097" s="73"/>
    </row>
    <row r="3098">
      <c r="A3098" s="73"/>
      <c r="B3098" s="73">
        <v>2664844.553</v>
      </c>
      <c r="C3098" s="73">
        <v>2.47715388639229E8</v>
      </c>
      <c r="D3098" s="73">
        <v>1.09889499915996E8</v>
      </c>
      <c r="E3098" s="73">
        <v>1.44299855470788E7</v>
      </c>
      <c r="F3098" s="73"/>
      <c r="G3098" s="73"/>
      <c r="H3098" s="73"/>
      <c r="I3098" s="73"/>
      <c r="J3098" s="73"/>
      <c r="K3098" s="73"/>
      <c r="L3098" s="73"/>
      <c r="M3098" s="73"/>
      <c r="N3098" s="73"/>
      <c r="O3098" s="73"/>
      <c r="P3098" s="73"/>
      <c r="Q3098" s="73"/>
      <c r="R3098" s="73"/>
      <c r="S3098" s="73"/>
      <c r="T3098" s="73"/>
      <c r="U3098" s="73"/>
      <c r="V3098" s="73"/>
      <c r="W3098" s="73"/>
      <c r="X3098" s="73"/>
      <c r="Y3098" s="73"/>
      <c r="Z3098" s="73"/>
      <c r="AA3098" s="73"/>
      <c r="AB3098" s="73"/>
    </row>
    <row r="3099">
      <c r="A3099" s="73"/>
      <c r="B3099" s="73">
        <v>2668461.139</v>
      </c>
      <c r="C3099" s="73">
        <v>2.4793313887318E8</v>
      </c>
      <c r="D3099" s="73">
        <v>1.10009452631997E8</v>
      </c>
      <c r="E3099" s="73">
        <v>1.44464509463739E7</v>
      </c>
      <c r="F3099" s="73"/>
      <c r="G3099" s="73"/>
      <c r="H3099" s="73"/>
      <c r="I3099" s="73"/>
      <c r="J3099" s="73"/>
      <c r="K3099" s="73"/>
      <c r="L3099" s="73"/>
      <c r="M3099" s="73"/>
      <c r="N3099" s="73"/>
      <c r="O3099" s="73"/>
      <c r="P3099" s="73"/>
      <c r="Q3099" s="73"/>
      <c r="R3099" s="73"/>
      <c r="S3099" s="73"/>
      <c r="T3099" s="73"/>
      <c r="U3099" s="73"/>
      <c r="V3099" s="73"/>
      <c r="W3099" s="73"/>
      <c r="X3099" s="73"/>
      <c r="Y3099" s="73"/>
      <c r="Z3099" s="73"/>
      <c r="AA3099" s="73"/>
      <c r="AB3099" s="73"/>
    </row>
    <row r="3100">
      <c r="A3100" s="73"/>
      <c r="B3100" s="73">
        <v>2672082.949</v>
      </c>
      <c r="C3100" s="73">
        <v>2.48151020947128E8</v>
      </c>
      <c r="D3100" s="73">
        <v>1.10129488019998E8</v>
      </c>
      <c r="E3100" s="73">
        <v>1.44629310889963E7</v>
      </c>
      <c r="F3100" s="73"/>
      <c r="G3100" s="73"/>
      <c r="H3100" s="73"/>
      <c r="I3100" s="73"/>
      <c r="J3100" s="73"/>
      <c r="K3100" s="73"/>
      <c r="L3100" s="73"/>
      <c r="M3100" s="73"/>
      <c r="N3100" s="73"/>
      <c r="O3100" s="73"/>
      <c r="P3100" s="73"/>
      <c r="Q3100" s="73"/>
      <c r="R3100" s="73"/>
      <c r="S3100" s="73"/>
      <c r="T3100" s="73"/>
      <c r="U3100" s="73"/>
      <c r="V3100" s="73"/>
      <c r="W3100" s="73"/>
      <c r="X3100" s="73"/>
      <c r="Y3100" s="73"/>
      <c r="Z3100" s="73"/>
      <c r="AA3100" s="73"/>
      <c r="AB3100" s="73"/>
    </row>
    <row r="3101">
      <c r="A3101" s="73"/>
      <c r="B3101" s="73">
        <v>2675709.853</v>
      </c>
      <c r="C3101" s="73">
        <v>2.48369018381073E8</v>
      </c>
      <c r="D3101" s="73">
        <v>1.10249606095999E8</v>
      </c>
      <c r="E3101" s="73">
        <v>1.44794275484098E7</v>
      </c>
      <c r="F3101" s="73"/>
      <c r="G3101" s="73"/>
      <c r="H3101" s="73"/>
      <c r="I3101" s="73"/>
      <c r="J3101" s="73"/>
      <c r="K3101" s="73"/>
      <c r="L3101" s="73"/>
      <c r="M3101" s="73"/>
      <c r="N3101" s="73"/>
      <c r="O3101" s="73"/>
      <c r="P3101" s="73"/>
      <c r="Q3101" s="73"/>
      <c r="R3101" s="73"/>
      <c r="S3101" s="73"/>
      <c r="T3101" s="73"/>
      <c r="U3101" s="73"/>
      <c r="V3101" s="73"/>
      <c r="W3101" s="73"/>
      <c r="X3101" s="73"/>
      <c r="Y3101" s="73"/>
      <c r="Z3101" s="73"/>
      <c r="AA3101" s="73"/>
      <c r="AB3101" s="73"/>
    </row>
    <row r="3102">
      <c r="A3102" s="73"/>
      <c r="B3102" s="73">
        <v>2679341.847</v>
      </c>
      <c r="C3102" s="73">
        <v>2.48587114695015E8</v>
      </c>
      <c r="D3102" s="73">
        <v>1.10369806852E8</v>
      </c>
      <c r="E3102" s="73">
        <v>1.44959386451505E7</v>
      </c>
      <c r="F3102" s="73"/>
      <c r="G3102" s="73"/>
      <c r="H3102" s="73"/>
      <c r="I3102" s="73"/>
      <c r="J3102" s="73"/>
      <c r="K3102" s="73"/>
      <c r="L3102" s="73"/>
      <c r="M3102" s="73"/>
      <c r="N3102" s="73"/>
      <c r="O3102" s="73"/>
      <c r="P3102" s="73"/>
      <c r="Q3102" s="73"/>
      <c r="R3102" s="73"/>
      <c r="S3102" s="73"/>
      <c r="T3102" s="73"/>
      <c r="U3102" s="73"/>
      <c r="V3102" s="73"/>
      <c r="W3102" s="73"/>
      <c r="X3102" s="73"/>
      <c r="Y3102" s="73"/>
      <c r="Z3102" s="73"/>
      <c r="AA3102" s="73"/>
      <c r="AB3102" s="73"/>
    </row>
    <row r="3103">
      <c r="A3103" s="73"/>
      <c r="B3103" s="73">
        <v>2682979.05</v>
      </c>
      <c r="C3103" s="73">
        <v>2.48805375808952E8</v>
      </c>
      <c r="D3103" s="73">
        <v>1.10490100528001E8</v>
      </c>
      <c r="E3103" s="73">
        <v>1.45124660692823E7</v>
      </c>
      <c r="F3103" s="73"/>
      <c r="G3103" s="73"/>
      <c r="H3103" s="73"/>
      <c r="I3103" s="73"/>
      <c r="J3103" s="73"/>
      <c r="K3103" s="73"/>
      <c r="L3103" s="73"/>
      <c r="M3103" s="73"/>
      <c r="N3103" s="73"/>
      <c r="O3103" s="73"/>
      <c r="P3103" s="73"/>
      <c r="Q3103" s="73"/>
      <c r="R3103" s="73"/>
      <c r="S3103" s="73"/>
      <c r="T3103" s="73"/>
      <c r="U3103" s="73"/>
      <c r="V3103" s="73"/>
      <c r="W3103" s="73"/>
      <c r="X3103" s="73"/>
      <c r="Y3103" s="73"/>
      <c r="Z3103" s="73"/>
      <c r="AA3103" s="73"/>
      <c r="AB3103" s="73"/>
    </row>
    <row r="3104">
      <c r="A3104" s="73"/>
      <c r="B3104" s="73">
        <v>2686621.474</v>
      </c>
      <c r="C3104" s="73">
        <v>2.49023735802887E8</v>
      </c>
      <c r="D3104" s="73">
        <v>1.10610476811994E8</v>
      </c>
      <c r="E3104" s="73">
        <v>1.45290095346053E7</v>
      </c>
      <c r="F3104" s="73"/>
      <c r="G3104" s="73"/>
      <c r="H3104" s="73"/>
      <c r="I3104" s="73"/>
      <c r="J3104" s="73"/>
      <c r="K3104" s="73"/>
      <c r="L3104" s="73"/>
      <c r="M3104" s="73"/>
      <c r="N3104" s="73"/>
      <c r="O3104" s="73"/>
      <c r="P3104" s="73"/>
      <c r="Q3104" s="73"/>
      <c r="R3104" s="73"/>
      <c r="S3104" s="73"/>
      <c r="T3104" s="73"/>
      <c r="U3104" s="73"/>
      <c r="V3104" s="73"/>
      <c r="W3104" s="73"/>
      <c r="X3104" s="73"/>
      <c r="Y3104" s="73"/>
      <c r="Z3104" s="73"/>
      <c r="AA3104" s="73"/>
      <c r="AB3104" s="73"/>
    </row>
    <row r="3105">
      <c r="A3105" s="73"/>
      <c r="B3105" s="73">
        <v>2690269.063</v>
      </c>
      <c r="C3105" s="73">
        <v>2.49242194676819E8</v>
      </c>
      <c r="D3105" s="73">
        <v>1.10730946015995E8</v>
      </c>
      <c r="E3105" s="73">
        <v>1.45455678598554E7</v>
      </c>
      <c r="F3105" s="73"/>
      <c r="G3105" s="73"/>
      <c r="H3105" s="73"/>
      <c r="I3105" s="73"/>
      <c r="J3105" s="73"/>
      <c r="K3105" s="73"/>
      <c r="L3105" s="73"/>
      <c r="M3105" s="73"/>
      <c r="N3105" s="73"/>
      <c r="O3105" s="73"/>
      <c r="P3105" s="73"/>
      <c r="Q3105" s="73"/>
      <c r="R3105" s="73"/>
      <c r="S3105" s="73"/>
      <c r="T3105" s="73"/>
      <c r="U3105" s="73"/>
      <c r="V3105" s="73"/>
      <c r="W3105" s="73"/>
      <c r="X3105" s="73"/>
      <c r="Y3105" s="73"/>
      <c r="Z3105" s="73"/>
      <c r="AA3105" s="73"/>
      <c r="AB3105" s="73"/>
    </row>
    <row r="3106">
      <c r="A3106" s="73"/>
      <c r="B3106" s="73">
        <v>2693921.762</v>
      </c>
      <c r="C3106" s="73">
        <v>2.49460801870747E8</v>
      </c>
      <c r="D3106" s="73">
        <v>1.10851487739996E8</v>
      </c>
      <c r="E3106" s="73">
        <v>1.45621426290967E7</v>
      </c>
      <c r="F3106" s="73"/>
      <c r="G3106" s="73"/>
      <c r="H3106" s="73"/>
      <c r="I3106" s="73"/>
      <c r="J3106" s="73"/>
      <c r="K3106" s="73"/>
      <c r="L3106" s="73"/>
      <c r="M3106" s="73"/>
      <c r="N3106" s="73"/>
      <c r="O3106" s="73"/>
      <c r="P3106" s="73"/>
      <c r="Q3106" s="73"/>
      <c r="R3106" s="73"/>
      <c r="S3106" s="73"/>
      <c r="T3106" s="73"/>
      <c r="U3106" s="73"/>
      <c r="V3106" s="73"/>
      <c r="W3106" s="73"/>
      <c r="X3106" s="73"/>
      <c r="Y3106" s="73"/>
      <c r="Z3106" s="73"/>
      <c r="AA3106" s="73"/>
      <c r="AB3106" s="73"/>
    </row>
    <row r="3107">
      <c r="A3107" s="73"/>
      <c r="B3107" s="73">
        <v>2697579.643</v>
      </c>
      <c r="C3107" s="73">
        <v>2.49679524424671E8</v>
      </c>
      <c r="D3107" s="73">
        <v>1.10972122303997E8</v>
      </c>
      <c r="E3107" s="73">
        <v>1.45787333759291E7</v>
      </c>
      <c r="F3107" s="73"/>
      <c r="G3107" s="73"/>
      <c r="H3107" s="73"/>
      <c r="I3107" s="73"/>
      <c r="J3107" s="73"/>
      <c r="K3107" s="73"/>
      <c r="L3107" s="73"/>
      <c r="M3107" s="73"/>
      <c r="N3107" s="73"/>
      <c r="O3107" s="73"/>
      <c r="P3107" s="73"/>
      <c r="Q3107" s="73"/>
      <c r="R3107" s="73"/>
      <c r="S3107" s="73"/>
      <c r="T3107" s="73"/>
      <c r="U3107" s="73"/>
      <c r="V3107" s="73"/>
      <c r="W3107" s="73"/>
      <c r="X3107" s="73"/>
      <c r="Y3107" s="73"/>
      <c r="Z3107" s="73"/>
      <c r="AA3107" s="73"/>
      <c r="AB3107" s="73"/>
    </row>
    <row r="3108">
      <c r="A3108" s="73"/>
      <c r="B3108" s="73">
        <v>2701242.747</v>
      </c>
      <c r="C3108" s="73">
        <v>2.49898362338593E8</v>
      </c>
      <c r="D3108" s="73">
        <v>1.11092839627998E8</v>
      </c>
      <c r="E3108" s="73">
        <v>1.45953390780887E7</v>
      </c>
      <c r="F3108" s="73"/>
      <c r="G3108" s="73"/>
      <c r="H3108" s="73"/>
      <c r="I3108" s="73"/>
      <c r="J3108" s="73"/>
      <c r="K3108" s="73"/>
      <c r="L3108" s="73"/>
      <c r="M3108" s="73"/>
      <c r="N3108" s="73"/>
      <c r="O3108" s="73"/>
      <c r="P3108" s="73"/>
      <c r="Q3108" s="73"/>
      <c r="R3108" s="73"/>
      <c r="S3108" s="73"/>
      <c r="T3108" s="73"/>
      <c r="U3108" s="73"/>
      <c r="V3108" s="73"/>
      <c r="W3108" s="73"/>
      <c r="X3108" s="73"/>
      <c r="Y3108" s="73"/>
      <c r="Z3108" s="73"/>
      <c r="AA3108" s="73"/>
      <c r="AB3108" s="73"/>
    </row>
    <row r="3109">
      <c r="A3109" s="73"/>
      <c r="B3109" s="73">
        <v>2704911.104</v>
      </c>
      <c r="C3109" s="73">
        <v>2.5011734857251E8</v>
      </c>
      <c r="D3109" s="73">
        <v>1.11213639559999E8</v>
      </c>
      <c r="E3109" s="73">
        <v>1.46119610970394E7</v>
      </c>
      <c r="F3109" s="73"/>
      <c r="G3109" s="73"/>
      <c r="H3109" s="73"/>
      <c r="I3109" s="73"/>
      <c r="J3109" s="73"/>
      <c r="K3109" s="73"/>
      <c r="L3109" s="73"/>
      <c r="M3109" s="73"/>
      <c r="N3109" s="73"/>
      <c r="O3109" s="73"/>
      <c r="P3109" s="73"/>
      <c r="Q3109" s="73"/>
      <c r="R3109" s="73"/>
      <c r="S3109" s="73"/>
      <c r="T3109" s="73"/>
      <c r="U3109" s="73"/>
      <c r="V3109" s="73"/>
      <c r="W3109" s="73"/>
      <c r="X3109" s="73"/>
      <c r="Y3109" s="73"/>
      <c r="Z3109" s="73"/>
      <c r="AA3109" s="73"/>
      <c r="AB3109" s="73"/>
    </row>
    <row r="3110">
      <c r="A3110" s="73"/>
      <c r="B3110" s="73">
        <v>2708584.593</v>
      </c>
      <c r="C3110" s="73">
        <v>2.50336417206425E8</v>
      </c>
      <c r="D3110" s="73">
        <v>1.11334532412E8</v>
      </c>
      <c r="E3110" s="73">
        <v>1.46285994433813E7</v>
      </c>
      <c r="F3110" s="73"/>
      <c r="G3110" s="73"/>
      <c r="H3110" s="73"/>
      <c r="I3110" s="73"/>
      <c r="J3110" s="73"/>
      <c r="K3110" s="73"/>
      <c r="L3110" s="73"/>
      <c r="M3110" s="73"/>
      <c r="N3110" s="73"/>
      <c r="O3110" s="73"/>
      <c r="P3110" s="73"/>
      <c r="Q3110" s="73"/>
      <c r="R3110" s="73"/>
      <c r="S3110" s="73"/>
      <c r="T3110" s="73"/>
      <c r="U3110" s="73"/>
      <c r="V3110" s="73"/>
      <c r="W3110" s="73"/>
      <c r="X3110" s="73"/>
      <c r="Y3110" s="73"/>
      <c r="Z3110" s="73"/>
      <c r="AA3110" s="73"/>
      <c r="AB3110" s="73"/>
    </row>
    <row r="3111">
      <c r="A3111" s="73"/>
      <c r="B3111" s="73">
        <v>2712263.258</v>
      </c>
      <c r="C3111" s="73">
        <v>2.50555617680336E8</v>
      </c>
      <c r="D3111" s="73">
        <v>1.11455497704001E8</v>
      </c>
      <c r="E3111" s="73">
        <v>1.46452525012503E7</v>
      </c>
      <c r="F3111" s="73"/>
      <c r="G3111" s="73"/>
      <c r="H3111" s="73"/>
      <c r="I3111" s="73"/>
      <c r="J3111" s="73"/>
      <c r="K3111" s="73"/>
      <c r="L3111" s="73"/>
      <c r="M3111" s="73"/>
      <c r="N3111" s="73"/>
      <c r="O3111" s="73"/>
      <c r="P3111" s="73"/>
      <c r="Q3111" s="73"/>
      <c r="R3111" s="73"/>
      <c r="S3111" s="73"/>
      <c r="T3111" s="73"/>
      <c r="U3111" s="73"/>
      <c r="V3111" s="73"/>
      <c r="W3111" s="73"/>
      <c r="X3111" s="73"/>
      <c r="Y3111" s="73"/>
      <c r="Z3111" s="73"/>
      <c r="AA3111" s="73"/>
      <c r="AB3111" s="73"/>
    </row>
    <row r="3112">
      <c r="A3112" s="73"/>
      <c r="B3112" s="73">
        <v>2715947.193</v>
      </c>
      <c r="C3112" s="73">
        <v>2.50774949994244E8</v>
      </c>
      <c r="D3112" s="73">
        <v>1.11576566155994E8</v>
      </c>
      <c r="E3112" s="73">
        <v>1.46619217805105E7</v>
      </c>
      <c r="F3112" s="73"/>
      <c r="G3112" s="73"/>
      <c r="H3112" s="73"/>
      <c r="I3112" s="73"/>
      <c r="J3112" s="73"/>
      <c r="K3112" s="73"/>
      <c r="L3112" s="73"/>
      <c r="M3112" s="73"/>
      <c r="N3112" s="73"/>
      <c r="O3112" s="73"/>
      <c r="P3112" s="73"/>
      <c r="Q3112" s="73"/>
      <c r="R3112" s="73"/>
      <c r="S3112" s="73"/>
      <c r="T3112" s="73"/>
      <c r="U3112" s="73"/>
      <c r="V3112" s="73"/>
      <c r="W3112" s="73"/>
      <c r="X3112" s="73"/>
      <c r="Y3112" s="73"/>
      <c r="Z3112" s="73"/>
      <c r="AA3112" s="73"/>
      <c r="AB3112" s="73"/>
    </row>
    <row r="3113">
      <c r="A3113" s="73"/>
      <c r="B3113" s="73">
        <v>2719636.375</v>
      </c>
      <c r="C3113" s="73">
        <v>2.50994414148148E8</v>
      </c>
      <c r="D3113" s="73">
        <v>1.11697706975995E8</v>
      </c>
      <c r="E3113" s="73">
        <v>1.46786066799298E7</v>
      </c>
      <c r="F3113" s="73"/>
      <c r="G3113" s="73"/>
      <c r="H3113" s="73"/>
      <c r="I3113" s="73"/>
      <c r="J3113" s="73"/>
      <c r="K3113" s="73"/>
      <c r="L3113" s="73"/>
      <c r="M3113" s="73"/>
      <c r="N3113" s="73"/>
      <c r="O3113" s="73"/>
      <c r="P3113" s="73"/>
      <c r="Q3113" s="73"/>
      <c r="R3113" s="73"/>
      <c r="S3113" s="73"/>
      <c r="T3113" s="73"/>
      <c r="U3113" s="73"/>
      <c r="V3113" s="73"/>
      <c r="W3113" s="73"/>
      <c r="X3113" s="73"/>
      <c r="Y3113" s="73"/>
      <c r="Z3113" s="73"/>
      <c r="AA3113" s="73"/>
      <c r="AB3113" s="73"/>
    </row>
    <row r="3114">
      <c r="A3114" s="73"/>
      <c r="B3114" s="73">
        <v>2723330.711</v>
      </c>
      <c r="C3114" s="73">
        <v>2.51213960702049E8</v>
      </c>
      <c r="D3114" s="73">
        <v>1.11818930555996E8</v>
      </c>
      <c r="E3114" s="73">
        <v>1.46953080021402E7</v>
      </c>
      <c r="F3114" s="73"/>
      <c r="G3114" s="73"/>
      <c r="H3114" s="73"/>
      <c r="I3114" s="73"/>
      <c r="J3114" s="73"/>
      <c r="K3114" s="73"/>
      <c r="L3114" s="73"/>
      <c r="M3114" s="73"/>
      <c r="N3114" s="73"/>
      <c r="O3114" s="73"/>
      <c r="P3114" s="73"/>
      <c r="Q3114" s="73"/>
      <c r="R3114" s="73"/>
      <c r="S3114" s="73"/>
      <c r="T3114" s="73"/>
      <c r="U3114" s="73"/>
      <c r="V3114" s="73"/>
      <c r="W3114" s="73"/>
      <c r="X3114" s="73"/>
      <c r="Y3114" s="73"/>
      <c r="Z3114" s="73"/>
      <c r="AA3114" s="73"/>
      <c r="AB3114" s="73"/>
    </row>
    <row r="3115">
      <c r="A3115" s="73"/>
      <c r="B3115" s="73">
        <v>2727030.279</v>
      </c>
      <c r="C3115" s="73">
        <v>2.51433688535946E8</v>
      </c>
      <c r="D3115" s="73">
        <v>1.11940247127997E8</v>
      </c>
      <c r="E3115" s="73">
        <v>1.47120246053098E7</v>
      </c>
      <c r="F3115" s="73"/>
      <c r="G3115" s="73"/>
      <c r="H3115" s="73"/>
      <c r="I3115" s="73"/>
      <c r="J3115" s="73"/>
      <c r="K3115" s="73"/>
      <c r="L3115" s="73"/>
      <c r="M3115" s="73"/>
      <c r="N3115" s="73"/>
      <c r="O3115" s="73"/>
      <c r="P3115" s="73"/>
      <c r="Q3115" s="73"/>
      <c r="R3115" s="73"/>
      <c r="S3115" s="73"/>
      <c r="T3115" s="73"/>
      <c r="U3115" s="73"/>
      <c r="V3115" s="73"/>
      <c r="W3115" s="73"/>
      <c r="X3115" s="73"/>
      <c r="Y3115" s="73"/>
      <c r="Z3115" s="73"/>
      <c r="AA3115" s="73"/>
      <c r="AB3115" s="73"/>
    </row>
    <row r="3116">
      <c r="A3116" s="73"/>
      <c r="B3116" s="73">
        <v>2730735.16</v>
      </c>
      <c r="C3116" s="73">
        <v>2.5165349876984E8</v>
      </c>
      <c r="D3116" s="73">
        <v>1.12061646155998E8</v>
      </c>
      <c r="E3116" s="73">
        <v>1.47287562698066E7</v>
      </c>
      <c r="F3116" s="73"/>
      <c r="G3116" s="73"/>
      <c r="H3116" s="73"/>
      <c r="I3116" s="73"/>
      <c r="J3116" s="73"/>
      <c r="K3116" s="73"/>
      <c r="L3116" s="73"/>
      <c r="M3116" s="73"/>
      <c r="N3116" s="73"/>
      <c r="O3116" s="73"/>
      <c r="P3116" s="73"/>
      <c r="Q3116" s="73"/>
      <c r="R3116" s="73"/>
      <c r="S3116" s="73"/>
      <c r="T3116" s="73"/>
      <c r="U3116" s="73"/>
      <c r="V3116" s="73"/>
      <c r="W3116" s="73"/>
      <c r="X3116" s="73"/>
      <c r="Y3116" s="73"/>
      <c r="Z3116" s="73"/>
      <c r="AA3116" s="73"/>
      <c r="AB3116" s="73"/>
    </row>
    <row r="3117">
      <c r="A3117" s="73"/>
      <c r="B3117" s="73">
        <v>2734445.24</v>
      </c>
      <c r="C3117" s="73">
        <v>2.51873424363731E8</v>
      </c>
      <c r="D3117" s="73">
        <v>1.12183138255998E8</v>
      </c>
      <c r="E3117" s="73">
        <v>1.47455050961265E7</v>
      </c>
      <c r="F3117" s="73"/>
      <c r="G3117" s="73"/>
      <c r="H3117" s="73"/>
      <c r="I3117" s="73"/>
      <c r="J3117" s="73"/>
      <c r="K3117" s="73"/>
      <c r="L3117" s="73"/>
      <c r="M3117" s="73"/>
      <c r="N3117" s="73"/>
      <c r="O3117" s="73"/>
      <c r="P3117" s="73"/>
      <c r="Q3117" s="73"/>
      <c r="R3117" s="73"/>
      <c r="S3117" s="73"/>
      <c r="T3117" s="73"/>
      <c r="U3117" s="73"/>
      <c r="V3117" s="73"/>
      <c r="W3117" s="73"/>
      <c r="X3117" s="73"/>
      <c r="Y3117" s="73"/>
      <c r="Z3117" s="73"/>
      <c r="AA3117" s="73"/>
      <c r="AB3117" s="73"/>
    </row>
    <row r="3118">
      <c r="A3118" s="73"/>
      <c r="B3118" s="73">
        <v>2738160.625</v>
      </c>
      <c r="C3118" s="73">
        <v>2.52093465317619E8</v>
      </c>
      <c r="D3118" s="73">
        <v>1.12304702723999E8</v>
      </c>
      <c r="E3118" s="73">
        <v>1.47622692670056E7</v>
      </c>
      <c r="F3118" s="73"/>
      <c r="G3118" s="73"/>
      <c r="H3118" s="73"/>
      <c r="I3118" s="73"/>
      <c r="J3118" s="73"/>
      <c r="K3118" s="73"/>
      <c r="L3118" s="73"/>
      <c r="M3118" s="73"/>
      <c r="N3118" s="73"/>
      <c r="O3118" s="73"/>
      <c r="P3118" s="73"/>
      <c r="Q3118" s="73"/>
      <c r="R3118" s="73"/>
      <c r="S3118" s="73"/>
      <c r="T3118" s="73"/>
      <c r="U3118" s="73"/>
      <c r="V3118" s="73"/>
      <c r="W3118" s="73"/>
      <c r="X3118" s="73"/>
      <c r="Y3118" s="73"/>
      <c r="Z3118" s="73"/>
      <c r="AA3118" s="73"/>
      <c r="AB3118" s="73"/>
    </row>
    <row r="3119">
      <c r="A3119" s="73"/>
      <c r="B3119" s="73">
        <v>2741881.119</v>
      </c>
      <c r="C3119" s="73">
        <v>2.52313654591503E8</v>
      </c>
      <c r="D3119" s="73">
        <v>1.12426360264E8</v>
      </c>
      <c r="E3119" s="73">
        <v>1.47790491004438E7</v>
      </c>
      <c r="F3119" s="73"/>
      <c r="G3119" s="73"/>
      <c r="H3119" s="73"/>
      <c r="I3119" s="73"/>
      <c r="J3119" s="73"/>
      <c r="K3119" s="73"/>
      <c r="L3119" s="73"/>
      <c r="M3119" s="73"/>
      <c r="N3119" s="73"/>
      <c r="O3119" s="73"/>
      <c r="P3119" s="73"/>
      <c r="Q3119" s="73"/>
      <c r="R3119" s="73"/>
      <c r="S3119" s="73"/>
      <c r="T3119" s="73"/>
      <c r="U3119" s="73"/>
      <c r="V3119" s="73"/>
      <c r="W3119" s="73"/>
      <c r="X3119" s="73"/>
      <c r="Y3119" s="73"/>
      <c r="Z3119" s="73"/>
      <c r="AA3119" s="73"/>
      <c r="AB3119" s="73"/>
    </row>
    <row r="3120">
      <c r="A3120" s="73"/>
      <c r="B3120" s="73">
        <v>2745607.0</v>
      </c>
      <c r="C3120" s="73">
        <v>2.52533942745384E8</v>
      </c>
      <c r="D3120" s="73">
        <v>1.12548110499994E8</v>
      </c>
      <c r="E3120" s="73">
        <v>1.47958444904411E7</v>
      </c>
      <c r="F3120" s="73"/>
      <c r="G3120" s="73"/>
      <c r="H3120" s="73"/>
      <c r="I3120" s="73"/>
      <c r="J3120" s="73"/>
      <c r="K3120" s="73"/>
      <c r="L3120" s="73"/>
      <c r="M3120" s="73"/>
      <c r="N3120" s="73"/>
      <c r="O3120" s="73"/>
      <c r="P3120" s="73"/>
      <c r="Q3120" s="73"/>
      <c r="R3120" s="73"/>
      <c r="S3120" s="73"/>
      <c r="T3120" s="73"/>
      <c r="U3120" s="73"/>
      <c r="V3120" s="73"/>
      <c r="W3120" s="73"/>
      <c r="X3120" s="73"/>
      <c r="Y3120" s="73"/>
      <c r="Z3120" s="73"/>
      <c r="AA3120" s="73"/>
      <c r="AB3120" s="73"/>
    </row>
    <row r="3121">
      <c r="A3121" s="73"/>
      <c r="B3121" s="73">
        <v>2749338.09</v>
      </c>
      <c r="C3121" s="73">
        <v>2.52754362739262E8</v>
      </c>
      <c r="D3121" s="73">
        <v>1.12669933327995E8</v>
      </c>
      <c r="E3121" s="73">
        <v>1.48126562926296E7</v>
      </c>
      <c r="F3121" s="73"/>
      <c r="G3121" s="73"/>
      <c r="H3121" s="73"/>
      <c r="I3121" s="73"/>
      <c r="J3121" s="73"/>
      <c r="K3121" s="73"/>
      <c r="L3121" s="73"/>
      <c r="M3121" s="73"/>
      <c r="N3121" s="73"/>
      <c r="O3121" s="73"/>
      <c r="P3121" s="73"/>
      <c r="Q3121" s="73"/>
      <c r="R3121" s="73"/>
      <c r="S3121" s="73"/>
      <c r="T3121" s="73"/>
      <c r="U3121" s="73"/>
      <c r="V3121" s="73"/>
      <c r="W3121" s="73"/>
      <c r="X3121" s="73"/>
      <c r="Y3121" s="73"/>
      <c r="Z3121" s="73"/>
      <c r="AA3121" s="73"/>
      <c r="AB3121" s="73"/>
    </row>
    <row r="3122">
      <c r="A3122" s="73"/>
      <c r="B3122" s="73">
        <v>2753074.456</v>
      </c>
      <c r="C3122" s="73">
        <v>2.52974914573135E8</v>
      </c>
      <c r="D3122" s="73">
        <v>1.12791838683995E8</v>
      </c>
      <c r="E3122" s="73">
        <v>1.48294838739772E7</v>
      </c>
      <c r="F3122" s="73"/>
      <c r="G3122" s="73"/>
      <c r="H3122" s="73"/>
      <c r="I3122" s="73"/>
      <c r="J3122" s="73"/>
      <c r="K3122" s="73"/>
      <c r="L3122" s="73"/>
      <c r="M3122" s="73"/>
      <c r="N3122" s="73"/>
      <c r="O3122" s="73"/>
      <c r="P3122" s="73"/>
      <c r="Q3122" s="73"/>
      <c r="R3122" s="73"/>
      <c r="S3122" s="73"/>
      <c r="T3122" s="73"/>
      <c r="U3122" s="73"/>
      <c r="V3122" s="73"/>
      <c r="W3122" s="73"/>
      <c r="X3122" s="73"/>
      <c r="Y3122" s="73"/>
      <c r="Z3122" s="73"/>
      <c r="AA3122" s="73"/>
      <c r="AB3122" s="73"/>
    </row>
    <row r="3123">
      <c r="A3123" s="73"/>
      <c r="B3123" s="73">
        <v>2756816.194</v>
      </c>
      <c r="C3123" s="73">
        <v>2.53195581767006E8</v>
      </c>
      <c r="D3123" s="73">
        <v>1.12913847351996E8</v>
      </c>
      <c r="E3123" s="73">
        <v>1.4846327528316E7</v>
      </c>
      <c r="F3123" s="73"/>
      <c r="G3123" s="73"/>
      <c r="H3123" s="73"/>
      <c r="I3123" s="73"/>
      <c r="J3123" s="73"/>
      <c r="K3123" s="73"/>
      <c r="L3123" s="73"/>
      <c r="M3123" s="73"/>
      <c r="N3123" s="73"/>
      <c r="O3123" s="73"/>
      <c r="P3123" s="73"/>
      <c r="Q3123" s="73"/>
      <c r="R3123" s="73"/>
      <c r="S3123" s="73"/>
      <c r="T3123" s="73"/>
      <c r="U3123" s="73"/>
      <c r="V3123" s="73"/>
      <c r="W3123" s="73"/>
      <c r="X3123" s="73"/>
      <c r="Y3123" s="73"/>
      <c r="Z3123" s="73"/>
      <c r="AA3123" s="73"/>
      <c r="AB3123" s="73"/>
    </row>
    <row r="3124">
      <c r="A3124" s="73"/>
      <c r="B3124" s="73">
        <v>2760563.06</v>
      </c>
      <c r="C3124" s="73">
        <v>2.53416364320873E8</v>
      </c>
      <c r="D3124" s="73">
        <v>1.13035928387997E8</v>
      </c>
      <c r="E3124" s="73">
        <v>1.48631861909819E7</v>
      </c>
      <c r="F3124" s="73"/>
      <c r="G3124" s="73"/>
      <c r="H3124" s="73"/>
      <c r="I3124" s="73"/>
      <c r="J3124" s="73"/>
      <c r="K3124" s="73"/>
      <c r="L3124" s="73"/>
      <c r="M3124" s="73"/>
      <c r="N3124" s="73"/>
      <c r="O3124" s="73"/>
      <c r="P3124" s="73"/>
      <c r="Q3124" s="73"/>
      <c r="R3124" s="73"/>
      <c r="S3124" s="73"/>
      <c r="T3124" s="73"/>
      <c r="U3124" s="73"/>
      <c r="V3124" s="73"/>
      <c r="W3124" s="73"/>
      <c r="X3124" s="73"/>
      <c r="Y3124" s="73"/>
      <c r="Z3124" s="73"/>
      <c r="AA3124" s="73"/>
      <c r="AB3124" s="73"/>
    </row>
    <row r="3125">
      <c r="A3125" s="73"/>
      <c r="B3125" s="73">
        <v>2764315.254</v>
      </c>
      <c r="C3125" s="73">
        <v>2.53637278714737E8</v>
      </c>
      <c r="D3125" s="73">
        <v>1.13158102343998E8</v>
      </c>
      <c r="E3125" s="73">
        <v>1.4880061138639E7</v>
      </c>
      <c r="F3125" s="73"/>
      <c r="G3125" s="73"/>
      <c r="H3125" s="73"/>
      <c r="I3125" s="73"/>
      <c r="J3125" s="73"/>
      <c r="K3125" s="73"/>
      <c r="L3125" s="73"/>
      <c r="M3125" s="73"/>
      <c r="N3125" s="73"/>
      <c r="O3125" s="73"/>
      <c r="P3125" s="73"/>
      <c r="Q3125" s="73"/>
      <c r="R3125" s="73"/>
      <c r="S3125" s="73"/>
      <c r="T3125" s="73"/>
      <c r="U3125" s="73"/>
      <c r="V3125" s="73"/>
      <c r="W3125" s="73"/>
      <c r="X3125" s="73"/>
      <c r="Y3125" s="73"/>
      <c r="Z3125" s="73"/>
      <c r="AA3125" s="73"/>
      <c r="AB3125" s="73"/>
    </row>
    <row r="3126">
      <c r="A3126" s="73"/>
      <c r="B3126" s="73">
        <v>2768072.729</v>
      </c>
      <c r="C3126" s="73">
        <v>2.53858308468597E8</v>
      </c>
      <c r="D3126" s="73">
        <v>1.13280348747999E8</v>
      </c>
      <c r="E3126" s="73">
        <v>1.48969519078552E7</v>
      </c>
      <c r="F3126" s="73"/>
      <c r="G3126" s="73"/>
      <c r="H3126" s="73"/>
      <c r="I3126" s="73"/>
      <c r="J3126" s="73"/>
      <c r="K3126" s="73"/>
      <c r="L3126" s="73"/>
      <c r="M3126" s="73"/>
      <c r="N3126" s="73"/>
      <c r="O3126" s="73"/>
      <c r="P3126" s="73"/>
      <c r="Q3126" s="73"/>
      <c r="R3126" s="73"/>
      <c r="S3126" s="73"/>
      <c r="T3126" s="73"/>
      <c r="U3126" s="73"/>
      <c r="V3126" s="73"/>
      <c r="W3126" s="73"/>
      <c r="X3126" s="73"/>
      <c r="Y3126" s="73"/>
      <c r="Z3126" s="73"/>
      <c r="AA3126" s="73"/>
      <c r="AB3126" s="73"/>
    </row>
    <row r="3127">
      <c r="A3127" s="73"/>
      <c r="B3127" s="73">
        <v>2771835.588</v>
      </c>
      <c r="C3127" s="73">
        <v>2.54079470062454E8</v>
      </c>
      <c r="D3127" s="73">
        <v>1.13402698304E8</v>
      </c>
      <c r="E3127" s="73">
        <v>1.49138590574625E7</v>
      </c>
      <c r="F3127" s="73"/>
      <c r="G3127" s="73"/>
      <c r="H3127" s="73"/>
      <c r="I3127" s="73"/>
      <c r="J3127" s="73"/>
      <c r="K3127" s="73"/>
      <c r="L3127" s="73"/>
      <c r="M3127" s="73"/>
      <c r="N3127" s="73"/>
      <c r="O3127" s="73"/>
      <c r="P3127" s="73"/>
      <c r="Q3127" s="73"/>
      <c r="R3127" s="73"/>
      <c r="S3127" s="73"/>
      <c r="T3127" s="73"/>
      <c r="U3127" s="73"/>
      <c r="V3127" s="73"/>
      <c r="W3127" s="73"/>
      <c r="X3127" s="73"/>
      <c r="Y3127" s="73"/>
      <c r="Z3127" s="73"/>
      <c r="AA3127" s="73"/>
      <c r="AB3127" s="73"/>
    </row>
    <row r="3128">
      <c r="A3128" s="73"/>
      <c r="B3128" s="73">
        <v>2775603.687</v>
      </c>
      <c r="C3128" s="73">
        <v>2.54300747016308E8</v>
      </c>
      <c r="D3128" s="73">
        <v>1.13525120308001E8</v>
      </c>
      <c r="E3128" s="73">
        <v>1.4930781615229E7</v>
      </c>
      <c r="F3128" s="73"/>
      <c r="G3128" s="73"/>
      <c r="H3128" s="73"/>
      <c r="I3128" s="73"/>
      <c r="J3128" s="73"/>
      <c r="K3128" s="73"/>
      <c r="L3128" s="73"/>
      <c r="M3128" s="73"/>
      <c r="N3128" s="73"/>
      <c r="O3128" s="73"/>
      <c r="P3128" s="73"/>
      <c r="Q3128" s="73"/>
      <c r="R3128" s="73"/>
      <c r="S3128" s="73"/>
      <c r="T3128" s="73"/>
      <c r="U3128" s="73"/>
      <c r="V3128" s="73"/>
      <c r="W3128" s="73"/>
      <c r="X3128" s="73"/>
      <c r="Y3128" s="73"/>
      <c r="Z3128" s="73"/>
      <c r="AA3128" s="73"/>
      <c r="AB3128" s="73"/>
    </row>
    <row r="3129">
      <c r="A3129" s="73"/>
      <c r="B3129" s="73">
        <v>2779377.057</v>
      </c>
      <c r="C3129" s="73">
        <v>2.54522139330158E8</v>
      </c>
      <c r="D3129" s="73">
        <v>1.13647635151994E8</v>
      </c>
      <c r="E3129" s="73">
        <v>1.49477206381866E7</v>
      </c>
      <c r="F3129" s="73"/>
      <c r="G3129" s="73"/>
      <c r="H3129" s="73"/>
      <c r="I3129" s="73"/>
      <c r="J3129" s="73"/>
      <c r="K3129" s="73"/>
      <c r="L3129" s="73"/>
      <c r="M3129" s="73"/>
      <c r="N3129" s="73"/>
      <c r="O3129" s="73"/>
      <c r="P3129" s="73"/>
      <c r="Q3129" s="73"/>
      <c r="R3129" s="73"/>
      <c r="S3129" s="73"/>
      <c r="T3129" s="73"/>
      <c r="U3129" s="73"/>
      <c r="V3129" s="73"/>
      <c r="W3129" s="73"/>
      <c r="X3129" s="73"/>
      <c r="Y3129" s="73"/>
      <c r="Z3129" s="73"/>
      <c r="AA3129" s="73"/>
      <c r="AB3129" s="73"/>
    </row>
    <row r="3130">
      <c r="A3130" s="73"/>
      <c r="B3130" s="73">
        <v>2783155.788</v>
      </c>
      <c r="C3130" s="73">
        <v>2.54743647004005E8</v>
      </c>
      <c r="D3130" s="73">
        <v>1.13770232755995E8</v>
      </c>
      <c r="E3130" s="73">
        <v>1.49646747330714E7</v>
      </c>
      <c r="F3130" s="73"/>
      <c r="G3130" s="73"/>
      <c r="H3130" s="73"/>
      <c r="I3130" s="73"/>
      <c r="J3130" s="73"/>
      <c r="K3130" s="73"/>
      <c r="L3130" s="73"/>
      <c r="M3130" s="73"/>
      <c r="N3130" s="73"/>
      <c r="O3130" s="73"/>
      <c r="P3130" s="73"/>
      <c r="Q3130" s="73"/>
      <c r="R3130" s="73"/>
      <c r="S3130" s="73"/>
      <c r="T3130" s="73"/>
      <c r="U3130" s="73"/>
      <c r="V3130" s="73"/>
      <c r="W3130" s="73"/>
      <c r="X3130" s="73"/>
      <c r="Y3130" s="73"/>
      <c r="Z3130" s="73"/>
      <c r="AA3130" s="73"/>
      <c r="AB3130" s="73"/>
    </row>
    <row r="3131">
      <c r="A3131" s="73"/>
      <c r="B3131" s="73">
        <v>2786939.867</v>
      </c>
      <c r="C3131" s="73">
        <v>2.54965286517849E8</v>
      </c>
      <c r="D3131" s="73">
        <v>1.13892923207996E8</v>
      </c>
      <c r="E3131" s="73">
        <v>1.49816450069473E7</v>
      </c>
      <c r="F3131" s="73"/>
      <c r="G3131" s="73"/>
      <c r="H3131" s="73"/>
      <c r="I3131" s="73"/>
      <c r="J3131" s="73"/>
      <c r="K3131" s="73"/>
      <c r="L3131" s="73"/>
      <c r="M3131" s="73"/>
      <c r="N3131" s="73"/>
      <c r="O3131" s="73"/>
      <c r="P3131" s="73"/>
      <c r="Q3131" s="73"/>
      <c r="R3131" s="73"/>
      <c r="S3131" s="73"/>
      <c r="T3131" s="73"/>
      <c r="U3131" s="73"/>
      <c r="V3131" s="73"/>
      <c r="W3131" s="73"/>
      <c r="X3131" s="73"/>
      <c r="Y3131" s="73"/>
      <c r="Z3131" s="73"/>
      <c r="AA3131" s="73"/>
      <c r="AB3131" s="73"/>
    </row>
    <row r="3132">
      <c r="A3132" s="73"/>
      <c r="B3132" s="73">
        <v>2790729.243</v>
      </c>
      <c r="C3132" s="73">
        <v>2.55187041391689E8</v>
      </c>
      <c r="D3132" s="73">
        <v>1.14015686171997E8</v>
      </c>
      <c r="E3132" s="73">
        <v>1.49986310917824E7</v>
      </c>
      <c r="F3132" s="73"/>
      <c r="G3132" s="73"/>
      <c r="H3132" s="73"/>
      <c r="I3132" s="73"/>
      <c r="J3132" s="73"/>
      <c r="K3132" s="73"/>
      <c r="L3132" s="73"/>
      <c r="M3132" s="73"/>
      <c r="N3132" s="73"/>
      <c r="O3132" s="73"/>
      <c r="P3132" s="73"/>
      <c r="Q3132" s="73"/>
      <c r="R3132" s="73"/>
      <c r="S3132" s="73"/>
      <c r="T3132" s="73"/>
      <c r="U3132" s="73"/>
      <c r="V3132" s="73"/>
      <c r="W3132" s="73"/>
      <c r="X3132" s="73"/>
      <c r="Y3132" s="73"/>
      <c r="Z3132" s="73"/>
      <c r="AA3132" s="73"/>
      <c r="AB3132" s="73"/>
    </row>
    <row r="3133">
      <c r="A3133" s="73"/>
      <c r="B3133" s="73">
        <v>2794523.901</v>
      </c>
      <c r="C3133" s="73">
        <v>2.55408928105526E8</v>
      </c>
      <c r="D3133" s="73">
        <v>1.14138552303998E8</v>
      </c>
      <c r="E3133" s="73">
        <v>1.50156336418085E7</v>
      </c>
      <c r="F3133" s="73"/>
      <c r="G3133" s="73"/>
      <c r="H3133" s="73"/>
      <c r="I3133" s="73"/>
      <c r="J3133" s="73"/>
      <c r="K3133" s="73"/>
      <c r="L3133" s="73"/>
      <c r="M3133" s="73"/>
      <c r="N3133" s="73"/>
      <c r="O3133" s="73"/>
      <c r="P3133" s="73"/>
      <c r="Q3133" s="73"/>
      <c r="R3133" s="73"/>
      <c r="S3133" s="73"/>
      <c r="T3133" s="73"/>
      <c r="U3133" s="73"/>
      <c r="V3133" s="73"/>
      <c r="W3133" s="73"/>
      <c r="X3133" s="73"/>
      <c r="Y3133" s="73"/>
      <c r="Z3133" s="73"/>
      <c r="AA3133" s="73"/>
      <c r="AB3133" s="73"/>
    </row>
    <row r="3134">
      <c r="A3134" s="73"/>
      <c r="B3134" s="73">
        <v>2798323.99</v>
      </c>
      <c r="C3134" s="73">
        <v>2.5563091369936E8</v>
      </c>
      <c r="D3134" s="73">
        <v>1.14261490795999E8</v>
      </c>
      <c r="E3134" s="73">
        <v>1.50326519497939E7</v>
      </c>
      <c r="F3134" s="73"/>
      <c r="G3134" s="73"/>
      <c r="H3134" s="73"/>
      <c r="I3134" s="73"/>
      <c r="J3134" s="73"/>
      <c r="K3134" s="73"/>
      <c r="L3134" s="73"/>
      <c r="M3134" s="73"/>
      <c r="N3134" s="73"/>
      <c r="O3134" s="73"/>
      <c r="P3134" s="73"/>
      <c r="Q3134" s="73"/>
      <c r="R3134" s="73"/>
      <c r="S3134" s="73"/>
      <c r="T3134" s="73"/>
      <c r="U3134" s="73"/>
      <c r="V3134" s="73"/>
      <c r="W3134" s="73"/>
      <c r="X3134" s="73"/>
      <c r="Y3134" s="73"/>
      <c r="Z3134" s="73"/>
      <c r="AA3134" s="73"/>
      <c r="AB3134" s="73"/>
    </row>
    <row r="3135">
      <c r="A3135" s="73"/>
      <c r="B3135" s="73">
        <v>2802129.301</v>
      </c>
      <c r="C3135" s="73">
        <v>2.5585304761319E8</v>
      </c>
      <c r="D3135" s="73">
        <v>1.14384522288E8</v>
      </c>
      <c r="E3135" s="73">
        <v>1.50496862777703E7</v>
      </c>
      <c r="F3135" s="73"/>
      <c r="G3135" s="73"/>
      <c r="H3135" s="73"/>
      <c r="I3135" s="73"/>
      <c r="J3135" s="73"/>
      <c r="K3135" s="73"/>
      <c r="L3135" s="73"/>
      <c r="M3135" s="73"/>
      <c r="N3135" s="73"/>
      <c r="O3135" s="73"/>
      <c r="P3135" s="73"/>
      <c r="Q3135" s="73"/>
      <c r="R3135" s="73"/>
      <c r="S3135" s="73"/>
      <c r="T3135" s="73"/>
      <c r="U3135" s="73"/>
      <c r="V3135" s="73"/>
      <c r="W3135" s="73"/>
      <c r="X3135" s="73"/>
      <c r="Y3135" s="73"/>
      <c r="Z3135" s="73"/>
      <c r="AA3135" s="73"/>
      <c r="AB3135" s="73"/>
    </row>
    <row r="3136">
      <c r="A3136" s="73"/>
      <c r="B3136" s="73">
        <v>2805940.055</v>
      </c>
      <c r="C3136" s="73">
        <v>2.56075296887016E8</v>
      </c>
      <c r="D3136" s="73">
        <v>1.14507636388001E8</v>
      </c>
      <c r="E3136" s="73">
        <v>1.5066736027474E7</v>
      </c>
      <c r="F3136" s="73"/>
      <c r="G3136" s="73"/>
      <c r="H3136" s="73"/>
      <c r="I3136" s="73"/>
      <c r="J3136" s="73"/>
      <c r="K3136" s="73"/>
      <c r="L3136" s="73"/>
      <c r="M3136" s="73"/>
      <c r="N3136" s="73"/>
      <c r="O3136" s="73"/>
      <c r="P3136" s="73"/>
      <c r="Q3136" s="73"/>
      <c r="R3136" s="73"/>
      <c r="S3136" s="73"/>
      <c r="T3136" s="73"/>
      <c r="U3136" s="73"/>
      <c r="V3136" s="73"/>
      <c r="W3136" s="73"/>
      <c r="X3136" s="73"/>
      <c r="Y3136" s="73"/>
      <c r="Z3136" s="73"/>
      <c r="AA3136" s="73"/>
      <c r="AB3136" s="73"/>
    </row>
    <row r="3137">
      <c r="A3137" s="73"/>
      <c r="B3137" s="73">
        <v>2809756.087</v>
      </c>
      <c r="C3137" s="73">
        <v>2.5629766152084E8</v>
      </c>
      <c r="D3137" s="73">
        <v>1.14630833239994E8</v>
      </c>
      <c r="E3137" s="73">
        <v>1.50838020621687E7</v>
      </c>
      <c r="F3137" s="73"/>
      <c r="G3137" s="73"/>
      <c r="H3137" s="73"/>
      <c r="I3137" s="73"/>
      <c r="J3137" s="73"/>
      <c r="K3137" s="73"/>
      <c r="L3137" s="73"/>
      <c r="M3137" s="73"/>
      <c r="N3137" s="73"/>
      <c r="O3137" s="73"/>
      <c r="P3137" s="73"/>
      <c r="Q3137" s="73"/>
      <c r="R3137" s="73"/>
      <c r="S3137" s="73"/>
      <c r="T3137" s="73"/>
      <c r="U3137" s="73"/>
      <c r="V3137" s="73"/>
      <c r="W3137" s="73"/>
      <c r="X3137" s="73"/>
      <c r="Y3137" s="73"/>
      <c r="Z3137" s="73"/>
      <c r="AA3137" s="73"/>
      <c r="AB3137" s="73"/>
    </row>
    <row r="3138">
      <c r="A3138" s="73"/>
      <c r="B3138" s="73">
        <v>2813577.439</v>
      </c>
      <c r="C3138" s="73">
        <v>2.56520174474659E8</v>
      </c>
      <c r="D3138" s="73">
        <v>1.14754122939995E8</v>
      </c>
      <c r="E3138" s="73">
        <v>1.51008836004226E7</v>
      </c>
      <c r="F3138" s="73"/>
      <c r="G3138" s="73"/>
      <c r="H3138" s="73"/>
      <c r="I3138" s="73"/>
      <c r="J3138" s="73"/>
      <c r="K3138" s="73"/>
      <c r="L3138" s="73"/>
      <c r="M3138" s="73"/>
      <c r="N3138" s="73"/>
      <c r="O3138" s="73"/>
      <c r="P3138" s="73"/>
      <c r="Q3138" s="73"/>
      <c r="R3138" s="73"/>
      <c r="S3138" s="73"/>
      <c r="T3138" s="73"/>
      <c r="U3138" s="73"/>
      <c r="V3138" s="73"/>
      <c r="W3138" s="73"/>
      <c r="X3138" s="73"/>
      <c r="Y3138" s="73"/>
      <c r="Z3138" s="73"/>
      <c r="AA3138" s="73"/>
      <c r="AB3138" s="73"/>
    </row>
    <row r="3139">
      <c r="A3139" s="73"/>
      <c r="B3139" s="73">
        <v>2817404.254</v>
      </c>
      <c r="C3139" s="73">
        <v>2.56742786308475E8</v>
      </c>
      <c r="D3139" s="73">
        <v>1.14877495319996E8</v>
      </c>
      <c r="E3139" s="73">
        <v>1.51179817628676E7</v>
      </c>
      <c r="F3139" s="73"/>
      <c r="G3139" s="73"/>
      <c r="H3139" s="73"/>
      <c r="I3139" s="73"/>
      <c r="J3139" s="73"/>
      <c r="K3139" s="73"/>
      <c r="L3139" s="73"/>
      <c r="M3139" s="73"/>
      <c r="N3139" s="73"/>
      <c r="O3139" s="73"/>
      <c r="P3139" s="73"/>
      <c r="Q3139" s="73"/>
      <c r="R3139" s="73"/>
      <c r="S3139" s="73"/>
      <c r="T3139" s="73"/>
      <c r="U3139" s="73"/>
      <c r="V3139" s="73"/>
      <c r="W3139" s="73"/>
      <c r="X3139" s="73"/>
      <c r="Y3139" s="73"/>
      <c r="Z3139" s="73"/>
      <c r="AA3139" s="73"/>
      <c r="AB3139" s="73"/>
    </row>
    <row r="3140">
      <c r="A3140" s="73"/>
      <c r="B3140" s="73">
        <v>2821236.353</v>
      </c>
      <c r="C3140" s="73">
        <v>2.56965513502289E8</v>
      </c>
      <c r="D3140" s="73">
        <v>1.15000950307997E8</v>
      </c>
      <c r="E3140" s="73">
        <v>1.51350956408718E7</v>
      </c>
      <c r="F3140" s="73"/>
      <c r="G3140" s="73"/>
      <c r="H3140" s="73"/>
      <c r="I3140" s="73"/>
      <c r="J3140" s="73"/>
      <c r="K3140" s="73"/>
      <c r="L3140" s="73"/>
      <c r="M3140" s="73"/>
      <c r="N3140" s="73"/>
      <c r="O3140" s="73"/>
      <c r="P3140" s="73"/>
      <c r="Q3140" s="73"/>
      <c r="R3140" s="73"/>
      <c r="S3140" s="73"/>
      <c r="T3140" s="73"/>
      <c r="U3140" s="73"/>
      <c r="V3140" s="73"/>
      <c r="W3140" s="73"/>
      <c r="X3140" s="73"/>
      <c r="Y3140" s="73"/>
      <c r="Z3140" s="73"/>
      <c r="AA3140" s="73"/>
      <c r="AB3140" s="73"/>
    </row>
    <row r="3141">
      <c r="A3141" s="73"/>
      <c r="B3141" s="73">
        <v>2825073.911</v>
      </c>
      <c r="C3141" s="73">
        <v>2.57188405496098E8</v>
      </c>
      <c r="D3141" s="73">
        <v>1.15124498367998E8</v>
      </c>
      <c r="E3141" s="73">
        <v>1.51522256978671E7</v>
      </c>
      <c r="F3141" s="73"/>
      <c r="G3141" s="73"/>
      <c r="H3141" s="73"/>
      <c r="I3141" s="73"/>
      <c r="J3141" s="73"/>
      <c r="K3141" s="73"/>
      <c r="L3141" s="73"/>
      <c r="M3141" s="73"/>
      <c r="N3141" s="73"/>
      <c r="O3141" s="73"/>
      <c r="P3141" s="73"/>
      <c r="Q3141" s="73"/>
      <c r="R3141" s="73"/>
      <c r="S3141" s="73"/>
      <c r="T3141" s="73"/>
      <c r="U3141" s="73"/>
      <c r="V3141" s="73"/>
      <c r="W3141" s="73"/>
      <c r="X3141" s="73"/>
      <c r="Y3141" s="73"/>
      <c r="Z3141" s="73"/>
      <c r="AA3141" s="73"/>
      <c r="AB3141" s="73"/>
    </row>
    <row r="3142">
      <c r="A3142" s="73"/>
      <c r="B3142" s="73">
        <v>2828916.786</v>
      </c>
      <c r="C3142" s="73">
        <v>2.57411363409904E8</v>
      </c>
      <c r="D3142" s="73">
        <v>1.15248129035998E8</v>
      </c>
      <c r="E3142" s="73">
        <v>1.51693718838215E7</v>
      </c>
      <c r="F3142" s="73"/>
      <c r="G3142" s="73"/>
      <c r="H3142" s="73"/>
      <c r="I3142" s="73"/>
      <c r="J3142" s="73"/>
      <c r="K3142" s="73"/>
      <c r="L3142" s="73"/>
      <c r="M3142" s="73"/>
      <c r="N3142" s="73"/>
      <c r="O3142" s="73"/>
      <c r="P3142" s="73"/>
      <c r="Q3142" s="73"/>
      <c r="R3142" s="73"/>
      <c r="S3142" s="73"/>
      <c r="T3142" s="73"/>
      <c r="U3142" s="73"/>
      <c r="V3142" s="73"/>
      <c r="W3142" s="73"/>
      <c r="X3142" s="73"/>
      <c r="Y3142" s="73"/>
      <c r="Z3142" s="73"/>
      <c r="AA3142" s="73"/>
      <c r="AB3142" s="73"/>
    </row>
    <row r="3143">
      <c r="A3143" s="73"/>
      <c r="B3143" s="73">
        <v>2832765.03</v>
      </c>
      <c r="C3143" s="73">
        <v>2.57634469643707E8</v>
      </c>
      <c r="D3143" s="73">
        <v>1.15371842375999E8</v>
      </c>
      <c r="E3143" s="73">
        <v>1.51865328979031E7</v>
      </c>
      <c r="F3143" s="73"/>
      <c r="G3143" s="73"/>
      <c r="H3143" s="73"/>
      <c r="I3143" s="73"/>
      <c r="J3143" s="73"/>
      <c r="K3143" s="73"/>
      <c r="L3143" s="73"/>
      <c r="M3143" s="73"/>
      <c r="N3143" s="73"/>
      <c r="O3143" s="73"/>
      <c r="P3143" s="73"/>
      <c r="Q3143" s="73"/>
      <c r="R3143" s="73"/>
      <c r="S3143" s="73"/>
      <c r="T3143" s="73"/>
      <c r="U3143" s="73"/>
      <c r="V3143" s="73"/>
      <c r="W3143" s="73"/>
      <c r="X3143" s="73"/>
      <c r="Y3143" s="73"/>
      <c r="Z3143" s="73"/>
      <c r="AA3143" s="73"/>
      <c r="AB3143" s="73"/>
    </row>
    <row r="3144">
      <c r="A3144" s="73"/>
      <c r="B3144" s="73">
        <v>2836618.731</v>
      </c>
      <c r="C3144" s="73">
        <v>2.57857691237507E8</v>
      </c>
      <c r="D3144" s="73">
        <v>1.15495648724E8</v>
      </c>
      <c r="E3144" s="73">
        <v>1.52037104725759E7</v>
      </c>
      <c r="F3144" s="73"/>
      <c r="G3144" s="73"/>
      <c r="H3144" s="73"/>
      <c r="I3144" s="73"/>
      <c r="J3144" s="73"/>
      <c r="K3144" s="73"/>
      <c r="L3144" s="73"/>
      <c r="M3144" s="73"/>
      <c r="N3144" s="73"/>
      <c r="O3144" s="73"/>
      <c r="P3144" s="73"/>
      <c r="Q3144" s="73"/>
      <c r="R3144" s="73"/>
      <c r="S3144" s="73"/>
      <c r="T3144" s="73"/>
      <c r="U3144" s="73"/>
      <c r="V3144" s="73"/>
      <c r="W3144" s="73"/>
      <c r="X3144" s="73"/>
      <c r="Y3144" s="73"/>
      <c r="Z3144" s="73"/>
      <c r="AA3144" s="73"/>
      <c r="AB3144" s="73"/>
    </row>
    <row r="3145">
      <c r="A3145" s="73"/>
      <c r="B3145" s="73">
        <v>2840477.718</v>
      </c>
      <c r="C3145" s="73">
        <v>2.58081028191303E8</v>
      </c>
      <c r="D3145" s="73">
        <v>1.15619537599994E8</v>
      </c>
      <c r="E3145" s="73">
        <v>1.52209042474397E7</v>
      </c>
      <c r="F3145" s="73"/>
      <c r="G3145" s="73"/>
      <c r="H3145" s="73"/>
      <c r="I3145" s="73"/>
      <c r="J3145" s="73"/>
      <c r="K3145" s="73"/>
      <c r="L3145" s="73"/>
      <c r="M3145" s="73"/>
      <c r="N3145" s="73"/>
      <c r="O3145" s="73"/>
      <c r="P3145" s="73"/>
      <c r="Q3145" s="73"/>
      <c r="R3145" s="73"/>
      <c r="S3145" s="73"/>
      <c r="T3145" s="73"/>
      <c r="U3145" s="73"/>
      <c r="V3145" s="73"/>
      <c r="W3145" s="73"/>
      <c r="X3145" s="73"/>
      <c r="Y3145" s="73"/>
      <c r="Z3145" s="73"/>
      <c r="AA3145" s="73"/>
      <c r="AB3145" s="73"/>
    </row>
    <row r="3146">
      <c r="A3146" s="73"/>
      <c r="B3146" s="73">
        <v>2844342.179</v>
      </c>
      <c r="C3146" s="73">
        <v>2.58304513465096E8</v>
      </c>
      <c r="D3146" s="73">
        <v>1.15743519467995E8</v>
      </c>
      <c r="E3146" s="73">
        <v>1.52381145616947E7</v>
      </c>
      <c r="F3146" s="73"/>
      <c r="G3146" s="73"/>
      <c r="H3146" s="73"/>
      <c r="I3146" s="73"/>
      <c r="J3146" s="73"/>
      <c r="K3146" s="73"/>
      <c r="L3146" s="73"/>
      <c r="M3146" s="73"/>
      <c r="N3146" s="73"/>
      <c r="O3146" s="73"/>
      <c r="P3146" s="73"/>
      <c r="Q3146" s="73"/>
      <c r="R3146" s="73"/>
      <c r="S3146" s="73"/>
      <c r="T3146" s="73"/>
      <c r="U3146" s="73"/>
      <c r="V3146" s="73"/>
      <c r="W3146" s="73"/>
      <c r="X3146" s="73"/>
      <c r="Y3146" s="73"/>
      <c r="Z3146" s="73"/>
      <c r="AA3146" s="73"/>
      <c r="AB3146" s="73"/>
    </row>
    <row r="3147">
      <c r="A3147" s="73"/>
      <c r="B3147" s="73">
        <v>2848212.043</v>
      </c>
      <c r="C3147" s="73">
        <v>2.58528097618885E8</v>
      </c>
      <c r="D3147" s="73">
        <v>1.15867573783995E8</v>
      </c>
      <c r="E3147" s="73">
        <v>1.52553400856768E7</v>
      </c>
      <c r="F3147" s="73"/>
      <c r="G3147" s="73"/>
      <c r="H3147" s="73"/>
      <c r="I3147" s="73"/>
      <c r="J3147" s="73"/>
      <c r="K3147" s="73"/>
      <c r="L3147" s="73"/>
      <c r="M3147" s="73"/>
      <c r="N3147" s="73"/>
      <c r="O3147" s="73"/>
      <c r="P3147" s="73"/>
      <c r="Q3147" s="73"/>
      <c r="R3147" s="73"/>
      <c r="S3147" s="73"/>
      <c r="T3147" s="73"/>
      <c r="U3147" s="73"/>
      <c r="V3147" s="73"/>
      <c r="W3147" s="73"/>
      <c r="X3147" s="73"/>
      <c r="Y3147" s="73"/>
      <c r="Z3147" s="73"/>
      <c r="AA3147" s="73"/>
      <c r="AB3147" s="73"/>
    </row>
    <row r="3148">
      <c r="A3148" s="73"/>
      <c r="B3148" s="73">
        <v>2852087.257</v>
      </c>
      <c r="C3148" s="73">
        <v>2.5875183009267E8</v>
      </c>
      <c r="D3148" s="73">
        <v>1.15991720939996E8</v>
      </c>
      <c r="E3148" s="73">
        <v>1.52725822762501E7</v>
      </c>
      <c r="F3148" s="73"/>
      <c r="G3148" s="73"/>
      <c r="H3148" s="73"/>
      <c r="I3148" s="73"/>
      <c r="J3148" s="73"/>
      <c r="K3148" s="73"/>
      <c r="L3148" s="73"/>
      <c r="M3148" s="73"/>
      <c r="N3148" s="73"/>
      <c r="O3148" s="73"/>
      <c r="P3148" s="73"/>
      <c r="Q3148" s="73"/>
      <c r="R3148" s="73"/>
      <c r="S3148" s="73"/>
      <c r="T3148" s="73"/>
      <c r="U3148" s="73"/>
      <c r="V3148" s="73"/>
      <c r="W3148" s="73"/>
      <c r="X3148" s="73"/>
      <c r="Y3148" s="73"/>
      <c r="Z3148" s="73"/>
      <c r="AA3148" s="73"/>
      <c r="AB3148" s="73"/>
    </row>
    <row r="3149">
      <c r="A3149" s="73"/>
      <c r="B3149" s="73">
        <v>2855967.942</v>
      </c>
      <c r="C3149" s="73">
        <v>2.58975661446453E8</v>
      </c>
      <c r="D3149" s="73">
        <v>1.16115961095997E8</v>
      </c>
      <c r="E3149" s="73">
        <v>1.52898398961825E7</v>
      </c>
      <c r="F3149" s="73"/>
      <c r="G3149" s="73"/>
      <c r="H3149" s="73"/>
      <c r="I3149" s="73"/>
      <c r="J3149" s="73"/>
      <c r="K3149" s="73"/>
      <c r="L3149" s="73"/>
      <c r="M3149" s="73"/>
      <c r="N3149" s="73"/>
      <c r="O3149" s="73"/>
      <c r="P3149" s="73"/>
      <c r="Q3149" s="73"/>
      <c r="R3149" s="73"/>
      <c r="S3149" s="73"/>
      <c r="T3149" s="73"/>
      <c r="U3149" s="73"/>
      <c r="V3149" s="73"/>
      <c r="W3149" s="73"/>
      <c r="X3149" s="73"/>
      <c r="Y3149" s="73"/>
      <c r="Z3149" s="73"/>
      <c r="AA3149" s="73"/>
      <c r="AB3149" s="73"/>
    </row>
    <row r="3150">
      <c r="A3150" s="73"/>
      <c r="B3150" s="73">
        <v>2859853.931</v>
      </c>
      <c r="C3150" s="73">
        <v>2.59199608160233E8</v>
      </c>
      <c r="D3150" s="73">
        <v>1.16240273691998E8</v>
      </c>
      <c r="E3150" s="73">
        <v>1.5307114235706E7</v>
      </c>
      <c r="F3150" s="73"/>
      <c r="G3150" s="73"/>
      <c r="H3150" s="73"/>
      <c r="I3150" s="73"/>
      <c r="J3150" s="73"/>
      <c r="K3150" s="73"/>
      <c r="L3150" s="73"/>
      <c r="M3150" s="73"/>
      <c r="N3150" s="73"/>
      <c r="O3150" s="73"/>
      <c r="P3150" s="73"/>
      <c r="Q3150" s="73"/>
      <c r="R3150" s="73"/>
      <c r="S3150" s="73"/>
      <c r="T3150" s="73"/>
      <c r="U3150" s="73"/>
      <c r="V3150" s="73"/>
      <c r="W3150" s="73"/>
      <c r="X3150" s="73"/>
      <c r="Y3150" s="73"/>
      <c r="Z3150" s="73"/>
      <c r="AA3150" s="73"/>
      <c r="AB3150" s="73"/>
    </row>
    <row r="3151">
      <c r="A3151" s="73"/>
      <c r="B3151" s="73">
        <v>2863745.386</v>
      </c>
      <c r="C3151" s="73">
        <v>2.59423703194008E8</v>
      </c>
      <c r="D3151" s="73">
        <v>1.16364689447999E8</v>
      </c>
      <c r="E3151" s="73">
        <v>1.53244043437886E7</v>
      </c>
      <c r="F3151" s="73"/>
      <c r="G3151" s="73"/>
      <c r="H3151" s="73"/>
      <c r="I3151" s="73"/>
      <c r="J3151" s="73"/>
      <c r="K3151" s="73"/>
      <c r="L3151" s="73"/>
      <c r="M3151" s="73"/>
      <c r="N3151" s="73"/>
      <c r="O3151" s="73"/>
      <c r="P3151" s="73"/>
      <c r="Q3151" s="73"/>
      <c r="R3151" s="73"/>
      <c r="S3151" s="73"/>
      <c r="T3151" s="73"/>
      <c r="U3151" s="73"/>
      <c r="V3151" s="73"/>
      <c r="W3151" s="73"/>
      <c r="X3151" s="73"/>
      <c r="Y3151" s="73"/>
      <c r="Z3151" s="73"/>
      <c r="AA3151" s="73"/>
      <c r="AB3151" s="73"/>
    </row>
    <row r="3152">
      <c r="A3152" s="73"/>
      <c r="B3152" s="73">
        <v>2867642.322</v>
      </c>
      <c r="C3152" s="73">
        <v>2.5964791358778E8</v>
      </c>
      <c r="D3152" s="73">
        <v>1.16489187812E8</v>
      </c>
      <c r="E3152" s="73">
        <v>1.53417094283985E7</v>
      </c>
      <c r="F3152" s="73"/>
      <c r="G3152" s="73"/>
      <c r="H3152" s="73"/>
      <c r="I3152" s="73"/>
      <c r="J3152" s="73"/>
      <c r="K3152" s="73"/>
      <c r="L3152" s="73"/>
      <c r="M3152" s="73"/>
      <c r="N3152" s="73"/>
      <c r="O3152" s="73"/>
      <c r="P3152" s="73"/>
      <c r="Q3152" s="73"/>
      <c r="R3152" s="73"/>
      <c r="S3152" s="73"/>
      <c r="T3152" s="73"/>
      <c r="U3152" s="73"/>
      <c r="V3152" s="73"/>
      <c r="W3152" s="73"/>
      <c r="X3152" s="73"/>
      <c r="Y3152" s="73"/>
      <c r="Z3152" s="73"/>
      <c r="AA3152" s="73"/>
      <c r="AB3152" s="73"/>
    </row>
    <row r="3153">
      <c r="A3153" s="73"/>
      <c r="B3153" s="73">
        <v>2871544.676</v>
      </c>
      <c r="C3153" s="73">
        <v>2.59872222861549E8</v>
      </c>
      <c r="D3153" s="73">
        <v>1.16613758696001E8</v>
      </c>
      <c r="E3153" s="73">
        <v>1.53590316112314E7</v>
      </c>
      <c r="F3153" s="73"/>
      <c r="G3153" s="73"/>
      <c r="H3153" s="73"/>
      <c r="I3153" s="73"/>
      <c r="J3153" s="73"/>
      <c r="K3153" s="73"/>
      <c r="L3153" s="73"/>
      <c r="M3153" s="73"/>
      <c r="N3153" s="73"/>
      <c r="O3153" s="73"/>
      <c r="P3153" s="73"/>
      <c r="Q3153" s="73"/>
      <c r="R3153" s="73"/>
      <c r="S3153" s="73"/>
      <c r="T3153" s="73"/>
      <c r="U3153" s="73"/>
      <c r="V3153" s="73"/>
      <c r="W3153" s="73"/>
      <c r="X3153" s="73"/>
      <c r="Y3153" s="73"/>
      <c r="Z3153" s="73"/>
      <c r="AA3153" s="73"/>
      <c r="AB3153" s="73"/>
    </row>
    <row r="3154">
      <c r="A3154" s="73"/>
      <c r="B3154" s="73">
        <v>2875452.375</v>
      </c>
      <c r="C3154" s="73">
        <v>2.60096680455315E8</v>
      </c>
      <c r="D3154" s="73">
        <v>1.16738432659994E8</v>
      </c>
      <c r="E3154" s="73">
        <v>1.53763698170234E7</v>
      </c>
      <c r="F3154" s="73"/>
      <c r="G3154" s="73"/>
      <c r="H3154" s="73"/>
      <c r="I3154" s="73"/>
      <c r="J3154" s="73"/>
      <c r="K3154" s="73"/>
      <c r="L3154" s="73"/>
      <c r="M3154" s="73"/>
      <c r="N3154" s="73"/>
      <c r="O3154" s="73"/>
      <c r="P3154" s="73"/>
      <c r="Q3154" s="73"/>
      <c r="R3154" s="73"/>
      <c r="S3154" s="73"/>
      <c r="T3154" s="73"/>
      <c r="U3154" s="73"/>
      <c r="V3154" s="73"/>
      <c r="W3154" s="73"/>
      <c r="X3154" s="73"/>
      <c r="Y3154" s="73"/>
      <c r="Z3154" s="73"/>
      <c r="AA3154" s="73"/>
      <c r="AB3154" s="73"/>
    </row>
    <row r="3155">
      <c r="A3155" s="73"/>
      <c r="B3155" s="73">
        <v>2879365.575</v>
      </c>
      <c r="C3155" s="73">
        <v>2.60321253409077E8</v>
      </c>
      <c r="D3155" s="73">
        <v>1.16863179143995E8</v>
      </c>
      <c r="E3155" s="73">
        <v>1.53937236853747E7</v>
      </c>
      <c r="F3155" s="73"/>
      <c r="G3155" s="73"/>
      <c r="H3155" s="73"/>
      <c r="I3155" s="73"/>
      <c r="J3155" s="73"/>
      <c r="K3155" s="73"/>
      <c r="L3155" s="73"/>
      <c r="M3155" s="73"/>
      <c r="N3155" s="73"/>
      <c r="O3155" s="73"/>
      <c r="P3155" s="73"/>
      <c r="Q3155" s="73"/>
      <c r="R3155" s="73"/>
      <c r="S3155" s="73"/>
      <c r="T3155" s="73"/>
      <c r="U3155" s="73"/>
      <c r="V3155" s="73"/>
      <c r="W3155" s="73"/>
      <c r="X3155" s="73"/>
      <c r="Y3155" s="73"/>
      <c r="Z3155" s="73"/>
      <c r="AA3155" s="73"/>
      <c r="AB3155" s="73"/>
    </row>
    <row r="3156">
      <c r="A3156" s="73"/>
      <c r="B3156" s="73">
        <v>2883284.278</v>
      </c>
      <c r="C3156" s="73">
        <v>2.60545958202835E8</v>
      </c>
      <c r="D3156" s="73">
        <v>1.16988028715996E8</v>
      </c>
      <c r="E3156" s="73">
        <v>1.5411094093117E7</v>
      </c>
      <c r="F3156" s="73"/>
      <c r="G3156" s="73"/>
      <c r="H3156" s="73"/>
      <c r="I3156" s="73"/>
      <c r="J3156" s="73"/>
      <c r="K3156" s="73"/>
      <c r="L3156" s="73"/>
      <c r="M3156" s="73"/>
      <c r="N3156" s="73"/>
      <c r="O3156" s="73"/>
      <c r="P3156" s="73"/>
      <c r="Q3156" s="73"/>
      <c r="R3156" s="73"/>
      <c r="S3156" s="73"/>
      <c r="T3156" s="73"/>
      <c r="U3156" s="73"/>
      <c r="V3156" s="73"/>
      <c r="W3156" s="73"/>
      <c r="X3156" s="73"/>
      <c r="Y3156" s="73"/>
      <c r="Z3156" s="73"/>
      <c r="AA3156" s="73"/>
      <c r="AB3156" s="73"/>
    </row>
    <row r="3157">
      <c r="A3157" s="73"/>
      <c r="B3157" s="73">
        <v>2887208.311</v>
      </c>
      <c r="C3157" s="73">
        <v>2.60770761876591E8</v>
      </c>
      <c r="D3157" s="73">
        <v>1.17112950799997E8</v>
      </c>
      <c r="E3157" s="73">
        <v>1.54284803436184E7</v>
      </c>
      <c r="F3157" s="73"/>
      <c r="G3157" s="73"/>
      <c r="H3157" s="73"/>
      <c r="I3157" s="73"/>
      <c r="J3157" s="73"/>
      <c r="K3157" s="73"/>
      <c r="L3157" s="73"/>
      <c r="M3157" s="73"/>
      <c r="N3157" s="73"/>
      <c r="O3157" s="73"/>
      <c r="P3157" s="73"/>
      <c r="Q3157" s="73"/>
      <c r="R3157" s="73"/>
      <c r="S3157" s="73"/>
      <c r="T3157" s="73"/>
      <c r="U3157" s="73"/>
      <c r="V3157" s="73"/>
      <c r="W3157" s="73"/>
      <c r="X3157" s="73"/>
      <c r="Y3157" s="73"/>
      <c r="Z3157" s="73"/>
      <c r="AA3157" s="73"/>
      <c r="AB3157" s="73"/>
    </row>
    <row r="3158">
      <c r="A3158" s="73"/>
      <c r="B3158" s="73">
        <v>2891137.837</v>
      </c>
      <c r="C3158" s="73">
        <v>2.60995713870342E8</v>
      </c>
      <c r="D3158" s="73">
        <v>1.17237955571998E8</v>
      </c>
      <c r="E3158" s="73">
        <v>1.5445882648879E7</v>
      </c>
      <c r="F3158" s="73"/>
      <c r="G3158" s="73"/>
      <c r="H3158" s="73"/>
      <c r="I3158" s="73"/>
      <c r="J3158" s="73"/>
      <c r="K3158" s="73"/>
      <c r="L3158" s="73"/>
      <c r="M3158" s="73"/>
      <c r="N3158" s="73"/>
      <c r="O3158" s="73"/>
      <c r="P3158" s="73"/>
      <c r="Q3158" s="73"/>
      <c r="R3158" s="73"/>
      <c r="S3158" s="73"/>
      <c r="T3158" s="73"/>
      <c r="U3158" s="73"/>
      <c r="V3158" s="73"/>
      <c r="W3158" s="73"/>
      <c r="X3158" s="73"/>
      <c r="Y3158" s="73"/>
      <c r="Z3158" s="73"/>
      <c r="AA3158" s="73"/>
      <c r="AB3158" s="73"/>
    </row>
    <row r="3159">
      <c r="A3159" s="73"/>
      <c r="B3159" s="73">
        <v>2895072.798</v>
      </c>
      <c r="C3159" s="73">
        <v>2.61220764744091E8</v>
      </c>
      <c r="D3159" s="73">
        <v>1.17363063423999E8</v>
      </c>
      <c r="E3159" s="73">
        <v>1.54633012815307E7</v>
      </c>
      <c r="F3159" s="73"/>
      <c r="G3159" s="73"/>
      <c r="H3159" s="73"/>
      <c r="I3159" s="73"/>
      <c r="J3159" s="73"/>
      <c r="K3159" s="73"/>
      <c r="L3159" s="73"/>
      <c r="M3159" s="73"/>
      <c r="N3159" s="73"/>
      <c r="O3159" s="73"/>
      <c r="P3159" s="73"/>
      <c r="Q3159" s="73"/>
      <c r="R3159" s="73"/>
      <c r="S3159" s="73"/>
      <c r="T3159" s="73"/>
      <c r="U3159" s="73"/>
      <c r="V3159" s="73"/>
      <c r="W3159" s="73"/>
      <c r="X3159" s="73"/>
      <c r="Y3159" s="73"/>
      <c r="Z3159" s="73"/>
      <c r="AA3159" s="73"/>
      <c r="AB3159" s="73"/>
    </row>
    <row r="3160">
      <c r="A3160" s="73"/>
      <c r="B3160" s="73">
        <v>2899013.28</v>
      </c>
      <c r="C3160" s="73">
        <v>2.61445963937836E8</v>
      </c>
      <c r="D3160" s="73">
        <v>1.17488254036E8</v>
      </c>
      <c r="E3160" s="73">
        <v>1.54807358311416E7</v>
      </c>
      <c r="F3160" s="73"/>
      <c r="G3160" s="73"/>
      <c r="H3160" s="73"/>
      <c r="I3160" s="73"/>
      <c r="J3160" s="73"/>
      <c r="K3160" s="73"/>
      <c r="L3160" s="73"/>
      <c r="M3160" s="73"/>
      <c r="N3160" s="73"/>
      <c r="O3160" s="73"/>
      <c r="P3160" s="73"/>
      <c r="Q3160" s="73"/>
      <c r="R3160" s="73"/>
      <c r="S3160" s="73"/>
      <c r="T3160" s="73"/>
      <c r="U3160" s="73"/>
      <c r="V3160" s="73"/>
      <c r="W3160" s="73"/>
      <c r="X3160" s="73"/>
      <c r="Y3160" s="73"/>
      <c r="Z3160" s="73"/>
      <c r="AA3160" s="73"/>
      <c r="AB3160" s="73"/>
    </row>
    <row r="3161">
      <c r="A3161" s="73"/>
      <c r="B3161" s="73">
        <v>2902959.259</v>
      </c>
      <c r="C3161" s="73">
        <v>2.61671278491577E8</v>
      </c>
      <c r="D3161" s="73">
        <v>1.17613516936001E8</v>
      </c>
      <c r="E3161" s="73">
        <v>1.54981859161116E7</v>
      </c>
      <c r="F3161" s="73"/>
      <c r="G3161" s="73"/>
      <c r="H3161" s="73"/>
      <c r="I3161" s="73"/>
      <c r="J3161" s="73"/>
      <c r="K3161" s="73"/>
      <c r="L3161" s="73"/>
      <c r="M3161" s="73"/>
      <c r="N3161" s="73"/>
      <c r="O3161" s="73"/>
      <c r="P3161" s="73"/>
      <c r="Q3161" s="73"/>
      <c r="R3161" s="73"/>
      <c r="S3161" s="73"/>
      <c r="T3161" s="73"/>
      <c r="U3161" s="73"/>
      <c r="V3161" s="73"/>
      <c r="W3161" s="73"/>
      <c r="X3161" s="73"/>
      <c r="Y3161" s="73"/>
      <c r="Z3161" s="73"/>
      <c r="AA3161" s="73"/>
      <c r="AB3161" s="73"/>
    </row>
    <row r="3162">
      <c r="A3162" s="73"/>
      <c r="B3162" s="73">
        <v>2906910.542</v>
      </c>
      <c r="C3162" s="73">
        <v>2.61896691925316E8</v>
      </c>
      <c r="D3162" s="73">
        <v>1.17738883147994E8</v>
      </c>
      <c r="E3162" s="73">
        <v>1.55156537989047E7</v>
      </c>
      <c r="F3162" s="73"/>
      <c r="G3162" s="73"/>
      <c r="H3162" s="73"/>
      <c r="I3162" s="73"/>
      <c r="J3162" s="73"/>
      <c r="K3162" s="73"/>
      <c r="L3162" s="73"/>
      <c r="M3162" s="73"/>
      <c r="N3162" s="73"/>
      <c r="O3162" s="73"/>
      <c r="P3162" s="73"/>
      <c r="Q3162" s="73"/>
      <c r="R3162" s="73"/>
      <c r="S3162" s="73"/>
      <c r="T3162" s="73"/>
      <c r="U3162" s="73"/>
      <c r="V3162" s="73"/>
      <c r="W3162" s="73"/>
      <c r="X3162" s="73"/>
      <c r="Y3162" s="73"/>
      <c r="Z3162" s="73"/>
      <c r="AA3162" s="73"/>
      <c r="AB3162" s="73"/>
    </row>
    <row r="3163">
      <c r="A3163" s="73"/>
      <c r="B3163" s="73">
        <v>2910867.48</v>
      </c>
      <c r="C3163" s="73">
        <v>2.6212225367905E8</v>
      </c>
      <c r="D3163" s="73">
        <v>1.17864331967995E8</v>
      </c>
      <c r="E3163" s="73">
        <v>1.55331365204249E7</v>
      </c>
      <c r="F3163" s="73"/>
      <c r="G3163" s="73"/>
      <c r="H3163" s="73"/>
      <c r="I3163" s="73"/>
      <c r="J3163" s="73"/>
      <c r="K3163" s="73"/>
      <c r="L3163" s="73"/>
      <c r="M3163" s="73"/>
      <c r="N3163" s="73"/>
      <c r="O3163" s="73"/>
      <c r="P3163" s="73"/>
      <c r="Q3163" s="73"/>
      <c r="R3163" s="73"/>
      <c r="S3163" s="73"/>
      <c r="T3163" s="73"/>
      <c r="U3163" s="73"/>
      <c r="V3163" s="73"/>
      <c r="W3163" s="73"/>
      <c r="X3163" s="73"/>
      <c r="Y3163" s="73"/>
      <c r="Z3163" s="73"/>
      <c r="AA3163" s="73"/>
      <c r="AB3163" s="73"/>
    </row>
    <row r="3164">
      <c r="A3164" s="73"/>
      <c r="B3164" s="73">
        <v>2914829.823</v>
      </c>
      <c r="C3164" s="73">
        <v>2.62347930792782E8</v>
      </c>
      <c r="D3164" s="73">
        <v>1.17989863547996E8</v>
      </c>
      <c r="E3164" s="73">
        <v>1.55506349045043E7</v>
      </c>
      <c r="F3164" s="73"/>
      <c r="G3164" s="73"/>
      <c r="H3164" s="73"/>
      <c r="I3164" s="73"/>
      <c r="J3164" s="73"/>
      <c r="K3164" s="73"/>
      <c r="L3164" s="73"/>
      <c r="M3164" s="73"/>
      <c r="N3164" s="73"/>
      <c r="O3164" s="73"/>
      <c r="P3164" s="73"/>
      <c r="Q3164" s="73"/>
      <c r="R3164" s="73"/>
      <c r="S3164" s="73"/>
      <c r="T3164" s="73"/>
      <c r="U3164" s="73"/>
      <c r="V3164" s="73"/>
      <c r="W3164" s="73"/>
      <c r="X3164" s="73"/>
      <c r="Y3164" s="73"/>
      <c r="Z3164" s="73"/>
      <c r="AA3164" s="73"/>
      <c r="AB3164" s="73"/>
    </row>
    <row r="3165">
      <c r="A3165" s="73"/>
      <c r="B3165" s="73">
        <v>2918797.639</v>
      </c>
      <c r="C3165" s="73">
        <v>2.6257373974651E8</v>
      </c>
      <c r="D3165" s="73">
        <v>1.18115477727997E8</v>
      </c>
      <c r="E3165" s="73">
        <v>1.55681503155748E7</v>
      </c>
      <c r="F3165" s="73"/>
      <c r="G3165" s="73"/>
      <c r="H3165" s="73"/>
      <c r="I3165" s="73"/>
      <c r="J3165" s="73"/>
      <c r="K3165" s="73"/>
      <c r="L3165" s="73"/>
      <c r="M3165" s="73"/>
      <c r="N3165" s="73"/>
      <c r="O3165" s="73"/>
      <c r="P3165" s="73"/>
      <c r="Q3165" s="73"/>
      <c r="R3165" s="73"/>
      <c r="S3165" s="73"/>
      <c r="T3165" s="73"/>
      <c r="U3165" s="73"/>
      <c r="V3165" s="73"/>
      <c r="W3165" s="73"/>
      <c r="X3165" s="73"/>
      <c r="Y3165" s="73"/>
      <c r="Z3165" s="73"/>
      <c r="AA3165" s="73"/>
      <c r="AB3165" s="73"/>
    </row>
    <row r="3166">
      <c r="A3166" s="73"/>
      <c r="B3166" s="73">
        <v>2922770.96</v>
      </c>
      <c r="C3166" s="73">
        <v>2.62799631100235E8</v>
      </c>
      <c r="D3166" s="73">
        <v>1.18241184835998E8</v>
      </c>
      <c r="E3166" s="73">
        <v>1.55856814104045E7</v>
      </c>
      <c r="F3166" s="73"/>
      <c r="G3166" s="73"/>
      <c r="H3166" s="73"/>
      <c r="I3166" s="73"/>
      <c r="J3166" s="73"/>
      <c r="K3166" s="73"/>
      <c r="L3166" s="73"/>
      <c r="M3166" s="73"/>
      <c r="N3166" s="73"/>
      <c r="O3166" s="73"/>
      <c r="P3166" s="73"/>
      <c r="Q3166" s="73"/>
      <c r="R3166" s="73"/>
      <c r="S3166" s="73"/>
      <c r="T3166" s="73"/>
      <c r="U3166" s="73"/>
      <c r="V3166" s="73"/>
      <c r="W3166" s="73"/>
      <c r="X3166" s="73"/>
      <c r="Y3166" s="73"/>
      <c r="Z3166" s="73"/>
      <c r="AA3166" s="73"/>
      <c r="AB3166" s="73"/>
    </row>
    <row r="3167">
      <c r="A3167" s="73"/>
      <c r="B3167" s="73">
        <v>2926749.686</v>
      </c>
      <c r="C3167" s="73">
        <v>2.63025703733955E8</v>
      </c>
      <c r="D3167" s="73">
        <v>1.18366974615998E8</v>
      </c>
      <c r="E3167" s="73">
        <v>1.56032285994253E7</v>
      </c>
      <c r="F3167" s="73"/>
      <c r="G3167" s="73"/>
      <c r="H3167" s="73"/>
      <c r="I3167" s="73"/>
      <c r="J3167" s="73"/>
      <c r="K3167" s="73"/>
      <c r="L3167" s="73"/>
      <c r="M3167" s="73"/>
      <c r="N3167" s="73"/>
      <c r="O3167" s="73"/>
      <c r="P3167" s="73"/>
      <c r="Q3167" s="73"/>
      <c r="R3167" s="73"/>
      <c r="S3167" s="73"/>
      <c r="T3167" s="73"/>
      <c r="U3167" s="73"/>
      <c r="V3167" s="73"/>
      <c r="W3167" s="73"/>
      <c r="X3167" s="73"/>
      <c r="Y3167" s="73"/>
      <c r="Z3167" s="73"/>
      <c r="AA3167" s="73"/>
      <c r="AB3167" s="73"/>
    </row>
    <row r="3168">
      <c r="A3168" s="73"/>
      <c r="B3168" s="73">
        <v>2930734.064</v>
      </c>
      <c r="C3168" s="73">
        <v>2.63251858767673E8</v>
      </c>
      <c r="D3168" s="73">
        <v>1.18492857323999E8</v>
      </c>
      <c r="E3168" s="73">
        <v>1.56207924580051E7</v>
      </c>
      <c r="F3168" s="73"/>
      <c r="G3168" s="73"/>
      <c r="H3168" s="73"/>
      <c r="I3168" s="73"/>
      <c r="J3168" s="73"/>
      <c r="K3168" s="73"/>
      <c r="L3168" s="73"/>
      <c r="M3168" s="73"/>
      <c r="N3168" s="73"/>
      <c r="O3168" s="73"/>
      <c r="P3168" s="73"/>
      <c r="Q3168" s="73"/>
      <c r="R3168" s="73"/>
      <c r="S3168" s="73"/>
      <c r="T3168" s="73"/>
      <c r="U3168" s="73"/>
      <c r="V3168" s="73"/>
      <c r="W3168" s="73"/>
      <c r="X3168" s="73"/>
      <c r="Y3168" s="73"/>
      <c r="Z3168" s="73"/>
      <c r="AA3168" s="73"/>
      <c r="AB3168" s="73"/>
    </row>
    <row r="3169">
      <c r="A3169" s="73"/>
      <c r="B3169" s="73">
        <v>2934723.837</v>
      </c>
      <c r="C3169" s="73">
        <v>2.63478145641388E8</v>
      </c>
      <c r="D3169" s="73">
        <v>1.18618822712E8</v>
      </c>
      <c r="E3169" s="73">
        <v>1.56383725167761E7</v>
      </c>
      <c r="F3169" s="73"/>
      <c r="G3169" s="73"/>
      <c r="H3169" s="73"/>
      <c r="I3169" s="73"/>
      <c r="J3169" s="73"/>
      <c r="K3169" s="73"/>
      <c r="L3169" s="73"/>
      <c r="M3169" s="73"/>
      <c r="N3169" s="73"/>
      <c r="O3169" s="73"/>
      <c r="P3169" s="73"/>
      <c r="Q3169" s="73"/>
      <c r="R3169" s="73"/>
      <c r="S3169" s="73"/>
      <c r="T3169" s="73"/>
      <c r="U3169" s="73"/>
      <c r="V3169" s="73"/>
      <c r="W3169" s="73"/>
      <c r="X3169" s="73"/>
      <c r="Y3169" s="73"/>
      <c r="Z3169" s="73"/>
      <c r="AA3169" s="73"/>
      <c r="AB3169" s="73"/>
    </row>
    <row r="3170">
      <c r="A3170" s="73"/>
      <c r="B3170" s="73">
        <v>2938719.222</v>
      </c>
      <c r="C3170" s="73">
        <v>2.63704580835098E8</v>
      </c>
      <c r="D3170" s="73">
        <v>1.18744881099994E8</v>
      </c>
      <c r="E3170" s="73">
        <v>1.56559679018743E7</v>
      </c>
      <c r="F3170" s="73"/>
      <c r="G3170" s="73"/>
      <c r="H3170" s="73"/>
      <c r="I3170" s="73"/>
      <c r="J3170" s="73"/>
      <c r="K3170" s="73"/>
      <c r="L3170" s="73"/>
      <c r="M3170" s="73"/>
      <c r="N3170" s="73"/>
      <c r="O3170" s="73"/>
      <c r="P3170" s="73"/>
      <c r="Q3170" s="73"/>
      <c r="R3170" s="73"/>
      <c r="S3170" s="73"/>
      <c r="T3170" s="73"/>
      <c r="U3170" s="73"/>
      <c r="V3170" s="73"/>
      <c r="W3170" s="73"/>
      <c r="X3170" s="73"/>
      <c r="Y3170" s="73"/>
      <c r="Z3170" s="73"/>
      <c r="AA3170" s="73"/>
      <c r="AB3170" s="73"/>
    </row>
    <row r="3171">
      <c r="A3171" s="73"/>
      <c r="B3171" s="73">
        <v>2942719.991</v>
      </c>
      <c r="C3171" s="73">
        <v>2.63931114908806E8</v>
      </c>
      <c r="D3171" s="73">
        <v>1.18871022087995E8</v>
      </c>
      <c r="E3171" s="73">
        <v>1.56735794871636E7</v>
      </c>
      <c r="F3171" s="73"/>
      <c r="G3171" s="73"/>
      <c r="H3171" s="73"/>
      <c r="I3171" s="73"/>
      <c r="J3171" s="73"/>
      <c r="K3171" s="73"/>
      <c r="L3171" s="73"/>
      <c r="M3171" s="73"/>
      <c r="N3171" s="73"/>
      <c r="O3171" s="73"/>
      <c r="P3171" s="73"/>
      <c r="Q3171" s="73"/>
      <c r="R3171" s="73"/>
      <c r="S3171" s="73"/>
      <c r="T3171" s="73"/>
      <c r="U3171" s="73"/>
      <c r="V3171" s="73"/>
      <c r="W3171" s="73"/>
      <c r="X3171" s="73"/>
      <c r="Y3171" s="73"/>
      <c r="Z3171" s="73"/>
      <c r="AA3171" s="73"/>
      <c r="AB3171" s="73"/>
    </row>
    <row r="3172">
      <c r="A3172" s="73"/>
      <c r="B3172" s="73">
        <v>2946726.302</v>
      </c>
      <c r="C3172" s="73">
        <v>2.6415776434251E8</v>
      </c>
      <c r="D3172" s="73">
        <v>1.18997256003995E8</v>
      </c>
      <c r="E3172" s="73">
        <v>1.5691208406844E7</v>
      </c>
      <c r="F3172" s="73"/>
      <c r="G3172" s="73"/>
      <c r="H3172" s="73"/>
      <c r="I3172" s="73"/>
      <c r="J3172" s="73"/>
      <c r="K3172" s="73"/>
      <c r="L3172" s="73"/>
      <c r="M3172" s="73"/>
      <c r="N3172" s="73"/>
      <c r="O3172" s="73"/>
      <c r="P3172" s="73"/>
      <c r="Q3172" s="73"/>
      <c r="R3172" s="73"/>
      <c r="S3172" s="73"/>
      <c r="T3172" s="73"/>
      <c r="U3172" s="73"/>
      <c r="V3172" s="73"/>
      <c r="W3172" s="73"/>
      <c r="X3172" s="73"/>
      <c r="Y3172" s="73"/>
      <c r="Z3172" s="73"/>
      <c r="AA3172" s="73"/>
      <c r="AB3172" s="73"/>
    </row>
    <row r="3173">
      <c r="A3173" s="73"/>
      <c r="B3173" s="73">
        <v>2950738.28</v>
      </c>
      <c r="C3173" s="73">
        <v>2.6438456209621E8</v>
      </c>
      <c r="D3173" s="73">
        <v>1.19123572591996E8</v>
      </c>
      <c r="E3173" s="73">
        <v>1.57088522394515E7</v>
      </c>
      <c r="F3173" s="73"/>
      <c r="G3173" s="73"/>
      <c r="H3173" s="73"/>
      <c r="I3173" s="73"/>
      <c r="J3173" s="73"/>
      <c r="K3173" s="73"/>
      <c r="L3173" s="73"/>
      <c r="M3173" s="73"/>
      <c r="N3173" s="73"/>
      <c r="O3173" s="73"/>
      <c r="P3173" s="73"/>
      <c r="Q3173" s="73"/>
      <c r="R3173" s="73"/>
      <c r="S3173" s="73"/>
      <c r="T3173" s="73"/>
      <c r="U3173" s="73"/>
      <c r="V3173" s="73"/>
      <c r="W3173" s="73"/>
      <c r="X3173" s="73"/>
      <c r="Y3173" s="73"/>
      <c r="Z3173" s="73"/>
      <c r="AA3173" s="73"/>
      <c r="AB3173" s="73"/>
    </row>
    <row r="3174">
      <c r="A3174" s="73"/>
      <c r="B3174" s="73">
        <v>2954755.582</v>
      </c>
      <c r="C3174" s="73">
        <v>2.64611458729908E8</v>
      </c>
      <c r="D3174" s="73">
        <v>1.19249971867997E8</v>
      </c>
      <c r="E3174" s="73">
        <v>1.57265130112822E7</v>
      </c>
      <c r="F3174" s="73"/>
      <c r="G3174" s="73"/>
      <c r="H3174" s="73"/>
      <c r="I3174" s="73"/>
      <c r="J3174" s="73"/>
      <c r="K3174" s="73"/>
      <c r="L3174" s="73"/>
      <c r="M3174" s="73"/>
      <c r="N3174" s="73"/>
      <c r="O3174" s="73"/>
      <c r="P3174" s="73"/>
      <c r="Q3174" s="73"/>
      <c r="R3174" s="73"/>
      <c r="S3174" s="73"/>
      <c r="T3174" s="73"/>
      <c r="U3174" s="73"/>
      <c r="V3174" s="73"/>
      <c r="W3174" s="73"/>
      <c r="X3174" s="73"/>
      <c r="Y3174" s="73"/>
      <c r="Z3174" s="73"/>
      <c r="AA3174" s="73"/>
      <c r="AB3174" s="73"/>
    </row>
    <row r="3175">
      <c r="A3175" s="73"/>
      <c r="B3175" s="73">
        <v>2958778.457</v>
      </c>
      <c r="C3175" s="73">
        <v>2.64838487203602E8</v>
      </c>
      <c r="D3175" s="73">
        <v>1.19376453823998E8</v>
      </c>
      <c r="E3175" s="73">
        <v>1.574418960764E7</v>
      </c>
      <c r="F3175" s="73"/>
      <c r="G3175" s="73"/>
      <c r="H3175" s="73"/>
      <c r="I3175" s="73"/>
      <c r="J3175" s="73"/>
      <c r="K3175" s="73"/>
      <c r="L3175" s="73"/>
      <c r="M3175" s="73"/>
      <c r="N3175" s="73"/>
      <c r="O3175" s="73"/>
      <c r="P3175" s="73"/>
      <c r="Q3175" s="73"/>
      <c r="R3175" s="73"/>
      <c r="S3175" s="73"/>
      <c r="T3175" s="73"/>
      <c r="U3175" s="73"/>
      <c r="V3175" s="73"/>
      <c r="W3175" s="73"/>
      <c r="X3175" s="73"/>
      <c r="Y3175" s="73"/>
      <c r="Z3175" s="73"/>
      <c r="AA3175" s="73"/>
      <c r="AB3175" s="73"/>
    </row>
    <row r="3176">
      <c r="A3176" s="73"/>
      <c r="B3176" s="73">
        <v>2962806.911</v>
      </c>
      <c r="C3176" s="73">
        <v>2.65065631037292E8</v>
      </c>
      <c r="D3176" s="73">
        <v>1.19503038947999E8</v>
      </c>
      <c r="E3176" s="73">
        <v>1.57618824253889E7</v>
      </c>
      <c r="F3176" s="73"/>
      <c r="G3176" s="73"/>
      <c r="H3176" s="73"/>
      <c r="I3176" s="73"/>
      <c r="J3176" s="73"/>
      <c r="K3176" s="73"/>
      <c r="L3176" s="73"/>
      <c r="M3176" s="73"/>
      <c r="N3176" s="73"/>
      <c r="O3176" s="73"/>
      <c r="P3176" s="73"/>
      <c r="Q3176" s="73"/>
      <c r="R3176" s="73"/>
      <c r="S3176" s="73"/>
      <c r="T3176" s="73"/>
      <c r="U3176" s="73"/>
      <c r="V3176" s="73"/>
      <c r="W3176" s="73"/>
      <c r="X3176" s="73"/>
      <c r="Y3176" s="73"/>
      <c r="Z3176" s="73"/>
      <c r="AA3176" s="73"/>
      <c r="AB3176" s="73"/>
    </row>
    <row r="3177">
      <c r="A3177" s="73"/>
      <c r="B3177" s="73">
        <v>2966840.868</v>
      </c>
      <c r="C3177" s="73">
        <v>2.65292906710979E8</v>
      </c>
      <c r="D3177" s="73">
        <v>1.19629696504E8</v>
      </c>
      <c r="E3177" s="73">
        <v>1.57795918461289E7</v>
      </c>
      <c r="F3177" s="73"/>
      <c r="G3177" s="73"/>
      <c r="H3177" s="73"/>
      <c r="I3177" s="73"/>
      <c r="J3177" s="73"/>
      <c r="K3177" s="73"/>
      <c r="L3177" s="73"/>
      <c r="M3177" s="73"/>
      <c r="N3177" s="73"/>
      <c r="O3177" s="73"/>
      <c r="P3177" s="73"/>
      <c r="Q3177" s="73"/>
      <c r="R3177" s="73"/>
      <c r="S3177" s="73"/>
      <c r="T3177" s="73"/>
      <c r="U3177" s="73"/>
      <c r="V3177" s="73"/>
      <c r="W3177" s="73"/>
      <c r="X3177" s="73"/>
      <c r="Y3177" s="73"/>
      <c r="Z3177" s="73"/>
      <c r="AA3177" s="73"/>
      <c r="AB3177" s="73"/>
    </row>
    <row r="3178">
      <c r="A3178" s="73"/>
      <c r="B3178" s="73">
        <v>2970880.448</v>
      </c>
      <c r="C3178" s="73">
        <v>2.65520314224663E8</v>
      </c>
      <c r="D3178" s="73">
        <v>1.19756446988001E8</v>
      </c>
      <c r="E3178" s="73">
        <v>1.5797317501828E7</v>
      </c>
      <c r="F3178" s="73"/>
      <c r="G3178" s="73"/>
      <c r="H3178" s="73"/>
      <c r="I3178" s="73"/>
      <c r="J3178" s="73"/>
      <c r="K3178" s="73"/>
      <c r="L3178" s="73"/>
      <c r="M3178" s="73"/>
      <c r="N3178" s="73"/>
      <c r="O3178" s="73"/>
      <c r="P3178" s="73"/>
      <c r="Q3178" s="73"/>
      <c r="R3178" s="73"/>
      <c r="S3178" s="73"/>
      <c r="T3178" s="73"/>
      <c r="U3178" s="73"/>
      <c r="V3178" s="73"/>
      <c r="W3178" s="73"/>
      <c r="X3178" s="73"/>
      <c r="Y3178" s="73"/>
      <c r="Z3178" s="73"/>
      <c r="AA3178" s="73"/>
      <c r="AB3178" s="73"/>
    </row>
    <row r="3179">
      <c r="A3179" s="73"/>
      <c r="B3179" s="73">
        <v>2974925.513</v>
      </c>
      <c r="C3179" s="73">
        <v>2.65747820618343E8</v>
      </c>
      <c r="D3179" s="73">
        <v>1.19883290383994E8</v>
      </c>
      <c r="E3179" s="73">
        <v>1.58150589684863E7</v>
      </c>
      <c r="F3179" s="73"/>
      <c r="G3179" s="73"/>
      <c r="H3179" s="73"/>
      <c r="I3179" s="73"/>
      <c r="J3179" s="73"/>
      <c r="K3179" s="73"/>
      <c r="L3179" s="73"/>
      <c r="M3179" s="73"/>
      <c r="N3179" s="73"/>
      <c r="O3179" s="73"/>
      <c r="P3179" s="73"/>
      <c r="Q3179" s="73"/>
      <c r="R3179" s="73"/>
      <c r="S3179" s="73"/>
      <c r="T3179" s="73"/>
      <c r="U3179" s="73"/>
      <c r="V3179" s="73"/>
      <c r="W3179" s="73"/>
      <c r="X3179" s="73"/>
      <c r="Y3179" s="73"/>
      <c r="Z3179" s="73"/>
      <c r="AA3179" s="73"/>
      <c r="AB3179" s="73"/>
    </row>
    <row r="3180">
      <c r="A3180" s="73"/>
      <c r="B3180" s="73">
        <v>2978976.124</v>
      </c>
      <c r="C3180" s="73">
        <v>2.65975491812019E8</v>
      </c>
      <c r="D3180" s="73">
        <v>1.20010206227995E8</v>
      </c>
      <c r="E3180" s="73">
        <v>1.58328162991038E7</v>
      </c>
      <c r="F3180" s="73"/>
      <c r="G3180" s="73"/>
      <c r="H3180" s="73"/>
      <c r="I3180" s="73"/>
      <c r="J3180" s="73"/>
      <c r="K3180" s="73"/>
      <c r="L3180" s="73"/>
      <c r="M3180" s="73"/>
      <c r="N3180" s="73"/>
      <c r="O3180" s="73"/>
      <c r="P3180" s="73"/>
      <c r="Q3180" s="73"/>
      <c r="R3180" s="73"/>
      <c r="S3180" s="73"/>
      <c r="T3180" s="73"/>
      <c r="U3180" s="73"/>
      <c r="V3180" s="73"/>
      <c r="W3180" s="73"/>
      <c r="X3180" s="73"/>
      <c r="Y3180" s="73"/>
      <c r="Z3180" s="73"/>
      <c r="AA3180" s="73"/>
      <c r="AB3180" s="73"/>
    </row>
    <row r="3181">
      <c r="A3181" s="73"/>
      <c r="B3181" s="73">
        <v>2983032.276</v>
      </c>
      <c r="C3181" s="73">
        <v>2.66203245405693E8</v>
      </c>
      <c r="D3181" s="73">
        <v>1.20137225231996E8</v>
      </c>
      <c r="E3181" s="73">
        <v>1.58505910035442E7</v>
      </c>
      <c r="F3181" s="73"/>
      <c r="G3181" s="73"/>
      <c r="H3181" s="73"/>
      <c r="I3181" s="73"/>
      <c r="J3181" s="73"/>
      <c r="K3181" s="73"/>
      <c r="L3181" s="73"/>
      <c r="M3181" s="73"/>
      <c r="N3181" s="73"/>
      <c r="O3181" s="73"/>
      <c r="P3181" s="73"/>
      <c r="Q3181" s="73"/>
      <c r="R3181" s="73"/>
      <c r="S3181" s="73"/>
      <c r="T3181" s="73"/>
      <c r="U3181" s="73"/>
      <c r="V3181" s="73"/>
      <c r="W3181" s="73"/>
      <c r="X3181" s="73"/>
      <c r="Y3181" s="73"/>
      <c r="Z3181" s="73"/>
      <c r="AA3181" s="73"/>
      <c r="AB3181" s="73"/>
    </row>
    <row r="3182">
      <c r="A3182" s="73"/>
      <c r="B3182" s="73">
        <v>2987094.008</v>
      </c>
      <c r="C3182" s="73">
        <v>2.66431130839363E8</v>
      </c>
      <c r="D3182" s="73">
        <v>1.20264326923997E8</v>
      </c>
      <c r="E3182" s="73">
        <v>1.58683809601119E7</v>
      </c>
      <c r="F3182" s="73"/>
      <c r="G3182" s="73"/>
      <c r="H3182" s="73"/>
      <c r="I3182" s="73"/>
      <c r="J3182" s="73"/>
      <c r="K3182" s="73"/>
      <c r="L3182" s="73"/>
      <c r="M3182" s="73"/>
      <c r="N3182" s="73"/>
      <c r="O3182" s="73"/>
      <c r="P3182" s="73"/>
      <c r="Q3182" s="73"/>
      <c r="R3182" s="73"/>
      <c r="S3182" s="73"/>
      <c r="T3182" s="73"/>
      <c r="U3182" s="73"/>
      <c r="V3182" s="73"/>
      <c r="W3182" s="73"/>
      <c r="X3182" s="73"/>
      <c r="Y3182" s="73"/>
      <c r="Z3182" s="73"/>
      <c r="AA3182" s="73"/>
      <c r="AB3182" s="73"/>
    </row>
    <row r="3183">
      <c r="A3183" s="73"/>
      <c r="B3183" s="73">
        <v>2991161.245</v>
      </c>
      <c r="C3183" s="73">
        <v>2.66659164593029E8</v>
      </c>
      <c r="D3183" s="73">
        <v>1.20391511287998E8</v>
      </c>
      <c r="E3183" s="73">
        <v>1.58861876574707E7</v>
      </c>
      <c r="F3183" s="73"/>
      <c r="G3183" s="73"/>
      <c r="H3183" s="73"/>
      <c r="I3183" s="73"/>
      <c r="J3183" s="73"/>
      <c r="K3183" s="73"/>
      <c r="L3183" s="73"/>
      <c r="M3183" s="73"/>
      <c r="N3183" s="73"/>
      <c r="O3183" s="73"/>
      <c r="P3183" s="73"/>
      <c r="Q3183" s="73"/>
      <c r="R3183" s="73"/>
      <c r="S3183" s="73"/>
      <c r="T3183" s="73"/>
      <c r="U3183" s="73"/>
      <c r="V3183" s="73"/>
      <c r="W3183" s="73"/>
      <c r="X3183" s="73"/>
      <c r="Y3183" s="73"/>
      <c r="Z3183" s="73"/>
      <c r="AA3183" s="73"/>
      <c r="AB3183" s="73"/>
    </row>
    <row r="3184">
      <c r="A3184" s="73"/>
      <c r="B3184" s="73">
        <v>2995234.195</v>
      </c>
      <c r="C3184" s="73">
        <v>2.66887280746693E8</v>
      </c>
      <c r="D3184" s="73">
        <v>1.20518788579999E8</v>
      </c>
      <c r="E3184" s="73">
        <v>1.59040098613566E7</v>
      </c>
      <c r="F3184" s="73"/>
      <c r="G3184" s="73"/>
      <c r="H3184" s="73"/>
      <c r="I3184" s="73"/>
      <c r="J3184" s="73"/>
      <c r="K3184" s="73"/>
      <c r="L3184" s="73"/>
      <c r="M3184" s="73"/>
      <c r="N3184" s="73"/>
      <c r="O3184" s="73"/>
      <c r="P3184" s="73"/>
      <c r="Q3184" s="73"/>
      <c r="R3184" s="73"/>
      <c r="S3184" s="73"/>
      <c r="T3184" s="73"/>
      <c r="U3184" s="73"/>
      <c r="V3184" s="73"/>
      <c r="W3184" s="73"/>
      <c r="X3184" s="73"/>
      <c r="Y3184" s="73"/>
      <c r="Z3184" s="73"/>
      <c r="AA3184" s="73"/>
      <c r="AB3184" s="73"/>
    </row>
    <row r="3185">
      <c r="A3185" s="73"/>
      <c r="B3185" s="73">
        <v>2999312.619</v>
      </c>
      <c r="C3185" s="73">
        <v>2.67115561700352E8</v>
      </c>
      <c r="D3185" s="73">
        <v>1.20646148624E8</v>
      </c>
      <c r="E3185" s="73">
        <v>1.59218490256656E7</v>
      </c>
      <c r="F3185" s="73"/>
      <c r="G3185" s="73"/>
      <c r="H3185" s="73"/>
      <c r="I3185" s="73"/>
      <c r="J3185" s="73"/>
      <c r="K3185" s="73"/>
      <c r="L3185" s="73"/>
      <c r="M3185" s="73"/>
      <c r="N3185" s="73"/>
      <c r="O3185" s="73"/>
      <c r="P3185" s="73"/>
      <c r="Q3185" s="73"/>
      <c r="R3185" s="73"/>
      <c r="S3185" s="73"/>
      <c r="T3185" s="73"/>
      <c r="U3185" s="73"/>
      <c r="V3185" s="73"/>
      <c r="W3185" s="73"/>
      <c r="X3185" s="73"/>
      <c r="Y3185" s="73"/>
      <c r="Z3185" s="73"/>
      <c r="AA3185" s="73"/>
      <c r="AB3185" s="73"/>
    </row>
    <row r="3186">
      <c r="A3186" s="73"/>
      <c r="B3186" s="73">
        <v>3003396.642</v>
      </c>
      <c r="C3186" s="73">
        <v>2.67343941534008E8</v>
      </c>
      <c r="D3186" s="73">
        <v>1.20773601516001E8</v>
      </c>
      <c r="E3186" s="73">
        <v>1.59397043401338E7</v>
      </c>
      <c r="F3186" s="73"/>
      <c r="G3186" s="73"/>
      <c r="H3186" s="73"/>
      <c r="I3186" s="73"/>
      <c r="J3186" s="73"/>
      <c r="K3186" s="73"/>
      <c r="L3186" s="73"/>
      <c r="M3186" s="73"/>
      <c r="N3186" s="73"/>
      <c r="O3186" s="73"/>
      <c r="P3186" s="73"/>
      <c r="Q3186" s="73"/>
      <c r="R3186" s="73"/>
      <c r="S3186" s="73"/>
      <c r="T3186" s="73"/>
      <c r="U3186" s="73"/>
      <c r="V3186" s="73"/>
      <c r="W3186" s="73"/>
      <c r="X3186" s="73"/>
      <c r="Y3186" s="73"/>
      <c r="Z3186" s="73"/>
      <c r="AA3186" s="73"/>
      <c r="AB3186" s="73"/>
    </row>
    <row r="3187">
      <c r="A3187" s="73"/>
      <c r="B3187" s="73">
        <v>3007486.183</v>
      </c>
      <c r="C3187" s="73">
        <v>2.67572453207661E8</v>
      </c>
      <c r="D3187" s="73">
        <v>1.20901137015994E8</v>
      </c>
      <c r="E3187" s="73">
        <v>1.5957575857761E7</v>
      </c>
      <c r="F3187" s="73"/>
      <c r="G3187" s="73"/>
      <c r="H3187" s="73"/>
      <c r="I3187" s="73"/>
      <c r="J3187" s="73"/>
      <c r="K3187" s="73"/>
      <c r="L3187" s="73"/>
      <c r="M3187" s="73"/>
      <c r="N3187" s="73"/>
      <c r="O3187" s="73"/>
      <c r="P3187" s="73"/>
      <c r="Q3187" s="73"/>
      <c r="R3187" s="73"/>
      <c r="S3187" s="73"/>
      <c r="T3187" s="73"/>
      <c r="U3187" s="73"/>
      <c r="V3187" s="73"/>
      <c r="W3187" s="73"/>
      <c r="X3187" s="73"/>
      <c r="Y3187" s="73"/>
      <c r="Z3187" s="73"/>
      <c r="AA3187" s="73"/>
      <c r="AB3187" s="73"/>
    </row>
    <row r="3188">
      <c r="A3188" s="73"/>
      <c r="B3188" s="73">
        <v>3011581.367</v>
      </c>
      <c r="C3188" s="73">
        <v>2.6780108024131E8</v>
      </c>
      <c r="D3188" s="73">
        <v>1.21028755267995E8</v>
      </c>
      <c r="E3188" s="73">
        <v>1.59754636921794E7</v>
      </c>
      <c r="F3188" s="73"/>
      <c r="G3188" s="73"/>
      <c r="H3188" s="73"/>
      <c r="I3188" s="73"/>
      <c r="J3188" s="73"/>
      <c r="K3188" s="73"/>
      <c r="L3188" s="73"/>
      <c r="M3188" s="73"/>
      <c r="N3188" s="73"/>
      <c r="O3188" s="73"/>
      <c r="P3188" s="73"/>
      <c r="Q3188" s="73"/>
      <c r="R3188" s="73"/>
      <c r="S3188" s="73"/>
      <c r="T3188" s="73"/>
      <c r="U3188" s="73"/>
      <c r="V3188" s="73"/>
      <c r="W3188" s="73"/>
      <c r="X3188" s="73"/>
      <c r="Y3188" s="73"/>
      <c r="Z3188" s="73"/>
      <c r="AA3188" s="73"/>
      <c r="AB3188" s="73"/>
    </row>
    <row r="3189">
      <c r="A3189" s="73"/>
      <c r="B3189" s="73">
        <v>3015682.104</v>
      </c>
      <c r="C3189" s="73">
        <v>2.68029855594955E8</v>
      </c>
      <c r="D3189" s="73">
        <v>1.21156466447996E8</v>
      </c>
      <c r="E3189" s="73">
        <v>1.59933677509569E7</v>
      </c>
      <c r="F3189" s="73"/>
      <c r="G3189" s="73"/>
      <c r="H3189" s="73"/>
      <c r="I3189" s="73"/>
      <c r="J3189" s="73"/>
      <c r="K3189" s="73"/>
      <c r="L3189" s="73"/>
      <c r="M3189" s="73"/>
      <c r="N3189" s="73"/>
      <c r="O3189" s="73"/>
      <c r="P3189" s="73"/>
      <c r="Q3189" s="73"/>
      <c r="R3189" s="73"/>
      <c r="S3189" s="73"/>
      <c r="T3189" s="73"/>
      <c r="U3189" s="73"/>
      <c r="V3189" s="73"/>
      <c r="W3189" s="73"/>
      <c r="X3189" s="73"/>
      <c r="Y3189" s="73"/>
      <c r="Z3189" s="73"/>
      <c r="AA3189" s="73"/>
      <c r="AB3189" s="73"/>
    </row>
    <row r="3190">
      <c r="A3190" s="73"/>
      <c r="B3190" s="73">
        <v>3019788.469</v>
      </c>
      <c r="C3190" s="73">
        <v>2.68258729828598E8</v>
      </c>
      <c r="D3190" s="73">
        <v>1.21284260299997E8</v>
      </c>
      <c r="E3190" s="73">
        <v>1.60112877266936E7</v>
      </c>
      <c r="F3190" s="73"/>
      <c r="G3190" s="73"/>
      <c r="H3190" s="73"/>
      <c r="I3190" s="73"/>
      <c r="J3190" s="73"/>
      <c r="K3190" s="73"/>
      <c r="L3190" s="73"/>
      <c r="M3190" s="73"/>
      <c r="N3190" s="73"/>
      <c r="O3190" s="73"/>
      <c r="P3190" s="73"/>
      <c r="Q3190" s="73"/>
      <c r="R3190" s="73"/>
      <c r="S3190" s="73"/>
      <c r="T3190" s="73"/>
      <c r="U3190" s="73"/>
      <c r="V3190" s="73"/>
      <c r="W3190" s="73"/>
      <c r="X3190" s="73"/>
      <c r="Y3190" s="73"/>
      <c r="Z3190" s="73"/>
      <c r="AA3190" s="73"/>
      <c r="AB3190" s="73"/>
    </row>
    <row r="3191">
      <c r="A3191" s="73"/>
      <c r="B3191" s="73">
        <v>3023900.438</v>
      </c>
      <c r="C3191" s="73">
        <v>2.68487702942238E8</v>
      </c>
      <c r="D3191" s="73">
        <v>1.21412147079998E8</v>
      </c>
      <c r="E3191" s="73">
        <v>1.60292244326213E7</v>
      </c>
      <c r="F3191" s="73"/>
      <c r="G3191" s="73"/>
      <c r="H3191" s="73"/>
      <c r="I3191" s="73"/>
      <c r="J3191" s="73"/>
      <c r="K3191" s="73"/>
      <c r="L3191" s="73"/>
      <c r="M3191" s="73"/>
      <c r="N3191" s="73"/>
      <c r="O3191" s="73"/>
      <c r="P3191" s="73"/>
      <c r="Q3191" s="73"/>
      <c r="R3191" s="73"/>
      <c r="S3191" s="73"/>
      <c r="T3191" s="73"/>
      <c r="U3191" s="73"/>
      <c r="V3191" s="73"/>
      <c r="W3191" s="73"/>
      <c r="X3191" s="73"/>
      <c r="Y3191" s="73"/>
      <c r="Z3191" s="73"/>
      <c r="AA3191" s="73"/>
      <c r="AB3191" s="73"/>
    </row>
    <row r="3192">
      <c r="A3192" s="73"/>
      <c r="B3192" s="73">
        <v>3028017.995</v>
      </c>
      <c r="C3192" s="73">
        <v>2.68716857335873E8</v>
      </c>
      <c r="D3192" s="73">
        <v>1.21540126779998E8</v>
      </c>
      <c r="E3192" s="73">
        <v>1.60471780383402E7</v>
      </c>
      <c r="F3192" s="73"/>
      <c r="G3192" s="73"/>
      <c r="H3192" s="73"/>
      <c r="I3192" s="73"/>
      <c r="J3192" s="73"/>
      <c r="K3192" s="73"/>
      <c r="L3192" s="73"/>
      <c r="M3192" s="73"/>
      <c r="N3192" s="73"/>
      <c r="O3192" s="73"/>
      <c r="P3192" s="73"/>
      <c r="Q3192" s="73"/>
      <c r="R3192" s="73"/>
      <c r="S3192" s="73"/>
      <c r="T3192" s="73"/>
      <c r="U3192" s="73"/>
      <c r="V3192" s="73"/>
      <c r="W3192" s="73"/>
      <c r="X3192" s="73"/>
      <c r="Y3192" s="73"/>
      <c r="Z3192" s="73"/>
      <c r="AA3192" s="73"/>
      <c r="AB3192" s="73"/>
    </row>
    <row r="3193">
      <c r="A3193" s="73"/>
      <c r="B3193" s="73">
        <v>3032141.122</v>
      </c>
      <c r="C3193" s="73">
        <v>2.68946094129505E8</v>
      </c>
      <c r="D3193" s="73">
        <v>1.21668189167999E8</v>
      </c>
      <c r="E3193" s="73">
        <v>1.60651470657862E7</v>
      </c>
      <c r="F3193" s="73"/>
      <c r="G3193" s="73"/>
      <c r="H3193" s="73"/>
      <c r="I3193" s="73"/>
      <c r="J3193" s="73"/>
      <c r="K3193" s="73"/>
      <c r="L3193" s="73"/>
      <c r="M3193" s="73"/>
      <c r="N3193" s="73"/>
      <c r="O3193" s="73"/>
      <c r="P3193" s="73"/>
      <c r="Q3193" s="73"/>
      <c r="R3193" s="73"/>
      <c r="S3193" s="73"/>
      <c r="T3193" s="73"/>
      <c r="U3193" s="73"/>
      <c r="V3193" s="73"/>
      <c r="W3193" s="73"/>
      <c r="X3193" s="73"/>
      <c r="Y3193" s="73"/>
      <c r="Z3193" s="73"/>
      <c r="AA3193" s="73"/>
      <c r="AB3193" s="73"/>
    </row>
    <row r="3194">
      <c r="A3194" s="73"/>
      <c r="B3194" s="73">
        <v>3036269.827</v>
      </c>
      <c r="C3194" s="73">
        <v>2.69175479243134E8</v>
      </c>
      <c r="D3194" s="73">
        <v>1.21796334228E8</v>
      </c>
      <c r="E3194" s="73">
        <v>1.60831323146233E7</v>
      </c>
      <c r="F3194" s="73"/>
      <c r="G3194" s="73"/>
      <c r="H3194" s="73"/>
      <c r="I3194" s="73"/>
      <c r="J3194" s="73"/>
      <c r="K3194" s="73"/>
      <c r="L3194" s="73"/>
      <c r="M3194" s="73"/>
      <c r="N3194" s="73"/>
      <c r="O3194" s="73"/>
      <c r="P3194" s="73"/>
      <c r="Q3194" s="73"/>
      <c r="R3194" s="73"/>
      <c r="S3194" s="73"/>
      <c r="T3194" s="73"/>
      <c r="U3194" s="73"/>
      <c r="V3194" s="73"/>
      <c r="W3194" s="73"/>
      <c r="X3194" s="73"/>
      <c r="Y3194" s="73"/>
      <c r="Z3194" s="73"/>
      <c r="AA3194" s="73"/>
      <c r="AB3194" s="73"/>
    </row>
    <row r="3195">
      <c r="A3195" s="73"/>
      <c r="B3195" s="73">
        <v>3040404.192</v>
      </c>
      <c r="C3195" s="73">
        <v>2.69404963236759E8</v>
      </c>
      <c r="D3195" s="73">
        <v>1.21924572287994E8</v>
      </c>
      <c r="E3195" s="73">
        <v>1.61011344208515E7</v>
      </c>
      <c r="F3195" s="73"/>
      <c r="G3195" s="73"/>
      <c r="H3195" s="73"/>
      <c r="I3195" s="73"/>
      <c r="J3195" s="73"/>
      <c r="K3195" s="73"/>
      <c r="L3195" s="73"/>
      <c r="M3195" s="73"/>
      <c r="N3195" s="73"/>
      <c r="O3195" s="73"/>
      <c r="P3195" s="73"/>
      <c r="Q3195" s="73"/>
      <c r="R3195" s="73"/>
      <c r="S3195" s="73"/>
      <c r="T3195" s="73"/>
      <c r="U3195" s="73"/>
      <c r="V3195" s="73"/>
      <c r="W3195" s="73"/>
      <c r="X3195" s="73"/>
      <c r="Y3195" s="73"/>
      <c r="Z3195" s="73"/>
      <c r="AA3195" s="73"/>
      <c r="AB3195" s="73"/>
    </row>
    <row r="3196">
      <c r="A3196" s="73"/>
      <c r="B3196" s="73">
        <v>3044544.2</v>
      </c>
      <c r="C3196" s="73">
        <v>2.69634595550381E8</v>
      </c>
      <c r="D3196" s="73">
        <v>1.22052892875995E8</v>
      </c>
      <c r="E3196" s="73">
        <v>1.61191520654069E7</v>
      </c>
      <c r="F3196" s="73"/>
      <c r="G3196" s="73"/>
      <c r="H3196" s="73"/>
      <c r="I3196" s="73"/>
      <c r="J3196" s="73"/>
      <c r="K3196" s="73"/>
      <c r="L3196" s="73"/>
      <c r="M3196" s="73"/>
      <c r="N3196" s="73"/>
      <c r="O3196" s="73"/>
      <c r="P3196" s="73"/>
      <c r="Q3196" s="73"/>
      <c r="R3196" s="73"/>
      <c r="S3196" s="73"/>
      <c r="T3196" s="73"/>
      <c r="U3196" s="73"/>
      <c r="V3196" s="73"/>
      <c r="W3196" s="73"/>
      <c r="X3196" s="73"/>
      <c r="Y3196" s="73"/>
      <c r="Z3196" s="73"/>
      <c r="AA3196" s="73"/>
      <c r="AB3196" s="73"/>
    </row>
    <row r="3197">
      <c r="A3197" s="73"/>
      <c r="B3197" s="73">
        <v>3048689.787</v>
      </c>
      <c r="C3197" s="73">
        <v>2.69864326743999E8</v>
      </c>
      <c r="D3197" s="73">
        <v>1.22181306463995E8</v>
      </c>
      <c r="E3197" s="73">
        <v>1.61371872321853E7</v>
      </c>
      <c r="F3197" s="73"/>
      <c r="G3197" s="73"/>
      <c r="H3197" s="73"/>
      <c r="I3197" s="73"/>
      <c r="J3197" s="73"/>
      <c r="K3197" s="73"/>
      <c r="L3197" s="73"/>
      <c r="M3197" s="73"/>
      <c r="N3197" s="73"/>
      <c r="O3197" s="73"/>
      <c r="P3197" s="73"/>
      <c r="Q3197" s="73"/>
      <c r="R3197" s="73"/>
      <c r="S3197" s="73"/>
      <c r="T3197" s="73"/>
      <c r="U3197" s="73"/>
      <c r="V3197" s="73"/>
      <c r="W3197" s="73"/>
      <c r="X3197" s="73"/>
      <c r="Y3197" s="73"/>
      <c r="Z3197" s="73"/>
      <c r="AA3197" s="73"/>
      <c r="AB3197" s="73"/>
    </row>
    <row r="3198">
      <c r="A3198" s="73"/>
      <c r="B3198" s="73">
        <v>3052841.052</v>
      </c>
      <c r="C3198" s="73">
        <v>2.70094189777615E8</v>
      </c>
      <c r="D3198" s="73">
        <v>1.22309802731996E8</v>
      </c>
      <c r="E3198" s="73">
        <v>1.61552375980909E7</v>
      </c>
      <c r="F3198" s="73"/>
      <c r="G3198" s="73"/>
      <c r="H3198" s="73"/>
      <c r="I3198" s="73"/>
      <c r="J3198" s="73"/>
      <c r="K3198" s="73"/>
      <c r="L3198" s="73"/>
      <c r="M3198" s="73"/>
      <c r="N3198" s="73"/>
      <c r="O3198" s="73"/>
      <c r="P3198" s="73"/>
      <c r="Q3198" s="73"/>
      <c r="R3198" s="73"/>
      <c r="S3198" s="73"/>
      <c r="T3198" s="73"/>
      <c r="U3198" s="73"/>
      <c r="V3198" s="73"/>
      <c r="W3198" s="73"/>
      <c r="X3198" s="73"/>
      <c r="Y3198" s="73"/>
      <c r="Z3198" s="73"/>
      <c r="AA3198" s="73"/>
      <c r="AB3198" s="73"/>
    </row>
    <row r="3199">
      <c r="A3199" s="73"/>
      <c r="B3199" s="73">
        <v>3056997.933</v>
      </c>
      <c r="C3199" s="73">
        <v>2.70324201131226E8</v>
      </c>
      <c r="D3199" s="73">
        <v>1.22438391999997E8</v>
      </c>
      <c r="E3199" s="73">
        <v>1.61733049591876E7</v>
      </c>
      <c r="F3199" s="73"/>
      <c r="G3199" s="73"/>
      <c r="H3199" s="73"/>
      <c r="I3199" s="73"/>
      <c r="J3199" s="73"/>
      <c r="K3199" s="73"/>
      <c r="L3199" s="73"/>
      <c r="M3199" s="73"/>
      <c r="N3199" s="73"/>
      <c r="O3199" s="73"/>
      <c r="P3199" s="73"/>
      <c r="Q3199" s="73"/>
      <c r="R3199" s="73"/>
      <c r="S3199" s="73"/>
      <c r="T3199" s="73"/>
      <c r="U3199" s="73"/>
      <c r="V3199" s="73"/>
      <c r="W3199" s="73"/>
      <c r="X3199" s="73"/>
      <c r="Y3199" s="73"/>
      <c r="Z3199" s="73"/>
      <c r="AA3199" s="73"/>
      <c r="AB3199" s="73"/>
    </row>
    <row r="3200">
      <c r="A3200" s="73"/>
      <c r="B3200" s="73">
        <v>3061160.471</v>
      </c>
      <c r="C3200" s="73">
        <v>2.70554311364834E8</v>
      </c>
      <c r="D3200" s="73">
        <v>1.22567063795998E8</v>
      </c>
      <c r="E3200" s="73">
        <v>1.61913886052755E7</v>
      </c>
      <c r="F3200" s="73"/>
      <c r="G3200" s="73"/>
      <c r="H3200" s="73"/>
      <c r="I3200" s="73"/>
      <c r="J3200" s="73"/>
      <c r="K3200" s="73"/>
      <c r="L3200" s="73"/>
      <c r="M3200" s="73"/>
      <c r="N3200" s="73"/>
      <c r="O3200" s="73"/>
      <c r="P3200" s="73"/>
      <c r="Q3200" s="73"/>
      <c r="R3200" s="73"/>
      <c r="S3200" s="73"/>
      <c r="T3200" s="73"/>
      <c r="U3200" s="73"/>
      <c r="V3200" s="73"/>
      <c r="W3200" s="73"/>
      <c r="X3200" s="73"/>
      <c r="Y3200" s="73"/>
      <c r="Z3200" s="73"/>
      <c r="AA3200" s="73"/>
      <c r="AB3200" s="73"/>
    </row>
    <row r="3201">
      <c r="A3201" s="73"/>
      <c r="B3201" s="73">
        <v>3065328.578</v>
      </c>
      <c r="C3201" s="73">
        <v>2.70784553438438E8</v>
      </c>
      <c r="D3201" s="73">
        <v>1.22695828663999E8</v>
      </c>
      <c r="E3201" s="73">
        <v>1.62094888679224E7</v>
      </c>
      <c r="F3201" s="73"/>
      <c r="G3201" s="73"/>
      <c r="H3201" s="73"/>
      <c r="I3201" s="73"/>
      <c r="J3201" s="73"/>
      <c r="K3201" s="73"/>
      <c r="L3201" s="73"/>
      <c r="M3201" s="73"/>
      <c r="N3201" s="73"/>
      <c r="O3201" s="73"/>
      <c r="P3201" s="73"/>
      <c r="Q3201" s="73"/>
      <c r="R3201" s="73"/>
      <c r="S3201" s="73"/>
      <c r="T3201" s="73"/>
      <c r="U3201" s="73"/>
      <c r="V3201" s="73"/>
      <c r="W3201" s="73"/>
      <c r="X3201" s="73"/>
      <c r="Y3201" s="73"/>
      <c r="Z3201" s="73"/>
      <c r="AA3201" s="73"/>
      <c r="AB3201" s="73"/>
    </row>
    <row r="3202">
      <c r="A3202" s="73"/>
      <c r="B3202" s="73">
        <v>3069502.382</v>
      </c>
      <c r="C3202" s="73">
        <v>2.71014927352039E8</v>
      </c>
      <c r="D3202" s="73">
        <v>1.2282467614E8</v>
      </c>
      <c r="E3202" s="73">
        <v>1.62276047825284E7</v>
      </c>
      <c r="F3202" s="73"/>
      <c r="G3202" s="73"/>
      <c r="H3202" s="73"/>
      <c r="I3202" s="73"/>
      <c r="J3202" s="73"/>
      <c r="K3202" s="73"/>
      <c r="L3202" s="73"/>
      <c r="M3202" s="73"/>
      <c r="N3202" s="73"/>
      <c r="O3202" s="73"/>
      <c r="P3202" s="73"/>
      <c r="Q3202" s="73"/>
      <c r="R3202" s="73"/>
      <c r="S3202" s="73"/>
      <c r="T3202" s="73"/>
      <c r="U3202" s="73"/>
      <c r="V3202" s="73"/>
      <c r="W3202" s="73"/>
      <c r="X3202" s="73"/>
      <c r="Y3202" s="73"/>
      <c r="Z3202" s="73"/>
      <c r="AA3202" s="73"/>
      <c r="AB3202" s="73"/>
    </row>
    <row r="3203">
      <c r="A3203" s="73"/>
      <c r="B3203" s="73">
        <v>3073681.748</v>
      </c>
      <c r="C3203" s="73">
        <v>2.71245400145638E8</v>
      </c>
      <c r="D3203" s="73">
        <v>1.22953616535993E8</v>
      </c>
      <c r="E3203" s="73">
        <v>1.62457376605256E7</v>
      </c>
      <c r="F3203" s="73"/>
      <c r="G3203" s="73"/>
      <c r="H3203" s="73"/>
      <c r="I3203" s="73"/>
      <c r="J3203" s="73"/>
      <c r="K3203" s="73"/>
      <c r="L3203" s="73"/>
      <c r="M3203" s="73"/>
      <c r="N3203" s="73"/>
      <c r="O3203" s="73"/>
      <c r="P3203" s="73"/>
      <c r="Q3203" s="73"/>
      <c r="R3203" s="73"/>
      <c r="S3203" s="73"/>
      <c r="T3203" s="73"/>
      <c r="U3203" s="73"/>
      <c r="V3203" s="73"/>
      <c r="W3203" s="73"/>
      <c r="X3203" s="73"/>
      <c r="Y3203" s="73"/>
      <c r="Z3203" s="73"/>
      <c r="AA3203" s="73"/>
      <c r="AB3203" s="73"/>
    </row>
    <row r="3204">
      <c r="A3204" s="73"/>
      <c r="B3204" s="73">
        <v>3077866.846</v>
      </c>
      <c r="C3204" s="73">
        <v>2.71476004779232E8</v>
      </c>
      <c r="D3204" s="73">
        <v>1.23082639612002E8</v>
      </c>
      <c r="E3204" s="73">
        <v>1.62638862964819E7</v>
      </c>
      <c r="F3204" s="73"/>
      <c r="G3204" s="73"/>
      <c r="H3204" s="73"/>
      <c r="I3204" s="73"/>
      <c r="J3204" s="73"/>
      <c r="K3204" s="73"/>
      <c r="L3204" s="73"/>
      <c r="M3204" s="73"/>
      <c r="N3204" s="73"/>
      <c r="O3204" s="73"/>
      <c r="P3204" s="73"/>
      <c r="Q3204" s="73"/>
      <c r="R3204" s="73"/>
      <c r="S3204" s="73"/>
      <c r="T3204" s="73"/>
      <c r="U3204" s="73"/>
      <c r="V3204" s="73"/>
      <c r="W3204" s="73"/>
      <c r="X3204" s="73"/>
      <c r="Y3204" s="73"/>
      <c r="Z3204" s="73"/>
      <c r="AA3204" s="73"/>
      <c r="AB3204" s="73"/>
    </row>
    <row r="3205">
      <c r="A3205" s="73"/>
      <c r="B3205" s="73">
        <v>3082057.598</v>
      </c>
      <c r="C3205" s="73">
        <v>2.71706774212822E8</v>
      </c>
      <c r="D3205" s="73">
        <v>1.23211755607995E8</v>
      </c>
      <c r="E3205" s="73">
        <v>1.62820516443973E7</v>
      </c>
      <c r="F3205" s="73"/>
      <c r="G3205" s="73"/>
      <c r="H3205" s="73"/>
      <c r="I3205" s="73"/>
      <c r="J3205" s="73"/>
      <c r="K3205" s="73"/>
      <c r="L3205" s="73"/>
      <c r="M3205" s="73"/>
      <c r="N3205" s="73"/>
      <c r="O3205" s="73"/>
      <c r="P3205" s="73"/>
      <c r="Q3205" s="73"/>
      <c r="R3205" s="73"/>
      <c r="S3205" s="73"/>
      <c r="T3205" s="73"/>
      <c r="U3205" s="73"/>
      <c r="V3205" s="73"/>
      <c r="W3205" s="73"/>
      <c r="X3205" s="73"/>
      <c r="Y3205" s="73"/>
      <c r="Z3205" s="73"/>
      <c r="AA3205" s="73"/>
      <c r="AB3205" s="73"/>
    </row>
    <row r="3206">
      <c r="A3206" s="73"/>
      <c r="B3206" s="73">
        <v>3086253.96</v>
      </c>
      <c r="C3206" s="73">
        <v>2.7193760956641E8</v>
      </c>
      <c r="D3206" s="73">
        <v>1.23340964532004E8</v>
      </c>
      <c r="E3206" s="73">
        <v>1.63002334893038E7</v>
      </c>
      <c r="F3206" s="73"/>
      <c r="G3206" s="73"/>
      <c r="H3206" s="73"/>
      <c r="I3206" s="73"/>
      <c r="J3206" s="73"/>
      <c r="K3206" s="73"/>
      <c r="L3206" s="73"/>
      <c r="M3206" s="73"/>
      <c r="N3206" s="73"/>
      <c r="O3206" s="73"/>
      <c r="P3206" s="73"/>
      <c r="Q3206" s="73"/>
      <c r="R3206" s="73"/>
      <c r="S3206" s="73"/>
      <c r="T3206" s="73"/>
      <c r="U3206" s="73"/>
      <c r="V3206" s="73"/>
      <c r="W3206" s="73"/>
      <c r="X3206" s="73"/>
      <c r="Y3206" s="73"/>
      <c r="Z3206" s="73"/>
      <c r="AA3206" s="73"/>
      <c r="AB3206" s="73"/>
    </row>
    <row r="3207">
      <c r="A3207" s="73"/>
      <c r="B3207" s="73">
        <v>3090455.95</v>
      </c>
      <c r="C3207" s="73">
        <v>2.72168593239994E8</v>
      </c>
      <c r="D3207" s="73">
        <v>1.23470245967997E8</v>
      </c>
      <c r="E3207" s="73">
        <v>1.63184317570015E7</v>
      </c>
      <c r="F3207" s="73"/>
      <c r="G3207" s="73"/>
      <c r="H3207" s="73"/>
      <c r="I3207" s="73"/>
      <c r="J3207" s="73"/>
      <c r="K3207" s="73"/>
      <c r="L3207" s="73"/>
      <c r="M3207" s="73"/>
      <c r="N3207" s="73"/>
      <c r="O3207" s="73"/>
      <c r="P3207" s="73"/>
      <c r="Q3207" s="73"/>
      <c r="R3207" s="73"/>
      <c r="S3207" s="73"/>
      <c r="T3207" s="73"/>
      <c r="U3207" s="73"/>
      <c r="V3207" s="73"/>
      <c r="W3207" s="73"/>
      <c r="X3207" s="73"/>
      <c r="Y3207" s="73"/>
      <c r="Z3207" s="73"/>
      <c r="AA3207" s="73"/>
      <c r="AB3207" s="73"/>
    </row>
    <row r="3208">
      <c r="A3208" s="73"/>
      <c r="B3208" s="73">
        <v>3094663.684</v>
      </c>
      <c r="C3208" s="73">
        <v>2.72399725233574E8</v>
      </c>
      <c r="D3208" s="73">
        <v>1.2359963049199E8</v>
      </c>
      <c r="E3208" s="73">
        <v>1.63366461990262E7</v>
      </c>
      <c r="F3208" s="73"/>
      <c r="G3208" s="73"/>
      <c r="H3208" s="73"/>
      <c r="I3208" s="73"/>
      <c r="J3208" s="73"/>
      <c r="K3208" s="73"/>
      <c r="L3208" s="73"/>
      <c r="M3208" s="73"/>
      <c r="N3208" s="73"/>
      <c r="O3208" s="73"/>
      <c r="P3208" s="73"/>
      <c r="Q3208" s="73"/>
      <c r="R3208" s="73"/>
      <c r="S3208" s="73"/>
      <c r="T3208" s="73"/>
      <c r="U3208" s="73"/>
      <c r="V3208" s="73"/>
      <c r="W3208" s="73"/>
      <c r="X3208" s="73"/>
      <c r="Y3208" s="73"/>
      <c r="Z3208" s="73"/>
      <c r="AA3208" s="73"/>
      <c r="AB3208" s="73"/>
    </row>
    <row r="3209">
      <c r="A3209" s="73"/>
      <c r="B3209" s="73">
        <v>3098877.061</v>
      </c>
      <c r="C3209" s="73">
        <v>2.72630939627151E8</v>
      </c>
      <c r="D3209" s="73">
        <v>1.23729087455999E8</v>
      </c>
      <c r="E3209" s="73">
        <v>1.63548776014741E7</v>
      </c>
      <c r="F3209" s="73"/>
      <c r="G3209" s="73"/>
      <c r="H3209" s="73"/>
      <c r="I3209" s="73"/>
      <c r="J3209" s="73"/>
      <c r="K3209" s="73"/>
      <c r="L3209" s="73"/>
      <c r="M3209" s="73"/>
      <c r="N3209" s="73"/>
      <c r="O3209" s="73"/>
      <c r="P3209" s="73"/>
      <c r="Q3209" s="73"/>
      <c r="R3209" s="73"/>
      <c r="S3209" s="73"/>
      <c r="T3209" s="73"/>
      <c r="U3209" s="73"/>
      <c r="V3209" s="73"/>
      <c r="W3209" s="73"/>
      <c r="X3209" s="73"/>
      <c r="Y3209" s="73"/>
      <c r="Z3209" s="73"/>
      <c r="AA3209" s="73"/>
      <c r="AB3209" s="73"/>
    </row>
    <row r="3210">
      <c r="A3210" s="73"/>
      <c r="B3210" s="73">
        <v>3103096.137</v>
      </c>
      <c r="C3210" s="73">
        <v>2.72862285860725E8</v>
      </c>
      <c r="D3210" s="73">
        <v>1.23858647579992E8</v>
      </c>
      <c r="E3210" s="73">
        <v>1.63731245846491E7</v>
      </c>
      <c r="F3210" s="73"/>
      <c r="G3210" s="73"/>
      <c r="H3210" s="73"/>
      <c r="I3210" s="73"/>
      <c r="J3210" s="73"/>
      <c r="K3210" s="73"/>
      <c r="L3210" s="73"/>
      <c r="M3210" s="73"/>
      <c r="N3210" s="73"/>
      <c r="O3210" s="73"/>
      <c r="P3210" s="73"/>
      <c r="Q3210" s="73"/>
      <c r="R3210" s="73"/>
      <c r="S3210" s="73"/>
      <c r="T3210" s="73"/>
      <c r="U3210" s="73"/>
      <c r="V3210" s="73"/>
      <c r="W3210" s="73"/>
      <c r="X3210" s="73"/>
      <c r="Y3210" s="73"/>
      <c r="Z3210" s="73"/>
      <c r="AA3210" s="73"/>
      <c r="AB3210" s="73"/>
    </row>
    <row r="3211">
      <c r="A3211" s="73"/>
      <c r="B3211" s="73">
        <v>3107320.878</v>
      </c>
      <c r="C3211" s="73">
        <v>2.73093780414295E8</v>
      </c>
      <c r="D3211" s="73">
        <v>1.23988290464001E8</v>
      </c>
      <c r="E3211" s="73">
        <v>1.63913881920152E7</v>
      </c>
      <c r="F3211" s="73"/>
      <c r="G3211" s="73"/>
      <c r="H3211" s="73"/>
      <c r="I3211" s="73"/>
      <c r="J3211" s="73"/>
      <c r="K3211" s="73"/>
      <c r="L3211" s="73"/>
      <c r="M3211" s="73"/>
      <c r="N3211" s="73"/>
      <c r="O3211" s="73"/>
      <c r="P3211" s="73"/>
      <c r="Q3211" s="73"/>
      <c r="R3211" s="73"/>
      <c r="S3211" s="73"/>
      <c r="T3211" s="73"/>
      <c r="U3211" s="73"/>
      <c r="V3211" s="73"/>
      <c r="W3211" s="73"/>
      <c r="X3211" s="73"/>
      <c r="Y3211" s="73"/>
      <c r="Z3211" s="73"/>
      <c r="AA3211" s="73"/>
      <c r="AB3211" s="73"/>
    </row>
    <row r="3212">
      <c r="A3212" s="73"/>
      <c r="B3212" s="73">
        <v>3111551.222</v>
      </c>
      <c r="C3212" s="73">
        <v>2.73325390327862E8</v>
      </c>
      <c r="D3212" s="73">
        <v>1.24118015875994E8</v>
      </c>
      <c r="E3212" s="73">
        <v>1.64096688369723E7</v>
      </c>
      <c r="F3212" s="73"/>
      <c r="G3212" s="73"/>
      <c r="H3212" s="73"/>
      <c r="I3212" s="73"/>
      <c r="J3212" s="73"/>
      <c r="K3212" s="73"/>
      <c r="L3212" s="73"/>
      <c r="M3212" s="73"/>
      <c r="N3212" s="73"/>
      <c r="O3212" s="73"/>
      <c r="P3212" s="73"/>
      <c r="Q3212" s="73"/>
      <c r="R3212" s="73"/>
      <c r="S3212" s="73"/>
      <c r="T3212" s="73"/>
      <c r="U3212" s="73"/>
      <c r="V3212" s="73"/>
      <c r="W3212" s="73"/>
      <c r="X3212" s="73"/>
      <c r="Y3212" s="73"/>
      <c r="Z3212" s="73"/>
      <c r="AA3212" s="73"/>
      <c r="AB3212" s="73"/>
    </row>
    <row r="3213">
      <c r="A3213" s="73"/>
      <c r="B3213" s="73">
        <v>3115787.326</v>
      </c>
      <c r="C3213" s="73">
        <v>2.73557115601425E8</v>
      </c>
      <c r="D3213" s="73">
        <v>1.24247834360002E8</v>
      </c>
      <c r="E3213" s="73">
        <v>1.64279656532887E7</v>
      </c>
      <c r="F3213" s="73"/>
      <c r="G3213" s="73"/>
      <c r="H3213" s="73"/>
      <c r="I3213" s="73"/>
      <c r="J3213" s="73"/>
      <c r="K3213" s="73"/>
      <c r="L3213" s="73"/>
      <c r="M3213" s="73"/>
      <c r="N3213" s="73"/>
      <c r="O3213" s="73"/>
      <c r="P3213" s="73"/>
      <c r="Q3213" s="73"/>
      <c r="R3213" s="73"/>
      <c r="S3213" s="73"/>
      <c r="T3213" s="73"/>
      <c r="U3213" s="73"/>
      <c r="V3213" s="73"/>
      <c r="W3213" s="73"/>
      <c r="X3213" s="73"/>
      <c r="Y3213" s="73"/>
      <c r="Z3213" s="73"/>
      <c r="AA3213" s="73"/>
      <c r="AB3213" s="73"/>
    </row>
    <row r="3214">
      <c r="A3214" s="73"/>
      <c r="B3214" s="73">
        <v>3120029.075</v>
      </c>
      <c r="C3214" s="73">
        <v>2.73788956234985E8</v>
      </c>
      <c r="D3214" s="73">
        <v>1.24377735451996E8</v>
      </c>
      <c r="E3214" s="73">
        <v>1.64462785349641E7</v>
      </c>
      <c r="F3214" s="73"/>
      <c r="G3214" s="73"/>
      <c r="H3214" s="73"/>
      <c r="I3214" s="73"/>
      <c r="J3214" s="73"/>
      <c r="K3214" s="73"/>
      <c r="L3214" s="73"/>
      <c r="M3214" s="73"/>
      <c r="N3214" s="73"/>
      <c r="O3214" s="73"/>
      <c r="P3214" s="73"/>
      <c r="Q3214" s="73"/>
      <c r="R3214" s="73"/>
      <c r="S3214" s="73"/>
      <c r="T3214" s="73"/>
      <c r="U3214" s="73"/>
      <c r="V3214" s="73"/>
      <c r="W3214" s="73"/>
      <c r="X3214" s="73"/>
      <c r="Y3214" s="73"/>
      <c r="Z3214" s="73"/>
      <c r="AA3214" s="73"/>
      <c r="AB3214" s="73"/>
    </row>
    <row r="3215">
      <c r="A3215" s="73"/>
      <c r="B3215" s="73">
        <v>3124276.576</v>
      </c>
      <c r="C3215" s="73">
        <v>2.74020928708542E8</v>
      </c>
      <c r="D3215" s="73">
        <v>1.24507729464004E8</v>
      </c>
      <c r="E3215" s="73">
        <v>1.64646081468306E7</v>
      </c>
      <c r="F3215" s="73"/>
      <c r="G3215" s="73"/>
      <c r="H3215" s="73"/>
      <c r="I3215" s="73"/>
      <c r="J3215" s="73"/>
      <c r="K3215" s="73"/>
      <c r="L3215" s="73"/>
      <c r="M3215" s="73"/>
      <c r="N3215" s="73"/>
      <c r="O3215" s="73"/>
      <c r="P3215" s="73"/>
      <c r="Q3215" s="73"/>
      <c r="R3215" s="73"/>
      <c r="S3215" s="73"/>
      <c r="T3215" s="73"/>
      <c r="U3215" s="73"/>
      <c r="V3215" s="73"/>
      <c r="W3215" s="73"/>
      <c r="X3215" s="73"/>
      <c r="Y3215" s="73"/>
      <c r="Z3215" s="73"/>
      <c r="AA3215" s="73"/>
      <c r="AB3215" s="73"/>
    </row>
    <row r="3216">
      <c r="A3216" s="73"/>
      <c r="B3216" s="73">
        <v>3128529.784</v>
      </c>
      <c r="C3216" s="73">
        <v>2.74253016542095E8</v>
      </c>
      <c r="D3216" s="73">
        <v>1.24637816475998E8</v>
      </c>
      <c r="E3216" s="73">
        <v>1.64829542056563E7</v>
      </c>
      <c r="F3216" s="73"/>
      <c r="G3216" s="73"/>
      <c r="H3216" s="73"/>
      <c r="I3216" s="73"/>
      <c r="J3216" s="73"/>
      <c r="K3216" s="73"/>
      <c r="L3216" s="73"/>
      <c r="M3216" s="73"/>
      <c r="N3216" s="73"/>
      <c r="O3216" s="73"/>
      <c r="P3216" s="73"/>
      <c r="Q3216" s="73"/>
      <c r="R3216" s="73"/>
      <c r="S3216" s="73"/>
      <c r="T3216" s="73"/>
      <c r="U3216" s="73"/>
      <c r="V3216" s="73"/>
      <c r="W3216" s="73"/>
      <c r="X3216" s="73"/>
      <c r="Y3216" s="73"/>
      <c r="Z3216" s="73"/>
      <c r="AA3216" s="73"/>
      <c r="AB3216" s="73"/>
    </row>
    <row r="3217">
      <c r="A3217" s="73"/>
      <c r="B3217" s="73">
        <v>3132788.606</v>
      </c>
      <c r="C3217" s="73">
        <v>2.74485252695644E8</v>
      </c>
      <c r="D3217" s="73">
        <v>1.24767986167991E8</v>
      </c>
      <c r="E3217" s="73">
        <v>1.65013162026411E7</v>
      </c>
      <c r="F3217" s="73"/>
      <c r="G3217" s="73"/>
      <c r="H3217" s="73"/>
      <c r="I3217" s="73"/>
      <c r="J3217" s="73"/>
      <c r="K3217" s="73"/>
      <c r="L3217" s="73"/>
      <c r="M3217" s="73"/>
      <c r="N3217" s="73"/>
      <c r="O3217" s="73"/>
      <c r="P3217" s="73"/>
      <c r="Q3217" s="73"/>
      <c r="R3217" s="73"/>
      <c r="S3217" s="73"/>
      <c r="T3217" s="73"/>
      <c r="U3217" s="73"/>
      <c r="V3217" s="73"/>
      <c r="W3217" s="73"/>
      <c r="X3217" s="73"/>
      <c r="Y3217" s="73"/>
      <c r="Z3217" s="73"/>
      <c r="AA3217" s="73"/>
      <c r="AB3217" s="73"/>
    </row>
    <row r="3218">
      <c r="A3218" s="73"/>
      <c r="B3218" s="73">
        <v>3137053.207</v>
      </c>
      <c r="C3218" s="73">
        <v>2.7471762068919E8</v>
      </c>
      <c r="D3218" s="73">
        <v>1.24898248699999E8</v>
      </c>
      <c r="E3218" s="73">
        <v>1.6519694929817E7</v>
      </c>
      <c r="F3218" s="73"/>
      <c r="G3218" s="73"/>
      <c r="H3218" s="73"/>
      <c r="I3218" s="73"/>
      <c r="J3218" s="73"/>
      <c r="K3218" s="73"/>
      <c r="L3218" s="73"/>
      <c r="M3218" s="73"/>
      <c r="N3218" s="73"/>
      <c r="O3218" s="73"/>
      <c r="P3218" s="73"/>
      <c r="Q3218" s="73"/>
      <c r="R3218" s="73"/>
      <c r="S3218" s="73"/>
      <c r="T3218" s="73"/>
      <c r="U3218" s="73"/>
      <c r="V3218" s="73"/>
      <c r="W3218" s="73"/>
      <c r="X3218" s="73"/>
      <c r="Y3218" s="73"/>
      <c r="Z3218" s="73"/>
      <c r="AA3218" s="73"/>
      <c r="AB3218" s="73"/>
    </row>
    <row r="3219">
      <c r="A3219" s="73"/>
      <c r="B3219" s="73">
        <v>3141323.55</v>
      </c>
      <c r="C3219" s="73">
        <v>2.74950087562733E8</v>
      </c>
      <c r="D3219" s="73">
        <v>1.25028593919993E8</v>
      </c>
      <c r="E3219" s="73">
        <v>1.65380904431519E7</v>
      </c>
      <c r="F3219" s="73"/>
      <c r="G3219" s="73"/>
      <c r="H3219" s="73"/>
      <c r="I3219" s="73"/>
      <c r="J3219" s="73"/>
      <c r="K3219" s="73"/>
      <c r="L3219" s="73"/>
      <c r="M3219" s="73"/>
      <c r="N3219" s="73"/>
      <c r="O3219" s="73"/>
      <c r="P3219" s="73"/>
      <c r="Q3219" s="73"/>
      <c r="R3219" s="73"/>
      <c r="S3219" s="73"/>
      <c r="T3219" s="73"/>
      <c r="U3219" s="73"/>
      <c r="V3219" s="73"/>
      <c r="W3219" s="73"/>
      <c r="X3219" s="73"/>
      <c r="Y3219" s="73"/>
      <c r="Z3219" s="73"/>
      <c r="AA3219" s="73"/>
      <c r="AB3219" s="73"/>
    </row>
    <row r="3220">
      <c r="A3220" s="73"/>
      <c r="B3220" s="73">
        <v>3145599.551</v>
      </c>
      <c r="C3220" s="73">
        <v>2.75182669796272E8</v>
      </c>
      <c r="D3220" s="73">
        <v>1.25159021972001E8</v>
      </c>
      <c r="E3220" s="73">
        <v>1.65565020082781E7</v>
      </c>
      <c r="F3220" s="73"/>
      <c r="G3220" s="73"/>
      <c r="H3220" s="73"/>
      <c r="I3220" s="73"/>
      <c r="J3220" s="73"/>
      <c r="K3220" s="73"/>
      <c r="L3220" s="73"/>
      <c r="M3220" s="73"/>
      <c r="N3220" s="73"/>
      <c r="O3220" s="73"/>
      <c r="P3220" s="73"/>
      <c r="Q3220" s="73"/>
      <c r="R3220" s="73"/>
      <c r="S3220" s="73"/>
      <c r="T3220" s="73"/>
      <c r="U3220" s="73"/>
      <c r="V3220" s="73"/>
      <c r="W3220" s="73"/>
      <c r="X3220" s="73"/>
      <c r="Y3220" s="73"/>
      <c r="Z3220" s="73"/>
      <c r="AA3220" s="73"/>
      <c r="AB3220" s="73"/>
    </row>
    <row r="3221">
      <c r="A3221" s="73"/>
      <c r="B3221" s="73">
        <v>3149881.198</v>
      </c>
      <c r="C3221" s="73">
        <v>2.75415400349808E8</v>
      </c>
      <c r="D3221" s="73">
        <v>1.25289553031995E8</v>
      </c>
      <c r="E3221" s="73">
        <v>1.65749309289952E7</v>
      </c>
      <c r="F3221" s="73"/>
      <c r="G3221" s="73"/>
      <c r="H3221" s="73"/>
      <c r="I3221" s="73"/>
      <c r="J3221" s="73"/>
      <c r="K3221" s="73"/>
      <c r="L3221" s="73"/>
      <c r="M3221" s="73"/>
      <c r="N3221" s="73"/>
      <c r="O3221" s="73"/>
      <c r="P3221" s="73"/>
      <c r="Q3221" s="73"/>
      <c r="R3221" s="73"/>
      <c r="S3221" s="73"/>
      <c r="T3221" s="73"/>
      <c r="U3221" s="73"/>
      <c r="V3221" s="73"/>
      <c r="W3221" s="73"/>
      <c r="X3221" s="73"/>
      <c r="Y3221" s="73"/>
      <c r="Z3221" s="73"/>
      <c r="AA3221" s="73"/>
      <c r="AB3221" s="73"/>
    </row>
    <row r="3222">
      <c r="A3222" s="73"/>
      <c r="B3222" s="73">
        <v>3154168.658</v>
      </c>
      <c r="C3222" s="73">
        <v>2.7564826274334E8</v>
      </c>
      <c r="D3222" s="73">
        <v>1.25420166772003E8</v>
      </c>
      <c r="E3222" s="73">
        <v>1.65933751124396E7</v>
      </c>
      <c r="F3222" s="73"/>
      <c r="G3222" s="73"/>
      <c r="H3222" s="73"/>
      <c r="I3222" s="73"/>
      <c r="J3222" s="73"/>
      <c r="K3222" s="73"/>
      <c r="L3222" s="73"/>
      <c r="M3222" s="73"/>
      <c r="N3222" s="73"/>
      <c r="O3222" s="73"/>
      <c r="P3222" s="73"/>
      <c r="Q3222" s="73"/>
      <c r="R3222" s="73"/>
      <c r="S3222" s="73"/>
      <c r="T3222" s="73"/>
      <c r="U3222" s="73"/>
      <c r="V3222" s="73"/>
      <c r="W3222" s="73"/>
      <c r="X3222" s="73"/>
      <c r="Y3222" s="73"/>
      <c r="Z3222" s="73"/>
      <c r="AA3222" s="73"/>
      <c r="AB3222" s="73"/>
    </row>
    <row r="3223">
      <c r="A3223" s="73"/>
      <c r="B3223" s="73">
        <v>3158461.749</v>
      </c>
      <c r="C3223" s="73">
        <v>2.75881224016869E8</v>
      </c>
      <c r="D3223" s="73">
        <v>1.25550863271996E8</v>
      </c>
      <c r="E3223" s="73">
        <v>1.6611836439475E7</v>
      </c>
      <c r="F3223" s="73"/>
      <c r="G3223" s="73"/>
      <c r="H3223" s="73"/>
      <c r="I3223" s="73"/>
      <c r="J3223" s="73"/>
      <c r="K3223" s="73"/>
      <c r="L3223" s="73"/>
      <c r="M3223" s="73"/>
      <c r="N3223" s="73"/>
      <c r="O3223" s="73"/>
      <c r="P3223" s="73"/>
      <c r="Q3223" s="73"/>
      <c r="R3223" s="73"/>
      <c r="S3223" s="73"/>
      <c r="T3223" s="73"/>
      <c r="U3223" s="73"/>
      <c r="V3223" s="73"/>
      <c r="W3223" s="73"/>
      <c r="X3223" s="73"/>
      <c r="Y3223" s="73"/>
      <c r="Z3223" s="73"/>
      <c r="AA3223" s="73"/>
      <c r="AB3223" s="73"/>
    </row>
    <row r="3224">
      <c r="A3224" s="73"/>
      <c r="B3224" s="73">
        <v>3162760.663</v>
      </c>
      <c r="C3224" s="73">
        <v>2.76114317130394E8</v>
      </c>
      <c r="D3224" s="73">
        <v>1.2568165261999E8</v>
      </c>
      <c r="E3224" s="73">
        <v>1.66303145709015E7</v>
      </c>
      <c r="F3224" s="73"/>
      <c r="G3224" s="73"/>
      <c r="H3224" s="73"/>
      <c r="I3224" s="73"/>
      <c r="J3224" s="73"/>
      <c r="K3224" s="73"/>
      <c r="L3224" s="73"/>
      <c r="M3224" s="73"/>
      <c r="N3224" s="73"/>
      <c r="O3224" s="73"/>
      <c r="P3224" s="73"/>
      <c r="Q3224" s="73"/>
      <c r="R3224" s="73"/>
      <c r="S3224" s="73"/>
      <c r="T3224" s="73"/>
      <c r="U3224" s="73"/>
      <c r="V3224" s="73"/>
      <c r="W3224" s="73"/>
      <c r="X3224" s="73"/>
      <c r="Y3224" s="73"/>
      <c r="Z3224" s="73"/>
      <c r="AA3224" s="73"/>
      <c r="AB3224" s="73"/>
    </row>
    <row r="3225">
      <c r="A3225" s="73"/>
      <c r="B3225" s="73">
        <v>3167065.314</v>
      </c>
      <c r="C3225" s="73">
        <v>2.76347542083916E8</v>
      </c>
      <c r="D3225" s="73">
        <v>1.25812524719998E8</v>
      </c>
      <c r="E3225" s="73">
        <v>1.66488080498552E7</v>
      </c>
      <c r="F3225" s="73"/>
      <c r="G3225" s="73"/>
      <c r="H3225" s="73"/>
      <c r="I3225" s="73"/>
      <c r="J3225" s="73"/>
      <c r="K3225" s="73"/>
      <c r="L3225" s="73"/>
      <c r="M3225" s="73"/>
      <c r="N3225" s="73"/>
      <c r="O3225" s="73"/>
      <c r="P3225" s="73"/>
      <c r="Q3225" s="73"/>
      <c r="R3225" s="73"/>
      <c r="S3225" s="73"/>
      <c r="T3225" s="73"/>
      <c r="U3225" s="73"/>
      <c r="V3225" s="73"/>
      <c r="W3225" s="73"/>
      <c r="X3225" s="73"/>
      <c r="Y3225" s="73"/>
      <c r="Z3225" s="73"/>
      <c r="AA3225" s="73"/>
      <c r="AB3225" s="73"/>
    </row>
    <row r="3226">
      <c r="A3226" s="73"/>
      <c r="B3226" s="73">
        <v>3171375.63</v>
      </c>
      <c r="C3226" s="73">
        <v>2.76580865917435E8</v>
      </c>
      <c r="D3226" s="73">
        <v>1.25943489747991E8</v>
      </c>
      <c r="E3226" s="73">
        <v>1.6667319093432E7</v>
      </c>
      <c r="F3226" s="73"/>
      <c r="G3226" s="73"/>
      <c r="H3226" s="73"/>
      <c r="I3226" s="73"/>
      <c r="J3226" s="73"/>
      <c r="K3226" s="73"/>
      <c r="L3226" s="73"/>
      <c r="M3226" s="73"/>
      <c r="N3226" s="73"/>
      <c r="O3226" s="73"/>
      <c r="P3226" s="73"/>
      <c r="Q3226" s="73"/>
      <c r="R3226" s="73"/>
      <c r="S3226" s="73"/>
      <c r="T3226" s="73"/>
      <c r="U3226" s="73"/>
      <c r="V3226" s="73"/>
      <c r="W3226" s="73"/>
      <c r="X3226" s="73"/>
      <c r="Y3226" s="73"/>
      <c r="Z3226" s="73"/>
      <c r="AA3226" s="73"/>
      <c r="AB3226" s="73"/>
    </row>
    <row r="3227">
      <c r="A3227" s="73"/>
      <c r="B3227" s="73">
        <v>3175691.728</v>
      </c>
      <c r="C3227" s="73">
        <v>2.76814354550949E8</v>
      </c>
      <c r="D3227" s="73">
        <v>1.26074557928E8</v>
      </c>
      <c r="E3227" s="73">
        <v>1.66858465203678E7</v>
      </c>
      <c r="F3227" s="73"/>
      <c r="G3227" s="73"/>
      <c r="H3227" s="73"/>
      <c r="I3227" s="73"/>
      <c r="J3227" s="73"/>
      <c r="K3227" s="73"/>
      <c r="L3227" s="73"/>
      <c r="M3227" s="73"/>
      <c r="N3227" s="73"/>
      <c r="O3227" s="73"/>
      <c r="P3227" s="73"/>
      <c r="Q3227" s="73"/>
      <c r="R3227" s="73"/>
      <c r="S3227" s="73"/>
      <c r="T3227" s="73"/>
      <c r="U3227" s="73"/>
      <c r="V3227" s="73"/>
      <c r="W3227" s="73"/>
      <c r="X3227" s="73"/>
      <c r="Y3227" s="73"/>
      <c r="Z3227" s="73"/>
      <c r="AA3227" s="73"/>
      <c r="AB3227" s="73"/>
    </row>
    <row r="3228">
      <c r="A3228" s="73"/>
      <c r="B3228" s="73">
        <v>3180013.473</v>
      </c>
      <c r="C3228" s="73">
        <v>2.77047942064461E8</v>
      </c>
      <c r="D3228" s="73">
        <v>1.26205688315993E8</v>
      </c>
      <c r="E3228" s="73">
        <v>1.67043901292628E7</v>
      </c>
      <c r="F3228" s="73"/>
      <c r="G3228" s="73"/>
      <c r="H3228" s="73"/>
      <c r="I3228" s="73"/>
      <c r="J3228" s="73"/>
      <c r="K3228" s="73"/>
      <c r="L3228" s="73"/>
      <c r="M3228" s="73"/>
      <c r="N3228" s="73"/>
      <c r="O3228" s="73"/>
      <c r="P3228" s="73"/>
      <c r="Q3228" s="73"/>
      <c r="R3228" s="73"/>
      <c r="S3228" s="73"/>
      <c r="T3228" s="73"/>
      <c r="U3228" s="73"/>
      <c r="V3228" s="73"/>
      <c r="W3228" s="73"/>
      <c r="X3228" s="73"/>
      <c r="Y3228" s="73"/>
      <c r="Z3228" s="73"/>
      <c r="AA3228" s="73"/>
      <c r="AB3228" s="73"/>
    </row>
    <row r="3229">
      <c r="A3229" s="73"/>
      <c r="B3229" s="73">
        <v>3184341.078</v>
      </c>
      <c r="C3229" s="73">
        <v>2.7728162845797E8</v>
      </c>
      <c r="D3229" s="73">
        <v>1.26336921864002E8</v>
      </c>
      <c r="E3229" s="73">
        <v>1.67229506273489E7</v>
      </c>
      <c r="F3229" s="73"/>
      <c r="G3229" s="73"/>
      <c r="H3229" s="73"/>
      <c r="I3229" s="73"/>
      <c r="J3229" s="73"/>
      <c r="K3229" s="73"/>
      <c r="L3229" s="73"/>
      <c r="M3229" s="73"/>
      <c r="N3229" s="73"/>
      <c r="O3229" s="73"/>
      <c r="P3229" s="73"/>
      <c r="Q3229" s="73"/>
      <c r="R3229" s="73"/>
      <c r="S3229" s="73"/>
      <c r="T3229" s="73"/>
      <c r="U3229" s="73"/>
      <c r="V3229" s="73"/>
      <c r="W3229" s="73"/>
      <c r="X3229" s="73"/>
      <c r="Y3229" s="73"/>
      <c r="Z3229" s="73"/>
      <c r="AA3229" s="73"/>
      <c r="AB3229" s="73"/>
    </row>
    <row r="3230">
      <c r="A3230" s="73"/>
      <c r="B3230" s="73">
        <v>3188674.404</v>
      </c>
      <c r="C3230" s="73">
        <v>2.77515479651474E8</v>
      </c>
      <c r="D3230" s="73">
        <v>1.26468238091995E8</v>
      </c>
      <c r="E3230" s="73">
        <v>1.67415272543941E7</v>
      </c>
      <c r="F3230" s="73"/>
      <c r="G3230" s="73"/>
      <c r="H3230" s="73"/>
      <c r="I3230" s="73"/>
      <c r="J3230" s="73"/>
      <c r="K3230" s="73"/>
      <c r="L3230" s="73"/>
      <c r="M3230" s="73"/>
      <c r="N3230" s="73"/>
      <c r="O3230" s="73"/>
      <c r="P3230" s="73"/>
      <c r="Q3230" s="73"/>
      <c r="R3230" s="73"/>
      <c r="S3230" s="73"/>
      <c r="T3230" s="73"/>
      <c r="U3230" s="73"/>
      <c r="V3230" s="73"/>
      <c r="W3230" s="73"/>
      <c r="X3230" s="73"/>
      <c r="Y3230" s="73"/>
      <c r="Z3230" s="73"/>
      <c r="AA3230" s="73"/>
      <c r="AB3230" s="73"/>
    </row>
    <row r="3231">
      <c r="A3231" s="73"/>
      <c r="B3231" s="73">
        <v>3193013.451</v>
      </c>
      <c r="C3231" s="73">
        <v>2.77749462684975E8</v>
      </c>
      <c r="D3231" s="73">
        <v>1.26599657408004E8</v>
      </c>
      <c r="E3231" s="73">
        <v>1.67601203919984E7</v>
      </c>
      <c r="F3231" s="73"/>
      <c r="G3231" s="73"/>
      <c r="H3231" s="73"/>
      <c r="I3231" s="73"/>
      <c r="J3231" s="73"/>
      <c r="K3231" s="73"/>
      <c r="L3231" s="73"/>
      <c r="M3231" s="73"/>
      <c r="N3231" s="73"/>
      <c r="O3231" s="73"/>
      <c r="P3231" s="73"/>
      <c r="Q3231" s="73"/>
      <c r="R3231" s="73"/>
      <c r="S3231" s="73"/>
      <c r="T3231" s="73"/>
      <c r="U3231" s="73"/>
      <c r="V3231" s="73"/>
      <c r="W3231" s="73"/>
      <c r="X3231" s="73"/>
      <c r="Y3231" s="73"/>
      <c r="Z3231" s="73"/>
      <c r="AA3231" s="73"/>
      <c r="AB3231" s="73"/>
    </row>
    <row r="3232">
      <c r="A3232" s="73"/>
      <c r="B3232" s="73">
        <v>3197358.205</v>
      </c>
      <c r="C3232" s="73">
        <v>2.77983577558472E8</v>
      </c>
      <c r="D3232" s="73">
        <v>1.26731149315997E8</v>
      </c>
      <c r="E3232" s="73">
        <v>1.67787307550258E7</v>
      </c>
      <c r="F3232" s="73"/>
      <c r="G3232" s="73"/>
      <c r="H3232" s="73"/>
      <c r="I3232" s="73"/>
      <c r="J3232" s="73"/>
      <c r="K3232" s="73"/>
      <c r="L3232" s="73"/>
      <c r="M3232" s="73"/>
      <c r="N3232" s="73"/>
      <c r="O3232" s="73"/>
      <c r="P3232" s="73"/>
      <c r="Q3232" s="73"/>
      <c r="R3232" s="73"/>
      <c r="S3232" s="73"/>
      <c r="T3232" s="73"/>
      <c r="U3232" s="73"/>
      <c r="V3232" s="73"/>
      <c r="W3232" s="73"/>
      <c r="X3232" s="73"/>
      <c r="Y3232" s="73"/>
      <c r="Z3232" s="73"/>
      <c r="AA3232" s="73"/>
      <c r="AB3232" s="73"/>
    </row>
    <row r="3233">
      <c r="A3233" s="73"/>
      <c r="B3233" s="73">
        <v>3201708.879</v>
      </c>
      <c r="C3233" s="73">
        <v>2.78217791311966E8</v>
      </c>
      <c r="D3233" s="73">
        <v>1.2686273407199E8</v>
      </c>
      <c r="E3233" s="73">
        <v>1.67973569849803E7</v>
      </c>
      <c r="F3233" s="73"/>
      <c r="G3233" s="73"/>
      <c r="H3233" s="73"/>
      <c r="I3233" s="73"/>
      <c r="J3233" s="73"/>
      <c r="K3233" s="73"/>
      <c r="L3233" s="73"/>
      <c r="M3233" s="73"/>
      <c r="N3233" s="73"/>
      <c r="O3233" s="73"/>
      <c r="P3233" s="73"/>
      <c r="Q3233" s="73"/>
      <c r="R3233" s="73"/>
      <c r="S3233" s="73"/>
      <c r="T3233" s="73"/>
      <c r="U3233" s="73"/>
      <c r="V3233" s="73"/>
      <c r="W3233" s="73"/>
      <c r="X3233" s="73"/>
      <c r="Y3233" s="73"/>
      <c r="Z3233" s="73"/>
      <c r="AA3233" s="73"/>
      <c r="AB3233" s="73"/>
    </row>
    <row r="3234">
      <c r="A3234" s="73"/>
      <c r="B3234" s="73">
        <v>3206065.215</v>
      </c>
      <c r="C3234" s="73">
        <v>2.78452136905457E8</v>
      </c>
      <c r="D3234" s="73">
        <v>1.26994411667999E8</v>
      </c>
      <c r="E3234" s="73">
        <v>1.68160001783259E7</v>
      </c>
      <c r="F3234" s="73"/>
      <c r="G3234" s="73"/>
      <c r="H3234" s="73"/>
      <c r="I3234" s="73"/>
      <c r="J3234" s="73"/>
      <c r="K3234" s="73"/>
      <c r="L3234" s="73"/>
      <c r="M3234" s="73"/>
      <c r="N3234" s="73"/>
      <c r="O3234" s="73"/>
      <c r="P3234" s="73"/>
      <c r="Q3234" s="73"/>
      <c r="R3234" s="73"/>
      <c r="S3234" s="73"/>
      <c r="T3234" s="73"/>
      <c r="U3234" s="73"/>
      <c r="V3234" s="73"/>
      <c r="W3234" s="73"/>
      <c r="X3234" s="73"/>
      <c r="Y3234" s="73"/>
      <c r="Z3234" s="73"/>
      <c r="AA3234" s="73"/>
      <c r="AB3234" s="73"/>
    </row>
    <row r="3235">
      <c r="A3235" s="73"/>
      <c r="B3235" s="73">
        <v>3210427.381</v>
      </c>
      <c r="C3235" s="73">
        <v>2.78686581378944E8</v>
      </c>
      <c r="D3235" s="73">
        <v>1.27126172103992E8</v>
      </c>
      <c r="E3235" s="73">
        <v>1.68346594158307E7</v>
      </c>
      <c r="F3235" s="73"/>
      <c r="G3235" s="73"/>
      <c r="H3235" s="73"/>
      <c r="I3235" s="73"/>
      <c r="J3235" s="73"/>
      <c r="K3235" s="73"/>
      <c r="L3235" s="73"/>
      <c r="M3235" s="73"/>
      <c r="N3235" s="73"/>
      <c r="O3235" s="73"/>
      <c r="P3235" s="73"/>
      <c r="Q3235" s="73"/>
      <c r="R3235" s="73"/>
      <c r="S3235" s="73"/>
      <c r="T3235" s="73"/>
      <c r="U3235" s="73"/>
      <c r="V3235" s="73"/>
      <c r="W3235" s="73"/>
      <c r="X3235" s="73"/>
      <c r="Y3235" s="73"/>
      <c r="Z3235" s="73"/>
      <c r="AA3235" s="73"/>
      <c r="AB3235" s="73"/>
    </row>
    <row r="3236">
      <c r="A3236" s="73"/>
      <c r="B3236" s="73">
        <v>3214795.247</v>
      </c>
      <c r="C3236" s="73">
        <v>2.78921157692429E8</v>
      </c>
      <c r="D3236" s="73">
        <v>1.27258025380001E8</v>
      </c>
      <c r="E3236" s="73">
        <v>1.68533359135265E7</v>
      </c>
      <c r="F3236" s="73"/>
      <c r="G3236" s="73"/>
      <c r="H3236" s="73"/>
      <c r="I3236" s="73"/>
      <c r="J3236" s="73"/>
      <c r="K3236" s="73"/>
      <c r="L3236" s="73"/>
      <c r="M3236" s="73"/>
      <c r="N3236" s="73"/>
      <c r="O3236" s="73"/>
      <c r="P3236" s="73"/>
      <c r="Q3236" s="73"/>
      <c r="R3236" s="73"/>
      <c r="S3236" s="73"/>
      <c r="T3236" s="73"/>
      <c r="U3236" s="73"/>
      <c r="V3236" s="73"/>
      <c r="W3236" s="73"/>
      <c r="X3236" s="73"/>
      <c r="Y3236" s="73"/>
      <c r="Z3236" s="73"/>
      <c r="AA3236" s="73"/>
      <c r="AB3236" s="73"/>
    </row>
    <row r="3237">
      <c r="A3237" s="73"/>
      <c r="B3237" s="73">
        <v>3219168.883</v>
      </c>
      <c r="C3237" s="73">
        <v>2.79155865845909E8</v>
      </c>
      <c r="D3237" s="73">
        <v>1.27389971575994E8</v>
      </c>
      <c r="E3237" s="73">
        <v>1.68720284553814E7</v>
      </c>
      <c r="F3237" s="73"/>
      <c r="G3237" s="73"/>
      <c r="H3237" s="73"/>
      <c r="I3237" s="73"/>
      <c r="J3237" s="73"/>
      <c r="K3237" s="73"/>
      <c r="L3237" s="73"/>
      <c r="M3237" s="73"/>
      <c r="N3237" s="73"/>
      <c r="O3237" s="73"/>
      <c r="P3237" s="73"/>
      <c r="Q3237" s="73"/>
      <c r="R3237" s="73"/>
      <c r="S3237" s="73"/>
      <c r="T3237" s="73"/>
      <c r="U3237" s="73"/>
      <c r="V3237" s="73"/>
      <c r="W3237" s="73"/>
      <c r="X3237" s="73"/>
      <c r="Y3237" s="73"/>
      <c r="Z3237" s="73"/>
      <c r="AA3237" s="73"/>
      <c r="AB3237" s="73"/>
    </row>
    <row r="3238">
      <c r="A3238" s="73"/>
      <c r="B3238" s="73">
        <v>3223548.41</v>
      </c>
      <c r="C3238" s="73">
        <v>2.79390705839386E8</v>
      </c>
      <c r="D3238" s="73">
        <v>1.27521990292002E8</v>
      </c>
      <c r="E3238" s="73">
        <v>1.68907379606275E7</v>
      </c>
      <c r="F3238" s="73"/>
      <c r="G3238" s="73"/>
      <c r="H3238" s="73"/>
      <c r="I3238" s="73"/>
      <c r="J3238" s="73"/>
      <c r="K3238" s="73"/>
      <c r="L3238" s="73"/>
      <c r="M3238" s="73"/>
      <c r="N3238" s="73"/>
      <c r="O3238" s="73"/>
      <c r="P3238" s="73"/>
      <c r="Q3238" s="73"/>
      <c r="R3238" s="73"/>
      <c r="S3238" s="73"/>
      <c r="T3238" s="73"/>
      <c r="U3238" s="73"/>
      <c r="V3238" s="73"/>
      <c r="W3238" s="73"/>
      <c r="X3238" s="73"/>
      <c r="Y3238" s="73"/>
      <c r="Z3238" s="73"/>
      <c r="AA3238" s="73"/>
      <c r="AB3238" s="73"/>
    </row>
    <row r="3239">
      <c r="A3239" s="73"/>
      <c r="B3239" s="73">
        <v>3227933.516</v>
      </c>
      <c r="C3239" s="73">
        <v>2.79625710632858E8</v>
      </c>
      <c r="D3239" s="73">
        <v>1.27654112095996E8</v>
      </c>
      <c r="E3239" s="73">
        <v>1.69094638068326E7</v>
      </c>
      <c r="F3239" s="73"/>
      <c r="G3239" s="73"/>
      <c r="H3239" s="73"/>
      <c r="I3239" s="73"/>
      <c r="J3239" s="73"/>
      <c r="K3239" s="73"/>
      <c r="L3239" s="73"/>
      <c r="M3239" s="73"/>
      <c r="N3239" s="73"/>
      <c r="O3239" s="73"/>
      <c r="P3239" s="73"/>
      <c r="Q3239" s="73"/>
      <c r="R3239" s="73"/>
      <c r="S3239" s="73"/>
      <c r="T3239" s="73"/>
      <c r="U3239" s="73"/>
      <c r="V3239" s="73"/>
      <c r="W3239" s="73"/>
      <c r="X3239" s="73"/>
      <c r="Y3239" s="73"/>
      <c r="Z3239" s="73"/>
      <c r="AA3239" s="73"/>
      <c r="AB3239" s="73"/>
    </row>
    <row r="3240">
      <c r="A3240" s="73"/>
      <c r="B3240" s="73">
        <v>3232324.612</v>
      </c>
      <c r="C3240" s="73">
        <v>2.79860814306328E8</v>
      </c>
      <c r="D3240" s="73">
        <v>1.27786316580004E8</v>
      </c>
      <c r="E3240" s="73">
        <v>1.69282066164289E7</v>
      </c>
      <c r="F3240" s="73"/>
      <c r="G3240" s="73"/>
      <c r="H3240" s="73"/>
      <c r="I3240" s="73"/>
      <c r="J3240" s="73"/>
      <c r="K3240" s="73"/>
      <c r="L3240" s="73"/>
      <c r="M3240" s="73"/>
      <c r="N3240" s="73"/>
      <c r="O3240" s="73"/>
      <c r="P3240" s="73"/>
      <c r="Q3240" s="73"/>
      <c r="R3240" s="73"/>
      <c r="S3240" s="73"/>
      <c r="T3240" s="73"/>
      <c r="U3240" s="73"/>
      <c r="V3240" s="73"/>
      <c r="W3240" s="73"/>
      <c r="X3240" s="73"/>
      <c r="Y3240" s="73"/>
      <c r="Z3240" s="73"/>
      <c r="AA3240" s="73"/>
      <c r="AB3240" s="73"/>
    </row>
    <row r="3241">
      <c r="A3241" s="73"/>
      <c r="B3241" s="73">
        <v>3236721.317</v>
      </c>
      <c r="C3241" s="73">
        <v>2.80095983899796E8</v>
      </c>
      <c r="D3241" s="73">
        <v>1.27918614055998E8</v>
      </c>
      <c r="E3241" s="73">
        <v>1.69469656609842E7</v>
      </c>
      <c r="F3241" s="73"/>
      <c r="G3241" s="73"/>
      <c r="H3241" s="73"/>
      <c r="I3241" s="73"/>
      <c r="J3241" s="73"/>
      <c r="K3241" s="73"/>
      <c r="L3241" s="73"/>
      <c r="M3241" s="73"/>
      <c r="N3241" s="73"/>
      <c r="O3241" s="73"/>
      <c r="P3241" s="73"/>
      <c r="Q3241" s="73"/>
      <c r="R3241" s="73"/>
      <c r="S3241" s="73"/>
      <c r="T3241" s="73"/>
      <c r="U3241" s="73"/>
      <c r="V3241" s="73"/>
      <c r="W3241" s="73"/>
      <c r="X3241" s="73"/>
      <c r="Y3241" s="73"/>
      <c r="Z3241" s="73"/>
      <c r="AA3241" s="73"/>
      <c r="AB3241" s="73"/>
    </row>
    <row r="3242">
      <c r="A3242" s="73"/>
      <c r="B3242" s="73">
        <v>3241124.017</v>
      </c>
      <c r="C3242" s="73">
        <v>2.80331318293259E8</v>
      </c>
      <c r="D3242" s="73">
        <v>1.28050994219991E8</v>
      </c>
      <c r="E3242" s="73">
        <v>1.69657410464987E7</v>
      </c>
      <c r="F3242" s="73"/>
      <c r="G3242" s="73"/>
      <c r="H3242" s="73"/>
      <c r="I3242" s="73"/>
      <c r="J3242" s="73"/>
      <c r="K3242" s="73"/>
      <c r="L3242" s="73"/>
      <c r="M3242" s="73"/>
      <c r="N3242" s="73"/>
      <c r="O3242" s="73"/>
      <c r="P3242" s="73"/>
      <c r="Q3242" s="73"/>
      <c r="R3242" s="73"/>
      <c r="S3242" s="73"/>
      <c r="T3242" s="73"/>
      <c r="U3242" s="73"/>
      <c r="V3242" s="73"/>
      <c r="W3242" s="73"/>
      <c r="X3242" s="73"/>
      <c r="Y3242" s="73"/>
      <c r="Z3242" s="73"/>
      <c r="AA3242" s="73"/>
      <c r="AB3242" s="73"/>
    </row>
    <row r="3243">
      <c r="A3243" s="73"/>
      <c r="B3243" s="73">
        <v>3245532.36</v>
      </c>
      <c r="C3243" s="73">
        <v>2.80566784526718E8</v>
      </c>
      <c r="D3243" s="73">
        <v>1.28183477463999E8</v>
      </c>
      <c r="E3243" s="73">
        <v>1.69845332046043E7</v>
      </c>
      <c r="F3243" s="73"/>
      <c r="G3243" s="73"/>
      <c r="H3243" s="73"/>
      <c r="I3243" s="73"/>
      <c r="J3243" s="73"/>
      <c r="K3243" s="73"/>
      <c r="L3243" s="73"/>
      <c r="M3243" s="73"/>
      <c r="N3243" s="73"/>
      <c r="O3243" s="73"/>
      <c r="P3243" s="73"/>
      <c r="Q3243" s="73"/>
      <c r="R3243" s="73"/>
      <c r="S3243" s="73"/>
      <c r="T3243" s="73"/>
      <c r="U3243" s="73"/>
      <c r="V3243" s="73"/>
      <c r="W3243" s="73"/>
      <c r="X3243" s="73"/>
      <c r="Y3243" s="73"/>
      <c r="Z3243" s="73"/>
      <c r="AA3243" s="73"/>
      <c r="AB3243" s="73"/>
    </row>
    <row r="3244">
      <c r="A3244" s="73"/>
      <c r="B3244" s="73">
        <v>3249946.538</v>
      </c>
      <c r="C3244" s="73">
        <v>2.80802382600174E8</v>
      </c>
      <c r="D3244" s="73">
        <v>1.28316043395993E8</v>
      </c>
      <c r="E3244" s="73">
        <v>1.70033420216689E7</v>
      </c>
      <c r="F3244" s="73"/>
      <c r="G3244" s="73"/>
      <c r="H3244" s="73"/>
      <c r="I3244" s="73"/>
      <c r="J3244" s="73"/>
      <c r="K3244" s="73"/>
      <c r="L3244" s="73"/>
      <c r="M3244" s="73"/>
      <c r="N3244" s="73"/>
      <c r="O3244" s="73"/>
      <c r="P3244" s="73"/>
      <c r="Q3244" s="73"/>
      <c r="R3244" s="73"/>
      <c r="S3244" s="73"/>
      <c r="T3244" s="73"/>
      <c r="U3244" s="73"/>
      <c r="V3244" s="73"/>
      <c r="W3244" s="73"/>
      <c r="X3244" s="73"/>
      <c r="Y3244" s="73"/>
      <c r="Z3244" s="73"/>
      <c r="AA3244" s="73"/>
      <c r="AB3244" s="73"/>
    </row>
    <row r="3245">
      <c r="A3245" s="73"/>
      <c r="B3245" s="73">
        <v>3254366.529</v>
      </c>
      <c r="C3245" s="73">
        <v>2.81038112513626E8</v>
      </c>
      <c r="D3245" s="73">
        <v>1.28448681840001E8</v>
      </c>
      <c r="E3245" s="73">
        <v>1.70221676113247E7</v>
      </c>
      <c r="F3245" s="73"/>
      <c r="G3245" s="73"/>
      <c r="H3245" s="73"/>
      <c r="I3245" s="73"/>
      <c r="J3245" s="73"/>
      <c r="K3245" s="73"/>
      <c r="L3245" s="73"/>
      <c r="M3245" s="73"/>
      <c r="N3245" s="73"/>
      <c r="O3245" s="73"/>
      <c r="P3245" s="73"/>
      <c r="Q3245" s="73"/>
      <c r="R3245" s="73"/>
      <c r="S3245" s="73"/>
      <c r="T3245" s="73"/>
      <c r="U3245" s="73"/>
      <c r="V3245" s="73"/>
      <c r="W3245" s="73"/>
      <c r="X3245" s="73"/>
      <c r="Y3245" s="73"/>
      <c r="Z3245" s="73"/>
      <c r="AA3245" s="73"/>
      <c r="AB3245" s="73"/>
    </row>
    <row r="3246">
      <c r="A3246" s="73"/>
      <c r="B3246" s="73">
        <v>3258792.328</v>
      </c>
      <c r="C3246" s="73">
        <v>2.81273974267075E8</v>
      </c>
      <c r="D3246" s="73">
        <v>1.28581423451995E8</v>
      </c>
      <c r="E3246" s="73">
        <v>1.70410096479396E7</v>
      </c>
      <c r="F3246" s="73"/>
      <c r="G3246" s="73"/>
      <c r="H3246" s="73"/>
      <c r="I3246" s="73"/>
      <c r="J3246" s="73"/>
      <c r="K3246" s="73"/>
      <c r="L3246" s="73"/>
      <c r="M3246" s="73"/>
      <c r="N3246" s="73"/>
      <c r="O3246" s="73"/>
      <c r="P3246" s="73"/>
      <c r="Q3246" s="73"/>
      <c r="R3246" s="73"/>
      <c r="S3246" s="73"/>
      <c r="T3246" s="73"/>
      <c r="U3246" s="73"/>
      <c r="V3246" s="73"/>
      <c r="W3246" s="73"/>
      <c r="X3246" s="73"/>
      <c r="Y3246" s="73"/>
      <c r="Z3246" s="73"/>
      <c r="AA3246" s="73"/>
      <c r="AB3246" s="73"/>
    </row>
    <row r="3247">
      <c r="A3247" s="73"/>
      <c r="B3247" s="73">
        <v>3263223.861</v>
      </c>
      <c r="C3247" s="73">
        <v>2.8150993490052E8</v>
      </c>
      <c r="D3247" s="73">
        <v>1.28714257976003E8</v>
      </c>
      <c r="E3247" s="73">
        <v>1.70598684783456E7</v>
      </c>
      <c r="F3247" s="73"/>
      <c r="G3247" s="73"/>
      <c r="H3247" s="73"/>
      <c r="I3247" s="73"/>
      <c r="J3247" s="73"/>
      <c r="K3247" s="73"/>
      <c r="L3247" s="73"/>
      <c r="M3247" s="73"/>
      <c r="N3247" s="73"/>
      <c r="O3247" s="73"/>
      <c r="P3247" s="73"/>
      <c r="Q3247" s="73"/>
      <c r="R3247" s="73"/>
      <c r="S3247" s="73"/>
      <c r="T3247" s="73"/>
      <c r="U3247" s="73"/>
      <c r="V3247" s="73"/>
      <c r="W3247" s="73"/>
      <c r="X3247" s="73"/>
      <c r="Y3247" s="73"/>
      <c r="Z3247" s="73"/>
      <c r="AA3247" s="73"/>
      <c r="AB3247" s="73"/>
    </row>
    <row r="3248">
      <c r="A3248" s="73"/>
      <c r="B3248" s="73">
        <v>3267661.332</v>
      </c>
      <c r="C3248" s="73">
        <v>2.81745994413963E8</v>
      </c>
      <c r="D3248" s="73">
        <v>1.28847175187996E8</v>
      </c>
      <c r="E3248" s="73">
        <v>1.70787439677106E7</v>
      </c>
      <c r="F3248" s="73"/>
      <c r="G3248" s="73"/>
      <c r="H3248" s="73"/>
      <c r="I3248" s="73"/>
      <c r="J3248" s="73"/>
      <c r="K3248" s="73"/>
      <c r="L3248" s="73"/>
      <c r="M3248" s="73"/>
      <c r="N3248" s="73"/>
      <c r="O3248" s="73"/>
      <c r="P3248" s="73"/>
      <c r="Q3248" s="73"/>
      <c r="R3248" s="73"/>
      <c r="S3248" s="73"/>
      <c r="T3248" s="73"/>
      <c r="U3248" s="73"/>
      <c r="V3248" s="73"/>
      <c r="W3248" s="73"/>
      <c r="X3248" s="73"/>
      <c r="Y3248" s="73"/>
      <c r="Z3248" s="73"/>
      <c r="AA3248" s="73"/>
      <c r="AB3248" s="73"/>
    </row>
    <row r="3249">
      <c r="A3249" s="73"/>
      <c r="B3249" s="73">
        <v>3272104.535</v>
      </c>
      <c r="C3249" s="73">
        <v>2.81982218727402E8</v>
      </c>
      <c r="D3249" s="73">
        <v>1.2898018531999E8</v>
      </c>
      <c r="E3249" s="73">
        <v>1.70976360176668E7</v>
      </c>
      <c r="F3249" s="73"/>
      <c r="G3249" s="73"/>
      <c r="H3249" s="73"/>
      <c r="I3249" s="73"/>
      <c r="J3249" s="73"/>
      <c r="K3249" s="73"/>
      <c r="L3249" s="73"/>
      <c r="M3249" s="73"/>
      <c r="N3249" s="73"/>
      <c r="O3249" s="73"/>
      <c r="P3249" s="73"/>
      <c r="Q3249" s="73"/>
      <c r="R3249" s="73"/>
      <c r="S3249" s="73"/>
      <c r="T3249" s="73"/>
      <c r="U3249" s="73"/>
      <c r="V3249" s="73"/>
      <c r="W3249" s="73"/>
      <c r="X3249" s="73"/>
      <c r="Y3249" s="73"/>
      <c r="Z3249" s="73"/>
      <c r="AA3249" s="73"/>
      <c r="AB3249" s="73"/>
    </row>
    <row r="3250">
      <c r="A3250" s="73"/>
      <c r="B3250" s="73">
        <v>3276553.597</v>
      </c>
      <c r="C3250" s="73">
        <v>2.82218574880836E8</v>
      </c>
      <c r="D3250" s="73">
        <v>1.29113278131998E8</v>
      </c>
      <c r="E3250" s="73">
        <v>1.71165447265821E7</v>
      </c>
      <c r="F3250" s="73"/>
      <c r="G3250" s="73"/>
      <c r="H3250" s="73"/>
      <c r="I3250" s="73"/>
      <c r="J3250" s="73"/>
      <c r="K3250" s="73"/>
      <c r="L3250" s="73"/>
      <c r="M3250" s="73"/>
      <c r="N3250" s="73"/>
      <c r="O3250" s="73"/>
      <c r="P3250" s="73"/>
      <c r="Q3250" s="73"/>
      <c r="R3250" s="73"/>
      <c r="S3250" s="73"/>
      <c r="T3250" s="73"/>
      <c r="U3250" s="73"/>
      <c r="V3250" s="73"/>
      <c r="W3250" s="73"/>
      <c r="X3250" s="73"/>
      <c r="Y3250" s="73"/>
      <c r="Z3250" s="73"/>
      <c r="AA3250" s="73"/>
      <c r="AB3250" s="73"/>
    </row>
    <row r="3251">
      <c r="A3251" s="73"/>
      <c r="B3251" s="73">
        <v>3281008.49</v>
      </c>
      <c r="C3251" s="73">
        <v>2.82455062874268E8</v>
      </c>
      <c r="D3251" s="73">
        <v>1.29246474103991E8</v>
      </c>
      <c r="E3251" s="73">
        <v>1.71354705684884E7</v>
      </c>
      <c r="F3251" s="73"/>
      <c r="G3251" s="73"/>
      <c r="H3251" s="73"/>
      <c r="I3251" s="73"/>
      <c r="J3251" s="73"/>
      <c r="K3251" s="73"/>
      <c r="L3251" s="73"/>
      <c r="M3251" s="73"/>
      <c r="N3251" s="73"/>
      <c r="O3251" s="73"/>
      <c r="P3251" s="73"/>
      <c r="Q3251" s="73"/>
      <c r="R3251" s="73"/>
      <c r="S3251" s="73"/>
      <c r="T3251" s="73"/>
      <c r="U3251" s="73"/>
      <c r="V3251" s="73"/>
      <c r="W3251" s="73"/>
      <c r="X3251" s="73"/>
      <c r="Y3251" s="73"/>
      <c r="Z3251" s="73"/>
      <c r="AA3251" s="73"/>
      <c r="AB3251" s="73"/>
    </row>
    <row r="3252">
      <c r="A3252" s="73"/>
      <c r="B3252" s="73">
        <v>3285469.247</v>
      </c>
      <c r="C3252" s="73">
        <v>2.82691649747696E8</v>
      </c>
      <c r="D3252" s="73">
        <v>1.29379742524E8</v>
      </c>
      <c r="E3252" s="73">
        <v>1.71544126665539E7</v>
      </c>
      <c r="F3252" s="73"/>
      <c r="G3252" s="73"/>
      <c r="H3252" s="73"/>
      <c r="I3252" s="73"/>
      <c r="J3252" s="73"/>
      <c r="K3252" s="73"/>
      <c r="L3252" s="73"/>
      <c r="M3252" s="73"/>
      <c r="N3252" s="73"/>
      <c r="O3252" s="73"/>
      <c r="P3252" s="73"/>
      <c r="Q3252" s="73"/>
      <c r="R3252" s="73"/>
      <c r="S3252" s="73"/>
      <c r="T3252" s="73"/>
      <c r="U3252" s="73"/>
      <c r="V3252" s="73"/>
      <c r="W3252" s="73"/>
      <c r="X3252" s="73"/>
      <c r="Y3252" s="73"/>
      <c r="Z3252" s="73"/>
      <c r="AA3252" s="73"/>
      <c r="AB3252" s="73"/>
    </row>
    <row r="3253">
      <c r="A3253" s="73"/>
      <c r="B3253" s="73">
        <v>3289935.785</v>
      </c>
      <c r="C3253" s="73">
        <v>2.82928368461121E8</v>
      </c>
      <c r="D3253" s="73">
        <v>1.29513114095993E8</v>
      </c>
      <c r="E3253" s="73">
        <v>1.71733709359785E7</v>
      </c>
      <c r="F3253" s="73"/>
      <c r="G3253" s="73"/>
      <c r="H3253" s="73"/>
      <c r="I3253" s="73"/>
      <c r="J3253" s="73"/>
      <c r="K3253" s="73"/>
      <c r="L3253" s="73"/>
      <c r="M3253" s="73"/>
      <c r="N3253" s="73"/>
      <c r="O3253" s="73"/>
      <c r="P3253" s="73"/>
      <c r="Q3253" s="73"/>
      <c r="R3253" s="73"/>
      <c r="S3253" s="73"/>
      <c r="T3253" s="73"/>
      <c r="U3253" s="73"/>
      <c r="V3253" s="73"/>
      <c r="W3253" s="73"/>
      <c r="X3253" s="73"/>
      <c r="Y3253" s="73"/>
      <c r="Z3253" s="73"/>
      <c r="AA3253" s="73"/>
      <c r="AB3253" s="73"/>
    </row>
    <row r="3254">
      <c r="A3254" s="73"/>
      <c r="B3254" s="73">
        <v>3294408.12</v>
      </c>
      <c r="C3254" s="73">
        <v>2.83165186054543E8</v>
      </c>
      <c r="D3254" s="73">
        <v>1.29646558116002E8</v>
      </c>
      <c r="E3254" s="73">
        <v>1.71923466139942E7</v>
      </c>
      <c r="F3254" s="73"/>
      <c r="G3254" s="73"/>
      <c r="H3254" s="73"/>
      <c r="I3254" s="73"/>
      <c r="J3254" s="73"/>
      <c r="K3254" s="73"/>
      <c r="L3254" s="73"/>
      <c r="M3254" s="73"/>
      <c r="N3254" s="73"/>
      <c r="O3254" s="73"/>
      <c r="P3254" s="73"/>
      <c r="Q3254" s="73"/>
      <c r="R3254" s="73"/>
      <c r="S3254" s="73"/>
      <c r="T3254" s="73"/>
      <c r="U3254" s="73"/>
      <c r="V3254" s="73"/>
      <c r="W3254" s="73"/>
      <c r="X3254" s="73"/>
      <c r="Y3254" s="73"/>
      <c r="Z3254" s="73"/>
      <c r="AA3254" s="73"/>
      <c r="AB3254" s="73"/>
    </row>
    <row r="3255">
      <c r="A3255" s="73"/>
      <c r="B3255" s="73">
        <v>3298886.412</v>
      </c>
      <c r="C3255" s="73">
        <v>2.8340216844796E8</v>
      </c>
      <c r="D3255" s="73">
        <v>1.29780105367995E8</v>
      </c>
      <c r="E3255" s="73">
        <v>1.7211338039369E7</v>
      </c>
      <c r="F3255" s="73"/>
      <c r="G3255" s="73"/>
      <c r="H3255" s="73"/>
      <c r="I3255" s="73"/>
      <c r="J3255" s="73"/>
      <c r="K3255" s="73"/>
      <c r="L3255" s="73"/>
      <c r="M3255" s="73"/>
      <c r="N3255" s="73"/>
      <c r="O3255" s="73"/>
      <c r="P3255" s="73"/>
      <c r="Q3255" s="73"/>
      <c r="R3255" s="73"/>
      <c r="S3255" s="73"/>
      <c r="T3255" s="73"/>
      <c r="U3255" s="73"/>
      <c r="V3255" s="73"/>
      <c r="W3255" s="73"/>
      <c r="X3255" s="73"/>
      <c r="Y3255" s="73"/>
      <c r="Z3255" s="73"/>
      <c r="AA3255" s="73"/>
      <c r="AB3255" s="73"/>
    </row>
    <row r="3256">
      <c r="A3256" s="73"/>
      <c r="B3256" s="73">
        <v>3303370.435</v>
      </c>
      <c r="C3256" s="73">
        <v>2.83639249721375E8</v>
      </c>
      <c r="D3256" s="73">
        <v>1.29913735236004E8</v>
      </c>
      <c r="E3256" s="73">
        <v>1.72303469581349E7</v>
      </c>
      <c r="F3256" s="73"/>
      <c r="G3256" s="73"/>
      <c r="H3256" s="73"/>
      <c r="I3256" s="73"/>
      <c r="J3256" s="73"/>
      <c r="K3256" s="73"/>
      <c r="L3256" s="73"/>
      <c r="M3256" s="73"/>
      <c r="N3256" s="73"/>
      <c r="O3256" s="73"/>
      <c r="P3256" s="73"/>
      <c r="Q3256" s="73"/>
      <c r="R3256" s="73"/>
      <c r="S3256" s="73"/>
      <c r="T3256" s="73"/>
      <c r="U3256" s="73"/>
      <c r="V3256" s="73"/>
      <c r="W3256" s="73"/>
      <c r="X3256" s="73"/>
      <c r="Y3256" s="73"/>
      <c r="Z3256" s="73"/>
      <c r="AA3256" s="73"/>
      <c r="AB3256" s="73"/>
    </row>
    <row r="3257">
      <c r="A3257" s="73"/>
      <c r="B3257" s="73">
        <v>3307860.395</v>
      </c>
      <c r="C3257" s="73">
        <v>2.83876462834785E8</v>
      </c>
      <c r="D3257" s="73">
        <v>1.30047458015997E8</v>
      </c>
      <c r="E3257" s="73">
        <v>1.72493728614918E7</v>
      </c>
      <c r="F3257" s="73"/>
      <c r="G3257" s="73"/>
      <c r="H3257" s="73"/>
      <c r="I3257" s="73"/>
      <c r="J3257" s="73"/>
      <c r="K3257" s="73"/>
      <c r="L3257" s="73"/>
      <c r="M3257" s="73"/>
      <c r="N3257" s="73"/>
      <c r="O3257" s="73"/>
      <c r="P3257" s="73"/>
      <c r="Q3257" s="73"/>
      <c r="R3257" s="73"/>
      <c r="S3257" s="73"/>
      <c r="T3257" s="73"/>
      <c r="U3257" s="73"/>
      <c r="V3257" s="73"/>
      <c r="W3257" s="73"/>
      <c r="X3257" s="73"/>
      <c r="Y3257" s="73"/>
      <c r="Z3257" s="73"/>
      <c r="AA3257" s="73"/>
      <c r="AB3257" s="73"/>
    </row>
    <row r="3258">
      <c r="A3258" s="73"/>
      <c r="B3258" s="73">
        <v>3312356.041</v>
      </c>
      <c r="C3258" s="73">
        <v>2.84113840748192E8</v>
      </c>
      <c r="D3258" s="73">
        <v>1.3018126355599E8</v>
      </c>
      <c r="E3258" s="73">
        <v>1.72684143349759E7</v>
      </c>
      <c r="F3258" s="73"/>
      <c r="G3258" s="73"/>
      <c r="H3258" s="73"/>
      <c r="I3258" s="73"/>
      <c r="J3258" s="73"/>
      <c r="K3258" s="73"/>
      <c r="L3258" s="73"/>
      <c r="M3258" s="73"/>
      <c r="N3258" s="73"/>
      <c r="O3258" s="73"/>
      <c r="P3258" s="73"/>
      <c r="Q3258" s="73"/>
      <c r="R3258" s="73"/>
      <c r="S3258" s="73"/>
      <c r="T3258" s="73"/>
      <c r="U3258" s="73"/>
      <c r="V3258" s="73"/>
      <c r="W3258" s="73"/>
      <c r="X3258" s="73"/>
      <c r="Y3258" s="73"/>
      <c r="Z3258" s="73"/>
      <c r="AA3258" s="73"/>
      <c r="AB3258" s="73"/>
    </row>
    <row r="3259">
      <c r="A3259" s="73"/>
      <c r="B3259" s="73">
        <v>3316857.683</v>
      </c>
      <c r="C3259" s="73">
        <v>2.84351284581596E8</v>
      </c>
      <c r="D3259" s="73">
        <v>1.30315172255999E8</v>
      </c>
      <c r="E3259" s="73">
        <v>1.72874732806511E7</v>
      </c>
      <c r="F3259" s="73"/>
      <c r="G3259" s="73"/>
      <c r="H3259" s="73"/>
      <c r="I3259" s="73"/>
      <c r="J3259" s="73"/>
      <c r="K3259" s="73"/>
      <c r="L3259" s="73"/>
      <c r="M3259" s="73"/>
      <c r="N3259" s="73"/>
      <c r="O3259" s="73"/>
      <c r="P3259" s="73"/>
      <c r="Q3259" s="73"/>
      <c r="R3259" s="73"/>
      <c r="S3259" s="73"/>
      <c r="T3259" s="73"/>
      <c r="U3259" s="73"/>
      <c r="V3259" s="73"/>
      <c r="W3259" s="73"/>
      <c r="X3259" s="73"/>
      <c r="Y3259" s="73"/>
      <c r="Z3259" s="73"/>
      <c r="AA3259" s="73"/>
      <c r="AB3259" s="73"/>
    </row>
    <row r="3260">
      <c r="A3260" s="73"/>
      <c r="B3260" s="73">
        <v>3321365.156</v>
      </c>
      <c r="C3260" s="73">
        <v>2.84588893214996E8</v>
      </c>
      <c r="D3260" s="73">
        <v>1.30449163635992E8</v>
      </c>
      <c r="E3260" s="73">
        <v>1.73065491473173E7</v>
      </c>
      <c r="F3260" s="73"/>
      <c r="G3260" s="73"/>
      <c r="H3260" s="73"/>
      <c r="I3260" s="73"/>
      <c r="J3260" s="73"/>
      <c r="K3260" s="73"/>
      <c r="L3260" s="73"/>
      <c r="M3260" s="73"/>
      <c r="N3260" s="73"/>
      <c r="O3260" s="73"/>
      <c r="P3260" s="73"/>
      <c r="Q3260" s="73"/>
      <c r="R3260" s="73"/>
      <c r="S3260" s="73"/>
      <c r="T3260" s="73"/>
      <c r="U3260" s="73"/>
      <c r="V3260" s="73"/>
      <c r="W3260" s="73"/>
      <c r="X3260" s="73"/>
      <c r="Y3260" s="73"/>
      <c r="Z3260" s="73"/>
      <c r="AA3260" s="73"/>
      <c r="AB3260" s="73"/>
    </row>
    <row r="3261">
      <c r="A3261" s="73"/>
      <c r="B3261" s="73">
        <v>3325878.535</v>
      </c>
      <c r="C3261" s="73">
        <v>2.84826600728394E8</v>
      </c>
      <c r="D3261" s="73">
        <v>1.30583237624001E8</v>
      </c>
      <c r="E3261" s="73">
        <v>1.73256419349747E7</v>
      </c>
      <c r="F3261" s="73"/>
      <c r="G3261" s="73"/>
      <c r="H3261" s="73"/>
      <c r="I3261" s="73"/>
      <c r="J3261" s="73"/>
      <c r="K3261" s="73"/>
      <c r="L3261" s="73"/>
      <c r="M3261" s="73"/>
      <c r="N3261" s="73"/>
      <c r="O3261" s="73"/>
      <c r="P3261" s="73"/>
      <c r="Q3261" s="73"/>
      <c r="R3261" s="73"/>
      <c r="S3261" s="73"/>
      <c r="T3261" s="73"/>
      <c r="U3261" s="73"/>
      <c r="V3261" s="73"/>
      <c r="W3261" s="73"/>
      <c r="X3261" s="73"/>
      <c r="Y3261" s="73"/>
      <c r="Z3261" s="73"/>
      <c r="AA3261" s="73"/>
      <c r="AB3261" s="73"/>
    </row>
    <row r="3262">
      <c r="A3262" s="73"/>
      <c r="B3262" s="73">
        <v>3330397.683</v>
      </c>
      <c r="C3262" s="73">
        <v>2.85064440081787E8</v>
      </c>
      <c r="D3262" s="73">
        <v>1.30717404611994E8</v>
      </c>
      <c r="E3262" s="73">
        <v>1.73447502503592E7</v>
      </c>
      <c r="F3262" s="73"/>
      <c r="G3262" s="73"/>
      <c r="H3262" s="73"/>
      <c r="I3262" s="73"/>
      <c r="J3262" s="73"/>
      <c r="K3262" s="73"/>
      <c r="L3262" s="73"/>
      <c r="M3262" s="73"/>
      <c r="N3262" s="73"/>
      <c r="O3262" s="73"/>
      <c r="P3262" s="73"/>
      <c r="Q3262" s="73"/>
      <c r="R3262" s="73"/>
      <c r="S3262" s="73"/>
      <c r="T3262" s="73"/>
      <c r="U3262" s="73"/>
      <c r="V3262" s="73"/>
      <c r="W3262" s="73"/>
      <c r="X3262" s="73"/>
      <c r="Y3262" s="73"/>
      <c r="Z3262" s="73"/>
      <c r="AA3262" s="73"/>
      <c r="AB3262" s="73"/>
    </row>
    <row r="3263">
      <c r="A3263" s="73"/>
      <c r="B3263" s="73">
        <v>3334922.763</v>
      </c>
      <c r="C3263" s="73">
        <v>2.85302411275177E8</v>
      </c>
      <c r="D3263" s="73">
        <v>1.30851664440002E8</v>
      </c>
      <c r="E3263" s="73">
        <v>1.73638758259348E7</v>
      </c>
      <c r="F3263" s="73"/>
      <c r="G3263" s="73"/>
      <c r="H3263" s="73"/>
      <c r="I3263" s="73"/>
      <c r="J3263" s="73"/>
      <c r="K3263" s="73"/>
      <c r="L3263" s="73"/>
      <c r="M3263" s="73"/>
      <c r="N3263" s="73"/>
      <c r="O3263" s="73"/>
      <c r="P3263" s="73"/>
      <c r="Q3263" s="73"/>
      <c r="R3263" s="73"/>
      <c r="S3263" s="73"/>
      <c r="T3263" s="73"/>
      <c r="U3263" s="73"/>
      <c r="V3263" s="73"/>
      <c r="W3263" s="73"/>
      <c r="X3263" s="73"/>
      <c r="Y3263" s="73"/>
      <c r="Z3263" s="73"/>
      <c r="AA3263" s="73"/>
      <c r="AB3263" s="73"/>
    </row>
    <row r="3264">
      <c r="A3264" s="73"/>
      <c r="B3264" s="73">
        <v>3339453.622</v>
      </c>
      <c r="C3264" s="73">
        <v>2.85540547268562E8</v>
      </c>
      <c r="D3264" s="73">
        <v>1.30986017267996E8</v>
      </c>
      <c r="E3264" s="73">
        <v>1.73830185133014E7</v>
      </c>
      <c r="F3264" s="73"/>
      <c r="G3264" s="73"/>
      <c r="H3264" s="73"/>
      <c r="I3264" s="73"/>
      <c r="J3264" s="73"/>
      <c r="K3264" s="73"/>
      <c r="L3264" s="73"/>
      <c r="M3264" s="73"/>
      <c r="N3264" s="73"/>
      <c r="O3264" s="73"/>
      <c r="P3264" s="73"/>
      <c r="Q3264" s="73"/>
      <c r="R3264" s="73"/>
      <c r="S3264" s="73"/>
      <c r="T3264" s="73"/>
      <c r="U3264" s="73"/>
      <c r="V3264" s="73"/>
      <c r="W3264" s="73"/>
      <c r="X3264" s="73"/>
      <c r="Y3264" s="73"/>
      <c r="Z3264" s="73"/>
      <c r="AA3264" s="73"/>
      <c r="AB3264" s="73"/>
    </row>
    <row r="3265">
      <c r="A3265" s="73"/>
      <c r="B3265" s="73">
        <v>3343990.436</v>
      </c>
      <c r="C3265" s="73">
        <v>2.85778749181946E8</v>
      </c>
      <c r="D3265" s="73">
        <v>1.31120452856004E8</v>
      </c>
      <c r="E3265" s="73">
        <v>1.74021779444271E7</v>
      </c>
      <c r="F3265" s="73"/>
      <c r="G3265" s="73"/>
      <c r="H3265" s="73"/>
      <c r="I3265" s="73"/>
      <c r="J3265" s="73"/>
      <c r="K3265" s="73"/>
      <c r="L3265" s="73"/>
      <c r="M3265" s="73"/>
      <c r="N3265" s="73"/>
      <c r="O3265" s="73"/>
      <c r="P3265" s="73"/>
      <c r="Q3265" s="73"/>
      <c r="R3265" s="73"/>
      <c r="S3265" s="73"/>
      <c r="T3265" s="73"/>
      <c r="U3265" s="73"/>
      <c r="V3265" s="73"/>
      <c r="W3265" s="73"/>
      <c r="X3265" s="73"/>
      <c r="Y3265" s="73"/>
      <c r="Z3265" s="73"/>
      <c r="AA3265" s="73"/>
      <c r="AB3265" s="73"/>
    </row>
    <row r="3266">
      <c r="A3266" s="73"/>
      <c r="B3266" s="73">
        <v>3348533.105</v>
      </c>
      <c r="C3266" s="73">
        <v>2.86017082935326E8</v>
      </c>
      <c r="D3266" s="73">
        <v>1.31254971043998E8</v>
      </c>
      <c r="E3266" s="73">
        <v>1.7421353957344E7</v>
      </c>
      <c r="F3266" s="73"/>
      <c r="G3266" s="73"/>
      <c r="H3266" s="73"/>
      <c r="I3266" s="73"/>
      <c r="J3266" s="73"/>
      <c r="K3266" s="73"/>
      <c r="L3266" s="73"/>
      <c r="M3266" s="73"/>
      <c r="N3266" s="73"/>
      <c r="O3266" s="73"/>
      <c r="P3266" s="73"/>
      <c r="Q3266" s="73"/>
      <c r="R3266" s="73"/>
      <c r="S3266" s="73"/>
      <c r="T3266" s="73"/>
      <c r="U3266" s="73"/>
      <c r="V3266" s="73"/>
      <c r="W3266" s="73"/>
      <c r="X3266" s="73"/>
      <c r="Y3266" s="73"/>
      <c r="Z3266" s="73"/>
      <c r="AA3266" s="73"/>
      <c r="AB3266" s="73"/>
    </row>
    <row r="3267">
      <c r="A3267" s="73"/>
      <c r="B3267" s="73">
        <v>3353081.723</v>
      </c>
      <c r="C3267" s="73">
        <v>2.86255548528702E8</v>
      </c>
      <c r="D3267" s="73">
        <v>1.31389592471991E8</v>
      </c>
      <c r="E3267" s="73">
        <v>1.74405466292199E7</v>
      </c>
      <c r="F3267" s="73"/>
      <c r="G3267" s="73"/>
      <c r="H3267" s="73"/>
      <c r="I3267" s="73"/>
      <c r="J3267" s="73"/>
      <c r="K3267" s="73"/>
      <c r="L3267" s="73"/>
      <c r="M3267" s="73"/>
      <c r="N3267" s="73"/>
      <c r="O3267" s="73"/>
      <c r="P3267" s="73"/>
      <c r="Q3267" s="73"/>
      <c r="R3267" s="73"/>
      <c r="S3267" s="73"/>
      <c r="T3267" s="73"/>
      <c r="U3267" s="73"/>
      <c r="V3267" s="73"/>
      <c r="W3267" s="73"/>
      <c r="X3267" s="73"/>
      <c r="Y3267" s="73"/>
      <c r="Z3267" s="73"/>
      <c r="AA3267" s="73"/>
      <c r="AB3267" s="73"/>
    </row>
    <row r="3268">
      <c r="A3268" s="73"/>
      <c r="B3268" s="73">
        <v>3357636.096</v>
      </c>
      <c r="C3268" s="73">
        <v>2.86494178922073E8</v>
      </c>
      <c r="D3268" s="73">
        <v>1.31524296427999E8</v>
      </c>
      <c r="E3268" s="73">
        <v>1.7459755769255E7</v>
      </c>
      <c r="F3268" s="73"/>
      <c r="G3268" s="73"/>
      <c r="H3268" s="73"/>
      <c r="I3268" s="73"/>
      <c r="J3268" s="73"/>
      <c r="K3268" s="73"/>
      <c r="L3268" s="73"/>
      <c r="M3268" s="73"/>
      <c r="N3268" s="73"/>
      <c r="O3268" s="73"/>
      <c r="P3268" s="73"/>
      <c r="Q3268" s="73"/>
      <c r="R3268" s="73"/>
      <c r="S3268" s="73"/>
      <c r="T3268" s="73"/>
      <c r="U3268" s="73"/>
      <c r="V3268" s="73"/>
      <c r="W3268" s="73"/>
      <c r="X3268" s="73"/>
      <c r="Y3268" s="73"/>
      <c r="Z3268" s="73"/>
      <c r="AA3268" s="73"/>
      <c r="AB3268" s="73"/>
    </row>
    <row r="3269">
      <c r="A3269" s="73"/>
      <c r="B3269" s="73">
        <v>3362196.448</v>
      </c>
      <c r="C3269" s="73">
        <v>2.86732875235443E8</v>
      </c>
      <c r="D3269" s="73">
        <v>1.31659093455993E8</v>
      </c>
      <c r="E3269" s="73">
        <v>1.74789821694811E7</v>
      </c>
      <c r="F3269" s="73"/>
      <c r="G3269" s="73"/>
      <c r="H3269" s="73"/>
      <c r="I3269" s="73"/>
      <c r="J3269" s="73"/>
      <c r="K3269" s="73"/>
      <c r="L3269" s="73"/>
      <c r="M3269" s="73"/>
      <c r="N3269" s="73"/>
      <c r="O3269" s="73"/>
      <c r="P3269" s="73"/>
      <c r="Q3269" s="73"/>
      <c r="R3269" s="73"/>
      <c r="S3269" s="73"/>
      <c r="T3269" s="73"/>
      <c r="U3269" s="73"/>
      <c r="V3269" s="73"/>
      <c r="W3269" s="73"/>
      <c r="X3269" s="73"/>
      <c r="Y3269" s="73"/>
      <c r="Z3269" s="73"/>
      <c r="AA3269" s="73"/>
      <c r="AB3269" s="73"/>
    </row>
    <row r="3270">
      <c r="A3270" s="73"/>
      <c r="B3270" s="73">
        <v>3366762.634</v>
      </c>
      <c r="C3270" s="73">
        <v>2.86971736348808E8</v>
      </c>
      <c r="D3270" s="73">
        <v>1.31793973172001E8</v>
      </c>
      <c r="E3270" s="73">
        <v>1.74982254906984E7</v>
      </c>
      <c r="F3270" s="73"/>
      <c r="G3270" s="73"/>
      <c r="H3270" s="73"/>
      <c r="I3270" s="73"/>
      <c r="J3270" s="73"/>
      <c r="K3270" s="73"/>
      <c r="L3270" s="73"/>
      <c r="M3270" s="73"/>
      <c r="N3270" s="73"/>
      <c r="O3270" s="73"/>
      <c r="P3270" s="73"/>
      <c r="Q3270" s="73"/>
      <c r="R3270" s="73"/>
      <c r="S3270" s="73"/>
      <c r="T3270" s="73"/>
      <c r="U3270" s="73"/>
      <c r="V3270" s="73"/>
      <c r="W3270" s="73"/>
      <c r="X3270" s="73"/>
      <c r="Y3270" s="73"/>
      <c r="Z3270" s="73"/>
      <c r="AA3270" s="73"/>
      <c r="AB3270" s="73"/>
    </row>
    <row r="3271">
      <c r="A3271" s="73"/>
      <c r="B3271" s="73">
        <v>3371334.754</v>
      </c>
      <c r="C3271" s="73">
        <v>2.8721072930217E8</v>
      </c>
      <c r="D3271" s="73">
        <v>1.31928955967995E8</v>
      </c>
      <c r="E3271" s="73">
        <v>1.75174852800747E7</v>
      </c>
      <c r="F3271" s="73"/>
      <c r="G3271" s="73"/>
      <c r="H3271" s="73"/>
      <c r="I3271" s="73"/>
      <c r="J3271" s="73"/>
      <c r="K3271" s="73"/>
      <c r="L3271" s="73"/>
      <c r="M3271" s="73"/>
      <c r="N3271" s="73"/>
      <c r="O3271" s="73"/>
      <c r="P3271" s="73"/>
      <c r="Q3271" s="73"/>
      <c r="R3271" s="73"/>
      <c r="S3271" s="73"/>
      <c r="T3271" s="73"/>
      <c r="U3271" s="73"/>
      <c r="V3271" s="73"/>
      <c r="W3271" s="73"/>
      <c r="X3271" s="73"/>
      <c r="Y3271" s="73"/>
      <c r="Z3271" s="73"/>
      <c r="AA3271" s="73"/>
      <c r="AB3271" s="73"/>
    </row>
    <row r="3272">
      <c r="A3272" s="73"/>
      <c r="B3272" s="73">
        <v>3375912.763</v>
      </c>
      <c r="C3272" s="73">
        <v>2.87449821135529E8</v>
      </c>
      <c r="D3272" s="73">
        <v>1.32064021524003E8</v>
      </c>
      <c r="E3272" s="73">
        <v>1.75367614528101E7</v>
      </c>
      <c r="F3272" s="73"/>
      <c r="G3272" s="73"/>
      <c r="H3272" s="73"/>
      <c r="I3272" s="73"/>
      <c r="J3272" s="73"/>
      <c r="K3272" s="73"/>
      <c r="L3272" s="73"/>
      <c r="M3272" s="73"/>
      <c r="N3272" s="73"/>
      <c r="O3272" s="73"/>
      <c r="P3272" s="73"/>
      <c r="Q3272" s="73"/>
      <c r="R3272" s="73"/>
      <c r="S3272" s="73"/>
      <c r="T3272" s="73"/>
      <c r="U3272" s="73"/>
      <c r="V3272" s="73"/>
      <c r="W3272" s="73"/>
      <c r="X3272" s="73"/>
      <c r="Y3272" s="73"/>
      <c r="Z3272" s="73"/>
      <c r="AA3272" s="73"/>
      <c r="AB3272" s="73"/>
    </row>
    <row r="3273">
      <c r="A3273" s="73"/>
      <c r="B3273" s="73">
        <v>3380496.71</v>
      </c>
      <c r="C3273" s="73">
        <v>2.87689044808884E8</v>
      </c>
      <c r="D3273" s="73">
        <v>1.32199169679996E8</v>
      </c>
      <c r="E3273" s="73">
        <v>1.75560549069366E7</v>
      </c>
      <c r="F3273" s="73"/>
      <c r="G3273" s="73"/>
      <c r="H3273" s="73"/>
      <c r="I3273" s="73"/>
      <c r="J3273" s="73"/>
      <c r="K3273" s="73"/>
      <c r="L3273" s="73"/>
      <c r="M3273" s="73"/>
      <c r="N3273" s="73"/>
      <c r="O3273" s="73"/>
      <c r="P3273" s="73"/>
      <c r="Q3273" s="73"/>
      <c r="R3273" s="73"/>
      <c r="S3273" s="73"/>
      <c r="T3273" s="73"/>
      <c r="U3273" s="73"/>
      <c r="V3273" s="73"/>
      <c r="W3273" s="73"/>
      <c r="X3273" s="73"/>
      <c r="Y3273" s="73"/>
      <c r="Z3273" s="73"/>
      <c r="AA3273" s="73"/>
      <c r="AB3273" s="73"/>
    </row>
    <row r="3274">
      <c r="A3274" s="73"/>
      <c r="B3274" s="73">
        <v>3385086.48</v>
      </c>
      <c r="C3274" s="73">
        <v>2.87928400322235E8</v>
      </c>
      <c r="D3274" s="73">
        <v>1.3233442107599E8</v>
      </c>
      <c r="E3274" s="73">
        <v>1.75753653456542E7</v>
      </c>
      <c r="F3274" s="73"/>
      <c r="G3274" s="73"/>
      <c r="H3274" s="73"/>
      <c r="I3274" s="73"/>
      <c r="J3274" s="73"/>
      <c r="K3274" s="73"/>
      <c r="L3274" s="73"/>
      <c r="M3274" s="73"/>
      <c r="N3274" s="73"/>
      <c r="O3274" s="73"/>
      <c r="P3274" s="73"/>
      <c r="Q3274" s="73"/>
      <c r="R3274" s="73"/>
      <c r="S3274" s="73"/>
      <c r="T3274" s="73"/>
      <c r="U3274" s="73"/>
      <c r="V3274" s="73"/>
      <c r="W3274" s="73"/>
      <c r="X3274" s="73"/>
      <c r="Y3274" s="73"/>
      <c r="Z3274" s="73"/>
      <c r="AA3274" s="73"/>
      <c r="AB3274" s="73"/>
    </row>
    <row r="3275">
      <c r="A3275" s="73"/>
      <c r="B3275" s="73">
        <v>3389682.148</v>
      </c>
      <c r="C3275" s="73">
        <v>2.88167887675583E8</v>
      </c>
      <c r="D3275" s="73">
        <v>1.32469744919998E8</v>
      </c>
      <c r="E3275" s="73">
        <v>1.75946923797309E7</v>
      </c>
      <c r="F3275" s="73"/>
      <c r="G3275" s="73"/>
      <c r="H3275" s="73"/>
      <c r="I3275" s="73"/>
      <c r="J3275" s="73"/>
      <c r="K3275" s="73"/>
      <c r="L3275" s="73"/>
      <c r="M3275" s="73"/>
      <c r="N3275" s="73"/>
      <c r="O3275" s="73"/>
      <c r="P3275" s="73"/>
      <c r="Q3275" s="73"/>
      <c r="R3275" s="73"/>
      <c r="S3275" s="73"/>
      <c r="T3275" s="73"/>
      <c r="U3275" s="73"/>
      <c r="V3275" s="73"/>
      <c r="W3275" s="73"/>
      <c r="X3275" s="73"/>
      <c r="Y3275" s="73"/>
      <c r="Z3275" s="73"/>
      <c r="AA3275" s="73"/>
      <c r="AB3275" s="73"/>
    </row>
    <row r="3276">
      <c r="A3276" s="73"/>
      <c r="B3276" s="73">
        <v>3394283.785</v>
      </c>
      <c r="C3276" s="73">
        <v>2.88407473908928E8</v>
      </c>
      <c r="D3276" s="73">
        <v>1.32605171915991E8</v>
      </c>
      <c r="E3276" s="73">
        <v>1.76140358183667E7</v>
      </c>
      <c r="F3276" s="73"/>
      <c r="G3276" s="73"/>
      <c r="H3276" s="73"/>
      <c r="I3276" s="73"/>
      <c r="J3276" s="73"/>
      <c r="K3276" s="73"/>
      <c r="L3276" s="73"/>
      <c r="M3276" s="73"/>
      <c r="N3276" s="73"/>
      <c r="O3276" s="73"/>
      <c r="P3276" s="73"/>
      <c r="Q3276" s="73"/>
      <c r="R3276" s="73"/>
      <c r="S3276" s="73"/>
      <c r="T3276" s="73"/>
      <c r="U3276" s="73"/>
      <c r="V3276" s="73"/>
      <c r="W3276" s="73"/>
      <c r="X3276" s="73"/>
      <c r="Y3276" s="73"/>
      <c r="Z3276" s="73"/>
      <c r="AA3276" s="73"/>
      <c r="AB3276" s="73"/>
    </row>
    <row r="3277">
      <c r="A3277" s="73"/>
      <c r="B3277" s="73">
        <v>3398891.328</v>
      </c>
      <c r="C3277" s="73">
        <v>2.88647224942268E8</v>
      </c>
      <c r="D3277" s="73">
        <v>1.327406816E8</v>
      </c>
      <c r="E3277" s="73">
        <v>1.76333967291936E7</v>
      </c>
      <c r="F3277" s="73"/>
      <c r="G3277" s="73"/>
      <c r="H3277" s="73"/>
      <c r="I3277" s="73"/>
      <c r="J3277" s="73"/>
      <c r="K3277" s="73"/>
      <c r="L3277" s="73"/>
      <c r="M3277" s="73"/>
      <c r="N3277" s="73"/>
      <c r="O3277" s="73"/>
      <c r="P3277" s="73"/>
      <c r="Q3277" s="73"/>
      <c r="R3277" s="73"/>
      <c r="S3277" s="73"/>
      <c r="T3277" s="73"/>
      <c r="U3277" s="73"/>
      <c r="V3277" s="73"/>
      <c r="W3277" s="73"/>
      <c r="X3277" s="73"/>
      <c r="Y3277" s="73"/>
      <c r="Z3277" s="73"/>
      <c r="AA3277" s="73"/>
      <c r="AB3277" s="73"/>
    </row>
    <row r="3278">
      <c r="A3278" s="73"/>
      <c r="B3278" s="73">
        <v>3403504.725</v>
      </c>
      <c r="C3278" s="73">
        <v>2.88887107815605E8</v>
      </c>
      <c r="D3278" s="73">
        <v>1.32876294523993E8</v>
      </c>
      <c r="E3278" s="73">
        <v>1.76527738961796E7</v>
      </c>
      <c r="F3278" s="73"/>
      <c r="G3278" s="73"/>
      <c r="H3278" s="73"/>
      <c r="I3278" s="73"/>
      <c r="J3278" s="73"/>
      <c r="K3278" s="73"/>
      <c r="L3278" s="73"/>
      <c r="M3278" s="73"/>
      <c r="N3278" s="73"/>
      <c r="O3278" s="73"/>
      <c r="P3278" s="73"/>
      <c r="Q3278" s="73"/>
      <c r="R3278" s="73"/>
      <c r="S3278" s="73"/>
      <c r="T3278" s="73"/>
      <c r="U3278" s="73"/>
      <c r="V3278" s="73"/>
      <c r="W3278" s="73"/>
      <c r="X3278" s="73"/>
      <c r="Y3278" s="73"/>
      <c r="Z3278" s="73"/>
      <c r="AA3278" s="73"/>
      <c r="AB3278" s="73"/>
    </row>
    <row r="3279">
      <c r="A3279" s="73"/>
      <c r="B3279" s="73">
        <v>3408124.154</v>
      </c>
      <c r="C3279" s="73">
        <v>2.89127089568939E8</v>
      </c>
      <c r="D3279" s="73">
        <v>1.33011979880002E8</v>
      </c>
      <c r="E3279" s="73">
        <v>1.76721678569567E7</v>
      </c>
      <c r="F3279" s="73"/>
      <c r="G3279" s="73"/>
      <c r="H3279" s="73"/>
      <c r="I3279" s="73"/>
      <c r="J3279" s="73"/>
      <c r="K3279" s="73"/>
      <c r="L3279" s="73"/>
      <c r="M3279" s="73"/>
      <c r="N3279" s="73"/>
      <c r="O3279" s="73"/>
      <c r="P3279" s="73"/>
      <c r="Q3279" s="73"/>
      <c r="R3279" s="73"/>
      <c r="S3279" s="73"/>
      <c r="T3279" s="73"/>
      <c r="U3279" s="73"/>
      <c r="V3279" s="73"/>
      <c r="W3279" s="73"/>
      <c r="X3279" s="73"/>
      <c r="Y3279" s="73"/>
      <c r="Z3279" s="73"/>
      <c r="AA3279" s="73"/>
      <c r="AB3279" s="73"/>
    </row>
    <row r="3280">
      <c r="A3280" s="73"/>
      <c r="B3280" s="73">
        <v>3412749.42</v>
      </c>
      <c r="C3280" s="73">
        <v>2.8936720316227E8</v>
      </c>
      <c r="D3280" s="73">
        <v>1.33147768403995E8</v>
      </c>
      <c r="E3280" s="73">
        <v>1.76915795443248E7</v>
      </c>
      <c r="F3280" s="73"/>
      <c r="G3280" s="73"/>
      <c r="H3280" s="73"/>
      <c r="I3280" s="73"/>
      <c r="J3280" s="73"/>
      <c r="K3280" s="73"/>
      <c r="L3280" s="73"/>
      <c r="M3280" s="73"/>
      <c r="N3280" s="73"/>
      <c r="O3280" s="73"/>
      <c r="P3280" s="73"/>
      <c r="Q3280" s="73"/>
      <c r="R3280" s="73"/>
      <c r="S3280" s="73"/>
      <c r="T3280" s="73"/>
      <c r="U3280" s="73"/>
      <c r="V3280" s="73"/>
      <c r="W3280" s="73"/>
      <c r="X3280" s="73"/>
      <c r="Y3280" s="73"/>
      <c r="Z3280" s="73"/>
      <c r="AA3280" s="73"/>
      <c r="AB3280" s="73"/>
    </row>
    <row r="3281">
      <c r="A3281" s="73"/>
      <c r="B3281" s="73">
        <v>3417380.619</v>
      </c>
      <c r="C3281" s="73">
        <v>2.89607415635597E8</v>
      </c>
      <c r="D3281" s="73">
        <v>1.33283639528004E8</v>
      </c>
      <c r="E3281" s="73">
        <v>1.77110070562201E7</v>
      </c>
      <c r="F3281" s="73"/>
      <c r="G3281" s="73"/>
      <c r="H3281" s="73"/>
      <c r="I3281" s="73"/>
      <c r="J3281" s="73"/>
      <c r="K3281" s="73"/>
      <c r="L3281" s="73"/>
      <c r="M3281" s="73"/>
      <c r="N3281" s="73"/>
      <c r="O3281" s="73"/>
      <c r="P3281" s="73"/>
      <c r="Q3281" s="73"/>
      <c r="R3281" s="73"/>
      <c r="S3281" s="73"/>
      <c r="T3281" s="73"/>
      <c r="U3281" s="73"/>
      <c r="V3281" s="73"/>
      <c r="W3281" s="73"/>
      <c r="X3281" s="73"/>
      <c r="Y3281" s="73"/>
      <c r="Z3281" s="73"/>
      <c r="AA3281" s="73"/>
      <c r="AB3281" s="73"/>
    </row>
    <row r="3282">
      <c r="A3282" s="73"/>
      <c r="B3282" s="73">
        <v>3422017.784</v>
      </c>
      <c r="C3282" s="73">
        <v>2.8984779290892E8</v>
      </c>
      <c r="D3282" s="73">
        <v>1.33419603579997E8</v>
      </c>
      <c r="E3282" s="73">
        <v>1.77304516163064E7</v>
      </c>
      <c r="F3282" s="73"/>
      <c r="G3282" s="73"/>
      <c r="H3282" s="73"/>
      <c r="I3282" s="73"/>
      <c r="J3282" s="73"/>
      <c r="K3282" s="73"/>
      <c r="L3282" s="73"/>
      <c r="M3282" s="73"/>
      <c r="N3282" s="73"/>
      <c r="O3282" s="73"/>
      <c r="P3282" s="73"/>
      <c r="Q3282" s="73"/>
      <c r="R3282" s="73"/>
      <c r="S3282" s="73"/>
      <c r="T3282" s="73"/>
      <c r="U3282" s="73"/>
      <c r="V3282" s="73"/>
      <c r="W3282" s="73"/>
      <c r="X3282" s="73"/>
      <c r="Y3282" s="73"/>
      <c r="Z3282" s="73"/>
      <c r="AA3282" s="73"/>
      <c r="AB3282" s="73"/>
    </row>
    <row r="3283">
      <c r="A3283" s="73"/>
      <c r="B3283" s="73">
        <v>3426660.891</v>
      </c>
      <c r="C3283" s="73">
        <v>2.90088269062241E8</v>
      </c>
      <c r="D3283" s="73">
        <v>1.3355566054399E8</v>
      </c>
      <c r="E3283" s="73">
        <v>1.77499131185839E7</v>
      </c>
      <c r="F3283" s="73"/>
      <c r="G3283" s="73"/>
      <c r="H3283" s="73"/>
      <c r="I3283" s="73"/>
      <c r="J3283" s="73"/>
      <c r="K3283" s="73"/>
      <c r="L3283" s="73"/>
      <c r="M3283" s="73"/>
      <c r="N3283" s="73"/>
      <c r="O3283" s="73"/>
      <c r="P3283" s="73"/>
      <c r="Q3283" s="73"/>
      <c r="R3283" s="73"/>
      <c r="S3283" s="73"/>
      <c r="T3283" s="73"/>
      <c r="U3283" s="73"/>
      <c r="V3283" s="73"/>
      <c r="W3283" s="73"/>
      <c r="X3283" s="73"/>
      <c r="Y3283" s="73"/>
      <c r="Z3283" s="73"/>
      <c r="AA3283" s="73"/>
      <c r="AB3283" s="73"/>
    </row>
    <row r="3284">
      <c r="A3284" s="73"/>
      <c r="B3284" s="73">
        <v>3431309.844</v>
      </c>
      <c r="C3284" s="73">
        <v>2.90328910015556E8</v>
      </c>
      <c r="D3284" s="73">
        <v>1.33691800195999E8</v>
      </c>
      <c r="E3284" s="73">
        <v>1.77693918810524E7</v>
      </c>
      <c r="F3284" s="73"/>
      <c r="G3284" s="73"/>
      <c r="H3284" s="73"/>
      <c r="I3284" s="73"/>
      <c r="J3284" s="73"/>
      <c r="K3284" s="73"/>
      <c r="L3284" s="73"/>
      <c r="M3284" s="73"/>
      <c r="N3284" s="73"/>
      <c r="O3284" s="73"/>
      <c r="P3284" s="73"/>
      <c r="Q3284" s="73"/>
      <c r="R3284" s="73"/>
      <c r="S3284" s="73"/>
      <c r="T3284" s="73"/>
      <c r="U3284" s="73"/>
      <c r="V3284" s="73"/>
      <c r="W3284" s="73"/>
      <c r="X3284" s="73"/>
      <c r="Y3284" s="73"/>
      <c r="Z3284" s="73"/>
      <c r="AA3284" s="73"/>
      <c r="AB3284" s="73"/>
    </row>
    <row r="3285">
      <c r="A3285" s="73"/>
      <c r="B3285" s="73">
        <v>3435964.814</v>
      </c>
      <c r="C3285" s="73">
        <v>2.90569649848869E8</v>
      </c>
      <c r="D3285" s="73">
        <v>1.33828032919992E8</v>
      </c>
      <c r="E3285" s="73">
        <v>1.7788886574048E7</v>
      </c>
      <c r="F3285" s="73"/>
      <c r="G3285" s="73"/>
      <c r="H3285" s="73"/>
      <c r="I3285" s="73"/>
      <c r="J3285" s="73"/>
      <c r="K3285" s="73"/>
      <c r="L3285" s="73"/>
      <c r="M3285" s="73"/>
      <c r="N3285" s="73"/>
      <c r="O3285" s="73"/>
      <c r="P3285" s="73"/>
      <c r="Q3285" s="73"/>
      <c r="R3285" s="73"/>
      <c r="S3285" s="73"/>
      <c r="T3285" s="73"/>
      <c r="U3285" s="73"/>
      <c r="V3285" s="73"/>
      <c r="W3285" s="73"/>
      <c r="X3285" s="73"/>
      <c r="Y3285" s="73"/>
      <c r="Z3285" s="73"/>
      <c r="AA3285" s="73"/>
      <c r="AB3285" s="73"/>
    </row>
    <row r="3286">
      <c r="A3286" s="73"/>
      <c r="B3286" s="73">
        <v>3440625.695</v>
      </c>
      <c r="C3286" s="73">
        <v>2.90810521522179E8</v>
      </c>
      <c r="D3286" s="73">
        <v>1.33964358412001E8</v>
      </c>
      <c r="E3286" s="73">
        <v>1.78083993404667E7</v>
      </c>
      <c r="F3286" s="73"/>
      <c r="G3286" s="73"/>
      <c r="H3286" s="73"/>
      <c r="I3286" s="73"/>
      <c r="J3286" s="73"/>
      <c r="K3286" s="73"/>
      <c r="L3286" s="73"/>
      <c r="M3286" s="73"/>
      <c r="N3286" s="73"/>
      <c r="O3286" s="73"/>
      <c r="P3286" s="73"/>
      <c r="Q3286" s="73"/>
      <c r="R3286" s="73"/>
      <c r="S3286" s="73"/>
      <c r="T3286" s="73"/>
      <c r="U3286" s="73"/>
      <c r="V3286" s="73"/>
      <c r="W3286" s="73"/>
      <c r="X3286" s="73"/>
      <c r="Y3286" s="73"/>
      <c r="Z3286" s="73"/>
      <c r="AA3286" s="73"/>
      <c r="AB3286" s="73"/>
    </row>
    <row r="3287">
      <c r="A3287" s="73"/>
      <c r="B3287" s="73">
        <v>3445292.572</v>
      </c>
      <c r="C3287" s="73">
        <v>2.91051492075485E8</v>
      </c>
      <c r="D3287" s="73">
        <v>1.34100766663994E8</v>
      </c>
      <c r="E3287" s="73">
        <v>1.78279277830125E7</v>
      </c>
      <c r="F3287" s="73"/>
      <c r="G3287" s="73"/>
      <c r="H3287" s="73"/>
      <c r="I3287" s="73"/>
      <c r="J3287" s="73"/>
      <c r="K3287" s="73"/>
      <c r="L3287" s="73"/>
      <c r="M3287" s="73"/>
      <c r="N3287" s="73"/>
      <c r="O3287" s="73"/>
      <c r="P3287" s="73"/>
      <c r="Q3287" s="73"/>
      <c r="R3287" s="73"/>
      <c r="S3287" s="73"/>
      <c r="T3287" s="73"/>
      <c r="U3287" s="73"/>
      <c r="V3287" s="73"/>
      <c r="W3287" s="73"/>
      <c r="X3287" s="73"/>
      <c r="Y3287" s="73"/>
      <c r="Z3287" s="73"/>
      <c r="AA3287" s="73"/>
      <c r="AB3287" s="73"/>
    </row>
    <row r="3288">
      <c r="A3288" s="73"/>
      <c r="B3288" s="73">
        <v>3449965.31</v>
      </c>
      <c r="C3288" s="73">
        <v>2.91292594468788E8</v>
      </c>
      <c r="D3288" s="73">
        <v>1.34237278228002E8</v>
      </c>
      <c r="E3288" s="73">
        <v>1.78474740869814E7</v>
      </c>
      <c r="F3288" s="73"/>
      <c r="G3288" s="73"/>
      <c r="H3288" s="73"/>
      <c r="I3288" s="73"/>
      <c r="J3288" s="73"/>
      <c r="K3288" s="73"/>
      <c r="L3288" s="73"/>
      <c r="M3288" s="73"/>
      <c r="N3288" s="73"/>
      <c r="O3288" s="73"/>
      <c r="P3288" s="73"/>
      <c r="Q3288" s="73"/>
      <c r="R3288" s="73"/>
      <c r="S3288" s="73"/>
      <c r="T3288" s="73"/>
      <c r="U3288" s="73"/>
      <c r="V3288" s="73"/>
      <c r="W3288" s="73"/>
      <c r="X3288" s="73"/>
      <c r="Y3288" s="73"/>
      <c r="Z3288" s="73"/>
      <c r="AA3288" s="73"/>
      <c r="AB3288" s="73"/>
    </row>
    <row r="3289">
      <c r="A3289" s="73"/>
      <c r="B3289" s="73">
        <v>3454644.049</v>
      </c>
      <c r="C3289" s="73">
        <v>2.91533828702087E8</v>
      </c>
      <c r="D3289" s="73">
        <v>1.34373862007996E8</v>
      </c>
      <c r="E3289" s="73">
        <v>1.78670369863093E7</v>
      </c>
      <c r="F3289" s="73"/>
      <c r="G3289" s="73"/>
      <c r="H3289" s="73"/>
      <c r="I3289" s="73"/>
      <c r="J3289" s="73"/>
      <c r="K3289" s="73"/>
      <c r="L3289" s="73"/>
      <c r="M3289" s="73"/>
      <c r="N3289" s="73"/>
      <c r="O3289" s="73"/>
      <c r="P3289" s="73"/>
      <c r="Q3289" s="73"/>
      <c r="R3289" s="73"/>
      <c r="S3289" s="73"/>
      <c r="T3289" s="73"/>
      <c r="U3289" s="73"/>
      <c r="V3289" s="73"/>
      <c r="W3289" s="73"/>
      <c r="X3289" s="73"/>
      <c r="Y3289" s="73"/>
      <c r="Z3289" s="73"/>
      <c r="AA3289" s="73"/>
      <c r="AB3289" s="73"/>
    </row>
    <row r="3290">
      <c r="A3290" s="73"/>
      <c r="B3290" s="73">
        <v>3459328.708</v>
      </c>
      <c r="C3290" s="73">
        <v>2.91775227735382E8</v>
      </c>
      <c r="D3290" s="73">
        <v>1.34510549100004E8</v>
      </c>
      <c r="E3290" s="73">
        <v>1.78866167141964E7</v>
      </c>
      <c r="F3290" s="73"/>
      <c r="G3290" s="73"/>
      <c r="H3290" s="73"/>
      <c r="I3290" s="73"/>
      <c r="J3290" s="73"/>
      <c r="K3290" s="73"/>
      <c r="L3290" s="73"/>
      <c r="M3290" s="73"/>
      <c r="N3290" s="73"/>
      <c r="O3290" s="73"/>
      <c r="P3290" s="73"/>
      <c r="Q3290" s="73"/>
      <c r="R3290" s="73"/>
      <c r="S3290" s="73"/>
      <c r="T3290" s="73"/>
      <c r="U3290" s="73"/>
      <c r="V3290" s="73"/>
      <c r="W3290" s="73"/>
      <c r="X3290" s="73"/>
      <c r="Y3290" s="73"/>
      <c r="Z3290" s="73"/>
      <c r="AA3290" s="73"/>
      <c r="AB3290" s="73"/>
    </row>
    <row r="3291">
      <c r="A3291" s="73"/>
      <c r="B3291" s="73">
        <v>3464019.412</v>
      </c>
      <c r="C3291" s="73">
        <v>2.92016758608673E8</v>
      </c>
      <c r="D3291" s="73">
        <v>1.34647318791998E8</v>
      </c>
      <c r="E3291" s="73">
        <v>1.79062132994745E7</v>
      </c>
      <c r="F3291" s="73"/>
      <c r="G3291" s="73"/>
      <c r="H3291" s="73"/>
      <c r="I3291" s="73"/>
      <c r="J3291" s="73"/>
      <c r="K3291" s="73"/>
      <c r="L3291" s="73"/>
      <c r="M3291" s="73"/>
      <c r="N3291" s="73"/>
      <c r="O3291" s="73"/>
      <c r="P3291" s="73"/>
      <c r="Q3291" s="73"/>
      <c r="R3291" s="73"/>
      <c r="S3291" s="73"/>
      <c r="T3291" s="73"/>
      <c r="U3291" s="73"/>
      <c r="V3291" s="73"/>
      <c r="W3291" s="73"/>
      <c r="X3291" s="73"/>
      <c r="Y3291" s="73"/>
      <c r="Z3291" s="73"/>
      <c r="AA3291" s="73"/>
      <c r="AB3291" s="73"/>
    </row>
    <row r="3292">
      <c r="A3292" s="73"/>
      <c r="B3292" s="73">
        <v>3468716.057</v>
      </c>
      <c r="C3292" s="73">
        <v>2.92258355401962E8</v>
      </c>
      <c r="D3292" s="73">
        <v>1.34784191723991E8</v>
      </c>
      <c r="E3292" s="73">
        <v>1.79258264801118E7</v>
      </c>
      <c r="F3292" s="73"/>
      <c r="G3292" s="73"/>
      <c r="H3292" s="73"/>
      <c r="I3292" s="73"/>
      <c r="J3292" s="73"/>
      <c r="K3292" s="73"/>
      <c r="L3292" s="73"/>
      <c r="M3292" s="73"/>
      <c r="N3292" s="73"/>
      <c r="O3292" s="73"/>
      <c r="P3292" s="73"/>
      <c r="Q3292" s="73"/>
      <c r="R3292" s="73"/>
      <c r="S3292" s="73"/>
      <c r="T3292" s="73"/>
      <c r="U3292" s="73"/>
      <c r="V3292" s="73"/>
      <c r="W3292" s="73"/>
      <c r="X3292" s="73"/>
      <c r="Y3292" s="73"/>
      <c r="Z3292" s="73"/>
      <c r="AA3292" s="73"/>
      <c r="AB3292" s="73"/>
    </row>
    <row r="3293">
      <c r="A3293" s="73"/>
      <c r="B3293" s="73">
        <v>3473418.621</v>
      </c>
      <c r="C3293" s="73">
        <v>2.92500116995247E8</v>
      </c>
      <c r="D3293" s="73">
        <v>1.34921147343999E8</v>
      </c>
      <c r="E3293" s="73">
        <v>1.79454568149401E7</v>
      </c>
      <c r="F3293" s="73"/>
      <c r="G3293" s="73"/>
      <c r="H3293" s="73"/>
      <c r="I3293" s="73"/>
      <c r="J3293" s="73"/>
      <c r="K3293" s="73"/>
      <c r="L3293" s="73"/>
      <c r="M3293" s="73"/>
      <c r="N3293" s="73"/>
      <c r="O3293" s="73"/>
      <c r="P3293" s="73"/>
      <c r="Q3293" s="73"/>
      <c r="R3293" s="73"/>
      <c r="S3293" s="73"/>
      <c r="T3293" s="73"/>
      <c r="U3293" s="73"/>
      <c r="V3293" s="73"/>
      <c r="W3293" s="73"/>
      <c r="X3293" s="73"/>
      <c r="Y3293" s="73"/>
      <c r="Z3293" s="73"/>
      <c r="AA3293" s="73"/>
      <c r="AB3293" s="73"/>
    </row>
    <row r="3294">
      <c r="A3294" s="73"/>
      <c r="B3294" s="73">
        <v>3478127.201</v>
      </c>
      <c r="C3294" s="73">
        <v>2.92741977468529E8</v>
      </c>
      <c r="D3294" s="73">
        <v>1.35058185563993E8</v>
      </c>
      <c r="E3294" s="73">
        <v>1.79651039995275E7</v>
      </c>
      <c r="F3294" s="73"/>
      <c r="G3294" s="73"/>
      <c r="H3294" s="73"/>
      <c r="I3294" s="73"/>
      <c r="J3294" s="73"/>
      <c r="K3294" s="73"/>
      <c r="L3294" s="73"/>
      <c r="M3294" s="73"/>
      <c r="N3294" s="73"/>
      <c r="O3294" s="73"/>
      <c r="P3294" s="73"/>
      <c r="Q3294" s="73"/>
      <c r="R3294" s="73"/>
      <c r="S3294" s="73"/>
      <c r="T3294" s="73"/>
      <c r="U3294" s="73"/>
      <c r="V3294" s="73"/>
      <c r="W3294" s="73"/>
      <c r="X3294" s="73"/>
      <c r="Y3294" s="73"/>
      <c r="Z3294" s="73"/>
      <c r="AA3294" s="73"/>
      <c r="AB3294" s="73"/>
    </row>
    <row r="3295">
      <c r="A3295" s="73"/>
      <c r="B3295" s="73">
        <v>3482841.71</v>
      </c>
      <c r="C3295" s="73">
        <v>2.92983969781807E8</v>
      </c>
      <c r="D3295" s="73">
        <v>1.35195327096001E8</v>
      </c>
      <c r="E3295" s="73">
        <v>1.7984768486706E7</v>
      </c>
      <c r="F3295" s="73"/>
      <c r="G3295" s="73"/>
      <c r="H3295" s="73"/>
      <c r="I3295" s="73"/>
      <c r="J3295" s="73"/>
      <c r="K3295" s="73"/>
      <c r="L3295" s="73"/>
      <c r="M3295" s="73"/>
      <c r="N3295" s="73"/>
      <c r="O3295" s="73"/>
      <c r="P3295" s="73"/>
      <c r="Q3295" s="73"/>
      <c r="R3295" s="73"/>
      <c r="S3295" s="73"/>
      <c r="T3295" s="73"/>
      <c r="U3295" s="73"/>
      <c r="V3295" s="73"/>
      <c r="W3295" s="73"/>
      <c r="X3295" s="73"/>
      <c r="Y3295" s="73"/>
      <c r="Z3295" s="73"/>
      <c r="AA3295" s="73"/>
      <c r="AB3295" s="73"/>
    </row>
    <row r="3296">
      <c r="A3296" s="73"/>
      <c r="B3296" s="73">
        <v>3487562.214</v>
      </c>
      <c r="C3296" s="73">
        <v>2.9322615985508E8</v>
      </c>
      <c r="D3296" s="73">
        <v>1.35332551155995E8</v>
      </c>
      <c r="E3296" s="73">
        <v>1.80044492088436E7</v>
      </c>
      <c r="F3296" s="73"/>
      <c r="G3296" s="73"/>
      <c r="H3296" s="73"/>
      <c r="I3296" s="73"/>
      <c r="J3296" s="73"/>
      <c r="K3296" s="73"/>
      <c r="L3296" s="73"/>
      <c r="M3296" s="73"/>
      <c r="N3296" s="73"/>
      <c r="O3296" s="73"/>
      <c r="P3296" s="73"/>
      <c r="Q3296" s="73"/>
      <c r="R3296" s="73"/>
      <c r="S3296" s="73"/>
      <c r="T3296" s="73"/>
      <c r="U3296" s="73"/>
      <c r="V3296" s="73"/>
      <c r="W3296" s="73"/>
      <c r="X3296" s="73"/>
      <c r="Y3296" s="73"/>
      <c r="Z3296" s="73"/>
      <c r="AA3296" s="73"/>
      <c r="AB3296" s="73"/>
    </row>
    <row r="3297">
      <c r="A3297" s="73"/>
      <c r="B3297" s="73">
        <v>3492288.707</v>
      </c>
      <c r="C3297" s="73">
        <v>2.93468382888351E8</v>
      </c>
      <c r="D3297" s="73">
        <v>1.35469868216003E8</v>
      </c>
      <c r="E3297" s="73">
        <v>1.80241472335723E7</v>
      </c>
      <c r="F3297" s="73"/>
      <c r="G3297" s="73"/>
      <c r="H3297" s="73"/>
      <c r="I3297" s="73"/>
      <c r="J3297" s="73"/>
      <c r="K3297" s="73"/>
      <c r="L3297" s="73"/>
      <c r="M3297" s="73"/>
      <c r="N3297" s="73"/>
      <c r="O3297" s="73"/>
      <c r="P3297" s="73"/>
      <c r="Q3297" s="73"/>
      <c r="R3297" s="73"/>
      <c r="S3297" s="73"/>
      <c r="T3297" s="73"/>
      <c r="U3297" s="73"/>
      <c r="V3297" s="73"/>
      <c r="W3297" s="73"/>
      <c r="X3297" s="73"/>
      <c r="Y3297" s="73"/>
      <c r="Z3297" s="73"/>
      <c r="AA3297" s="73"/>
      <c r="AB3297" s="73"/>
    </row>
    <row r="3298">
      <c r="A3298" s="73"/>
      <c r="B3298" s="73">
        <v>3497021.219</v>
      </c>
      <c r="C3298" s="73">
        <v>2.93710770721619E8</v>
      </c>
      <c r="D3298" s="73">
        <v>1.35607268035996E8</v>
      </c>
      <c r="E3298" s="73">
        <v>1.8043862921292E7</v>
      </c>
      <c r="F3298" s="73"/>
      <c r="G3298" s="73"/>
      <c r="H3298" s="73"/>
      <c r="I3298" s="73"/>
      <c r="J3298" s="73"/>
      <c r="K3298" s="73"/>
      <c r="L3298" s="73"/>
      <c r="M3298" s="73"/>
      <c r="N3298" s="73"/>
      <c r="O3298" s="73"/>
      <c r="P3298" s="73"/>
      <c r="Q3298" s="73"/>
      <c r="R3298" s="73"/>
      <c r="S3298" s="73"/>
      <c r="T3298" s="73"/>
      <c r="U3298" s="73"/>
      <c r="V3298" s="73"/>
      <c r="W3298" s="73"/>
      <c r="X3298" s="73"/>
      <c r="Y3298" s="73"/>
      <c r="Z3298" s="73"/>
      <c r="AA3298" s="73"/>
      <c r="AB3298" s="73"/>
    </row>
    <row r="3299">
      <c r="A3299" s="73"/>
      <c r="B3299" s="73">
        <v>3501759.595</v>
      </c>
      <c r="C3299" s="73">
        <v>2.93953290394882E8</v>
      </c>
      <c r="D3299" s="73">
        <v>1.3574477093599E8</v>
      </c>
      <c r="E3299" s="73">
        <v>1.80635949499708E7</v>
      </c>
      <c r="F3299" s="73"/>
      <c r="G3299" s="73"/>
      <c r="H3299" s="73"/>
      <c r="I3299" s="73"/>
      <c r="J3299" s="73"/>
      <c r="K3299" s="73"/>
      <c r="L3299" s="73"/>
      <c r="M3299" s="73"/>
      <c r="N3299" s="73"/>
      <c r="O3299" s="73"/>
      <c r="P3299" s="73"/>
      <c r="Q3299" s="73"/>
      <c r="R3299" s="73"/>
      <c r="S3299" s="73"/>
      <c r="T3299" s="73"/>
      <c r="U3299" s="73"/>
      <c r="V3299" s="73"/>
      <c r="W3299" s="73"/>
      <c r="X3299" s="73"/>
      <c r="Y3299" s="73"/>
      <c r="Z3299" s="73"/>
      <c r="AA3299" s="73"/>
      <c r="AB3299" s="73"/>
    </row>
    <row r="3300">
      <c r="A3300" s="73"/>
      <c r="B3300" s="73">
        <v>3506504.075</v>
      </c>
      <c r="C3300" s="73">
        <v>2.94195908948143E8</v>
      </c>
      <c r="D3300" s="73">
        <v>1.35882356523998E8</v>
      </c>
      <c r="E3300" s="73">
        <v>1.80833434044088E7</v>
      </c>
      <c r="F3300" s="73"/>
      <c r="G3300" s="73"/>
      <c r="H3300" s="73"/>
      <c r="I3300" s="73"/>
      <c r="J3300" s="73"/>
      <c r="K3300" s="73"/>
      <c r="L3300" s="73"/>
      <c r="M3300" s="73"/>
      <c r="N3300" s="73"/>
      <c r="O3300" s="73"/>
      <c r="P3300" s="73"/>
      <c r="Q3300" s="73"/>
      <c r="R3300" s="73"/>
      <c r="S3300" s="73"/>
      <c r="T3300" s="73"/>
      <c r="U3300" s="73"/>
      <c r="V3300" s="73"/>
      <c r="W3300" s="73"/>
      <c r="X3300" s="73"/>
      <c r="Y3300" s="73"/>
      <c r="Z3300" s="73"/>
      <c r="AA3300" s="73"/>
      <c r="AB3300" s="73"/>
    </row>
    <row r="3301">
      <c r="A3301" s="73"/>
      <c r="B3301" s="73">
        <v>3511254.403</v>
      </c>
      <c r="C3301" s="73">
        <v>2.944386593414E8</v>
      </c>
      <c r="D3301" s="73">
        <v>1.36020035183991E8</v>
      </c>
      <c r="E3301" s="73">
        <v>1.81031093734378E7</v>
      </c>
      <c r="F3301" s="73"/>
      <c r="G3301" s="73"/>
      <c r="H3301" s="73"/>
      <c r="I3301" s="73"/>
      <c r="J3301" s="73"/>
      <c r="K3301" s="73"/>
      <c r="L3301" s="73"/>
      <c r="M3301" s="73"/>
      <c r="N3301" s="73"/>
      <c r="O3301" s="73"/>
      <c r="P3301" s="73"/>
      <c r="Q3301" s="73"/>
      <c r="R3301" s="73"/>
      <c r="S3301" s="73"/>
      <c r="T3301" s="73"/>
      <c r="U3301" s="73"/>
      <c r="V3301" s="73"/>
      <c r="W3301" s="73"/>
      <c r="X3301" s="73"/>
      <c r="Y3301" s="73"/>
      <c r="Z3301" s="73"/>
      <c r="AA3301" s="73"/>
      <c r="AB3301" s="73"/>
    </row>
    <row r="3302">
      <c r="A3302" s="73"/>
      <c r="B3302" s="73">
        <v>3516010.86</v>
      </c>
      <c r="C3302" s="73">
        <v>2.94681541574654E8</v>
      </c>
      <c r="D3302" s="73">
        <v>1.36157806612E8</v>
      </c>
      <c r="E3302" s="73">
        <v>1.81228918318259E7</v>
      </c>
      <c r="F3302" s="73"/>
      <c r="G3302" s="73"/>
      <c r="H3302" s="73"/>
      <c r="I3302" s="73"/>
      <c r="J3302" s="73"/>
      <c r="K3302" s="73"/>
      <c r="L3302" s="73"/>
      <c r="M3302" s="73"/>
      <c r="N3302" s="73"/>
      <c r="O3302" s="73"/>
      <c r="P3302" s="73"/>
      <c r="Q3302" s="73"/>
      <c r="R3302" s="73"/>
      <c r="S3302" s="73"/>
      <c r="T3302" s="73"/>
      <c r="U3302" s="73"/>
      <c r="V3302" s="73"/>
      <c r="W3302" s="73"/>
      <c r="X3302" s="73"/>
      <c r="Y3302" s="73"/>
      <c r="Z3302" s="73"/>
      <c r="AA3302" s="73"/>
      <c r="AB3302" s="73"/>
    </row>
    <row r="3303">
      <c r="A3303" s="73"/>
      <c r="B3303" s="73">
        <v>3520773.276</v>
      </c>
      <c r="C3303" s="73">
        <v>2.94924588607903E8</v>
      </c>
      <c r="D3303" s="73">
        <v>1.36295660871993E8</v>
      </c>
      <c r="E3303" s="73">
        <v>1.81426913596051E7</v>
      </c>
      <c r="F3303" s="73"/>
      <c r="G3303" s="73"/>
      <c r="H3303" s="73"/>
      <c r="I3303" s="73"/>
      <c r="J3303" s="73"/>
      <c r="K3303" s="73"/>
      <c r="L3303" s="73"/>
      <c r="M3303" s="73"/>
      <c r="N3303" s="73"/>
      <c r="O3303" s="73"/>
      <c r="P3303" s="73"/>
      <c r="Q3303" s="73"/>
      <c r="R3303" s="73"/>
      <c r="S3303" s="73"/>
      <c r="T3303" s="73"/>
      <c r="U3303" s="73"/>
      <c r="V3303" s="73"/>
      <c r="W3303" s="73"/>
      <c r="X3303" s="73"/>
      <c r="Y3303" s="73"/>
      <c r="Z3303" s="73"/>
      <c r="AA3303" s="73"/>
      <c r="AB3303" s="73"/>
    </row>
    <row r="3304">
      <c r="A3304" s="73"/>
      <c r="B3304" s="73">
        <v>3525541.669</v>
      </c>
      <c r="C3304" s="73">
        <v>2.95167734521149E8</v>
      </c>
      <c r="D3304" s="73">
        <v>1.36433618140002E8</v>
      </c>
      <c r="E3304" s="73">
        <v>1.81625087835753E7</v>
      </c>
      <c r="F3304" s="73"/>
      <c r="G3304" s="73"/>
      <c r="H3304" s="73"/>
      <c r="I3304" s="73"/>
      <c r="J3304" s="73"/>
      <c r="K3304" s="73"/>
      <c r="L3304" s="73"/>
      <c r="M3304" s="73"/>
      <c r="N3304" s="73"/>
      <c r="O3304" s="73"/>
      <c r="P3304" s="73"/>
      <c r="Q3304" s="73"/>
      <c r="R3304" s="73"/>
      <c r="S3304" s="73"/>
      <c r="T3304" s="73"/>
      <c r="U3304" s="73"/>
      <c r="V3304" s="73"/>
      <c r="W3304" s="73"/>
      <c r="X3304" s="73"/>
      <c r="Y3304" s="73"/>
      <c r="Z3304" s="73"/>
      <c r="AA3304" s="73"/>
      <c r="AB3304" s="73"/>
    </row>
    <row r="3305">
      <c r="A3305" s="73"/>
      <c r="B3305" s="73">
        <v>3530316.081</v>
      </c>
      <c r="C3305" s="73">
        <v>2.95411012274391E8</v>
      </c>
      <c r="D3305" s="73">
        <v>1.36571658167995E8</v>
      </c>
      <c r="E3305" s="73">
        <v>1.81823416504727E7</v>
      </c>
      <c r="F3305" s="73"/>
      <c r="G3305" s="73"/>
      <c r="H3305" s="73"/>
      <c r="I3305" s="73"/>
      <c r="J3305" s="73"/>
      <c r="K3305" s="73"/>
      <c r="L3305" s="73"/>
      <c r="M3305" s="73"/>
      <c r="N3305" s="73"/>
      <c r="O3305" s="73"/>
      <c r="P3305" s="73"/>
      <c r="Q3305" s="73"/>
      <c r="R3305" s="73"/>
      <c r="S3305" s="73"/>
      <c r="T3305" s="73"/>
      <c r="U3305" s="73"/>
      <c r="V3305" s="73"/>
      <c r="W3305" s="73"/>
      <c r="X3305" s="73"/>
      <c r="Y3305" s="73"/>
      <c r="Z3305" s="73"/>
      <c r="AA3305" s="73"/>
      <c r="AB3305" s="73"/>
    </row>
    <row r="3306">
      <c r="A3306" s="73"/>
      <c r="B3306" s="73">
        <v>3535096.525</v>
      </c>
      <c r="C3306" s="73">
        <v>2.95654388907631E8</v>
      </c>
      <c r="D3306" s="73">
        <v>1.36709791196004E8</v>
      </c>
      <c r="E3306" s="73">
        <v>1.82021926755931E7</v>
      </c>
      <c r="F3306" s="73"/>
      <c r="G3306" s="73"/>
      <c r="H3306" s="73"/>
      <c r="I3306" s="73"/>
      <c r="J3306" s="73"/>
      <c r="K3306" s="73"/>
      <c r="L3306" s="73"/>
      <c r="M3306" s="73"/>
      <c r="N3306" s="73"/>
      <c r="O3306" s="73"/>
      <c r="P3306" s="73"/>
      <c r="Q3306" s="73"/>
      <c r="R3306" s="73"/>
      <c r="S3306" s="73"/>
      <c r="T3306" s="73"/>
      <c r="U3306" s="73"/>
      <c r="V3306" s="73"/>
      <c r="W3306" s="73"/>
      <c r="X3306" s="73"/>
      <c r="Y3306" s="73"/>
      <c r="Z3306" s="73"/>
      <c r="AA3306" s="73"/>
      <c r="AB3306" s="73"/>
    </row>
    <row r="3307">
      <c r="A3307" s="73"/>
      <c r="B3307" s="73">
        <v>3539882.908</v>
      </c>
      <c r="C3307" s="73">
        <v>2.95897897380867E8</v>
      </c>
      <c r="D3307" s="73">
        <v>1.36848006823997E8</v>
      </c>
      <c r="E3307" s="73">
        <v>1.82220603808726E7</v>
      </c>
      <c r="F3307" s="73"/>
      <c r="G3307" s="73"/>
      <c r="H3307" s="73"/>
      <c r="I3307" s="73"/>
      <c r="J3307" s="73"/>
      <c r="K3307" s="73"/>
      <c r="L3307" s="73"/>
      <c r="M3307" s="73"/>
      <c r="N3307" s="73"/>
      <c r="O3307" s="73"/>
      <c r="P3307" s="73"/>
      <c r="Q3307" s="73"/>
      <c r="R3307" s="73"/>
      <c r="S3307" s="73"/>
      <c r="T3307" s="73"/>
      <c r="U3307" s="73"/>
      <c r="V3307" s="73"/>
      <c r="W3307" s="73"/>
      <c r="X3307" s="73"/>
      <c r="Y3307" s="73"/>
      <c r="Z3307" s="73"/>
      <c r="AA3307" s="73"/>
      <c r="AB3307" s="73"/>
    </row>
    <row r="3308">
      <c r="A3308" s="73"/>
      <c r="B3308" s="73">
        <v>3544675.362</v>
      </c>
      <c r="C3308" s="73">
        <v>2.96141570654099E8</v>
      </c>
      <c r="D3308" s="73">
        <v>1.3698632553199E8</v>
      </c>
      <c r="E3308" s="73">
        <v>1.82419444907112E7</v>
      </c>
      <c r="F3308" s="73"/>
      <c r="G3308" s="73"/>
      <c r="H3308" s="73"/>
      <c r="I3308" s="73"/>
      <c r="J3308" s="73"/>
      <c r="K3308" s="73"/>
      <c r="L3308" s="73"/>
      <c r="M3308" s="73"/>
      <c r="N3308" s="73"/>
      <c r="O3308" s="73"/>
      <c r="P3308" s="73"/>
      <c r="Q3308" s="73"/>
      <c r="R3308" s="73"/>
      <c r="S3308" s="73"/>
      <c r="T3308" s="73"/>
      <c r="U3308" s="73"/>
      <c r="V3308" s="73"/>
      <c r="W3308" s="73"/>
      <c r="X3308" s="73"/>
      <c r="Y3308" s="73"/>
      <c r="Z3308" s="73"/>
      <c r="AA3308" s="73"/>
      <c r="AB3308" s="73"/>
    </row>
    <row r="3309">
      <c r="A3309" s="73"/>
      <c r="B3309" s="73">
        <v>3549473.809</v>
      </c>
      <c r="C3309" s="73">
        <v>2.96385342807327E8</v>
      </c>
      <c r="D3309" s="73">
        <v>1.37124727159999E8</v>
      </c>
      <c r="E3309" s="73">
        <v>1.82618468223729E7</v>
      </c>
      <c r="F3309" s="73"/>
      <c r="G3309" s="73"/>
      <c r="H3309" s="73"/>
      <c r="I3309" s="73"/>
      <c r="J3309" s="73"/>
      <c r="K3309" s="73"/>
      <c r="L3309" s="73"/>
      <c r="M3309" s="73"/>
      <c r="N3309" s="73"/>
      <c r="O3309" s="73"/>
      <c r="P3309" s="73"/>
      <c r="Q3309" s="73"/>
      <c r="R3309" s="73"/>
      <c r="S3309" s="73"/>
      <c r="T3309" s="73"/>
      <c r="U3309" s="73"/>
      <c r="V3309" s="73"/>
      <c r="W3309" s="73"/>
      <c r="X3309" s="73"/>
      <c r="Y3309" s="73"/>
      <c r="Z3309" s="73"/>
      <c r="AA3309" s="73"/>
      <c r="AB3309" s="73"/>
    </row>
    <row r="3310">
      <c r="A3310" s="73"/>
      <c r="B3310" s="73">
        <v>3554278.313</v>
      </c>
      <c r="C3310" s="73">
        <v>2.96629279760551E8</v>
      </c>
      <c r="D3310" s="73">
        <v>1.37263221627992E8</v>
      </c>
      <c r="E3310" s="73">
        <v>1.82817651057617E7</v>
      </c>
      <c r="F3310" s="73"/>
      <c r="G3310" s="73"/>
      <c r="H3310" s="73"/>
      <c r="I3310" s="73"/>
      <c r="J3310" s="73"/>
      <c r="K3310" s="73"/>
      <c r="L3310" s="73"/>
      <c r="M3310" s="73"/>
      <c r="N3310" s="73"/>
      <c r="O3310" s="73"/>
      <c r="P3310" s="73"/>
      <c r="Q3310" s="73"/>
      <c r="R3310" s="73"/>
      <c r="S3310" s="73"/>
      <c r="T3310" s="73"/>
      <c r="U3310" s="73"/>
      <c r="V3310" s="73"/>
      <c r="W3310" s="73"/>
      <c r="X3310" s="73"/>
      <c r="Y3310" s="73"/>
      <c r="Z3310" s="73"/>
      <c r="AA3310" s="73"/>
      <c r="AB3310" s="73"/>
    </row>
    <row r="3311">
      <c r="A3311" s="73"/>
      <c r="B3311" s="73">
        <v>3559088.81</v>
      </c>
      <c r="C3311" s="73">
        <v>2.96873282633774E8</v>
      </c>
      <c r="D3311" s="73">
        <v>1.37401798784001E8</v>
      </c>
      <c r="E3311" s="73">
        <v>1.83017009249415E7</v>
      </c>
      <c r="F3311" s="73"/>
      <c r="G3311" s="73"/>
      <c r="H3311" s="73"/>
      <c r="I3311" s="73"/>
      <c r="J3311" s="73"/>
      <c r="K3311" s="73"/>
      <c r="L3311" s="73"/>
      <c r="M3311" s="73"/>
      <c r="N3311" s="73"/>
      <c r="O3311" s="73"/>
      <c r="P3311" s="73"/>
      <c r="Q3311" s="73"/>
      <c r="R3311" s="73"/>
      <c r="S3311" s="73"/>
      <c r="T3311" s="73"/>
      <c r="U3311" s="73"/>
      <c r="V3311" s="73"/>
      <c r="W3311" s="73"/>
      <c r="X3311" s="73"/>
      <c r="Y3311" s="73"/>
      <c r="Z3311" s="73"/>
      <c r="AA3311" s="73"/>
      <c r="AB3311" s="73"/>
    </row>
    <row r="3312">
      <c r="A3312" s="73"/>
      <c r="B3312" s="73">
        <v>3563905.278</v>
      </c>
      <c r="C3312" s="73">
        <v>2.97117450306992E8</v>
      </c>
      <c r="D3312" s="73">
        <v>1.37540479019994E8</v>
      </c>
      <c r="E3312" s="73">
        <v>1.83216538983124E7</v>
      </c>
      <c r="F3312" s="73"/>
      <c r="G3312" s="73"/>
      <c r="H3312" s="73"/>
      <c r="I3312" s="73"/>
      <c r="J3312" s="73"/>
      <c r="K3312" s="73"/>
      <c r="L3312" s="73"/>
      <c r="M3312" s="73"/>
      <c r="N3312" s="73"/>
      <c r="O3312" s="73"/>
      <c r="P3312" s="73"/>
      <c r="Q3312" s="73"/>
      <c r="R3312" s="73"/>
      <c r="S3312" s="73"/>
      <c r="T3312" s="73"/>
      <c r="U3312" s="73"/>
      <c r="V3312" s="73"/>
      <c r="W3312" s="73"/>
      <c r="X3312" s="73"/>
      <c r="Y3312" s="73"/>
      <c r="Z3312" s="73"/>
      <c r="AA3312" s="73"/>
      <c r="AB3312" s="73"/>
    </row>
    <row r="3313">
      <c r="A3313" s="73"/>
      <c r="B3313" s="73">
        <v>3568727.887</v>
      </c>
      <c r="C3313" s="73">
        <v>2.97361716860207E8</v>
      </c>
      <c r="D3313" s="73">
        <v>1.37679242088002E8</v>
      </c>
      <c r="E3313" s="73">
        <v>1.83416234034424E7</v>
      </c>
      <c r="F3313" s="73"/>
      <c r="G3313" s="73"/>
      <c r="H3313" s="73"/>
      <c r="I3313" s="73"/>
      <c r="J3313" s="73"/>
      <c r="K3313" s="73"/>
      <c r="L3313" s="73"/>
      <c r="M3313" s="73"/>
      <c r="N3313" s="73"/>
      <c r="O3313" s="73"/>
      <c r="P3313" s="73"/>
      <c r="Q3313" s="73"/>
      <c r="R3313" s="73"/>
      <c r="S3313" s="73"/>
      <c r="T3313" s="73"/>
      <c r="U3313" s="73"/>
      <c r="V3313" s="73"/>
      <c r="W3313" s="73"/>
      <c r="X3313" s="73"/>
      <c r="Y3313" s="73"/>
      <c r="Z3313" s="73"/>
      <c r="AA3313" s="73"/>
      <c r="AB3313" s="73"/>
    </row>
    <row r="3314">
      <c r="A3314" s="73"/>
      <c r="B3314" s="73">
        <v>3573556.408</v>
      </c>
      <c r="C3314" s="73">
        <v>2.97606148213417E8</v>
      </c>
      <c r="D3314" s="73">
        <v>1.37818097923996E8</v>
      </c>
      <c r="E3314" s="73">
        <v>1.83616104655635E7</v>
      </c>
      <c r="F3314" s="73"/>
      <c r="G3314" s="73"/>
      <c r="H3314" s="73"/>
      <c r="I3314" s="73"/>
      <c r="J3314" s="73"/>
      <c r="K3314" s="73"/>
      <c r="L3314" s="73"/>
      <c r="M3314" s="73"/>
      <c r="N3314" s="73"/>
      <c r="O3314" s="73"/>
      <c r="P3314" s="73"/>
      <c r="Q3314" s="73"/>
      <c r="R3314" s="73"/>
      <c r="S3314" s="73"/>
      <c r="T3314" s="73"/>
      <c r="U3314" s="73"/>
      <c r="V3314" s="73"/>
      <c r="W3314" s="73"/>
      <c r="X3314" s="73"/>
      <c r="Y3314" s="73"/>
      <c r="Z3314" s="73"/>
      <c r="AA3314" s="73"/>
      <c r="AB3314" s="73"/>
    </row>
    <row r="3315">
      <c r="A3315" s="73"/>
      <c r="B3315" s="73">
        <v>3578391.071</v>
      </c>
      <c r="C3315" s="73">
        <v>2.97850678446625E8</v>
      </c>
      <c r="D3315" s="73">
        <v>1.37957057000004E8</v>
      </c>
      <c r="E3315" s="73">
        <v>1.83816140806437E7</v>
      </c>
      <c r="F3315" s="73"/>
      <c r="G3315" s="73"/>
      <c r="H3315" s="73"/>
      <c r="I3315" s="73"/>
      <c r="J3315" s="73"/>
      <c r="K3315" s="73"/>
      <c r="L3315" s="73"/>
      <c r="M3315" s="73"/>
      <c r="N3315" s="73"/>
      <c r="O3315" s="73"/>
      <c r="P3315" s="73"/>
      <c r="Q3315" s="73"/>
      <c r="R3315" s="73"/>
      <c r="S3315" s="73"/>
      <c r="T3315" s="73"/>
      <c r="U3315" s="73"/>
      <c r="V3315" s="73"/>
      <c r="W3315" s="73"/>
      <c r="X3315" s="73"/>
      <c r="Y3315" s="73"/>
      <c r="Z3315" s="73"/>
      <c r="AA3315" s="73"/>
      <c r="AB3315" s="73"/>
    </row>
    <row r="3316">
      <c r="A3316" s="73"/>
      <c r="B3316" s="73">
        <v>3583231.79</v>
      </c>
      <c r="C3316" s="73">
        <v>2.98095373479828E8</v>
      </c>
      <c r="D3316" s="73">
        <v>1.38096088595998E8</v>
      </c>
      <c r="E3316" s="73">
        <v>1.84016351679149E7</v>
      </c>
      <c r="F3316" s="73"/>
      <c r="G3316" s="73"/>
      <c r="H3316" s="73"/>
      <c r="I3316" s="73"/>
      <c r="J3316" s="73"/>
      <c r="K3316" s="73"/>
      <c r="L3316" s="73"/>
      <c r="M3316" s="73"/>
      <c r="N3316" s="73"/>
      <c r="O3316" s="73"/>
      <c r="P3316" s="73"/>
      <c r="Q3316" s="73"/>
      <c r="R3316" s="73"/>
      <c r="S3316" s="73"/>
      <c r="T3316" s="73"/>
      <c r="U3316" s="73"/>
      <c r="V3316" s="73"/>
      <c r="W3316" s="73"/>
      <c r="X3316" s="73"/>
      <c r="Y3316" s="73"/>
      <c r="Z3316" s="73"/>
      <c r="AA3316" s="73"/>
      <c r="AB3316" s="73"/>
    </row>
    <row r="3317">
      <c r="A3317" s="73"/>
      <c r="B3317" s="73">
        <v>3588078.419</v>
      </c>
      <c r="C3317" s="73">
        <v>2.98340134433029E8</v>
      </c>
      <c r="D3317" s="73">
        <v>1.38235223271991E8</v>
      </c>
      <c r="E3317" s="73">
        <v>1.84216730201452E7</v>
      </c>
      <c r="F3317" s="73"/>
      <c r="G3317" s="73"/>
      <c r="H3317" s="73"/>
      <c r="I3317" s="73"/>
      <c r="J3317" s="73"/>
      <c r="K3317" s="73"/>
      <c r="L3317" s="73"/>
      <c r="M3317" s="73"/>
      <c r="N3317" s="73"/>
      <c r="O3317" s="73"/>
      <c r="P3317" s="73"/>
      <c r="Q3317" s="73"/>
      <c r="R3317" s="73"/>
      <c r="S3317" s="73"/>
      <c r="T3317" s="73"/>
      <c r="U3317" s="73"/>
      <c r="V3317" s="73"/>
      <c r="W3317" s="73"/>
      <c r="X3317" s="73"/>
      <c r="Y3317" s="73"/>
      <c r="Z3317" s="73"/>
      <c r="AA3317" s="73"/>
      <c r="AB3317" s="73"/>
    </row>
    <row r="3318">
      <c r="A3318" s="73"/>
      <c r="B3318" s="73">
        <v>3592931.146</v>
      </c>
      <c r="C3318" s="73">
        <v>2.98585060186226E8</v>
      </c>
      <c r="D3318" s="73">
        <v>1.38374440707999E8</v>
      </c>
      <c r="E3318" s="73">
        <v>1.84417277297666E7</v>
      </c>
      <c r="F3318" s="73"/>
      <c r="G3318" s="73"/>
      <c r="H3318" s="73"/>
      <c r="I3318" s="73"/>
      <c r="J3318" s="73"/>
      <c r="K3318" s="73"/>
      <c r="L3318" s="73"/>
      <c r="M3318" s="73"/>
      <c r="N3318" s="73"/>
      <c r="O3318" s="73"/>
      <c r="P3318" s="73"/>
      <c r="Q3318" s="73"/>
      <c r="R3318" s="73"/>
      <c r="S3318" s="73"/>
      <c r="T3318" s="73"/>
      <c r="U3318" s="73"/>
      <c r="V3318" s="73"/>
      <c r="W3318" s="73"/>
      <c r="X3318" s="73"/>
      <c r="Y3318" s="73"/>
      <c r="Z3318" s="73"/>
      <c r="AA3318" s="73"/>
      <c r="AB3318" s="73"/>
    </row>
    <row r="3319">
      <c r="A3319" s="73"/>
      <c r="B3319" s="73">
        <v>3597789.867</v>
      </c>
      <c r="C3319" s="73">
        <v>2.9883008481942E8</v>
      </c>
      <c r="D3319" s="73">
        <v>1.38513751143993E8</v>
      </c>
      <c r="E3319" s="73">
        <v>1.84617998827471E7</v>
      </c>
      <c r="F3319" s="73"/>
      <c r="G3319" s="73"/>
      <c r="H3319" s="73"/>
      <c r="I3319" s="73"/>
      <c r="J3319" s="73"/>
      <c r="K3319" s="73"/>
      <c r="L3319" s="73"/>
      <c r="M3319" s="73"/>
      <c r="N3319" s="73"/>
      <c r="O3319" s="73"/>
      <c r="P3319" s="73"/>
      <c r="Q3319" s="73"/>
      <c r="R3319" s="73"/>
      <c r="S3319" s="73"/>
      <c r="T3319" s="73"/>
      <c r="U3319" s="73"/>
      <c r="V3319" s="73"/>
      <c r="W3319" s="73"/>
      <c r="X3319" s="73"/>
      <c r="Y3319" s="73"/>
      <c r="Z3319" s="73"/>
      <c r="AA3319" s="73"/>
      <c r="AB3319" s="73"/>
    </row>
    <row r="3320">
      <c r="A3320" s="73"/>
      <c r="B3320" s="73">
        <v>3602654.674</v>
      </c>
      <c r="C3320" s="73">
        <v>2.99075274252609E8</v>
      </c>
      <c r="D3320" s="73">
        <v>1.38653154348001E8</v>
      </c>
      <c r="E3320" s="73">
        <v>1.84818885539187E7</v>
      </c>
      <c r="F3320" s="73"/>
      <c r="G3320" s="73"/>
      <c r="H3320" s="73"/>
      <c r="I3320" s="73"/>
      <c r="J3320" s="73"/>
      <c r="K3320" s="73"/>
      <c r="L3320" s="73"/>
      <c r="M3320" s="73"/>
      <c r="N3320" s="73"/>
      <c r="O3320" s="73"/>
      <c r="P3320" s="73"/>
      <c r="Q3320" s="73"/>
      <c r="R3320" s="73"/>
      <c r="S3320" s="73"/>
      <c r="T3320" s="73"/>
      <c r="U3320" s="73"/>
      <c r="V3320" s="73"/>
      <c r="W3320" s="73"/>
      <c r="X3320" s="73"/>
      <c r="Y3320" s="73"/>
      <c r="Z3320" s="73"/>
      <c r="AA3320" s="73"/>
      <c r="AB3320" s="73"/>
    </row>
    <row r="3321">
      <c r="A3321" s="73"/>
      <c r="B3321" s="73">
        <v>3607525.611</v>
      </c>
      <c r="C3321" s="73">
        <v>2.99320562565796E8</v>
      </c>
      <c r="D3321" s="73">
        <v>1.38792650623995E8</v>
      </c>
      <c r="E3321" s="73">
        <v>1.85019946684493E7</v>
      </c>
      <c r="F3321" s="73"/>
      <c r="G3321" s="73"/>
      <c r="H3321" s="73"/>
      <c r="I3321" s="73"/>
      <c r="J3321" s="73"/>
      <c r="K3321" s="73"/>
      <c r="L3321" s="73"/>
      <c r="M3321" s="73"/>
      <c r="N3321" s="73"/>
      <c r="O3321" s="73"/>
      <c r="P3321" s="73"/>
      <c r="Q3321" s="73"/>
      <c r="R3321" s="73"/>
      <c r="S3321" s="73"/>
      <c r="T3321" s="73"/>
      <c r="U3321" s="73"/>
      <c r="V3321" s="73"/>
      <c r="W3321" s="73"/>
      <c r="X3321" s="73"/>
      <c r="Y3321" s="73"/>
      <c r="Z3321" s="73"/>
      <c r="AA3321" s="73"/>
      <c r="AB3321" s="73"/>
    </row>
    <row r="3322">
      <c r="A3322" s="73"/>
      <c r="B3322" s="73">
        <v>3612402.519</v>
      </c>
      <c r="C3322" s="73">
        <v>2.99566015678978E8</v>
      </c>
      <c r="D3322" s="73">
        <v>1.38932239668003E8</v>
      </c>
      <c r="E3322" s="73">
        <v>1.8522117852371E7</v>
      </c>
      <c r="F3322" s="73"/>
      <c r="G3322" s="73"/>
      <c r="H3322" s="73"/>
      <c r="I3322" s="73"/>
      <c r="J3322" s="73"/>
      <c r="K3322" s="73"/>
      <c r="L3322" s="73"/>
      <c r="M3322" s="73"/>
      <c r="N3322" s="73"/>
      <c r="O3322" s="73"/>
      <c r="P3322" s="73"/>
      <c r="Q3322" s="73"/>
      <c r="R3322" s="73"/>
      <c r="S3322" s="73"/>
      <c r="T3322" s="73"/>
      <c r="U3322" s="73"/>
      <c r="V3322" s="73"/>
      <c r="W3322" s="73"/>
      <c r="X3322" s="73"/>
      <c r="Y3322" s="73"/>
      <c r="Z3322" s="73"/>
      <c r="AA3322" s="73"/>
      <c r="AB3322" s="73"/>
    </row>
    <row r="3323">
      <c r="A3323" s="73"/>
      <c r="B3323" s="73">
        <v>3617285.528</v>
      </c>
      <c r="C3323" s="73">
        <v>2.99811567672157E8</v>
      </c>
      <c r="D3323" s="73">
        <v>1.39071911543996E8</v>
      </c>
      <c r="E3323" s="73">
        <v>1.85422579284518E7</v>
      </c>
      <c r="F3323" s="73"/>
      <c r="G3323" s="73"/>
      <c r="H3323" s="73"/>
      <c r="I3323" s="73"/>
      <c r="J3323" s="73"/>
      <c r="K3323" s="73"/>
      <c r="L3323" s="73"/>
      <c r="M3323" s="73"/>
      <c r="N3323" s="73"/>
      <c r="O3323" s="73"/>
      <c r="P3323" s="73"/>
      <c r="Q3323" s="73"/>
      <c r="R3323" s="73"/>
      <c r="S3323" s="73"/>
      <c r="T3323" s="73"/>
      <c r="U3323" s="73"/>
      <c r="V3323" s="73"/>
      <c r="W3323" s="73"/>
      <c r="X3323" s="73"/>
      <c r="Y3323" s="73"/>
      <c r="Z3323" s="73"/>
      <c r="AA3323" s="73"/>
      <c r="AB3323" s="73"/>
    </row>
    <row r="3324">
      <c r="A3324" s="73"/>
      <c r="B3324" s="73">
        <v>3622174.601</v>
      </c>
      <c r="C3324" s="73">
        <v>3.00057251505333E8</v>
      </c>
      <c r="D3324" s="73">
        <v>1.3921167634799E8</v>
      </c>
      <c r="E3324" s="73">
        <v>1.85624151587237E7</v>
      </c>
      <c r="F3324" s="73"/>
      <c r="G3324" s="73"/>
      <c r="H3324" s="73"/>
      <c r="I3324" s="73"/>
      <c r="J3324" s="73"/>
      <c r="K3324" s="73"/>
      <c r="L3324" s="73"/>
      <c r="M3324" s="73"/>
      <c r="N3324" s="73"/>
      <c r="O3324" s="73"/>
      <c r="P3324" s="73"/>
      <c r="Q3324" s="73"/>
      <c r="R3324" s="73"/>
      <c r="S3324" s="73"/>
      <c r="T3324" s="73"/>
      <c r="U3324" s="73"/>
      <c r="V3324" s="73"/>
      <c r="W3324" s="73"/>
      <c r="X3324" s="73"/>
      <c r="Y3324" s="73"/>
      <c r="Z3324" s="73"/>
      <c r="AA3324" s="73"/>
      <c r="AB3324" s="73"/>
    </row>
    <row r="3325">
      <c r="A3325" s="73"/>
      <c r="B3325" s="73">
        <v>3627069.603</v>
      </c>
      <c r="C3325" s="73">
        <v>3.00303067178505E8</v>
      </c>
      <c r="D3325" s="73">
        <v>1.39351544231998E8</v>
      </c>
      <c r="E3325" s="73">
        <v>1.85825899883867E7</v>
      </c>
      <c r="F3325" s="73"/>
      <c r="G3325" s="73"/>
      <c r="H3325" s="73"/>
      <c r="I3325" s="73"/>
      <c r="J3325" s="73"/>
      <c r="K3325" s="73"/>
      <c r="L3325" s="73"/>
      <c r="M3325" s="73"/>
      <c r="N3325" s="73"/>
      <c r="O3325" s="73"/>
      <c r="P3325" s="73"/>
      <c r="Q3325" s="73"/>
      <c r="R3325" s="73"/>
      <c r="S3325" s="73"/>
      <c r="T3325" s="73"/>
      <c r="U3325" s="73"/>
      <c r="V3325" s="73"/>
      <c r="W3325" s="73"/>
      <c r="X3325" s="73"/>
      <c r="Y3325" s="73"/>
      <c r="Z3325" s="73"/>
      <c r="AA3325" s="73"/>
      <c r="AB3325" s="73"/>
    </row>
    <row r="3326">
      <c r="A3326" s="73"/>
      <c r="B3326" s="73">
        <v>3631970.9</v>
      </c>
      <c r="C3326" s="73">
        <v>3.00548981731674E8</v>
      </c>
      <c r="D3326" s="73">
        <v>1.39491494875991E8</v>
      </c>
      <c r="E3326" s="73">
        <v>1.86027814558087E7</v>
      </c>
      <c r="F3326" s="73"/>
      <c r="G3326" s="73"/>
      <c r="H3326" s="73"/>
      <c r="I3326" s="73"/>
      <c r="J3326" s="73"/>
      <c r="K3326" s="73"/>
      <c r="L3326" s="73"/>
      <c r="M3326" s="73"/>
      <c r="N3326" s="73"/>
      <c r="O3326" s="73"/>
      <c r="P3326" s="73"/>
      <c r="Q3326" s="73"/>
      <c r="R3326" s="73"/>
      <c r="S3326" s="73"/>
      <c r="T3326" s="73"/>
      <c r="U3326" s="73"/>
      <c r="V3326" s="73"/>
      <c r="W3326" s="73"/>
      <c r="X3326" s="73"/>
      <c r="Y3326" s="73"/>
      <c r="Z3326" s="73"/>
      <c r="AA3326" s="73"/>
      <c r="AB3326" s="73"/>
    </row>
    <row r="3327">
      <c r="A3327" s="73"/>
      <c r="B3327" s="73">
        <v>3636878.127</v>
      </c>
      <c r="C3327" s="73">
        <v>3.00795061084839E8</v>
      </c>
      <c r="D3327" s="73">
        <v>1.3963152828E8</v>
      </c>
      <c r="E3327" s="73">
        <v>1.86229893913898E7</v>
      </c>
      <c r="F3327" s="73"/>
      <c r="G3327" s="73"/>
      <c r="H3327" s="73"/>
      <c r="I3327" s="73"/>
      <c r="J3327" s="73"/>
      <c r="K3327" s="73"/>
      <c r="L3327" s="73"/>
      <c r="M3327" s="73"/>
      <c r="N3327" s="73"/>
      <c r="O3327" s="73"/>
      <c r="P3327" s="73"/>
      <c r="Q3327" s="73"/>
      <c r="R3327" s="73"/>
      <c r="S3327" s="73"/>
      <c r="T3327" s="73"/>
      <c r="U3327" s="73"/>
      <c r="V3327" s="73"/>
      <c r="W3327" s="73"/>
      <c r="X3327" s="73"/>
      <c r="Y3327" s="73"/>
      <c r="Z3327" s="73"/>
      <c r="AA3327" s="73"/>
      <c r="AB3327" s="73"/>
    </row>
    <row r="3328">
      <c r="A3328" s="73"/>
      <c r="B3328" s="73">
        <v>3641791.373</v>
      </c>
      <c r="C3328" s="73">
        <v>3.01041272278E8</v>
      </c>
      <c r="D3328" s="73">
        <v>1.39771664763993E8</v>
      </c>
      <c r="E3328" s="73">
        <v>1.8643215972794E7</v>
      </c>
      <c r="F3328" s="73"/>
      <c r="G3328" s="73"/>
      <c r="H3328" s="73"/>
      <c r="I3328" s="73"/>
      <c r="J3328" s="73"/>
      <c r="K3328" s="73"/>
      <c r="L3328" s="73"/>
      <c r="M3328" s="73"/>
      <c r="N3328" s="73"/>
      <c r="O3328" s="73"/>
      <c r="P3328" s="73"/>
      <c r="Q3328" s="73"/>
      <c r="R3328" s="73"/>
      <c r="S3328" s="73"/>
      <c r="T3328" s="73"/>
      <c r="U3328" s="73"/>
      <c r="V3328" s="73"/>
      <c r="W3328" s="73"/>
      <c r="X3328" s="73"/>
      <c r="Y3328" s="73"/>
      <c r="Z3328" s="73"/>
      <c r="AA3328" s="73"/>
      <c r="AB3328" s="73"/>
    </row>
    <row r="3329">
      <c r="A3329" s="73"/>
      <c r="B3329" s="73">
        <v>3646710.783</v>
      </c>
      <c r="C3329" s="73">
        <v>3.01287615311157E8</v>
      </c>
      <c r="D3329" s="73">
        <v>1.39911883848002E8</v>
      </c>
      <c r="E3329" s="73">
        <v>1.86634580183253E7</v>
      </c>
      <c r="F3329" s="73"/>
      <c r="G3329" s="73"/>
      <c r="H3329" s="73"/>
      <c r="I3329" s="73"/>
      <c r="J3329" s="73"/>
      <c r="K3329" s="73"/>
      <c r="L3329" s="73"/>
      <c r="M3329" s="73"/>
      <c r="N3329" s="73"/>
      <c r="O3329" s="73"/>
      <c r="P3329" s="73"/>
      <c r="Q3329" s="73"/>
      <c r="R3329" s="73"/>
      <c r="S3329" s="73"/>
      <c r="T3329" s="73"/>
      <c r="U3329" s="73"/>
      <c r="V3329" s="73"/>
      <c r="W3329" s="73"/>
      <c r="X3329" s="73"/>
      <c r="Y3329" s="73"/>
      <c r="Z3329" s="73"/>
      <c r="AA3329" s="73"/>
      <c r="AB3329" s="73"/>
    </row>
    <row r="3330">
      <c r="A3330" s="73"/>
      <c r="B3330" s="73">
        <v>3651636.367</v>
      </c>
      <c r="C3330" s="73">
        <v>3.01534057224312E8</v>
      </c>
      <c r="D3330" s="73">
        <v>1.40052206259995E8</v>
      </c>
      <c r="E3330" s="73">
        <v>1.86837182356476E7</v>
      </c>
      <c r="F3330" s="73"/>
      <c r="G3330" s="73"/>
      <c r="H3330" s="73"/>
      <c r="I3330" s="73"/>
      <c r="J3330" s="73"/>
      <c r="K3330" s="73"/>
      <c r="L3330" s="73"/>
      <c r="M3330" s="73"/>
      <c r="N3330" s="73"/>
      <c r="O3330" s="73"/>
      <c r="P3330" s="73"/>
      <c r="Q3330" s="73"/>
      <c r="R3330" s="73"/>
      <c r="S3330" s="73"/>
      <c r="T3330" s="73"/>
      <c r="U3330" s="73"/>
      <c r="V3330" s="73"/>
      <c r="W3330" s="73"/>
      <c r="X3330" s="73"/>
      <c r="Y3330" s="73"/>
      <c r="Z3330" s="73"/>
      <c r="AA3330" s="73"/>
      <c r="AB3330" s="73"/>
    </row>
    <row r="3331">
      <c r="A3331" s="73"/>
      <c r="B3331" s="73">
        <v>3656567.905</v>
      </c>
      <c r="C3331" s="73">
        <v>3.01780598017464E8</v>
      </c>
      <c r="D3331" s="73">
        <v>1.40192611344004E8</v>
      </c>
      <c r="E3331" s="73">
        <v>1.8703995395161E7</v>
      </c>
      <c r="F3331" s="73"/>
      <c r="G3331" s="73"/>
      <c r="H3331" s="73"/>
      <c r="I3331" s="73"/>
      <c r="J3331" s="73"/>
      <c r="K3331" s="73"/>
      <c r="L3331" s="73"/>
      <c r="M3331" s="73"/>
      <c r="N3331" s="73"/>
      <c r="O3331" s="73"/>
      <c r="P3331" s="73"/>
      <c r="Q3331" s="73"/>
      <c r="R3331" s="73"/>
      <c r="S3331" s="73"/>
      <c r="T3331" s="73"/>
      <c r="U3331" s="73"/>
      <c r="V3331" s="73"/>
      <c r="W3331" s="73"/>
      <c r="X3331" s="73"/>
      <c r="Y3331" s="73"/>
      <c r="Z3331" s="73"/>
      <c r="AA3331" s="73"/>
      <c r="AB3331" s="73"/>
    </row>
    <row r="3332">
      <c r="A3332" s="73"/>
      <c r="B3332" s="73">
        <v>3661505.537</v>
      </c>
      <c r="C3332" s="73">
        <v>3.02027303610611E8</v>
      </c>
      <c r="D3332" s="73">
        <v>1.40333098955997E8</v>
      </c>
      <c r="E3332" s="73">
        <v>1.87242902388655E7</v>
      </c>
      <c r="F3332" s="73"/>
      <c r="G3332" s="73"/>
      <c r="H3332" s="73"/>
      <c r="I3332" s="73"/>
      <c r="J3332" s="73"/>
      <c r="K3332" s="73"/>
      <c r="L3332" s="73"/>
      <c r="M3332" s="73"/>
      <c r="N3332" s="73"/>
      <c r="O3332" s="73"/>
      <c r="P3332" s="73"/>
      <c r="Q3332" s="73"/>
      <c r="R3332" s="73"/>
      <c r="S3332" s="73"/>
      <c r="T3332" s="73"/>
      <c r="U3332" s="73"/>
      <c r="V3332" s="73"/>
      <c r="W3332" s="73"/>
      <c r="X3332" s="73"/>
      <c r="Y3332" s="73"/>
      <c r="Z3332" s="73"/>
      <c r="AA3332" s="73"/>
      <c r="AB3332" s="73"/>
    </row>
    <row r="3333">
      <c r="A3333" s="73"/>
      <c r="B3333" s="73">
        <v>3666449.288</v>
      </c>
      <c r="C3333" s="73">
        <v>3.02274108083755E8</v>
      </c>
      <c r="D3333" s="73">
        <v>1.4047369003999E8</v>
      </c>
      <c r="E3333" s="73">
        <v>1.87446008434971E7</v>
      </c>
      <c r="F3333" s="73"/>
      <c r="G3333" s="73"/>
      <c r="H3333" s="73"/>
      <c r="I3333" s="73"/>
      <c r="J3333" s="73"/>
      <c r="K3333" s="73"/>
      <c r="L3333" s="73"/>
      <c r="M3333" s="73"/>
      <c r="N3333" s="73"/>
      <c r="O3333" s="73"/>
      <c r="P3333" s="73"/>
      <c r="Q3333" s="73"/>
      <c r="R3333" s="73"/>
      <c r="S3333" s="73"/>
      <c r="T3333" s="73"/>
      <c r="U3333" s="73"/>
      <c r="V3333" s="73"/>
      <c r="W3333" s="73"/>
      <c r="X3333" s="73"/>
      <c r="Y3333" s="73"/>
      <c r="Z3333" s="73"/>
      <c r="AA3333" s="73"/>
      <c r="AB3333" s="73"/>
    </row>
    <row r="3334">
      <c r="A3334" s="73"/>
      <c r="B3334" s="73">
        <v>3671399.056</v>
      </c>
      <c r="C3334" s="73">
        <v>3.02521077356895E8</v>
      </c>
      <c r="D3334" s="73">
        <v>1.40614373731999E8</v>
      </c>
      <c r="E3334" s="73">
        <v>1.87649288779197E7</v>
      </c>
      <c r="F3334" s="73"/>
      <c r="G3334" s="73"/>
      <c r="H3334" s="73"/>
      <c r="I3334" s="73"/>
      <c r="J3334" s="73"/>
      <c r="K3334" s="73"/>
      <c r="L3334" s="73"/>
      <c r="M3334" s="73"/>
      <c r="N3334" s="73"/>
      <c r="O3334" s="73"/>
      <c r="P3334" s="73"/>
      <c r="Q3334" s="73"/>
      <c r="R3334" s="73"/>
      <c r="S3334" s="73"/>
      <c r="T3334" s="73"/>
      <c r="U3334" s="73"/>
      <c r="V3334" s="73"/>
      <c r="W3334" s="73"/>
      <c r="X3334" s="73"/>
      <c r="Y3334" s="73"/>
      <c r="Z3334" s="73"/>
      <c r="AA3334" s="73"/>
      <c r="AB3334" s="73"/>
    </row>
    <row r="3335">
      <c r="A3335" s="73"/>
      <c r="B3335" s="73">
        <v>3676355.023</v>
      </c>
      <c r="C3335" s="73">
        <v>3.02768211430031E8</v>
      </c>
      <c r="D3335" s="73">
        <v>1.40755140343992E8</v>
      </c>
      <c r="E3335" s="73">
        <v>1.87852754733654E7</v>
      </c>
      <c r="F3335" s="73"/>
      <c r="G3335" s="73"/>
      <c r="H3335" s="73"/>
      <c r="I3335" s="73"/>
      <c r="J3335" s="73"/>
      <c r="K3335" s="73"/>
      <c r="L3335" s="73"/>
      <c r="M3335" s="73"/>
      <c r="N3335" s="73"/>
      <c r="O3335" s="73"/>
      <c r="P3335" s="73"/>
      <c r="Q3335" s="73"/>
      <c r="R3335" s="73"/>
      <c r="S3335" s="73"/>
      <c r="T3335" s="73"/>
      <c r="U3335" s="73"/>
      <c r="V3335" s="73"/>
      <c r="W3335" s="73"/>
      <c r="X3335" s="73"/>
      <c r="Y3335" s="73"/>
      <c r="Z3335" s="73"/>
      <c r="AA3335" s="73"/>
      <c r="AB3335" s="73"/>
    </row>
    <row r="3336">
      <c r="A3336" s="73"/>
      <c r="B3336" s="73">
        <v>3681316.978</v>
      </c>
      <c r="C3336" s="73">
        <v>3.03015411423164E8</v>
      </c>
      <c r="D3336" s="73">
        <v>1.40896010036001E8</v>
      </c>
      <c r="E3336" s="73">
        <v>1.88056378085382E7</v>
      </c>
      <c r="F3336" s="73"/>
      <c r="G3336" s="73"/>
      <c r="H3336" s="73"/>
      <c r="I3336" s="73"/>
      <c r="J3336" s="73"/>
      <c r="K3336" s="73"/>
      <c r="L3336" s="73"/>
      <c r="M3336" s="73"/>
      <c r="N3336" s="73"/>
      <c r="O3336" s="73"/>
      <c r="P3336" s="73"/>
      <c r="Q3336" s="73"/>
      <c r="R3336" s="73"/>
      <c r="S3336" s="73"/>
      <c r="T3336" s="73"/>
      <c r="U3336" s="73"/>
      <c r="V3336" s="73"/>
      <c r="W3336" s="73"/>
      <c r="X3336" s="73"/>
      <c r="Y3336" s="73"/>
      <c r="Z3336" s="73"/>
      <c r="AA3336" s="73"/>
      <c r="AB3336" s="73"/>
    </row>
    <row r="3337">
      <c r="A3337" s="73"/>
      <c r="B3337" s="73">
        <v>3686285.091</v>
      </c>
      <c r="C3337" s="73">
        <v>3.03262743256294E8</v>
      </c>
      <c r="D3337" s="73">
        <v>1.41036962487994E8</v>
      </c>
      <c r="E3337" s="73">
        <v>1.8826017637102E7</v>
      </c>
      <c r="F3337" s="73"/>
      <c r="G3337" s="73"/>
      <c r="H3337" s="73"/>
      <c r="I3337" s="73"/>
      <c r="J3337" s="73"/>
      <c r="K3337" s="73"/>
      <c r="L3337" s="73"/>
      <c r="M3337" s="73"/>
      <c r="N3337" s="73"/>
      <c r="O3337" s="73"/>
      <c r="P3337" s="73"/>
      <c r="Q3337" s="73"/>
      <c r="R3337" s="73"/>
      <c r="S3337" s="73"/>
      <c r="T3337" s="73"/>
      <c r="U3337" s="73"/>
      <c r="V3337" s="73"/>
      <c r="W3337" s="73"/>
      <c r="X3337" s="73"/>
      <c r="Y3337" s="73"/>
      <c r="Z3337" s="73"/>
      <c r="AA3337" s="73"/>
      <c r="AB3337" s="73"/>
    </row>
    <row r="3338">
      <c r="A3338" s="73"/>
      <c r="B3338" s="73">
        <v>3691259.297</v>
      </c>
      <c r="C3338" s="73">
        <v>3.0351020692942E8</v>
      </c>
      <c r="D3338" s="73">
        <v>1.41178007780002E8</v>
      </c>
      <c r="E3338" s="73">
        <v>1.8846415107457E7</v>
      </c>
      <c r="F3338" s="73"/>
      <c r="G3338" s="73"/>
      <c r="H3338" s="73"/>
      <c r="I3338" s="73"/>
      <c r="J3338" s="73"/>
      <c r="K3338" s="73"/>
      <c r="L3338" s="73"/>
      <c r="M3338" s="73"/>
      <c r="N3338" s="73"/>
      <c r="O3338" s="73"/>
      <c r="P3338" s="73"/>
      <c r="Q3338" s="73"/>
      <c r="R3338" s="73"/>
      <c r="S3338" s="73"/>
      <c r="T3338" s="73"/>
      <c r="U3338" s="73"/>
      <c r="V3338" s="73"/>
      <c r="W3338" s="73"/>
      <c r="X3338" s="73"/>
      <c r="Y3338" s="73"/>
      <c r="Z3338" s="73"/>
      <c r="AA3338" s="73"/>
      <c r="AB3338" s="73"/>
    </row>
    <row r="3339">
      <c r="A3339" s="73"/>
      <c r="B3339" s="73">
        <v>3696239.65</v>
      </c>
      <c r="C3339" s="73">
        <v>3.03757769482544E8</v>
      </c>
      <c r="D3339" s="73">
        <v>1.41319146071996E8</v>
      </c>
      <c r="E3339" s="73">
        <v>1.8866829385171E7</v>
      </c>
      <c r="F3339" s="73"/>
      <c r="G3339" s="73"/>
      <c r="H3339" s="73"/>
      <c r="I3339" s="73"/>
      <c r="J3339" s="73"/>
      <c r="K3339" s="73"/>
      <c r="L3339" s="73"/>
      <c r="M3339" s="73"/>
      <c r="N3339" s="73"/>
      <c r="O3339" s="73"/>
      <c r="P3339" s="73"/>
      <c r="Q3339" s="73"/>
      <c r="R3339" s="73"/>
      <c r="S3339" s="73"/>
      <c r="T3339" s="73"/>
      <c r="U3339" s="73"/>
      <c r="V3339" s="73"/>
      <c r="W3339" s="73"/>
      <c r="X3339" s="73"/>
      <c r="Y3339" s="73"/>
      <c r="Z3339" s="73"/>
      <c r="AA3339" s="73"/>
      <c r="AB3339" s="73"/>
    </row>
    <row r="3340">
      <c r="A3340" s="73"/>
      <c r="B3340" s="73">
        <v>3701226.146</v>
      </c>
      <c r="C3340" s="73">
        <v>3.04005496835663E8</v>
      </c>
      <c r="D3340" s="73">
        <v>1.41460377204004E8</v>
      </c>
      <c r="E3340" s="73">
        <v>1.8887260965476E7</v>
      </c>
      <c r="F3340" s="73"/>
      <c r="G3340" s="73"/>
      <c r="H3340" s="73"/>
      <c r="I3340" s="73"/>
      <c r="J3340" s="73"/>
      <c r="K3340" s="73"/>
      <c r="L3340" s="73"/>
      <c r="M3340" s="73"/>
      <c r="N3340" s="73"/>
      <c r="O3340" s="73"/>
      <c r="P3340" s="73"/>
      <c r="Q3340" s="73"/>
      <c r="R3340" s="73"/>
      <c r="S3340" s="73"/>
      <c r="T3340" s="73"/>
      <c r="U3340" s="73"/>
      <c r="V3340" s="73"/>
      <c r="W3340" s="73"/>
      <c r="X3340" s="73"/>
      <c r="Y3340" s="73"/>
      <c r="Z3340" s="73"/>
      <c r="AA3340" s="73"/>
      <c r="AB3340" s="73"/>
    </row>
    <row r="3341">
      <c r="A3341" s="73"/>
      <c r="B3341" s="73">
        <v>3706218.629</v>
      </c>
      <c r="C3341" s="73">
        <v>3.04253388988777E8</v>
      </c>
      <c r="D3341" s="73">
        <v>1.41601701495998E8</v>
      </c>
      <c r="E3341" s="73">
        <v>1.89077093531402E7</v>
      </c>
      <c r="F3341" s="73"/>
      <c r="G3341" s="73"/>
      <c r="H3341" s="73"/>
      <c r="I3341" s="73"/>
      <c r="J3341" s="73"/>
      <c r="K3341" s="73"/>
      <c r="L3341" s="73"/>
      <c r="M3341" s="73"/>
      <c r="N3341" s="73"/>
      <c r="O3341" s="73"/>
      <c r="P3341" s="73"/>
      <c r="Q3341" s="73"/>
      <c r="R3341" s="73"/>
      <c r="S3341" s="73"/>
      <c r="T3341" s="73"/>
      <c r="U3341" s="73"/>
      <c r="V3341" s="73"/>
      <c r="W3341" s="73"/>
      <c r="X3341" s="73"/>
      <c r="Y3341" s="73"/>
      <c r="Z3341" s="73"/>
      <c r="AA3341" s="73"/>
      <c r="AB3341" s="73"/>
    </row>
    <row r="3342">
      <c r="A3342" s="73"/>
      <c r="B3342" s="73">
        <v>3711217.259</v>
      </c>
      <c r="C3342" s="73">
        <v>3.04501380021889E8</v>
      </c>
      <c r="D3342" s="73">
        <v>1.41743118395991E8</v>
      </c>
      <c r="E3342" s="73">
        <v>1.89281753825954E7</v>
      </c>
      <c r="F3342" s="73"/>
      <c r="G3342" s="73"/>
      <c r="H3342" s="73"/>
      <c r="I3342" s="73"/>
      <c r="J3342" s="73"/>
      <c r="K3342" s="73"/>
      <c r="L3342" s="73"/>
      <c r="M3342" s="73"/>
      <c r="N3342" s="73"/>
      <c r="O3342" s="73"/>
      <c r="P3342" s="73"/>
      <c r="Q3342" s="73"/>
      <c r="R3342" s="73"/>
      <c r="S3342" s="73"/>
      <c r="T3342" s="73"/>
      <c r="U3342" s="73"/>
      <c r="V3342" s="73"/>
      <c r="W3342" s="73"/>
      <c r="X3342" s="73"/>
      <c r="Y3342" s="73"/>
      <c r="Z3342" s="73"/>
      <c r="AA3342" s="73"/>
      <c r="AB3342" s="73"/>
    </row>
    <row r="3343">
      <c r="A3343" s="73"/>
      <c r="B3343" s="73">
        <v>3716222.126</v>
      </c>
      <c r="C3343" s="73">
        <v>3.04749436974998E8</v>
      </c>
      <c r="D3343" s="73">
        <v>1.41884618287999E8</v>
      </c>
      <c r="E3343" s="73">
        <v>1.89486581770097E7</v>
      </c>
      <c r="F3343" s="73"/>
      <c r="G3343" s="73"/>
      <c r="H3343" s="73"/>
      <c r="I3343" s="73"/>
      <c r="J3343" s="73"/>
      <c r="K3343" s="73"/>
      <c r="L3343" s="73"/>
      <c r="M3343" s="73"/>
      <c r="N3343" s="73"/>
      <c r="O3343" s="73"/>
      <c r="P3343" s="73"/>
      <c r="Q3343" s="73"/>
      <c r="R3343" s="73"/>
      <c r="S3343" s="73"/>
      <c r="T3343" s="73"/>
      <c r="U3343" s="73"/>
      <c r="V3343" s="73"/>
      <c r="W3343" s="73"/>
      <c r="X3343" s="73"/>
      <c r="Y3343" s="73"/>
      <c r="Z3343" s="73"/>
      <c r="AA3343" s="73"/>
      <c r="AB3343" s="73"/>
    </row>
    <row r="3344">
      <c r="A3344" s="73"/>
      <c r="B3344" s="73">
        <v>3721232.861</v>
      </c>
      <c r="C3344" s="73">
        <v>3.04997691688103E8</v>
      </c>
      <c r="D3344" s="73">
        <v>1.42026210947993E8</v>
      </c>
      <c r="E3344" s="73">
        <v>1.89691583164151E7</v>
      </c>
      <c r="F3344" s="73"/>
      <c r="G3344" s="73"/>
      <c r="H3344" s="73"/>
      <c r="I3344" s="73"/>
      <c r="J3344" s="73"/>
      <c r="K3344" s="73"/>
      <c r="L3344" s="73"/>
      <c r="M3344" s="73"/>
      <c r="N3344" s="73"/>
      <c r="O3344" s="73"/>
      <c r="P3344" s="73"/>
      <c r="Q3344" s="73"/>
      <c r="R3344" s="73"/>
      <c r="S3344" s="73"/>
      <c r="T3344" s="73"/>
      <c r="U3344" s="73"/>
      <c r="V3344" s="73"/>
      <c r="W3344" s="73"/>
      <c r="X3344" s="73"/>
      <c r="Y3344" s="73"/>
      <c r="Z3344" s="73"/>
      <c r="AA3344" s="73"/>
      <c r="AB3344" s="73"/>
    </row>
    <row r="3345">
      <c r="A3345" s="73"/>
      <c r="B3345" s="73">
        <v>3726249.997</v>
      </c>
      <c r="C3345" s="73">
        <v>3.05246045281204E8</v>
      </c>
      <c r="D3345" s="73">
        <v>1.42167906920001E8</v>
      </c>
      <c r="E3345" s="73">
        <v>1.89896758143795E7</v>
      </c>
      <c r="F3345" s="73"/>
      <c r="G3345" s="73"/>
      <c r="H3345" s="73"/>
      <c r="I3345" s="73"/>
      <c r="J3345" s="73"/>
      <c r="K3345" s="73"/>
      <c r="L3345" s="73"/>
      <c r="M3345" s="73"/>
      <c r="N3345" s="73"/>
      <c r="O3345" s="73"/>
      <c r="P3345" s="73"/>
      <c r="Q3345" s="73"/>
      <c r="R3345" s="73"/>
      <c r="S3345" s="73"/>
      <c r="T3345" s="73"/>
      <c r="U3345" s="73"/>
      <c r="V3345" s="73"/>
      <c r="W3345" s="73"/>
      <c r="X3345" s="73"/>
      <c r="Y3345" s="73"/>
      <c r="Z3345" s="73"/>
      <c r="AA3345" s="73"/>
      <c r="AB3345" s="73"/>
    </row>
    <row r="3346">
      <c r="A3346" s="73"/>
      <c r="B3346" s="73">
        <v>3731273.099</v>
      </c>
      <c r="C3346" s="73">
        <v>3.05494530714302E8</v>
      </c>
      <c r="D3346" s="73">
        <v>1.42309675179995E8</v>
      </c>
      <c r="E3346" s="73">
        <v>1.90102099577351E7</v>
      </c>
      <c r="F3346" s="73"/>
      <c r="G3346" s="73"/>
      <c r="H3346" s="73"/>
      <c r="I3346" s="73"/>
      <c r="J3346" s="73"/>
      <c r="K3346" s="73"/>
      <c r="L3346" s="73"/>
      <c r="M3346" s="73"/>
      <c r="N3346" s="73"/>
      <c r="O3346" s="73"/>
      <c r="P3346" s="73"/>
      <c r="Q3346" s="73"/>
      <c r="R3346" s="73"/>
      <c r="S3346" s="73"/>
      <c r="T3346" s="73"/>
      <c r="U3346" s="73"/>
      <c r="V3346" s="73"/>
      <c r="W3346" s="73"/>
      <c r="X3346" s="73"/>
      <c r="Y3346" s="73"/>
      <c r="Z3346" s="73"/>
      <c r="AA3346" s="73"/>
      <c r="AB3346" s="73"/>
    </row>
    <row r="3347">
      <c r="A3347" s="73"/>
      <c r="B3347" s="73">
        <v>3736302.358</v>
      </c>
      <c r="C3347" s="73">
        <v>3.05743147987396E8</v>
      </c>
      <c r="D3347" s="73">
        <v>1.42451546680003E8</v>
      </c>
      <c r="E3347" s="73">
        <v>1.90307623788816E7</v>
      </c>
      <c r="F3347" s="73"/>
      <c r="G3347" s="73"/>
      <c r="H3347" s="73"/>
      <c r="I3347" s="73"/>
      <c r="J3347" s="73"/>
      <c r="K3347" s="73"/>
      <c r="L3347" s="73"/>
      <c r="M3347" s="73"/>
      <c r="N3347" s="73"/>
      <c r="O3347" s="73"/>
      <c r="P3347" s="73"/>
      <c r="Q3347" s="73"/>
      <c r="R3347" s="73"/>
      <c r="S3347" s="73"/>
      <c r="T3347" s="73"/>
      <c r="U3347" s="73"/>
      <c r="V3347" s="73"/>
      <c r="W3347" s="73"/>
      <c r="X3347" s="73"/>
      <c r="Y3347" s="73"/>
      <c r="Z3347" s="73"/>
      <c r="AA3347" s="73"/>
      <c r="AB3347" s="73"/>
    </row>
    <row r="3348">
      <c r="A3348" s="73"/>
      <c r="B3348" s="73">
        <v>3741337.763</v>
      </c>
      <c r="C3348" s="73">
        <v>3.05991897100487E8</v>
      </c>
      <c r="D3348" s="73">
        <v>1.42593521259996E8</v>
      </c>
      <c r="E3348" s="73">
        <v>1.90513313741873E7</v>
      </c>
      <c r="F3348" s="73"/>
      <c r="G3348" s="73"/>
      <c r="H3348" s="73"/>
      <c r="I3348" s="73"/>
      <c r="J3348" s="73"/>
      <c r="K3348" s="73"/>
      <c r="L3348" s="73"/>
      <c r="M3348" s="73"/>
      <c r="N3348" s="73"/>
      <c r="O3348" s="73"/>
      <c r="P3348" s="73"/>
      <c r="Q3348" s="73"/>
      <c r="R3348" s="73"/>
      <c r="S3348" s="73"/>
      <c r="T3348" s="73"/>
      <c r="U3348" s="73"/>
      <c r="V3348" s="73"/>
      <c r="W3348" s="73"/>
      <c r="X3348" s="73"/>
      <c r="Y3348" s="73"/>
      <c r="Z3348" s="73"/>
      <c r="AA3348" s="73"/>
      <c r="AB3348" s="73"/>
    </row>
    <row r="3349">
      <c r="A3349" s="73"/>
      <c r="B3349" s="73">
        <v>3746379.259</v>
      </c>
      <c r="C3349" s="73">
        <v>3.06240778053574E8</v>
      </c>
      <c r="D3349" s="73">
        <v>1.4273556835999E8</v>
      </c>
      <c r="E3349" s="73">
        <v>1.9071917650884E7</v>
      </c>
      <c r="F3349" s="73"/>
      <c r="G3349" s="73"/>
      <c r="H3349" s="73"/>
      <c r="I3349" s="73"/>
      <c r="J3349" s="73"/>
      <c r="K3349" s="73"/>
      <c r="L3349" s="73"/>
      <c r="M3349" s="73"/>
      <c r="N3349" s="73"/>
      <c r="O3349" s="73"/>
      <c r="P3349" s="73"/>
      <c r="Q3349" s="73"/>
      <c r="R3349" s="73"/>
      <c r="S3349" s="73"/>
      <c r="T3349" s="73"/>
      <c r="U3349" s="73"/>
      <c r="V3349" s="73"/>
      <c r="W3349" s="73"/>
      <c r="X3349" s="73"/>
      <c r="Y3349" s="73"/>
      <c r="Z3349" s="73"/>
      <c r="AA3349" s="73"/>
      <c r="AB3349" s="73"/>
    </row>
    <row r="3350">
      <c r="A3350" s="73"/>
      <c r="B3350" s="73">
        <v>3751426.996</v>
      </c>
      <c r="C3350" s="73">
        <v>3.06489790846657E8</v>
      </c>
      <c r="D3350" s="73">
        <v>1.42877718699998E8</v>
      </c>
      <c r="E3350" s="73">
        <v>1.90925210953398E7</v>
      </c>
      <c r="F3350" s="73"/>
      <c r="G3350" s="73"/>
      <c r="H3350" s="73"/>
      <c r="I3350" s="73"/>
      <c r="J3350" s="73"/>
      <c r="K3350" s="73"/>
      <c r="L3350" s="73"/>
      <c r="M3350" s="73"/>
      <c r="N3350" s="73"/>
      <c r="O3350" s="73"/>
      <c r="P3350" s="73"/>
      <c r="Q3350" s="73"/>
      <c r="R3350" s="73"/>
      <c r="S3350" s="73"/>
      <c r="T3350" s="73"/>
      <c r="U3350" s="73"/>
      <c r="V3350" s="73"/>
      <c r="W3350" s="73"/>
      <c r="X3350" s="73"/>
      <c r="Y3350" s="73"/>
      <c r="Z3350" s="73"/>
      <c r="AA3350" s="73"/>
      <c r="AB3350" s="73"/>
    </row>
    <row r="3351">
      <c r="A3351" s="73"/>
      <c r="B3351" s="73">
        <v>3756480.735</v>
      </c>
      <c r="C3351" s="73">
        <v>3.06738902519737E8</v>
      </c>
      <c r="D3351" s="73">
        <v>1.43019951799991E8</v>
      </c>
      <c r="E3351" s="73">
        <v>1.91131419695866E7</v>
      </c>
      <c r="F3351" s="73"/>
      <c r="G3351" s="73"/>
      <c r="H3351" s="73"/>
      <c r="I3351" s="73"/>
      <c r="J3351" s="73"/>
      <c r="K3351" s="73"/>
      <c r="L3351" s="73"/>
      <c r="M3351" s="73"/>
      <c r="N3351" s="73"/>
      <c r="O3351" s="73"/>
      <c r="P3351" s="73"/>
      <c r="Q3351" s="73"/>
      <c r="R3351" s="73"/>
      <c r="S3351" s="73"/>
      <c r="T3351" s="73"/>
      <c r="U3351" s="73"/>
      <c r="V3351" s="73"/>
      <c r="W3351" s="73"/>
      <c r="X3351" s="73"/>
      <c r="Y3351" s="73"/>
      <c r="Z3351" s="73"/>
      <c r="AA3351" s="73"/>
      <c r="AB3351" s="73"/>
    </row>
    <row r="3352">
      <c r="A3352" s="73"/>
      <c r="B3352" s="73">
        <v>3761540.713</v>
      </c>
      <c r="C3352" s="73">
        <v>3.06988146032814E8</v>
      </c>
      <c r="D3352" s="73">
        <v>1.4316228798E8</v>
      </c>
      <c r="E3352" s="73">
        <v>1.91337803372245E7</v>
      </c>
      <c r="F3352" s="73"/>
      <c r="G3352" s="73"/>
      <c r="H3352" s="73"/>
      <c r="I3352" s="73"/>
      <c r="J3352" s="73"/>
      <c r="K3352" s="73"/>
      <c r="L3352" s="73"/>
      <c r="M3352" s="73"/>
      <c r="N3352" s="73"/>
      <c r="O3352" s="73"/>
      <c r="P3352" s="73"/>
      <c r="Q3352" s="73"/>
      <c r="R3352" s="73"/>
      <c r="S3352" s="73"/>
      <c r="T3352" s="73"/>
      <c r="U3352" s="73"/>
      <c r="V3352" s="73"/>
      <c r="W3352" s="73"/>
      <c r="X3352" s="73"/>
      <c r="Y3352" s="73"/>
      <c r="Z3352" s="73"/>
      <c r="AA3352" s="73"/>
      <c r="AB3352" s="73"/>
    </row>
    <row r="3353">
      <c r="A3353" s="73"/>
      <c r="B3353" s="73">
        <v>3766606.792</v>
      </c>
      <c r="C3353" s="73">
        <v>3.07237554345886E8</v>
      </c>
      <c r="D3353" s="73">
        <v>1.43304706687993E8</v>
      </c>
      <c r="E3353" s="73">
        <v>1.91544350169896E7</v>
      </c>
      <c r="F3353" s="73"/>
      <c r="G3353" s="73"/>
      <c r="H3353" s="73"/>
      <c r="I3353" s="73"/>
      <c r="J3353" s="73"/>
      <c r="K3353" s="73"/>
      <c r="L3353" s="73"/>
      <c r="M3353" s="73"/>
      <c r="N3353" s="73"/>
      <c r="O3353" s="73"/>
      <c r="P3353" s="73"/>
      <c r="Q3353" s="73"/>
      <c r="R3353" s="73"/>
      <c r="S3353" s="73"/>
      <c r="T3353" s="73"/>
      <c r="U3353" s="73"/>
      <c r="V3353" s="73"/>
      <c r="W3353" s="73"/>
      <c r="X3353" s="73"/>
      <c r="Y3353" s="73"/>
      <c r="Z3353" s="73"/>
      <c r="AA3353" s="73"/>
      <c r="AB3353" s="73"/>
    </row>
    <row r="3354">
      <c r="A3354" s="73"/>
      <c r="B3354" s="73">
        <v>3771679.102</v>
      </c>
      <c r="C3354" s="73">
        <v>3.07487094498955E8</v>
      </c>
      <c r="D3354" s="73">
        <v>1.43447228708002E8</v>
      </c>
      <c r="E3354" s="73">
        <v>1.91751076429776E7</v>
      </c>
      <c r="F3354" s="73"/>
      <c r="G3354" s="73"/>
      <c r="H3354" s="73"/>
      <c r="I3354" s="73"/>
      <c r="J3354" s="73"/>
      <c r="K3354" s="73"/>
      <c r="L3354" s="73"/>
      <c r="M3354" s="73"/>
      <c r="N3354" s="73"/>
      <c r="O3354" s="73"/>
      <c r="P3354" s="73"/>
      <c r="Q3354" s="73"/>
      <c r="R3354" s="73"/>
      <c r="S3354" s="73"/>
      <c r="T3354" s="73"/>
      <c r="U3354" s="73"/>
      <c r="V3354" s="73"/>
      <c r="W3354" s="73"/>
      <c r="X3354" s="73"/>
      <c r="Y3354" s="73"/>
      <c r="Z3354" s="73"/>
      <c r="AA3354" s="73"/>
      <c r="AB3354" s="73"/>
    </row>
    <row r="3355">
      <c r="A3355" s="73"/>
      <c r="B3355" s="73">
        <v>3776757.516</v>
      </c>
      <c r="C3355" s="73">
        <v>3.07736700572021E8</v>
      </c>
      <c r="D3355" s="73">
        <v>1.43589823247995E8</v>
      </c>
      <c r="E3355" s="73">
        <v>1.91957975851247E7</v>
      </c>
      <c r="F3355" s="73"/>
      <c r="G3355" s="73"/>
      <c r="H3355" s="73"/>
      <c r="I3355" s="73"/>
      <c r="J3355" s="73"/>
      <c r="K3355" s="73"/>
      <c r="L3355" s="73"/>
      <c r="M3355" s="73"/>
      <c r="N3355" s="73"/>
      <c r="O3355" s="73"/>
      <c r="P3355" s="73"/>
      <c r="Q3355" s="73"/>
      <c r="R3355" s="73"/>
      <c r="S3355" s="73"/>
      <c r="T3355" s="73"/>
      <c r="U3355" s="73"/>
      <c r="V3355" s="73"/>
      <c r="W3355" s="73"/>
      <c r="X3355" s="73"/>
      <c r="Y3355" s="73"/>
      <c r="Z3355" s="73"/>
      <c r="AA3355" s="73"/>
      <c r="AB3355" s="73"/>
    </row>
    <row r="3356">
      <c r="A3356" s="73"/>
      <c r="B3356" s="73">
        <v>3781842.046</v>
      </c>
      <c r="C3356" s="73">
        <v>3.07986471445084E8</v>
      </c>
      <c r="D3356" s="73">
        <v>1.43732531196004E8</v>
      </c>
      <c r="E3356" s="73">
        <v>1.9216504554263E7</v>
      </c>
      <c r="F3356" s="73"/>
      <c r="G3356" s="73"/>
      <c r="H3356" s="73"/>
      <c r="I3356" s="73"/>
      <c r="J3356" s="73"/>
      <c r="K3356" s="73"/>
      <c r="L3356" s="73"/>
      <c r="M3356" s="73"/>
      <c r="N3356" s="73"/>
      <c r="O3356" s="73"/>
      <c r="P3356" s="73"/>
      <c r="Q3356" s="73"/>
      <c r="R3356" s="73"/>
      <c r="S3356" s="73"/>
      <c r="T3356" s="73"/>
      <c r="U3356" s="73"/>
      <c r="V3356" s="73"/>
      <c r="W3356" s="73"/>
      <c r="X3356" s="73"/>
      <c r="Y3356" s="73"/>
      <c r="Z3356" s="73"/>
      <c r="AA3356" s="73"/>
      <c r="AB3356" s="73"/>
    </row>
    <row r="3357">
      <c r="A3357" s="73"/>
      <c r="B3357" s="73">
        <v>3786932.736</v>
      </c>
      <c r="C3357" s="73">
        <v>3.08236374158142E8</v>
      </c>
      <c r="D3357" s="73">
        <v>1.43875321743997E8</v>
      </c>
      <c r="E3357" s="73">
        <v>1.92372290091602E7</v>
      </c>
      <c r="F3357" s="73"/>
      <c r="G3357" s="73"/>
      <c r="H3357" s="73"/>
      <c r="I3357" s="73"/>
      <c r="J3357" s="73"/>
      <c r="K3357" s="73"/>
      <c r="L3357" s="73"/>
      <c r="M3357" s="73"/>
      <c r="N3357" s="73"/>
      <c r="O3357" s="73"/>
      <c r="P3357" s="73"/>
      <c r="Q3357" s="73"/>
      <c r="R3357" s="73"/>
      <c r="S3357" s="73"/>
      <c r="T3357" s="73"/>
      <c r="U3357" s="73"/>
      <c r="V3357" s="73"/>
      <c r="W3357" s="73"/>
      <c r="X3357" s="73"/>
      <c r="Y3357" s="73"/>
      <c r="Z3357" s="73"/>
      <c r="AA3357" s="73"/>
      <c r="AB3357" s="73"/>
    </row>
    <row r="3358">
      <c r="A3358" s="73"/>
      <c r="B3358" s="73">
        <v>3792029.675</v>
      </c>
      <c r="C3358" s="73">
        <v>3.08486375751198E8</v>
      </c>
      <c r="D3358" s="73">
        <v>1.4401820536399E8</v>
      </c>
      <c r="E3358" s="73">
        <v>1.92579703002486E7</v>
      </c>
      <c r="F3358" s="73"/>
      <c r="G3358" s="73"/>
      <c r="H3358" s="73"/>
      <c r="I3358" s="73"/>
      <c r="J3358" s="73"/>
      <c r="K3358" s="73"/>
      <c r="L3358" s="73"/>
      <c r="M3358" s="73"/>
      <c r="N3358" s="73"/>
      <c r="O3358" s="73"/>
      <c r="P3358" s="73"/>
      <c r="Q3358" s="73"/>
      <c r="R3358" s="73"/>
      <c r="S3358" s="73"/>
      <c r="T3358" s="73"/>
      <c r="U3358" s="73"/>
      <c r="V3358" s="73"/>
      <c r="W3358" s="73"/>
      <c r="X3358" s="73"/>
      <c r="Y3358" s="73"/>
      <c r="Z3358" s="73"/>
      <c r="AA3358" s="73"/>
      <c r="AB3358" s="73"/>
    </row>
    <row r="3359">
      <c r="A3359" s="73"/>
      <c r="B3359" s="73">
        <v>3797132.644</v>
      </c>
      <c r="C3359" s="73">
        <v>3.08736542144249E8</v>
      </c>
      <c r="D3359" s="73">
        <v>1.44161171511999E8</v>
      </c>
      <c r="E3359" s="73">
        <v>1.9278728907496E7</v>
      </c>
      <c r="F3359" s="73"/>
      <c r="G3359" s="73"/>
      <c r="H3359" s="73"/>
      <c r="I3359" s="73"/>
      <c r="J3359" s="73"/>
      <c r="K3359" s="73"/>
      <c r="L3359" s="73"/>
      <c r="M3359" s="73"/>
      <c r="N3359" s="73"/>
      <c r="O3359" s="73"/>
      <c r="P3359" s="73"/>
      <c r="Q3359" s="73"/>
      <c r="R3359" s="73"/>
      <c r="S3359" s="73"/>
      <c r="T3359" s="73"/>
      <c r="U3359" s="73"/>
      <c r="V3359" s="73"/>
      <c r="W3359" s="73"/>
      <c r="X3359" s="73"/>
      <c r="Y3359" s="73"/>
      <c r="Z3359" s="73"/>
      <c r="AA3359" s="73"/>
      <c r="AB3359" s="73"/>
    </row>
    <row r="3360">
      <c r="A3360" s="73"/>
      <c r="B3360" s="73">
        <v>3802241.878</v>
      </c>
      <c r="C3360" s="73">
        <v>3.08986873337296E8</v>
      </c>
      <c r="D3360" s="73">
        <v>1.44304240899992E8</v>
      </c>
      <c r="E3360" s="73">
        <v>1.92995058637664E7</v>
      </c>
      <c r="F3360" s="73"/>
      <c r="G3360" s="73"/>
      <c r="H3360" s="73"/>
      <c r="I3360" s="73"/>
      <c r="J3360" s="73"/>
      <c r="K3360" s="73"/>
      <c r="L3360" s="73"/>
      <c r="M3360" s="73"/>
      <c r="N3360" s="73"/>
      <c r="O3360" s="73"/>
      <c r="P3360" s="73"/>
      <c r="Q3360" s="73"/>
      <c r="R3360" s="73"/>
      <c r="S3360" s="73"/>
      <c r="T3360" s="73"/>
      <c r="U3360" s="73"/>
      <c r="V3360" s="73"/>
      <c r="W3360" s="73"/>
      <c r="X3360" s="73"/>
      <c r="Y3360" s="73"/>
      <c r="Z3360" s="73"/>
      <c r="AA3360" s="73"/>
      <c r="AB3360" s="73"/>
    </row>
    <row r="3361">
      <c r="A3361" s="73"/>
      <c r="B3361" s="73">
        <v>3807357.201</v>
      </c>
      <c r="C3361" s="73">
        <v>3.0923727045034E8</v>
      </c>
      <c r="D3361" s="73">
        <v>1.44447403288001E8</v>
      </c>
      <c r="E3361" s="73">
        <v>1.9320298856564E7</v>
      </c>
      <c r="F3361" s="73"/>
      <c r="G3361" s="73"/>
      <c r="H3361" s="73"/>
      <c r="I3361" s="73"/>
      <c r="J3361" s="73"/>
      <c r="K3361" s="73"/>
      <c r="L3361" s="73"/>
      <c r="M3361" s="73"/>
      <c r="N3361" s="73"/>
      <c r="O3361" s="73"/>
      <c r="P3361" s="73"/>
      <c r="Q3361" s="73"/>
      <c r="R3361" s="73"/>
      <c r="S3361" s="73"/>
      <c r="T3361" s="73"/>
      <c r="U3361" s="73"/>
      <c r="V3361" s="73"/>
      <c r="W3361" s="73"/>
      <c r="X3361" s="73"/>
      <c r="Y3361" s="73"/>
      <c r="Z3361" s="73"/>
      <c r="AA3361" s="73"/>
      <c r="AB3361" s="73"/>
    </row>
    <row r="3362">
      <c r="A3362" s="73"/>
      <c r="B3362" s="73">
        <v>3812478.723</v>
      </c>
      <c r="C3362" s="73">
        <v>3.09487799403381E8</v>
      </c>
      <c r="D3362" s="73">
        <v>1.44590648275994E8</v>
      </c>
      <c r="E3362" s="73">
        <v>1.93411097031526E7</v>
      </c>
      <c r="F3362" s="73"/>
      <c r="G3362" s="73"/>
      <c r="H3362" s="73"/>
      <c r="I3362" s="73"/>
      <c r="J3362" s="73"/>
      <c r="K3362" s="73"/>
      <c r="L3362" s="73"/>
      <c r="M3362" s="73"/>
      <c r="N3362" s="73"/>
      <c r="O3362" s="73"/>
      <c r="P3362" s="73"/>
      <c r="Q3362" s="73"/>
      <c r="R3362" s="73"/>
      <c r="S3362" s="73"/>
      <c r="T3362" s="73"/>
      <c r="U3362" s="73"/>
      <c r="V3362" s="73"/>
      <c r="W3362" s="73"/>
      <c r="X3362" s="73"/>
      <c r="Y3362" s="73"/>
      <c r="Z3362" s="73"/>
      <c r="AA3362" s="73"/>
      <c r="AB3362" s="73"/>
    </row>
    <row r="3363">
      <c r="A3363" s="73"/>
      <c r="B3363" s="73">
        <v>3817606.4</v>
      </c>
      <c r="C3363" s="73">
        <v>3.09738460196419E8</v>
      </c>
      <c r="D3363" s="73">
        <v>1.44733996504002E8</v>
      </c>
      <c r="E3363" s="73">
        <v>1.93619378735322E7</v>
      </c>
      <c r="F3363" s="73"/>
      <c r="G3363" s="73"/>
      <c r="H3363" s="73"/>
      <c r="I3363" s="73"/>
      <c r="J3363" s="73"/>
      <c r="K3363" s="73"/>
      <c r="L3363" s="73"/>
      <c r="M3363" s="73"/>
      <c r="N3363" s="73"/>
      <c r="O3363" s="73"/>
      <c r="P3363" s="73"/>
      <c r="Q3363" s="73"/>
      <c r="R3363" s="73"/>
      <c r="S3363" s="73"/>
      <c r="T3363" s="73"/>
      <c r="U3363" s="73"/>
      <c r="V3363" s="73"/>
      <c r="W3363" s="73"/>
      <c r="X3363" s="73"/>
      <c r="Y3363" s="73"/>
      <c r="Z3363" s="73"/>
      <c r="AA3363" s="73"/>
      <c r="AB3363" s="73"/>
    </row>
    <row r="3364">
      <c r="A3364" s="73"/>
      <c r="B3364" s="73">
        <v>3822740.319</v>
      </c>
      <c r="C3364" s="73">
        <v>3.09989252829453E8</v>
      </c>
      <c r="D3364" s="73">
        <v>1.44877427491996E8</v>
      </c>
      <c r="E3364" s="73">
        <v>1.9382783126871E7</v>
      </c>
      <c r="F3364" s="73"/>
      <c r="G3364" s="73"/>
      <c r="H3364" s="73"/>
      <c r="I3364" s="73"/>
      <c r="J3364" s="73"/>
      <c r="K3364" s="73"/>
      <c r="L3364" s="73"/>
      <c r="M3364" s="73"/>
      <c r="N3364" s="73"/>
      <c r="O3364" s="73"/>
      <c r="P3364" s="73"/>
      <c r="Q3364" s="73"/>
      <c r="R3364" s="73"/>
      <c r="S3364" s="73"/>
      <c r="T3364" s="73"/>
      <c r="U3364" s="73"/>
      <c r="V3364" s="73"/>
      <c r="W3364" s="73"/>
      <c r="X3364" s="73"/>
      <c r="Y3364" s="73"/>
      <c r="Z3364" s="73"/>
      <c r="AA3364" s="73"/>
      <c r="AB3364" s="73"/>
    </row>
    <row r="3365">
      <c r="A3365" s="73"/>
      <c r="B3365" s="73">
        <v>3827880.383</v>
      </c>
      <c r="C3365" s="73">
        <v>3.10240177302483E8</v>
      </c>
      <c r="D3365" s="73">
        <v>1.45020961560004E8</v>
      </c>
      <c r="E3365" s="73">
        <v>1.94036456616008E7</v>
      </c>
      <c r="F3365" s="73"/>
      <c r="G3365" s="73"/>
      <c r="H3365" s="73"/>
      <c r="I3365" s="73"/>
      <c r="J3365" s="73"/>
      <c r="K3365" s="73"/>
      <c r="L3365" s="73"/>
      <c r="M3365" s="73"/>
      <c r="N3365" s="73"/>
      <c r="O3365" s="73"/>
      <c r="P3365" s="73"/>
      <c r="Q3365" s="73"/>
      <c r="R3365" s="73"/>
      <c r="S3365" s="73"/>
      <c r="T3365" s="73"/>
      <c r="U3365" s="73"/>
      <c r="V3365" s="73"/>
      <c r="W3365" s="73"/>
      <c r="X3365" s="73"/>
      <c r="Y3365" s="73"/>
      <c r="Z3365" s="73"/>
      <c r="AA3365" s="73"/>
      <c r="AB3365" s="73"/>
    </row>
    <row r="3366">
      <c r="A3366" s="73"/>
      <c r="B3366" s="73">
        <v>3833026.651</v>
      </c>
      <c r="C3366" s="73">
        <v>3.10491233615509E8</v>
      </c>
      <c r="D3366" s="73">
        <v>1.45164578155998E8</v>
      </c>
      <c r="E3366" s="73">
        <v>1.94245255548897E7</v>
      </c>
      <c r="F3366" s="73"/>
      <c r="G3366" s="73"/>
      <c r="H3366" s="73"/>
      <c r="I3366" s="73"/>
      <c r="J3366" s="73"/>
      <c r="K3366" s="73"/>
      <c r="L3366" s="73"/>
      <c r="M3366" s="73"/>
      <c r="N3366" s="73"/>
      <c r="O3366" s="73"/>
      <c r="P3366" s="73"/>
      <c r="Q3366" s="73"/>
      <c r="R3366" s="73"/>
      <c r="S3366" s="73"/>
      <c r="T3366" s="73"/>
      <c r="U3366" s="73"/>
      <c r="V3366" s="73"/>
      <c r="W3366" s="73"/>
      <c r="X3366" s="73"/>
      <c r="Y3366" s="73"/>
      <c r="Z3366" s="73"/>
      <c r="AA3366" s="73"/>
      <c r="AB3366" s="73"/>
    </row>
    <row r="3367">
      <c r="A3367" s="73"/>
      <c r="B3367" s="73">
        <v>3838179.111</v>
      </c>
      <c r="C3367" s="73">
        <v>3.10742421768532E8</v>
      </c>
      <c r="D3367" s="73">
        <v>1.45308288055991E8</v>
      </c>
      <c r="E3367" s="73">
        <v>1.94454237124015E7</v>
      </c>
      <c r="F3367" s="73"/>
      <c r="G3367" s="73"/>
      <c r="H3367" s="73"/>
      <c r="I3367" s="73"/>
      <c r="J3367" s="73"/>
      <c r="K3367" s="73"/>
      <c r="L3367" s="73"/>
      <c r="M3367" s="73"/>
      <c r="N3367" s="73"/>
      <c r="O3367" s="73"/>
      <c r="P3367" s="73"/>
      <c r="Q3367" s="73"/>
      <c r="R3367" s="73"/>
      <c r="S3367" s="73"/>
      <c r="T3367" s="73"/>
      <c r="U3367" s="73"/>
      <c r="V3367" s="73"/>
      <c r="W3367" s="73"/>
      <c r="X3367" s="73"/>
      <c r="Y3367" s="73"/>
      <c r="Z3367" s="73"/>
      <c r="AA3367" s="73"/>
      <c r="AB3367" s="73"/>
    </row>
    <row r="3368">
      <c r="A3368" s="73"/>
      <c r="B3368" s="73">
        <v>3843337.696</v>
      </c>
      <c r="C3368" s="73">
        <v>3.10993741761551E8</v>
      </c>
      <c r="D3368" s="73">
        <v>1.45452100819999E8</v>
      </c>
      <c r="E3368" s="73">
        <v>1.94663376096406E7</v>
      </c>
      <c r="F3368" s="73"/>
      <c r="G3368" s="73"/>
      <c r="H3368" s="73"/>
      <c r="I3368" s="73"/>
      <c r="J3368" s="73"/>
      <c r="K3368" s="73"/>
      <c r="L3368" s="73"/>
      <c r="M3368" s="73"/>
      <c r="N3368" s="73"/>
      <c r="O3368" s="73"/>
      <c r="P3368" s="73"/>
      <c r="Q3368" s="73"/>
      <c r="R3368" s="73"/>
      <c r="S3368" s="73"/>
      <c r="T3368" s="73"/>
      <c r="U3368" s="73"/>
      <c r="V3368" s="73"/>
      <c r="W3368" s="73"/>
      <c r="X3368" s="73"/>
      <c r="Y3368" s="73"/>
      <c r="Z3368" s="73"/>
      <c r="AA3368" s="73"/>
      <c r="AB3368" s="73"/>
    </row>
    <row r="3369">
      <c r="A3369" s="73"/>
      <c r="B3369" s="73">
        <v>3848502.523</v>
      </c>
      <c r="C3369" s="73">
        <v>3.11245160634567E8</v>
      </c>
      <c r="D3369" s="73">
        <v>1.45595996559993E8</v>
      </c>
      <c r="E3369" s="73">
        <v>1.94872696150706E7</v>
      </c>
      <c r="F3369" s="73"/>
      <c r="G3369" s="73"/>
      <c r="H3369" s="73"/>
      <c r="I3369" s="73"/>
      <c r="J3369" s="73"/>
      <c r="K3369" s="73"/>
      <c r="L3369" s="73"/>
      <c r="M3369" s="73"/>
      <c r="N3369" s="73"/>
      <c r="O3369" s="73"/>
      <c r="P3369" s="73"/>
      <c r="Q3369" s="73"/>
      <c r="R3369" s="73"/>
      <c r="S3369" s="73"/>
      <c r="T3369" s="73"/>
      <c r="U3369" s="73"/>
      <c r="V3369" s="73"/>
      <c r="W3369" s="73"/>
      <c r="X3369" s="73"/>
      <c r="Y3369" s="73"/>
      <c r="Z3369" s="73"/>
      <c r="AA3369" s="73"/>
      <c r="AB3369" s="73"/>
    </row>
    <row r="3370">
      <c r="A3370" s="73"/>
      <c r="B3370" s="73">
        <v>3853673.604</v>
      </c>
      <c r="C3370" s="73">
        <v>3.11496744307579E8</v>
      </c>
      <c r="D3370" s="73">
        <v>1.45739984924001E8</v>
      </c>
      <c r="E3370" s="73">
        <v>1.95082188806918E7</v>
      </c>
      <c r="F3370" s="73"/>
      <c r="G3370" s="73"/>
      <c r="H3370" s="73"/>
      <c r="I3370" s="73"/>
      <c r="J3370" s="73"/>
      <c r="K3370" s="73"/>
      <c r="L3370" s="73"/>
      <c r="M3370" s="73"/>
      <c r="N3370" s="73"/>
      <c r="O3370" s="73"/>
      <c r="P3370" s="73"/>
      <c r="Q3370" s="73"/>
      <c r="R3370" s="73"/>
      <c r="S3370" s="73"/>
      <c r="T3370" s="73"/>
      <c r="U3370" s="73"/>
      <c r="V3370" s="73"/>
      <c r="W3370" s="73"/>
      <c r="X3370" s="73"/>
      <c r="Y3370" s="73"/>
      <c r="Z3370" s="73"/>
      <c r="AA3370" s="73"/>
      <c r="AB3370" s="73"/>
    </row>
    <row r="3371">
      <c r="A3371" s="73"/>
      <c r="B3371" s="73">
        <v>3858850.677</v>
      </c>
      <c r="C3371" s="73">
        <v>3.11748426860588E8</v>
      </c>
      <c r="D3371" s="73">
        <v>1.45884066503994E8</v>
      </c>
      <c r="E3371" s="73">
        <v>1.95291860425039E7</v>
      </c>
      <c r="F3371" s="73"/>
      <c r="G3371" s="73"/>
      <c r="H3371" s="73"/>
      <c r="I3371" s="73"/>
      <c r="J3371" s="73"/>
      <c r="K3371" s="73"/>
      <c r="L3371" s="73"/>
      <c r="M3371" s="73"/>
      <c r="N3371" s="73"/>
      <c r="O3371" s="73"/>
      <c r="P3371" s="73"/>
      <c r="Q3371" s="73"/>
      <c r="R3371" s="73"/>
      <c r="S3371" s="73"/>
      <c r="T3371" s="73"/>
      <c r="U3371" s="73"/>
      <c r="V3371" s="73"/>
      <c r="W3371" s="73"/>
      <c r="X3371" s="73"/>
      <c r="Y3371" s="73"/>
      <c r="Z3371" s="73"/>
      <c r="AA3371" s="73"/>
      <c r="AB3371" s="73"/>
    </row>
    <row r="3372">
      <c r="A3372" s="73"/>
      <c r="B3372" s="73">
        <v>3864034.043</v>
      </c>
      <c r="C3372" s="73">
        <v>3.12000241253593E8</v>
      </c>
      <c r="D3372" s="73">
        <v>1.46028240708003E8</v>
      </c>
      <c r="E3372" s="73">
        <v>1.95501695588432E7</v>
      </c>
      <c r="F3372" s="73"/>
      <c r="G3372" s="73"/>
      <c r="H3372" s="73"/>
      <c r="I3372" s="73"/>
      <c r="J3372" s="73"/>
      <c r="K3372" s="73"/>
      <c r="L3372" s="73"/>
      <c r="M3372" s="73"/>
      <c r="N3372" s="73"/>
      <c r="O3372" s="73"/>
      <c r="P3372" s="73"/>
      <c r="Q3372" s="73"/>
      <c r="R3372" s="73"/>
      <c r="S3372" s="73"/>
      <c r="T3372" s="73"/>
      <c r="U3372" s="73"/>
      <c r="V3372" s="73"/>
      <c r="W3372" s="73"/>
      <c r="X3372" s="73"/>
      <c r="Y3372" s="73"/>
      <c r="Z3372" s="73"/>
      <c r="AA3372" s="73"/>
      <c r="AB3372" s="73"/>
    </row>
    <row r="3373">
      <c r="A3373" s="73"/>
      <c r="B3373" s="73">
        <v>3869223.727</v>
      </c>
      <c r="C3373" s="73">
        <v>3.12252220446594E8</v>
      </c>
      <c r="D3373" s="73">
        <v>1.46172507983996E8</v>
      </c>
      <c r="E3373" s="73">
        <v>1.95711714666055E7</v>
      </c>
      <c r="F3373" s="73"/>
      <c r="G3373" s="73"/>
      <c r="H3373" s="73"/>
      <c r="I3373" s="73"/>
      <c r="J3373" s="73"/>
      <c r="K3373" s="73"/>
      <c r="L3373" s="73"/>
      <c r="M3373" s="73"/>
      <c r="N3373" s="73"/>
      <c r="O3373" s="73"/>
      <c r="P3373" s="73"/>
      <c r="Q3373" s="73"/>
      <c r="R3373" s="73"/>
      <c r="S3373" s="73"/>
      <c r="T3373" s="73"/>
      <c r="U3373" s="73"/>
      <c r="V3373" s="73"/>
      <c r="W3373" s="73"/>
      <c r="X3373" s="73"/>
      <c r="Y3373" s="73"/>
      <c r="Z3373" s="73"/>
      <c r="AA3373" s="73"/>
      <c r="AB3373" s="73"/>
    </row>
    <row r="3374">
      <c r="A3374" s="73"/>
      <c r="B3374" s="73">
        <v>3874419.448</v>
      </c>
      <c r="C3374" s="73">
        <v>3.12504298519592E8</v>
      </c>
      <c r="D3374" s="73">
        <v>1.4631686833199E8</v>
      </c>
      <c r="E3374" s="73">
        <v>1.95921902029269E7</v>
      </c>
      <c r="F3374" s="73"/>
      <c r="G3374" s="73"/>
      <c r="H3374" s="73"/>
      <c r="I3374" s="73"/>
      <c r="J3374" s="73"/>
      <c r="K3374" s="73"/>
      <c r="L3374" s="73"/>
      <c r="M3374" s="73"/>
      <c r="N3374" s="73"/>
      <c r="O3374" s="73"/>
      <c r="P3374" s="73"/>
      <c r="Q3374" s="73"/>
      <c r="R3374" s="73"/>
      <c r="S3374" s="73"/>
      <c r="T3374" s="73"/>
      <c r="U3374" s="73"/>
      <c r="V3374" s="73"/>
      <c r="W3374" s="73"/>
      <c r="X3374" s="73"/>
      <c r="Y3374" s="73"/>
      <c r="Z3374" s="73"/>
      <c r="AA3374" s="73"/>
      <c r="AB3374" s="73"/>
    </row>
    <row r="3375">
      <c r="A3375" s="73"/>
      <c r="B3375" s="73">
        <v>3879621.487</v>
      </c>
      <c r="C3375" s="73">
        <v>3.12756475472588E8</v>
      </c>
      <c r="D3375" s="73">
        <v>1.46461311367998E8</v>
      </c>
      <c r="E3375" s="73">
        <v>1.96132265174393E7</v>
      </c>
      <c r="F3375" s="73"/>
      <c r="G3375" s="73"/>
      <c r="H3375" s="73"/>
      <c r="I3375" s="73"/>
      <c r="J3375" s="73"/>
      <c r="K3375" s="73"/>
      <c r="L3375" s="73"/>
      <c r="M3375" s="73"/>
      <c r="N3375" s="73"/>
      <c r="O3375" s="73"/>
      <c r="P3375" s="73"/>
      <c r="Q3375" s="73"/>
      <c r="R3375" s="73"/>
      <c r="S3375" s="73"/>
      <c r="T3375" s="73"/>
      <c r="U3375" s="73"/>
      <c r="V3375" s="73"/>
      <c r="W3375" s="73"/>
      <c r="X3375" s="73"/>
      <c r="Y3375" s="73"/>
      <c r="Z3375" s="73"/>
      <c r="AA3375" s="73"/>
      <c r="AB3375" s="73"/>
    </row>
    <row r="3376">
      <c r="A3376" s="73"/>
      <c r="B3376" s="73">
        <v>3884829.757</v>
      </c>
      <c r="C3376" s="73">
        <v>3.13008817225578E8</v>
      </c>
      <c r="D3376" s="73">
        <v>1.46605867651991E8</v>
      </c>
      <c r="E3376" s="73">
        <v>1.96342794061108E7</v>
      </c>
      <c r="F3376" s="73"/>
      <c r="G3376" s="73"/>
      <c r="H3376" s="73"/>
      <c r="I3376" s="73"/>
      <c r="J3376" s="73"/>
      <c r="K3376" s="73"/>
      <c r="L3376" s="73"/>
      <c r="M3376" s="73"/>
      <c r="N3376" s="73"/>
      <c r="O3376" s="73"/>
      <c r="P3376" s="73"/>
      <c r="Q3376" s="73"/>
      <c r="R3376" s="73"/>
      <c r="S3376" s="73"/>
      <c r="T3376" s="73"/>
      <c r="U3376" s="73"/>
      <c r="V3376" s="73"/>
      <c r="W3376" s="73"/>
      <c r="X3376" s="73"/>
      <c r="Y3376" s="73"/>
      <c r="Z3376" s="73"/>
      <c r="AA3376" s="73"/>
      <c r="AB3376" s="73"/>
    </row>
    <row r="3377">
      <c r="A3377" s="73"/>
      <c r="B3377" s="73">
        <v>3890044.24</v>
      </c>
      <c r="C3377" s="73">
        <v>3.13261290818565E8</v>
      </c>
      <c r="D3377" s="73">
        <v>1.46750496368E8</v>
      </c>
      <c r="E3377" s="73">
        <v>1.96553507209734E7</v>
      </c>
      <c r="F3377" s="73"/>
      <c r="G3377" s="73"/>
      <c r="H3377" s="73"/>
      <c r="I3377" s="73"/>
      <c r="J3377" s="73"/>
      <c r="K3377" s="73"/>
      <c r="L3377" s="73"/>
      <c r="M3377" s="73"/>
      <c r="N3377" s="73"/>
      <c r="O3377" s="73"/>
      <c r="P3377" s="73"/>
      <c r="Q3377" s="73"/>
      <c r="R3377" s="73"/>
      <c r="S3377" s="73"/>
      <c r="T3377" s="73"/>
      <c r="U3377" s="73"/>
      <c r="V3377" s="73"/>
      <c r="W3377" s="73"/>
      <c r="X3377" s="73"/>
      <c r="Y3377" s="73"/>
      <c r="Z3377" s="73"/>
      <c r="AA3377" s="73"/>
      <c r="AB3377" s="73"/>
    </row>
    <row r="3378">
      <c r="A3378" s="73"/>
      <c r="B3378" s="73">
        <v>3895264.815</v>
      </c>
      <c r="C3378" s="73">
        <v>3.13513896251549E8</v>
      </c>
      <c r="D3378" s="73">
        <v>1.46895228555993E8</v>
      </c>
      <c r="E3378" s="73">
        <v>1.9676439168827E7</v>
      </c>
      <c r="F3378" s="73"/>
      <c r="G3378" s="73"/>
      <c r="H3378" s="73"/>
      <c r="I3378" s="73"/>
      <c r="J3378" s="73"/>
      <c r="K3378" s="73"/>
      <c r="L3378" s="73"/>
      <c r="M3378" s="73"/>
      <c r="N3378" s="73"/>
      <c r="O3378" s="73"/>
      <c r="P3378" s="73"/>
      <c r="Q3378" s="73"/>
      <c r="R3378" s="73"/>
      <c r="S3378" s="73"/>
      <c r="T3378" s="73"/>
      <c r="U3378" s="73"/>
      <c r="V3378" s="73"/>
      <c r="W3378" s="73"/>
      <c r="X3378" s="73"/>
      <c r="Y3378" s="73"/>
      <c r="Z3378" s="73"/>
      <c r="AA3378" s="73"/>
      <c r="AB3378" s="73"/>
    </row>
    <row r="3379">
      <c r="A3379" s="73"/>
      <c r="B3379" s="73">
        <v>3900491.661</v>
      </c>
      <c r="C3379" s="73">
        <v>3.13766600564529E8</v>
      </c>
      <c r="D3379" s="73">
        <v>1.47040053512002E8</v>
      </c>
      <c r="E3379" s="73">
        <v>1.96975448904396E7</v>
      </c>
      <c r="F3379" s="73"/>
      <c r="G3379" s="73"/>
      <c r="H3379" s="73"/>
      <c r="I3379" s="73"/>
      <c r="J3379" s="73"/>
      <c r="K3379" s="73"/>
      <c r="L3379" s="73"/>
      <c r="M3379" s="73"/>
      <c r="N3379" s="73"/>
      <c r="O3379" s="73"/>
      <c r="P3379" s="73"/>
      <c r="Q3379" s="73"/>
      <c r="R3379" s="73"/>
      <c r="S3379" s="73"/>
      <c r="T3379" s="73"/>
      <c r="U3379" s="73"/>
      <c r="V3379" s="73"/>
      <c r="W3379" s="73"/>
      <c r="X3379" s="73"/>
      <c r="Y3379" s="73"/>
      <c r="Z3379" s="73"/>
      <c r="AA3379" s="73"/>
      <c r="AB3379" s="73"/>
    </row>
    <row r="3380">
      <c r="A3380" s="73"/>
      <c r="B3380" s="73">
        <v>3905724.829</v>
      </c>
      <c r="C3380" s="73">
        <v>3.14019469677505E8</v>
      </c>
      <c r="D3380" s="73">
        <v>1.47184960995995E8</v>
      </c>
      <c r="E3380" s="73">
        <v>1.97186672922114E7</v>
      </c>
      <c r="F3380" s="73"/>
      <c r="G3380" s="73"/>
      <c r="H3380" s="73"/>
      <c r="I3380" s="73"/>
      <c r="J3380" s="73"/>
      <c r="K3380" s="73"/>
      <c r="L3380" s="73"/>
      <c r="M3380" s="73"/>
      <c r="N3380" s="73"/>
      <c r="O3380" s="73"/>
      <c r="P3380" s="73"/>
      <c r="Q3380" s="73"/>
      <c r="R3380" s="73"/>
      <c r="S3380" s="73"/>
      <c r="T3380" s="73"/>
      <c r="U3380" s="73"/>
      <c r="V3380" s="73"/>
      <c r="W3380" s="73"/>
      <c r="X3380" s="73"/>
      <c r="Y3380" s="73"/>
      <c r="Z3380" s="73"/>
      <c r="AA3380" s="73"/>
      <c r="AB3380" s="73"/>
    </row>
    <row r="3381">
      <c r="A3381" s="73"/>
      <c r="B3381" s="73">
        <v>3910964.203</v>
      </c>
      <c r="C3381" s="73">
        <v>3.14272437670479E8</v>
      </c>
      <c r="D3381" s="73">
        <v>1.47329971792004E8</v>
      </c>
      <c r="E3381" s="73">
        <v>1.97398085730062E7</v>
      </c>
      <c r="F3381" s="73"/>
      <c r="G3381" s="73"/>
      <c r="H3381" s="73"/>
      <c r="I3381" s="73"/>
      <c r="J3381" s="73"/>
      <c r="K3381" s="73"/>
      <c r="L3381" s="73"/>
      <c r="M3381" s="73"/>
      <c r="N3381" s="73"/>
      <c r="O3381" s="73"/>
      <c r="P3381" s="73"/>
      <c r="Q3381" s="73"/>
      <c r="R3381" s="73"/>
      <c r="S3381" s="73"/>
      <c r="T3381" s="73"/>
      <c r="U3381" s="73"/>
      <c r="V3381" s="73"/>
      <c r="W3381" s="73"/>
      <c r="X3381" s="73"/>
      <c r="Y3381" s="73"/>
      <c r="Z3381" s="73"/>
      <c r="AA3381" s="73"/>
      <c r="AB3381" s="73"/>
    </row>
    <row r="3382">
      <c r="A3382" s="73"/>
      <c r="B3382" s="73">
        <v>3916209.694</v>
      </c>
      <c r="C3382" s="73">
        <v>3.14525570463448E8</v>
      </c>
      <c r="D3382" s="73">
        <v>1.47475075515997E8</v>
      </c>
      <c r="E3382" s="73">
        <v>1.976096678836E7</v>
      </c>
      <c r="F3382" s="73"/>
      <c r="G3382" s="73"/>
      <c r="H3382" s="73"/>
      <c r="I3382" s="73"/>
      <c r="J3382" s="73"/>
      <c r="K3382" s="73"/>
      <c r="L3382" s="73"/>
      <c r="M3382" s="73"/>
      <c r="N3382" s="73"/>
      <c r="O3382" s="73"/>
      <c r="P3382" s="73"/>
      <c r="Q3382" s="73"/>
      <c r="R3382" s="73"/>
      <c r="S3382" s="73"/>
      <c r="T3382" s="73"/>
      <c r="U3382" s="73"/>
      <c r="V3382" s="73"/>
      <c r="W3382" s="73"/>
      <c r="X3382" s="73"/>
      <c r="Y3382" s="73"/>
      <c r="Z3382" s="73"/>
      <c r="AA3382" s="73"/>
      <c r="AB3382" s="73"/>
    </row>
    <row r="3383">
      <c r="A3383" s="73"/>
      <c r="B3383" s="73">
        <v>3921461.281</v>
      </c>
      <c r="C3383" s="73">
        <v>3.14778802136414E8</v>
      </c>
      <c r="D3383" s="73">
        <v>1.4762026207199E8</v>
      </c>
      <c r="E3383" s="73">
        <v>1.9782141217473E7</v>
      </c>
      <c r="F3383" s="73"/>
      <c r="G3383" s="73"/>
      <c r="H3383" s="73"/>
      <c r="I3383" s="73"/>
      <c r="J3383" s="73"/>
      <c r="K3383" s="73"/>
      <c r="L3383" s="73"/>
      <c r="M3383" s="73"/>
      <c r="N3383" s="73"/>
      <c r="O3383" s="73"/>
      <c r="P3383" s="73"/>
      <c r="Q3383" s="73"/>
      <c r="R3383" s="73"/>
      <c r="S3383" s="73"/>
      <c r="T3383" s="73"/>
      <c r="U3383" s="73"/>
      <c r="V3383" s="73"/>
      <c r="W3383" s="73"/>
      <c r="X3383" s="73"/>
      <c r="Y3383" s="73"/>
      <c r="Z3383" s="73"/>
      <c r="AA3383" s="73"/>
      <c r="AB3383" s="73"/>
    </row>
    <row r="3384">
      <c r="A3384" s="73"/>
      <c r="B3384" s="73">
        <v>3926719.354</v>
      </c>
      <c r="C3384" s="73">
        <v>3.15032165649376E8</v>
      </c>
      <c r="D3384" s="73">
        <v>1.47765551635999E8</v>
      </c>
      <c r="E3384" s="73">
        <v>1.9803334178777E7</v>
      </c>
      <c r="F3384" s="73"/>
      <c r="G3384" s="73"/>
      <c r="H3384" s="73"/>
      <c r="I3384" s="73"/>
      <c r="J3384" s="73"/>
      <c r="K3384" s="73"/>
      <c r="L3384" s="73"/>
      <c r="M3384" s="73"/>
      <c r="N3384" s="73"/>
      <c r="O3384" s="73"/>
      <c r="P3384" s="73"/>
      <c r="Q3384" s="73"/>
      <c r="R3384" s="73"/>
      <c r="S3384" s="73"/>
      <c r="T3384" s="73"/>
      <c r="U3384" s="73"/>
      <c r="V3384" s="73"/>
      <c r="W3384" s="73"/>
      <c r="X3384" s="73"/>
      <c r="Y3384" s="73"/>
      <c r="Z3384" s="73"/>
      <c r="AA3384" s="73"/>
      <c r="AB3384" s="73"/>
    </row>
    <row r="3385">
      <c r="A3385" s="73"/>
      <c r="B3385" s="73">
        <v>3931983.723</v>
      </c>
      <c r="C3385" s="73">
        <v>3.15285661002335E8</v>
      </c>
      <c r="D3385" s="73">
        <v>1.47910934111992E8</v>
      </c>
      <c r="E3385" s="73">
        <v>1.9824544379072E7</v>
      </c>
      <c r="F3385" s="73"/>
      <c r="G3385" s="73"/>
      <c r="H3385" s="73"/>
      <c r="I3385" s="73"/>
      <c r="J3385" s="73"/>
      <c r="K3385" s="73"/>
      <c r="L3385" s="73"/>
      <c r="M3385" s="73"/>
      <c r="N3385" s="73"/>
      <c r="O3385" s="73"/>
      <c r="P3385" s="73"/>
      <c r="Q3385" s="73"/>
      <c r="R3385" s="73"/>
      <c r="S3385" s="73"/>
      <c r="T3385" s="73"/>
      <c r="U3385" s="73"/>
      <c r="V3385" s="73"/>
      <c r="W3385" s="73"/>
      <c r="X3385" s="73"/>
      <c r="Y3385" s="73"/>
      <c r="Z3385" s="73"/>
      <c r="AA3385" s="73"/>
      <c r="AB3385" s="73"/>
    </row>
    <row r="3386">
      <c r="A3386" s="73"/>
      <c r="B3386" s="73">
        <v>3937254.078</v>
      </c>
      <c r="C3386" s="73">
        <v>3.15539321155289E8</v>
      </c>
      <c r="D3386" s="73">
        <v>1.48056399436001E8</v>
      </c>
      <c r="E3386" s="73">
        <v>1.98457718955261E7</v>
      </c>
      <c r="F3386" s="73"/>
      <c r="G3386" s="73"/>
      <c r="H3386" s="73"/>
      <c r="I3386" s="73"/>
      <c r="J3386" s="73"/>
      <c r="K3386" s="73"/>
      <c r="L3386" s="73"/>
      <c r="M3386" s="73"/>
      <c r="N3386" s="73"/>
      <c r="O3386" s="73"/>
      <c r="P3386" s="73"/>
      <c r="Q3386" s="73"/>
      <c r="R3386" s="73"/>
      <c r="S3386" s="73"/>
      <c r="T3386" s="73"/>
      <c r="U3386" s="73"/>
      <c r="V3386" s="73"/>
      <c r="W3386" s="73"/>
      <c r="X3386" s="73"/>
      <c r="Y3386" s="73"/>
      <c r="Z3386" s="73"/>
      <c r="AA3386" s="73"/>
      <c r="AB3386" s="73"/>
    </row>
    <row r="3387">
      <c r="A3387" s="73"/>
      <c r="B3387" s="73">
        <v>3942530.848</v>
      </c>
      <c r="C3387" s="73">
        <v>3.1579308018824E8</v>
      </c>
      <c r="D3387" s="73">
        <v>1.48201967911994E8</v>
      </c>
      <c r="E3387" s="73">
        <v>1.98670172445713E7</v>
      </c>
      <c r="F3387" s="73"/>
      <c r="G3387" s="73"/>
      <c r="H3387" s="73"/>
      <c r="I3387" s="73"/>
      <c r="J3387" s="73"/>
      <c r="K3387" s="73"/>
      <c r="L3387" s="73"/>
      <c r="M3387" s="73"/>
      <c r="N3387" s="73"/>
      <c r="O3387" s="73"/>
      <c r="P3387" s="73"/>
      <c r="Q3387" s="73"/>
      <c r="R3387" s="73"/>
      <c r="S3387" s="73"/>
      <c r="T3387" s="73"/>
      <c r="U3387" s="73"/>
      <c r="V3387" s="73"/>
      <c r="W3387" s="73"/>
      <c r="X3387" s="73"/>
      <c r="Y3387" s="73"/>
      <c r="Z3387" s="73"/>
      <c r="AA3387" s="73"/>
      <c r="AB3387" s="73"/>
    </row>
    <row r="3388">
      <c r="A3388" s="73"/>
      <c r="B3388" s="73">
        <v>3947813.804</v>
      </c>
      <c r="C3388" s="73">
        <v>3.16046938101189E8</v>
      </c>
      <c r="D3388" s="73">
        <v>1.48347629156002E8</v>
      </c>
      <c r="E3388" s="73">
        <v>1.98882791677755E7</v>
      </c>
      <c r="F3388" s="73"/>
      <c r="G3388" s="73"/>
      <c r="H3388" s="73"/>
      <c r="I3388" s="73"/>
      <c r="J3388" s="73"/>
      <c r="K3388" s="73"/>
      <c r="L3388" s="73"/>
      <c r="M3388" s="73"/>
      <c r="N3388" s="73"/>
      <c r="O3388" s="73"/>
      <c r="P3388" s="73"/>
      <c r="Q3388" s="73"/>
      <c r="R3388" s="73"/>
      <c r="S3388" s="73"/>
      <c r="T3388" s="73"/>
      <c r="U3388" s="73"/>
      <c r="V3388" s="73"/>
      <c r="W3388" s="73"/>
      <c r="X3388" s="73"/>
      <c r="Y3388" s="73"/>
      <c r="Z3388" s="73"/>
      <c r="AA3388" s="73"/>
      <c r="AB3388" s="73"/>
    </row>
    <row r="3389">
      <c r="A3389" s="73"/>
      <c r="B3389" s="73">
        <v>3953103.016</v>
      </c>
      <c r="C3389" s="73">
        <v>3.16300960814133E8</v>
      </c>
      <c r="D3389" s="73">
        <v>1.48493373231996E8</v>
      </c>
      <c r="E3389" s="73">
        <v>1.99095594824028E7</v>
      </c>
      <c r="F3389" s="73"/>
      <c r="G3389" s="73"/>
      <c r="H3389" s="73"/>
      <c r="I3389" s="73"/>
      <c r="J3389" s="73"/>
      <c r="K3389" s="73"/>
      <c r="L3389" s="73"/>
      <c r="M3389" s="73"/>
      <c r="N3389" s="73"/>
      <c r="O3389" s="73"/>
      <c r="P3389" s="73"/>
      <c r="Q3389" s="73"/>
      <c r="R3389" s="73"/>
      <c r="S3389" s="73"/>
      <c r="T3389" s="73"/>
      <c r="U3389" s="73"/>
      <c r="V3389" s="73"/>
      <c r="W3389" s="73"/>
      <c r="X3389" s="73"/>
      <c r="Y3389" s="73"/>
      <c r="Z3389" s="73"/>
      <c r="AA3389" s="73"/>
      <c r="AB3389" s="73"/>
    </row>
    <row r="3390">
      <c r="A3390" s="73"/>
      <c r="B3390" s="73">
        <v>3958398.462</v>
      </c>
      <c r="C3390" s="73">
        <v>3.16555082407074E8</v>
      </c>
      <c r="D3390" s="73">
        <v>1.48639220476004E8</v>
      </c>
      <c r="E3390" s="73">
        <v>1.99308567663571E7</v>
      </c>
      <c r="F3390" s="73"/>
      <c r="G3390" s="73"/>
      <c r="H3390" s="73"/>
      <c r="I3390" s="73"/>
      <c r="J3390" s="73"/>
      <c r="K3390" s="73"/>
      <c r="L3390" s="73"/>
      <c r="M3390" s="73"/>
      <c r="N3390" s="73"/>
      <c r="O3390" s="73"/>
      <c r="P3390" s="73"/>
      <c r="Q3390" s="73"/>
      <c r="R3390" s="73"/>
      <c r="S3390" s="73"/>
      <c r="T3390" s="73"/>
      <c r="U3390" s="73"/>
      <c r="V3390" s="73"/>
      <c r="W3390" s="73"/>
      <c r="X3390" s="73"/>
      <c r="Y3390" s="73"/>
      <c r="Z3390" s="73"/>
      <c r="AA3390" s="73"/>
      <c r="AB3390" s="73"/>
    </row>
    <row r="3391">
      <c r="A3391" s="73"/>
      <c r="B3391" s="73">
        <v>3963700.143</v>
      </c>
      <c r="C3391" s="73">
        <v>3.16809335840012E8</v>
      </c>
      <c r="D3391" s="73">
        <v>1.48785150407998E8</v>
      </c>
      <c r="E3391" s="73">
        <v>1.99521721237345E7</v>
      </c>
      <c r="F3391" s="73"/>
      <c r="G3391" s="73"/>
      <c r="H3391" s="73"/>
      <c r="I3391" s="73"/>
      <c r="J3391" s="73"/>
      <c r="K3391" s="73"/>
      <c r="L3391" s="73"/>
      <c r="M3391" s="73"/>
      <c r="N3391" s="73"/>
      <c r="O3391" s="73"/>
      <c r="P3391" s="73"/>
      <c r="Q3391" s="73"/>
      <c r="R3391" s="73"/>
      <c r="S3391" s="73"/>
      <c r="T3391" s="73"/>
      <c r="U3391" s="73"/>
      <c r="V3391" s="73"/>
      <c r="W3391" s="73"/>
      <c r="X3391" s="73"/>
      <c r="Y3391" s="73"/>
      <c r="Z3391" s="73"/>
      <c r="AA3391" s="73"/>
      <c r="AB3391" s="73"/>
    </row>
    <row r="3392">
      <c r="A3392" s="73"/>
      <c r="B3392" s="73">
        <v>3969008.05</v>
      </c>
      <c r="C3392" s="73">
        <v>3.17063787032944E8</v>
      </c>
      <c r="D3392" s="73">
        <v>1.48931183491991E8</v>
      </c>
      <c r="E3392" s="73">
        <v>1.9973503496439E7</v>
      </c>
      <c r="F3392" s="73"/>
      <c r="G3392" s="73"/>
      <c r="H3392" s="73"/>
      <c r="I3392" s="73"/>
      <c r="J3392" s="73"/>
      <c r="K3392" s="73"/>
      <c r="L3392" s="73"/>
      <c r="M3392" s="73"/>
      <c r="N3392" s="73"/>
      <c r="O3392" s="73"/>
      <c r="P3392" s="73"/>
      <c r="Q3392" s="73"/>
      <c r="R3392" s="73"/>
      <c r="S3392" s="73"/>
      <c r="T3392" s="73"/>
      <c r="U3392" s="73"/>
      <c r="V3392" s="73"/>
      <c r="W3392" s="73"/>
      <c r="X3392" s="73"/>
      <c r="Y3392" s="73"/>
      <c r="Z3392" s="73"/>
      <c r="AA3392" s="73"/>
      <c r="AB3392" s="73"/>
    </row>
    <row r="3393">
      <c r="A3393" s="73"/>
      <c r="B3393" s="73">
        <v>3974322.211</v>
      </c>
      <c r="C3393" s="73">
        <v>3.17318304145874E8</v>
      </c>
      <c r="D3393" s="73">
        <v>1.49077309647999E8</v>
      </c>
      <c r="E3393" s="73">
        <v>1.99948537269664E7</v>
      </c>
      <c r="F3393" s="73"/>
      <c r="G3393" s="73"/>
      <c r="H3393" s="73"/>
      <c r="I3393" s="73"/>
      <c r="J3393" s="73"/>
      <c r="K3393" s="73"/>
      <c r="L3393" s="73"/>
      <c r="M3393" s="73"/>
      <c r="N3393" s="73"/>
      <c r="O3393" s="73"/>
      <c r="P3393" s="73"/>
      <c r="Q3393" s="73"/>
      <c r="R3393" s="73"/>
      <c r="S3393" s="73"/>
      <c r="T3393" s="73"/>
      <c r="U3393" s="73"/>
      <c r="V3393" s="73"/>
      <c r="W3393" s="73"/>
      <c r="X3393" s="73"/>
      <c r="Y3393" s="73"/>
      <c r="Z3393" s="73"/>
      <c r="AA3393" s="73"/>
      <c r="AB3393" s="73"/>
    </row>
    <row r="3394">
      <c r="A3394" s="73"/>
      <c r="B3394" s="73">
        <v>3979642.767</v>
      </c>
      <c r="C3394" s="73">
        <v>3.17572953098801E8</v>
      </c>
      <c r="D3394" s="73">
        <v>1.49223518331993E8</v>
      </c>
      <c r="E3394" s="73">
        <v>2.0016221273653E7</v>
      </c>
      <c r="F3394" s="73"/>
      <c r="G3394" s="73"/>
      <c r="H3394" s="73"/>
      <c r="I3394" s="73"/>
      <c r="J3394" s="73"/>
      <c r="K3394" s="73"/>
      <c r="L3394" s="73"/>
      <c r="M3394" s="73"/>
      <c r="N3394" s="73"/>
      <c r="O3394" s="73"/>
      <c r="P3394" s="73"/>
      <c r="Q3394" s="73"/>
      <c r="R3394" s="73"/>
      <c r="S3394" s="73"/>
      <c r="T3394" s="73"/>
      <c r="U3394" s="73"/>
      <c r="V3394" s="73"/>
      <c r="W3394" s="73"/>
      <c r="X3394" s="73"/>
      <c r="Y3394" s="73"/>
      <c r="Z3394" s="73"/>
      <c r="AA3394" s="73"/>
      <c r="AB3394" s="73"/>
    </row>
    <row r="3395">
      <c r="A3395" s="73"/>
      <c r="B3395" s="73">
        <v>3984969.437</v>
      </c>
      <c r="C3395" s="73">
        <v>3.17827733891724E8</v>
      </c>
      <c r="D3395" s="73">
        <v>1.49369830184001E8</v>
      </c>
      <c r="E3395" s="73">
        <v>2.00376061865306E7</v>
      </c>
      <c r="F3395" s="73"/>
      <c r="G3395" s="73"/>
      <c r="H3395" s="73"/>
      <c r="I3395" s="73"/>
      <c r="J3395" s="73"/>
      <c r="K3395" s="73"/>
      <c r="L3395" s="73"/>
      <c r="M3395" s="73"/>
      <c r="N3395" s="73"/>
      <c r="O3395" s="73"/>
      <c r="P3395" s="73"/>
      <c r="Q3395" s="73"/>
      <c r="R3395" s="73"/>
      <c r="S3395" s="73"/>
      <c r="T3395" s="73"/>
      <c r="U3395" s="73"/>
      <c r="V3395" s="73"/>
      <c r="W3395" s="73"/>
      <c r="X3395" s="73"/>
      <c r="Y3395" s="73"/>
      <c r="Z3395" s="73"/>
      <c r="AA3395" s="73"/>
      <c r="AB3395" s="73"/>
    </row>
    <row r="3396">
      <c r="A3396" s="73"/>
      <c r="B3396" s="73">
        <v>3990302.482</v>
      </c>
      <c r="C3396" s="73">
        <v>3.18082646524643E8</v>
      </c>
      <c r="D3396" s="73">
        <v>1.49516224867995E8</v>
      </c>
      <c r="E3396" s="73">
        <v>2.00590080339673E7</v>
      </c>
      <c r="F3396" s="73"/>
      <c r="G3396" s="73"/>
      <c r="H3396" s="73"/>
      <c r="I3396" s="73"/>
      <c r="J3396" s="73"/>
      <c r="K3396" s="73"/>
      <c r="L3396" s="73"/>
      <c r="M3396" s="73"/>
      <c r="N3396" s="73"/>
      <c r="O3396" s="73"/>
      <c r="P3396" s="73"/>
      <c r="Q3396" s="73"/>
      <c r="R3396" s="73"/>
      <c r="S3396" s="73"/>
      <c r="T3396" s="73"/>
      <c r="U3396" s="73"/>
      <c r="V3396" s="73"/>
      <c r="W3396" s="73"/>
      <c r="X3396" s="73"/>
      <c r="Y3396" s="73"/>
      <c r="Z3396" s="73"/>
      <c r="AA3396" s="73"/>
      <c r="AB3396" s="73"/>
    </row>
    <row r="3397">
      <c r="A3397" s="73"/>
      <c r="B3397" s="73">
        <v>3995641.681</v>
      </c>
      <c r="C3397" s="73">
        <v>3.18337690997559E8</v>
      </c>
      <c r="D3397" s="73">
        <v>1.49662722704003E8</v>
      </c>
      <c r="E3397" s="73">
        <v>2.0080427713995E7</v>
      </c>
      <c r="F3397" s="73"/>
      <c r="G3397" s="73"/>
      <c r="H3397" s="73"/>
      <c r="I3397" s="73"/>
      <c r="J3397" s="73"/>
      <c r="K3397" s="73"/>
      <c r="L3397" s="73"/>
      <c r="M3397" s="73"/>
      <c r="N3397" s="73"/>
      <c r="O3397" s="73"/>
      <c r="P3397" s="73"/>
      <c r="Q3397" s="73"/>
      <c r="R3397" s="73"/>
      <c r="S3397" s="73"/>
      <c r="T3397" s="73"/>
      <c r="U3397" s="73"/>
      <c r="V3397" s="73"/>
      <c r="W3397" s="73"/>
      <c r="X3397" s="73"/>
      <c r="Y3397" s="73"/>
      <c r="Z3397" s="73"/>
      <c r="AA3397" s="73"/>
      <c r="AB3397" s="73"/>
    </row>
    <row r="3398">
      <c r="A3398" s="73"/>
      <c r="B3398" s="73">
        <v>4000987.255</v>
      </c>
      <c r="C3398" s="73">
        <v>3.18592867310471E8</v>
      </c>
      <c r="D3398" s="73">
        <v>1.49809313323996E8</v>
      </c>
      <c r="E3398" s="73">
        <v>2.01018653750138E7</v>
      </c>
      <c r="F3398" s="73"/>
      <c r="G3398" s="73"/>
      <c r="H3398" s="73"/>
      <c r="I3398" s="73"/>
      <c r="J3398" s="73"/>
      <c r="K3398" s="73"/>
      <c r="L3398" s="73"/>
      <c r="M3398" s="73"/>
      <c r="N3398" s="73"/>
      <c r="O3398" s="73"/>
      <c r="P3398" s="73"/>
      <c r="Q3398" s="73"/>
      <c r="R3398" s="73"/>
      <c r="S3398" s="73"/>
      <c r="T3398" s="73"/>
      <c r="U3398" s="73"/>
      <c r="V3398" s="73"/>
      <c r="W3398" s="73"/>
      <c r="X3398" s="73"/>
      <c r="Y3398" s="73"/>
      <c r="Z3398" s="73"/>
      <c r="AA3398" s="73"/>
      <c r="AB3398" s="73"/>
    </row>
    <row r="3399">
      <c r="A3399" s="73"/>
      <c r="B3399" s="73">
        <v>4006339.122</v>
      </c>
      <c r="C3399" s="73">
        <v>3.18848208423378E8</v>
      </c>
      <c r="D3399" s="73">
        <v>1.4995598691999E8</v>
      </c>
      <c r="E3399" s="73">
        <v>2.01233197585916E7</v>
      </c>
      <c r="F3399" s="73"/>
      <c r="G3399" s="73"/>
      <c r="H3399" s="73"/>
      <c r="I3399" s="73"/>
      <c r="J3399" s="73"/>
      <c r="K3399" s="73"/>
      <c r="L3399" s="73"/>
      <c r="M3399" s="73"/>
      <c r="N3399" s="73"/>
      <c r="O3399" s="73"/>
      <c r="P3399" s="73"/>
      <c r="Q3399" s="73"/>
      <c r="R3399" s="73"/>
      <c r="S3399" s="73"/>
      <c r="T3399" s="73"/>
      <c r="U3399" s="73"/>
      <c r="V3399" s="73"/>
      <c r="W3399" s="73"/>
      <c r="X3399" s="73"/>
      <c r="Y3399" s="73"/>
      <c r="Z3399" s="73"/>
      <c r="AA3399" s="73"/>
      <c r="AB3399" s="73"/>
    </row>
    <row r="3400">
      <c r="A3400" s="73"/>
      <c r="B3400" s="73">
        <v>4011697.143</v>
      </c>
      <c r="C3400" s="73">
        <v>3.19103648416283E8</v>
      </c>
      <c r="D3400" s="73">
        <v>1.50102763523998E8</v>
      </c>
      <c r="E3400" s="73">
        <v>2.01447918687605E7</v>
      </c>
      <c r="F3400" s="73"/>
      <c r="G3400" s="73"/>
      <c r="H3400" s="73"/>
      <c r="I3400" s="73"/>
      <c r="J3400" s="73"/>
      <c r="K3400" s="73"/>
      <c r="L3400" s="73"/>
      <c r="M3400" s="73"/>
      <c r="N3400" s="73"/>
      <c r="O3400" s="73"/>
      <c r="P3400" s="73"/>
      <c r="Q3400" s="73"/>
      <c r="R3400" s="73"/>
      <c r="S3400" s="73"/>
      <c r="T3400" s="73"/>
      <c r="U3400" s="73"/>
      <c r="V3400" s="73"/>
      <c r="W3400" s="73"/>
      <c r="X3400" s="73"/>
      <c r="Y3400" s="73"/>
      <c r="Z3400" s="73"/>
      <c r="AA3400" s="73"/>
      <c r="AB3400" s="73"/>
    </row>
    <row r="3401">
      <c r="A3401" s="73"/>
      <c r="B3401" s="73">
        <v>4017061.478</v>
      </c>
      <c r="C3401" s="73">
        <v>3.19359187289185E8</v>
      </c>
      <c r="D3401" s="73">
        <v>1.50249633055991E8</v>
      </c>
      <c r="E3401" s="73">
        <v>2.01662817614885E7</v>
      </c>
      <c r="F3401" s="73"/>
      <c r="G3401" s="73"/>
      <c r="H3401" s="73"/>
      <c r="I3401" s="73"/>
      <c r="J3401" s="73"/>
      <c r="K3401" s="73"/>
      <c r="L3401" s="73"/>
      <c r="M3401" s="73"/>
      <c r="N3401" s="73"/>
      <c r="O3401" s="73"/>
      <c r="P3401" s="73"/>
      <c r="Q3401" s="73"/>
      <c r="R3401" s="73"/>
      <c r="S3401" s="73"/>
      <c r="T3401" s="73"/>
      <c r="U3401" s="73"/>
      <c r="V3401" s="73"/>
      <c r="W3401" s="73"/>
      <c r="X3401" s="73"/>
      <c r="Y3401" s="73"/>
      <c r="Z3401" s="73"/>
      <c r="AA3401" s="73"/>
      <c r="AB3401" s="73"/>
    </row>
    <row r="3402">
      <c r="A3402" s="73"/>
      <c r="B3402" s="73">
        <v>4022432.146</v>
      </c>
      <c r="C3402" s="73">
        <v>3.19614858002083E8</v>
      </c>
      <c r="D3402" s="73">
        <v>1.503965955E8</v>
      </c>
      <c r="E3402" s="73">
        <v>2.01877889144075E7</v>
      </c>
      <c r="F3402" s="73"/>
      <c r="G3402" s="73"/>
      <c r="H3402" s="73"/>
      <c r="I3402" s="73"/>
      <c r="J3402" s="73"/>
      <c r="K3402" s="73"/>
      <c r="L3402" s="73"/>
      <c r="M3402" s="73"/>
      <c r="N3402" s="73"/>
      <c r="O3402" s="73"/>
      <c r="P3402" s="73"/>
      <c r="Q3402" s="73"/>
      <c r="R3402" s="73"/>
      <c r="S3402" s="73"/>
      <c r="T3402" s="73"/>
      <c r="U3402" s="73"/>
      <c r="V3402" s="73"/>
      <c r="W3402" s="73"/>
      <c r="X3402" s="73"/>
      <c r="Y3402" s="73"/>
      <c r="Z3402" s="73"/>
      <c r="AA3402" s="73"/>
      <c r="AB3402" s="73"/>
    </row>
    <row r="3403">
      <c r="A3403" s="73"/>
      <c r="B3403" s="73">
        <v>4027809.028</v>
      </c>
      <c r="C3403" s="73">
        <v>3.19870693514977E8</v>
      </c>
      <c r="D3403" s="73">
        <v>1.50543650871993E8</v>
      </c>
      <c r="E3403" s="73">
        <v>2.02093138151176E7</v>
      </c>
      <c r="F3403" s="73"/>
      <c r="G3403" s="73"/>
      <c r="H3403" s="73"/>
      <c r="I3403" s="73"/>
      <c r="J3403" s="73"/>
      <c r="K3403" s="73"/>
      <c r="L3403" s="73"/>
      <c r="M3403" s="73"/>
      <c r="N3403" s="73"/>
      <c r="O3403" s="73"/>
      <c r="P3403" s="73"/>
      <c r="Q3403" s="73"/>
      <c r="R3403" s="73"/>
      <c r="S3403" s="73"/>
      <c r="T3403" s="73"/>
      <c r="U3403" s="73"/>
      <c r="V3403" s="73"/>
      <c r="W3403" s="73"/>
      <c r="X3403" s="73"/>
      <c r="Y3403" s="73"/>
      <c r="Z3403" s="73"/>
      <c r="AA3403" s="73"/>
      <c r="AB3403" s="73"/>
    </row>
    <row r="3404">
      <c r="A3404" s="73"/>
      <c r="B3404" s="73">
        <v>4033192.123</v>
      </c>
      <c r="C3404" s="73">
        <v>3.20126627907867E8</v>
      </c>
      <c r="D3404" s="73">
        <v>1.50690789076002E8</v>
      </c>
      <c r="E3404" s="73">
        <v>2.02308563287867E7</v>
      </c>
      <c r="F3404" s="73"/>
      <c r="G3404" s="73"/>
      <c r="H3404" s="73"/>
      <c r="I3404" s="73"/>
      <c r="J3404" s="73"/>
      <c r="K3404" s="73"/>
      <c r="L3404" s="73"/>
      <c r="M3404" s="73"/>
      <c r="N3404" s="73"/>
      <c r="O3404" s="73"/>
      <c r="P3404" s="73"/>
      <c r="Q3404" s="73"/>
      <c r="R3404" s="73"/>
      <c r="S3404" s="73"/>
      <c r="T3404" s="73"/>
      <c r="U3404" s="73"/>
      <c r="V3404" s="73"/>
      <c r="W3404" s="73"/>
      <c r="X3404" s="73"/>
      <c r="Y3404" s="73"/>
      <c r="Z3404" s="73"/>
      <c r="AA3404" s="73"/>
      <c r="AB3404" s="73"/>
    </row>
    <row r="3405">
      <c r="A3405" s="73"/>
      <c r="B3405" s="73">
        <v>4038581.661</v>
      </c>
      <c r="C3405" s="73">
        <v>3.20382760060753E8</v>
      </c>
      <c r="D3405" s="73">
        <v>1.50838030287995E8</v>
      </c>
      <c r="E3405" s="73">
        <v>2.02524158906468E7</v>
      </c>
      <c r="F3405" s="73"/>
      <c r="G3405" s="73"/>
      <c r="H3405" s="73"/>
      <c r="I3405" s="73"/>
      <c r="J3405" s="73"/>
      <c r="K3405" s="73"/>
      <c r="L3405" s="73"/>
      <c r="M3405" s="73"/>
      <c r="N3405" s="73"/>
      <c r="O3405" s="73"/>
      <c r="P3405" s="73"/>
      <c r="Q3405" s="73"/>
      <c r="R3405" s="73"/>
      <c r="S3405" s="73"/>
      <c r="T3405" s="73"/>
      <c r="U3405" s="73"/>
      <c r="V3405" s="73"/>
      <c r="W3405" s="73"/>
      <c r="X3405" s="73"/>
      <c r="Y3405" s="73"/>
      <c r="Z3405" s="73"/>
      <c r="AA3405" s="73"/>
      <c r="AB3405" s="73"/>
    </row>
    <row r="3406">
      <c r="A3406" s="73"/>
      <c r="B3406" s="73">
        <v>4043977.453</v>
      </c>
      <c r="C3406" s="73">
        <v>3.20638958133636E8</v>
      </c>
      <c r="D3406" s="73">
        <v>1.50985374668004E8</v>
      </c>
      <c r="E3406" s="73">
        <v>2.0273993560698E7</v>
      </c>
      <c r="F3406" s="73"/>
      <c r="G3406" s="73"/>
      <c r="H3406" s="73"/>
      <c r="I3406" s="73"/>
      <c r="J3406" s="73"/>
      <c r="K3406" s="73"/>
      <c r="L3406" s="73"/>
      <c r="M3406" s="73"/>
      <c r="N3406" s="73"/>
      <c r="O3406" s="73"/>
      <c r="P3406" s="73"/>
      <c r="Q3406" s="73"/>
      <c r="R3406" s="73"/>
      <c r="S3406" s="73"/>
      <c r="T3406" s="73"/>
      <c r="U3406" s="73"/>
      <c r="V3406" s="73"/>
      <c r="W3406" s="73"/>
      <c r="X3406" s="73"/>
      <c r="Y3406" s="73"/>
      <c r="Z3406" s="73"/>
      <c r="AA3406" s="73"/>
      <c r="AB3406" s="73"/>
    </row>
    <row r="3407">
      <c r="A3407" s="73"/>
      <c r="B3407" s="73">
        <v>4049379.557</v>
      </c>
      <c r="C3407" s="73">
        <v>3.20895288046516E8</v>
      </c>
      <c r="D3407" s="73">
        <v>1.51132802023997E8</v>
      </c>
      <c r="E3407" s="73">
        <v>2.02955884197083E7</v>
      </c>
      <c r="F3407" s="73"/>
      <c r="G3407" s="73"/>
      <c r="H3407" s="73"/>
      <c r="I3407" s="73"/>
      <c r="J3407" s="73"/>
      <c r="K3407" s="73"/>
      <c r="L3407" s="73"/>
      <c r="M3407" s="73"/>
      <c r="N3407" s="73"/>
      <c r="O3407" s="73"/>
      <c r="P3407" s="73"/>
      <c r="Q3407" s="73"/>
      <c r="R3407" s="73"/>
      <c r="S3407" s="73"/>
      <c r="T3407" s="73"/>
      <c r="U3407" s="73"/>
      <c r="V3407" s="73"/>
      <c r="W3407" s="73"/>
      <c r="X3407" s="73"/>
      <c r="Y3407" s="73"/>
      <c r="Z3407" s="73"/>
      <c r="AA3407" s="73"/>
      <c r="AB3407" s="73"/>
    </row>
    <row r="3408">
      <c r="A3408" s="73"/>
      <c r="B3408" s="73">
        <v>4054787.924</v>
      </c>
      <c r="C3408" s="73">
        <v>3.21151749799393E8</v>
      </c>
      <c r="D3408" s="73">
        <v>1.5128031176399E8</v>
      </c>
      <c r="E3408" s="73">
        <v>2.03172010053096E7</v>
      </c>
      <c r="F3408" s="73"/>
      <c r="G3408" s="73"/>
      <c r="H3408" s="73"/>
      <c r="I3408" s="73"/>
      <c r="J3408" s="73"/>
      <c r="K3408" s="73"/>
      <c r="L3408" s="73"/>
      <c r="M3408" s="73"/>
      <c r="N3408" s="73"/>
      <c r="O3408" s="73"/>
      <c r="P3408" s="73"/>
      <c r="Q3408" s="73"/>
      <c r="R3408" s="73"/>
      <c r="S3408" s="73"/>
      <c r="T3408" s="73"/>
      <c r="U3408" s="73"/>
      <c r="V3408" s="73"/>
      <c r="W3408" s="73"/>
      <c r="X3408" s="73"/>
      <c r="Y3408" s="73"/>
      <c r="Z3408" s="73"/>
      <c r="AA3408" s="73"/>
      <c r="AB3408" s="73"/>
    </row>
    <row r="3409">
      <c r="A3409" s="73"/>
      <c r="B3409" s="73">
        <v>4060202.564</v>
      </c>
      <c r="C3409" s="73">
        <v>3.21408376352264E8</v>
      </c>
      <c r="D3409" s="73">
        <v>1.51427935055999E8</v>
      </c>
      <c r="E3409" s="73">
        <v>2.033883090707E7</v>
      </c>
      <c r="F3409" s="73"/>
      <c r="G3409" s="73"/>
      <c r="H3409" s="73"/>
      <c r="I3409" s="73"/>
      <c r="J3409" s="73"/>
      <c r="K3409" s="73"/>
      <c r="L3409" s="73"/>
      <c r="M3409" s="73"/>
      <c r="N3409" s="73"/>
      <c r="O3409" s="73"/>
      <c r="P3409" s="73"/>
      <c r="Q3409" s="73"/>
      <c r="R3409" s="73"/>
      <c r="S3409" s="73"/>
      <c r="T3409" s="73"/>
      <c r="U3409" s="73"/>
      <c r="V3409" s="73"/>
      <c r="W3409" s="73"/>
      <c r="X3409" s="73"/>
      <c r="Y3409" s="73"/>
      <c r="Z3409" s="73"/>
      <c r="AA3409" s="73"/>
      <c r="AB3409" s="73"/>
    </row>
    <row r="3410">
      <c r="A3410" s="73"/>
      <c r="B3410" s="73">
        <v>4065623.486</v>
      </c>
      <c r="C3410" s="73">
        <v>3.21665068825134E8</v>
      </c>
      <c r="D3410" s="73">
        <v>1.51575641019992E8</v>
      </c>
      <c r="E3410" s="73">
        <v>2.03604790018214E7</v>
      </c>
      <c r="F3410" s="73"/>
      <c r="G3410" s="73"/>
      <c r="H3410" s="73"/>
      <c r="I3410" s="73"/>
      <c r="J3410" s="73"/>
      <c r="K3410" s="73"/>
      <c r="L3410" s="73"/>
      <c r="M3410" s="73"/>
      <c r="N3410" s="73"/>
      <c r="O3410" s="73"/>
      <c r="P3410" s="73"/>
      <c r="Q3410" s="73"/>
      <c r="R3410" s="73"/>
      <c r="S3410" s="73"/>
      <c r="T3410" s="73"/>
      <c r="U3410" s="73"/>
      <c r="V3410" s="73"/>
      <c r="W3410" s="73"/>
      <c r="X3410" s="73"/>
      <c r="Y3410" s="73"/>
      <c r="Z3410" s="73"/>
      <c r="AA3410" s="73"/>
      <c r="AB3410" s="73"/>
    </row>
    <row r="3411">
      <c r="A3411" s="73"/>
      <c r="B3411" s="73">
        <v>4071050.76</v>
      </c>
      <c r="C3411" s="73">
        <v>3.21921959057999E8</v>
      </c>
      <c r="D3411" s="73">
        <v>1.51723440072001E8</v>
      </c>
      <c r="E3411" s="73">
        <v>2.03821440175639E7</v>
      </c>
      <c r="F3411" s="73"/>
      <c r="G3411" s="73"/>
      <c r="H3411" s="73"/>
      <c r="I3411" s="73"/>
      <c r="J3411" s="73"/>
      <c r="K3411" s="73"/>
      <c r="L3411" s="73"/>
      <c r="M3411" s="73"/>
      <c r="N3411" s="73"/>
      <c r="O3411" s="73"/>
      <c r="P3411" s="73"/>
      <c r="Q3411" s="73"/>
      <c r="R3411" s="73"/>
      <c r="S3411" s="73"/>
      <c r="T3411" s="73"/>
      <c r="U3411" s="73"/>
      <c r="V3411" s="73"/>
      <c r="W3411" s="73"/>
      <c r="X3411" s="73"/>
      <c r="Y3411" s="73"/>
      <c r="Z3411" s="73"/>
      <c r="AA3411" s="73"/>
      <c r="AB3411" s="73"/>
    </row>
    <row r="3412">
      <c r="A3412" s="73"/>
      <c r="B3412" s="73">
        <v>4076484.387</v>
      </c>
      <c r="C3412" s="73">
        <v>3.2217894817086E8</v>
      </c>
      <c r="D3412" s="73">
        <v>1.51871331731994E8</v>
      </c>
      <c r="E3412" s="73">
        <v>2.04038266038654E7</v>
      </c>
      <c r="F3412" s="73"/>
      <c r="G3412" s="73"/>
      <c r="H3412" s="73"/>
      <c r="I3412" s="73"/>
      <c r="J3412" s="73"/>
      <c r="K3412" s="73"/>
      <c r="L3412" s="73"/>
      <c r="M3412" s="73"/>
      <c r="N3412" s="73"/>
      <c r="O3412" s="73"/>
      <c r="P3412" s="73"/>
      <c r="Q3412" s="73"/>
      <c r="R3412" s="73"/>
      <c r="S3412" s="73"/>
      <c r="T3412" s="73"/>
      <c r="U3412" s="73"/>
      <c r="V3412" s="73"/>
      <c r="W3412" s="73"/>
      <c r="X3412" s="73"/>
      <c r="Y3412" s="73"/>
      <c r="Z3412" s="73"/>
      <c r="AA3412" s="73"/>
      <c r="AB3412" s="73"/>
    </row>
    <row r="3413">
      <c r="A3413" s="73"/>
      <c r="B3413" s="73">
        <v>4081924.256</v>
      </c>
      <c r="C3413" s="73">
        <v>3.22436069123718E8</v>
      </c>
      <c r="D3413" s="73">
        <v>1.52019326864002E8</v>
      </c>
      <c r="E3413" s="73">
        <v>2.0425527277158E7</v>
      </c>
      <c r="F3413" s="73"/>
      <c r="G3413" s="73"/>
      <c r="H3413" s="73"/>
      <c r="I3413" s="73"/>
      <c r="J3413" s="73"/>
      <c r="K3413" s="73"/>
      <c r="L3413" s="73"/>
      <c r="M3413" s="73"/>
      <c r="N3413" s="73"/>
      <c r="O3413" s="73"/>
      <c r="P3413" s="73"/>
      <c r="Q3413" s="73"/>
      <c r="R3413" s="73"/>
      <c r="S3413" s="73"/>
      <c r="T3413" s="73"/>
      <c r="U3413" s="73"/>
      <c r="V3413" s="73"/>
      <c r="W3413" s="73"/>
      <c r="X3413" s="73"/>
      <c r="Y3413" s="73"/>
      <c r="Z3413" s="73"/>
      <c r="AA3413" s="73"/>
      <c r="AB3413" s="73"/>
    </row>
    <row r="3414">
      <c r="A3414" s="73"/>
      <c r="B3414" s="73">
        <v>4087370.447</v>
      </c>
      <c r="C3414" s="73">
        <v>3.22693321916573E8</v>
      </c>
      <c r="D3414" s="73">
        <v>1.52167404667996E8</v>
      </c>
      <c r="E3414" s="73">
        <v>2.04472452318416E7</v>
      </c>
      <c r="F3414" s="73"/>
      <c r="G3414" s="73"/>
      <c r="H3414" s="73"/>
      <c r="I3414" s="73"/>
      <c r="J3414" s="73"/>
      <c r="K3414" s="73"/>
      <c r="L3414" s="73"/>
      <c r="M3414" s="73"/>
      <c r="N3414" s="73"/>
      <c r="O3414" s="73"/>
      <c r="P3414" s="73"/>
      <c r="Q3414" s="73"/>
      <c r="R3414" s="73"/>
      <c r="S3414" s="73"/>
      <c r="T3414" s="73"/>
      <c r="U3414" s="73"/>
      <c r="V3414" s="73"/>
      <c r="W3414" s="73"/>
      <c r="X3414" s="73"/>
      <c r="Y3414" s="73"/>
      <c r="Z3414" s="73"/>
      <c r="AA3414" s="73"/>
      <c r="AB3414" s="73"/>
    </row>
    <row r="3415">
      <c r="A3415" s="73"/>
      <c r="B3415" s="73">
        <v>4092822.919</v>
      </c>
      <c r="C3415" s="73">
        <v>3.22950673589424E8</v>
      </c>
      <c r="D3415" s="73">
        <v>1.52315585640004E8</v>
      </c>
      <c r="E3415" s="73">
        <v>2.04689809478843E7</v>
      </c>
      <c r="F3415" s="73"/>
      <c r="G3415" s="73"/>
      <c r="H3415" s="73"/>
      <c r="I3415" s="73"/>
      <c r="J3415" s="73"/>
      <c r="K3415" s="73"/>
      <c r="L3415" s="73"/>
      <c r="M3415" s="73"/>
      <c r="N3415" s="73"/>
      <c r="O3415" s="73"/>
      <c r="P3415" s="73"/>
      <c r="Q3415" s="73"/>
      <c r="R3415" s="73"/>
      <c r="S3415" s="73"/>
      <c r="T3415" s="73"/>
      <c r="U3415" s="73"/>
      <c r="V3415" s="73"/>
      <c r="W3415" s="73"/>
      <c r="X3415" s="73"/>
      <c r="Y3415" s="73"/>
      <c r="Z3415" s="73"/>
      <c r="AA3415" s="73"/>
      <c r="AB3415" s="73"/>
    </row>
    <row r="3416">
      <c r="A3416" s="73"/>
      <c r="B3416" s="73">
        <v>4098281.733</v>
      </c>
      <c r="C3416" s="73">
        <v>3.23208190062271E8</v>
      </c>
      <c r="D3416" s="73">
        <v>1.52463849139998E8</v>
      </c>
      <c r="E3416" s="73">
        <v>2.04907339665181E7</v>
      </c>
      <c r="F3416" s="73"/>
      <c r="G3416" s="73"/>
      <c r="H3416" s="73"/>
      <c r="I3416" s="73"/>
      <c r="J3416" s="73"/>
      <c r="K3416" s="73"/>
      <c r="L3416" s="73"/>
      <c r="M3416" s="73"/>
      <c r="N3416" s="73"/>
      <c r="O3416" s="73"/>
      <c r="P3416" s="73"/>
      <c r="Q3416" s="73"/>
      <c r="R3416" s="73"/>
      <c r="S3416" s="73"/>
      <c r="T3416" s="73"/>
      <c r="U3416" s="73"/>
      <c r="V3416" s="73"/>
      <c r="W3416" s="73"/>
      <c r="X3416" s="73"/>
      <c r="Y3416" s="73"/>
      <c r="Z3416" s="73"/>
      <c r="AA3416" s="73"/>
      <c r="AB3416" s="73"/>
    </row>
    <row r="3417">
      <c r="A3417" s="73"/>
      <c r="B3417" s="73">
        <v>4103746.85</v>
      </c>
      <c r="C3417" s="73">
        <v>3.23465805415115E8</v>
      </c>
      <c r="D3417" s="73">
        <v>1.52612215951991E8</v>
      </c>
      <c r="E3417" s="73">
        <v>2.05125046405108E7</v>
      </c>
      <c r="F3417" s="73"/>
      <c r="G3417" s="73"/>
      <c r="H3417" s="73"/>
      <c r="I3417" s="73"/>
      <c r="J3417" s="73"/>
      <c r="K3417" s="73"/>
      <c r="L3417" s="73"/>
      <c r="M3417" s="73"/>
      <c r="N3417" s="73"/>
      <c r="O3417" s="73"/>
      <c r="P3417" s="73"/>
      <c r="Q3417" s="73"/>
      <c r="R3417" s="73"/>
      <c r="S3417" s="73"/>
      <c r="T3417" s="73"/>
      <c r="U3417" s="73"/>
      <c r="V3417" s="73"/>
      <c r="W3417" s="73"/>
      <c r="X3417" s="73"/>
      <c r="Y3417" s="73"/>
      <c r="Z3417" s="73"/>
      <c r="AA3417" s="73"/>
      <c r="AB3417" s="73"/>
    </row>
    <row r="3418">
      <c r="A3418" s="73"/>
      <c r="B3418" s="73">
        <v>4109218.307</v>
      </c>
      <c r="C3418" s="73">
        <v>3.23723585567955E8</v>
      </c>
      <c r="D3418" s="73">
        <v>1.52760665451999E8</v>
      </c>
      <c r="E3418" s="73">
        <v>2.05342931894947E7</v>
      </c>
      <c r="F3418" s="73"/>
      <c r="G3418" s="73"/>
      <c r="H3418" s="73"/>
      <c r="I3418" s="73"/>
      <c r="J3418" s="73"/>
      <c r="K3418" s="73"/>
      <c r="L3418" s="73"/>
      <c r="M3418" s="73"/>
      <c r="N3418" s="73"/>
      <c r="O3418" s="73"/>
      <c r="P3418" s="73"/>
      <c r="Q3418" s="73"/>
      <c r="R3418" s="73"/>
      <c r="S3418" s="73"/>
      <c r="T3418" s="73"/>
      <c r="U3418" s="73"/>
      <c r="V3418" s="73"/>
      <c r="W3418" s="73"/>
      <c r="X3418" s="73"/>
      <c r="Y3418" s="73"/>
      <c r="Z3418" s="73"/>
      <c r="AA3418" s="73"/>
      <c r="AB3418" s="73"/>
    </row>
    <row r="3419">
      <c r="A3419" s="73"/>
      <c r="B3419" s="73">
        <v>4114696.206</v>
      </c>
      <c r="C3419" s="73">
        <v>3.23981497560791E8</v>
      </c>
      <c r="D3419" s="73">
        <v>1.52909218103993E8</v>
      </c>
      <c r="E3419" s="73">
        <v>2.05560992318695E7</v>
      </c>
      <c r="F3419" s="73"/>
      <c r="G3419" s="73"/>
      <c r="H3419" s="73"/>
      <c r="I3419" s="73"/>
      <c r="J3419" s="73"/>
      <c r="K3419" s="73"/>
      <c r="L3419" s="73"/>
      <c r="M3419" s="73"/>
      <c r="N3419" s="73"/>
      <c r="O3419" s="73"/>
      <c r="P3419" s="73"/>
      <c r="Q3419" s="73"/>
      <c r="R3419" s="73"/>
      <c r="S3419" s="73"/>
      <c r="T3419" s="73"/>
      <c r="U3419" s="73"/>
      <c r="V3419" s="73"/>
      <c r="W3419" s="73"/>
      <c r="X3419" s="73"/>
      <c r="Y3419" s="73"/>
      <c r="Z3419" s="73"/>
      <c r="AA3419" s="73"/>
      <c r="AB3419" s="73"/>
    </row>
    <row r="3420">
      <c r="A3420" s="73"/>
      <c r="B3420" s="73">
        <v>4120180.246</v>
      </c>
      <c r="C3420" s="73">
        <v>3.24239541393623E8</v>
      </c>
      <c r="D3420" s="73">
        <v>1.53057863828001E8</v>
      </c>
      <c r="E3420" s="73">
        <v>2.05779224844035E7</v>
      </c>
      <c r="F3420" s="73"/>
      <c r="G3420" s="73"/>
      <c r="H3420" s="73"/>
      <c r="I3420" s="73"/>
      <c r="J3420" s="73"/>
      <c r="K3420" s="73"/>
      <c r="L3420" s="73"/>
      <c r="M3420" s="73"/>
      <c r="N3420" s="73"/>
      <c r="O3420" s="73"/>
      <c r="P3420" s="73"/>
      <c r="Q3420" s="73"/>
      <c r="R3420" s="73"/>
      <c r="S3420" s="73"/>
      <c r="T3420" s="73"/>
      <c r="U3420" s="73"/>
      <c r="V3420" s="73"/>
      <c r="W3420" s="73"/>
      <c r="X3420" s="73"/>
      <c r="Y3420" s="73"/>
      <c r="Z3420" s="73"/>
      <c r="AA3420" s="73"/>
      <c r="AB3420" s="73"/>
    </row>
    <row r="3421">
      <c r="A3421" s="73"/>
      <c r="B3421" s="73">
        <v>4125670.636</v>
      </c>
      <c r="C3421" s="73">
        <v>3.24497684106453E8</v>
      </c>
      <c r="D3421" s="73">
        <v>1.53206602175994E8</v>
      </c>
      <c r="E3421" s="73">
        <v>2.05997635271285E7</v>
      </c>
      <c r="F3421" s="73"/>
      <c r="G3421" s="73"/>
      <c r="H3421" s="73"/>
      <c r="I3421" s="73"/>
      <c r="J3421" s="73"/>
      <c r="K3421" s="73"/>
      <c r="L3421" s="73"/>
      <c r="M3421" s="73"/>
      <c r="N3421" s="73"/>
      <c r="O3421" s="73"/>
      <c r="P3421" s="73"/>
      <c r="Q3421" s="73"/>
      <c r="R3421" s="73"/>
      <c r="S3421" s="73"/>
      <c r="T3421" s="73"/>
      <c r="U3421" s="73"/>
      <c r="V3421" s="73"/>
      <c r="W3421" s="73"/>
      <c r="X3421" s="73"/>
      <c r="Y3421" s="73"/>
      <c r="Z3421" s="73"/>
      <c r="AA3421" s="73"/>
      <c r="AB3421" s="73"/>
    </row>
    <row r="3422">
      <c r="A3422" s="73"/>
      <c r="B3422" s="73">
        <v>4131167.408</v>
      </c>
      <c r="C3422" s="73">
        <v>3.24755958659279E8</v>
      </c>
      <c r="D3422" s="73">
        <v>1.53355433900003E8</v>
      </c>
      <c r="E3422" s="73">
        <v>2.06216226992445E7</v>
      </c>
      <c r="F3422" s="73"/>
      <c r="G3422" s="73"/>
      <c r="H3422" s="73"/>
      <c r="I3422" s="73"/>
      <c r="J3422" s="73"/>
      <c r="K3422" s="73"/>
      <c r="L3422" s="73"/>
      <c r="M3422" s="73"/>
      <c r="N3422" s="73"/>
      <c r="O3422" s="73"/>
      <c r="P3422" s="73"/>
      <c r="Q3422" s="73"/>
      <c r="R3422" s="73"/>
      <c r="S3422" s="73"/>
      <c r="T3422" s="73"/>
      <c r="U3422" s="73"/>
      <c r="V3422" s="73"/>
      <c r="W3422" s="73"/>
      <c r="X3422" s="73"/>
      <c r="Y3422" s="73"/>
      <c r="Z3422" s="73"/>
      <c r="AA3422" s="73"/>
      <c r="AB3422" s="73"/>
    </row>
    <row r="3423">
      <c r="A3423" s="73"/>
      <c r="B3423" s="73">
        <v>4136670.541</v>
      </c>
      <c r="C3423" s="73">
        <v>3.25014365052101E8</v>
      </c>
      <c r="D3423" s="73">
        <v>1.53504358231996E8</v>
      </c>
      <c r="E3423" s="73">
        <v>2.06434989331196E7</v>
      </c>
      <c r="F3423" s="73"/>
      <c r="G3423" s="73"/>
      <c r="H3423" s="73"/>
      <c r="I3423" s="73"/>
      <c r="J3423" s="73"/>
      <c r="K3423" s="73"/>
      <c r="L3423" s="73"/>
      <c r="M3423" s="73"/>
      <c r="N3423" s="73"/>
      <c r="O3423" s="73"/>
      <c r="P3423" s="73"/>
      <c r="Q3423" s="73"/>
      <c r="R3423" s="73"/>
      <c r="S3423" s="73"/>
      <c r="T3423" s="73"/>
      <c r="U3423" s="73"/>
      <c r="V3423" s="73"/>
      <c r="W3423" s="73"/>
      <c r="X3423" s="73"/>
      <c r="Y3423" s="73"/>
      <c r="Z3423" s="73"/>
      <c r="AA3423" s="73"/>
      <c r="AB3423" s="73"/>
    </row>
    <row r="3424">
      <c r="A3424" s="73"/>
      <c r="B3424" s="73">
        <v>4142179.854</v>
      </c>
      <c r="C3424" s="73">
        <v>3.25272936244919E8</v>
      </c>
      <c r="D3424" s="73">
        <v>1.5365337565199E8</v>
      </c>
      <c r="E3424" s="73">
        <v>2.06653932115857E7</v>
      </c>
      <c r="F3424" s="73"/>
      <c r="G3424" s="73"/>
      <c r="H3424" s="73"/>
      <c r="I3424" s="73"/>
      <c r="J3424" s="73"/>
      <c r="K3424" s="73"/>
      <c r="L3424" s="73"/>
      <c r="M3424" s="73"/>
      <c r="N3424" s="73"/>
      <c r="O3424" s="73"/>
      <c r="P3424" s="73"/>
      <c r="Q3424" s="73"/>
      <c r="R3424" s="73"/>
      <c r="S3424" s="73"/>
      <c r="T3424" s="73"/>
      <c r="U3424" s="73"/>
      <c r="V3424" s="73"/>
      <c r="W3424" s="73"/>
      <c r="X3424" s="73"/>
      <c r="Y3424" s="73"/>
      <c r="Z3424" s="73"/>
      <c r="AA3424" s="73"/>
      <c r="AB3424" s="73"/>
    </row>
    <row r="3425">
      <c r="A3425" s="73"/>
      <c r="B3425" s="73">
        <v>4147695.738</v>
      </c>
      <c r="C3425" s="73">
        <v>3.25531606317734E8</v>
      </c>
      <c r="D3425" s="73">
        <v>1.53802485983998E8</v>
      </c>
      <c r="E3425" s="73">
        <v>2.06873050682428E7</v>
      </c>
      <c r="F3425" s="73"/>
      <c r="G3425" s="73"/>
      <c r="H3425" s="73"/>
      <c r="I3425" s="73"/>
      <c r="J3425" s="73"/>
      <c r="K3425" s="73"/>
      <c r="L3425" s="73"/>
      <c r="M3425" s="73"/>
      <c r="N3425" s="73"/>
      <c r="O3425" s="73"/>
      <c r="P3425" s="73"/>
      <c r="Q3425" s="73"/>
      <c r="R3425" s="73"/>
      <c r="S3425" s="73"/>
      <c r="T3425" s="73"/>
      <c r="U3425" s="73"/>
      <c r="V3425" s="73"/>
      <c r="W3425" s="73"/>
      <c r="X3425" s="73"/>
      <c r="Y3425" s="73"/>
      <c r="Z3425" s="73"/>
      <c r="AA3425" s="73"/>
      <c r="AB3425" s="73"/>
    </row>
    <row r="3426">
      <c r="A3426" s="73"/>
      <c r="B3426" s="73">
        <v>4153217.802</v>
      </c>
      <c r="C3426" s="73">
        <v>3.25790408230545E8</v>
      </c>
      <c r="D3426" s="73">
        <v>1.53951699323991E8</v>
      </c>
      <c r="E3426" s="73">
        <v>2.0709234686259E7</v>
      </c>
      <c r="F3426" s="73"/>
      <c r="G3426" s="73"/>
      <c r="H3426" s="73"/>
      <c r="I3426" s="73"/>
      <c r="J3426" s="73"/>
      <c r="K3426" s="73"/>
      <c r="L3426" s="73"/>
      <c r="M3426" s="73"/>
      <c r="N3426" s="73"/>
      <c r="O3426" s="73"/>
      <c r="P3426" s="73"/>
      <c r="Q3426" s="73"/>
      <c r="R3426" s="73"/>
      <c r="S3426" s="73"/>
      <c r="T3426" s="73"/>
      <c r="U3426" s="73"/>
      <c r="V3426" s="73"/>
      <c r="W3426" s="73"/>
      <c r="X3426" s="73"/>
      <c r="Y3426" s="73"/>
      <c r="Z3426" s="73"/>
      <c r="AA3426" s="73"/>
      <c r="AB3426" s="73"/>
    </row>
    <row r="3427">
      <c r="A3427" s="73"/>
      <c r="B3427" s="73">
        <v>4158746.336</v>
      </c>
      <c r="C3427" s="73">
        <v>3.26049341983353E8</v>
      </c>
      <c r="D3427" s="73">
        <v>1.54100995512E8</v>
      </c>
      <c r="E3427" s="73">
        <v>2.07311816916663E7</v>
      </c>
      <c r="F3427" s="73"/>
      <c r="G3427" s="73"/>
      <c r="H3427" s="73"/>
      <c r="I3427" s="73"/>
      <c r="J3427" s="73"/>
      <c r="K3427" s="73"/>
      <c r="L3427" s="73"/>
      <c r="M3427" s="73"/>
      <c r="N3427" s="73"/>
      <c r="O3427" s="73"/>
      <c r="P3427" s="73"/>
      <c r="Q3427" s="73"/>
      <c r="R3427" s="73"/>
      <c r="S3427" s="73"/>
      <c r="T3427" s="73"/>
      <c r="U3427" s="73"/>
      <c r="V3427" s="73"/>
      <c r="W3427" s="73"/>
      <c r="X3427" s="73"/>
      <c r="Y3427" s="73"/>
      <c r="Z3427" s="73"/>
      <c r="AA3427" s="73"/>
      <c r="AB3427" s="73"/>
    </row>
    <row r="3428">
      <c r="A3428" s="73"/>
      <c r="B3428" s="73">
        <v>4164281.101</v>
      </c>
      <c r="C3428" s="73">
        <v>3.26308407576157E8</v>
      </c>
      <c r="D3428" s="73">
        <v>1.54250394995993E8</v>
      </c>
      <c r="E3428" s="73">
        <v>2.07531463736326E7</v>
      </c>
      <c r="F3428" s="73"/>
      <c r="G3428" s="73"/>
      <c r="H3428" s="73"/>
      <c r="I3428" s="73"/>
      <c r="J3428" s="73"/>
      <c r="K3428" s="73"/>
      <c r="L3428" s="73"/>
      <c r="M3428" s="73"/>
      <c r="N3428" s="73"/>
      <c r="O3428" s="73"/>
      <c r="P3428" s="73"/>
      <c r="Q3428" s="73"/>
      <c r="R3428" s="73"/>
      <c r="S3428" s="73"/>
      <c r="T3428" s="73"/>
      <c r="U3428" s="73"/>
      <c r="V3428" s="73"/>
      <c r="W3428" s="73"/>
      <c r="X3428" s="73"/>
      <c r="Y3428" s="73"/>
      <c r="Z3428" s="73"/>
      <c r="AA3428" s="73"/>
      <c r="AB3428" s="73"/>
    </row>
    <row r="3429">
      <c r="A3429" s="73"/>
      <c r="B3429" s="73">
        <v>4169822.246</v>
      </c>
      <c r="C3429" s="73">
        <v>3.26567605008957E8</v>
      </c>
      <c r="D3429" s="73">
        <v>1.54399887264002E8</v>
      </c>
      <c r="E3429" s="73">
        <v>2.077512848539E7</v>
      </c>
      <c r="F3429" s="73"/>
      <c r="G3429" s="73"/>
      <c r="H3429" s="73"/>
      <c r="I3429" s="73"/>
      <c r="J3429" s="73"/>
      <c r="K3429" s="73"/>
      <c r="L3429" s="73"/>
      <c r="M3429" s="73"/>
      <c r="N3429" s="73"/>
      <c r="O3429" s="73"/>
      <c r="P3429" s="73"/>
      <c r="Q3429" s="73"/>
      <c r="R3429" s="73"/>
      <c r="S3429" s="73"/>
      <c r="T3429" s="73"/>
      <c r="U3429" s="73"/>
      <c r="V3429" s="73"/>
      <c r="W3429" s="73"/>
      <c r="X3429" s="73"/>
      <c r="Y3429" s="73"/>
      <c r="Z3429" s="73"/>
      <c r="AA3429" s="73"/>
      <c r="AB3429" s="73"/>
    </row>
    <row r="3430">
      <c r="A3430" s="73"/>
      <c r="B3430" s="73">
        <v>4175369.841</v>
      </c>
      <c r="C3430" s="73">
        <v>3.26826934281754E8</v>
      </c>
      <c r="D3430" s="73">
        <v>1.54549462203995E8</v>
      </c>
      <c r="E3430" s="73">
        <v>2.07971284721384E7</v>
      </c>
      <c r="F3430" s="73"/>
      <c r="G3430" s="73"/>
      <c r="H3430" s="73"/>
      <c r="I3430" s="73"/>
      <c r="J3430" s="73"/>
      <c r="K3430" s="73"/>
      <c r="L3430" s="73"/>
      <c r="M3430" s="73"/>
      <c r="N3430" s="73"/>
      <c r="O3430" s="73"/>
      <c r="P3430" s="73"/>
      <c r="Q3430" s="73"/>
      <c r="R3430" s="73"/>
      <c r="S3430" s="73"/>
      <c r="T3430" s="73"/>
      <c r="U3430" s="73"/>
      <c r="V3430" s="73"/>
      <c r="W3430" s="73"/>
      <c r="X3430" s="73"/>
      <c r="Y3430" s="73"/>
      <c r="Z3430" s="73"/>
      <c r="AA3430" s="73"/>
      <c r="AB3430" s="73"/>
    </row>
    <row r="3431">
      <c r="A3431" s="73"/>
      <c r="B3431" s="73">
        <v>4180923.705</v>
      </c>
      <c r="C3431" s="73">
        <v>3.27086395394547E8</v>
      </c>
      <c r="D3431" s="73">
        <v>1.54699140456004E8</v>
      </c>
      <c r="E3431" s="73">
        <v>2.08191464398778E7</v>
      </c>
      <c r="F3431" s="73"/>
      <c r="G3431" s="73"/>
      <c r="H3431" s="73"/>
      <c r="I3431" s="73"/>
      <c r="J3431" s="73"/>
      <c r="K3431" s="73"/>
      <c r="L3431" s="73"/>
      <c r="M3431" s="73"/>
      <c r="N3431" s="73"/>
      <c r="O3431" s="73"/>
      <c r="P3431" s="73"/>
      <c r="Q3431" s="73"/>
      <c r="R3431" s="73"/>
      <c r="S3431" s="73"/>
      <c r="T3431" s="73"/>
      <c r="U3431" s="73"/>
      <c r="V3431" s="73"/>
      <c r="W3431" s="73"/>
      <c r="X3431" s="73"/>
      <c r="Y3431" s="73"/>
      <c r="Z3431" s="73"/>
      <c r="AA3431" s="73"/>
      <c r="AB3431" s="73"/>
    </row>
    <row r="3432">
      <c r="A3432" s="73"/>
      <c r="B3432" s="73">
        <v>4186483.889</v>
      </c>
      <c r="C3432" s="73">
        <v>3.27345988347336E8</v>
      </c>
      <c r="D3432" s="73">
        <v>1.54848911475997E8</v>
      </c>
      <c r="E3432" s="73">
        <v>2.08411820841763E7</v>
      </c>
      <c r="F3432" s="73"/>
      <c r="G3432" s="73"/>
      <c r="H3432" s="73"/>
      <c r="I3432" s="73"/>
      <c r="J3432" s="73"/>
      <c r="K3432" s="73"/>
      <c r="L3432" s="73"/>
      <c r="M3432" s="73"/>
      <c r="N3432" s="73"/>
      <c r="O3432" s="73"/>
      <c r="P3432" s="73"/>
      <c r="Q3432" s="73"/>
      <c r="R3432" s="73"/>
      <c r="S3432" s="73"/>
      <c r="T3432" s="73"/>
      <c r="U3432" s="73"/>
      <c r="V3432" s="73"/>
      <c r="W3432" s="73"/>
      <c r="X3432" s="73"/>
      <c r="Y3432" s="73"/>
      <c r="Z3432" s="73"/>
      <c r="AA3432" s="73"/>
      <c r="AB3432" s="73"/>
    </row>
    <row r="3433">
      <c r="A3433" s="73"/>
      <c r="B3433" s="73">
        <v>4192050.432</v>
      </c>
      <c r="C3433" s="73">
        <v>3.27605713140121E8</v>
      </c>
      <c r="D3433" s="73">
        <v>1.5499877556799E8</v>
      </c>
      <c r="E3433" s="73">
        <v>2.08632353914658E7</v>
      </c>
      <c r="F3433" s="73"/>
      <c r="G3433" s="73"/>
      <c r="H3433" s="73"/>
      <c r="I3433" s="73"/>
      <c r="J3433" s="73"/>
      <c r="K3433" s="73"/>
      <c r="L3433" s="73"/>
      <c r="M3433" s="73"/>
      <c r="N3433" s="73"/>
      <c r="O3433" s="73"/>
      <c r="P3433" s="73"/>
      <c r="Q3433" s="73"/>
      <c r="R3433" s="73"/>
      <c r="S3433" s="73"/>
      <c r="T3433" s="73"/>
      <c r="U3433" s="73"/>
      <c r="V3433" s="73"/>
      <c r="W3433" s="73"/>
      <c r="X3433" s="73"/>
      <c r="Y3433" s="73"/>
      <c r="Z3433" s="73"/>
      <c r="AA3433" s="73"/>
      <c r="AB3433" s="73"/>
    </row>
    <row r="3434">
      <c r="A3434" s="73"/>
      <c r="B3434" s="73">
        <v>4197623.434</v>
      </c>
      <c r="C3434" s="73">
        <v>3.27865536812904E8</v>
      </c>
      <c r="D3434" s="73">
        <v>1.55148732587999E8</v>
      </c>
      <c r="E3434" s="73">
        <v>2.08853060361144E7</v>
      </c>
      <c r="F3434" s="73"/>
      <c r="G3434" s="73"/>
      <c r="H3434" s="73"/>
      <c r="I3434" s="73"/>
      <c r="J3434" s="73"/>
      <c r="K3434" s="73"/>
      <c r="L3434" s="73"/>
      <c r="M3434" s="73"/>
      <c r="N3434" s="73"/>
      <c r="O3434" s="73"/>
      <c r="P3434" s="73"/>
      <c r="Q3434" s="73"/>
      <c r="R3434" s="73"/>
      <c r="S3434" s="73"/>
      <c r="T3434" s="73"/>
      <c r="U3434" s="73"/>
      <c r="V3434" s="73"/>
      <c r="W3434" s="73"/>
      <c r="X3434" s="73"/>
      <c r="Y3434" s="73"/>
      <c r="Z3434" s="73"/>
      <c r="AA3434" s="73"/>
      <c r="AB3434" s="73"/>
    </row>
    <row r="3435">
      <c r="A3435" s="73"/>
      <c r="B3435" s="73">
        <v>4203202.617</v>
      </c>
      <c r="C3435" s="73">
        <v>3.28125525285683E8</v>
      </c>
      <c r="D3435" s="73">
        <v>1.55298792775992E8</v>
      </c>
      <c r="E3435" s="73">
        <v>2.09073946617541E7</v>
      </c>
      <c r="F3435" s="73"/>
      <c r="G3435" s="73"/>
      <c r="H3435" s="73"/>
      <c r="I3435" s="73"/>
      <c r="J3435" s="73"/>
      <c r="K3435" s="73"/>
      <c r="L3435" s="73"/>
      <c r="M3435" s="73"/>
      <c r="N3435" s="73"/>
      <c r="O3435" s="73"/>
      <c r="P3435" s="73"/>
      <c r="Q3435" s="73"/>
      <c r="R3435" s="73"/>
      <c r="S3435" s="73"/>
      <c r="T3435" s="73"/>
      <c r="U3435" s="73"/>
      <c r="V3435" s="73"/>
      <c r="W3435" s="73"/>
      <c r="X3435" s="73"/>
      <c r="Y3435" s="73"/>
      <c r="Z3435" s="73"/>
      <c r="AA3435" s="73"/>
      <c r="AB3435" s="73"/>
    </row>
    <row r="3436">
      <c r="A3436" s="73"/>
      <c r="B3436" s="73">
        <v>4208788.407</v>
      </c>
      <c r="C3436" s="73">
        <v>3.28385612638458E8</v>
      </c>
      <c r="D3436" s="73">
        <v>1.55448935636001E8</v>
      </c>
      <c r="E3436" s="73">
        <v>2.09295008231847E7</v>
      </c>
      <c r="F3436" s="73"/>
      <c r="G3436" s="73"/>
      <c r="H3436" s="73"/>
      <c r="I3436" s="73"/>
      <c r="J3436" s="73"/>
      <c r="K3436" s="73"/>
      <c r="L3436" s="73"/>
      <c r="M3436" s="73"/>
      <c r="N3436" s="73"/>
      <c r="O3436" s="73"/>
      <c r="P3436" s="73"/>
      <c r="Q3436" s="73"/>
      <c r="R3436" s="73"/>
      <c r="S3436" s="73"/>
      <c r="T3436" s="73"/>
      <c r="U3436" s="73"/>
      <c r="V3436" s="73"/>
      <c r="W3436" s="73"/>
      <c r="X3436" s="73"/>
      <c r="Y3436" s="73"/>
      <c r="Z3436" s="73"/>
      <c r="AA3436" s="73"/>
      <c r="AB3436" s="73"/>
    </row>
    <row r="3437">
      <c r="A3437" s="73"/>
      <c r="B3437" s="73">
        <v>4214380.408</v>
      </c>
      <c r="C3437" s="73">
        <v>3.28645897751228E8</v>
      </c>
      <c r="D3437" s="73">
        <v>1.55599181807994E8</v>
      </c>
      <c r="E3437" s="73">
        <v>2.09516245339745E7</v>
      </c>
      <c r="F3437" s="73"/>
      <c r="G3437" s="73"/>
      <c r="H3437" s="73"/>
      <c r="I3437" s="73"/>
      <c r="J3437" s="73"/>
      <c r="K3437" s="73"/>
      <c r="L3437" s="73"/>
      <c r="M3437" s="73"/>
      <c r="N3437" s="73"/>
      <c r="O3437" s="73"/>
      <c r="P3437" s="73"/>
      <c r="Q3437" s="73"/>
      <c r="R3437" s="73"/>
      <c r="S3437" s="73"/>
      <c r="T3437" s="73"/>
      <c r="U3437" s="73"/>
      <c r="V3437" s="73"/>
      <c r="W3437" s="73"/>
      <c r="X3437" s="73"/>
      <c r="Y3437" s="73"/>
      <c r="Z3437" s="73"/>
      <c r="AA3437" s="73"/>
      <c r="AB3437" s="73"/>
    </row>
    <row r="3438">
      <c r="A3438" s="73"/>
      <c r="B3438" s="73">
        <v>4219978.777</v>
      </c>
      <c r="C3438" s="73">
        <v>3.28906248783997E8</v>
      </c>
      <c r="D3438" s="73">
        <v>1.55749520748002E8</v>
      </c>
      <c r="E3438" s="73">
        <v>2.09737661409552E7</v>
      </c>
      <c r="F3438" s="73"/>
      <c r="G3438" s="73"/>
      <c r="H3438" s="73"/>
      <c r="I3438" s="73"/>
      <c r="J3438" s="73"/>
      <c r="K3438" s="73"/>
      <c r="L3438" s="73"/>
      <c r="M3438" s="73"/>
      <c r="N3438" s="73"/>
      <c r="O3438" s="73"/>
      <c r="P3438" s="73"/>
      <c r="Q3438" s="73"/>
      <c r="R3438" s="73"/>
      <c r="S3438" s="73"/>
      <c r="T3438" s="73"/>
      <c r="U3438" s="73"/>
      <c r="V3438" s="73"/>
      <c r="W3438" s="73"/>
      <c r="X3438" s="73"/>
      <c r="Y3438" s="73"/>
      <c r="Z3438" s="73"/>
      <c r="AA3438" s="73"/>
      <c r="AB3438" s="73"/>
    </row>
    <row r="3439">
      <c r="A3439" s="73"/>
      <c r="B3439" s="73">
        <v>4225583.584</v>
      </c>
      <c r="C3439" s="73">
        <v>3.2916676461676E8</v>
      </c>
      <c r="D3439" s="73">
        <v>1.55899952759996E8</v>
      </c>
      <c r="E3439" s="73">
        <v>2.0995925983327E7</v>
      </c>
      <c r="F3439" s="73"/>
      <c r="G3439" s="73"/>
      <c r="H3439" s="73"/>
      <c r="I3439" s="73"/>
      <c r="J3439" s="73"/>
      <c r="K3439" s="73"/>
      <c r="L3439" s="73"/>
      <c r="M3439" s="73"/>
      <c r="N3439" s="73"/>
      <c r="O3439" s="73"/>
      <c r="P3439" s="73"/>
      <c r="Q3439" s="73"/>
      <c r="R3439" s="73"/>
      <c r="S3439" s="73"/>
      <c r="T3439" s="73"/>
      <c r="U3439" s="73"/>
      <c r="V3439" s="73"/>
      <c r="W3439" s="73"/>
      <c r="X3439" s="73"/>
      <c r="Y3439" s="73"/>
      <c r="Z3439" s="73"/>
      <c r="AA3439" s="73"/>
      <c r="AB3439" s="73"/>
    </row>
    <row r="3440">
      <c r="A3440" s="73"/>
      <c r="B3440" s="73">
        <v>4231194.811</v>
      </c>
      <c r="C3440" s="73">
        <v>3.29427379329521E8</v>
      </c>
      <c r="D3440" s="73">
        <v>1.56050477556004E8</v>
      </c>
      <c r="E3440" s="73">
        <v>2.10181029298579E7</v>
      </c>
      <c r="F3440" s="73"/>
      <c r="G3440" s="73"/>
      <c r="H3440" s="73"/>
      <c r="I3440" s="73"/>
      <c r="J3440" s="73"/>
      <c r="K3440" s="73"/>
      <c r="L3440" s="73"/>
      <c r="M3440" s="73"/>
      <c r="N3440" s="73"/>
      <c r="O3440" s="73"/>
      <c r="P3440" s="73"/>
      <c r="Q3440" s="73"/>
      <c r="R3440" s="73"/>
      <c r="S3440" s="73"/>
      <c r="T3440" s="73"/>
      <c r="U3440" s="73"/>
      <c r="V3440" s="73"/>
      <c r="W3440" s="73"/>
      <c r="X3440" s="73"/>
      <c r="Y3440" s="73"/>
      <c r="Z3440" s="73"/>
      <c r="AA3440" s="73"/>
      <c r="AB3440" s="73"/>
    </row>
    <row r="3441">
      <c r="A3441" s="73"/>
      <c r="B3441" s="73">
        <v>4236812.325</v>
      </c>
      <c r="C3441" s="73">
        <v>3.29688125882278E8</v>
      </c>
      <c r="D3441" s="73">
        <v>1.56201095407998E8</v>
      </c>
      <c r="E3441" s="73">
        <v>2.10402976241797E7</v>
      </c>
      <c r="F3441" s="73"/>
      <c r="G3441" s="73"/>
      <c r="H3441" s="73"/>
      <c r="I3441" s="73"/>
      <c r="J3441" s="73"/>
      <c r="K3441" s="73"/>
      <c r="L3441" s="73"/>
      <c r="M3441" s="73"/>
      <c r="N3441" s="73"/>
      <c r="O3441" s="73"/>
      <c r="P3441" s="73"/>
      <c r="Q3441" s="73"/>
      <c r="R3441" s="73"/>
      <c r="S3441" s="73"/>
      <c r="T3441" s="73"/>
      <c r="U3441" s="73"/>
      <c r="V3441" s="73"/>
      <c r="W3441" s="73"/>
      <c r="X3441" s="73"/>
      <c r="Y3441" s="73"/>
      <c r="Z3441" s="73"/>
      <c r="AA3441" s="73"/>
      <c r="AB3441" s="73"/>
    </row>
    <row r="3442">
      <c r="A3442" s="73"/>
      <c r="B3442" s="73">
        <v>4242436.218</v>
      </c>
      <c r="C3442" s="73">
        <v>3.29949037235031E8</v>
      </c>
      <c r="D3442" s="73">
        <v>1.56351806187991E8</v>
      </c>
      <c r="E3442" s="73">
        <v>2.10625102358927E7</v>
      </c>
      <c r="F3442" s="73"/>
      <c r="G3442" s="73"/>
      <c r="H3442" s="73"/>
      <c r="I3442" s="73"/>
      <c r="J3442" s="73"/>
      <c r="K3442" s="73"/>
      <c r="L3442" s="73"/>
      <c r="M3442" s="73"/>
      <c r="N3442" s="73"/>
      <c r="O3442" s="73"/>
      <c r="P3442" s="73"/>
      <c r="Q3442" s="73"/>
      <c r="R3442" s="73"/>
      <c r="S3442" s="73"/>
      <c r="T3442" s="73"/>
      <c r="U3442" s="73"/>
      <c r="V3442" s="73"/>
      <c r="W3442" s="73"/>
      <c r="X3442" s="73"/>
      <c r="Y3442" s="73"/>
      <c r="Z3442" s="73"/>
      <c r="AA3442" s="73"/>
      <c r="AB3442" s="73"/>
    </row>
    <row r="3443">
      <c r="A3443" s="73"/>
      <c r="B3443" s="73">
        <v>4248066.52</v>
      </c>
      <c r="C3443" s="73">
        <v>3.3021008042778E8</v>
      </c>
      <c r="D3443" s="73">
        <v>1.56502609895999E8</v>
      </c>
      <c r="E3443" s="73">
        <v>2.10847402697647E7</v>
      </c>
      <c r="F3443" s="73"/>
      <c r="G3443" s="73"/>
      <c r="H3443" s="73"/>
      <c r="I3443" s="73"/>
      <c r="J3443" s="73"/>
      <c r="K3443" s="73"/>
      <c r="L3443" s="73"/>
      <c r="M3443" s="73"/>
      <c r="N3443" s="73"/>
      <c r="O3443" s="73"/>
      <c r="P3443" s="73"/>
      <c r="Q3443" s="73"/>
      <c r="R3443" s="73"/>
      <c r="S3443" s="73"/>
      <c r="T3443" s="73"/>
      <c r="U3443" s="73"/>
      <c r="V3443" s="73"/>
      <c r="W3443" s="73"/>
      <c r="X3443" s="73"/>
      <c r="Y3443" s="73"/>
      <c r="Z3443" s="73"/>
      <c r="AA3443" s="73"/>
      <c r="AB3443" s="73"/>
    </row>
    <row r="3444">
      <c r="A3444" s="73"/>
      <c r="B3444" s="73">
        <v>4253703.268</v>
      </c>
      <c r="C3444" s="73">
        <v>3.30471222500526E8</v>
      </c>
      <c r="D3444" s="73">
        <v>1.56653516755993E8</v>
      </c>
      <c r="E3444" s="73">
        <v>2.11069885814277E7</v>
      </c>
      <c r="F3444" s="73"/>
      <c r="G3444" s="73"/>
      <c r="H3444" s="73"/>
      <c r="I3444" s="73"/>
      <c r="J3444" s="73"/>
      <c r="K3444" s="73"/>
      <c r="L3444" s="73"/>
      <c r="M3444" s="73"/>
      <c r="N3444" s="73"/>
      <c r="O3444" s="73"/>
      <c r="P3444" s="73"/>
      <c r="Q3444" s="73"/>
      <c r="R3444" s="73"/>
      <c r="S3444" s="73"/>
      <c r="T3444" s="73"/>
      <c r="U3444" s="73"/>
      <c r="V3444" s="73"/>
      <c r="W3444" s="73"/>
      <c r="X3444" s="73"/>
      <c r="Y3444" s="73"/>
      <c r="Z3444" s="73"/>
      <c r="AA3444" s="73"/>
      <c r="AB3444" s="73"/>
    </row>
    <row r="3445">
      <c r="A3445" s="73"/>
      <c r="B3445" s="73">
        <v>4259346.396</v>
      </c>
      <c r="C3445" s="73">
        <v>3.30732496413269E8</v>
      </c>
      <c r="D3445" s="73">
        <v>1.56804506448001E8</v>
      </c>
      <c r="E3445" s="73">
        <v>2.11292545348817E7</v>
      </c>
      <c r="F3445" s="73"/>
      <c r="G3445" s="73"/>
      <c r="H3445" s="73"/>
      <c r="I3445" s="73"/>
      <c r="J3445" s="73"/>
      <c r="K3445" s="73"/>
      <c r="L3445" s="73"/>
      <c r="M3445" s="73"/>
      <c r="N3445" s="73"/>
      <c r="O3445" s="73"/>
      <c r="P3445" s="73"/>
      <c r="Q3445" s="73"/>
      <c r="R3445" s="73"/>
      <c r="S3445" s="73"/>
      <c r="T3445" s="73"/>
      <c r="U3445" s="73"/>
      <c r="V3445" s="73"/>
      <c r="W3445" s="73"/>
      <c r="X3445" s="73"/>
      <c r="Y3445" s="73"/>
      <c r="Z3445" s="73"/>
      <c r="AA3445" s="73"/>
      <c r="AB3445" s="73"/>
    </row>
    <row r="3446">
      <c r="A3446" s="73"/>
      <c r="B3446" s="73">
        <v>4264995.821</v>
      </c>
      <c r="C3446" s="73">
        <v>3.30993935126007E8</v>
      </c>
      <c r="D3446" s="73">
        <v>1.56955599307995E8</v>
      </c>
      <c r="E3446" s="73">
        <v>2.11515379528948E7</v>
      </c>
      <c r="F3446" s="73"/>
      <c r="G3446" s="73"/>
      <c r="H3446" s="73"/>
      <c r="I3446" s="73"/>
      <c r="J3446" s="73"/>
      <c r="K3446" s="73"/>
      <c r="L3446" s="73"/>
      <c r="M3446" s="73"/>
      <c r="N3446" s="73"/>
      <c r="O3446" s="73"/>
      <c r="P3446" s="73"/>
      <c r="Q3446" s="73"/>
      <c r="R3446" s="73"/>
      <c r="S3446" s="73"/>
      <c r="T3446" s="73"/>
      <c r="U3446" s="73"/>
      <c r="V3446" s="73"/>
      <c r="W3446" s="73"/>
      <c r="X3446" s="73"/>
      <c r="Y3446" s="73"/>
      <c r="Z3446" s="73"/>
      <c r="AA3446" s="73"/>
      <c r="AB3446" s="73"/>
    </row>
    <row r="3447">
      <c r="A3447" s="73"/>
      <c r="B3447" s="73">
        <v>4270651.714</v>
      </c>
      <c r="C3447" s="73">
        <v>3.31255439758743E8</v>
      </c>
      <c r="D3447" s="73">
        <v>1.57106784936003E8</v>
      </c>
      <c r="E3447" s="73">
        <v>2.11738394578989E7</v>
      </c>
      <c r="F3447" s="73"/>
      <c r="G3447" s="73"/>
      <c r="H3447" s="73"/>
      <c r="I3447" s="73"/>
      <c r="J3447" s="73"/>
      <c r="K3447" s="73"/>
      <c r="L3447" s="73"/>
      <c r="M3447" s="73"/>
      <c r="N3447" s="73"/>
      <c r="O3447" s="73"/>
      <c r="P3447" s="73"/>
      <c r="Q3447" s="73"/>
      <c r="R3447" s="73"/>
      <c r="S3447" s="73"/>
      <c r="T3447" s="73"/>
      <c r="U3447" s="73"/>
      <c r="V3447" s="73"/>
      <c r="W3447" s="73"/>
      <c r="X3447" s="73"/>
      <c r="Y3447" s="73"/>
      <c r="Z3447" s="73"/>
      <c r="AA3447" s="73"/>
      <c r="AB3447" s="73"/>
    </row>
    <row r="3448">
      <c r="A3448" s="73"/>
      <c r="B3448" s="73">
        <v>4276314.015</v>
      </c>
      <c r="C3448" s="73">
        <v>3.31517109191475E8</v>
      </c>
      <c r="D3448" s="73">
        <v>1.57258063475996E8</v>
      </c>
      <c r="E3448" s="73">
        <v>2.11961582154621E7</v>
      </c>
      <c r="F3448" s="73"/>
      <c r="G3448" s="73"/>
      <c r="H3448" s="73"/>
      <c r="I3448" s="73"/>
      <c r="J3448" s="73"/>
      <c r="K3448" s="73"/>
      <c r="L3448" s="73"/>
      <c r="M3448" s="73"/>
      <c r="N3448" s="73"/>
      <c r="O3448" s="73"/>
      <c r="P3448" s="73"/>
      <c r="Q3448" s="73"/>
      <c r="R3448" s="73"/>
      <c r="S3448" s="73"/>
      <c r="T3448" s="73"/>
      <c r="U3448" s="73"/>
      <c r="V3448" s="73"/>
      <c r="W3448" s="73"/>
      <c r="X3448" s="73"/>
      <c r="Y3448" s="73"/>
      <c r="Z3448" s="73"/>
      <c r="AA3448" s="73"/>
      <c r="AB3448" s="73"/>
    </row>
    <row r="3449">
      <c r="A3449" s="73"/>
      <c r="B3449" s="73">
        <v>4281982.653</v>
      </c>
      <c r="C3449" s="73">
        <v>3.31778943424202E8</v>
      </c>
      <c r="D3449" s="73">
        <v>1.5740944534399E8</v>
      </c>
      <c r="E3449" s="73">
        <v>2.12184953220484E7</v>
      </c>
      <c r="F3449" s="73"/>
      <c r="G3449" s="73"/>
      <c r="H3449" s="73"/>
      <c r="I3449" s="73"/>
      <c r="J3449" s="73"/>
      <c r="K3449" s="73"/>
      <c r="L3449" s="73"/>
      <c r="M3449" s="73"/>
      <c r="N3449" s="73"/>
      <c r="O3449" s="73"/>
      <c r="P3449" s="73"/>
      <c r="Q3449" s="73"/>
      <c r="R3449" s="73"/>
      <c r="S3449" s="73"/>
      <c r="T3449" s="73"/>
      <c r="U3449" s="73"/>
      <c r="V3449" s="73"/>
      <c r="W3449" s="73"/>
      <c r="X3449" s="73"/>
      <c r="Y3449" s="73"/>
      <c r="Z3449" s="73"/>
      <c r="AA3449" s="73"/>
      <c r="AB3449" s="73"/>
    </row>
    <row r="3450">
      <c r="A3450" s="73"/>
      <c r="B3450" s="73">
        <v>4287657.778</v>
      </c>
      <c r="C3450" s="73">
        <v>3.32040909496925E8</v>
      </c>
      <c r="D3450" s="73">
        <v>1.57560909883998E8</v>
      </c>
      <c r="E3450" s="73">
        <v>2.12408499567936E7</v>
      </c>
      <c r="F3450" s="73"/>
      <c r="G3450" s="73"/>
      <c r="H3450" s="73"/>
      <c r="I3450" s="73"/>
      <c r="J3450" s="73"/>
      <c r="K3450" s="73"/>
      <c r="L3450" s="73"/>
      <c r="M3450" s="73"/>
      <c r="N3450" s="73"/>
      <c r="O3450" s="73"/>
      <c r="P3450" s="73"/>
      <c r="Q3450" s="73"/>
      <c r="R3450" s="73"/>
      <c r="S3450" s="73"/>
      <c r="T3450" s="73"/>
      <c r="U3450" s="73"/>
      <c r="V3450" s="73"/>
      <c r="W3450" s="73"/>
      <c r="X3450" s="73"/>
      <c r="Y3450" s="73"/>
      <c r="Z3450" s="73"/>
      <c r="AA3450" s="73"/>
      <c r="AB3450" s="73"/>
    </row>
    <row r="3451">
      <c r="A3451" s="73"/>
      <c r="B3451" s="73">
        <v>4293339.19</v>
      </c>
      <c r="C3451" s="73">
        <v>3.32302941489647E8</v>
      </c>
      <c r="D3451" s="73">
        <v>1.57712477591991E8</v>
      </c>
      <c r="E3451" s="73">
        <v>2.12632222044979E7</v>
      </c>
      <c r="F3451" s="73"/>
      <c r="G3451" s="73"/>
      <c r="H3451" s="73"/>
      <c r="I3451" s="73"/>
      <c r="J3451" s="73"/>
      <c r="K3451" s="73"/>
      <c r="L3451" s="73"/>
      <c r="M3451" s="73"/>
      <c r="N3451" s="73"/>
      <c r="O3451" s="73"/>
      <c r="P3451" s="73"/>
      <c r="Q3451" s="73"/>
      <c r="R3451" s="73"/>
      <c r="S3451" s="73"/>
      <c r="T3451" s="73"/>
      <c r="U3451" s="73"/>
      <c r="V3451" s="73"/>
      <c r="W3451" s="73"/>
      <c r="X3451" s="73"/>
      <c r="Y3451" s="73"/>
      <c r="Z3451" s="73"/>
      <c r="AA3451" s="73"/>
      <c r="AB3451" s="73"/>
    </row>
    <row r="3452">
      <c r="A3452" s="73"/>
      <c r="B3452" s="73">
        <v>4299027.09</v>
      </c>
      <c r="C3452" s="73">
        <v>3.32565138282364E8</v>
      </c>
      <c r="D3452" s="73">
        <v>1.57864138212E8</v>
      </c>
      <c r="E3452" s="73">
        <v>2.12856126528253E7</v>
      </c>
      <c r="F3452" s="73"/>
      <c r="G3452" s="73"/>
      <c r="H3452" s="73"/>
      <c r="I3452" s="73"/>
      <c r="J3452" s="73"/>
      <c r="K3452" s="73"/>
      <c r="L3452" s="73"/>
      <c r="M3452" s="73"/>
      <c r="N3452" s="73"/>
      <c r="O3452" s="73"/>
      <c r="P3452" s="73"/>
      <c r="Q3452" s="73"/>
      <c r="R3452" s="73"/>
      <c r="S3452" s="73"/>
      <c r="T3452" s="73"/>
      <c r="U3452" s="73"/>
      <c r="V3452" s="73"/>
      <c r="W3452" s="73"/>
      <c r="X3452" s="73"/>
      <c r="Y3452" s="73"/>
      <c r="Z3452" s="73"/>
      <c r="AA3452" s="73"/>
      <c r="AB3452" s="73"/>
    </row>
    <row r="3453">
      <c r="A3453" s="73"/>
      <c r="B3453" s="73">
        <v>4304721.417</v>
      </c>
      <c r="C3453" s="73">
        <v>3.32827466915077E8</v>
      </c>
      <c r="D3453" s="73">
        <v>1.58015891903993E8</v>
      </c>
      <c r="E3453" s="73">
        <v>2.13080209049116E7</v>
      </c>
      <c r="F3453" s="73"/>
      <c r="G3453" s="73"/>
      <c r="H3453" s="73"/>
      <c r="I3453" s="73"/>
      <c r="J3453" s="73"/>
      <c r="K3453" s="73"/>
      <c r="L3453" s="73"/>
      <c r="M3453" s="73"/>
      <c r="N3453" s="73"/>
      <c r="O3453" s="73"/>
      <c r="P3453" s="73"/>
      <c r="Q3453" s="73"/>
      <c r="R3453" s="73"/>
      <c r="S3453" s="73"/>
      <c r="T3453" s="73"/>
      <c r="U3453" s="73"/>
      <c r="V3453" s="73"/>
      <c r="W3453" s="73"/>
      <c r="X3453" s="73"/>
      <c r="Y3453" s="73"/>
      <c r="Z3453" s="73"/>
      <c r="AA3453" s="73"/>
      <c r="AB3453" s="73"/>
    </row>
    <row r="3454">
      <c r="A3454" s="73"/>
      <c r="B3454" s="73">
        <v>4310422.109</v>
      </c>
      <c r="C3454" s="73">
        <v>3.33089927387787E8</v>
      </c>
      <c r="D3454" s="73">
        <v>1.58167738380002E8</v>
      </c>
      <c r="E3454" s="73">
        <v>2.13304462823571E7</v>
      </c>
      <c r="F3454" s="73"/>
      <c r="G3454" s="73"/>
      <c r="H3454" s="73"/>
      <c r="I3454" s="73"/>
      <c r="J3454" s="73"/>
      <c r="K3454" s="73"/>
      <c r="L3454" s="73"/>
      <c r="M3454" s="73"/>
      <c r="N3454" s="73"/>
      <c r="O3454" s="73"/>
      <c r="P3454" s="73"/>
      <c r="Q3454" s="73"/>
      <c r="R3454" s="73"/>
      <c r="S3454" s="73"/>
      <c r="T3454" s="73"/>
      <c r="U3454" s="73"/>
      <c r="V3454" s="73"/>
      <c r="W3454" s="73"/>
      <c r="X3454" s="73"/>
      <c r="Y3454" s="73"/>
      <c r="Z3454" s="73"/>
      <c r="AA3454" s="73"/>
      <c r="AB3454" s="73"/>
    </row>
    <row r="3455">
      <c r="A3455" s="73"/>
      <c r="B3455" s="73">
        <v>4316129.159</v>
      </c>
      <c r="C3455" s="73">
        <v>3.33352519700493E8</v>
      </c>
      <c r="D3455" s="73">
        <v>1.58319677911995E8</v>
      </c>
      <c r="E3455" s="73">
        <v>2.13528903480255E7</v>
      </c>
      <c r="F3455" s="73"/>
      <c r="G3455" s="73"/>
      <c r="H3455" s="73"/>
      <c r="I3455" s="73"/>
      <c r="J3455" s="73"/>
      <c r="K3455" s="73"/>
      <c r="L3455" s="73"/>
      <c r="M3455" s="73"/>
      <c r="N3455" s="73"/>
      <c r="O3455" s="73"/>
      <c r="P3455" s="73"/>
      <c r="Q3455" s="73"/>
      <c r="R3455" s="73"/>
      <c r="S3455" s="73"/>
      <c r="T3455" s="73"/>
      <c r="U3455" s="73"/>
      <c r="V3455" s="73"/>
      <c r="W3455" s="73"/>
      <c r="X3455" s="73"/>
      <c r="Y3455" s="73"/>
      <c r="Z3455" s="73"/>
      <c r="AA3455" s="73"/>
      <c r="AB3455" s="73"/>
    </row>
    <row r="3456">
      <c r="A3456" s="73"/>
      <c r="B3456" s="73">
        <v>4321842.677</v>
      </c>
      <c r="C3456" s="73">
        <v>3.33615243853195E8</v>
      </c>
      <c r="D3456" s="73">
        <v>1.58471710228004E8</v>
      </c>
      <c r="E3456" s="73">
        <v>2.1375351751053E7</v>
      </c>
      <c r="F3456" s="73"/>
      <c r="G3456" s="73"/>
      <c r="H3456" s="73"/>
      <c r="I3456" s="73"/>
      <c r="J3456" s="73"/>
      <c r="K3456" s="73"/>
      <c r="L3456" s="73"/>
      <c r="M3456" s="73"/>
      <c r="N3456" s="73"/>
      <c r="O3456" s="73"/>
      <c r="P3456" s="73"/>
      <c r="Q3456" s="73"/>
      <c r="R3456" s="73"/>
      <c r="S3456" s="73"/>
      <c r="T3456" s="73"/>
      <c r="U3456" s="73"/>
      <c r="V3456" s="73"/>
      <c r="W3456" s="73"/>
      <c r="X3456" s="73"/>
      <c r="Y3456" s="73"/>
      <c r="Z3456" s="73"/>
      <c r="AA3456" s="73"/>
      <c r="AB3456" s="73"/>
    </row>
    <row r="3457">
      <c r="A3457" s="73"/>
      <c r="B3457" s="73">
        <v>4327562.67</v>
      </c>
      <c r="C3457" s="73">
        <v>3.33878099845894E8</v>
      </c>
      <c r="D3457" s="73">
        <v>1.58623845999997E8</v>
      </c>
      <c r="E3457" s="73">
        <v>2.13978305550396E7</v>
      </c>
      <c r="F3457" s="73"/>
      <c r="G3457" s="73"/>
      <c r="H3457" s="73"/>
      <c r="I3457" s="73"/>
      <c r="J3457" s="73"/>
      <c r="K3457" s="73"/>
      <c r="L3457" s="73"/>
      <c r="M3457" s="73"/>
      <c r="N3457" s="73"/>
      <c r="O3457" s="73"/>
      <c r="P3457" s="73"/>
      <c r="Q3457" s="73"/>
      <c r="R3457" s="73"/>
      <c r="S3457" s="73"/>
      <c r="T3457" s="73"/>
      <c r="U3457" s="73"/>
      <c r="V3457" s="73"/>
      <c r="W3457" s="73"/>
      <c r="X3457" s="73"/>
      <c r="Y3457" s="73"/>
      <c r="Z3457" s="73"/>
      <c r="AA3457" s="73"/>
      <c r="AB3457" s="73"/>
    </row>
    <row r="3458">
      <c r="A3458" s="73"/>
      <c r="B3458" s="73">
        <v>4333288.99</v>
      </c>
      <c r="C3458" s="73">
        <v>3.34141087678589E8</v>
      </c>
      <c r="D3458" s="73">
        <v>1.5877607439599E8</v>
      </c>
      <c r="E3458" s="73">
        <v>2.14203279624491E7</v>
      </c>
      <c r="F3458" s="73"/>
      <c r="G3458" s="73"/>
      <c r="H3458" s="73"/>
      <c r="I3458" s="73"/>
      <c r="J3458" s="73"/>
      <c r="K3458" s="73"/>
      <c r="L3458" s="73"/>
      <c r="M3458" s="73"/>
      <c r="N3458" s="73"/>
      <c r="O3458" s="73"/>
      <c r="P3458" s="73"/>
      <c r="Q3458" s="73"/>
      <c r="R3458" s="73"/>
      <c r="S3458" s="73"/>
      <c r="T3458" s="73"/>
      <c r="U3458" s="73"/>
      <c r="V3458" s="73"/>
      <c r="W3458" s="73"/>
      <c r="X3458" s="73"/>
      <c r="Y3458" s="73"/>
      <c r="Z3458" s="73"/>
      <c r="AA3458" s="73"/>
      <c r="AB3458" s="73"/>
    </row>
    <row r="3459">
      <c r="A3459" s="73"/>
      <c r="B3459" s="73">
        <v>4339021.796</v>
      </c>
      <c r="C3459" s="73">
        <v>3.34404174391281E8</v>
      </c>
      <c r="D3459" s="73">
        <v>1.58928396007999E8</v>
      </c>
      <c r="E3459" s="73">
        <v>2.14428429828177E7</v>
      </c>
      <c r="F3459" s="73"/>
      <c r="G3459" s="73"/>
      <c r="H3459" s="73"/>
      <c r="I3459" s="73"/>
      <c r="J3459" s="73"/>
      <c r="K3459" s="73"/>
      <c r="L3459" s="73"/>
      <c r="M3459" s="73"/>
      <c r="N3459" s="73"/>
      <c r="O3459" s="73"/>
      <c r="P3459" s="73"/>
      <c r="Q3459" s="73"/>
      <c r="R3459" s="73"/>
      <c r="S3459" s="73"/>
      <c r="T3459" s="73"/>
      <c r="U3459" s="73"/>
      <c r="V3459" s="73"/>
      <c r="W3459" s="73"/>
      <c r="X3459" s="73"/>
      <c r="Y3459" s="73"/>
      <c r="Z3459" s="73"/>
      <c r="AA3459" s="73"/>
      <c r="AB3459" s="73"/>
    </row>
    <row r="3460">
      <c r="A3460" s="73"/>
      <c r="B3460" s="73">
        <v>4344761.077</v>
      </c>
      <c r="C3460" s="73">
        <v>3.34667425903969E8</v>
      </c>
      <c r="D3460" s="73">
        <v>1.59080810403992E8</v>
      </c>
      <c r="E3460" s="73">
        <v>2.14653756161454E7</v>
      </c>
      <c r="F3460" s="73"/>
      <c r="G3460" s="73"/>
      <c r="H3460" s="73"/>
      <c r="I3460" s="73"/>
      <c r="J3460" s="73"/>
      <c r="K3460" s="73"/>
      <c r="L3460" s="73"/>
      <c r="M3460" s="73"/>
      <c r="N3460" s="73"/>
      <c r="O3460" s="73"/>
      <c r="P3460" s="73"/>
      <c r="Q3460" s="73"/>
      <c r="R3460" s="73"/>
      <c r="S3460" s="73"/>
      <c r="T3460" s="73"/>
      <c r="U3460" s="73"/>
      <c r="V3460" s="73"/>
      <c r="W3460" s="73"/>
      <c r="X3460" s="73"/>
      <c r="Y3460" s="73"/>
      <c r="Z3460" s="73"/>
      <c r="AA3460" s="73"/>
      <c r="AB3460" s="73"/>
    </row>
    <row r="3461">
      <c r="A3461" s="73"/>
      <c r="B3461" s="73">
        <v>4350506.715</v>
      </c>
      <c r="C3461" s="73">
        <v>3.34930809256653E8</v>
      </c>
      <c r="D3461" s="73">
        <v>1.59233328096001E8</v>
      </c>
      <c r="E3461" s="73">
        <v>2.1487926450096E7</v>
      </c>
      <c r="F3461" s="73"/>
      <c r="G3461" s="73"/>
      <c r="H3461" s="73"/>
      <c r="I3461" s="73"/>
      <c r="J3461" s="73"/>
      <c r="K3461" s="73"/>
      <c r="L3461" s="73"/>
      <c r="M3461" s="73"/>
      <c r="N3461" s="73"/>
      <c r="O3461" s="73"/>
      <c r="P3461" s="73"/>
      <c r="Q3461" s="73"/>
      <c r="R3461" s="73"/>
      <c r="S3461" s="73"/>
      <c r="T3461" s="73"/>
      <c r="U3461" s="73"/>
      <c r="V3461" s="73"/>
      <c r="W3461" s="73"/>
      <c r="X3461" s="73"/>
      <c r="Y3461" s="73"/>
      <c r="Z3461" s="73"/>
      <c r="AA3461" s="73"/>
      <c r="AB3461" s="73"/>
    </row>
    <row r="3462">
      <c r="A3462" s="73"/>
      <c r="B3462" s="73">
        <v>4356258.788</v>
      </c>
      <c r="C3462" s="73">
        <v>3.35194291489334E8</v>
      </c>
      <c r="D3462" s="73">
        <v>1.59385928331994E8</v>
      </c>
      <c r="E3462" s="73">
        <v>2.15104947486058E7</v>
      </c>
      <c r="F3462" s="73"/>
      <c r="G3462" s="73"/>
      <c r="H3462" s="73"/>
      <c r="I3462" s="73"/>
      <c r="J3462" s="73"/>
      <c r="K3462" s="73"/>
      <c r="L3462" s="73"/>
      <c r="M3462" s="73"/>
      <c r="N3462" s="73"/>
      <c r="O3462" s="73"/>
      <c r="P3462" s="73"/>
      <c r="Q3462" s="73"/>
      <c r="R3462" s="73"/>
      <c r="S3462" s="73"/>
      <c r="T3462" s="73"/>
      <c r="U3462" s="73"/>
      <c r="V3462" s="73"/>
      <c r="W3462" s="73"/>
      <c r="X3462" s="73"/>
      <c r="Y3462" s="73"/>
      <c r="Z3462" s="73"/>
      <c r="AA3462" s="73"/>
      <c r="AB3462" s="73"/>
    </row>
    <row r="3463">
      <c r="A3463" s="73"/>
      <c r="B3463" s="73">
        <v>4362017.267</v>
      </c>
      <c r="C3463" s="73">
        <v>3.3545797148201E8</v>
      </c>
      <c r="D3463" s="73">
        <v>1.59538631864002E8</v>
      </c>
      <c r="E3463" s="73">
        <v>2.15330803208746E7</v>
      </c>
      <c r="F3463" s="73"/>
      <c r="G3463" s="73"/>
      <c r="H3463" s="73"/>
      <c r="I3463" s="73"/>
      <c r="J3463" s="73"/>
      <c r="K3463" s="73"/>
      <c r="L3463" s="73"/>
      <c r="M3463" s="73"/>
      <c r="N3463" s="73"/>
      <c r="O3463" s="73"/>
      <c r="P3463" s="73"/>
      <c r="Q3463" s="73"/>
      <c r="R3463" s="73"/>
      <c r="S3463" s="73"/>
      <c r="T3463" s="73"/>
      <c r="U3463" s="73"/>
      <c r="V3463" s="73"/>
      <c r="W3463" s="73"/>
      <c r="X3463" s="73"/>
      <c r="Y3463" s="73"/>
      <c r="Z3463" s="73"/>
      <c r="AA3463" s="73"/>
      <c r="AB3463" s="73"/>
    </row>
    <row r="3464">
      <c r="A3464" s="73"/>
      <c r="B3464" s="73">
        <v>4367782.243</v>
      </c>
      <c r="C3464" s="73">
        <v>3.35721750354683E8</v>
      </c>
      <c r="D3464" s="73">
        <v>1.59691428339996E8</v>
      </c>
      <c r="E3464" s="73">
        <v>2.15556853869663E7</v>
      </c>
      <c r="F3464" s="73"/>
      <c r="G3464" s="73"/>
      <c r="H3464" s="73"/>
      <c r="I3464" s="73"/>
      <c r="J3464" s="73"/>
      <c r="K3464" s="73"/>
      <c r="L3464" s="73"/>
      <c r="M3464" s="73"/>
      <c r="N3464" s="73"/>
      <c r="O3464" s="73"/>
      <c r="P3464" s="73"/>
      <c r="Q3464" s="73"/>
      <c r="R3464" s="73"/>
      <c r="S3464" s="73"/>
      <c r="T3464" s="73"/>
      <c r="U3464" s="73"/>
      <c r="V3464" s="73"/>
      <c r="W3464" s="73"/>
      <c r="X3464" s="73"/>
      <c r="Y3464" s="73"/>
      <c r="Z3464" s="73"/>
      <c r="AA3464" s="73"/>
      <c r="AB3464" s="73"/>
    </row>
    <row r="3465">
      <c r="A3465" s="73"/>
      <c r="B3465" s="73">
        <v>4373553.623</v>
      </c>
      <c r="C3465" s="73">
        <v>3.35985628107353E8</v>
      </c>
      <c r="D3465" s="73">
        <v>1.59844317712004E8</v>
      </c>
      <c r="E3465" s="73">
        <v>2.15783069636172E7</v>
      </c>
      <c r="F3465" s="73"/>
      <c r="G3465" s="73"/>
      <c r="H3465" s="73"/>
      <c r="I3465" s="73"/>
      <c r="J3465" s="73"/>
      <c r="K3465" s="73"/>
      <c r="L3465" s="73"/>
      <c r="M3465" s="73"/>
      <c r="N3465" s="73"/>
      <c r="O3465" s="73"/>
      <c r="P3465" s="73"/>
      <c r="Q3465" s="73"/>
      <c r="R3465" s="73"/>
      <c r="S3465" s="73"/>
      <c r="T3465" s="73"/>
      <c r="U3465" s="73"/>
      <c r="V3465" s="73"/>
      <c r="W3465" s="73"/>
      <c r="X3465" s="73"/>
      <c r="Y3465" s="73"/>
      <c r="Z3465" s="73"/>
      <c r="AA3465" s="73"/>
      <c r="AB3465" s="73"/>
    </row>
    <row r="3466">
      <c r="A3466" s="73"/>
      <c r="B3466" s="73">
        <v>4379331.41</v>
      </c>
      <c r="C3466" s="73">
        <v>3.3624963770002E8</v>
      </c>
      <c r="D3466" s="73">
        <v>1.59997300027998E8</v>
      </c>
      <c r="E3466" s="73">
        <v>2.1600946924059E7</v>
      </c>
      <c r="F3466" s="73"/>
      <c r="G3466" s="73"/>
      <c r="H3466" s="73"/>
      <c r="I3466" s="73"/>
      <c r="J3466" s="73"/>
      <c r="K3466" s="73"/>
      <c r="L3466" s="73"/>
      <c r="M3466" s="73"/>
      <c r="N3466" s="73"/>
      <c r="O3466" s="73"/>
      <c r="P3466" s="73"/>
      <c r="Q3466" s="73"/>
      <c r="R3466" s="73"/>
      <c r="S3466" s="73"/>
      <c r="T3466" s="73"/>
      <c r="U3466" s="73"/>
      <c r="V3466" s="73"/>
      <c r="W3466" s="73"/>
      <c r="X3466" s="73"/>
      <c r="Y3466" s="73"/>
      <c r="Z3466" s="73"/>
      <c r="AA3466" s="73"/>
      <c r="AB3466" s="73"/>
    </row>
    <row r="3467">
      <c r="A3467" s="73"/>
      <c r="B3467" s="73">
        <v>4385115.69</v>
      </c>
      <c r="C3467" s="73">
        <v>3.36513812092682E8</v>
      </c>
      <c r="D3467" s="73">
        <v>1.60150385495991E8</v>
      </c>
      <c r="E3467" s="73">
        <v>2.16236046034599E7</v>
      </c>
      <c r="F3467" s="73"/>
      <c r="G3467" s="73"/>
      <c r="H3467" s="73"/>
      <c r="I3467" s="73"/>
      <c r="J3467" s="73"/>
      <c r="K3467" s="73"/>
      <c r="L3467" s="73"/>
      <c r="M3467" s="73"/>
      <c r="N3467" s="73"/>
      <c r="O3467" s="73"/>
      <c r="P3467" s="73"/>
      <c r="Q3467" s="73"/>
      <c r="R3467" s="73"/>
      <c r="S3467" s="73"/>
      <c r="T3467" s="73"/>
      <c r="U3467" s="73"/>
      <c r="V3467" s="73"/>
      <c r="W3467" s="73"/>
      <c r="X3467" s="73"/>
      <c r="Y3467" s="73"/>
      <c r="Z3467" s="73"/>
      <c r="AA3467" s="73"/>
      <c r="AB3467" s="73"/>
    </row>
    <row r="3468">
      <c r="A3468" s="73"/>
      <c r="B3468" s="73">
        <v>4390906.446</v>
      </c>
      <c r="C3468" s="73">
        <v>3.36778085365341E8</v>
      </c>
      <c r="D3468" s="73">
        <v>1.60303564035999E8</v>
      </c>
      <c r="E3468" s="73">
        <v>2.16462801154519E7</v>
      </c>
      <c r="F3468" s="73"/>
      <c r="G3468" s="73"/>
      <c r="H3468" s="73"/>
      <c r="I3468" s="73"/>
      <c r="J3468" s="73"/>
      <c r="K3468" s="73"/>
      <c r="L3468" s="73"/>
      <c r="M3468" s="73"/>
      <c r="N3468" s="73"/>
      <c r="O3468" s="73"/>
      <c r="P3468" s="73"/>
      <c r="Q3468" s="73"/>
      <c r="R3468" s="73"/>
      <c r="S3468" s="73"/>
      <c r="T3468" s="73"/>
      <c r="U3468" s="73"/>
      <c r="V3468" s="73"/>
      <c r="W3468" s="73"/>
      <c r="X3468" s="73"/>
      <c r="Y3468" s="73"/>
      <c r="Z3468" s="73"/>
      <c r="AA3468" s="73"/>
      <c r="AB3468" s="73"/>
    </row>
    <row r="3469">
      <c r="A3469" s="73"/>
      <c r="B3469" s="73">
        <v>4396703.657</v>
      </c>
      <c r="C3469" s="73">
        <v>3.37042556397995E8</v>
      </c>
      <c r="D3469" s="73">
        <v>1.60456835343993E8</v>
      </c>
      <c r="E3469" s="73">
        <v>2.16689733540348E7</v>
      </c>
      <c r="F3469" s="73"/>
      <c r="G3469" s="73"/>
      <c r="H3469" s="73"/>
      <c r="I3469" s="73"/>
      <c r="J3469" s="73"/>
      <c r="K3469" s="73"/>
      <c r="L3469" s="73"/>
      <c r="M3469" s="73"/>
      <c r="N3469" s="73"/>
      <c r="O3469" s="73"/>
      <c r="P3469" s="73"/>
      <c r="Q3469" s="73"/>
      <c r="R3469" s="73"/>
      <c r="S3469" s="73"/>
      <c r="T3469" s="73"/>
      <c r="U3469" s="73"/>
      <c r="V3469" s="73"/>
      <c r="W3469" s="73"/>
      <c r="X3469" s="73"/>
      <c r="Y3469" s="73"/>
      <c r="Z3469" s="73"/>
      <c r="AA3469" s="73"/>
      <c r="AB3469" s="73"/>
    </row>
    <row r="3470">
      <c r="A3470" s="73"/>
      <c r="B3470" s="73">
        <v>4402507.263</v>
      </c>
      <c r="C3470" s="73">
        <v>3.37307093350647E8</v>
      </c>
      <c r="D3470" s="73">
        <v>1.60610199724001E8</v>
      </c>
      <c r="E3470" s="73">
        <v>2.16916851248088E7</v>
      </c>
      <c r="F3470" s="73"/>
      <c r="G3470" s="73"/>
      <c r="H3470" s="73"/>
      <c r="I3470" s="73"/>
      <c r="J3470" s="73"/>
      <c r="K3470" s="73"/>
      <c r="L3470" s="73"/>
      <c r="M3470" s="73"/>
      <c r="N3470" s="73"/>
      <c r="O3470" s="73"/>
      <c r="P3470" s="73"/>
      <c r="Q3470" s="73"/>
      <c r="R3470" s="73"/>
      <c r="S3470" s="73"/>
      <c r="T3470" s="73"/>
      <c r="U3470" s="73"/>
      <c r="V3470" s="73"/>
      <c r="W3470" s="73"/>
      <c r="X3470" s="73"/>
      <c r="Y3470" s="73"/>
      <c r="Z3470" s="73"/>
      <c r="AA3470" s="73"/>
      <c r="AB3470" s="73"/>
    </row>
    <row r="3471">
      <c r="A3471" s="73"/>
      <c r="B3471" s="73">
        <v>4408317.205</v>
      </c>
      <c r="C3471" s="73">
        <v>3.37571795103294E8</v>
      </c>
      <c r="D3471" s="73">
        <v>1.60763657031995E8</v>
      </c>
      <c r="E3471" s="73">
        <v>2.17144142541419E7</v>
      </c>
      <c r="F3471" s="73"/>
      <c r="G3471" s="73"/>
      <c r="H3471" s="73"/>
      <c r="I3471" s="73"/>
      <c r="J3471" s="73"/>
      <c r="K3471" s="73"/>
      <c r="L3471" s="73"/>
      <c r="M3471" s="73"/>
      <c r="N3471" s="73"/>
      <c r="O3471" s="73"/>
      <c r="P3471" s="73"/>
      <c r="Q3471" s="73"/>
      <c r="R3471" s="73"/>
      <c r="S3471" s="73"/>
      <c r="T3471" s="73"/>
      <c r="U3471" s="73"/>
      <c r="V3471" s="73"/>
      <c r="W3471" s="73"/>
      <c r="X3471" s="73"/>
      <c r="Y3471" s="73"/>
      <c r="Z3471" s="73"/>
      <c r="AA3471" s="73"/>
      <c r="AB3471" s="73"/>
    </row>
    <row r="3472">
      <c r="A3472" s="73"/>
      <c r="B3472" s="73">
        <v>4414133.78</v>
      </c>
      <c r="C3472" s="73">
        <v>3.37836595735939E8</v>
      </c>
      <c r="D3472" s="73">
        <v>1.60917217492003E8</v>
      </c>
      <c r="E3472" s="73">
        <v>2.17371618732659E7</v>
      </c>
      <c r="F3472" s="73"/>
      <c r="G3472" s="73"/>
      <c r="H3472" s="73"/>
      <c r="I3472" s="73"/>
      <c r="J3472" s="73"/>
      <c r="K3472" s="73"/>
      <c r="L3472" s="73"/>
      <c r="M3472" s="73"/>
      <c r="N3472" s="73"/>
      <c r="O3472" s="73"/>
      <c r="P3472" s="73"/>
      <c r="Q3472" s="73"/>
      <c r="R3472" s="73"/>
      <c r="S3472" s="73"/>
      <c r="T3472" s="73"/>
      <c r="U3472" s="73"/>
      <c r="V3472" s="73"/>
      <c r="W3472" s="73"/>
      <c r="X3472" s="73"/>
      <c r="Y3472" s="73"/>
      <c r="Z3472" s="73"/>
      <c r="AA3472" s="73"/>
      <c r="AB3472" s="73"/>
    </row>
    <row r="3473">
      <c r="A3473" s="73"/>
      <c r="B3473" s="73">
        <v>4419956.74</v>
      </c>
      <c r="C3473" s="73">
        <v>3.38101561168579E8</v>
      </c>
      <c r="D3473" s="73">
        <v>1.61070870879996E8</v>
      </c>
      <c r="E3473" s="73">
        <v>2.1759926540581E7</v>
      </c>
      <c r="F3473" s="73"/>
      <c r="G3473" s="73"/>
      <c r="H3473" s="73"/>
      <c r="I3473" s="73"/>
      <c r="J3473" s="73"/>
      <c r="K3473" s="73"/>
      <c r="L3473" s="73"/>
      <c r="M3473" s="73"/>
      <c r="N3473" s="73"/>
      <c r="O3473" s="73"/>
      <c r="P3473" s="73"/>
      <c r="Q3473" s="73"/>
      <c r="R3473" s="73"/>
      <c r="S3473" s="73"/>
      <c r="T3473" s="73"/>
      <c r="U3473" s="73"/>
      <c r="V3473" s="73"/>
      <c r="W3473" s="73"/>
      <c r="X3473" s="73"/>
      <c r="Y3473" s="73"/>
      <c r="Z3473" s="73"/>
      <c r="AA3473" s="73"/>
      <c r="AB3473" s="73"/>
    </row>
    <row r="3474">
      <c r="A3474" s="73"/>
      <c r="B3474" s="73">
        <v>4425786.234</v>
      </c>
      <c r="C3474" s="73">
        <v>3.38366625481216E8</v>
      </c>
      <c r="D3474" s="73">
        <v>1.6122461733999E8</v>
      </c>
      <c r="E3474" s="73">
        <v>2.17827094992552E7</v>
      </c>
      <c r="F3474" s="73"/>
      <c r="G3474" s="73"/>
      <c r="H3474" s="73"/>
      <c r="I3474" s="73"/>
      <c r="J3474" s="73"/>
      <c r="K3474" s="73"/>
      <c r="L3474" s="73"/>
      <c r="M3474" s="73"/>
      <c r="N3474" s="73"/>
      <c r="O3474" s="73"/>
      <c r="P3474" s="73"/>
      <c r="Q3474" s="73"/>
      <c r="R3474" s="73"/>
      <c r="S3474" s="73"/>
      <c r="T3474" s="73"/>
      <c r="U3474" s="73"/>
      <c r="V3474" s="73"/>
      <c r="W3474" s="73"/>
      <c r="X3474" s="73"/>
      <c r="Y3474" s="73"/>
      <c r="Z3474" s="73"/>
      <c r="AA3474" s="73"/>
      <c r="AB3474" s="73"/>
    </row>
    <row r="3475">
      <c r="A3475" s="73"/>
      <c r="B3475" s="73">
        <v>4431622.163</v>
      </c>
      <c r="C3475" s="73">
        <v>3.3863182163385E8</v>
      </c>
      <c r="D3475" s="73">
        <v>1.61378456567998E8</v>
      </c>
      <c r="E3475" s="73">
        <v>2.18055103965204E7</v>
      </c>
      <c r="F3475" s="73"/>
      <c r="G3475" s="73"/>
      <c r="H3475" s="73"/>
      <c r="I3475" s="73"/>
      <c r="J3475" s="73"/>
      <c r="K3475" s="73"/>
      <c r="L3475" s="73"/>
      <c r="M3475" s="73"/>
      <c r="N3475" s="73"/>
      <c r="O3475" s="73"/>
      <c r="P3475" s="73"/>
      <c r="Q3475" s="73"/>
      <c r="R3475" s="73"/>
      <c r="S3475" s="73"/>
      <c r="T3475" s="73"/>
      <c r="U3475" s="73"/>
      <c r="V3475" s="73"/>
      <c r="W3475" s="73"/>
      <c r="X3475" s="73"/>
      <c r="Y3475" s="73"/>
      <c r="Z3475" s="73"/>
      <c r="AA3475" s="73"/>
      <c r="AB3475" s="73"/>
    </row>
    <row r="3476">
      <c r="A3476" s="73"/>
      <c r="B3476" s="73">
        <v>4437464.475</v>
      </c>
      <c r="C3476" s="73">
        <v>3.38897215546478E8</v>
      </c>
      <c r="D3476" s="73">
        <v>1.61532398963991E8</v>
      </c>
      <c r="E3476" s="73">
        <v>2.18283292747766E7</v>
      </c>
      <c r="F3476" s="73"/>
      <c r="G3476" s="73"/>
      <c r="H3476" s="73"/>
      <c r="I3476" s="73"/>
      <c r="J3476" s="73"/>
      <c r="K3476" s="73"/>
      <c r="L3476" s="73"/>
      <c r="M3476" s="73"/>
      <c r="N3476" s="73"/>
      <c r="O3476" s="73"/>
      <c r="P3476" s="73"/>
      <c r="Q3476" s="73"/>
      <c r="R3476" s="73"/>
      <c r="S3476" s="73"/>
      <c r="T3476" s="73"/>
      <c r="U3476" s="73"/>
      <c r="V3476" s="73"/>
      <c r="W3476" s="73"/>
      <c r="X3476" s="73"/>
      <c r="Y3476" s="73"/>
      <c r="Z3476" s="73"/>
      <c r="AA3476" s="73"/>
      <c r="AB3476" s="73"/>
    </row>
    <row r="3477">
      <c r="A3477" s="73"/>
      <c r="B3477" s="73">
        <v>4443313.323</v>
      </c>
      <c r="C3477" s="73">
        <v>3.39162675379105E8</v>
      </c>
      <c r="D3477" s="73">
        <v>1.61686424032E8</v>
      </c>
      <c r="E3477" s="73">
        <v>2.18511660203918E7</v>
      </c>
      <c r="F3477" s="73"/>
      <c r="G3477" s="73"/>
      <c r="H3477" s="73"/>
      <c r="I3477" s="73"/>
      <c r="J3477" s="73"/>
      <c r="K3477" s="73"/>
      <c r="L3477" s="73"/>
      <c r="M3477" s="73"/>
      <c r="N3477" s="73"/>
      <c r="O3477" s="73"/>
      <c r="P3477" s="73"/>
      <c r="Q3477" s="73"/>
      <c r="R3477" s="73"/>
      <c r="S3477" s="73"/>
      <c r="T3477" s="73"/>
      <c r="U3477" s="73"/>
      <c r="V3477" s="73"/>
      <c r="W3477" s="73"/>
      <c r="X3477" s="73"/>
      <c r="Y3477" s="73"/>
      <c r="Z3477" s="73"/>
      <c r="AA3477" s="73"/>
      <c r="AB3477" s="73"/>
    </row>
    <row r="3478">
      <c r="A3478" s="73"/>
      <c r="B3478" s="73">
        <v>4449168.633</v>
      </c>
      <c r="C3478" s="73">
        <v>3.39428267051727E8</v>
      </c>
      <c r="D3478" s="73">
        <v>1.61840552571993E8</v>
      </c>
      <c r="E3478" s="73">
        <v>2.18740204925981E7</v>
      </c>
      <c r="F3478" s="73"/>
      <c r="G3478" s="73"/>
      <c r="H3478" s="73"/>
      <c r="I3478" s="73"/>
      <c r="J3478" s="73"/>
      <c r="K3478" s="73"/>
      <c r="L3478" s="73"/>
      <c r="M3478" s="73"/>
      <c r="N3478" s="73"/>
      <c r="O3478" s="73"/>
      <c r="P3478" s="73"/>
      <c r="Q3478" s="73"/>
      <c r="R3478" s="73"/>
      <c r="S3478" s="73"/>
      <c r="T3478" s="73"/>
      <c r="U3478" s="73"/>
      <c r="V3478" s="73"/>
      <c r="W3478" s="73"/>
      <c r="X3478" s="73"/>
      <c r="Y3478" s="73"/>
      <c r="Z3478" s="73"/>
      <c r="AA3478" s="73"/>
      <c r="AB3478" s="73"/>
    </row>
    <row r="3479">
      <c r="A3479" s="73"/>
      <c r="B3479" s="73">
        <v>4455030.308</v>
      </c>
      <c r="C3479" s="73">
        <v>3.39694023524345E8</v>
      </c>
      <c r="D3479" s="73">
        <v>1.61994773880002E8</v>
      </c>
      <c r="E3479" s="73">
        <v>2.18968929033954E7</v>
      </c>
      <c r="F3479" s="73"/>
      <c r="G3479" s="73"/>
      <c r="H3479" s="73"/>
      <c r="I3479" s="73"/>
      <c r="J3479" s="73"/>
      <c r="K3479" s="73"/>
      <c r="L3479" s="73"/>
      <c r="M3479" s="73"/>
      <c r="N3479" s="73"/>
      <c r="O3479" s="73"/>
      <c r="P3479" s="73"/>
      <c r="Q3479" s="73"/>
      <c r="R3479" s="73"/>
      <c r="S3479" s="73"/>
      <c r="T3479" s="73"/>
      <c r="U3479" s="73"/>
      <c r="V3479" s="73"/>
      <c r="W3479" s="73"/>
      <c r="X3479" s="73"/>
      <c r="Y3479" s="73"/>
      <c r="Z3479" s="73"/>
      <c r="AA3479" s="73"/>
      <c r="AB3479" s="73"/>
    </row>
    <row r="3480">
      <c r="A3480" s="73"/>
      <c r="B3480" s="73">
        <v>4460898.536</v>
      </c>
      <c r="C3480" s="73">
        <v>3.39959878876961E8</v>
      </c>
      <c r="D3480" s="73">
        <v>1.62149098339995E8</v>
      </c>
      <c r="E3480" s="73">
        <v>2.19197835207517E7</v>
      </c>
      <c r="F3480" s="73"/>
      <c r="G3480" s="73"/>
      <c r="H3480" s="73"/>
      <c r="I3480" s="73"/>
      <c r="J3480" s="73"/>
      <c r="K3480" s="73"/>
      <c r="L3480" s="73"/>
      <c r="M3480" s="73"/>
      <c r="N3480" s="73"/>
      <c r="O3480" s="73"/>
      <c r="P3480" s="73"/>
      <c r="Q3480" s="73"/>
      <c r="R3480" s="73"/>
      <c r="S3480" s="73"/>
      <c r="T3480" s="73"/>
      <c r="U3480" s="73"/>
      <c r="V3480" s="73"/>
      <c r="W3480" s="73"/>
      <c r="X3480" s="73"/>
      <c r="Y3480" s="73"/>
      <c r="Z3480" s="73"/>
      <c r="AA3480" s="73"/>
      <c r="AB3480" s="73"/>
    </row>
    <row r="3481">
      <c r="A3481" s="73"/>
      <c r="B3481" s="73">
        <v>4466773.297</v>
      </c>
      <c r="C3481" s="73">
        <v>3.40225866069572E8</v>
      </c>
      <c r="D3481" s="73">
        <v>1.62303505488004E8</v>
      </c>
      <c r="E3481" s="73">
        <v>2.1942692699131E7</v>
      </c>
      <c r="F3481" s="73"/>
      <c r="G3481" s="73"/>
      <c r="H3481" s="73"/>
      <c r="I3481" s="73"/>
      <c r="J3481" s="73"/>
      <c r="K3481" s="73"/>
      <c r="L3481" s="73"/>
      <c r="M3481" s="73"/>
      <c r="N3481" s="73"/>
      <c r="O3481" s="73"/>
      <c r="P3481" s="73"/>
      <c r="Q3481" s="73"/>
      <c r="R3481" s="73"/>
      <c r="S3481" s="73"/>
      <c r="T3481" s="73"/>
      <c r="U3481" s="73"/>
      <c r="V3481" s="73"/>
      <c r="W3481" s="73"/>
      <c r="X3481" s="73"/>
      <c r="Y3481" s="73"/>
      <c r="Z3481" s="73"/>
      <c r="AA3481" s="73"/>
      <c r="AB3481" s="73"/>
    </row>
    <row r="3482">
      <c r="A3482" s="73"/>
      <c r="B3482" s="73">
        <v>4472654.553</v>
      </c>
      <c r="C3482" s="73">
        <v>3.4049201806218E8</v>
      </c>
      <c r="D3482" s="73">
        <v>1.62458015803997E8</v>
      </c>
      <c r="E3482" s="73">
        <v>2.19656182320375E7</v>
      </c>
      <c r="F3482" s="73"/>
      <c r="G3482" s="73"/>
      <c r="H3482" s="73"/>
      <c r="I3482" s="73"/>
      <c r="J3482" s="73"/>
      <c r="K3482" s="73"/>
      <c r="L3482" s="73"/>
      <c r="M3482" s="73"/>
      <c r="N3482" s="73"/>
      <c r="O3482" s="73"/>
      <c r="P3482" s="73"/>
      <c r="Q3482" s="73"/>
      <c r="R3482" s="73"/>
      <c r="S3482" s="73"/>
      <c r="T3482" s="73"/>
      <c r="U3482" s="73"/>
      <c r="V3482" s="73"/>
      <c r="W3482" s="73"/>
      <c r="X3482" s="73"/>
      <c r="Y3482" s="73"/>
      <c r="Z3482" s="73"/>
      <c r="AA3482" s="73"/>
      <c r="AB3482" s="73"/>
    </row>
    <row r="3483">
      <c r="A3483" s="73"/>
      <c r="B3483" s="73">
        <v>4478542.151</v>
      </c>
      <c r="C3483" s="73">
        <v>3.40758301894783E8</v>
      </c>
      <c r="D3483" s="73">
        <v>1.6261262957599E8</v>
      </c>
      <c r="E3483" s="73">
        <v>2.19885627923669E7</v>
      </c>
      <c r="F3483" s="73"/>
      <c r="G3483" s="73"/>
      <c r="H3483" s="73"/>
      <c r="I3483" s="73"/>
      <c r="J3483" s="73"/>
      <c r="K3483" s="73"/>
      <c r="L3483" s="73"/>
      <c r="M3483" s="73"/>
      <c r="N3483" s="73"/>
      <c r="O3483" s="73"/>
      <c r="P3483" s="73"/>
      <c r="Q3483" s="73"/>
      <c r="R3483" s="73"/>
      <c r="S3483" s="73"/>
      <c r="T3483" s="73"/>
      <c r="U3483" s="73"/>
      <c r="V3483" s="73"/>
      <c r="W3483" s="73"/>
      <c r="X3483" s="73"/>
      <c r="Y3483" s="73"/>
      <c r="Z3483" s="73"/>
      <c r="AA3483" s="73"/>
      <c r="AB3483" s="73"/>
    </row>
    <row r="3484">
      <c r="A3484" s="73"/>
      <c r="B3484" s="73">
        <v>4484436.273</v>
      </c>
      <c r="C3484" s="73">
        <v>3.41024651647385E8</v>
      </c>
      <c r="D3484" s="73">
        <v>1.62767325731999E8</v>
      </c>
      <c r="E3484" s="73">
        <v>2.20115249232554E7</v>
      </c>
      <c r="F3484" s="73"/>
      <c r="G3484" s="73"/>
      <c r="H3484" s="73"/>
      <c r="I3484" s="73"/>
      <c r="J3484" s="73"/>
      <c r="K3484" s="73"/>
      <c r="L3484" s="73"/>
      <c r="M3484" s="73"/>
      <c r="N3484" s="73"/>
      <c r="O3484" s="73"/>
      <c r="P3484" s="73"/>
      <c r="Q3484" s="73"/>
      <c r="R3484" s="73"/>
      <c r="S3484" s="73"/>
      <c r="T3484" s="73"/>
      <c r="U3484" s="73"/>
      <c r="V3484" s="73"/>
      <c r="W3484" s="73"/>
      <c r="X3484" s="73"/>
      <c r="Y3484" s="73"/>
      <c r="Z3484" s="73"/>
      <c r="AA3484" s="73"/>
      <c r="AB3484" s="73"/>
    </row>
    <row r="3485">
      <c r="A3485" s="73"/>
      <c r="B3485" s="73">
        <v>4490337.028</v>
      </c>
      <c r="C3485" s="73">
        <v>3.41291199159981E8</v>
      </c>
      <c r="D3485" s="73">
        <v>1.62922125039992E8</v>
      </c>
      <c r="E3485" s="73">
        <v>2.20345050351349E7</v>
      </c>
      <c r="F3485" s="73"/>
      <c r="G3485" s="73"/>
      <c r="H3485" s="73"/>
      <c r="I3485" s="73"/>
      <c r="J3485" s="73"/>
      <c r="K3485" s="73"/>
      <c r="L3485" s="73"/>
      <c r="M3485" s="73"/>
      <c r="N3485" s="73"/>
      <c r="O3485" s="73"/>
      <c r="P3485" s="73"/>
      <c r="Q3485" s="73"/>
      <c r="R3485" s="73"/>
      <c r="S3485" s="73"/>
      <c r="T3485" s="73"/>
      <c r="U3485" s="73"/>
      <c r="V3485" s="73"/>
      <c r="W3485" s="73"/>
      <c r="X3485" s="73"/>
      <c r="Y3485" s="73"/>
      <c r="Z3485" s="73"/>
      <c r="AA3485" s="73"/>
      <c r="AB3485" s="73"/>
    </row>
    <row r="3486">
      <c r="A3486" s="73"/>
      <c r="B3486" s="73">
        <v>4496244.195</v>
      </c>
      <c r="C3486" s="73">
        <v>3.41557878512573E8</v>
      </c>
      <c r="D3486" s="73">
        <v>1.63077017580001E8</v>
      </c>
      <c r="E3486" s="73">
        <v>2.20575037640054E7</v>
      </c>
      <c r="F3486" s="73"/>
      <c r="G3486" s="73"/>
      <c r="H3486" s="73"/>
      <c r="I3486" s="73"/>
      <c r="J3486" s="73"/>
      <c r="K3486" s="73"/>
      <c r="L3486" s="73"/>
      <c r="M3486" s="73"/>
      <c r="N3486" s="73"/>
      <c r="O3486" s="73"/>
      <c r="P3486" s="73"/>
      <c r="Q3486" s="73"/>
      <c r="R3486" s="73"/>
      <c r="S3486" s="73"/>
      <c r="T3486" s="73"/>
      <c r="U3486" s="73"/>
      <c r="V3486" s="73"/>
      <c r="W3486" s="73"/>
      <c r="X3486" s="73"/>
      <c r="Y3486" s="73"/>
      <c r="Z3486" s="73"/>
      <c r="AA3486" s="73"/>
      <c r="AB3486" s="73"/>
    </row>
    <row r="3487">
      <c r="A3487" s="73"/>
      <c r="B3487" s="73">
        <v>4502157.725</v>
      </c>
      <c r="C3487" s="73">
        <v>3.41824656745163E8</v>
      </c>
      <c r="D3487" s="73">
        <v>1.63232002887994E8</v>
      </c>
      <c r="E3487" s="73">
        <v>2.20805196818349E7</v>
      </c>
      <c r="F3487" s="73"/>
      <c r="G3487" s="73"/>
      <c r="H3487" s="73"/>
      <c r="I3487" s="73"/>
      <c r="J3487" s="73"/>
      <c r="K3487" s="73"/>
      <c r="L3487" s="73"/>
      <c r="M3487" s="73"/>
      <c r="N3487" s="73"/>
      <c r="O3487" s="73"/>
      <c r="P3487" s="73"/>
      <c r="Q3487" s="73"/>
      <c r="R3487" s="73"/>
      <c r="S3487" s="73"/>
      <c r="T3487" s="73"/>
      <c r="U3487" s="73"/>
      <c r="V3487" s="73"/>
      <c r="W3487" s="73"/>
      <c r="X3487" s="73"/>
      <c r="Y3487" s="73"/>
      <c r="Z3487" s="73"/>
      <c r="AA3487" s="73"/>
      <c r="AB3487" s="73"/>
    </row>
    <row r="3488">
      <c r="A3488" s="73"/>
      <c r="B3488" s="73">
        <v>4508077.91</v>
      </c>
      <c r="C3488" s="73">
        <v>3.42091599777748E8</v>
      </c>
      <c r="D3488" s="73">
        <v>1.63387081268002E8</v>
      </c>
      <c r="E3488" s="73">
        <v>2.21035545846875E7</v>
      </c>
      <c r="F3488" s="73"/>
      <c r="G3488" s="73"/>
      <c r="H3488" s="73"/>
      <c r="I3488" s="73"/>
      <c r="J3488" s="73"/>
      <c r="K3488" s="73"/>
      <c r="L3488" s="73"/>
      <c r="M3488" s="73"/>
      <c r="N3488" s="73"/>
      <c r="O3488" s="73"/>
      <c r="P3488" s="73"/>
      <c r="Q3488" s="73"/>
      <c r="R3488" s="73"/>
      <c r="S3488" s="73"/>
      <c r="T3488" s="73"/>
      <c r="U3488" s="73"/>
      <c r="V3488" s="73"/>
      <c r="W3488" s="73"/>
      <c r="X3488" s="73"/>
      <c r="Y3488" s="73"/>
      <c r="Z3488" s="73"/>
      <c r="AA3488" s="73"/>
      <c r="AB3488" s="73"/>
    </row>
    <row r="3489">
      <c r="A3489" s="73"/>
      <c r="B3489" s="73">
        <v>4514004.546</v>
      </c>
      <c r="C3489" s="73">
        <v>3.42358641690331E8</v>
      </c>
      <c r="D3489" s="73">
        <v>1.63542262655996E8</v>
      </c>
      <c r="E3489" s="73">
        <v>2.21266060540671E7</v>
      </c>
      <c r="F3489" s="73"/>
      <c r="G3489" s="73"/>
      <c r="H3489" s="73"/>
      <c r="I3489" s="73"/>
      <c r="J3489" s="73"/>
      <c r="K3489" s="73"/>
      <c r="L3489" s="73"/>
      <c r="M3489" s="73"/>
      <c r="N3489" s="73"/>
      <c r="O3489" s="73"/>
      <c r="P3489" s="73"/>
      <c r="Q3489" s="73"/>
      <c r="R3489" s="73"/>
      <c r="S3489" s="73"/>
      <c r="T3489" s="73"/>
      <c r="U3489" s="73"/>
      <c r="V3489" s="73"/>
      <c r="W3489" s="73"/>
      <c r="X3489" s="73"/>
      <c r="Y3489" s="73"/>
      <c r="Z3489" s="73"/>
      <c r="AA3489" s="73"/>
      <c r="AB3489" s="73"/>
    </row>
    <row r="3490">
      <c r="A3490" s="73"/>
      <c r="B3490" s="73">
        <v>4519937.663</v>
      </c>
      <c r="C3490" s="73">
        <v>3.42625815442909E8</v>
      </c>
      <c r="D3490" s="73">
        <v>1.63697536972004E8</v>
      </c>
      <c r="E3490" s="73">
        <v>2.21496765084697E7</v>
      </c>
      <c r="F3490" s="73"/>
      <c r="G3490" s="73"/>
      <c r="H3490" s="73"/>
      <c r="I3490" s="73"/>
      <c r="J3490" s="73"/>
      <c r="K3490" s="73"/>
      <c r="L3490" s="73"/>
      <c r="M3490" s="73"/>
      <c r="N3490" s="73"/>
      <c r="O3490" s="73"/>
      <c r="P3490" s="73"/>
      <c r="Q3490" s="73"/>
      <c r="R3490" s="73"/>
      <c r="S3490" s="73"/>
      <c r="T3490" s="73"/>
      <c r="U3490" s="73"/>
      <c r="V3490" s="73"/>
      <c r="W3490" s="73"/>
      <c r="X3490" s="73"/>
      <c r="Y3490" s="73"/>
      <c r="Z3490" s="73"/>
      <c r="AA3490" s="73"/>
      <c r="AB3490" s="73"/>
    </row>
    <row r="3491">
      <c r="A3491" s="73"/>
      <c r="B3491" s="73">
        <v>4525877.135</v>
      </c>
      <c r="C3491" s="73">
        <v>3.42893121035484E8</v>
      </c>
      <c r="D3491" s="73">
        <v>1.63852904359998E8</v>
      </c>
      <c r="E3491" s="73">
        <v>2.21727646182314E7</v>
      </c>
      <c r="F3491" s="73"/>
      <c r="G3491" s="73"/>
      <c r="H3491" s="73"/>
      <c r="I3491" s="73"/>
      <c r="J3491" s="73"/>
      <c r="K3491" s="73"/>
      <c r="L3491" s="73"/>
      <c r="M3491" s="73"/>
      <c r="N3491" s="73"/>
      <c r="O3491" s="73"/>
      <c r="P3491" s="73"/>
      <c r="Q3491" s="73"/>
      <c r="R3491" s="73"/>
      <c r="S3491" s="73"/>
      <c r="T3491" s="73"/>
      <c r="U3491" s="73"/>
      <c r="V3491" s="73"/>
      <c r="W3491" s="73"/>
      <c r="X3491" s="73"/>
      <c r="Y3491" s="73"/>
      <c r="Z3491" s="73"/>
      <c r="AA3491" s="73"/>
      <c r="AB3491" s="73"/>
    </row>
    <row r="3492">
      <c r="A3492" s="73"/>
      <c r="B3492" s="73">
        <v>4531823.308</v>
      </c>
      <c r="C3492" s="73">
        <v>3.43160558468056E8</v>
      </c>
      <c r="D3492" s="73">
        <v>1.64008374899991E8</v>
      </c>
      <c r="E3492" s="73">
        <v>2.21958706665841E7</v>
      </c>
      <c r="F3492" s="73"/>
      <c r="G3492" s="73"/>
      <c r="H3492" s="73"/>
      <c r="I3492" s="73"/>
      <c r="J3492" s="73"/>
      <c r="K3492" s="73"/>
      <c r="L3492" s="73"/>
      <c r="M3492" s="73"/>
      <c r="N3492" s="73"/>
      <c r="O3492" s="73"/>
      <c r="P3492" s="73"/>
      <c r="Q3492" s="73"/>
      <c r="R3492" s="73"/>
      <c r="S3492" s="73"/>
      <c r="T3492" s="73"/>
      <c r="U3492" s="73"/>
      <c r="V3492" s="73"/>
      <c r="W3492" s="73"/>
      <c r="X3492" s="73"/>
      <c r="Y3492" s="73"/>
      <c r="Z3492" s="73"/>
      <c r="AA3492" s="73"/>
      <c r="AB3492" s="73"/>
    </row>
    <row r="3493">
      <c r="A3493" s="73"/>
      <c r="B3493" s="73">
        <v>4537775.932</v>
      </c>
      <c r="C3493" s="73">
        <v>3.43428160700623E8</v>
      </c>
      <c r="D3493" s="73">
        <v>1.64163938367999E8</v>
      </c>
      <c r="E3493" s="73">
        <v>2.22189949503278E7</v>
      </c>
      <c r="F3493" s="73"/>
      <c r="G3493" s="73"/>
      <c r="H3493" s="73"/>
      <c r="I3493" s="73"/>
      <c r="J3493" s="73"/>
      <c r="K3493" s="73"/>
      <c r="L3493" s="73"/>
      <c r="M3493" s="73"/>
      <c r="N3493" s="73"/>
      <c r="O3493" s="73"/>
      <c r="P3493" s="73"/>
      <c r="Q3493" s="73"/>
      <c r="R3493" s="73"/>
      <c r="S3493" s="73"/>
      <c r="T3493" s="73"/>
      <c r="U3493" s="73"/>
      <c r="V3493" s="73"/>
      <c r="W3493" s="73"/>
      <c r="X3493" s="73"/>
      <c r="Y3493" s="73"/>
      <c r="Z3493" s="73"/>
      <c r="AA3493" s="73"/>
      <c r="AB3493" s="73"/>
    </row>
    <row r="3494">
      <c r="A3494" s="73"/>
      <c r="B3494" s="73">
        <v>4543735.109</v>
      </c>
      <c r="C3494" s="73">
        <v>3.43695894773186E8</v>
      </c>
      <c r="D3494" s="73">
        <v>1.64319594907993E8</v>
      </c>
      <c r="E3494" s="73">
        <v>2.22421373982305E7</v>
      </c>
      <c r="F3494" s="73"/>
      <c r="G3494" s="73"/>
      <c r="H3494" s="73"/>
      <c r="I3494" s="73"/>
      <c r="J3494" s="73"/>
      <c r="K3494" s="73"/>
      <c r="L3494" s="73"/>
      <c r="M3494" s="73"/>
      <c r="N3494" s="73"/>
      <c r="O3494" s="73"/>
      <c r="P3494" s="73"/>
      <c r="Q3494" s="73"/>
      <c r="R3494" s="73"/>
      <c r="S3494" s="73"/>
      <c r="T3494" s="73"/>
      <c r="U3494" s="73"/>
      <c r="V3494" s="73"/>
      <c r="W3494" s="73"/>
      <c r="X3494" s="73"/>
      <c r="Y3494" s="73"/>
      <c r="Z3494" s="73"/>
      <c r="AA3494" s="73"/>
      <c r="AB3494" s="73"/>
    </row>
    <row r="3495">
      <c r="A3495" s="73"/>
      <c r="B3495" s="73">
        <v>4549700.688</v>
      </c>
      <c r="C3495" s="73">
        <v>3.43963760685745E8</v>
      </c>
      <c r="D3495" s="73">
        <v>1.64475344216001E8</v>
      </c>
      <c r="E3495" s="73">
        <v>2.22652975727243E7</v>
      </c>
      <c r="F3495" s="73"/>
      <c r="G3495" s="73"/>
      <c r="H3495" s="73"/>
      <c r="I3495" s="73"/>
      <c r="J3495" s="73"/>
      <c r="K3495" s="73"/>
      <c r="L3495" s="73"/>
      <c r="M3495" s="73"/>
      <c r="N3495" s="73"/>
      <c r="O3495" s="73"/>
      <c r="P3495" s="73"/>
      <c r="Q3495" s="73"/>
      <c r="R3495" s="73"/>
      <c r="S3495" s="73"/>
      <c r="T3495" s="73"/>
      <c r="U3495" s="73"/>
      <c r="V3495" s="73"/>
      <c r="W3495" s="73"/>
      <c r="X3495" s="73"/>
      <c r="Y3495" s="73"/>
      <c r="Z3495" s="73"/>
      <c r="AA3495" s="73"/>
      <c r="AB3495" s="73"/>
    </row>
    <row r="3496">
      <c r="A3496" s="73"/>
      <c r="B3496" s="73">
        <v>4555672.9</v>
      </c>
      <c r="C3496" s="73">
        <v>3.44231725478302E8</v>
      </c>
      <c r="D3496" s="73">
        <v>1.64631196691995E8</v>
      </c>
      <c r="E3496" s="73">
        <v>2.22884757706091E7</v>
      </c>
      <c r="F3496" s="73"/>
      <c r="G3496" s="73"/>
      <c r="H3496" s="73"/>
      <c r="I3496" s="73"/>
      <c r="J3496" s="73"/>
      <c r="K3496" s="73"/>
      <c r="L3496" s="73"/>
      <c r="M3496" s="73"/>
      <c r="N3496" s="73"/>
      <c r="O3496" s="73"/>
      <c r="P3496" s="73"/>
      <c r="Q3496" s="73"/>
      <c r="R3496" s="73"/>
      <c r="S3496" s="73"/>
      <c r="T3496" s="73"/>
      <c r="U3496" s="73"/>
      <c r="V3496" s="73"/>
      <c r="W3496" s="73"/>
      <c r="X3496" s="73"/>
      <c r="Y3496" s="73"/>
      <c r="Z3496" s="73"/>
      <c r="AA3496" s="73"/>
      <c r="AB3496" s="73"/>
    </row>
    <row r="3497">
      <c r="A3497" s="73"/>
      <c r="B3497" s="73">
        <v>4561651.473</v>
      </c>
      <c r="C3497" s="73">
        <v>3.44499822110855E8</v>
      </c>
      <c r="D3497" s="73">
        <v>1.64787132000003E8</v>
      </c>
      <c r="E3497" s="73">
        <v>2.23116724158849E7</v>
      </c>
      <c r="F3497" s="73"/>
      <c r="G3497" s="73"/>
      <c r="H3497" s="73"/>
      <c r="I3497" s="73"/>
      <c r="J3497" s="73"/>
      <c r="K3497" s="73"/>
      <c r="L3497" s="73"/>
      <c r="M3497" s="73"/>
      <c r="N3497" s="73"/>
      <c r="O3497" s="73"/>
      <c r="P3497" s="73"/>
      <c r="Q3497" s="73"/>
      <c r="R3497" s="73"/>
      <c r="S3497" s="73"/>
      <c r="T3497" s="73"/>
      <c r="U3497" s="73"/>
      <c r="V3497" s="73"/>
      <c r="W3497" s="73"/>
      <c r="X3497" s="73"/>
      <c r="Y3497" s="73"/>
      <c r="Z3497" s="73"/>
      <c r="AA3497" s="73"/>
      <c r="AB3497" s="73"/>
    </row>
    <row r="3498">
      <c r="A3498" s="73"/>
      <c r="B3498" s="73">
        <v>4567636.726</v>
      </c>
      <c r="C3498" s="73">
        <v>3.44768050583405E8</v>
      </c>
      <c r="D3498" s="73">
        <v>1.64943180699996E8</v>
      </c>
      <c r="E3498" s="73">
        <v>2.23348867165198E7</v>
      </c>
      <c r="F3498" s="73"/>
      <c r="G3498" s="73"/>
      <c r="H3498" s="73"/>
      <c r="I3498" s="73"/>
      <c r="J3498" s="73"/>
      <c r="K3498" s="73"/>
      <c r="L3498" s="73"/>
      <c r="M3498" s="73"/>
      <c r="N3498" s="73"/>
      <c r="O3498" s="73"/>
      <c r="P3498" s="73"/>
      <c r="Q3498" s="73"/>
      <c r="R3498" s="73"/>
      <c r="S3498" s="73"/>
      <c r="T3498" s="73"/>
      <c r="U3498" s="73"/>
      <c r="V3498" s="73"/>
      <c r="W3498" s="73"/>
      <c r="X3498" s="73"/>
      <c r="Y3498" s="73"/>
      <c r="Z3498" s="73"/>
      <c r="AA3498" s="73"/>
      <c r="AB3498" s="73"/>
    </row>
    <row r="3499">
      <c r="A3499" s="73"/>
      <c r="B3499" s="73">
        <v>4573628.312</v>
      </c>
      <c r="C3499" s="73">
        <v>3.45036443855949E8</v>
      </c>
      <c r="D3499" s="73">
        <v>1.6509931208799E8</v>
      </c>
      <c r="E3499" s="73">
        <v>2.23581187013457E7</v>
      </c>
      <c r="F3499" s="73"/>
      <c r="G3499" s="73"/>
      <c r="H3499" s="73"/>
      <c r="I3499" s="73"/>
      <c r="J3499" s="73"/>
      <c r="K3499" s="73"/>
      <c r="L3499" s="73"/>
      <c r="M3499" s="73"/>
      <c r="N3499" s="73"/>
      <c r="O3499" s="73"/>
      <c r="P3499" s="73"/>
      <c r="Q3499" s="73"/>
      <c r="R3499" s="73"/>
      <c r="S3499" s="73"/>
      <c r="T3499" s="73"/>
      <c r="U3499" s="73"/>
      <c r="V3499" s="73"/>
      <c r="W3499" s="73"/>
      <c r="X3499" s="73"/>
      <c r="Y3499" s="73"/>
      <c r="Z3499" s="73"/>
      <c r="AA3499" s="73"/>
      <c r="AB3499" s="73"/>
    </row>
    <row r="3500">
      <c r="A3500" s="73"/>
      <c r="B3500" s="73">
        <v>4579626.578</v>
      </c>
      <c r="C3500" s="73">
        <v>3.45304936008492E8</v>
      </c>
      <c r="D3500" s="73">
        <v>1.65255546787998E8</v>
      </c>
      <c r="E3500" s="73">
        <v>2.23813686383306E7</v>
      </c>
      <c r="F3500" s="73"/>
      <c r="G3500" s="73"/>
      <c r="H3500" s="73"/>
      <c r="I3500" s="73"/>
      <c r="J3500" s="73"/>
      <c r="K3500" s="73"/>
      <c r="L3500" s="73"/>
      <c r="M3500" s="73"/>
      <c r="N3500" s="73"/>
      <c r="O3500" s="73"/>
      <c r="P3500" s="73"/>
      <c r="Q3500" s="73"/>
      <c r="R3500" s="73"/>
      <c r="S3500" s="73"/>
      <c r="T3500" s="73"/>
      <c r="U3500" s="73"/>
      <c r="V3500" s="73"/>
      <c r="W3500" s="73"/>
      <c r="X3500" s="73"/>
      <c r="Y3500" s="73"/>
      <c r="Z3500" s="73"/>
      <c r="AA3500" s="73"/>
      <c r="AB3500" s="73"/>
    </row>
    <row r="3501">
      <c r="A3501" s="73"/>
      <c r="B3501" s="73">
        <v>4585631.167</v>
      </c>
      <c r="C3501" s="73">
        <v>3.45573625921028E8</v>
      </c>
      <c r="D3501" s="73">
        <v>1.65411874255991E8</v>
      </c>
      <c r="E3501" s="73">
        <v>2.24046374331385E7</v>
      </c>
      <c r="F3501" s="73"/>
      <c r="G3501" s="73"/>
      <c r="H3501" s="73"/>
      <c r="I3501" s="73"/>
      <c r="J3501" s="73"/>
      <c r="K3501" s="73"/>
      <c r="L3501" s="73"/>
      <c r="M3501" s="73"/>
      <c r="N3501" s="73"/>
      <c r="O3501" s="73"/>
      <c r="P3501" s="73"/>
      <c r="Q3501" s="73"/>
      <c r="R3501" s="73"/>
      <c r="S3501" s="73"/>
      <c r="T3501" s="73"/>
      <c r="U3501" s="73"/>
      <c r="V3501" s="73"/>
      <c r="W3501" s="73"/>
      <c r="X3501" s="73"/>
      <c r="Y3501" s="73"/>
      <c r="Z3501" s="73"/>
      <c r="AA3501" s="73"/>
      <c r="AB3501" s="73"/>
    </row>
    <row r="3502">
      <c r="A3502" s="73"/>
      <c r="B3502" s="73">
        <v>4591642.685</v>
      </c>
      <c r="C3502" s="73">
        <v>3.45842381753563E8</v>
      </c>
      <c r="D3502" s="73">
        <v>1.65568294652E8</v>
      </c>
      <c r="E3502" s="73">
        <v>2.24279238409055E7</v>
      </c>
      <c r="F3502" s="73"/>
      <c r="G3502" s="73"/>
      <c r="H3502" s="73"/>
      <c r="I3502" s="73"/>
      <c r="J3502" s="73"/>
      <c r="K3502" s="73"/>
      <c r="L3502" s="73"/>
      <c r="M3502" s="73"/>
      <c r="N3502" s="73"/>
      <c r="O3502" s="73"/>
      <c r="P3502" s="73"/>
      <c r="Q3502" s="73"/>
      <c r="R3502" s="73"/>
      <c r="S3502" s="73"/>
      <c r="T3502" s="73"/>
      <c r="U3502" s="73"/>
      <c r="V3502" s="73"/>
      <c r="W3502" s="73"/>
      <c r="X3502" s="73"/>
      <c r="Y3502" s="73"/>
      <c r="Z3502" s="73"/>
      <c r="AA3502" s="73"/>
      <c r="AB3502" s="73"/>
    </row>
    <row r="3503">
      <c r="A3503" s="73"/>
      <c r="B3503" s="73">
        <v>4597661.251</v>
      </c>
      <c r="C3503" s="73">
        <v>3.46111269426094E8</v>
      </c>
      <c r="D3503" s="73">
        <v>1.65724818199993E8</v>
      </c>
      <c r="E3503" s="73">
        <v>2.24512284416635E7</v>
      </c>
      <c r="F3503" s="73"/>
      <c r="G3503" s="73"/>
      <c r="H3503" s="73"/>
      <c r="I3503" s="73"/>
      <c r="J3503" s="73"/>
      <c r="K3503" s="73"/>
      <c r="L3503" s="73"/>
      <c r="M3503" s="73"/>
      <c r="N3503" s="73"/>
      <c r="O3503" s="73"/>
      <c r="P3503" s="73"/>
      <c r="Q3503" s="73"/>
      <c r="R3503" s="73"/>
      <c r="S3503" s="73"/>
      <c r="T3503" s="73"/>
      <c r="U3503" s="73"/>
      <c r="V3503" s="73"/>
      <c r="W3503" s="73"/>
      <c r="X3503" s="73"/>
      <c r="Y3503" s="73"/>
      <c r="Z3503" s="73"/>
      <c r="AA3503" s="73"/>
      <c r="AB3503" s="73"/>
    </row>
    <row r="3504">
      <c r="A3504" s="73"/>
      <c r="B3504" s="73">
        <v>4603687.153</v>
      </c>
      <c r="C3504" s="73">
        <v>3.46380288938622E8</v>
      </c>
      <c r="D3504" s="73">
        <v>1.65881434820002E8</v>
      </c>
      <c r="E3504" s="73">
        <v>2.24745507825805E7</v>
      </c>
      <c r="F3504" s="73"/>
      <c r="G3504" s="73"/>
      <c r="H3504" s="73"/>
      <c r="I3504" s="73"/>
      <c r="J3504" s="73"/>
      <c r="K3504" s="73"/>
      <c r="L3504" s="73"/>
      <c r="M3504" s="73"/>
      <c r="N3504" s="73"/>
      <c r="O3504" s="73"/>
      <c r="P3504" s="73"/>
      <c r="Q3504" s="73"/>
      <c r="R3504" s="73"/>
      <c r="S3504" s="73"/>
      <c r="T3504" s="73"/>
      <c r="U3504" s="73"/>
      <c r="V3504" s="73"/>
      <c r="W3504" s="73"/>
      <c r="X3504" s="73"/>
      <c r="Y3504" s="73"/>
      <c r="Z3504" s="73"/>
      <c r="AA3504" s="73"/>
      <c r="AB3504" s="73"/>
    </row>
    <row r="3505">
      <c r="A3505" s="73"/>
      <c r="B3505" s="73">
        <v>4609720.484</v>
      </c>
      <c r="C3505" s="73">
        <v>3.46649440291145E8</v>
      </c>
      <c r="D3505" s="73">
        <v>1.66038144367995E8</v>
      </c>
      <c r="E3505" s="73">
        <v>2.24978921933205E7</v>
      </c>
      <c r="F3505" s="73"/>
      <c r="G3505" s="73"/>
      <c r="H3505" s="73"/>
      <c r="I3505" s="73"/>
      <c r="J3505" s="73"/>
      <c r="K3505" s="73"/>
      <c r="L3505" s="73"/>
      <c r="M3505" s="73"/>
      <c r="N3505" s="73"/>
      <c r="O3505" s="73"/>
      <c r="P3505" s="73"/>
      <c r="Q3505" s="73"/>
      <c r="R3505" s="73"/>
      <c r="S3505" s="73"/>
      <c r="T3505" s="73"/>
      <c r="U3505" s="73"/>
      <c r="V3505" s="73"/>
      <c r="W3505" s="73"/>
      <c r="X3505" s="73"/>
      <c r="Y3505" s="73"/>
      <c r="Z3505" s="73"/>
      <c r="AA3505" s="73"/>
      <c r="AB3505" s="73"/>
    </row>
    <row r="3506">
      <c r="A3506" s="73"/>
      <c r="B3506" s="73">
        <v>4615761.285</v>
      </c>
      <c r="C3506" s="73">
        <v>3.46918756443665E8</v>
      </c>
      <c r="D3506" s="73">
        <v>1.66194957228004E8</v>
      </c>
      <c r="E3506" s="73">
        <v>2.25212507506196E7</v>
      </c>
      <c r="F3506" s="73"/>
      <c r="G3506" s="73"/>
      <c r="H3506" s="73"/>
      <c r="I3506" s="73"/>
      <c r="J3506" s="73"/>
      <c r="K3506" s="73"/>
      <c r="L3506" s="73"/>
      <c r="M3506" s="73"/>
      <c r="N3506" s="73"/>
      <c r="O3506" s="73"/>
      <c r="P3506" s="73"/>
      <c r="Q3506" s="73"/>
      <c r="R3506" s="73"/>
      <c r="S3506" s="73"/>
      <c r="T3506" s="73"/>
      <c r="U3506" s="73"/>
      <c r="V3506" s="73"/>
      <c r="W3506" s="73"/>
      <c r="X3506" s="73"/>
      <c r="Y3506" s="73"/>
      <c r="Z3506" s="73"/>
      <c r="AA3506" s="73"/>
      <c r="AB3506" s="73"/>
    </row>
    <row r="3507">
      <c r="A3507" s="73"/>
      <c r="B3507" s="73">
        <v>4621809.689</v>
      </c>
      <c r="C3507" s="73">
        <v>3.47188171476181E8</v>
      </c>
      <c r="D3507" s="73">
        <v>1.66351862855997E8</v>
      </c>
      <c r="E3507" s="73">
        <v>2.25446275433097E7</v>
      </c>
      <c r="F3507" s="73"/>
      <c r="G3507" s="73"/>
      <c r="H3507" s="73"/>
      <c r="I3507" s="73"/>
      <c r="J3507" s="73"/>
      <c r="K3507" s="73"/>
      <c r="L3507" s="73"/>
      <c r="M3507" s="73"/>
      <c r="N3507" s="73"/>
      <c r="O3507" s="73"/>
      <c r="P3507" s="73"/>
      <c r="Q3507" s="73"/>
      <c r="R3507" s="73"/>
      <c r="S3507" s="73"/>
      <c r="T3507" s="73"/>
      <c r="U3507" s="73"/>
      <c r="V3507" s="73"/>
      <c r="W3507" s="73"/>
      <c r="X3507" s="73"/>
      <c r="Y3507" s="73"/>
      <c r="Z3507" s="73"/>
      <c r="AA3507" s="73"/>
      <c r="AB3507" s="73"/>
    </row>
    <row r="3508">
      <c r="A3508" s="73"/>
      <c r="B3508" s="73">
        <v>4627865.843</v>
      </c>
      <c r="C3508" s="73">
        <v>3.47457751308693E8</v>
      </c>
      <c r="D3508" s="73">
        <v>1.6650886155599E8</v>
      </c>
      <c r="E3508" s="73">
        <v>2.25680225001588E7</v>
      </c>
      <c r="F3508" s="73"/>
      <c r="G3508" s="73"/>
      <c r="H3508" s="73"/>
      <c r="I3508" s="73"/>
      <c r="J3508" s="73"/>
      <c r="K3508" s="73"/>
      <c r="L3508" s="73"/>
      <c r="M3508" s="73"/>
      <c r="N3508" s="73"/>
      <c r="O3508" s="73"/>
      <c r="P3508" s="73"/>
      <c r="Q3508" s="73"/>
      <c r="R3508" s="73"/>
      <c r="S3508" s="73"/>
      <c r="T3508" s="73"/>
      <c r="U3508" s="73"/>
      <c r="V3508" s="73"/>
      <c r="W3508" s="73"/>
      <c r="X3508" s="73"/>
      <c r="Y3508" s="73"/>
      <c r="Z3508" s="73"/>
      <c r="AA3508" s="73"/>
      <c r="AB3508" s="73"/>
    </row>
    <row r="3509">
      <c r="A3509" s="73"/>
      <c r="B3509" s="73">
        <v>4633929.684</v>
      </c>
      <c r="C3509" s="73">
        <v>3.47727462981201E8</v>
      </c>
      <c r="D3509" s="73">
        <v>1.66665953023999E8</v>
      </c>
      <c r="E3509" s="73">
        <v>2.25914353955989E7</v>
      </c>
      <c r="F3509" s="73"/>
      <c r="G3509" s="73"/>
      <c r="H3509" s="73"/>
      <c r="I3509" s="73"/>
      <c r="J3509" s="73"/>
      <c r="K3509" s="73"/>
      <c r="L3509" s="73"/>
      <c r="M3509" s="73"/>
      <c r="N3509" s="73"/>
      <c r="O3509" s="73"/>
      <c r="P3509" s="73"/>
      <c r="Q3509" s="73"/>
      <c r="R3509" s="73"/>
      <c r="S3509" s="73"/>
      <c r="T3509" s="73"/>
      <c r="U3509" s="73"/>
      <c r="V3509" s="73"/>
      <c r="W3509" s="73"/>
      <c r="X3509" s="73"/>
      <c r="Y3509" s="73"/>
      <c r="Z3509" s="73"/>
      <c r="AA3509" s="73"/>
      <c r="AB3509" s="73"/>
    </row>
    <row r="3510">
      <c r="A3510" s="73"/>
      <c r="B3510" s="73">
        <v>4640001.216</v>
      </c>
      <c r="C3510" s="73">
        <v>3.47997306493706E8</v>
      </c>
      <c r="D3510" s="73">
        <v>1.66823147659992E8</v>
      </c>
      <c r="E3510" s="73">
        <v>2.26148659752301E7</v>
      </c>
      <c r="F3510" s="73"/>
      <c r="G3510" s="73"/>
      <c r="H3510" s="73"/>
      <c r="I3510" s="73"/>
      <c r="J3510" s="73"/>
      <c r="K3510" s="73"/>
      <c r="L3510" s="73"/>
      <c r="M3510" s="73"/>
      <c r="N3510" s="73"/>
      <c r="O3510" s="73"/>
      <c r="P3510" s="73"/>
      <c r="Q3510" s="73"/>
      <c r="R3510" s="73"/>
      <c r="S3510" s="73"/>
      <c r="T3510" s="73"/>
      <c r="U3510" s="73"/>
      <c r="V3510" s="73"/>
      <c r="W3510" s="73"/>
      <c r="X3510" s="73"/>
      <c r="Y3510" s="73"/>
      <c r="Z3510" s="73"/>
      <c r="AA3510" s="73"/>
      <c r="AB3510" s="73"/>
    </row>
    <row r="3511">
      <c r="A3511" s="73"/>
      <c r="B3511" s="73">
        <v>4646080.596</v>
      </c>
      <c r="C3511" s="73">
        <v>3.48267248886208E8</v>
      </c>
      <c r="D3511" s="73">
        <v>1.66980435368001E8</v>
      </c>
      <c r="E3511" s="73">
        <v>2.26383156806522E7</v>
      </c>
      <c r="F3511" s="73"/>
      <c r="G3511" s="73"/>
      <c r="H3511" s="73"/>
      <c r="I3511" s="73"/>
      <c r="J3511" s="73"/>
      <c r="K3511" s="73"/>
      <c r="L3511" s="73"/>
      <c r="M3511" s="73"/>
      <c r="N3511" s="73"/>
      <c r="O3511" s="73"/>
      <c r="P3511" s="73"/>
      <c r="Q3511" s="73"/>
      <c r="R3511" s="73"/>
      <c r="S3511" s="73"/>
      <c r="T3511" s="73"/>
      <c r="U3511" s="73"/>
      <c r="V3511" s="73"/>
      <c r="W3511" s="73"/>
      <c r="X3511" s="73"/>
      <c r="Y3511" s="73"/>
      <c r="Z3511" s="73"/>
      <c r="AA3511" s="73"/>
      <c r="AB3511" s="73"/>
    </row>
    <row r="3512">
      <c r="A3512" s="73"/>
      <c r="B3512" s="73">
        <v>4652167.693</v>
      </c>
      <c r="C3512" s="73">
        <v>3.48537323118706E8</v>
      </c>
      <c r="D3512" s="73">
        <v>1.67137826227994E8</v>
      </c>
      <c r="E3512" s="73">
        <v>2.26617824902334E7</v>
      </c>
      <c r="F3512" s="73"/>
      <c r="G3512" s="73"/>
      <c r="H3512" s="73"/>
      <c r="I3512" s="73"/>
      <c r="J3512" s="73"/>
      <c r="K3512" s="73"/>
      <c r="L3512" s="73"/>
      <c r="M3512" s="73"/>
      <c r="N3512" s="73"/>
      <c r="O3512" s="73"/>
      <c r="P3512" s="73"/>
      <c r="Q3512" s="73"/>
      <c r="R3512" s="73"/>
      <c r="S3512" s="73"/>
      <c r="T3512" s="73"/>
      <c r="U3512" s="73"/>
      <c r="V3512" s="73"/>
      <c r="W3512" s="73"/>
      <c r="X3512" s="73"/>
      <c r="Y3512" s="73"/>
      <c r="Z3512" s="73"/>
      <c r="AA3512" s="73"/>
      <c r="AB3512" s="73"/>
    </row>
    <row r="3513">
      <c r="A3513" s="73"/>
      <c r="B3513" s="73">
        <v>4658262.996</v>
      </c>
      <c r="C3513" s="73">
        <v>3.48807562151199E8</v>
      </c>
      <c r="D3513" s="73">
        <v>1.67295310176002E8</v>
      </c>
      <c r="E3513" s="73">
        <v>2.26852683832056E7</v>
      </c>
      <c r="F3513" s="73"/>
      <c r="G3513" s="73"/>
      <c r="H3513" s="73"/>
      <c r="I3513" s="73"/>
      <c r="J3513" s="73"/>
      <c r="K3513" s="73"/>
      <c r="L3513" s="73"/>
      <c r="M3513" s="73"/>
      <c r="N3513" s="73"/>
      <c r="O3513" s="73"/>
      <c r="P3513" s="73"/>
      <c r="Q3513" s="73"/>
      <c r="R3513" s="73"/>
      <c r="S3513" s="73"/>
      <c r="T3513" s="73"/>
      <c r="U3513" s="73"/>
      <c r="V3513" s="73"/>
      <c r="W3513" s="73"/>
      <c r="X3513" s="73"/>
      <c r="Y3513" s="73"/>
      <c r="Z3513" s="73"/>
      <c r="AA3513" s="73"/>
      <c r="AB3513" s="73"/>
    </row>
    <row r="3514">
      <c r="A3514" s="73"/>
      <c r="B3514" s="73">
        <v>4664366.076</v>
      </c>
      <c r="C3514" s="73">
        <v>3.49077965983688E8</v>
      </c>
      <c r="D3514" s="73">
        <v>1.67452886875996E8</v>
      </c>
      <c r="E3514" s="73">
        <v>2.27087714091689E7</v>
      </c>
      <c r="F3514" s="73"/>
      <c r="G3514" s="73"/>
      <c r="H3514" s="73"/>
      <c r="I3514" s="73"/>
      <c r="J3514" s="73"/>
      <c r="K3514" s="73"/>
      <c r="L3514" s="73"/>
      <c r="M3514" s="73"/>
      <c r="N3514" s="73"/>
      <c r="O3514" s="73"/>
      <c r="P3514" s="73"/>
      <c r="Q3514" s="73"/>
      <c r="R3514" s="73"/>
      <c r="S3514" s="73"/>
      <c r="T3514" s="73"/>
      <c r="U3514" s="73"/>
      <c r="V3514" s="73"/>
      <c r="W3514" s="73"/>
      <c r="X3514" s="73"/>
      <c r="Y3514" s="73"/>
      <c r="Z3514" s="73"/>
      <c r="AA3514" s="73"/>
      <c r="AB3514" s="73"/>
    </row>
    <row r="3515">
      <c r="A3515" s="73"/>
      <c r="B3515" s="73">
        <v>4670477.261</v>
      </c>
      <c r="C3515" s="73">
        <v>3.49348435736176E8</v>
      </c>
      <c r="D3515" s="73">
        <v>1.67610556664004E8</v>
      </c>
      <c r="E3515" s="73">
        <v>2.27322935609231E7</v>
      </c>
      <c r="F3515" s="73"/>
      <c r="G3515" s="73"/>
      <c r="H3515" s="73"/>
      <c r="I3515" s="73"/>
      <c r="J3515" s="73"/>
      <c r="K3515" s="73"/>
      <c r="L3515" s="73"/>
      <c r="M3515" s="73"/>
      <c r="N3515" s="73"/>
      <c r="O3515" s="73"/>
      <c r="P3515" s="73"/>
      <c r="Q3515" s="73"/>
      <c r="R3515" s="73"/>
      <c r="S3515" s="73"/>
      <c r="T3515" s="73"/>
      <c r="U3515" s="73"/>
      <c r="V3515" s="73"/>
      <c r="W3515" s="73"/>
      <c r="X3515" s="73"/>
      <c r="Y3515" s="73"/>
      <c r="Z3515" s="73"/>
      <c r="AA3515" s="73"/>
      <c r="AB3515" s="73"/>
    </row>
    <row r="3516">
      <c r="A3516" s="73"/>
      <c r="B3516" s="73">
        <v>4676596.435</v>
      </c>
      <c r="C3516" s="73">
        <v>3.49619037328659E8</v>
      </c>
      <c r="D3516" s="73">
        <v>1.67768329603998E8</v>
      </c>
      <c r="E3516" s="73">
        <v>2.27558329864365E7</v>
      </c>
      <c r="F3516" s="73"/>
      <c r="G3516" s="73"/>
      <c r="H3516" s="73"/>
      <c r="I3516" s="73"/>
      <c r="J3516" s="73"/>
      <c r="K3516" s="73"/>
      <c r="L3516" s="73"/>
      <c r="M3516" s="73"/>
      <c r="N3516" s="73"/>
      <c r="O3516" s="73"/>
      <c r="P3516" s="73"/>
      <c r="Q3516" s="73"/>
      <c r="R3516" s="73"/>
      <c r="S3516" s="73"/>
      <c r="T3516" s="73"/>
      <c r="U3516" s="73"/>
      <c r="V3516" s="73"/>
      <c r="W3516" s="73"/>
      <c r="X3516" s="73"/>
      <c r="Y3516" s="73"/>
      <c r="Z3516" s="73"/>
      <c r="AA3516" s="73"/>
      <c r="AB3516" s="73"/>
    </row>
    <row r="3517">
      <c r="A3517" s="73"/>
      <c r="B3517" s="73">
        <v>4682723.584</v>
      </c>
      <c r="C3517" s="73">
        <v>3.49889803721138E8</v>
      </c>
      <c r="D3517" s="73">
        <v>1.67926195311991E8</v>
      </c>
      <c r="E3517" s="73">
        <v>2.27793909017408E7</v>
      </c>
      <c r="F3517" s="73"/>
      <c r="G3517" s="73"/>
      <c r="H3517" s="73"/>
      <c r="I3517" s="73"/>
      <c r="J3517" s="73"/>
      <c r="K3517" s="73"/>
      <c r="L3517" s="73"/>
      <c r="M3517" s="73"/>
      <c r="N3517" s="73"/>
      <c r="O3517" s="73"/>
      <c r="P3517" s="73"/>
      <c r="Q3517" s="73"/>
      <c r="R3517" s="73"/>
      <c r="S3517" s="73"/>
      <c r="T3517" s="73"/>
      <c r="U3517" s="73"/>
      <c r="V3517" s="73"/>
      <c r="W3517" s="73"/>
      <c r="X3517" s="73"/>
      <c r="Y3517" s="73"/>
      <c r="Z3517" s="73"/>
      <c r="AA3517" s="73"/>
      <c r="AB3517" s="73"/>
    </row>
    <row r="3518">
      <c r="A3518" s="73"/>
      <c r="B3518" s="73">
        <v>4688859.049</v>
      </c>
      <c r="C3518" s="73">
        <v>3.50160701953613E8</v>
      </c>
      <c r="D3518" s="73">
        <v>1.68084154251999E8</v>
      </c>
      <c r="E3518" s="73">
        <v>2.28029669252361E7</v>
      </c>
      <c r="F3518" s="73"/>
      <c r="G3518" s="73"/>
      <c r="H3518" s="73"/>
      <c r="I3518" s="73"/>
      <c r="J3518" s="73"/>
      <c r="K3518" s="73"/>
      <c r="L3518" s="73"/>
      <c r="M3518" s="73"/>
      <c r="N3518" s="73"/>
      <c r="O3518" s="73"/>
      <c r="P3518" s="73"/>
      <c r="Q3518" s="73"/>
      <c r="R3518" s="73"/>
      <c r="S3518" s="73"/>
      <c r="T3518" s="73"/>
      <c r="U3518" s="73"/>
      <c r="V3518" s="73"/>
      <c r="W3518" s="73"/>
      <c r="X3518" s="73"/>
      <c r="Y3518" s="73"/>
      <c r="Z3518" s="73"/>
      <c r="AA3518" s="73"/>
      <c r="AB3518" s="73"/>
    </row>
    <row r="3519">
      <c r="A3519" s="73"/>
      <c r="B3519" s="73">
        <v>4695002.551</v>
      </c>
      <c r="C3519" s="73">
        <v>3.50431699066086E8</v>
      </c>
      <c r="D3519" s="73">
        <v>1.68242216199993E8</v>
      </c>
      <c r="E3519" s="73">
        <v>2.28265615233224E7</v>
      </c>
      <c r="F3519" s="73"/>
      <c r="G3519" s="73"/>
      <c r="H3519" s="73"/>
      <c r="I3519" s="73"/>
      <c r="J3519" s="73"/>
      <c r="K3519" s="73"/>
      <c r="L3519" s="73"/>
      <c r="M3519" s="73"/>
      <c r="N3519" s="73"/>
      <c r="O3519" s="73"/>
      <c r="P3519" s="73"/>
      <c r="Q3519" s="73"/>
      <c r="R3519" s="73"/>
      <c r="S3519" s="73"/>
      <c r="T3519" s="73"/>
      <c r="U3519" s="73"/>
      <c r="V3519" s="73"/>
      <c r="W3519" s="73"/>
      <c r="X3519" s="73"/>
      <c r="Y3519" s="73"/>
      <c r="Z3519" s="73"/>
      <c r="AA3519" s="73"/>
      <c r="AB3519" s="73"/>
    </row>
    <row r="3520">
      <c r="A3520" s="73"/>
      <c r="B3520" s="73">
        <v>4701154.211</v>
      </c>
      <c r="C3520" s="73">
        <v>3.50702860978554E8</v>
      </c>
      <c r="D3520" s="73">
        <v>1.68400370916001E8</v>
      </c>
      <c r="E3520" s="73">
        <v>2.28501736071678E7</v>
      </c>
      <c r="F3520" s="73"/>
      <c r="G3520" s="73"/>
      <c r="H3520" s="73"/>
      <c r="I3520" s="73"/>
      <c r="J3520" s="73"/>
      <c r="K3520" s="73"/>
      <c r="L3520" s="73"/>
      <c r="M3520" s="73"/>
      <c r="N3520" s="73"/>
      <c r="O3520" s="73"/>
      <c r="P3520" s="73"/>
      <c r="Q3520" s="73"/>
      <c r="R3520" s="73"/>
      <c r="S3520" s="73"/>
      <c r="T3520" s="73"/>
      <c r="U3520" s="73"/>
      <c r="V3520" s="73"/>
      <c r="W3520" s="73"/>
      <c r="X3520" s="73"/>
      <c r="Y3520" s="73"/>
      <c r="Z3520" s="73"/>
      <c r="AA3520" s="73"/>
      <c r="AB3520" s="73"/>
    </row>
    <row r="3521">
      <c r="A3521" s="73"/>
      <c r="B3521" s="73">
        <v>4707314.058</v>
      </c>
      <c r="C3521" s="73">
        <v>3.50974154731018E8</v>
      </c>
      <c r="D3521" s="73">
        <v>1.68558629247995E8</v>
      </c>
      <c r="E3521" s="73">
        <v>2.28738042656042E7</v>
      </c>
      <c r="F3521" s="73"/>
      <c r="G3521" s="73"/>
      <c r="H3521" s="73"/>
      <c r="I3521" s="73"/>
      <c r="J3521" s="73"/>
      <c r="K3521" s="73"/>
      <c r="L3521" s="73"/>
      <c r="M3521" s="73"/>
      <c r="N3521" s="73"/>
      <c r="O3521" s="73"/>
      <c r="P3521" s="73"/>
      <c r="Q3521" s="73"/>
      <c r="R3521" s="73"/>
      <c r="S3521" s="73"/>
      <c r="T3521" s="73"/>
      <c r="U3521" s="73"/>
      <c r="V3521" s="73"/>
      <c r="W3521" s="73"/>
      <c r="X3521" s="73"/>
      <c r="Y3521" s="73"/>
      <c r="Z3521" s="73"/>
      <c r="AA3521" s="73"/>
      <c r="AB3521" s="73"/>
    </row>
    <row r="3522">
      <c r="A3522" s="73"/>
      <c r="B3522" s="73">
        <v>4713482.22</v>
      </c>
      <c r="C3522" s="73">
        <v>3.51245580323479E8</v>
      </c>
      <c r="D3522" s="73">
        <v>1.68716980204003E8</v>
      </c>
      <c r="E3522" s="73">
        <v>2.28974529474316E7</v>
      </c>
      <c r="F3522" s="73"/>
      <c r="G3522" s="73"/>
      <c r="H3522" s="73"/>
      <c r="I3522" s="73"/>
      <c r="J3522" s="73"/>
      <c r="K3522" s="73"/>
      <c r="L3522" s="73"/>
      <c r="M3522" s="73"/>
      <c r="N3522" s="73"/>
      <c r="O3522" s="73"/>
      <c r="P3522" s="73"/>
      <c r="Q3522" s="73"/>
      <c r="R3522" s="73"/>
      <c r="S3522" s="73"/>
      <c r="T3522" s="73"/>
      <c r="U3522" s="73"/>
      <c r="V3522" s="73"/>
      <c r="W3522" s="73"/>
      <c r="X3522" s="73"/>
      <c r="Y3522" s="73"/>
      <c r="Z3522" s="73"/>
      <c r="AA3522" s="73"/>
      <c r="AB3522" s="73"/>
    </row>
    <row r="3523">
      <c r="A3523" s="73"/>
      <c r="B3523" s="73">
        <v>4719658.582</v>
      </c>
      <c r="C3523" s="73">
        <v>3.51517104795937E8</v>
      </c>
      <c r="D3523" s="73">
        <v>1.68875424231996E8</v>
      </c>
      <c r="E3523" s="73">
        <v>2.2921119496618E7</v>
      </c>
      <c r="F3523" s="73"/>
      <c r="G3523" s="73"/>
      <c r="H3523" s="73"/>
      <c r="I3523" s="73"/>
      <c r="J3523" s="73"/>
      <c r="K3523" s="73"/>
      <c r="L3523" s="73"/>
      <c r="M3523" s="73"/>
      <c r="N3523" s="73"/>
      <c r="O3523" s="73"/>
      <c r="P3523" s="73"/>
      <c r="Q3523" s="73"/>
      <c r="R3523" s="73"/>
      <c r="S3523" s="73"/>
      <c r="T3523" s="73"/>
      <c r="U3523" s="73"/>
      <c r="V3523" s="73"/>
      <c r="W3523" s="73"/>
      <c r="X3523" s="73"/>
      <c r="Y3523" s="73"/>
      <c r="Z3523" s="73"/>
      <c r="AA3523" s="73"/>
      <c r="AB3523" s="73"/>
    </row>
    <row r="3524">
      <c r="A3524" s="73"/>
      <c r="B3524" s="73">
        <v>4725843.262</v>
      </c>
      <c r="C3524" s="73">
        <v>3.51788827028389E8</v>
      </c>
      <c r="D3524" s="73">
        <v>1.6903396117199E8</v>
      </c>
      <c r="E3524" s="73">
        <v>2.29448046916275E7</v>
      </c>
      <c r="F3524" s="73"/>
      <c r="G3524" s="73"/>
      <c r="H3524" s="73"/>
      <c r="I3524" s="73"/>
      <c r="J3524" s="73"/>
      <c r="K3524" s="73"/>
      <c r="L3524" s="73"/>
      <c r="M3524" s="73"/>
      <c r="N3524" s="73"/>
      <c r="O3524" s="73"/>
      <c r="P3524" s="73"/>
      <c r="Q3524" s="73"/>
      <c r="R3524" s="73"/>
      <c r="S3524" s="73"/>
      <c r="T3524" s="73"/>
      <c r="U3524" s="73"/>
      <c r="V3524" s="73"/>
      <c r="W3524" s="73"/>
      <c r="X3524" s="73"/>
      <c r="Y3524" s="73"/>
      <c r="Z3524" s="73"/>
      <c r="AA3524" s="73"/>
      <c r="AB3524" s="73"/>
    </row>
    <row r="3525">
      <c r="A3525" s="73"/>
      <c r="B3525" s="73">
        <v>4732036.224</v>
      </c>
      <c r="C3525" s="73">
        <v>3.5206058222084E8</v>
      </c>
      <c r="D3525" s="73">
        <v>1.69192601279998E8</v>
      </c>
      <c r="E3525" s="73">
        <v>2.29685080083959E7</v>
      </c>
      <c r="F3525" s="73"/>
      <c r="G3525" s="73"/>
      <c r="H3525" s="73"/>
      <c r="I3525" s="73"/>
      <c r="J3525" s="73"/>
      <c r="K3525" s="73"/>
      <c r="L3525" s="73"/>
      <c r="M3525" s="73"/>
      <c r="N3525" s="73"/>
      <c r="O3525" s="73"/>
      <c r="P3525" s="73"/>
      <c r="Q3525" s="73"/>
      <c r="R3525" s="73"/>
      <c r="S3525" s="73"/>
      <c r="T3525" s="73"/>
      <c r="U3525" s="73"/>
      <c r="V3525" s="73"/>
      <c r="W3525" s="73"/>
      <c r="X3525" s="73"/>
      <c r="Y3525" s="73"/>
      <c r="Z3525" s="73"/>
      <c r="AA3525" s="73"/>
      <c r="AB3525" s="73"/>
    </row>
    <row r="3526">
      <c r="A3526" s="73"/>
      <c r="B3526" s="73">
        <v>4738237.603</v>
      </c>
      <c r="C3526" s="73">
        <v>3.52332535173286E8</v>
      </c>
      <c r="D3526" s="73">
        <v>1.69351334299991E8</v>
      </c>
      <c r="E3526" s="73">
        <v>2.29922289805234E7</v>
      </c>
      <c r="F3526" s="73"/>
      <c r="G3526" s="73"/>
      <c r="H3526" s="73"/>
      <c r="I3526" s="73"/>
      <c r="J3526" s="73"/>
      <c r="K3526" s="73"/>
      <c r="L3526" s="73"/>
      <c r="M3526" s="73"/>
      <c r="N3526" s="73"/>
      <c r="O3526" s="73"/>
      <c r="P3526" s="73"/>
      <c r="Q3526" s="73"/>
      <c r="R3526" s="73"/>
      <c r="S3526" s="73"/>
      <c r="T3526" s="73"/>
      <c r="U3526" s="73"/>
      <c r="V3526" s="73"/>
      <c r="W3526" s="73"/>
      <c r="X3526" s="73"/>
      <c r="Y3526" s="73"/>
      <c r="Z3526" s="73"/>
      <c r="AA3526" s="73"/>
      <c r="AB3526" s="73"/>
    </row>
    <row r="3527">
      <c r="A3527" s="73"/>
      <c r="B3527" s="73">
        <v>4744447.234</v>
      </c>
      <c r="C3527" s="73">
        <v>3.52604685885727E8</v>
      </c>
      <c r="D3527" s="73">
        <v>1.69510170648E8</v>
      </c>
      <c r="E3527" s="73">
        <v>2.30159685984739E7</v>
      </c>
      <c r="F3527" s="73"/>
      <c r="G3527" s="73"/>
      <c r="H3527" s="73"/>
      <c r="I3527" s="73"/>
      <c r="J3527" s="73"/>
      <c r="K3527" s="73"/>
      <c r="L3527" s="73"/>
      <c r="M3527" s="73"/>
      <c r="N3527" s="73"/>
      <c r="O3527" s="73"/>
      <c r="P3527" s="73"/>
      <c r="Q3527" s="73"/>
      <c r="R3527" s="73"/>
      <c r="S3527" s="73"/>
      <c r="T3527" s="73"/>
      <c r="U3527" s="73"/>
      <c r="V3527" s="73"/>
      <c r="W3527" s="73"/>
      <c r="X3527" s="73"/>
      <c r="Y3527" s="73"/>
      <c r="Z3527" s="73"/>
      <c r="AA3527" s="73"/>
      <c r="AB3527" s="73"/>
    </row>
    <row r="3528">
      <c r="A3528" s="73"/>
      <c r="B3528" s="73">
        <v>4750665.459</v>
      </c>
      <c r="C3528" s="73">
        <v>3.52876869558167E8</v>
      </c>
      <c r="D3528" s="73">
        <v>1.69669099907993E8</v>
      </c>
      <c r="E3528" s="73">
        <v>2.30397263381834E7</v>
      </c>
      <c r="F3528" s="73"/>
      <c r="G3528" s="73"/>
      <c r="H3528" s="73"/>
      <c r="I3528" s="73"/>
      <c r="J3528" s="73"/>
      <c r="K3528" s="73"/>
      <c r="L3528" s="73"/>
      <c r="M3528" s="73"/>
      <c r="N3528" s="73"/>
      <c r="O3528" s="73"/>
      <c r="P3528" s="73"/>
      <c r="Q3528" s="73"/>
      <c r="R3528" s="73"/>
      <c r="S3528" s="73"/>
      <c r="T3528" s="73"/>
      <c r="U3528" s="73"/>
      <c r="V3528" s="73"/>
      <c r="W3528" s="73"/>
      <c r="X3528" s="73"/>
      <c r="Y3528" s="73"/>
      <c r="Z3528" s="73"/>
      <c r="AA3528" s="73"/>
      <c r="AB3528" s="73"/>
    </row>
    <row r="3529">
      <c r="A3529" s="73"/>
      <c r="B3529" s="73">
        <v>4756892.021</v>
      </c>
      <c r="C3529" s="73">
        <v>3.53149218030602E8</v>
      </c>
      <c r="D3529" s="73">
        <v>1.69828121936002E8</v>
      </c>
      <c r="E3529" s="73">
        <v>2.3063501634884E7</v>
      </c>
      <c r="F3529" s="73"/>
      <c r="G3529" s="73"/>
      <c r="H3529" s="73"/>
      <c r="I3529" s="73"/>
      <c r="J3529" s="73"/>
      <c r="K3529" s="73"/>
      <c r="L3529" s="73"/>
      <c r="M3529" s="73"/>
      <c r="N3529" s="73"/>
      <c r="O3529" s="73"/>
      <c r="P3529" s="73"/>
      <c r="Q3529" s="73"/>
      <c r="R3529" s="73"/>
      <c r="S3529" s="73"/>
      <c r="T3529" s="73"/>
      <c r="U3529" s="73"/>
      <c r="V3529" s="73"/>
      <c r="W3529" s="73"/>
      <c r="X3529" s="73"/>
      <c r="Y3529" s="73"/>
      <c r="Z3529" s="73"/>
      <c r="AA3529" s="73"/>
      <c r="AB3529" s="73"/>
    </row>
    <row r="3530">
      <c r="A3530" s="73"/>
      <c r="B3530" s="73">
        <v>4763126.972</v>
      </c>
      <c r="C3530" s="73">
        <v>3.53421698343033E8</v>
      </c>
      <c r="D3530" s="73">
        <v>1.69987247435995E8</v>
      </c>
      <c r="E3530" s="73">
        <v>2.30872958453756E7</v>
      </c>
      <c r="F3530" s="73"/>
      <c r="G3530" s="73"/>
      <c r="H3530" s="73"/>
      <c r="I3530" s="73"/>
      <c r="J3530" s="73"/>
      <c r="K3530" s="73"/>
      <c r="L3530" s="73"/>
      <c r="M3530" s="73"/>
      <c r="N3530" s="73"/>
      <c r="O3530" s="73"/>
      <c r="P3530" s="73"/>
      <c r="Q3530" s="73"/>
      <c r="R3530" s="73"/>
      <c r="S3530" s="73"/>
      <c r="T3530" s="73"/>
      <c r="U3530" s="73"/>
      <c r="V3530" s="73"/>
      <c r="W3530" s="73"/>
      <c r="X3530" s="73"/>
      <c r="Y3530" s="73"/>
      <c r="Z3530" s="73"/>
      <c r="AA3530" s="73"/>
      <c r="AB3530" s="73"/>
    </row>
    <row r="3531">
      <c r="A3531" s="73"/>
      <c r="B3531" s="73">
        <v>4769370.345</v>
      </c>
      <c r="C3531" s="73">
        <v>3.53694310495461E8</v>
      </c>
      <c r="D3531" s="73">
        <v>1.70146465848004E8</v>
      </c>
      <c r="E3531" s="73">
        <v>2.31111083048261E7</v>
      </c>
      <c r="F3531" s="73"/>
      <c r="G3531" s="73"/>
      <c r="H3531" s="73"/>
      <c r="I3531" s="73"/>
      <c r="J3531" s="73"/>
      <c r="K3531" s="73"/>
      <c r="L3531" s="73"/>
      <c r="M3531" s="73"/>
      <c r="N3531" s="73"/>
      <c r="O3531" s="73"/>
      <c r="P3531" s="73"/>
      <c r="Q3531" s="73"/>
      <c r="R3531" s="73"/>
      <c r="S3531" s="73"/>
      <c r="T3531" s="73"/>
      <c r="U3531" s="73"/>
      <c r="V3531" s="73"/>
      <c r="W3531" s="73"/>
      <c r="X3531" s="73"/>
      <c r="Y3531" s="73"/>
      <c r="Z3531" s="73"/>
      <c r="AA3531" s="73"/>
      <c r="AB3531" s="73"/>
    </row>
    <row r="3532">
      <c r="A3532" s="73"/>
      <c r="B3532" s="73">
        <v>4775622.398</v>
      </c>
      <c r="C3532" s="73">
        <v>3.53967021527885E8</v>
      </c>
      <c r="D3532" s="73">
        <v>1.70305787123997E8</v>
      </c>
      <c r="E3532" s="73">
        <v>2.31349389012997E7</v>
      </c>
      <c r="F3532" s="73"/>
      <c r="G3532" s="73"/>
      <c r="H3532" s="73"/>
      <c r="I3532" s="73"/>
      <c r="J3532" s="73"/>
      <c r="K3532" s="73"/>
      <c r="L3532" s="73"/>
      <c r="M3532" s="73"/>
      <c r="N3532" s="73"/>
      <c r="O3532" s="73"/>
      <c r="P3532" s="73"/>
      <c r="Q3532" s="73"/>
      <c r="R3532" s="73"/>
      <c r="S3532" s="73"/>
      <c r="T3532" s="73"/>
      <c r="U3532" s="73"/>
      <c r="V3532" s="73"/>
      <c r="W3532" s="73"/>
      <c r="X3532" s="73"/>
      <c r="Y3532" s="73"/>
      <c r="Z3532" s="73"/>
      <c r="AA3532" s="73"/>
      <c r="AB3532" s="73"/>
    </row>
    <row r="3533">
      <c r="A3533" s="73"/>
      <c r="B3533" s="73">
        <v>4781882.774</v>
      </c>
      <c r="C3533" s="73">
        <v>3.54239930320305E8</v>
      </c>
      <c r="D3533" s="73">
        <v>1.7046520177599E8</v>
      </c>
      <c r="E3533" s="73">
        <v>2.31587876619323E7</v>
      </c>
      <c r="F3533" s="73"/>
      <c r="G3533" s="73"/>
      <c r="H3533" s="73"/>
      <c r="I3533" s="73"/>
      <c r="J3533" s="73"/>
      <c r="K3533" s="73"/>
      <c r="L3533" s="73"/>
      <c r="M3533" s="73"/>
      <c r="N3533" s="73"/>
      <c r="O3533" s="73"/>
      <c r="P3533" s="73"/>
      <c r="Q3533" s="73"/>
      <c r="R3533" s="73"/>
      <c r="S3533" s="73"/>
      <c r="T3533" s="73"/>
      <c r="U3533" s="73"/>
      <c r="V3533" s="73"/>
      <c r="W3533" s="73"/>
      <c r="X3533" s="73"/>
      <c r="Y3533" s="73"/>
      <c r="Z3533" s="73"/>
      <c r="AA3533" s="73"/>
      <c r="AB3533" s="73"/>
    </row>
    <row r="3534">
      <c r="A3534" s="73"/>
      <c r="B3534" s="73">
        <v>4788151.933</v>
      </c>
      <c r="C3534" s="73">
        <v>3.54512970952721E8</v>
      </c>
      <c r="D3534" s="73">
        <v>1.70624709195999E8</v>
      </c>
      <c r="E3534" s="73">
        <v>2.3182654289924E7</v>
      </c>
      <c r="F3534" s="73"/>
      <c r="G3534" s="73"/>
      <c r="H3534" s="73"/>
      <c r="I3534" s="73"/>
      <c r="J3534" s="73"/>
      <c r="K3534" s="73"/>
      <c r="L3534" s="73"/>
      <c r="M3534" s="73"/>
      <c r="N3534" s="73"/>
      <c r="O3534" s="73"/>
      <c r="P3534" s="73"/>
      <c r="Q3534" s="73"/>
      <c r="R3534" s="73"/>
      <c r="S3534" s="73"/>
      <c r="T3534" s="73"/>
      <c r="U3534" s="73"/>
      <c r="V3534" s="73"/>
      <c r="W3534" s="73"/>
      <c r="X3534" s="73"/>
      <c r="Y3534" s="73"/>
      <c r="Z3534" s="73"/>
      <c r="AA3534" s="73"/>
      <c r="AB3534" s="73"/>
    </row>
    <row r="3535">
      <c r="A3535" s="73"/>
      <c r="B3535" s="73">
        <v>4794429.493</v>
      </c>
      <c r="C3535" s="73">
        <v>3.54786110465134E8</v>
      </c>
      <c r="D3535" s="73">
        <v>1.70784309383992E8</v>
      </c>
      <c r="E3535" s="73">
        <v>2.32065395213386E7</v>
      </c>
      <c r="F3535" s="73"/>
      <c r="G3535" s="73"/>
      <c r="H3535" s="73"/>
      <c r="I3535" s="73"/>
      <c r="J3535" s="73"/>
      <c r="K3535" s="73"/>
      <c r="L3535" s="73"/>
      <c r="M3535" s="73"/>
      <c r="N3535" s="73"/>
      <c r="O3535" s="73"/>
      <c r="P3535" s="73"/>
      <c r="Q3535" s="73"/>
      <c r="R3535" s="73"/>
      <c r="S3535" s="73"/>
      <c r="T3535" s="73"/>
      <c r="U3535" s="73"/>
      <c r="V3535" s="73"/>
      <c r="W3535" s="73"/>
      <c r="X3535" s="73"/>
      <c r="Y3535" s="73"/>
      <c r="Z3535" s="73"/>
      <c r="AA3535" s="73"/>
      <c r="AB3535" s="73"/>
    </row>
    <row r="3536">
      <c r="A3536" s="73"/>
      <c r="B3536" s="73">
        <v>4800715.615</v>
      </c>
      <c r="C3536" s="73">
        <v>3.55059381817543E8</v>
      </c>
      <c r="D3536" s="73">
        <v>1.70944012884001E8</v>
      </c>
      <c r="E3536" s="73">
        <v>2.32304429593123E7</v>
      </c>
      <c r="F3536" s="73"/>
      <c r="G3536" s="73"/>
      <c r="H3536" s="73"/>
      <c r="I3536" s="73"/>
      <c r="J3536" s="73"/>
      <c r="K3536" s="73"/>
      <c r="L3536" s="73"/>
      <c r="M3536" s="73"/>
      <c r="N3536" s="73"/>
      <c r="O3536" s="73"/>
      <c r="P3536" s="73"/>
      <c r="Q3536" s="73"/>
      <c r="R3536" s="73"/>
      <c r="S3536" s="73"/>
      <c r="T3536" s="73"/>
      <c r="U3536" s="73"/>
      <c r="V3536" s="73"/>
      <c r="W3536" s="73"/>
      <c r="X3536" s="73"/>
      <c r="Y3536" s="73"/>
      <c r="Z3536" s="73"/>
      <c r="AA3536" s="73"/>
      <c r="AB3536" s="73"/>
    </row>
    <row r="3537">
      <c r="A3537" s="73"/>
      <c r="B3537" s="73">
        <v>4807010.368</v>
      </c>
      <c r="C3537" s="73">
        <v>3.55332785009949E8</v>
      </c>
      <c r="D3537" s="73">
        <v>1.71103819551994E8</v>
      </c>
      <c r="E3537" s="73">
        <v>2.3254364123877E7</v>
      </c>
      <c r="F3537" s="73"/>
      <c r="G3537" s="73"/>
      <c r="H3537" s="73"/>
      <c r="I3537" s="73"/>
      <c r="J3537" s="73"/>
      <c r="K3537" s="73"/>
      <c r="L3537" s="73"/>
      <c r="M3537" s="73"/>
      <c r="N3537" s="73"/>
      <c r="O3537" s="73"/>
      <c r="P3537" s="73"/>
      <c r="Q3537" s="73"/>
      <c r="R3537" s="73"/>
      <c r="S3537" s="73"/>
      <c r="T3537" s="73"/>
      <c r="U3537" s="73"/>
      <c r="V3537" s="73"/>
      <c r="W3537" s="73"/>
      <c r="X3537" s="73"/>
      <c r="Y3537" s="73"/>
      <c r="Z3537" s="73"/>
      <c r="AA3537" s="73"/>
      <c r="AB3537" s="73"/>
    </row>
    <row r="3538">
      <c r="A3538" s="73"/>
      <c r="B3538" s="73">
        <v>4813313.84</v>
      </c>
      <c r="C3538" s="73">
        <v>3.55606320042351E8</v>
      </c>
      <c r="D3538" s="73">
        <v>1.71263709052002E8</v>
      </c>
      <c r="E3538" s="73">
        <v>2.32783050366646E7</v>
      </c>
      <c r="F3538" s="73"/>
      <c r="G3538" s="73"/>
      <c r="H3538" s="73"/>
      <c r="I3538" s="73"/>
      <c r="J3538" s="73"/>
      <c r="K3538" s="73"/>
      <c r="L3538" s="73"/>
      <c r="M3538" s="73"/>
      <c r="N3538" s="73"/>
      <c r="O3538" s="73"/>
      <c r="P3538" s="73"/>
      <c r="Q3538" s="73"/>
      <c r="R3538" s="73"/>
      <c r="S3538" s="73"/>
      <c r="T3538" s="73"/>
      <c r="U3538" s="73"/>
      <c r="V3538" s="73"/>
      <c r="W3538" s="73"/>
      <c r="X3538" s="73"/>
      <c r="Y3538" s="73"/>
      <c r="Z3538" s="73"/>
      <c r="AA3538" s="73"/>
      <c r="AB3538" s="73"/>
    </row>
    <row r="3539">
      <c r="A3539" s="73"/>
      <c r="B3539" s="73">
        <v>4819625.889</v>
      </c>
      <c r="C3539" s="73">
        <v>3.55880052834747E8</v>
      </c>
      <c r="D3539" s="73">
        <v>1.71423711799996E8</v>
      </c>
      <c r="E3539" s="73">
        <v>2.33022628127793E7</v>
      </c>
      <c r="F3539" s="73"/>
      <c r="G3539" s="73"/>
      <c r="H3539" s="73"/>
      <c r="I3539" s="73"/>
      <c r="J3539" s="73"/>
      <c r="K3539" s="73"/>
      <c r="L3539" s="73"/>
      <c r="M3539" s="73"/>
      <c r="N3539" s="73"/>
      <c r="O3539" s="73"/>
      <c r="P3539" s="73"/>
      <c r="Q3539" s="73"/>
      <c r="R3539" s="73"/>
      <c r="S3539" s="73"/>
      <c r="T3539" s="73"/>
      <c r="U3539" s="73"/>
      <c r="V3539" s="73"/>
      <c r="W3539" s="73"/>
      <c r="X3539" s="73"/>
      <c r="Y3539" s="73"/>
      <c r="Z3539" s="73"/>
      <c r="AA3539" s="73"/>
      <c r="AB3539" s="73"/>
    </row>
    <row r="3540">
      <c r="A3540" s="73"/>
      <c r="B3540" s="73">
        <v>4825946.654</v>
      </c>
      <c r="C3540" s="73">
        <v>3.56153851547142E8</v>
      </c>
      <c r="D3540" s="73">
        <v>1.71583797380004E8</v>
      </c>
      <c r="E3540" s="73">
        <v>2.33262384850851E7</v>
      </c>
      <c r="F3540" s="73"/>
      <c r="G3540" s="73"/>
      <c r="H3540" s="73"/>
      <c r="I3540" s="73"/>
      <c r="J3540" s="73"/>
      <c r="K3540" s="73"/>
      <c r="L3540" s="73"/>
      <c r="M3540" s="73"/>
      <c r="N3540" s="73"/>
      <c r="O3540" s="73"/>
      <c r="P3540" s="73"/>
      <c r="Q3540" s="73"/>
      <c r="R3540" s="73"/>
      <c r="S3540" s="73"/>
      <c r="T3540" s="73"/>
      <c r="U3540" s="73"/>
      <c r="V3540" s="73"/>
      <c r="W3540" s="73"/>
      <c r="X3540" s="73"/>
      <c r="Y3540" s="73"/>
      <c r="Z3540" s="73"/>
      <c r="AA3540" s="73"/>
      <c r="AB3540" s="73"/>
    </row>
    <row r="3541">
      <c r="A3541" s="73"/>
      <c r="B3541" s="73">
        <v>4832276.062</v>
      </c>
      <c r="C3541" s="73">
        <v>3.56427782099533E8</v>
      </c>
      <c r="D3541" s="73">
        <v>1.71743986271998E8</v>
      </c>
      <c r="E3541" s="73">
        <v>2.33502333679818E7</v>
      </c>
      <c r="F3541" s="73"/>
      <c r="G3541" s="73"/>
      <c r="H3541" s="73"/>
      <c r="I3541" s="73"/>
      <c r="J3541" s="73"/>
      <c r="K3541" s="73"/>
      <c r="L3541" s="73"/>
      <c r="M3541" s="73"/>
      <c r="N3541" s="73"/>
      <c r="O3541" s="73"/>
      <c r="P3541" s="73"/>
      <c r="Q3541" s="73"/>
      <c r="R3541" s="73"/>
      <c r="S3541" s="73"/>
      <c r="T3541" s="73"/>
      <c r="U3541" s="73"/>
      <c r="V3541" s="73"/>
      <c r="W3541" s="73"/>
      <c r="X3541" s="73"/>
      <c r="Y3541" s="73"/>
      <c r="Z3541" s="73"/>
      <c r="AA3541" s="73"/>
      <c r="AB3541" s="73"/>
    </row>
    <row r="3542">
      <c r="A3542" s="73"/>
      <c r="B3542" s="73">
        <v>4838614.12</v>
      </c>
      <c r="C3542" s="73">
        <v>3.5670184449192E8</v>
      </c>
      <c r="D3542" s="73">
        <v>1.71904278027991E8</v>
      </c>
      <c r="E3542" s="73">
        <v>2.33742460622696E7</v>
      </c>
      <c r="F3542" s="73"/>
      <c r="G3542" s="73"/>
      <c r="H3542" s="73"/>
      <c r="I3542" s="73"/>
      <c r="J3542" s="73"/>
      <c r="K3542" s="73"/>
      <c r="L3542" s="73"/>
      <c r="M3542" s="73"/>
      <c r="N3542" s="73"/>
      <c r="O3542" s="73"/>
      <c r="P3542" s="73"/>
      <c r="Q3542" s="73"/>
      <c r="R3542" s="73"/>
      <c r="S3542" s="73"/>
      <c r="T3542" s="73"/>
      <c r="U3542" s="73"/>
      <c r="V3542" s="73"/>
      <c r="W3542" s="73"/>
      <c r="X3542" s="73"/>
      <c r="Y3542" s="73"/>
      <c r="Z3542" s="73"/>
      <c r="AA3542" s="73"/>
      <c r="AB3542" s="73"/>
    </row>
    <row r="3543">
      <c r="A3543" s="73"/>
      <c r="B3543" s="73">
        <v>4844961.035</v>
      </c>
      <c r="C3543" s="73">
        <v>3.56976038724304E8</v>
      </c>
      <c r="D3543" s="73">
        <v>1.72064652759999E8</v>
      </c>
      <c r="E3543" s="73">
        <v>2.33982778399483E7</v>
      </c>
      <c r="F3543" s="73"/>
      <c r="G3543" s="73"/>
      <c r="H3543" s="73"/>
      <c r="I3543" s="73"/>
      <c r="J3543" s="73"/>
      <c r="K3543" s="73"/>
      <c r="L3543" s="73"/>
      <c r="M3543" s="73"/>
      <c r="N3543" s="73"/>
      <c r="O3543" s="73"/>
      <c r="P3543" s="73"/>
      <c r="Q3543" s="73"/>
      <c r="R3543" s="73"/>
      <c r="S3543" s="73"/>
      <c r="T3543" s="73"/>
      <c r="U3543" s="73"/>
      <c r="V3543" s="73"/>
      <c r="W3543" s="73"/>
      <c r="X3543" s="73"/>
      <c r="Y3543" s="73"/>
      <c r="Z3543" s="73"/>
      <c r="AA3543" s="73"/>
      <c r="AB3543" s="73"/>
    </row>
    <row r="3544">
      <c r="A3544" s="73"/>
      <c r="B3544" s="73">
        <v>4851316.494</v>
      </c>
      <c r="C3544" s="73">
        <v>3.57250397756683E8</v>
      </c>
      <c r="D3544" s="73">
        <v>1.72225130499993E8</v>
      </c>
      <c r="E3544" s="73">
        <v>2.34223259297541E7</v>
      </c>
      <c r="F3544" s="73"/>
      <c r="G3544" s="73"/>
      <c r="H3544" s="73"/>
      <c r="I3544" s="73"/>
      <c r="J3544" s="73"/>
      <c r="K3544" s="73"/>
      <c r="L3544" s="73"/>
      <c r="M3544" s="73"/>
      <c r="N3544" s="73"/>
      <c r="O3544" s="73"/>
      <c r="P3544" s="73"/>
      <c r="Q3544" s="73"/>
      <c r="R3544" s="73"/>
      <c r="S3544" s="73"/>
      <c r="T3544" s="73"/>
      <c r="U3544" s="73"/>
      <c r="V3544" s="73"/>
      <c r="W3544" s="73"/>
      <c r="X3544" s="73"/>
      <c r="Y3544" s="73"/>
      <c r="Z3544" s="73"/>
      <c r="AA3544" s="73"/>
      <c r="AB3544" s="73"/>
    </row>
    <row r="3545">
      <c r="A3545" s="73"/>
      <c r="B3545" s="73">
        <v>4857680.904</v>
      </c>
      <c r="C3545" s="73">
        <v>3.5752485566906E8</v>
      </c>
      <c r="D3545" s="73">
        <v>1.72385711408001E8</v>
      </c>
      <c r="E3545" s="73">
        <v>2.34463940086149E7</v>
      </c>
      <c r="F3545" s="73"/>
      <c r="G3545" s="73"/>
      <c r="H3545" s="73"/>
      <c r="I3545" s="73"/>
      <c r="J3545" s="73"/>
      <c r="K3545" s="73"/>
      <c r="L3545" s="73"/>
      <c r="M3545" s="73"/>
      <c r="N3545" s="73"/>
      <c r="O3545" s="73"/>
      <c r="P3545" s="73"/>
      <c r="Q3545" s="73"/>
      <c r="R3545" s="73"/>
      <c r="S3545" s="73"/>
      <c r="T3545" s="73"/>
      <c r="U3545" s="73"/>
      <c r="V3545" s="73"/>
      <c r="W3545" s="73"/>
      <c r="X3545" s="73"/>
      <c r="Y3545" s="73"/>
      <c r="Z3545" s="73"/>
      <c r="AA3545" s="73"/>
      <c r="AB3545" s="73"/>
    </row>
    <row r="3546">
      <c r="A3546" s="73"/>
      <c r="B3546" s="73">
        <v>4864054.14</v>
      </c>
      <c r="C3546" s="73">
        <v>3.57799511341431E8</v>
      </c>
      <c r="D3546" s="73">
        <v>1.72546385387995E8</v>
      </c>
      <c r="E3546" s="73">
        <v>2.34704808316666E7</v>
      </c>
      <c r="F3546" s="73"/>
      <c r="G3546" s="73"/>
      <c r="H3546" s="73"/>
      <c r="I3546" s="73"/>
      <c r="J3546" s="73"/>
      <c r="K3546" s="73"/>
      <c r="L3546" s="73"/>
      <c r="M3546" s="73"/>
      <c r="N3546" s="73"/>
      <c r="O3546" s="73"/>
      <c r="P3546" s="73"/>
      <c r="Q3546" s="73"/>
      <c r="R3546" s="73"/>
      <c r="S3546" s="73"/>
      <c r="T3546" s="73"/>
      <c r="U3546" s="73"/>
      <c r="V3546" s="73"/>
      <c r="W3546" s="73"/>
      <c r="X3546" s="73"/>
      <c r="Y3546" s="73"/>
      <c r="Z3546" s="73"/>
      <c r="AA3546" s="73"/>
      <c r="AB3546" s="73"/>
    </row>
    <row r="3547">
      <c r="A3547" s="73"/>
      <c r="B3547" s="73">
        <v>4870435.94</v>
      </c>
      <c r="C3547" s="73">
        <v>3.58074265893799E8</v>
      </c>
      <c r="D3547" s="73">
        <v>1.72707152440003E8</v>
      </c>
      <c r="E3547" s="73">
        <v>2.34945846452455E7</v>
      </c>
      <c r="F3547" s="73"/>
      <c r="G3547" s="73"/>
      <c r="H3547" s="73"/>
      <c r="I3547" s="73"/>
      <c r="J3547" s="73"/>
      <c r="K3547" s="73"/>
      <c r="L3547" s="73"/>
      <c r="M3547" s="73"/>
      <c r="N3547" s="73"/>
      <c r="O3547" s="73"/>
      <c r="P3547" s="73"/>
      <c r="Q3547" s="73"/>
      <c r="R3547" s="73"/>
      <c r="S3547" s="73"/>
      <c r="T3547" s="73"/>
      <c r="U3547" s="73"/>
      <c r="V3547" s="73"/>
      <c r="W3547" s="73"/>
      <c r="X3547" s="73"/>
      <c r="Y3547" s="73"/>
      <c r="Z3547" s="73"/>
      <c r="AA3547" s="73"/>
      <c r="AB3547" s="73"/>
    </row>
    <row r="3548">
      <c r="A3548" s="73"/>
      <c r="B3548" s="73">
        <v>4876826.827</v>
      </c>
      <c r="C3548" s="73">
        <v>3.58349119326164E8</v>
      </c>
      <c r="D3548" s="73">
        <v>1.72868022499996E8</v>
      </c>
      <c r="E3548" s="73">
        <v>2.35187069486153E7</v>
      </c>
      <c r="F3548" s="73"/>
      <c r="G3548" s="73"/>
      <c r="H3548" s="73"/>
      <c r="I3548" s="73"/>
      <c r="J3548" s="73"/>
      <c r="K3548" s="73"/>
      <c r="L3548" s="73"/>
      <c r="M3548" s="73"/>
      <c r="N3548" s="73"/>
      <c r="O3548" s="73"/>
      <c r="P3548" s="73"/>
      <c r="Q3548" s="73"/>
      <c r="R3548" s="73"/>
      <c r="S3548" s="73"/>
      <c r="T3548" s="73"/>
      <c r="U3548" s="73"/>
      <c r="V3548" s="73"/>
      <c r="W3548" s="73"/>
      <c r="X3548" s="73"/>
      <c r="Y3548" s="73"/>
      <c r="Z3548" s="73"/>
      <c r="AA3548" s="73"/>
      <c r="AB3548" s="73"/>
    </row>
    <row r="3549">
      <c r="A3549" s="73"/>
      <c r="B3549" s="73">
        <v>4883226.28</v>
      </c>
      <c r="C3549" s="73">
        <v>3.58624104598526E8</v>
      </c>
      <c r="D3549" s="73">
        <v>1.7302898563199E8</v>
      </c>
      <c r="E3549" s="73">
        <v>2.35428476569762E7</v>
      </c>
      <c r="F3549" s="73"/>
      <c r="G3549" s="73"/>
      <c r="H3549" s="73"/>
      <c r="I3549" s="73"/>
      <c r="J3549" s="73"/>
      <c r="K3549" s="73"/>
      <c r="L3549" s="73"/>
      <c r="M3549" s="73"/>
      <c r="N3549" s="73"/>
      <c r="O3549" s="73"/>
      <c r="P3549" s="73"/>
      <c r="Q3549" s="73"/>
      <c r="R3549" s="73"/>
      <c r="S3549" s="73"/>
      <c r="T3549" s="73"/>
      <c r="U3549" s="73"/>
      <c r="V3549" s="73"/>
      <c r="W3549" s="73"/>
      <c r="X3549" s="73"/>
      <c r="Y3549" s="73"/>
      <c r="Z3549" s="73"/>
      <c r="AA3549" s="73"/>
      <c r="AB3549" s="73"/>
    </row>
    <row r="3550">
      <c r="A3550" s="73"/>
      <c r="B3550" s="73">
        <v>4889634.72</v>
      </c>
      <c r="C3550" s="73">
        <v>3.58899254670883E8</v>
      </c>
      <c r="D3550" s="73">
        <v>1.73190051627998E8</v>
      </c>
      <c r="E3550" s="73">
        <v>2.35670062191281E7</v>
      </c>
      <c r="F3550" s="73"/>
      <c r="G3550" s="73"/>
      <c r="H3550" s="73"/>
      <c r="I3550" s="73"/>
      <c r="J3550" s="73"/>
      <c r="K3550" s="73"/>
      <c r="L3550" s="73"/>
      <c r="M3550" s="73"/>
      <c r="N3550" s="73"/>
      <c r="O3550" s="73"/>
      <c r="P3550" s="73"/>
      <c r="Q3550" s="73"/>
      <c r="R3550" s="73"/>
      <c r="S3550" s="73"/>
      <c r="T3550" s="73"/>
      <c r="U3550" s="73"/>
      <c r="V3550" s="73"/>
      <c r="W3550" s="73"/>
      <c r="X3550" s="73"/>
      <c r="Y3550" s="73"/>
      <c r="Z3550" s="73"/>
      <c r="AA3550" s="73"/>
      <c r="AB3550" s="73"/>
    </row>
    <row r="3551">
      <c r="A3551" s="73"/>
      <c r="B3551" s="73">
        <v>4896052.256</v>
      </c>
      <c r="C3551" s="73">
        <v>3.59174536583237E8</v>
      </c>
      <c r="D3551" s="73">
        <v>1.73351210999991E8</v>
      </c>
      <c r="E3551" s="73">
        <v>2.35911839494709E7</v>
      </c>
      <c r="F3551" s="73"/>
      <c r="G3551" s="73"/>
      <c r="H3551" s="73"/>
      <c r="I3551" s="73"/>
      <c r="J3551" s="73"/>
      <c r="K3551" s="73"/>
      <c r="L3551" s="73"/>
      <c r="M3551" s="73"/>
      <c r="N3551" s="73"/>
      <c r="O3551" s="73"/>
      <c r="P3551" s="73"/>
      <c r="Q3551" s="73"/>
      <c r="R3551" s="73"/>
      <c r="S3551" s="73"/>
      <c r="T3551" s="73"/>
      <c r="U3551" s="73"/>
      <c r="V3551" s="73"/>
      <c r="W3551" s="73"/>
      <c r="X3551" s="73"/>
      <c r="Y3551" s="73"/>
      <c r="Z3551" s="73"/>
      <c r="AA3551" s="73"/>
      <c r="AB3551" s="73"/>
    </row>
    <row r="3552">
      <c r="A3552" s="73"/>
      <c r="B3552" s="73">
        <v>4902478.34</v>
      </c>
      <c r="C3552" s="73">
        <v>3.59449950335587E8</v>
      </c>
      <c r="D3552" s="73">
        <v>1.7351247338E8</v>
      </c>
      <c r="E3552" s="73">
        <v>2.36153796608048E7</v>
      </c>
      <c r="F3552" s="73"/>
      <c r="G3552" s="73"/>
      <c r="H3552" s="73"/>
      <c r="I3552" s="73"/>
      <c r="J3552" s="73"/>
      <c r="K3552" s="73"/>
      <c r="L3552" s="73"/>
      <c r="M3552" s="73"/>
      <c r="N3552" s="73"/>
      <c r="O3552" s="73"/>
      <c r="P3552" s="73"/>
      <c r="Q3552" s="73"/>
      <c r="R3552" s="73"/>
      <c r="S3552" s="73"/>
      <c r="T3552" s="73"/>
      <c r="U3552" s="73"/>
      <c r="V3552" s="73"/>
      <c r="W3552" s="73"/>
      <c r="X3552" s="73"/>
      <c r="Y3552" s="73"/>
      <c r="Z3552" s="73"/>
      <c r="AA3552" s="73"/>
      <c r="AB3552" s="73"/>
    </row>
    <row r="3553">
      <c r="A3553" s="73"/>
      <c r="B3553" s="73">
        <v>4908913.598</v>
      </c>
      <c r="C3553" s="73">
        <v>3.59725528887932E8</v>
      </c>
      <c r="D3553" s="73">
        <v>1.73673828671993E8</v>
      </c>
      <c r="E3553" s="73">
        <v>2.36395932106657E7</v>
      </c>
      <c r="F3553" s="73"/>
      <c r="G3553" s="73"/>
      <c r="H3553" s="73"/>
      <c r="I3553" s="73"/>
      <c r="J3553" s="73"/>
      <c r="K3553" s="73"/>
      <c r="L3553" s="73"/>
      <c r="M3553" s="73"/>
      <c r="N3553" s="73"/>
      <c r="O3553" s="73"/>
      <c r="P3553" s="73"/>
      <c r="Q3553" s="73"/>
      <c r="R3553" s="73"/>
      <c r="S3553" s="73"/>
      <c r="T3553" s="73"/>
      <c r="U3553" s="73"/>
      <c r="V3553" s="73"/>
      <c r="W3553" s="73"/>
      <c r="X3553" s="73"/>
      <c r="Y3553" s="73"/>
      <c r="Z3553" s="73"/>
      <c r="AA3553" s="73"/>
      <c r="AB3553" s="73"/>
    </row>
    <row r="3554">
      <c r="A3554" s="73"/>
      <c r="B3554" s="73">
        <v>4915357.625</v>
      </c>
      <c r="C3554" s="73">
        <v>3.60001206320274E8</v>
      </c>
      <c r="D3554" s="73">
        <v>1.73835276892002E8</v>
      </c>
      <c r="E3554" s="73">
        <v>2.36638259863816E7</v>
      </c>
      <c r="F3554" s="73"/>
      <c r="G3554" s="73"/>
      <c r="H3554" s="73"/>
      <c r="I3554" s="73"/>
      <c r="J3554" s="73"/>
      <c r="K3554" s="73"/>
      <c r="L3554" s="73"/>
      <c r="M3554" s="73"/>
      <c r="N3554" s="73"/>
      <c r="O3554" s="73"/>
      <c r="P3554" s="73"/>
      <c r="Q3554" s="73"/>
      <c r="R3554" s="73"/>
      <c r="S3554" s="73"/>
      <c r="T3554" s="73"/>
      <c r="U3554" s="73"/>
      <c r="V3554" s="73"/>
      <c r="W3554" s="73"/>
      <c r="X3554" s="73"/>
      <c r="Y3554" s="73"/>
      <c r="Z3554" s="73"/>
      <c r="AA3554" s="73"/>
      <c r="AB3554" s="73"/>
    </row>
    <row r="3555">
      <c r="A3555" s="73"/>
      <c r="B3555" s="73">
        <v>4921810.474</v>
      </c>
      <c r="C3555" s="73">
        <v>3.60277015592613E8</v>
      </c>
      <c r="D3555" s="73">
        <v>1.73996828279995E8</v>
      </c>
      <c r="E3555" s="73">
        <v>2.36880759646245E7</v>
      </c>
      <c r="F3555" s="73"/>
      <c r="G3555" s="73"/>
      <c r="H3555" s="73"/>
      <c r="I3555" s="73"/>
      <c r="J3555" s="73"/>
      <c r="K3555" s="73"/>
      <c r="L3555" s="73"/>
      <c r="M3555" s="73"/>
      <c r="N3555" s="73"/>
      <c r="O3555" s="73"/>
      <c r="P3555" s="73"/>
      <c r="Q3555" s="73"/>
      <c r="R3555" s="73"/>
      <c r="S3555" s="73"/>
      <c r="T3555" s="73"/>
      <c r="U3555" s="73"/>
      <c r="V3555" s="73"/>
      <c r="W3555" s="73"/>
      <c r="X3555" s="73"/>
      <c r="Y3555" s="73"/>
      <c r="Z3555" s="73"/>
      <c r="AA3555" s="73"/>
      <c r="AB3555" s="73"/>
    </row>
    <row r="3556">
      <c r="A3556" s="73"/>
      <c r="B3556" s="73">
        <v>4928272.55</v>
      </c>
      <c r="C3556" s="73">
        <v>3.60552923744949E8</v>
      </c>
      <c r="D3556" s="73">
        <v>1.74158472884004E8</v>
      </c>
      <c r="E3556" s="73">
        <v>2.37123461863224E7</v>
      </c>
      <c r="F3556" s="73"/>
      <c r="G3556" s="73"/>
      <c r="H3556" s="73"/>
      <c r="I3556" s="73"/>
      <c r="J3556" s="73"/>
      <c r="K3556" s="73"/>
      <c r="L3556" s="73"/>
      <c r="M3556" s="73"/>
      <c r="N3556" s="73"/>
      <c r="O3556" s="73"/>
      <c r="P3556" s="73"/>
      <c r="Q3556" s="73"/>
      <c r="R3556" s="73"/>
      <c r="S3556" s="73"/>
      <c r="T3556" s="73"/>
      <c r="U3556" s="73"/>
      <c r="V3556" s="73"/>
      <c r="W3556" s="73"/>
      <c r="X3556" s="73"/>
      <c r="Y3556" s="73"/>
      <c r="Z3556" s="73"/>
      <c r="AA3556" s="73"/>
      <c r="AB3556" s="73"/>
    </row>
    <row r="3557">
      <c r="A3557" s="73"/>
      <c r="B3557" s="73">
        <v>4934743.376</v>
      </c>
      <c r="C3557" s="73">
        <v>3.60828996697281E8</v>
      </c>
      <c r="D3557" s="73">
        <v>1.74320220351997E8</v>
      </c>
      <c r="E3557" s="73">
        <v>2.37366330593473E7</v>
      </c>
      <c r="F3557" s="73"/>
      <c r="G3557" s="73"/>
      <c r="H3557" s="73"/>
      <c r="I3557" s="73"/>
      <c r="J3557" s="73"/>
      <c r="K3557" s="73"/>
      <c r="L3557" s="73"/>
      <c r="M3557" s="73"/>
      <c r="N3557" s="73"/>
      <c r="O3557" s="73"/>
      <c r="P3557" s="73"/>
      <c r="Q3557" s="73"/>
      <c r="R3557" s="73"/>
      <c r="S3557" s="73"/>
      <c r="T3557" s="73"/>
      <c r="U3557" s="73"/>
      <c r="V3557" s="73"/>
      <c r="W3557" s="73"/>
      <c r="X3557" s="73"/>
      <c r="Y3557" s="73"/>
      <c r="Z3557" s="73"/>
      <c r="AA3557" s="73"/>
      <c r="AB3557" s="73"/>
    </row>
    <row r="3558">
      <c r="A3558" s="73"/>
      <c r="B3558" s="73">
        <v>4941223.367</v>
      </c>
      <c r="C3558" s="73">
        <v>3.61105201489609E8</v>
      </c>
      <c r="D3558" s="73">
        <v>1.7448206073199E8</v>
      </c>
      <c r="E3558" s="73">
        <v>2.37609384645633E7</v>
      </c>
      <c r="F3558" s="73"/>
      <c r="G3558" s="73"/>
      <c r="H3558" s="73"/>
      <c r="I3558" s="73"/>
      <c r="J3558" s="73"/>
      <c r="K3558" s="73"/>
      <c r="L3558" s="73"/>
      <c r="M3558" s="73"/>
      <c r="N3558" s="73"/>
      <c r="O3558" s="73"/>
      <c r="P3558" s="73"/>
      <c r="Q3558" s="73"/>
      <c r="R3558" s="73"/>
      <c r="S3558" s="73"/>
      <c r="T3558" s="73"/>
      <c r="U3558" s="73"/>
      <c r="V3558" s="73"/>
      <c r="W3558" s="73"/>
      <c r="X3558" s="73"/>
      <c r="Y3558" s="73"/>
      <c r="Z3558" s="73"/>
      <c r="AA3558" s="73"/>
      <c r="AB3558" s="73"/>
    </row>
    <row r="3559">
      <c r="A3559" s="73"/>
      <c r="B3559" s="73">
        <v>4947712.296</v>
      </c>
      <c r="C3559" s="73">
        <v>3.61381571081932E8</v>
      </c>
      <c r="D3559" s="73">
        <v>1.74644004583999E8</v>
      </c>
      <c r="E3559" s="73">
        <v>2.37852624867702E7</v>
      </c>
      <c r="F3559" s="73"/>
      <c r="G3559" s="73"/>
      <c r="H3559" s="73"/>
      <c r="I3559" s="73"/>
      <c r="J3559" s="73"/>
      <c r="K3559" s="73"/>
      <c r="L3559" s="73"/>
      <c r="M3559" s="73"/>
      <c r="N3559" s="73"/>
      <c r="O3559" s="73"/>
      <c r="P3559" s="73"/>
      <c r="Q3559" s="73"/>
      <c r="R3559" s="73"/>
      <c r="S3559" s="73"/>
      <c r="T3559" s="73"/>
      <c r="U3559" s="73"/>
      <c r="V3559" s="73"/>
      <c r="W3559" s="73"/>
      <c r="X3559" s="73"/>
      <c r="Y3559" s="73"/>
      <c r="Z3559" s="73"/>
      <c r="AA3559" s="73"/>
      <c r="AB3559" s="73"/>
    </row>
    <row r="3560">
      <c r="A3560" s="73"/>
      <c r="B3560" s="73">
        <v>4954210.256</v>
      </c>
      <c r="C3560" s="73">
        <v>3.61658072514252E8</v>
      </c>
      <c r="D3560" s="73">
        <v>1.74806041203992E8</v>
      </c>
      <c r="E3560" s="73">
        <v>2.38096052955682E7</v>
      </c>
      <c r="F3560" s="73"/>
      <c r="G3560" s="73"/>
      <c r="H3560" s="73"/>
      <c r="I3560" s="73"/>
      <c r="J3560" s="73"/>
      <c r="K3560" s="73"/>
      <c r="L3560" s="73"/>
      <c r="M3560" s="73"/>
      <c r="N3560" s="73"/>
      <c r="O3560" s="73"/>
      <c r="P3560" s="73"/>
      <c r="Q3560" s="73"/>
      <c r="R3560" s="73"/>
      <c r="S3560" s="73"/>
      <c r="T3560" s="73"/>
      <c r="U3560" s="73"/>
      <c r="V3560" s="73"/>
      <c r="W3560" s="73"/>
      <c r="X3560" s="73"/>
      <c r="Y3560" s="73"/>
      <c r="Z3560" s="73"/>
      <c r="AA3560" s="73"/>
      <c r="AB3560" s="73"/>
    </row>
    <row r="3561">
      <c r="A3561" s="73"/>
      <c r="B3561" s="73">
        <v>4960717.172</v>
      </c>
      <c r="C3561" s="73">
        <v>3.61934672826569E8</v>
      </c>
      <c r="D3561" s="73">
        <v>1.74968181136001E8</v>
      </c>
      <c r="E3561" s="73">
        <v>2.38339660429571E7</v>
      </c>
      <c r="F3561" s="73"/>
      <c r="G3561" s="73"/>
      <c r="H3561" s="73"/>
      <c r="I3561" s="73"/>
      <c r="J3561" s="73"/>
      <c r="K3561" s="73"/>
      <c r="L3561" s="73"/>
      <c r="M3561" s="73"/>
      <c r="N3561" s="73"/>
      <c r="O3561" s="73"/>
      <c r="P3561" s="73"/>
      <c r="Q3561" s="73"/>
      <c r="R3561" s="73"/>
      <c r="S3561" s="73"/>
      <c r="T3561" s="73"/>
      <c r="U3561" s="73"/>
      <c r="V3561" s="73"/>
      <c r="W3561" s="73"/>
      <c r="X3561" s="73"/>
      <c r="Y3561" s="73"/>
      <c r="Z3561" s="73"/>
      <c r="AA3561" s="73"/>
      <c r="AB3561" s="73"/>
    </row>
    <row r="3562">
      <c r="A3562" s="73"/>
      <c r="B3562" s="73">
        <v>4967233.156</v>
      </c>
      <c r="C3562" s="73">
        <v>3.62211404978882E8</v>
      </c>
      <c r="D3562" s="73">
        <v>1.75130393515994E8</v>
      </c>
      <c r="E3562" s="73">
        <v>2.38583443320732E7</v>
      </c>
      <c r="F3562" s="73"/>
      <c r="G3562" s="73"/>
      <c r="H3562" s="73"/>
      <c r="I3562" s="73"/>
      <c r="J3562" s="73"/>
      <c r="K3562" s="73"/>
      <c r="L3562" s="73"/>
      <c r="M3562" s="73"/>
      <c r="N3562" s="73"/>
      <c r="O3562" s="73"/>
      <c r="P3562" s="73"/>
      <c r="Q3562" s="73"/>
      <c r="R3562" s="73"/>
      <c r="S3562" s="73"/>
      <c r="T3562" s="73"/>
      <c r="U3562" s="73"/>
      <c r="V3562" s="73"/>
      <c r="W3562" s="73"/>
      <c r="X3562" s="73"/>
      <c r="Y3562" s="73"/>
      <c r="Z3562" s="73"/>
      <c r="AA3562" s="73"/>
      <c r="AB3562" s="73"/>
    </row>
    <row r="3563">
      <c r="A3563" s="73"/>
      <c r="B3563" s="73">
        <v>4973758.259</v>
      </c>
      <c r="C3563" s="73">
        <v>3.6248830193119E8</v>
      </c>
      <c r="D3563" s="73">
        <v>1.75292729528002E8</v>
      </c>
      <c r="E3563" s="73">
        <v>2.38827425254441E7</v>
      </c>
      <c r="F3563" s="73"/>
      <c r="G3563" s="73"/>
      <c r="H3563" s="73"/>
      <c r="I3563" s="73"/>
      <c r="J3563" s="73"/>
      <c r="K3563" s="73"/>
      <c r="L3563" s="73"/>
      <c r="M3563" s="73"/>
      <c r="N3563" s="73"/>
      <c r="O3563" s="73"/>
      <c r="P3563" s="73"/>
      <c r="Q3563" s="73"/>
      <c r="R3563" s="73"/>
      <c r="S3563" s="73"/>
      <c r="T3563" s="73"/>
      <c r="U3563" s="73"/>
      <c r="V3563" s="73"/>
      <c r="W3563" s="73"/>
      <c r="X3563" s="73"/>
      <c r="Y3563" s="73"/>
      <c r="Z3563" s="73"/>
      <c r="AA3563" s="73"/>
      <c r="AB3563" s="73"/>
    </row>
    <row r="3564">
      <c r="A3564" s="73"/>
      <c r="B3564" s="73">
        <v>4980292.506</v>
      </c>
      <c r="C3564" s="73">
        <v>3.62765297763496E8</v>
      </c>
      <c r="D3564" s="73">
        <v>1.75455168707996E8</v>
      </c>
      <c r="E3564" s="73">
        <v>2.39071579213421E7</v>
      </c>
      <c r="F3564" s="73"/>
      <c r="G3564" s="73"/>
      <c r="H3564" s="73"/>
      <c r="I3564" s="73"/>
      <c r="J3564" s="73"/>
      <c r="K3564" s="73"/>
      <c r="L3564" s="73"/>
      <c r="M3564" s="73"/>
      <c r="N3564" s="73"/>
      <c r="O3564" s="73"/>
      <c r="P3564" s="73"/>
      <c r="Q3564" s="73"/>
      <c r="R3564" s="73"/>
      <c r="S3564" s="73"/>
      <c r="T3564" s="73"/>
      <c r="U3564" s="73"/>
      <c r="V3564" s="73"/>
      <c r="W3564" s="73"/>
      <c r="X3564" s="73"/>
      <c r="Y3564" s="73"/>
      <c r="Z3564" s="73"/>
      <c r="AA3564" s="73"/>
      <c r="AB3564" s="73"/>
    </row>
    <row r="3565">
      <c r="A3565" s="73"/>
      <c r="B3565" s="73">
        <v>4986835.699</v>
      </c>
      <c r="C3565" s="73">
        <v>3.63042458395798E8</v>
      </c>
      <c r="D3565" s="73">
        <v>1.75617690560004E8</v>
      </c>
      <c r="E3565" s="73">
        <v>2.39315929246951E7</v>
      </c>
      <c r="F3565" s="73"/>
      <c r="G3565" s="73"/>
      <c r="H3565" s="73"/>
      <c r="I3565" s="73"/>
      <c r="J3565" s="73"/>
      <c r="K3565" s="73"/>
      <c r="L3565" s="73"/>
      <c r="M3565" s="73"/>
      <c r="N3565" s="73"/>
      <c r="O3565" s="73"/>
      <c r="P3565" s="73"/>
      <c r="Q3565" s="73"/>
      <c r="R3565" s="73"/>
      <c r="S3565" s="73"/>
      <c r="T3565" s="73"/>
      <c r="U3565" s="73"/>
      <c r="V3565" s="73"/>
      <c r="W3565" s="73"/>
      <c r="X3565" s="73"/>
      <c r="Y3565" s="73"/>
      <c r="Z3565" s="73"/>
      <c r="AA3565" s="73"/>
      <c r="AB3565" s="73"/>
    </row>
    <row r="3566">
      <c r="A3566" s="73"/>
      <c r="B3566" s="73">
        <v>4993388.124</v>
      </c>
      <c r="C3566" s="73">
        <v>3.63319783828094E8</v>
      </c>
      <c r="D3566" s="73">
        <v>1.75780315723998E8</v>
      </c>
      <c r="E3566" s="73">
        <v>2.39560451305751E7</v>
      </c>
      <c r="F3566" s="73"/>
      <c r="G3566" s="73"/>
      <c r="H3566" s="73"/>
      <c r="I3566" s="73"/>
      <c r="J3566" s="73"/>
      <c r="K3566" s="73"/>
      <c r="L3566" s="73"/>
      <c r="M3566" s="73"/>
      <c r="N3566" s="73"/>
      <c r="O3566" s="73"/>
      <c r="P3566" s="73"/>
      <c r="Q3566" s="73"/>
      <c r="R3566" s="73"/>
      <c r="S3566" s="73"/>
      <c r="T3566" s="73"/>
      <c r="U3566" s="73"/>
      <c r="V3566" s="73"/>
      <c r="W3566" s="73"/>
      <c r="X3566" s="73"/>
      <c r="Y3566" s="73"/>
      <c r="Z3566" s="73"/>
      <c r="AA3566" s="73"/>
      <c r="AB3566" s="73"/>
    </row>
    <row r="3567">
      <c r="A3567" s="73"/>
      <c r="B3567" s="73">
        <v>4999949.468</v>
      </c>
      <c r="C3567" s="73">
        <v>3.63597208140388E8</v>
      </c>
      <c r="D3567" s="73">
        <v>1.75943023431991E8</v>
      </c>
      <c r="E3567" s="73">
        <v>2.39805155718462E7</v>
      </c>
      <c r="F3567" s="73"/>
      <c r="G3567" s="73"/>
      <c r="H3567" s="73"/>
      <c r="I3567" s="73"/>
      <c r="J3567" s="73"/>
      <c r="K3567" s="73"/>
      <c r="L3567" s="73"/>
      <c r="M3567" s="73"/>
      <c r="N3567" s="73"/>
      <c r="O3567" s="73"/>
      <c r="P3567" s="73"/>
      <c r="Q3567" s="73"/>
      <c r="R3567" s="73"/>
      <c r="S3567" s="73"/>
      <c r="T3567" s="73"/>
      <c r="U3567" s="73"/>
      <c r="V3567" s="73"/>
      <c r="W3567" s="73"/>
      <c r="X3567" s="73"/>
      <c r="Y3567" s="73"/>
      <c r="Z3567" s="73"/>
      <c r="AA3567" s="73"/>
      <c r="AB3567" s="73"/>
    </row>
    <row r="3568">
      <c r="A3568" s="73"/>
      <c r="B3568" s="73">
        <v>5006520.245</v>
      </c>
      <c r="C3568" s="73">
        <v>3.63874698372681E8</v>
      </c>
      <c r="D3568" s="73">
        <v>1.76105855075999E8</v>
      </c>
      <c r="E3568" s="73">
        <v>2.40050049269082E7</v>
      </c>
      <c r="F3568" s="73"/>
      <c r="G3568" s="73"/>
      <c r="H3568" s="73"/>
      <c r="I3568" s="73"/>
      <c r="J3568" s="73"/>
      <c r="K3568" s="73"/>
      <c r="L3568" s="73"/>
      <c r="M3568" s="73"/>
      <c r="N3568" s="73"/>
      <c r="O3568" s="73"/>
      <c r="P3568" s="73"/>
      <c r="Q3568" s="73"/>
      <c r="R3568" s="73"/>
      <c r="S3568" s="73"/>
      <c r="T3568" s="73"/>
      <c r="U3568" s="73"/>
      <c r="V3568" s="73"/>
      <c r="W3568" s="73"/>
      <c r="X3568" s="73"/>
      <c r="Y3568" s="73"/>
      <c r="Z3568" s="73"/>
      <c r="AA3568" s="73"/>
      <c r="AB3568" s="73"/>
    </row>
    <row r="3569">
      <c r="A3569" s="73"/>
      <c r="B3569" s="73">
        <v>5013100.059</v>
      </c>
      <c r="C3569" s="73">
        <v>3.64152419324966E8</v>
      </c>
      <c r="D3569" s="73">
        <v>1.76268769247993E8</v>
      </c>
      <c r="E3569" s="73">
        <v>2.40295130685612E7</v>
      </c>
      <c r="F3569" s="73"/>
      <c r="G3569" s="73"/>
      <c r="H3569" s="73"/>
      <c r="I3569" s="73"/>
      <c r="J3569" s="73"/>
      <c r="K3569" s="73"/>
      <c r="L3569" s="73"/>
      <c r="M3569" s="73"/>
      <c r="N3569" s="73"/>
      <c r="O3569" s="73"/>
      <c r="P3569" s="73"/>
      <c r="Q3569" s="73"/>
      <c r="R3569" s="73"/>
      <c r="S3569" s="73"/>
      <c r="T3569" s="73"/>
      <c r="U3569" s="73"/>
      <c r="V3569" s="73"/>
      <c r="W3569" s="73"/>
      <c r="X3569" s="73"/>
      <c r="Y3569" s="73"/>
      <c r="Z3569" s="73"/>
      <c r="AA3569" s="73"/>
      <c r="AB3569" s="73"/>
    </row>
    <row r="3570">
      <c r="A3570" s="73"/>
      <c r="B3570" s="73">
        <v>5019689.101</v>
      </c>
      <c r="C3570" s="73">
        <v>3.6443020619725E8</v>
      </c>
      <c r="D3570" s="73">
        <v>1.76431786588001E8</v>
      </c>
      <c r="E3570" s="73">
        <v>2.40540392760052E7</v>
      </c>
      <c r="F3570" s="73"/>
      <c r="G3570" s="73"/>
      <c r="H3570" s="73"/>
      <c r="I3570" s="73"/>
      <c r="J3570" s="73"/>
      <c r="K3570" s="73"/>
      <c r="L3570" s="73"/>
      <c r="M3570" s="73"/>
      <c r="N3570" s="73"/>
      <c r="O3570" s="73"/>
      <c r="P3570" s="73"/>
      <c r="Q3570" s="73"/>
      <c r="R3570" s="73"/>
      <c r="S3570" s="73"/>
      <c r="T3570" s="73"/>
      <c r="U3570" s="73"/>
      <c r="V3570" s="73"/>
      <c r="W3570" s="73"/>
      <c r="X3570" s="73"/>
      <c r="Y3570" s="73"/>
      <c r="Z3570" s="73"/>
      <c r="AA3570" s="73"/>
      <c r="AB3570" s="73"/>
    </row>
    <row r="3571">
      <c r="A3571" s="73"/>
      <c r="B3571" s="73">
        <v>5026287.204</v>
      </c>
      <c r="C3571" s="73">
        <v>3.64708190829529E8</v>
      </c>
      <c r="D3571" s="73">
        <v>1.76594886599995E8</v>
      </c>
      <c r="E3571" s="73">
        <v>2.40785843124403E7</v>
      </c>
      <c r="F3571" s="73"/>
      <c r="G3571" s="73"/>
      <c r="H3571" s="73"/>
      <c r="I3571" s="73"/>
      <c r="J3571" s="73"/>
      <c r="K3571" s="73"/>
      <c r="L3571" s="73"/>
      <c r="M3571" s="73"/>
      <c r="N3571" s="73"/>
      <c r="O3571" s="73"/>
      <c r="P3571" s="73"/>
      <c r="Q3571" s="73"/>
      <c r="R3571" s="73"/>
      <c r="S3571" s="73"/>
      <c r="T3571" s="73"/>
      <c r="U3571" s="73"/>
      <c r="V3571" s="73"/>
      <c r="W3571" s="73"/>
      <c r="X3571" s="73"/>
      <c r="Y3571" s="73"/>
      <c r="Z3571" s="73"/>
      <c r="AA3571" s="73"/>
      <c r="AB3571" s="73"/>
    </row>
    <row r="3572">
      <c r="A3572" s="73"/>
      <c r="B3572" s="73">
        <v>5032894.516</v>
      </c>
      <c r="C3572" s="73">
        <v>3.64986274341805E8</v>
      </c>
      <c r="D3572" s="73">
        <v>1.76758089780003E8</v>
      </c>
      <c r="E3572" s="73">
        <v>2.41031464242024E7</v>
      </c>
      <c r="F3572" s="73"/>
      <c r="G3572" s="73"/>
      <c r="H3572" s="73"/>
      <c r="I3572" s="73"/>
      <c r="J3572" s="73"/>
      <c r="K3572" s="73"/>
      <c r="L3572" s="73"/>
      <c r="M3572" s="73"/>
      <c r="N3572" s="73"/>
      <c r="O3572" s="73"/>
      <c r="P3572" s="73"/>
      <c r="Q3572" s="73"/>
      <c r="R3572" s="73"/>
      <c r="S3572" s="73"/>
      <c r="T3572" s="73"/>
      <c r="U3572" s="73"/>
      <c r="V3572" s="73"/>
      <c r="W3572" s="73"/>
      <c r="X3572" s="73"/>
      <c r="Y3572" s="73"/>
      <c r="Z3572" s="73"/>
      <c r="AA3572" s="73"/>
      <c r="AB3572" s="73"/>
    </row>
    <row r="3573">
      <c r="A3573" s="73"/>
      <c r="B3573" s="73">
        <v>5039511.093</v>
      </c>
      <c r="C3573" s="73">
        <v>3.65264489694077E8</v>
      </c>
      <c r="D3573" s="73">
        <v>1.76921396271996E8</v>
      </c>
      <c r="E3573" s="73">
        <v>2.41277283554194E7</v>
      </c>
      <c r="F3573" s="73"/>
      <c r="G3573" s="73"/>
      <c r="H3573" s="73"/>
      <c r="I3573" s="73"/>
      <c r="J3573" s="73"/>
      <c r="K3573" s="73"/>
      <c r="L3573" s="73"/>
      <c r="M3573" s="73"/>
      <c r="N3573" s="73"/>
      <c r="O3573" s="73"/>
      <c r="P3573" s="73"/>
      <c r="Q3573" s="73"/>
      <c r="R3573" s="73"/>
      <c r="S3573" s="73"/>
      <c r="T3573" s="73"/>
      <c r="U3573" s="73"/>
      <c r="V3573" s="73"/>
      <c r="W3573" s="73"/>
      <c r="X3573" s="73"/>
      <c r="Y3573" s="73"/>
      <c r="Z3573" s="73"/>
      <c r="AA3573" s="73"/>
      <c r="AB3573" s="73"/>
    </row>
    <row r="3574">
      <c r="A3574" s="73"/>
      <c r="B3574" s="73">
        <v>5046136.886</v>
      </c>
      <c r="C3574" s="73">
        <v>3.65542869846344E8</v>
      </c>
      <c r="D3574" s="73">
        <v>1.7708480607599E8</v>
      </c>
      <c r="E3574" s="73">
        <v>2.41523276163635E7</v>
      </c>
      <c r="F3574" s="73"/>
      <c r="G3574" s="73"/>
      <c r="H3574" s="73"/>
      <c r="I3574" s="73"/>
      <c r="J3574" s="73"/>
      <c r="K3574" s="73"/>
      <c r="L3574" s="73"/>
      <c r="M3574" s="73"/>
      <c r="N3574" s="73"/>
      <c r="O3574" s="73"/>
      <c r="P3574" s="73"/>
      <c r="Q3574" s="73"/>
      <c r="R3574" s="73"/>
      <c r="S3574" s="73"/>
      <c r="T3574" s="73"/>
      <c r="U3574" s="73"/>
      <c r="V3574" s="73"/>
      <c r="W3574" s="73"/>
      <c r="X3574" s="73"/>
      <c r="Y3574" s="73"/>
      <c r="Z3574" s="73"/>
      <c r="AA3574" s="73"/>
      <c r="AB3574" s="73"/>
    </row>
    <row r="3575">
      <c r="A3575" s="73"/>
      <c r="B3575" s="73">
        <v>5052771.933</v>
      </c>
      <c r="C3575" s="73">
        <v>3.65821348878609E8</v>
      </c>
      <c r="D3575" s="73">
        <v>1.77248318887998E8</v>
      </c>
      <c r="E3575" s="73">
        <v>2.41769452398986E7</v>
      </c>
      <c r="F3575" s="73"/>
      <c r="G3575" s="73"/>
      <c r="H3575" s="73"/>
      <c r="I3575" s="73"/>
      <c r="J3575" s="73"/>
      <c r="K3575" s="73"/>
      <c r="L3575" s="73"/>
      <c r="M3575" s="73"/>
      <c r="N3575" s="73"/>
      <c r="O3575" s="73"/>
      <c r="P3575" s="73"/>
      <c r="Q3575" s="73"/>
      <c r="R3575" s="73"/>
      <c r="S3575" s="73"/>
      <c r="T3575" s="73"/>
      <c r="U3575" s="73"/>
      <c r="V3575" s="73"/>
      <c r="W3575" s="73"/>
      <c r="X3575" s="73"/>
      <c r="Y3575" s="73"/>
      <c r="Z3575" s="73"/>
      <c r="AA3575" s="73"/>
      <c r="AB3575" s="73"/>
    </row>
    <row r="3576">
      <c r="A3576" s="73"/>
      <c r="B3576" s="73">
        <v>5059416.28</v>
      </c>
      <c r="C3576" s="73">
        <v>3.66099926790871E8</v>
      </c>
      <c r="D3576" s="73">
        <v>1.77411914531991E8</v>
      </c>
      <c r="E3576" s="73">
        <v>2.42015832764886E7</v>
      </c>
      <c r="F3576" s="73"/>
      <c r="G3576" s="73"/>
      <c r="H3576" s="73"/>
      <c r="I3576" s="73"/>
      <c r="J3576" s="73"/>
      <c r="K3576" s="73"/>
      <c r="L3576" s="73"/>
      <c r="M3576" s="73"/>
      <c r="N3576" s="73"/>
      <c r="O3576" s="73"/>
      <c r="P3576" s="73"/>
      <c r="Q3576" s="73"/>
      <c r="R3576" s="73"/>
      <c r="S3576" s="73"/>
      <c r="T3576" s="73"/>
      <c r="U3576" s="73"/>
      <c r="V3576" s="73"/>
      <c r="W3576" s="73"/>
      <c r="X3576" s="73"/>
      <c r="Y3576" s="73"/>
      <c r="Z3576" s="73"/>
      <c r="AA3576" s="73"/>
      <c r="AB3576" s="73"/>
    </row>
    <row r="3577">
      <c r="A3577" s="73"/>
      <c r="B3577" s="73">
        <v>5066069.667</v>
      </c>
      <c r="C3577" s="73">
        <v>3.66378702463127E8</v>
      </c>
      <c r="D3577" s="73">
        <v>1.77575613184E8</v>
      </c>
      <c r="E3577" s="73">
        <v>2.42262379644057E7</v>
      </c>
      <c r="F3577" s="73"/>
      <c r="G3577" s="73"/>
      <c r="H3577" s="73"/>
      <c r="I3577" s="73"/>
      <c r="J3577" s="73"/>
      <c r="K3577" s="73"/>
      <c r="L3577" s="73"/>
      <c r="M3577" s="73"/>
      <c r="N3577" s="73"/>
      <c r="O3577" s="73"/>
      <c r="P3577" s="73"/>
      <c r="Q3577" s="73"/>
      <c r="R3577" s="73"/>
      <c r="S3577" s="73"/>
      <c r="T3577" s="73"/>
      <c r="U3577" s="73"/>
      <c r="V3577" s="73"/>
      <c r="W3577" s="73"/>
      <c r="X3577" s="73"/>
      <c r="Y3577" s="73"/>
      <c r="Z3577" s="73"/>
      <c r="AA3577" s="73"/>
      <c r="AB3577" s="73"/>
    </row>
    <row r="3578">
      <c r="A3578" s="73"/>
      <c r="B3578" s="73">
        <v>5072732.503</v>
      </c>
      <c r="C3578" s="73">
        <v>3.6665760997538E8</v>
      </c>
      <c r="D3578" s="73">
        <v>1.77739415163993E8</v>
      </c>
      <c r="E3578" s="73">
        <v>2.42509114813138E7</v>
      </c>
      <c r="F3578" s="73"/>
      <c r="G3578" s="73"/>
      <c r="H3578" s="73"/>
      <c r="I3578" s="73"/>
      <c r="J3578" s="73"/>
      <c r="K3578" s="73"/>
      <c r="L3578" s="73"/>
      <c r="M3578" s="73"/>
      <c r="N3578" s="73"/>
      <c r="O3578" s="73"/>
      <c r="P3578" s="73"/>
      <c r="Q3578" s="73"/>
      <c r="R3578" s="73"/>
      <c r="S3578" s="73"/>
      <c r="T3578" s="73"/>
      <c r="U3578" s="73"/>
      <c r="V3578" s="73"/>
      <c r="W3578" s="73"/>
      <c r="X3578" s="73"/>
      <c r="Y3578" s="73"/>
      <c r="Z3578" s="73"/>
      <c r="AA3578" s="73"/>
      <c r="AB3578" s="73"/>
    </row>
    <row r="3579">
      <c r="A3579" s="73"/>
      <c r="B3579" s="73">
        <v>5079404.589</v>
      </c>
      <c r="C3579" s="73">
        <v>3.66936649327629E8</v>
      </c>
      <c r="D3579" s="73">
        <v>1.77903299816002E8</v>
      </c>
      <c r="E3579" s="73">
        <v>2.42756033184129E7</v>
      </c>
      <c r="F3579" s="73"/>
      <c r="G3579" s="73"/>
      <c r="H3579" s="73"/>
      <c r="I3579" s="73"/>
      <c r="J3579" s="73"/>
      <c r="K3579" s="73"/>
      <c r="L3579" s="73"/>
      <c r="M3579" s="73"/>
      <c r="N3579" s="73"/>
      <c r="O3579" s="73"/>
      <c r="P3579" s="73"/>
      <c r="Q3579" s="73"/>
      <c r="R3579" s="73"/>
      <c r="S3579" s="73"/>
      <c r="T3579" s="73"/>
      <c r="U3579" s="73"/>
      <c r="V3579" s="73"/>
      <c r="W3579" s="73"/>
      <c r="X3579" s="73"/>
      <c r="Y3579" s="73"/>
      <c r="Z3579" s="73"/>
      <c r="AA3579" s="73"/>
      <c r="AB3579" s="73"/>
    </row>
    <row r="3580">
      <c r="A3580" s="73"/>
      <c r="B3580" s="73">
        <v>5086085.999</v>
      </c>
      <c r="C3580" s="73">
        <v>3.67215820519875E8</v>
      </c>
      <c r="D3580" s="73">
        <v>1.78067308099995E8</v>
      </c>
      <c r="E3580" s="73">
        <v>2.4300313163639E7</v>
      </c>
      <c r="F3580" s="73"/>
      <c r="G3580" s="73"/>
      <c r="H3580" s="73"/>
      <c r="I3580" s="73"/>
      <c r="J3580" s="73"/>
      <c r="K3580" s="73"/>
      <c r="L3580" s="73"/>
      <c r="M3580" s="73"/>
      <c r="N3580" s="73"/>
      <c r="O3580" s="73"/>
      <c r="P3580" s="73"/>
      <c r="Q3580" s="73"/>
      <c r="R3580" s="73"/>
      <c r="S3580" s="73"/>
      <c r="T3580" s="73"/>
      <c r="U3580" s="73"/>
      <c r="V3580" s="73"/>
      <c r="W3580" s="73"/>
      <c r="X3580" s="73"/>
      <c r="Y3580" s="73"/>
      <c r="Z3580" s="73"/>
      <c r="AA3580" s="73"/>
      <c r="AB3580" s="73"/>
    </row>
    <row r="3581">
      <c r="A3581" s="73"/>
      <c r="B3581" s="73">
        <v>5092776.832</v>
      </c>
      <c r="C3581" s="73">
        <v>3.67495090592117E8</v>
      </c>
      <c r="D3581" s="73">
        <v>1.78231399232004E8</v>
      </c>
      <c r="E3581" s="73">
        <v>2.43250421075201E7</v>
      </c>
      <c r="F3581" s="73"/>
      <c r="G3581" s="73"/>
      <c r="H3581" s="73"/>
      <c r="I3581" s="73"/>
      <c r="J3581" s="73"/>
      <c r="K3581" s="73"/>
      <c r="L3581" s="73"/>
      <c r="M3581" s="73"/>
      <c r="N3581" s="73"/>
      <c r="O3581" s="73"/>
      <c r="P3581" s="73"/>
      <c r="Q3581" s="73"/>
      <c r="R3581" s="73"/>
      <c r="S3581" s="73"/>
      <c r="T3581" s="73"/>
      <c r="U3581" s="73"/>
      <c r="V3581" s="73"/>
      <c r="W3581" s="73"/>
      <c r="X3581" s="73"/>
      <c r="Y3581" s="73"/>
      <c r="Z3581" s="73"/>
      <c r="AA3581" s="73"/>
      <c r="AB3581" s="73"/>
    </row>
    <row r="3582">
      <c r="A3582" s="73"/>
      <c r="B3582" s="73">
        <v>5099476.821</v>
      </c>
      <c r="C3582" s="73">
        <v>3.67774525464355E8</v>
      </c>
      <c r="D3582" s="73">
        <v>1.78395593355997E8</v>
      </c>
      <c r="E3582" s="73">
        <v>2.43497899227922E7</v>
      </c>
      <c r="F3582" s="73"/>
      <c r="G3582" s="73"/>
      <c r="H3582" s="73"/>
      <c r="I3582" s="73"/>
      <c r="J3582" s="73"/>
      <c r="K3582" s="73"/>
      <c r="L3582" s="73"/>
      <c r="M3582" s="73"/>
      <c r="N3582" s="73"/>
      <c r="O3582" s="73"/>
      <c r="P3582" s="73"/>
      <c r="Q3582" s="73"/>
      <c r="R3582" s="73"/>
      <c r="S3582" s="73"/>
      <c r="T3582" s="73"/>
      <c r="U3582" s="73"/>
      <c r="V3582" s="73"/>
      <c r="W3582" s="73"/>
      <c r="X3582" s="73"/>
      <c r="Y3582" s="73"/>
      <c r="Z3582" s="73"/>
      <c r="AA3582" s="73"/>
      <c r="AB3582" s="73"/>
    </row>
    <row r="3583">
      <c r="A3583" s="73"/>
      <c r="B3583" s="73">
        <v>5106186.421</v>
      </c>
      <c r="C3583" s="73">
        <v>3.68054059216591E8</v>
      </c>
      <c r="D3583" s="73">
        <v>1.7855987032799E8</v>
      </c>
      <c r="E3583" s="73">
        <v>2.43745551949913E7</v>
      </c>
      <c r="F3583" s="73"/>
      <c r="G3583" s="73"/>
      <c r="H3583" s="73"/>
      <c r="I3583" s="73"/>
      <c r="J3583" s="73"/>
      <c r="K3583" s="73"/>
      <c r="L3583" s="73"/>
      <c r="M3583" s="73"/>
      <c r="N3583" s="73"/>
      <c r="O3583" s="73"/>
      <c r="P3583" s="73"/>
      <c r="Q3583" s="73"/>
      <c r="R3583" s="73"/>
      <c r="S3583" s="73"/>
      <c r="T3583" s="73"/>
      <c r="U3583" s="73"/>
      <c r="V3583" s="73"/>
      <c r="W3583" s="73"/>
      <c r="X3583" s="73"/>
      <c r="Y3583" s="73"/>
      <c r="Z3583" s="73"/>
      <c r="AA3583" s="73"/>
      <c r="AB3583" s="73"/>
    </row>
    <row r="3584">
      <c r="A3584" s="73"/>
      <c r="B3584" s="73">
        <v>5112905.048</v>
      </c>
      <c r="C3584" s="73">
        <v>3.68333790728821E8</v>
      </c>
      <c r="D3584" s="73">
        <v>1.78724250451999E8</v>
      </c>
      <c r="E3584" s="73">
        <v>2.43993402018454E7</v>
      </c>
      <c r="F3584" s="73"/>
      <c r="G3584" s="73"/>
      <c r="H3584" s="73"/>
      <c r="I3584" s="73"/>
      <c r="J3584" s="73"/>
      <c r="K3584" s="73"/>
      <c r="L3584" s="73"/>
      <c r="M3584" s="73"/>
      <c r="N3584" s="73"/>
      <c r="O3584" s="73"/>
      <c r="P3584" s="73"/>
      <c r="Q3584" s="73"/>
      <c r="R3584" s="73"/>
      <c r="S3584" s="73"/>
      <c r="T3584" s="73"/>
      <c r="U3584" s="73"/>
      <c r="V3584" s="73"/>
      <c r="W3584" s="73"/>
      <c r="X3584" s="73"/>
      <c r="Y3584" s="73"/>
      <c r="Z3584" s="73"/>
      <c r="AA3584" s="73"/>
      <c r="AB3584" s="73"/>
    </row>
    <row r="3585">
      <c r="A3585" s="73"/>
      <c r="B3585" s="73">
        <v>5119633.204</v>
      </c>
      <c r="C3585" s="73">
        <v>3.68613588161049E8</v>
      </c>
      <c r="D3585" s="73">
        <v>1.78888733743992E8</v>
      </c>
      <c r="E3585" s="73">
        <v>2.44241426656265E7</v>
      </c>
      <c r="F3585" s="73"/>
      <c r="G3585" s="73"/>
      <c r="H3585" s="73"/>
      <c r="I3585" s="73"/>
      <c r="J3585" s="73"/>
      <c r="K3585" s="73"/>
      <c r="L3585" s="73"/>
      <c r="M3585" s="73"/>
      <c r="N3585" s="73"/>
      <c r="O3585" s="73"/>
      <c r="P3585" s="73"/>
      <c r="Q3585" s="73"/>
      <c r="R3585" s="73"/>
      <c r="S3585" s="73"/>
      <c r="T3585" s="73"/>
      <c r="U3585" s="73"/>
      <c r="V3585" s="73"/>
      <c r="W3585" s="73"/>
      <c r="X3585" s="73"/>
      <c r="Y3585" s="73"/>
      <c r="Z3585" s="73"/>
      <c r="AA3585" s="73"/>
      <c r="AB3585" s="73"/>
    </row>
    <row r="3586">
      <c r="A3586" s="73"/>
      <c r="B3586" s="73">
        <v>5126370.663</v>
      </c>
      <c r="C3586" s="73">
        <v>3.68893583353271E8</v>
      </c>
      <c r="D3586" s="73">
        <v>1.79053320348001E8</v>
      </c>
      <c r="E3586" s="73">
        <v>2.44489633223986E7</v>
      </c>
      <c r="F3586" s="73"/>
      <c r="G3586" s="73"/>
      <c r="H3586" s="73"/>
      <c r="I3586" s="73"/>
      <c r="J3586" s="73"/>
      <c r="K3586" s="73"/>
      <c r="L3586" s="73"/>
      <c r="M3586" s="73"/>
      <c r="N3586" s="73"/>
      <c r="O3586" s="73"/>
      <c r="P3586" s="73"/>
      <c r="Q3586" s="73"/>
      <c r="R3586" s="73"/>
      <c r="S3586" s="73"/>
      <c r="T3586" s="73"/>
      <c r="U3586" s="73"/>
      <c r="V3586" s="73"/>
      <c r="W3586" s="73"/>
      <c r="X3586" s="73"/>
      <c r="Y3586" s="73"/>
      <c r="Z3586" s="73"/>
      <c r="AA3586" s="73"/>
      <c r="AB3586" s="73"/>
    </row>
    <row r="3587">
      <c r="A3587" s="73"/>
      <c r="B3587" s="73">
        <v>5133117.778</v>
      </c>
      <c r="C3587" s="73">
        <v>3.69173644465492E8</v>
      </c>
      <c r="D3587" s="73">
        <v>1.79218009959994E8</v>
      </c>
      <c r="E3587" s="73">
        <v>2.44738025537618E7</v>
      </c>
      <c r="F3587" s="73"/>
      <c r="G3587" s="73"/>
      <c r="H3587" s="73"/>
      <c r="I3587" s="73"/>
      <c r="J3587" s="73"/>
      <c r="K3587" s="73"/>
      <c r="L3587" s="73"/>
      <c r="M3587" s="73"/>
      <c r="N3587" s="73"/>
      <c r="O3587" s="73"/>
      <c r="P3587" s="73"/>
      <c r="Q3587" s="73"/>
      <c r="R3587" s="73"/>
      <c r="S3587" s="73"/>
      <c r="T3587" s="73"/>
      <c r="U3587" s="73"/>
      <c r="V3587" s="73"/>
      <c r="W3587" s="73"/>
      <c r="X3587" s="73"/>
      <c r="Y3587" s="73"/>
      <c r="Z3587" s="73"/>
      <c r="AA3587" s="73"/>
      <c r="AB3587" s="73"/>
    </row>
    <row r="3588">
      <c r="A3588" s="73"/>
      <c r="B3588" s="73">
        <v>5139874.043</v>
      </c>
      <c r="C3588" s="73">
        <v>3.69453870377708E8</v>
      </c>
      <c r="D3588" s="73">
        <v>1.79382782404002E8</v>
      </c>
      <c r="E3588" s="73">
        <v>2.44986611653159E7</v>
      </c>
      <c r="F3588" s="73"/>
      <c r="G3588" s="73"/>
      <c r="H3588" s="73"/>
      <c r="I3588" s="73"/>
      <c r="J3588" s="73"/>
      <c r="K3588" s="73"/>
      <c r="L3588" s="73"/>
      <c r="M3588" s="73"/>
      <c r="N3588" s="73"/>
      <c r="O3588" s="73"/>
      <c r="P3588" s="73"/>
      <c r="Q3588" s="73"/>
      <c r="R3588" s="73"/>
      <c r="S3588" s="73"/>
      <c r="T3588" s="73"/>
      <c r="U3588" s="73"/>
      <c r="V3588" s="73"/>
      <c r="W3588" s="73"/>
      <c r="X3588" s="73"/>
      <c r="Y3588" s="73"/>
      <c r="Z3588" s="73"/>
      <c r="AA3588" s="73"/>
      <c r="AB3588" s="73"/>
    </row>
    <row r="3589">
      <c r="A3589" s="73"/>
      <c r="B3589" s="73">
        <v>5146639.695</v>
      </c>
      <c r="C3589" s="73">
        <v>3.6973426108992E8</v>
      </c>
      <c r="D3589" s="73">
        <v>1.79547657855996E8</v>
      </c>
      <c r="E3589" s="73">
        <v>2.4523537800261E7</v>
      </c>
      <c r="F3589" s="73"/>
      <c r="G3589" s="73"/>
      <c r="H3589" s="73"/>
      <c r="I3589" s="73"/>
      <c r="J3589" s="73"/>
      <c r="K3589" s="73"/>
      <c r="L3589" s="73"/>
      <c r="M3589" s="73"/>
      <c r="N3589" s="73"/>
      <c r="O3589" s="73"/>
      <c r="P3589" s="73"/>
      <c r="Q3589" s="73"/>
      <c r="R3589" s="73"/>
      <c r="S3589" s="73"/>
      <c r="T3589" s="73"/>
      <c r="U3589" s="73"/>
      <c r="V3589" s="73"/>
      <c r="W3589" s="73"/>
      <c r="X3589" s="73"/>
      <c r="Y3589" s="73"/>
      <c r="Z3589" s="73"/>
      <c r="AA3589" s="73"/>
      <c r="AB3589" s="73"/>
    </row>
    <row r="3590">
      <c r="A3590" s="73"/>
      <c r="B3590" s="73">
        <v>5153414.933</v>
      </c>
      <c r="C3590" s="73">
        <v>3.70014783642128E8</v>
      </c>
      <c r="D3590" s="73">
        <v>1.79712636620004E8</v>
      </c>
      <c r="E3590" s="73">
        <v>2.45484331793971E7</v>
      </c>
      <c r="F3590" s="73"/>
      <c r="G3590" s="73"/>
      <c r="H3590" s="73"/>
      <c r="I3590" s="73"/>
      <c r="J3590" s="73"/>
      <c r="K3590" s="73"/>
      <c r="L3590" s="73"/>
      <c r="M3590" s="73"/>
      <c r="N3590" s="73"/>
      <c r="O3590" s="73"/>
      <c r="P3590" s="73"/>
      <c r="Q3590" s="73"/>
      <c r="R3590" s="73"/>
      <c r="S3590" s="73"/>
      <c r="T3590" s="73"/>
      <c r="U3590" s="73"/>
      <c r="V3590" s="73"/>
      <c r="W3590" s="73"/>
      <c r="X3590" s="73"/>
      <c r="Y3590" s="73"/>
      <c r="Z3590" s="73"/>
      <c r="AA3590" s="73"/>
      <c r="AB3590" s="73"/>
    </row>
    <row r="3591">
      <c r="A3591" s="73"/>
      <c r="B3591" s="73">
        <v>5160199.579</v>
      </c>
      <c r="C3591" s="73">
        <v>3.70295438034332E8</v>
      </c>
      <c r="D3591" s="73">
        <v>1.79877718695998E8</v>
      </c>
      <c r="E3591" s="73">
        <v>2.45733474299242E7</v>
      </c>
      <c r="F3591" s="73"/>
      <c r="G3591" s="73"/>
      <c r="H3591" s="73"/>
      <c r="I3591" s="73"/>
      <c r="J3591" s="73"/>
      <c r="K3591" s="73"/>
      <c r="L3591" s="73"/>
      <c r="M3591" s="73"/>
      <c r="N3591" s="73"/>
      <c r="O3591" s="73"/>
      <c r="P3591" s="73"/>
      <c r="Q3591" s="73"/>
      <c r="R3591" s="73"/>
      <c r="S3591" s="73"/>
      <c r="T3591" s="73"/>
      <c r="U3591" s="73"/>
      <c r="V3591" s="73"/>
      <c r="W3591" s="73"/>
      <c r="X3591" s="73"/>
      <c r="Y3591" s="73"/>
      <c r="Z3591" s="73"/>
      <c r="AA3591" s="73"/>
      <c r="AB3591" s="73"/>
    </row>
    <row r="3592">
      <c r="A3592" s="73"/>
      <c r="B3592" s="73">
        <v>5166993.592</v>
      </c>
      <c r="C3592" s="73">
        <v>3.70576191306534E8</v>
      </c>
      <c r="D3592" s="73">
        <v>1.80042883459991E8</v>
      </c>
      <c r="E3592" s="73">
        <v>2.45982784165784E7</v>
      </c>
      <c r="F3592" s="73"/>
      <c r="G3592" s="73"/>
      <c r="H3592" s="73"/>
      <c r="I3592" s="73"/>
      <c r="J3592" s="73"/>
      <c r="K3592" s="73"/>
      <c r="L3592" s="73"/>
      <c r="M3592" s="73"/>
      <c r="N3592" s="73"/>
      <c r="O3592" s="73"/>
      <c r="P3592" s="73"/>
      <c r="Q3592" s="73"/>
      <c r="R3592" s="73"/>
      <c r="S3592" s="73"/>
      <c r="T3592" s="73"/>
      <c r="U3592" s="73"/>
      <c r="V3592" s="73"/>
      <c r="W3592" s="73"/>
      <c r="X3592" s="73"/>
      <c r="Y3592" s="73"/>
      <c r="Z3592" s="73"/>
      <c r="AA3592" s="73"/>
      <c r="AB3592" s="73"/>
    </row>
    <row r="3593">
      <c r="A3593" s="73"/>
      <c r="B3593" s="73">
        <v>5173797.262</v>
      </c>
      <c r="C3593" s="73">
        <v>3.70857076418732E8</v>
      </c>
      <c r="D3593" s="73">
        <v>1.80208151231999E8</v>
      </c>
      <c r="E3593" s="73">
        <v>2.46232303250874E7</v>
      </c>
      <c r="F3593" s="73"/>
      <c r="G3593" s="73"/>
      <c r="H3593" s="73"/>
      <c r="I3593" s="73"/>
      <c r="J3593" s="73"/>
      <c r="K3593" s="73"/>
      <c r="L3593" s="73"/>
      <c r="M3593" s="73"/>
      <c r="N3593" s="73"/>
      <c r="O3593" s="73"/>
      <c r="P3593" s="73"/>
      <c r="Q3593" s="73"/>
      <c r="R3593" s="73"/>
      <c r="S3593" s="73"/>
      <c r="T3593" s="73"/>
      <c r="U3593" s="73"/>
      <c r="V3593" s="73"/>
      <c r="W3593" s="73"/>
      <c r="X3593" s="73"/>
      <c r="Y3593" s="73"/>
      <c r="Z3593" s="73"/>
      <c r="AA3593" s="73"/>
      <c r="AB3593" s="73"/>
    </row>
    <row r="3594">
      <c r="A3594" s="73"/>
      <c r="B3594" s="73">
        <v>5180610.238</v>
      </c>
      <c r="C3594" s="73">
        <v>3.71138126330925E8</v>
      </c>
      <c r="D3594" s="73">
        <v>1.80373522315993E8</v>
      </c>
      <c r="E3594" s="73">
        <v>2.46481997481875E7</v>
      </c>
      <c r="F3594" s="73"/>
      <c r="G3594" s="73"/>
      <c r="H3594" s="73"/>
      <c r="I3594" s="73"/>
      <c r="J3594" s="73"/>
      <c r="K3594" s="73"/>
      <c r="L3594" s="73"/>
      <c r="M3594" s="73"/>
      <c r="N3594" s="73"/>
      <c r="O3594" s="73"/>
      <c r="P3594" s="73"/>
      <c r="Q3594" s="73"/>
      <c r="R3594" s="73"/>
      <c r="S3594" s="73"/>
      <c r="T3594" s="73"/>
      <c r="U3594" s="73"/>
      <c r="V3594" s="73"/>
      <c r="W3594" s="73"/>
      <c r="X3594" s="73"/>
      <c r="Y3594" s="73"/>
      <c r="Z3594" s="73"/>
      <c r="AA3594" s="73"/>
      <c r="AB3594" s="73"/>
    </row>
    <row r="3595">
      <c r="A3595" s="73"/>
      <c r="B3595" s="73">
        <v>5187432.843</v>
      </c>
      <c r="C3595" s="73">
        <v>3.71419308083115E8</v>
      </c>
      <c r="D3595" s="73">
        <v>1.80538996712001E8</v>
      </c>
      <c r="E3595" s="73">
        <v>2.46731871794147E7</v>
      </c>
      <c r="F3595" s="73"/>
      <c r="G3595" s="73"/>
      <c r="H3595" s="73"/>
      <c r="I3595" s="73"/>
      <c r="J3595" s="73"/>
      <c r="K3595" s="73"/>
      <c r="L3595" s="73"/>
      <c r="M3595" s="73"/>
      <c r="N3595" s="73"/>
      <c r="O3595" s="73"/>
      <c r="P3595" s="73"/>
      <c r="Q3595" s="73"/>
      <c r="R3595" s="73"/>
      <c r="S3595" s="73"/>
      <c r="T3595" s="73"/>
      <c r="U3595" s="73"/>
      <c r="V3595" s="73"/>
      <c r="W3595" s="73"/>
      <c r="X3595" s="73"/>
      <c r="Y3595" s="73"/>
      <c r="Z3595" s="73"/>
      <c r="AA3595" s="73"/>
      <c r="AB3595" s="73"/>
    </row>
    <row r="3596">
      <c r="A3596" s="73"/>
      <c r="B3596" s="73">
        <v>5194264.775</v>
      </c>
      <c r="C3596" s="73">
        <v>3.71700588715302E8</v>
      </c>
      <c r="D3596" s="73">
        <v>1.80704553635994E8</v>
      </c>
      <c r="E3596" s="73">
        <v>2.46981928884328E7</v>
      </c>
      <c r="F3596" s="73"/>
      <c r="G3596" s="73"/>
      <c r="H3596" s="73"/>
      <c r="I3596" s="73"/>
      <c r="J3596" s="73"/>
      <c r="K3596" s="73"/>
      <c r="L3596" s="73"/>
      <c r="M3596" s="73"/>
      <c r="N3596" s="73"/>
      <c r="O3596" s="73"/>
      <c r="P3596" s="73"/>
      <c r="Q3596" s="73"/>
      <c r="R3596" s="73"/>
      <c r="S3596" s="73"/>
      <c r="T3596" s="73"/>
      <c r="U3596" s="73"/>
      <c r="V3596" s="73"/>
      <c r="W3596" s="73"/>
      <c r="X3596" s="73"/>
      <c r="Y3596" s="73"/>
      <c r="Z3596" s="73"/>
      <c r="AA3596" s="73"/>
      <c r="AB3596" s="73"/>
    </row>
    <row r="3597">
      <c r="A3597" s="73"/>
      <c r="B3597" s="73">
        <v>5201106.492</v>
      </c>
      <c r="C3597" s="73">
        <v>3.71982067107483E8</v>
      </c>
      <c r="D3597" s="73">
        <v>1.80870213728003E8</v>
      </c>
      <c r="E3597" s="73">
        <v>2.47232177232419E7</v>
      </c>
      <c r="F3597" s="73"/>
      <c r="G3597" s="73"/>
      <c r="H3597" s="73"/>
      <c r="I3597" s="73"/>
      <c r="J3597" s="73"/>
      <c r="K3597" s="73"/>
      <c r="L3597" s="73"/>
      <c r="M3597" s="73"/>
      <c r="N3597" s="73"/>
      <c r="O3597" s="73"/>
      <c r="P3597" s="73"/>
      <c r="Q3597" s="73"/>
      <c r="R3597" s="73"/>
      <c r="S3597" s="73"/>
      <c r="T3597" s="73"/>
      <c r="U3597" s="73"/>
      <c r="V3597" s="73"/>
      <c r="W3597" s="73"/>
      <c r="X3597" s="73"/>
      <c r="Y3597" s="73"/>
      <c r="Z3597" s="73"/>
      <c r="AA3597" s="73"/>
      <c r="AB3597" s="73"/>
    </row>
    <row r="3598">
      <c r="A3598" s="73"/>
      <c r="B3598" s="73">
        <v>5207957.455</v>
      </c>
      <c r="C3598" s="73">
        <v>3.72263644379662E8</v>
      </c>
      <c r="D3598" s="73">
        <v>1.81035997611996E8</v>
      </c>
      <c r="E3598" s="73">
        <v>2.47482611750421E7</v>
      </c>
      <c r="F3598" s="73"/>
      <c r="G3598" s="73"/>
      <c r="H3598" s="73"/>
      <c r="I3598" s="73"/>
      <c r="J3598" s="73"/>
      <c r="K3598" s="73"/>
      <c r="L3598" s="73"/>
      <c r="M3598" s="73"/>
      <c r="N3598" s="73"/>
      <c r="O3598" s="73"/>
      <c r="P3598" s="73"/>
      <c r="Q3598" s="73"/>
      <c r="R3598" s="73"/>
      <c r="S3598" s="73"/>
      <c r="T3598" s="73"/>
      <c r="U3598" s="73"/>
      <c r="V3598" s="73"/>
      <c r="W3598" s="73"/>
      <c r="X3598" s="73"/>
      <c r="Y3598" s="73"/>
      <c r="Z3598" s="73"/>
      <c r="AA3598" s="73"/>
      <c r="AB3598" s="73"/>
    </row>
    <row r="3599">
      <c r="A3599" s="73"/>
      <c r="B3599" s="73">
        <v>5214818.043</v>
      </c>
      <c r="C3599" s="73">
        <v>3.72545386451836E8</v>
      </c>
      <c r="D3599" s="73">
        <v>1.8120184368799E8</v>
      </c>
      <c r="E3599" s="73">
        <v>2.47733241918971E7</v>
      </c>
      <c r="F3599" s="73"/>
      <c r="G3599" s="73"/>
      <c r="H3599" s="73"/>
      <c r="I3599" s="73"/>
      <c r="J3599" s="73"/>
      <c r="K3599" s="73"/>
      <c r="L3599" s="73"/>
      <c r="M3599" s="73"/>
      <c r="N3599" s="73"/>
      <c r="O3599" s="73"/>
      <c r="P3599" s="73"/>
      <c r="Q3599" s="73"/>
      <c r="R3599" s="73"/>
      <c r="S3599" s="73"/>
      <c r="T3599" s="73"/>
      <c r="U3599" s="73"/>
      <c r="V3599" s="73"/>
      <c r="W3599" s="73"/>
      <c r="X3599" s="73"/>
      <c r="Y3599" s="73"/>
      <c r="Z3599" s="73"/>
      <c r="AA3599" s="73"/>
      <c r="AB3599" s="73"/>
    </row>
    <row r="3600">
      <c r="A3600" s="73"/>
      <c r="B3600" s="73">
        <v>5221688.206</v>
      </c>
      <c r="C3600" s="73">
        <v>3.72827227404007E8</v>
      </c>
      <c r="D3600" s="73">
        <v>1.81367813411998E8</v>
      </c>
      <c r="E3600" s="73">
        <v>2.47984030816153E7</v>
      </c>
      <c r="F3600" s="73"/>
      <c r="G3600" s="73"/>
      <c r="H3600" s="73"/>
      <c r="I3600" s="73"/>
      <c r="J3600" s="73"/>
      <c r="K3600" s="73"/>
      <c r="L3600" s="73"/>
      <c r="M3600" s="73"/>
      <c r="N3600" s="73"/>
      <c r="O3600" s="73"/>
      <c r="P3600" s="73"/>
      <c r="Q3600" s="73"/>
      <c r="R3600" s="73"/>
      <c r="S3600" s="73"/>
      <c r="T3600" s="73"/>
      <c r="U3600" s="73"/>
      <c r="V3600" s="73"/>
      <c r="W3600" s="73"/>
      <c r="X3600" s="73"/>
      <c r="Y3600" s="73"/>
      <c r="Z3600" s="73"/>
      <c r="AA3600" s="73"/>
      <c r="AB3600" s="73"/>
    </row>
    <row r="3601">
      <c r="A3601" s="73"/>
      <c r="B3601" s="73">
        <v>5228567.973</v>
      </c>
      <c r="C3601" s="73">
        <v>3.73109200196175E8</v>
      </c>
      <c r="D3601" s="73">
        <v>1.81533865967991E8</v>
      </c>
      <c r="E3601" s="73">
        <v>2.48235024267884E7</v>
      </c>
      <c r="F3601" s="73"/>
      <c r="G3601" s="73"/>
      <c r="H3601" s="73"/>
      <c r="I3601" s="73"/>
      <c r="J3601" s="73"/>
      <c r="K3601" s="73"/>
      <c r="L3601" s="73"/>
      <c r="M3601" s="73"/>
      <c r="N3601" s="73"/>
      <c r="O3601" s="73"/>
      <c r="P3601" s="73"/>
      <c r="Q3601" s="73"/>
      <c r="R3601" s="73"/>
      <c r="S3601" s="73"/>
      <c r="T3601" s="73"/>
      <c r="U3601" s="73"/>
      <c r="V3601" s="73"/>
      <c r="W3601" s="73"/>
      <c r="X3601" s="73"/>
      <c r="Y3601" s="73"/>
      <c r="Z3601" s="73"/>
      <c r="AA3601" s="73"/>
      <c r="AB3601" s="73"/>
    </row>
    <row r="3602">
      <c r="A3602" s="73"/>
      <c r="B3602" s="73">
        <v>5235457.341</v>
      </c>
      <c r="C3602" s="73">
        <v>3.73391304828339E8</v>
      </c>
      <c r="D3602" s="73">
        <v>1.81700021532E8</v>
      </c>
      <c r="E3602" s="73">
        <v>2.48486200921525E7</v>
      </c>
      <c r="F3602" s="73"/>
      <c r="G3602" s="73"/>
      <c r="H3602" s="73"/>
      <c r="I3602" s="73"/>
      <c r="J3602" s="73"/>
      <c r="K3602" s="73"/>
      <c r="L3602" s="73"/>
      <c r="M3602" s="73"/>
      <c r="N3602" s="73"/>
      <c r="O3602" s="73"/>
      <c r="P3602" s="73"/>
      <c r="Q3602" s="73"/>
      <c r="R3602" s="73"/>
      <c r="S3602" s="73"/>
      <c r="T3602" s="73"/>
      <c r="U3602" s="73"/>
      <c r="V3602" s="73"/>
      <c r="W3602" s="73"/>
      <c r="X3602" s="73"/>
      <c r="Y3602" s="73"/>
      <c r="Z3602" s="73"/>
      <c r="AA3602" s="73"/>
      <c r="AB3602" s="73"/>
    </row>
    <row r="3603">
      <c r="A3603" s="73"/>
      <c r="B3603" s="73">
        <v>5242356.245</v>
      </c>
      <c r="C3603" s="73">
        <v>3.73673574260498E8</v>
      </c>
      <c r="D3603" s="73">
        <v>1.81866280407993E8</v>
      </c>
      <c r="E3603" s="73">
        <v>2.48737568409076E7</v>
      </c>
      <c r="F3603" s="73"/>
      <c r="G3603" s="73"/>
      <c r="H3603" s="73"/>
      <c r="I3603" s="73"/>
      <c r="J3603" s="73"/>
      <c r="K3603" s="73"/>
      <c r="L3603" s="73"/>
      <c r="M3603" s="73"/>
      <c r="N3603" s="73"/>
      <c r="O3603" s="73"/>
      <c r="P3603" s="73"/>
      <c r="Q3603" s="73"/>
      <c r="R3603" s="73"/>
      <c r="S3603" s="73"/>
      <c r="T3603" s="73"/>
      <c r="U3603" s="73"/>
      <c r="V3603" s="73"/>
      <c r="W3603" s="73"/>
      <c r="X3603" s="73"/>
      <c r="Y3603" s="73"/>
      <c r="Z3603" s="73"/>
      <c r="AA3603" s="73"/>
      <c r="AB3603" s="73"/>
    </row>
    <row r="3604">
      <c r="A3604" s="73"/>
      <c r="B3604" s="73">
        <v>5249264.667</v>
      </c>
      <c r="C3604" s="73">
        <v>3.73955975532654E8</v>
      </c>
      <c r="D3604" s="73">
        <v>1.82032642452002E8</v>
      </c>
      <c r="E3604" s="73">
        <v>2.48989108345898E7</v>
      </c>
      <c r="F3604" s="73"/>
      <c r="G3604" s="73"/>
      <c r="H3604" s="73"/>
      <c r="I3604" s="73"/>
      <c r="J3604" s="73"/>
      <c r="K3604" s="73"/>
      <c r="L3604" s="73"/>
      <c r="M3604" s="73"/>
      <c r="N3604" s="73"/>
      <c r="O3604" s="73"/>
      <c r="P3604" s="73"/>
      <c r="Q3604" s="73"/>
      <c r="R3604" s="73"/>
      <c r="S3604" s="73"/>
      <c r="T3604" s="73"/>
      <c r="U3604" s="73"/>
      <c r="V3604" s="73"/>
      <c r="W3604" s="73"/>
      <c r="X3604" s="73"/>
      <c r="Y3604" s="73"/>
      <c r="Z3604" s="73"/>
      <c r="AA3604" s="73"/>
      <c r="AB3604" s="73"/>
    </row>
    <row r="3605">
      <c r="A3605" s="73"/>
      <c r="B3605" s="73">
        <v>5256182.861</v>
      </c>
      <c r="C3605" s="73">
        <v>3.74238508644806E8</v>
      </c>
      <c r="D3605" s="73">
        <v>1.82199087167995E8</v>
      </c>
      <c r="E3605" s="73">
        <v>2.49240846901268E7</v>
      </c>
      <c r="F3605" s="73"/>
      <c r="G3605" s="73"/>
      <c r="H3605" s="73"/>
      <c r="I3605" s="73"/>
      <c r="J3605" s="73"/>
      <c r="K3605" s="73"/>
      <c r="L3605" s="73"/>
      <c r="M3605" s="73"/>
      <c r="N3605" s="73"/>
      <c r="O3605" s="73"/>
      <c r="P3605" s="73"/>
      <c r="Q3605" s="73"/>
      <c r="R3605" s="73"/>
      <c r="S3605" s="73"/>
      <c r="T3605" s="73"/>
      <c r="U3605" s="73"/>
      <c r="V3605" s="73"/>
      <c r="W3605" s="73"/>
      <c r="X3605" s="73"/>
      <c r="Y3605" s="73"/>
      <c r="Z3605" s="73"/>
      <c r="AA3605" s="73"/>
      <c r="AB3605" s="73"/>
    </row>
    <row r="3606">
      <c r="A3606" s="73"/>
      <c r="B3606" s="73">
        <v>5263110.465</v>
      </c>
      <c r="C3606" s="73">
        <v>3.74521173596954E8</v>
      </c>
      <c r="D3606" s="73">
        <v>1.82365655532004E8</v>
      </c>
      <c r="E3606" s="73">
        <v>2.4949276002591E7</v>
      </c>
      <c r="F3606" s="73"/>
      <c r="G3606" s="73"/>
      <c r="H3606" s="73"/>
      <c r="I3606" s="73"/>
      <c r="J3606" s="73"/>
      <c r="K3606" s="73"/>
      <c r="L3606" s="73"/>
      <c r="M3606" s="73"/>
      <c r="N3606" s="73"/>
      <c r="O3606" s="73"/>
      <c r="P3606" s="73"/>
      <c r="Q3606" s="73"/>
      <c r="R3606" s="73"/>
      <c r="S3606" s="73"/>
      <c r="T3606" s="73"/>
      <c r="U3606" s="73"/>
      <c r="V3606" s="73"/>
      <c r="W3606" s="73"/>
      <c r="X3606" s="73"/>
      <c r="Y3606" s="73"/>
      <c r="Z3606" s="73"/>
      <c r="AA3606" s="73"/>
      <c r="AB3606" s="73"/>
    </row>
    <row r="3607">
      <c r="A3607" s="73"/>
      <c r="B3607" s="73">
        <v>5270047.897</v>
      </c>
      <c r="C3607" s="73">
        <v>3.748039374291E8</v>
      </c>
      <c r="D3607" s="73">
        <v>1.82532306727997E8</v>
      </c>
      <c r="E3607" s="73">
        <v>2.49744862712461E7</v>
      </c>
      <c r="F3607" s="73"/>
      <c r="G3607" s="73"/>
      <c r="H3607" s="73"/>
      <c r="I3607" s="73"/>
      <c r="J3607" s="73"/>
      <c r="K3607" s="73"/>
      <c r="L3607" s="73"/>
      <c r="M3607" s="73"/>
      <c r="N3607" s="73"/>
      <c r="O3607" s="73"/>
      <c r="P3607" s="73"/>
      <c r="Q3607" s="73"/>
      <c r="R3607" s="73"/>
      <c r="S3607" s="73"/>
      <c r="T3607" s="73"/>
      <c r="U3607" s="73"/>
      <c r="V3607" s="73"/>
      <c r="W3607" s="73"/>
      <c r="X3607" s="73"/>
      <c r="Y3607" s="73"/>
      <c r="Z3607" s="73"/>
      <c r="AA3607" s="73"/>
      <c r="AB3607" s="73"/>
    </row>
    <row r="3608">
      <c r="A3608" s="73"/>
      <c r="B3608" s="73">
        <v>5276994.809</v>
      </c>
      <c r="C3608" s="73">
        <v>3.75086866061241E8</v>
      </c>
      <c r="D3608" s="73">
        <v>1.8269906107599E8</v>
      </c>
      <c r="E3608" s="73">
        <v>2.49997163593561E7</v>
      </c>
      <c r="F3608" s="73"/>
      <c r="G3608" s="73"/>
      <c r="H3608" s="73"/>
      <c r="I3608" s="73"/>
      <c r="J3608" s="73"/>
      <c r="K3608" s="73"/>
      <c r="L3608" s="73"/>
      <c r="M3608" s="73"/>
      <c r="N3608" s="73"/>
      <c r="O3608" s="73"/>
      <c r="P3608" s="73"/>
      <c r="Q3608" s="73"/>
      <c r="R3608" s="73"/>
      <c r="S3608" s="73"/>
      <c r="T3608" s="73"/>
      <c r="U3608" s="73"/>
      <c r="V3608" s="73"/>
      <c r="W3608" s="73"/>
      <c r="X3608" s="73"/>
      <c r="Y3608" s="73"/>
      <c r="Z3608" s="73"/>
      <c r="AA3608" s="73"/>
      <c r="AB3608" s="73"/>
    </row>
    <row r="3609">
      <c r="A3609" s="73"/>
      <c r="B3609" s="73">
        <v>5283951.515</v>
      </c>
      <c r="C3609" s="73">
        <v>3.75369926533379E8</v>
      </c>
      <c r="D3609" s="73">
        <v>1.82865898111999E8</v>
      </c>
      <c r="E3609" s="73">
        <v>2.50249637347932E7</v>
      </c>
      <c r="F3609" s="73"/>
      <c r="G3609" s="73"/>
      <c r="H3609" s="73"/>
      <c r="I3609" s="73"/>
      <c r="J3609" s="73"/>
      <c r="K3609" s="73"/>
      <c r="L3609" s="73"/>
      <c r="M3609" s="73"/>
      <c r="N3609" s="73"/>
      <c r="O3609" s="73"/>
      <c r="P3609" s="73"/>
      <c r="Q3609" s="73"/>
      <c r="R3609" s="73"/>
      <c r="S3609" s="73"/>
      <c r="T3609" s="73"/>
      <c r="U3609" s="73"/>
      <c r="V3609" s="73"/>
      <c r="W3609" s="73"/>
      <c r="X3609" s="73"/>
      <c r="Y3609" s="73"/>
      <c r="Z3609" s="73"/>
      <c r="AA3609" s="73"/>
      <c r="AB3609" s="73"/>
    </row>
    <row r="3610">
      <c r="A3610" s="73"/>
      <c r="B3610" s="73">
        <v>5290917.826</v>
      </c>
      <c r="C3610" s="73">
        <v>3.75653151805511E8</v>
      </c>
      <c r="D3610" s="73">
        <v>1.83032858795992E8</v>
      </c>
      <c r="E3610" s="73">
        <v>2.50502293456213E7</v>
      </c>
      <c r="F3610" s="73"/>
      <c r="G3610" s="73"/>
      <c r="H3610" s="73"/>
      <c r="I3610" s="73"/>
      <c r="J3610" s="73"/>
      <c r="K3610" s="73"/>
      <c r="L3610" s="73"/>
      <c r="M3610" s="73"/>
      <c r="N3610" s="73"/>
      <c r="O3610" s="73"/>
      <c r="P3610" s="73"/>
      <c r="Q3610" s="73"/>
      <c r="R3610" s="73"/>
      <c r="S3610" s="73"/>
      <c r="T3610" s="73"/>
      <c r="U3610" s="73"/>
      <c r="V3610" s="73"/>
      <c r="W3610" s="73"/>
      <c r="X3610" s="73"/>
      <c r="Y3610" s="73"/>
      <c r="Z3610" s="73"/>
      <c r="AA3610" s="73"/>
      <c r="AB3610" s="73"/>
    </row>
    <row r="3611">
      <c r="A3611" s="73"/>
      <c r="B3611" s="73">
        <v>5297893.802</v>
      </c>
      <c r="C3611" s="73">
        <v>3.75936475957642E8</v>
      </c>
      <c r="D3611" s="73">
        <v>1.83199902312001E8</v>
      </c>
      <c r="E3611" s="73">
        <v>2.50755145910404E7</v>
      </c>
      <c r="F3611" s="73"/>
      <c r="G3611" s="73"/>
      <c r="H3611" s="73"/>
      <c r="I3611" s="73"/>
      <c r="J3611" s="73"/>
      <c r="K3611" s="73"/>
      <c r="L3611" s="73"/>
      <c r="M3611" s="73"/>
      <c r="N3611" s="73"/>
      <c r="O3611" s="73"/>
      <c r="P3611" s="73"/>
      <c r="Q3611" s="73"/>
      <c r="R3611" s="73"/>
      <c r="S3611" s="73"/>
      <c r="T3611" s="73"/>
      <c r="U3611" s="73"/>
      <c r="V3611" s="73"/>
      <c r="W3611" s="73"/>
      <c r="X3611" s="73"/>
      <c r="Y3611" s="73"/>
      <c r="Z3611" s="73"/>
      <c r="AA3611" s="73"/>
      <c r="AB3611" s="73"/>
    </row>
    <row r="3612">
      <c r="A3612" s="73"/>
      <c r="B3612" s="73">
        <v>5304879.441</v>
      </c>
      <c r="C3612" s="73">
        <v>3.76219931949768E8</v>
      </c>
      <c r="D3612" s="73">
        <v>1.83367048979994E8</v>
      </c>
      <c r="E3612" s="73">
        <v>2.51008179446505E7</v>
      </c>
      <c r="F3612" s="73"/>
      <c r="G3612" s="73"/>
      <c r="H3612" s="73"/>
      <c r="I3612" s="73"/>
      <c r="J3612" s="73"/>
      <c r="K3612" s="73"/>
      <c r="L3612" s="73"/>
      <c r="M3612" s="73"/>
      <c r="N3612" s="73"/>
      <c r="O3612" s="73"/>
      <c r="P3612" s="73"/>
      <c r="Q3612" s="73"/>
      <c r="R3612" s="73"/>
      <c r="S3612" s="73"/>
      <c r="T3612" s="73"/>
      <c r="U3612" s="73"/>
      <c r="V3612" s="73"/>
      <c r="W3612" s="73"/>
      <c r="X3612" s="73"/>
      <c r="Y3612" s="73"/>
      <c r="Z3612" s="73"/>
      <c r="AA3612" s="73"/>
      <c r="AB3612" s="73"/>
    </row>
    <row r="3613">
      <c r="A3613" s="73"/>
      <c r="B3613" s="73">
        <v>5311874.851</v>
      </c>
      <c r="C3613" s="73">
        <v>3.7650355274189E8</v>
      </c>
      <c r="D3613" s="73">
        <v>1.83534278336002E8</v>
      </c>
      <c r="E3613" s="73">
        <v>2.51261405936515E7</v>
      </c>
      <c r="F3613" s="73"/>
      <c r="G3613" s="73"/>
      <c r="H3613" s="73"/>
      <c r="I3613" s="73"/>
      <c r="J3613" s="73"/>
      <c r="K3613" s="73"/>
      <c r="L3613" s="73"/>
      <c r="M3613" s="73"/>
      <c r="N3613" s="73"/>
      <c r="O3613" s="73"/>
      <c r="P3613" s="73"/>
      <c r="Q3613" s="73"/>
      <c r="R3613" s="73"/>
      <c r="S3613" s="73"/>
      <c r="T3613" s="73"/>
      <c r="U3613" s="73"/>
      <c r="V3613" s="73"/>
      <c r="W3613" s="73"/>
      <c r="X3613" s="73"/>
      <c r="Y3613" s="73"/>
      <c r="Z3613" s="73"/>
      <c r="AA3613" s="73"/>
      <c r="AB3613" s="73"/>
    </row>
    <row r="3614">
      <c r="A3614" s="73"/>
      <c r="B3614" s="73">
        <v>5318879.941</v>
      </c>
      <c r="C3614" s="73">
        <v>3.76787305374008E8</v>
      </c>
      <c r="D3614" s="73">
        <v>1.83701631179996E8</v>
      </c>
      <c r="E3614" s="73">
        <v>2.51514802755797E7</v>
      </c>
      <c r="F3614" s="73"/>
      <c r="G3614" s="73"/>
      <c r="H3614" s="73"/>
      <c r="I3614" s="73"/>
      <c r="J3614" s="73"/>
      <c r="K3614" s="73"/>
      <c r="L3614" s="73"/>
      <c r="M3614" s="73"/>
      <c r="N3614" s="73"/>
      <c r="O3614" s="73"/>
      <c r="P3614" s="73"/>
      <c r="Q3614" s="73"/>
      <c r="R3614" s="73"/>
      <c r="S3614" s="73"/>
      <c r="T3614" s="73"/>
      <c r="U3614" s="73"/>
      <c r="V3614" s="73"/>
      <c r="W3614" s="73"/>
      <c r="X3614" s="73"/>
      <c r="Y3614" s="73"/>
      <c r="Z3614" s="73"/>
      <c r="AA3614" s="73"/>
      <c r="AB3614" s="73"/>
    </row>
    <row r="3615">
      <c r="A3615" s="73"/>
      <c r="B3615" s="73">
        <v>5325894.739</v>
      </c>
      <c r="C3615" s="73">
        <v>3.77071123926125E8</v>
      </c>
      <c r="D3615" s="73">
        <v>1.83869067000004E8</v>
      </c>
      <c r="E3615" s="73">
        <v>2.51768400313627E7</v>
      </c>
      <c r="F3615" s="73"/>
      <c r="G3615" s="73"/>
      <c r="H3615" s="73"/>
      <c r="I3615" s="73"/>
      <c r="J3615" s="73"/>
      <c r="K3615" s="73"/>
      <c r="L3615" s="73"/>
      <c r="M3615" s="73"/>
      <c r="N3615" s="73"/>
      <c r="O3615" s="73"/>
      <c r="P3615" s="73"/>
      <c r="Q3615" s="73"/>
      <c r="R3615" s="73"/>
      <c r="S3615" s="73"/>
      <c r="T3615" s="73"/>
      <c r="U3615" s="73"/>
      <c r="V3615" s="73"/>
      <c r="W3615" s="73"/>
      <c r="X3615" s="73"/>
      <c r="Y3615" s="73"/>
      <c r="Z3615" s="73"/>
      <c r="AA3615" s="73"/>
      <c r="AB3615" s="73"/>
    </row>
    <row r="3616">
      <c r="A3616" s="73"/>
      <c r="B3616" s="73">
        <v>5332919.164</v>
      </c>
      <c r="C3616" s="73">
        <v>3.77355173198235E8</v>
      </c>
      <c r="D3616" s="73">
        <v>1.84036626323998E8</v>
      </c>
      <c r="E3616" s="73">
        <v>2.52022178953368E7</v>
      </c>
      <c r="F3616" s="73"/>
      <c r="G3616" s="73"/>
      <c r="H3616" s="73"/>
      <c r="I3616" s="73"/>
      <c r="J3616" s="73"/>
      <c r="K3616" s="73"/>
      <c r="L3616" s="73"/>
      <c r="M3616" s="73"/>
      <c r="N3616" s="73"/>
      <c r="O3616" s="73"/>
      <c r="P3616" s="73"/>
      <c r="Q3616" s="73"/>
      <c r="R3616" s="73"/>
      <c r="S3616" s="73"/>
      <c r="T3616" s="73"/>
      <c r="U3616" s="73"/>
      <c r="V3616" s="73"/>
      <c r="W3616" s="73"/>
      <c r="X3616" s="73"/>
      <c r="Y3616" s="73"/>
      <c r="Z3616" s="73"/>
      <c r="AA3616" s="73"/>
      <c r="AB3616" s="73"/>
    </row>
    <row r="3617">
      <c r="A3617" s="73"/>
      <c r="B3617" s="73">
        <v>5339953.475</v>
      </c>
      <c r="C3617" s="73">
        <v>3.77639354310341E8</v>
      </c>
      <c r="D3617" s="73">
        <v>1.84204268623991E8</v>
      </c>
      <c r="E3617" s="73">
        <v>2.52276142762378E7</v>
      </c>
      <c r="F3617" s="73"/>
      <c r="G3617" s="73"/>
      <c r="H3617" s="73"/>
      <c r="I3617" s="73"/>
      <c r="J3617" s="73"/>
      <c r="K3617" s="73"/>
      <c r="L3617" s="73"/>
      <c r="M3617" s="73"/>
      <c r="N3617" s="73"/>
      <c r="O3617" s="73"/>
      <c r="P3617" s="73"/>
      <c r="Q3617" s="73"/>
      <c r="R3617" s="73"/>
      <c r="S3617" s="73"/>
      <c r="T3617" s="73"/>
      <c r="U3617" s="73"/>
      <c r="V3617" s="73"/>
      <c r="W3617" s="73"/>
      <c r="X3617" s="73"/>
      <c r="Y3617" s="73"/>
      <c r="Z3617" s="73"/>
      <c r="AA3617" s="73"/>
      <c r="AB3617" s="73"/>
    </row>
    <row r="3618">
      <c r="A3618" s="73"/>
      <c r="B3618" s="73">
        <v>5346997.517</v>
      </c>
      <c r="C3618" s="73">
        <v>3.77923601342445E8</v>
      </c>
      <c r="D3618" s="73">
        <v>1.84371993307999E8</v>
      </c>
      <c r="E3618" s="73">
        <v>2.52530300949938E7</v>
      </c>
      <c r="F3618" s="73"/>
      <c r="G3618" s="73"/>
      <c r="H3618" s="73"/>
      <c r="I3618" s="73"/>
      <c r="J3618" s="73"/>
      <c r="K3618" s="73"/>
      <c r="L3618" s="73"/>
      <c r="M3618" s="73"/>
      <c r="N3618" s="73"/>
      <c r="O3618" s="73"/>
      <c r="P3618" s="73"/>
      <c r="Q3618" s="73"/>
      <c r="R3618" s="73"/>
      <c r="S3618" s="73"/>
      <c r="T3618" s="73"/>
      <c r="U3618" s="73"/>
      <c r="V3618" s="73"/>
      <c r="W3618" s="73"/>
      <c r="X3618" s="73"/>
      <c r="Y3618" s="73"/>
      <c r="Z3618" s="73"/>
      <c r="AA3618" s="73"/>
      <c r="AB3618" s="73"/>
    </row>
    <row r="3619">
      <c r="A3619" s="73"/>
      <c r="B3619" s="73">
        <v>5354051.185</v>
      </c>
      <c r="C3619" s="73">
        <v>3.78208013174545E8</v>
      </c>
      <c r="D3619" s="73">
        <v>1.84539841767993E8</v>
      </c>
      <c r="E3619" s="73">
        <v>2.52784639218769E7</v>
      </c>
      <c r="F3619" s="73"/>
      <c r="G3619" s="73"/>
      <c r="H3619" s="73"/>
      <c r="I3619" s="73"/>
      <c r="J3619" s="73"/>
      <c r="K3619" s="73"/>
      <c r="L3619" s="73"/>
      <c r="M3619" s="73"/>
      <c r="N3619" s="73"/>
      <c r="O3619" s="73"/>
      <c r="P3619" s="73"/>
      <c r="Q3619" s="73"/>
      <c r="R3619" s="73"/>
      <c r="S3619" s="73"/>
      <c r="T3619" s="73"/>
      <c r="U3619" s="73"/>
      <c r="V3619" s="73"/>
      <c r="W3619" s="73"/>
      <c r="X3619" s="73"/>
      <c r="Y3619" s="73"/>
      <c r="Z3619" s="73"/>
      <c r="AA3619" s="73"/>
      <c r="AB3619" s="73"/>
    </row>
    <row r="3620">
      <c r="A3620" s="73"/>
      <c r="B3620" s="73">
        <v>5361114.87</v>
      </c>
      <c r="C3620" s="73">
        <v>3.78492556846642E8</v>
      </c>
      <c r="D3620" s="73">
        <v>1.84707773076001E8</v>
      </c>
      <c r="E3620" s="73">
        <v>2.5303915517751E7</v>
      </c>
      <c r="F3620" s="73"/>
      <c r="G3620" s="73"/>
      <c r="H3620" s="73"/>
      <c r="I3620" s="73"/>
      <c r="J3620" s="73"/>
      <c r="K3620" s="73"/>
      <c r="L3620" s="73"/>
      <c r="M3620" s="73"/>
      <c r="N3620" s="73"/>
      <c r="O3620" s="73"/>
      <c r="P3620" s="73"/>
      <c r="Q3620" s="73"/>
      <c r="R3620" s="73"/>
      <c r="S3620" s="73"/>
      <c r="T3620" s="73"/>
      <c r="U3620" s="73"/>
      <c r="V3620" s="73"/>
      <c r="W3620" s="73"/>
      <c r="X3620" s="73"/>
      <c r="Y3620" s="73"/>
      <c r="Z3620" s="73"/>
      <c r="AA3620" s="73"/>
      <c r="AB3620" s="73"/>
    </row>
    <row r="3621">
      <c r="A3621" s="73"/>
      <c r="B3621" s="73">
        <v>5368188.146</v>
      </c>
      <c r="C3621" s="73">
        <v>3.78777265318733E8</v>
      </c>
      <c r="D3621" s="73">
        <v>1.84875807391995E8</v>
      </c>
      <c r="E3621" s="73">
        <v>2.5329386748216E7</v>
      </c>
      <c r="F3621" s="73"/>
      <c r="G3621" s="73"/>
      <c r="H3621" s="73"/>
      <c r="I3621" s="73"/>
      <c r="J3621" s="73"/>
      <c r="K3621" s="73"/>
      <c r="L3621" s="73"/>
      <c r="M3621" s="73"/>
      <c r="N3621" s="73"/>
      <c r="O3621" s="73"/>
      <c r="P3621" s="73"/>
      <c r="Q3621" s="73"/>
      <c r="R3621" s="73"/>
      <c r="S3621" s="73"/>
      <c r="T3621" s="73"/>
      <c r="U3621" s="73"/>
      <c r="V3621" s="73"/>
      <c r="W3621" s="73"/>
      <c r="X3621" s="73"/>
      <c r="Y3621" s="73"/>
      <c r="Z3621" s="73"/>
      <c r="AA3621" s="73"/>
      <c r="AB3621" s="73"/>
    </row>
    <row r="3622">
      <c r="A3622" s="73"/>
      <c r="B3622" s="73">
        <v>5375271.197</v>
      </c>
      <c r="C3622" s="73">
        <v>3.79062072670822E8</v>
      </c>
      <c r="D3622" s="73">
        <v>1.85043945020003E8</v>
      </c>
      <c r="E3622" s="73">
        <v>2.5354876298872E7</v>
      </c>
      <c r="F3622" s="73"/>
      <c r="G3622" s="73"/>
      <c r="H3622" s="73"/>
      <c r="I3622" s="73"/>
      <c r="J3622" s="73"/>
      <c r="K3622" s="73"/>
      <c r="L3622" s="73"/>
      <c r="M3622" s="73"/>
      <c r="N3622" s="73"/>
      <c r="O3622" s="73"/>
      <c r="P3622" s="73"/>
      <c r="Q3622" s="73"/>
      <c r="R3622" s="73"/>
      <c r="S3622" s="73"/>
      <c r="T3622" s="73"/>
      <c r="U3622" s="73"/>
      <c r="V3622" s="73"/>
      <c r="W3622" s="73"/>
      <c r="X3622" s="73"/>
      <c r="Y3622" s="73"/>
      <c r="Z3622" s="73"/>
      <c r="AA3622" s="73"/>
      <c r="AB3622" s="73"/>
    </row>
    <row r="3623">
      <c r="A3623" s="73"/>
      <c r="B3623" s="73">
        <v>5382364.166</v>
      </c>
      <c r="C3623" s="73">
        <v>3.79347044822906E8</v>
      </c>
      <c r="D3623" s="73">
        <v>1.85212185815996E8</v>
      </c>
      <c r="E3623" s="73">
        <v>2.5380384593719E7</v>
      </c>
      <c r="F3623" s="73"/>
      <c r="G3623" s="73"/>
      <c r="H3623" s="73"/>
      <c r="I3623" s="73"/>
      <c r="J3623" s="73"/>
      <c r="K3623" s="73"/>
      <c r="L3623" s="73"/>
      <c r="M3623" s="73"/>
      <c r="N3623" s="73"/>
      <c r="O3623" s="73"/>
      <c r="P3623" s="73"/>
      <c r="Q3623" s="73"/>
      <c r="R3623" s="73"/>
      <c r="S3623" s="73"/>
      <c r="T3623" s="73"/>
      <c r="U3623" s="73"/>
      <c r="V3623" s="73"/>
      <c r="W3623" s="73"/>
      <c r="X3623" s="73"/>
      <c r="Y3623" s="73"/>
      <c r="Z3623" s="73"/>
      <c r="AA3623" s="73"/>
      <c r="AB3623" s="73"/>
    </row>
    <row r="3624">
      <c r="A3624" s="73"/>
      <c r="B3624" s="73">
        <v>5389466.846</v>
      </c>
      <c r="C3624" s="73">
        <v>3.79632148814987E8</v>
      </c>
      <c r="D3624" s="73">
        <v>1.8538052976399E8</v>
      </c>
      <c r="E3624" s="73">
        <v>2.5405912141557E7</v>
      </c>
      <c r="F3624" s="73"/>
      <c r="G3624" s="73"/>
      <c r="H3624" s="73"/>
      <c r="I3624" s="73"/>
      <c r="J3624" s="73"/>
      <c r="K3624" s="73"/>
      <c r="L3624" s="73"/>
      <c r="M3624" s="73"/>
      <c r="N3624" s="73"/>
      <c r="O3624" s="73"/>
      <c r="P3624" s="73"/>
      <c r="Q3624" s="73"/>
      <c r="R3624" s="73"/>
      <c r="S3624" s="73"/>
      <c r="T3624" s="73"/>
      <c r="U3624" s="73"/>
      <c r="V3624" s="73"/>
      <c r="W3624" s="73"/>
      <c r="X3624" s="73"/>
      <c r="Y3624" s="73"/>
      <c r="Z3624" s="73"/>
      <c r="AA3624" s="73"/>
      <c r="AB3624" s="73"/>
    </row>
    <row r="3625">
      <c r="A3625" s="73"/>
      <c r="B3625" s="73">
        <v>5396579.437</v>
      </c>
      <c r="C3625" s="73">
        <v>3.79917384647064E8</v>
      </c>
      <c r="D3625" s="73">
        <v>1.85548956543998E8</v>
      </c>
      <c r="E3625" s="73">
        <v>2.5431457882386E7</v>
      </c>
      <c r="F3625" s="73"/>
      <c r="G3625" s="73"/>
      <c r="H3625" s="73"/>
      <c r="I3625" s="73"/>
      <c r="J3625" s="73"/>
      <c r="K3625" s="73"/>
      <c r="L3625" s="73"/>
      <c r="M3625" s="73"/>
      <c r="N3625" s="73"/>
      <c r="O3625" s="73"/>
      <c r="P3625" s="73"/>
      <c r="Q3625" s="73"/>
      <c r="R3625" s="73"/>
      <c r="S3625" s="73"/>
      <c r="T3625" s="73"/>
      <c r="U3625" s="73"/>
      <c r="V3625" s="73"/>
      <c r="W3625" s="73"/>
      <c r="X3625" s="73"/>
      <c r="Y3625" s="73"/>
      <c r="Z3625" s="73"/>
      <c r="AA3625" s="73"/>
      <c r="AB3625" s="73"/>
    </row>
    <row r="3626">
      <c r="A3626" s="73"/>
      <c r="B3626" s="73">
        <v>5403701.847</v>
      </c>
      <c r="C3626" s="73">
        <v>3.80202719359138E8</v>
      </c>
      <c r="D3626" s="73">
        <v>1.85717486491991E8</v>
      </c>
      <c r="E3626" s="73">
        <v>2.5457022791406E7</v>
      </c>
      <c r="F3626" s="73"/>
      <c r="G3626" s="73"/>
      <c r="H3626" s="73"/>
      <c r="I3626" s="73"/>
      <c r="J3626" s="73"/>
      <c r="K3626" s="73"/>
      <c r="L3626" s="73"/>
      <c r="M3626" s="73"/>
      <c r="N3626" s="73"/>
      <c r="O3626" s="73"/>
      <c r="P3626" s="73"/>
      <c r="Q3626" s="73"/>
      <c r="R3626" s="73"/>
      <c r="S3626" s="73"/>
      <c r="T3626" s="73"/>
      <c r="U3626" s="73"/>
      <c r="V3626" s="73"/>
      <c r="W3626" s="73"/>
      <c r="X3626" s="73"/>
      <c r="Y3626" s="73"/>
      <c r="Z3626" s="73"/>
      <c r="AA3626" s="73"/>
      <c r="AB3626" s="73"/>
    </row>
    <row r="3627">
      <c r="A3627" s="73"/>
      <c r="B3627" s="73">
        <v>5410834.025</v>
      </c>
      <c r="C3627" s="73">
        <v>3.80488218871208E8</v>
      </c>
      <c r="D3627" s="73">
        <v>1.85886139928E8</v>
      </c>
      <c r="E3627" s="73">
        <v>2.5482606147817E7</v>
      </c>
      <c r="F3627" s="73"/>
      <c r="G3627" s="73"/>
      <c r="H3627" s="73"/>
      <c r="I3627" s="73"/>
      <c r="J3627" s="73"/>
      <c r="K3627" s="73"/>
      <c r="L3627" s="73"/>
      <c r="M3627" s="73"/>
      <c r="N3627" s="73"/>
      <c r="O3627" s="73"/>
      <c r="P3627" s="73"/>
      <c r="Q3627" s="73"/>
      <c r="R3627" s="73"/>
      <c r="S3627" s="73"/>
      <c r="T3627" s="73"/>
      <c r="U3627" s="73"/>
      <c r="V3627" s="73"/>
      <c r="W3627" s="73"/>
      <c r="X3627" s="73"/>
      <c r="Y3627" s="73"/>
      <c r="Z3627" s="73"/>
      <c r="AA3627" s="73"/>
      <c r="AB3627" s="73"/>
    </row>
    <row r="3628">
      <c r="A3628" s="73"/>
      <c r="B3628" s="73">
        <v>5417976.109</v>
      </c>
      <c r="C3628" s="73">
        <v>3.80773850223274E8</v>
      </c>
      <c r="D3628" s="73">
        <v>1.86054855715993E8</v>
      </c>
      <c r="E3628" s="73">
        <v>2.5508207173155E7</v>
      </c>
      <c r="F3628" s="73"/>
      <c r="G3628" s="73"/>
      <c r="H3628" s="73"/>
      <c r="I3628" s="73"/>
      <c r="J3628" s="73"/>
      <c r="K3628" s="73"/>
      <c r="L3628" s="73"/>
      <c r="M3628" s="73"/>
      <c r="N3628" s="73"/>
      <c r="O3628" s="73"/>
      <c r="P3628" s="73"/>
      <c r="Q3628" s="73"/>
      <c r="R3628" s="73"/>
      <c r="S3628" s="73"/>
      <c r="T3628" s="73"/>
      <c r="U3628" s="73"/>
      <c r="V3628" s="73"/>
      <c r="W3628" s="73"/>
      <c r="X3628" s="73"/>
      <c r="Y3628" s="73"/>
      <c r="Z3628" s="73"/>
      <c r="AA3628" s="73"/>
      <c r="AB3628" s="73"/>
    </row>
    <row r="3629">
      <c r="A3629" s="73"/>
      <c r="B3629" s="73">
        <v>5425128.124</v>
      </c>
      <c r="C3629" s="73">
        <v>3.81059613415337E8</v>
      </c>
      <c r="D3629" s="73">
        <v>1.86223695136002E8</v>
      </c>
      <c r="E3629" s="73">
        <v>2.55338283571479E7</v>
      </c>
      <c r="F3629" s="73"/>
      <c r="G3629" s="73"/>
      <c r="H3629" s="73"/>
      <c r="I3629" s="73"/>
      <c r="J3629" s="73"/>
      <c r="K3629" s="73"/>
      <c r="L3629" s="73"/>
      <c r="M3629" s="73"/>
      <c r="N3629" s="73"/>
      <c r="O3629" s="73"/>
      <c r="P3629" s="73"/>
      <c r="Q3629" s="73"/>
      <c r="R3629" s="73"/>
      <c r="S3629" s="73"/>
      <c r="T3629" s="73"/>
      <c r="U3629" s="73"/>
      <c r="V3629" s="73"/>
      <c r="W3629" s="73"/>
      <c r="X3629" s="73"/>
      <c r="Y3629" s="73"/>
      <c r="Z3629" s="73"/>
      <c r="AA3629" s="73"/>
      <c r="AB3629" s="73"/>
    </row>
    <row r="3630">
      <c r="A3630" s="73"/>
      <c r="B3630" s="73">
        <v>5432289.791</v>
      </c>
      <c r="C3630" s="73">
        <v>3.81345541407394E8</v>
      </c>
      <c r="D3630" s="73">
        <v>1.86392617403995E8</v>
      </c>
      <c r="E3630" s="73">
        <v>2.55594685397318E7</v>
      </c>
      <c r="F3630" s="73"/>
      <c r="G3630" s="73"/>
      <c r="H3630" s="73"/>
      <c r="I3630" s="73"/>
      <c r="J3630" s="73"/>
      <c r="K3630" s="73"/>
      <c r="L3630" s="73"/>
      <c r="M3630" s="73"/>
      <c r="N3630" s="73"/>
      <c r="O3630" s="73"/>
      <c r="P3630" s="73"/>
      <c r="Q3630" s="73"/>
      <c r="R3630" s="73"/>
      <c r="S3630" s="73"/>
      <c r="T3630" s="73"/>
      <c r="U3630" s="73"/>
      <c r="V3630" s="73"/>
      <c r="W3630" s="73"/>
      <c r="X3630" s="73"/>
      <c r="Y3630" s="73"/>
      <c r="Z3630" s="73"/>
      <c r="AA3630" s="73"/>
      <c r="AB3630" s="73"/>
    </row>
    <row r="3631">
      <c r="A3631" s="73"/>
      <c r="B3631" s="73">
        <v>5439461.565</v>
      </c>
      <c r="C3631" s="73">
        <v>3.81631568279449E8</v>
      </c>
      <c r="D3631" s="73">
        <v>1.86561663304004E8</v>
      </c>
      <c r="E3631" s="73">
        <v>2.55851255432428E7</v>
      </c>
      <c r="F3631" s="73"/>
      <c r="G3631" s="73"/>
      <c r="H3631" s="73"/>
      <c r="I3631" s="73"/>
      <c r="J3631" s="73"/>
      <c r="K3631" s="73"/>
      <c r="L3631" s="73"/>
      <c r="M3631" s="73"/>
      <c r="N3631" s="73"/>
      <c r="O3631" s="73"/>
      <c r="P3631" s="73"/>
      <c r="Q3631" s="73"/>
      <c r="R3631" s="73"/>
      <c r="S3631" s="73"/>
      <c r="T3631" s="73"/>
      <c r="U3631" s="73"/>
      <c r="V3631" s="73"/>
      <c r="W3631" s="73"/>
      <c r="X3631" s="73"/>
      <c r="Y3631" s="73"/>
      <c r="Z3631" s="73"/>
      <c r="AA3631" s="73"/>
      <c r="AB3631" s="73"/>
    </row>
    <row r="3632">
      <c r="A3632" s="73"/>
      <c r="B3632" s="73">
        <v>5446643.169</v>
      </c>
      <c r="C3632" s="73">
        <v>3.81917726991501E8</v>
      </c>
      <c r="D3632" s="73">
        <v>1.86730791731997E8</v>
      </c>
      <c r="E3632" s="73">
        <v>2.56108017997448E7</v>
      </c>
      <c r="F3632" s="73"/>
      <c r="G3632" s="73"/>
      <c r="H3632" s="73"/>
      <c r="I3632" s="73"/>
      <c r="J3632" s="73"/>
      <c r="K3632" s="73"/>
      <c r="L3632" s="73"/>
      <c r="M3632" s="73"/>
      <c r="N3632" s="73"/>
      <c r="O3632" s="73"/>
      <c r="P3632" s="73"/>
      <c r="Q3632" s="73"/>
      <c r="R3632" s="73"/>
      <c r="S3632" s="73"/>
      <c r="T3632" s="73"/>
      <c r="U3632" s="73"/>
      <c r="V3632" s="73"/>
      <c r="W3632" s="73"/>
      <c r="X3632" s="73"/>
      <c r="Y3632" s="73"/>
      <c r="Z3632" s="73"/>
      <c r="AA3632" s="73"/>
      <c r="AB3632" s="73"/>
    </row>
    <row r="3633">
      <c r="A3633" s="73"/>
      <c r="B3633" s="73">
        <v>5453834.613</v>
      </c>
      <c r="C3633" s="73">
        <v>3.82204050503548E8</v>
      </c>
      <c r="D3633" s="73">
        <v>1.8690002363199E8</v>
      </c>
      <c r="E3633" s="73">
        <v>2.56364980453016E7</v>
      </c>
      <c r="F3633" s="73"/>
      <c r="G3633" s="73"/>
      <c r="H3633" s="73"/>
      <c r="I3633" s="73"/>
      <c r="J3633" s="73"/>
      <c r="K3633" s="73"/>
      <c r="L3633" s="73"/>
      <c r="M3633" s="73"/>
      <c r="N3633" s="73"/>
      <c r="O3633" s="73"/>
      <c r="P3633" s="73"/>
      <c r="Q3633" s="73"/>
      <c r="R3633" s="73"/>
      <c r="S3633" s="73"/>
      <c r="T3633" s="73"/>
      <c r="U3633" s="73"/>
      <c r="V3633" s="73"/>
      <c r="W3633" s="73"/>
      <c r="X3633" s="73"/>
      <c r="Y3633" s="73"/>
      <c r="Z3633" s="73"/>
      <c r="AA3633" s="73"/>
      <c r="AB3633" s="73"/>
    </row>
    <row r="3634">
      <c r="A3634" s="73"/>
      <c r="B3634" s="73">
        <v>5461035.982</v>
      </c>
      <c r="C3634" s="73">
        <v>3.82490472895592E8</v>
      </c>
      <c r="D3634" s="73">
        <v>1.87069358539999E8</v>
      </c>
      <c r="E3634" s="73">
        <v>2.56622120445856E7</v>
      </c>
      <c r="F3634" s="73"/>
      <c r="G3634" s="73"/>
      <c r="H3634" s="73"/>
      <c r="I3634" s="73"/>
      <c r="J3634" s="73"/>
      <c r="K3634" s="73"/>
      <c r="L3634" s="73"/>
      <c r="M3634" s="73"/>
      <c r="N3634" s="73"/>
      <c r="O3634" s="73"/>
      <c r="P3634" s="73"/>
      <c r="Q3634" s="73"/>
      <c r="R3634" s="73"/>
      <c r="S3634" s="73"/>
      <c r="T3634" s="73"/>
      <c r="U3634" s="73"/>
      <c r="V3634" s="73"/>
      <c r="W3634" s="73"/>
      <c r="X3634" s="73"/>
      <c r="Y3634" s="73"/>
      <c r="Z3634" s="73"/>
      <c r="AA3634" s="73"/>
      <c r="AB3634" s="73"/>
    </row>
    <row r="3635">
      <c r="A3635" s="73"/>
      <c r="B3635" s="73">
        <v>5468247.248</v>
      </c>
      <c r="C3635" s="73">
        <v>3.82777126007629E8</v>
      </c>
      <c r="D3635" s="73">
        <v>1.87238776119992E8</v>
      </c>
      <c r="E3635" s="73">
        <v>2.56879449152605E7</v>
      </c>
      <c r="F3635" s="73"/>
      <c r="G3635" s="73"/>
      <c r="H3635" s="73"/>
      <c r="I3635" s="73"/>
      <c r="J3635" s="73"/>
      <c r="K3635" s="73"/>
      <c r="L3635" s="73"/>
      <c r="M3635" s="73"/>
      <c r="N3635" s="73"/>
      <c r="O3635" s="73"/>
      <c r="P3635" s="73"/>
      <c r="Q3635" s="73"/>
      <c r="R3635" s="73"/>
      <c r="S3635" s="73"/>
      <c r="T3635" s="73"/>
      <c r="U3635" s="73"/>
      <c r="V3635" s="73"/>
      <c r="W3635" s="73"/>
      <c r="X3635" s="73"/>
      <c r="Y3635" s="73"/>
      <c r="Z3635" s="73"/>
      <c r="AA3635" s="73"/>
      <c r="AB3635" s="73"/>
    </row>
    <row r="3636">
      <c r="A3636" s="73"/>
      <c r="B3636" s="73">
        <v>5475468.511</v>
      </c>
      <c r="C3636" s="73">
        <v>3.83063845039665E8</v>
      </c>
      <c r="D3636" s="73">
        <v>1.87408317652001E8</v>
      </c>
      <c r="E3636" s="73">
        <v>2.57136957669264E7</v>
      </c>
      <c r="F3636" s="73"/>
      <c r="G3636" s="73"/>
      <c r="H3636" s="73"/>
      <c r="I3636" s="73"/>
      <c r="J3636" s="73"/>
      <c r="K3636" s="73"/>
      <c r="L3636" s="73"/>
      <c r="M3636" s="73"/>
      <c r="N3636" s="73"/>
      <c r="O3636" s="73"/>
      <c r="P3636" s="73"/>
      <c r="Q3636" s="73"/>
      <c r="R3636" s="73"/>
      <c r="S3636" s="73"/>
      <c r="T3636" s="73"/>
      <c r="U3636" s="73"/>
      <c r="V3636" s="73"/>
      <c r="W3636" s="73"/>
      <c r="X3636" s="73"/>
      <c r="Y3636" s="73"/>
      <c r="Z3636" s="73"/>
      <c r="AA3636" s="73"/>
      <c r="AB3636" s="73"/>
    </row>
    <row r="3637">
      <c r="A3637" s="73"/>
      <c r="B3637" s="73">
        <v>5482699.701</v>
      </c>
      <c r="C3637" s="73">
        <v>3.83350695911697E8</v>
      </c>
      <c r="D3637" s="73">
        <v>1.87577941711994E8</v>
      </c>
      <c r="E3637" s="73">
        <v>2.57394663803832E7</v>
      </c>
      <c r="F3637" s="73"/>
      <c r="G3637" s="73"/>
      <c r="H3637" s="73"/>
      <c r="I3637" s="73"/>
      <c r="J3637" s="73"/>
      <c r="K3637" s="73"/>
      <c r="L3637" s="73"/>
      <c r="M3637" s="73"/>
      <c r="N3637" s="73"/>
      <c r="O3637" s="73"/>
      <c r="P3637" s="73"/>
      <c r="Q3637" s="73"/>
      <c r="R3637" s="73"/>
      <c r="S3637" s="73"/>
      <c r="T3637" s="73"/>
      <c r="U3637" s="73"/>
      <c r="V3637" s="73"/>
      <c r="W3637" s="73"/>
      <c r="X3637" s="73"/>
      <c r="Y3637" s="73"/>
      <c r="Z3637" s="73"/>
      <c r="AA3637" s="73"/>
      <c r="AB3637" s="73"/>
    </row>
    <row r="3638">
      <c r="A3638" s="73"/>
      <c r="B3638" s="73">
        <v>5489940.871</v>
      </c>
      <c r="C3638" s="73">
        <v>3.83637645663727E8</v>
      </c>
      <c r="D3638" s="73">
        <v>1.87747668940002E8</v>
      </c>
      <c r="E3638" s="73">
        <v>2.57652551868311E7</v>
      </c>
      <c r="F3638" s="73"/>
      <c r="G3638" s="73"/>
      <c r="H3638" s="73"/>
      <c r="I3638" s="73"/>
      <c r="J3638" s="73"/>
      <c r="K3638" s="73"/>
      <c r="L3638" s="73"/>
      <c r="M3638" s="73"/>
      <c r="N3638" s="73"/>
      <c r="O3638" s="73"/>
      <c r="P3638" s="73"/>
      <c r="Q3638" s="73"/>
      <c r="R3638" s="73"/>
      <c r="S3638" s="73"/>
      <c r="T3638" s="73"/>
      <c r="U3638" s="73"/>
      <c r="V3638" s="73"/>
      <c r="W3638" s="73"/>
      <c r="X3638" s="73"/>
      <c r="Y3638" s="73"/>
      <c r="Z3638" s="73"/>
      <c r="AA3638" s="73"/>
      <c r="AB3638" s="73"/>
    </row>
    <row r="3639">
      <c r="A3639" s="73"/>
      <c r="B3639" s="73">
        <v>5497191.872</v>
      </c>
      <c r="C3639" s="73">
        <v>3.83924793175751E8</v>
      </c>
      <c r="D3639" s="73">
        <v>1.87917499319996E8</v>
      </c>
      <c r="E3639" s="73">
        <v>2.579106341587E7</v>
      </c>
      <c r="F3639" s="73"/>
      <c r="G3639" s="73"/>
      <c r="H3639" s="73"/>
      <c r="I3639" s="73"/>
      <c r="J3639" s="73"/>
      <c r="K3639" s="73"/>
      <c r="L3639" s="73"/>
      <c r="M3639" s="73"/>
      <c r="N3639" s="73"/>
      <c r="O3639" s="73"/>
      <c r="P3639" s="73"/>
      <c r="Q3639" s="73"/>
      <c r="R3639" s="73"/>
      <c r="S3639" s="73"/>
      <c r="T3639" s="73"/>
      <c r="U3639" s="73"/>
      <c r="V3639" s="73"/>
      <c r="W3639" s="73"/>
      <c r="X3639" s="73"/>
      <c r="Y3639" s="73"/>
      <c r="Z3639" s="73"/>
      <c r="AA3639" s="73"/>
      <c r="AB3639" s="73"/>
    </row>
    <row r="3640">
      <c r="A3640" s="73"/>
      <c r="B3640" s="73">
        <v>5504452.949</v>
      </c>
      <c r="C3640" s="73">
        <v>3.84212039567772E8</v>
      </c>
      <c r="D3640" s="73">
        <v>1.88087412532004E8</v>
      </c>
      <c r="E3640" s="73">
        <v>2.58168896258998E7</v>
      </c>
      <c r="F3640" s="73"/>
      <c r="G3640" s="73"/>
      <c r="H3640" s="73"/>
      <c r="I3640" s="73"/>
      <c r="J3640" s="73"/>
      <c r="K3640" s="73"/>
      <c r="L3640" s="73"/>
      <c r="M3640" s="73"/>
      <c r="N3640" s="73"/>
      <c r="O3640" s="73"/>
      <c r="P3640" s="73"/>
      <c r="Q3640" s="73"/>
      <c r="R3640" s="73"/>
      <c r="S3640" s="73"/>
      <c r="T3640" s="73"/>
      <c r="U3640" s="73"/>
      <c r="V3640" s="73"/>
      <c r="W3640" s="73"/>
      <c r="X3640" s="73"/>
      <c r="Y3640" s="73"/>
      <c r="Z3640" s="73"/>
      <c r="AA3640" s="73"/>
      <c r="AB3640" s="73"/>
    </row>
    <row r="3641">
      <c r="A3641" s="73"/>
      <c r="B3641" s="73">
        <v>5511724.001</v>
      </c>
      <c r="C3641" s="73">
        <v>3.84499450759789E8</v>
      </c>
      <c r="D3641" s="73">
        <v>1.88257449391998E8</v>
      </c>
      <c r="E3641" s="73">
        <v>2.58427342680567E7</v>
      </c>
      <c r="F3641" s="73"/>
      <c r="G3641" s="73"/>
      <c r="H3641" s="73"/>
      <c r="I3641" s="73"/>
      <c r="J3641" s="73"/>
      <c r="K3641" s="73"/>
      <c r="L3641" s="73"/>
      <c r="M3641" s="73"/>
      <c r="N3641" s="73"/>
      <c r="O3641" s="73"/>
      <c r="P3641" s="73"/>
      <c r="Q3641" s="73"/>
      <c r="R3641" s="73"/>
      <c r="S3641" s="73"/>
      <c r="T3641" s="73"/>
      <c r="U3641" s="73"/>
      <c r="V3641" s="73"/>
      <c r="W3641" s="73"/>
      <c r="X3641" s="73"/>
      <c r="Y3641" s="73"/>
      <c r="Z3641" s="73"/>
      <c r="AA3641" s="73"/>
      <c r="AB3641" s="73"/>
    </row>
    <row r="3642">
      <c r="A3642" s="73"/>
      <c r="B3642" s="73">
        <v>5519004.976</v>
      </c>
      <c r="C3642" s="73">
        <v>3.84786993791801E8</v>
      </c>
      <c r="D3642" s="73">
        <v>1.88427569083991E8</v>
      </c>
      <c r="E3642" s="73">
        <v>2.58685984328685E7</v>
      </c>
      <c r="F3642" s="73"/>
      <c r="G3642" s="73"/>
      <c r="H3642" s="73"/>
      <c r="I3642" s="73"/>
      <c r="J3642" s="73"/>
      <c r="K3642" s="73"/>
      <c r="L3642" s="73"/>
      <c r="M3642" s="73"/>
      <c r="N3642" s="73"/>
      <c r="O3642" s="73"/>
      <c r="P3642" s="73"/>
      <c r="Q3642" s="73"/>
      <c r="R3642" s="73"/>
      <c r="S3642" s="73"/>
      <c r="T3642" s="73"/>
      <c r="U3642" s="73"/>
      <c r="V3642" s="73"/>
      <c r="W3642" s="73"/>
      <c r="X3642" s="73"/>
      <c r="Y3642" s="73"/>
      <c r="Z3642" s="73"/>
      <c r="AA3642" s="73"/>
      <c r="AB3642" s="73"/>
    </row>
    <row r="3643">
      <c r="A3643" s="73"/>
      <c r="B3643" s="73">
        <v>5526296.019</v>
      </c>
      <c r="C3643" s="73">
        <v>3.85074668663811E8</v>
      </c>
      <c r="D3643" s="73">
        <v>1.88597812263999E8</v>
      </c>
      <c r="E3643" s="73">
        <v>2.58944820202713E7</v>
      </c>
      <c r="F3643" s="73"/>
      <c r="G3643" s="73"/>
      <c r="H3643" s="73"/>
      <c r="I3643" s="73"/>
      <c r="J3643" s="73"/>
      <c r="K3643" s="73"/>
      <c r="L3643" s="73"/>
      <c r="M3643" s="73"/>
      <c r="N3643" s="73"/>
      <c r="O3643" s="73"/>
      <c r="P3643" s="73"/>
      <c r="Q3643" s="73"/>
      <c r="R3643" s="73"/>
      <c r="S3643" s="73"/>
      <c r="T3643" s="73"/>
      <c r="U3643" s="73"/>
      <c r="V3643" s="73"/>
      <c r="W3643" s="73"/>
      <c r="X3643" s="73"/>
      <c r="Y3643" s="73"/>
      <c r="Z3643" s="73"/>
      <c r="AA3643" s="73"/>
      <c r="AB3643" s="73"/>
    </row>
    <row r="3644">
      <c r="A3644" s="73"/>
      <c r="B3644" s="73">
        <v>5533597.048</v>
      </c>
      <c r="C3644" s="73">
        <v>3.85362475375816E8</v>
      </c>
      <c r="D3644" s="73">
        <v>1.88768137971993E8</v>
      </c>
      <c r="E3644" s="73">
        <v>2.59203825982011E7</v>
      </c>
      <c r="F3644" s="73"/>
      <c r="G3644" s="73"/>
      <c r="H3644" s="73"/>
      <c r="I3644" s="73"/>
      <c r="J3644" s="73"/>
      <c r="K3644" s="73"/>
      <c r="L3644" s="73"/>
      <c r="M3644" s="73"/>
      <c r="N3644" s="73"/>
      <c r="O3644" s="73"/>
      <c r="P3644" s="73"/>
      <c r="Q3644" s="73"/>
      <c r="R3644" s="73"/>
      <c r="S3644" s="73"/>
      <c r="T3644" s="73"/>
      <c r="U3644" s="73"/>
      <c r="V3644" s="73"/>
      <c r="W3644" s="73"/>
      <c r="X3644" s="73"/>
      <c r="Y3644" s="73"/>
      <c r="Z3644" s="73"/>
      <c r="AA3644" s="73"/>
      <c r="AB3644" s="73"/>
    </row>
    <row r="3645">
      <c r="A3645" s="73"/>
      <c r="B3645" s="73">
        <v>5540908.109</v>
      </c>
      <c r="C3645" s="73">
        <v>3.85650413927818E8</v>
      </c>
      <c r="D3645" s="73">
        <v>1.88938546816001E8</v>
      </c>
      <c r="E3645" s="73">
        <v>2.59463038859858E7</v>
      </c>
      <c r="F3645" s="73"/>
      <c r="G3645" s="73"/>
      <c r="H3645" s="73"/>
      <c r="I3645" s="73"/>
      <c r="J3645" s="73"/>
      <c r="K3645" s="73"/>
      <c r="L3645" s="73"/>
      <c r="M3645" s="73"/>
      <c r="N3645" s="73"/>
      <c r="O3645" s="73"/>
      <c r="P3645" s="73"/>
      <c r="Q3645" s="73"/>
      <c r="R3645" s="73"/>
      <c r="S3645" s="73"/>
      <c r="T3645" s="73"/>
      <c r="U3645" s="73"/>
      <c r="V3645" s="73"/>
      <c r="W3645" s="73"/>
      <c r="X3645" s="73"/>
      <c r="Y3645" s="73"/>
      <c r="Z3645" s="73"/>
      <c r="AA3645" s="73"/>
      <c r="AB3645" s="73"/>
    </row>
    <row r="3646">
      <c r="A3646" s="73"/>
      <c r="B3646" s="73">
        <v>5548229.176</v>
      </c>
      <c r="C3646" s="73">
        <v>3.85938484319817E8</v>
      </c>
      <c r="D3646" s="73">
        <v>1.89109079147995E8</v>
      </c>
      <c r="E3646" s="73">
        <v>2.59722424186976E7</v>
      </c>
      <c r="F3646" s="73"/>
      <c r="G3646" s="73"/>
      <c r="H3646" s="73"/>
      <c r="I3646" s="73"/>
      <c r="J3646" s="73"/>
      <c r="K3646" s="73"/>
      <c r="L3646" s="73"/>
      <c r="M3646" s="73"/>
      <c r="N3646" s="73"/>
      <c r="O3646" s="73"/>
      <c r="P3646" s="73"/>
      <c r="Q3646" s="73"/>
      <c r="R3646" s="73"/>
      <c r="S3646" s="73"/>
      <c r="T3646" s="73"/>
      <c r="U3646" s="73"/>
      <c r="V3646" s="73"/>
      <c r="W3646" s="73"/>
      <c r="X3646" s="73"/>
      <c r="Y3646" s="73"/>
      <c r="Z3646" s="73"/>
      <c r="AA3646" s="73"/>
      <c r="AB3646" s="73"/>
    </row>
    <row r="3647">
      <c r="A3647" s="73"/>
      <c r="B3647" s="73">
        <v>5555560.208</v>
      </c>
      <c r="C3647" s="73">
        <v>3.86226686551811E8</v>
      </c>
      <c r="D3647" s="73">
        <v>1.89279714648003E8</v>
      </c>
      <c r="E3647" s="73">
        <v>2.59982000348004E7</v>
      </c>
      <c r="F3647" s="73"/>
      <c r="G3647" s="73"/>
      <c r="H3647" s="73"/>
      <c r="I3647" s="73"/>
      <c r="J3647" s="73"/>
      <c r="K3647" s="73"/>
      <c r="L3647" s="73"/>
      <c r="M3647" s="73"/>
      <c r="N3647" s="73"/>
      <c r="O3647" s="73"/>
      <c r="P3647" s="73"/>
      <c r="Q3647" s="73"/>
      <c r="R3647" s="73"/>
      <c r="S3647" s="73"/>
      <c r="T3647" s="73"/>
      <c r="U3647" s="73"/>
      <c r="V3647" s="73"/>
      <c r="W3647" s="73"/>
      <c r="X3647" s="73"/>
      <c r="Y3647" s="73"/>
      <c r="Z3647" s="73"/>
      <c r="AA3647" s="73"/>
      <c r="AB3647" s="73"/>
    </row>
    <row r="3648">
      <c r="A3648" s="73"/>
      <c r="B3648" s="73">
        <v>5562901.347</v>
      </c>
      <c r="C3648" s="73">
        <v>3.865150865438E8</v>
      </c>
      <c r="D3648" s="73">
        <v>1.89450432979996E8</v>
      </c>
      <c r="E3648" s="73">
        <v>2.60241775975581E7</v>
      </c>
      <c r="F3648" s="73"/>
      <c r="G3648" s="73"/>
      <c r="H3648" s="73"/>
      <c r="I3648" s="73"/>
      <c r="J3648" s="73"/>
      <c r="K3648" s="73"/>
      <c r="L3648" s="73"/>
      <c r="M3648" s="73"/>
      <c r="N3648" s="73"/>
      <c r="O3648" s="73"/>
      <c r="P3648" s="73"/>
      <c r="Q3648" s="73"/>
      <c r="R3648" s="73"/>
      <c r="S3648" s="73"/>
      <c r="T3648" s="73"/>
      <c r="U3648" s="73"/>
      <c r="V3648" s="73"/>
      <c r="W3648" s="73"/>
      <c r="X3648" s="73"/>
      <c r="Y3648" s="73"/>
      <c r="Z3648" s="73"/>
      <c r="AA3648" s="73"/>
      <c r="AB3648" s="73"/>
    </row>
    <row r="3649">
      <c r="A3649" s="73"/>
      <c r="B3649" s="73">
        <v>5570252.626</v>
      </c>
      <c r="C3649" s="73">
        <v>3.86803552455788E8</v>
      </c>
      <c r="D3649" s="73">
        <v>1.8962125431999E8</v>
      </c>
      <c r="E3649" s="73">
        <v>2.60501723628429E7</v>
      </c>
      <c r="F3649" s="73"/>
      <c r="G3649" s="73"/>
      <c r="H3649" s="73"/>
      <c r="I3649" s="73"/>
      <c r="J3649" s="73"/>
      <c r="K3649" s="73"/>
      <c r="L3649" s="73"/>
      <c r="M3649" s="73"/>
      <c r="N3649" s="73"/>
      <c r="O3649" s="73"/>
      <c r="P3649" s="73"/>
      <c r="Q3649" s="73"/>
      <c r="R3649" s="73"/>
      <c r="S3649" s="73"/>
      <c r="T3649" s="73"/>
      <c r="U3649" s="73"/>
      <c r="V3649" s="73"/>
      <c r="W3649" s="73"/>
      <c r="X3649" s="73"/>
      <c r="Y3649" s="73"/>
      <c r="Z3649" s="73"/>
      <c r="AA3649" s="73"/>
      <c r="AB3649" s="73"/>
    </row>
    <row r="3650">
      <c r="A3650" s="73"/>
      <c r="B3650" s="73">
        <v>5577613.897</v>
      </c>
      <c r="C3650" s="73">
        <v>3.8709218316777E8</v>
      </c>
      <c r="D3650" s="73">
        <v>1.89792178971998E8</v>
      </c>
      <c r="E3650" s="73">
        <v>2.60761871019185E7</v>
      </c>
      <c r="F3650" s="73"/>
      <c r="G3650" s="73"/>
      <c r="H3650" s="73"/>
      <c r="I3650" s="73"/>
      <c r="J3650" s="73"/>
      <c r="K3650" s="73"/>
      <c r="L3650" s="73"/>
      <c r="M3650" s="73"/>
      <c r="N3650" s="73"/>
      <c r="O3650" s="73"/>
      <c r="P3650" s="73"/>
      <c r="Q3650" s="73"/>
      <c r="R3650" s="73"/>
      <c r="S3650" s="73"/>
      <c r="T3650" s="73"/>
      <c r="U3650" s="73"/>
      <c r="V3650" s="73"/>
      <c r="W3650" s="73"/>
      <c r="X3650" s="73"/>
      <c r="Y3650" s="73"/>
      <c r="Z3650" s="73"/>
      <c r="AA3650" s="73"/>
      <c r="AB3650" s="73"/>
    </row>
    <row r="3651">
      <c r="A3651" s="73"/>
      <c r="B3651" s="73">
        <v>5584985.126</v>
      </c>
      <c r="C3651" s="73">
        <v>3.87380945719749E8</v>
      </c>
      <c r="D3651" s="73">
        <v>1.89963206935991E8</v>
      </c>
      <c r="E3651" s="73">
        <v>2.61022196099853E7</v>
      </c>
      <c r="F3651" s="73"/>
      <c r="G3651" s="73"/>
      <c r="H3651" s="73"/>
      <c r="I3651" s="73"/>
      <c r="J3651" s="73"/>
      <c r="K3651" s="73"/>
      <c r="L3651" s="73"/>
      <c r="M3651" s="73"/>
      <c r="N3651" s="73"/>
      <c r="O3651" s="73"/>
      <c r="P3651" s="73"/>
      <c r="Q3651" s="73"/>
      <c r="R3651" s="73"/>
      <c r="S3651" s="73"/>
      <c r="T3651" s="73"/>
      <c r="U3651" s="73"/>
      <c r="V3651" s="73"/>
      <c r="W3651" s="73"/>
      <c r="X3651" s="73"/>
      <c r="Y3651" s="73"/>
      <c r="Z3651" s="73"/>
      <c r="AA3651" s="73"/>
      <c r="AB3651" s="73"/>
    </row>
    <row r="3652">
      <c r="A3652" s="73"/>
      <c r="B3652" s="73">
        <v>5592366.706</v>
      </c>
      <c r="C3652" s="73">
        <v>3.87669807151726E8</v>
      </c>
      <c r="D3652" s="73">
        <v>1.90134337908E8</v>
      </c>
      <c r="E3652" s="73">
        <v>2.61282714982429E7</v>
      </c>
      <c r="F3652" s="73"/>
      <c r="G3652" s="73"/>
      <c r="H3652" s="73"/>
      <c r="I3652" s="73"/>
      <c r="J3652" s="73"/>
      <c r="K3652" s="73"/>
      <c r="L3652" s="73"/>
      <c r="M3652" s="73"/>
      <c r="N3652" s="73"/>
      <c r="O3652" s="73"/>
      <c r="P3652" s="73"/>
      <c r="Q3652" s="73"/>
      <c r="R3652" s="73"/>
      <c r="S3652" s="73"/>
      <c r="T3652" s="73"/>
      <c r="U3652" s="73"/>
      <c r="V3652" s="73"/>
      <c r="W3652" s="73"/>
      <c r="X3652" s="73"/>
      <c r="Y3652" s="73"/>
      <c r="Z3652" s="73"/>
      <c r="AA3652" s="73"/>
      <c r="AB3652" s="73"/>
    </row>
    <row r="3653">
      <c r="A3653" s="73"/>
      <c r="B3653" s="73">
        <v>5599758.15</v>
      </c>
      <c r="C3653" s="73">
        <v>3.87958866343697E8</v>
      </c>
      <c r="D3653" s="73">
        <v>1.90305572191993E8</v>
      </c>
      <c r="E3653" s="73">
        <v>2.61543418338916E7</v>
      </c>
      <c r="F3653" s="73"/>
      <c r="G3653" s="73"/>
      <c r="H3653" s="73"/>
      <c r="I3653" s="73"/>
      <c r="J3653" s="73"/>
      <c r="K3653" s="73"/>
      <c r="L3653" s="73"/>
      <c r="M3653" s="73"/>
      <c r="N3653" s="73"/>
      <c r="O3653" s="73"/>
      <c r="P3653" s="73"/>
      <c r="Q3653" s="73"/>
      <c r="R3653" s="73"/>
      <c r="S3653" s="73"/>
      <c r="T3653" s="73"/>
      <c r="U3653" s="73"/>
      <c r="V3653" s="73"/>
      <c r="W3653" s="73"/>
      <c r="X3653" s="73"/>
      <c r="Y3653" s="73"/>
      <c r="Z3653" s="73"/>
      <c r="AA3653" s="73"/>
      <c r="AB3653" s="73"/>
    </row>
    <row r="3654">
      <c r="A3654" s="73"/>
      <c r="B3654" s="73">
        <v>5607159.776</v>
      </c>
      <c r="C3654" s="73">
        <v>3.88248024415665E8</v>
      </c>
      <c r="D3654" s="73">
        <v>1.90476889164002E8</v>
      </c>
      <c r="E3654" s="73">
        <v>2.61804314649313E7</v>
      </c>
      <c r="F3654" s="73"/>
      <c r="G3654" s="73"/>
      <c r="H3654" s="73"/>
      <c r="I3654" s="73"/>
      <c r="J3654" s="73"/>
      <c r="K3654" s="73"/>
      <c r="L3654" s="73"/>
      <c r="M3654" s="73"/>
      <c r="N3654" s="73"/>
      <c r="O3654" s="73"/>
      <c r="P3654" s="73"/>
      <c r="Q3654" s="73"/>
      <c r="R3654" s="73"/>
      <c r="S3654" s="73"/>
      <c r="T3654" s="73"/>
      <c r="U3654" s="73"/>
      <c r="V3654" s="73"/>
      <c r="W3654" s="73"/>
      <c r="X3654" s="73"/>
      <c r="Y3654" s="73"/>
      <c r="Z3654" s="73"/>
      <c r="AA3654" s="73"/>
      <c r="AB3654" s="73"/>
    </row>
    <row r="3655">
      <c r="A3655" s="73"/>
      <c r="B3655" s="73">
        <v>5614571.433</v>
      </c>
      <c r="C3655" s="73">
        <v>3.88537314327629E8</v>
      </c>
      <c r="D3655" s="73">
        <v>1.90648309287995E8</v>
      </c>
      <c r="E3655" s="73">
        <v>2.62065398825619E7</v>
      </c>
      <c r="F3655" s="73"/>
      <c r="G3655" s="73"/>
      <c r="H3655" s="73"/>
      <c r="I3655" s="73"/>
      <c r="J3655" s="73"/>
      <c r="K3655" s="73"/>
      <c r="L3655" s="73"/>
      <c r="M3655" s="73"/>
      <c r="N3655" s="73"/>
      <c r="O3655" s="73"/>
      <c r="P3655" s="73"/>
      <c r="Q3655" s="73"/>
      <c r="R3655" s="73"/>
      <c r="S3655" s="73"/>
      <c r="T3655" s="73"/>
      <c r="U3655" s="73"/>
      <c r="V3655" s="73"/>
      <c r="W3655" s="73"/>
      <c r="X3655" s="73"/>
      <c r="Y3655" s="73"/>
      <c r="Z3655" s="73"/>
      <c r="AA3655" s="73"/>
      <c r="AB3655" s="73"/>
    </row>
    <row r="3656">
      <c r="A3656" s="73"/>
      <c r="B3656" s="73">
        <v>5621993.199</v>
      </c>
      <c r="C3656" s="73">
        <v>3.88826769039589E8</v>
      </c>
      <c r="D3656" s="73">
        <v>1.90819853060004E8</v>
      </c>
      <c r="E3656" s="73">
        <v>2.62326660963195E7</v>
      </c>
      <c r="F3656" s="73"/>
      <c r="G3656" s="73"/>
      <c r="H3656" s="73"/>
      <c r="I3656" s="73"/>
      <c r="J3656" s="73"/>
      <c r="K3656" s="73"/>
      <c r="L3656" s="73"/>
      <c r="M3656" s="73"/>
      <c r="N3656" s="73"/>
      <c r="O3656" s="73"/>
      <c r="P3656" s="73"/>
      <c r="Q3656" s="73"/>
      <c r="R3656" s="73"/>
      <c r="S3656" s="73"/>
      <c r="T3656" s="73"/>
      <c r="U3656" s="73"/>
      <c r="V3656" s="73"/>
      <c r="W3656" s="73"/>
      <c r="X3656" s="73"/>
      <c r="Y3656" s="73"/>
      <c r="Z3656" s="73"/>
      <c r="AA3656" s="73"/>
      <c r="AB3656" s="73"/>
    </row>
    <row r="3657">
      <c r="A3657" s="73"/>
      <c r="B3657" s="73">
        <v>5629425.273</v>
      </c>
      <c r="C3657" s="73">
        <v>3.89116322631546E8</v>
      </c>
      <c r="D3657" s="73">
        <v>1.90991479663997E8</v>
      </c>
      <c r="E3657" s="73">
        <v>2.62588122143321E7</v>
      </c>
      <c r="F3657" s="73"/>
      <c r="G3657" s="73"/>
      <c r="H3657" s="73"/>
      <c r="I3657" s="73"/>
      <c r="J3657" s="73"/>
      <c r="K3657" s="73"/>
      <c r="L3657" s="73"/>
      <c r="M3657" s="73"/>
      <c r="N3657" s="73"/>
      <c r="O3657" s="73"/>
      <c r="P3657" s="73"/>
      <c r="Q3657" s="73"/>
      <c r="R3657" s="73"/>
      <c r="S3657" s="73"/>
      <c r="T3657" s="73"/>
      <c r="U3657" s="73"/>
      <c r="V3657" s="73"/>
      <c r="W3657" s="73"/>
      <c r="X3657" s="73"/>
      <c r="Y3657" s="73"/>
      <c r="Z3657" s="73"/>
      <c r="AA3657" s="73"/>
      <c r="AB3657" s="73"/>
    </row>
    <row r="3658">
      <c r="A3658" s="73"/>
      <c r="B3658" s="73">
        <v>5636867.333</v>
      </c>
      <c r="C3658" s="73">
        <v>3.89406073983498E8</v>
      </c>
      <c r="D3658" s="73">
        <v>1.9116318879599E8</v>
      </c>
      <c r="E3658" s="73">
        <v>2.62849776277357E7</v>
      </c>
      <c r="F3658" s="73"/>
      <c r="G3658" s="73"/>
      <c r="H3658" s="73"/>
      <c r="I3658" s="73"/>
      <c r="J3658" s="73"/>
      <c r="K3658" s="73"/>
      <c r="L3658" s="73"/>
      <c r="M3658" s="73"/>
      <c r="N3658" s="73"/>
      <c r="O3658" s="73"/>
      <c r="P3658" s="73"/>
      <c r="Q3658" s="73"/>
      <c r="R3658" s="73"/>
      <c r="S3658" s="73"/>
      <c r="T3658" s="73"/>
      <c r="U3658" s="73"/>
      <c r="V3658" s="73"/>
      <c r="W3658" s="73"/>
      <c r="X3658" s="73"/>
      <c r="Y3658" s="73"/>
      <c r="Z3658" s="73"/>
      <c r="AA3658" s="73"/>
      <c r="AB3658" s="73"/>
    </row>
    <row r="3659">
      <c r="A3659" s="73"/>
      <c r="B3659" s="73">
        <v>5644319.552</v>
      </c>
      <c r="C3659" s="73">
        <v>3.89695924215446E8</v>
      </c>
      <c r="D3659" s="73">
        <v>1.91335021719999E8</v>
      </c>
      <c r="E3659" s="73">
        <v>2.63111606676663E7</v>
      </c>
      <c r="F3659" s="73"/>
      <c r="G3659" s="73"/>
      <c r="H3659" s="73"/>
      <c r="I3659" s="73"/>
      <c r="J3659" s="73"/>
      <c r="K3659" s="73"/>
      <c r="L3659" s="73"/>
      <c r="M3659" s="73"/>
      <c r="N3659" s="73"/>
      <c r="O3659" s="73"/>
      <c r="P3659" s="73"/>
      <c r="Q3659" s="73"/>
      <c r="R3659" s="73"/>
      <c r="S3659" s="73"/>
      <c r="T3659" s="73"/>
      <c r="U3659" s="73"/>
      <c r="V3659" s="73"/>
      <c r="W3659" s="73"/>
      <c r="X3659" s="73"/>
      <c r="Y3659" s="73"/>
      <c r="Z3659" s="73"/>
      <c r="AA3659" s="73"/>
      <c r="AB3659" s="73"/>
    </row>
    <row r="3660">
      <c r="A3660" s="73"/>
      <c r="B3660" s="73">
        <v>5651781.858</v>
      </c>
      <c r="C3660" s="73">
        <v>3.89985873327393E8</v>
      </c>
      <c r="D3660" s="73">
        <v>1.91506957971992E8</v>
      </c>
      <c r="E3660" s="73">
        <v>2.63373633574518E7</v>
      </c>
      <c r="F3660" s="73"/>
      <c r="G3660" s="73"/>
      <c r="H3660" s="73"/>
      <c r="I3660" s="73"/>
      <c r="J3660" s="73"/>
      <c r="K3660" s="73"/>
      <c r="L3660" s="73"/>
      <c r="M3660" s="73"/>
      <c r="N3660" s="73"/>
      <c r="O3660" s="73"/>
      <c r="P3660" s="73"/>
      <c r="Q3660" s="73"/>
      <c r="R3660" s="73"/>
      <c r="S3660" s="73"/>
      <c r="T3660" s="73"/>
      <c r="U3660" s="73"/>
      <c r="V3660" s="73"/>
      <c r="W3660" s="73"/>
      <c r="X3660" s="73"/>
      <c r="Y3660" s="73"/>
      <c r="Z3660" s="73"/>
      <c r="AA3660" s="73"/>
      <c r="AB3660" s="73"/>
    </row>
    <row r="3661">
      <c r="A3661" s="73"/>
      <c r="B3661" s="73">
        <v>5659254.463</v>
      </c>
      <c r="C3661" s="73">
        <v>3.90276053159332E8</v>
      </c>
      <c r="D3661" s="73">
        <v>1.91678976736001E8</v>
      </c>
      <c r="E3661" s="73">
        <v>2.63635843097644E7</v>
      </c>
      <c r="F3661" s="73"/>
      <c r="G3661" s="73"/>
      <c r="H3661" s="73"/>
      <c r="I3661" s="73"/>
      <c r="J3661" s="73"/>
      <c r="K3661" s="73"/>
      <c r="L3661" s="73"/>
      <c r="M3661" s="73"/>
      <c r="N3661" s="73"/>
      <c r="O3661" s="73"/>
      <c r="P3661" s="73"/>
      <c r="Q3661" s="73"/>
      <c r="R3661" s="73"/>
      <c r="S3661" s="73"/>
      <c r="T3661" s="73"/>
      <c r="U3661" s="73"/>
      <c r="V3661" s="73"/>
      <c r="W3661" s="73"/>
      <c r="X3661" s="73"/>
      <c r="Y3661" s="73"/>
      <c r="Z3661" s="73"/>
      <c r="AA3661" s="73"/>
      <c r="AB3661" s="73"/>
    </row>
    <row r="3662">
      <c r="A3662" s="73"/>
      <c r="B3662" s="73">
        <v>5666737.164</v>
      </c>
      <c r="C3662" s="73">
        <v>3.90566265951271E8</v>
      </c>
      <c r="D3662" s="73">
        <v>1.91851098811994E8</v>
      </c>
      <c r="E3662" s="73">
        <v>2.63898249119319E7</v>
      </c>
      <c r="F3662" s="73"/>
      <c r="G3662" s="73"/>
      <c r="H3662" s="73"/>
      <c r="I3662" s="73"/>
      <c r="J3662" s="73"/>
      <c r="K3662" s="73"/>
      <c r="L3662" s="73"/>
      <c r="M3662" s="73"/>
      <c r="N3662" s="73"/>
      <c r="O3662" s="73"/>
      <c r="P3662" s="73"/>
      <c r="Q3662" s="73"/>
      <c r="R3662" s="73"/>
      <c r="S3662" s="73"/>
      <c r="T3662" s="73"/>
      <c r="U3662" s="73"/>
      <c r="V3662" s="73"/>
      <c r="W3662" s="73"/>
      <c r="X3662" s="73"/>
      <c r="Y3662" s="73"/>
      <c r="Z3662" s="73"/>
      <c r="AA3662" s="73"/>
      <c r="AB3662" s="73"/>
    </row>
    <row r="3663">
      <c r="A3663" s="73"/>
      <c r="B3663" s="73">
        <v>5674229.991</v>
      </c>
      <c r="C3663" s="73">
        <v>3.90856676503204E8</v>
      </c>
      <c r="D3663" s="73">
        <v>1.92023344536002E8</v>
      </c>
      <c r="E3663" s="73">
        <v>2.64160836494264E7</v>
      </c>
      <c r="F3663" s="73"/>
      <c r="G3663" s="73"/>
      <c r="H3663" s="73"/>
      <c r="I3663" s="73"/>
      <c r="J3663" s="73"/>
      <c r="K3663" s="73"/>
      <c r="L3663" s="73"/>
      <c r="M3663" s="73"/>
      <c r="N3663" s="73"/>
      <c r="O3663" s="73"/>
      <c r="P3663" s="73"/>
      <c r="Q3663" s="73"/>
      <c r="R3663" s="73"/>
      <c r="S3663" s="73"/>
      <c r="T3663" s="73"/>
      <c r="U3663" s="73"/>
      <c r="V3663" s="73"/>
      <c r="W3663" s="73"/>
      <c r="X3663" s="73"/>
      <c r="Y3663" s="73"/>
      <c r="Z3663" s="73"/>
      <c r="AA3663" s="73"/>
      <c r="AB3663" s="73"/>
    </row>
    <row r="3664">
      <c r="A3664" s="73"/>
      <c r="B3664" s="73">
        <v>5681733.048</v>
      </c>
      <c r="C3664" s="73">
        <v>3.91147185935135E8</v>
      </c>
      <c r="D3664" s="73">
        <v>1.92195673091996E8</v>
      </c>
      <c r="E3664" s="73">
        <v>2.64423608767119E7</v>
      </c>
      <c r="F3664" s="73"/>
      <c r="G3664" s="73"/>
      <c r="H3664" s="73"/>
      <c r="I3664" s="73"/>
      <c r="J3664" s="73"/>
      <c r="K3664" s="73"/>
      <c r="L3664" s="73"/>
      <c r="M3664" s="73"/>
      <c r="N3664" s="73"/>
      <c r="O3664" s="73"/>
      <c r="P3664" s="73"/>
      <c r="Q3664" s="73"/>
      <c r="R3664" s="73"/>
      <c r="S3664" s="73"/>
      <c r="T3664" s="73"/>
      <c r="U3664" s="73"/>
      <c r="V3664" s="73"/>
      <c r="W3664" s="73"/>
      <c r="X3664" s="73"/>
      <c r="Y3664" s="73"/>
      <c r="Z3664" s="73"/>
      <c r="AA3664" s="73"/>
      <c r="AB3664" s="73"/>
    </row>
    <row r="3665">
      <c r="A3665" s="73"/>
      <c r="B3665" s="73">
        <v>5689246.386</v>
      </c>
      <c r="C3665" s="73">
        <v>3.91437860167061E8</v>
      </c>
      <c r="D3665" s="73">
        <v>1.92368084176004E8</v>
      </c>
      <c r="E3665" s="73">
        <v>2.64686586018523E7</v>
      </c>
      <c r="F3665" s="73"/>
      <c r="G3665" s="73"/>
      <c r="H3665" s="73"/>
      <c r="I3665" s="73"/>
      <c r="J3665" s="73"/>
      <c r="K3665" s="73"/>
      <c r="L3665" s="73"/>
      <c r="M3665" s="73"/>
      <c r="N3665" s="73"/>
      <c r="O3665" s="73"/>
      <c r="P3665" s="73"/>
      <c r="Q3665" s="73"/>
      <c r="R3665" s="73"/>
      <c r="S3665" s="73"/>
      <c r="T3665" s="73"/>
      <c r="U3665" s="73"/>
      <c r="V3665" s="73"/>
      <c r="W3665" s="73"/>
      <c r="X3665" s="73"/>
      <c r="Y3665" s="73"/>
      <c r="Z3665" s="73"/>
      <c r="AA3665" s="73"/>
      <c r="AB3665" s="73"/>
    </row>
    <row r="3666">
      <c r="A3666" s="73"/>
      <c r="B3666" s="73">
        <v>5696769.793</v>
      </c>
      <c r="C3666" s="73">
        <v>3.91728666238983E8</v>
      </c>
      <c r="D3666" s="73">
        <v>1.92540618907998E8</v>
      </c>
      <c r="E3666" s="73">
        <v>2.64949743351197E7</v>
      </c>
      <c r="F3666" s="73"/>
      <c r="G3666" s="73"/>
      <c r="H3666" s="73"/>
      <c r="I3666" s="73"/>
      <c r="J3666" s="73"/>
      <c r="K3666" s="73"/>
      <c r="L3666" s="73"/>
      <c r="M3666" s="73"/>
      <c r="N3666" s="73"/>
      <c r="O3666" s="73"/>
      <c r="P3666" s="73"/>
      <c r="Q3666" s="73"/>
      <c r="R3666" s="73"/>
      <c r="S3666" s="73"/>
      <c r="T3666" s="73"/>
      <c r="U3666" s="73"/>
      <c r="V3666" s="73"/>
      <c r="W3666" s="73"/>
      <c r="X3666" s="73"/>
      <c r="Y3666" s="73"/>
      <c r="Z3666" s="73"/>
      <c r="AA3666" s="73"/>
      <c r="AB3666" s="73"/>
    </row>
    <row r="3667">
      <c r="A3667" s="73"/>
      <c r="B3667" s="73">
        <v>5704303.475</v>
      </c>
      <c r="C3667" s="73">
        <v>3.92019637110901E8</v>
      </c>
      <c r="D3667" s="73">
        <v>1.92713256935991E8</v>
      </c>
      <c r="E3667" s="73">
        <v>2.65213084733782E7</v>
      </c>
      <c r="F3667" s="73"/>
      <c r="G3667" s="73"/>
      <c r="H3667" s="73"/>
      <c r="I3667" s="73"/>
      <c r="J3667" s="73"/>
      <c r="K3667" s="73"/>
      <c r="L3667" s="73"/>
      <c r="M3667" s="73"/>
      <c r="N3667" s="73"/>
      <c r="O3667" s="73"/>
      <c r="P3667" s="73"/>
      <c r="Q3667" s="73"/>
      <c r="R3667" s="73"/>
      <c r="S3667" s="73"/>
      <c r="T3667" s="73"/>
      <c r="U3667" s="73"/>
      <c r="V3667" s="73"/>
      <c r="W3667" s="73"/>
      <c r="X3667" s="73"/>
      <c r="Y3667" s="73"/>
      <c r="Z3667" s="73"/>
      <c r="AA3667" s="73"/>
      <c r="AB3667" s="73"/>
    </row>
    <row r="3668">
      <c r="A3668" s="73"/>
      <c r="B3668" s="73">
        <v>5711847.401</v>
      </c>
      <c r="C3668" s="73">
        <v>3.92310739822815E8</v>
      </c>
      <c r="D3668" s="73">
        <v>1.92885977811999E8</v>
      </c>
      <c r="E3668" s="73">
        <v>2.65476616526276E7</v>
      </c>
      <c r="F3668" s="73"/>
      <c r="G3668" s="73"/>
      <c r="H3668" s="73"/>
      <c r="I3668" s="73"/>
      <c r="J3668" s="73"/>
      <c r="K3668" s="73"/>
      <c r="L3668" s="73"/>
      <c r="M3668" s="73"/>
      <c r="N3668" s="73"/>
      <c r="O3668" s="73"/>
      <c r="P3668" s="73"/>
      <c r="Q3668" s="73"/>
      <c r="R3668" s="73"/>
      <c r="S3668" s="73"/>
      <c r="T3668" s="73"/>
      <c r="U3668" s="73"/>
      <c r="V3668" s="73"/>
      <c r="W3668" s="73"/>
      <c r="X3668" s="73"/>
      <c r="Y3668" s="73"/>
      <c r="Z3668" s="73"/>
      <c r="AA3668" s="73"/>
      <c r="AB3668" s="73"/>
    </row>
    <row r="3669">
      <c r="A3669" s="73"/>
      <c r="B3669" s="73">
        <v>5719401.514</v>
      </c>
      <c r="C3669" s="73">
        <v>3.92601908454727E8</v>
      </c>
      <c r="D3669" s="73">
        <v>1.93058822175993E8</v>
      </c>
      <c r="E3669" s="73">
        <v>2.6574033703268E7</v>
      </c>
      <c r="F3669" s="73"/>
      <c r="G3669" s="73"/>
      <c r="H3669" s="73"/>
      <c r="I3669" s="73"/>
      <c r="J3669" s="73"/>
      <c r="K3669" s="73"/>
      <c r="L3669" s="73"/>
      <c r="M3669" s="73"/>
      <c r="N3669" s="73"/>
      <c r="O3669" s="73"/>
      <c r="P3669" s="73"/>
      <c r="Q3669" s="73"/>
      <c r="R3669" s="73"/>
      <c r="S3669" s="73"/>
      <c r="T3669" s="73"/>
      <c r="U3669" s="73"/>
      <c r="V3669" s="73"/>
      <c r="W3669" s="73"/>
      <c r="X3669" s="73"/>
      <c r="Y3669" s="73"/>
      <c r="Z3669" s="73"/>
      <c r="AA3669" s="73"/>
      <c r="AB3669" s="73"/>
    </row>
    <row r="3670">
      <c r="A3670" s="73"/>
      <c r="B3670" s="73">
        <v>5726965.843</v>
      </c>
      <c r="C3670" s="73">
        <v>3.92893274846634E8</v>
      </c>
      <c r="D3670" s="73">
        <v>1.93231749372001E8</v>
      </c>
      <c r="E3670" s="73">
        <v>2.66004251764993E7</v>
      </c>
      <c r="F3670" s="73"/>
      <c r="G3670" s="73"/>
      <c r="H3670" s="73"/>
      <c r="I3670" s="73"/>
      <c r="J3670" s="73"/>
      <c r="K3670" s="73"/>
      <c r="L3670" s="73"/>
      <c r="M3670" s="73"/>
      <c r="N3670" s="73"/>
      <c r="O3670" s="73"/>
      <c r="P3670" s="73"/>
      <c r="Q3670" s="73"/>
      <c r="R3670" s="73"/>
      <c r="S3670" s="73"/>
      <c r="T3670" s="73"/>
      <c r="U3670" s="73"/>
      <c r="V3670" s="73"/>
      <c r="W3670" s="73"/>
      <c r="X3670" s="73"/>
      <c r="Y3670" s="73"/>
      <c r="Z3670" s="73"/>
      <c r="AA3670" s="73"/>
      <c r="AB3670" s="73"/>
    </row>
    <row r="3671">
      <c r="A3671" s="73"/>
      <c r="B3671" s="73">
        <v>5734540.538</v>
      </c>
      <c r="C3671" s="73">
        <v>3.93184740118538E8</v>
      </c>
      <c r="D3671" s="73">
        <v>1.93404779575994E8</v>
      </c>
      <c r="E3671" s="73">
        <v>2.66268348427217E7</v>
      </c>
      <c r="F3671" s="73"/>
      <c r="G3671" s="73"/>
      <c r="H3671" s="73"/>
      <c r="I3671" s="73"/>
      <c r="J3671" s="73"/>
      <c r="K3671" s="73"/>
      <c r="L3671" s="73"/>
      <c r="M3671" s="73"/>
      <c r="N3671" s="73"/>
      <c r="O3671" s="73"/>
      <c r="P3671" s="73"/>
      <c r="Q3671" s="73"/>
      <c r="R3671" s="73"/>
      <c r="S3671" s="73"/>
      <c r="T3671" s="73"/>
      <c r="U3671" s="73"/>
      <c r="V3671" s="73"/>
      <c r="W3671" s="73"/>
      <c r="X3671" s="73"/>
      <c r="Y3671" s="73"/>
      <c r="Z3671" s="73"/>
      <c r="AA3671" s="73"/>
      <c r="AB3671" s="73"/>
    </row>
    <row r="3672">
      <c r="A3672" s="73"/>
      <c r="B3672" s="73">
        <v>5742125.327</v>
      </c>
      <c r="C3672" s="73">
        <v>3.93476403150436E8</v>
      </c>
      <c r="D3672" s="73">
        <v>1.93577913092003E8</v>
      </c>
      <c r="E3672" s="73">
        <v>2.6653263804335E7</v>
      </c>
      <c r="F3672" s="73"/>
      <c r="G3672" s="73"/>
      <c r="H3672" s="73"/>
      <c r="I3672" s="73"/>
      <c r="J3672" s="73"/>
      <c r="K3672" s="73"/>
      <c r="L3672" s="73"/>
      <c r="M3672" s="73"/>
      <c r="N3672" s="73"/>
      <c r="O3672" s="73"/>
      <c r="P3672" s="73"/>
      <c r="Q3672" s="73"/>
      <c r="R3672" s="73"/>
      <c r="S3672" s="73"/>
      <c r="T3672" s="73"/>
      <c r="U3672" s="73"/>
      <c r="V3672" s="73"/>
      <c r="W3672" s="73"/>
      <c r="X3672" s="73"/>
      <c r="Y3672" s="73"/>
      <c r="Z3672" s="73"/>
      <c r="AA3672" s="73"/>
      <c r="AB3672" s="73"/>
    </row>
    <row r="3673">
      <c r="A3673" s="73"/>
      <c r="B3673" s="73">
        <v>5749720.501</v>
      </c>
      <c r="C3673" s="73">
        <v>3.93768132102333E8</v>
      </c>
      <c r="D3673" s="73">
        <v>1.93751149759996E8</v>
      </c>
      <c r="E3673" s="73">
        <v>2.66797120613393E7</v>
      </c>
      <c r="F3673" s="73"/>
      <c r="G3673" s="73"/>
      <c r="H3673" s="73"/>
      <c r="I3673" s="73"/>
      <c r="J3673" s="73"/>
      <c r="K3673" s="73"/>
      <c r="L3673" s="73"/>
      <c r="M3673" s="73"/>
      <c r="N3673" s="73"/>
      <c r="O3673" s="73"/>
      <c r="P3673" s="73"/>
      <c r="Q3673" s="73"/>
      <c r="R3673" s="73"/>
      <c r="S3673" s="73"/>
      <c r="T3673" s="73"/>
      <c r="U3673" s="73"/>
      <c r="V3673" s="73"/>
      <c r="W3673" s="73"/>
      <c r="X3673" s="73"/>
      <c r="Y3673" s="73"/>
      <c r="Z3673" s="73"/>
      <c r="AA3673" s="73"/>
      <c r="AB3673" s="73"/>
    </row>
    <row r="3674">
      <c r="A3674" s="73"/>
      <c r="B3674" s="73">
        <v>5757326.039</v>
      </c>
      <c r="C3674" s="73">
        <v>3.94060058814224E8</v>
      </c>
      <c r="D3674" s="73">
        <v>1.9392446927599E8</v>
      </c>
      <c r="E3674" s="73">
        <v>2.67061776056707E7</v>
      </c>
      <c r="F3674" s="73"/>
      <c r="G3674" s="73"/>
      <c r="H3674" s="73"/>
      <c r="I3674" s="73"/>
      <c r="J3674" s="73"/>
      <c r="K3674" s="73"/>
      <c r="L3674" s="73"/>
      <c r="M3674" s="73"/>
      <c r="N3674" s="73"/>
      <c r="O3674" s="73"/>
      <c r="P3674" s="73"/>
      <c r="Q3674" s="73"/>
      <c r="R3674" s="73"/>
      <c r="S3674" s="73"/>
      <c r="T3674" s="73"/>
      <c r="U3674" s="73"/>
      <c r="V3674" s="73"/>
      <c r="W3674" s="73"/>
      <c r="X3674" s="73"/>
      <c r="Y3674" s="73"/>
      <c r="Z3674" s="73"/>
      <c r="AA3674" s="73"/>
      <c r="AB3674" s="73"/>
    </row>
    <row r="3675">
      <c r="A3675" s="73"/>
      <c r="B3675" s="73">
        <v>5764941.583</v>
      </c>
      <c r="C3675" s="73">
        <v>3.94352051446114E8</v>
      </c>
      <c r="D3675" s="73">
        <v>1.94097912423998E8</v>
      </c>
      <c r="E3675" s="73">
        <v>2.67326641142569E7</v>
      </c>
      <c r="F3675" s="73"/>
      <c r="G3675" s="73"/>
      <c r="H3675" s="73"/>
      <c r="I3675" s="73"/>
      <c r="J3675" s="73"/>
      <c r="K3675" s="73"/>
      <c r="L3675" s="73"/>
      <c r="M3675" s="73"/>
      <c r="N3675" s="73"/>
      <c r="O3675" s="73"/>
      <c r="P3675" s="73"/>
      <c r="Q3675" s="73"/>
      <c r="R3675" s="73"/>
      <c r="S3675" s="73"/>
      <c r="T3675" s="73"/>
      <c r="U3675" s="73"/>
      <c r="V3675" s="73"/>
      <c r="W3675" s="73"/>
      <c r="X3675" s="73"/>
      <c r="Y3675" s="73"/>
      <c r="Z3675" s="73"/>
      <c r="AA3675" s="73"/>
      <c r="AB3675" s="73"/>
    </row>
    <row r="3676">
      <c r="A3676" s="73"/>
      <c r="B3676" s="73">
        <v>5772567.641</v>
      </c>
      <c r="C3676" s="73">
        <v>3.94644274797997E8</v>
      </c>
      <c r="D3676" s="73">
        <v>1.94271438259991E8</v>
      </c>
      <c r="E3676" s="73">
        <v>2.67591689006341E7</v>
      </c>
      <c r="F3676" s="73"/>
      <c r="G3676" s="73"/>
      <c r="H3676" s="73"/>
      <c r="I3676" s="73"/>
      <c r="J3676" s="73"/>
      <c r="K3676" s="73"/>
      <c r="L3676" s="73"/>
      <c r="M3676" s="73"/>
      <c r="N3676" s="73"/>
      <c r="O3676" s="73"/>
      <c r="P3676" s="73"/>
      <c r="Q3676" s="73"/>
      <c r="R3676" s="73"/>
      <c r="S3676" s="73"/>
      <c r="T3676" s="73"/>
      <c r="U3676" s="73"/>
      <c r="V3676" s="73"/>
      <c r="W3676" s="73"/>
      <c r="X3676" s="73"/>
      <c r="Y3676" s="73"/>
      <c r="Z3676" s="73"/>
      <c r="AA3676" s="73"/>
      <c r="AB3676" s="73"/>
    </row>
    <row r="3677">
      <c r="A3677" s="73"/>
      <c r="B3677" s="73">
        <v>5780203.986</v>
      </c>
      <c r="C3677" s="73">
        <v>3.94936564069878E8</v>
      </c>
      <c r="D3677" s="73">
        <v>1.94445067248E8</v>
      </c>
      <c r="E3677" s="73">
        <v>2.67856918223384E7</v>
      </c>
      <c r="F3677" s="73"/>
      <c r="G3677" s="73"/>
      <c r="H3677" s="73"/>
      <c r="I3677" s="73"/>
      <c r="J3677" s="73"/>
      <c r="K3677" s="73"/>
      <c r="L3677" s="73"/>
      <c r="M3677" s="73"/>
      <c r="N3677" s="73"/>
      <c r="O3677" s="73"/>
      <c r="P3677" s="73"/>
      <c r="Q3677" s="73"/>
      <c r="R3677" s="73"/>
      <c r="S3677" s="73"/>
      <c r="T3677" s="73"/>
      <c r="U3677" s="73"/>
      <c r="V3677" s="73"/>
      <c r="W3677" s="73"/>
      <c r="X3677" s="73"/>
      <c r="Y3677" s="73"/>
      <c r="Z3677" s="73"/>
      <c r="AA3677" s="73"/>
      <c r="AB3677" s="73"/>
    </row>
    <row r="3678">
      <c r="A3678" s="73"/>
      <c r="B3678" s="73">
        <v>5787850.564</v>
      </c>
      <c r="C3678" s="73">
        <v>3.95229018141754E8</v>
      </c>
      <c r="D3678" s="73">
        <v>1.94618820043993E8</v>
      </c>
      <c r="E3678" s="73">
        <v>2.68122343090976E7</v>
      </c>
      <c r="F3678" s="73"/>
      <c r="G3678" s="73"/>
      <c r="H3678" s="73"/>
      <c r="I3678" s="73"/>
      <c r="J3678" s="73"/>
      <c r="K3678" s="73"/>
      <c r="L3678" s="73"/>
      <c r="M3678" s="73"/>
      <c r="N3678" s="73"/>
      <c r="O3678" s="73"/>
      <c r="P3678" s="73"/>
      <c r="Q3678" s="73"/>
      <c r="R3678" s="73"/>
      <c r="S3678" s="73"/>
      <c r="T3678" s="73"/>
      <c r="U3678" s="73"/>
      <c r="V3678" s="73"/>
      <c r="W3678" s="73"/>
      <c r="X3678" s="73"/>
      <c r="Y3678" s="73"/>
      <c r="Z3678" s="73"/>
      <c r="AA3678" s="73"/>
      <c r="AB3678" s="73"/>
    </row>
    <row r="3679">
      <c r="A3679" s="73"/>
      <c r="B3679" s="73">
        <v>5795507.382</v>
      </c>
      <c r="C3679" s="73">
        <v>3.95521571093628E8</v>
      </c>
      <c r="D3679" s="73">
        <v>1.94792655512002E8</v>
      </c>
      <c r="E3679" s="73">
        <v>2.68387962608477E7</v>
      </c>
      <c r="F3679" s="73"/>
      <c r="G3679" s="73"/>
      <c r="H3679" s="73"/>
      <c r="I3679" s="73"/>
      <c r="J3679" s="73"/>
      <c r="K3679" s="73"/>
      <c r="L3679" s="73"/>
      <c r="M3679" s="73"/>
      <c r="N3679" s="73"/>
      <c r="O3679" s="73"/>
      <c r="P3679" s="73"/>
      <c r="Q3679" s="73"/>
      <c r="R3679" s="73"/>
      <c r="S3679" s="73"/>
      <c r="T3679" s="73"/>
      <c r="U3679" s="73"/>
      <c r="V3679" s="73"/>
      <c r="W3679" s="73"/>
      <c r="X3679" s="73"/>
      <c r="Y3679" s="73"/>
      <c r="Z3679" s="73"/>
      <c r="AA3679" s="73"/>
      <c r="AB3679" s="73"/>
    </row>
    <row r="3680">
      <c r="A3680" s="73"/>
      <c r="B3680" s="73">
        <v>5803174.57</v>
      </c>
      <c r="C3680" s="73">
        <v>3.95814354765495E8</v>
      </c>
      <c r="D3680" s="73">
        <v>1.94966593987995E8</v>
      </c>
      <c r="E3680" s="73">
        <v>2.68653760087249E7</v>
      </c>
      <c r="F3680" s="73"/>
      <c r="G3680" s="73"/>
      <c r="H3680" s="73"/>
      <c r="I3680" s="73"/>
      <c r="J3680" s="73"/>
      <c r="K3680" s="73"/>
      <c r="L3680" s="73"/>
      <c r="M3680" s="73"/>
      <c r="N3680" s="73"/>
      <c r="O3680" s="73"/>
      <c r="P3680" s="73"/>
      <c r="Q3680" s="73"/>
      <c r="R3680" s="73"/>
      <c r="S3680" s="73"/>
      <c r="T3680" s="73"/>
      <c r="U3680" s="73"/>
      <c r="V3680" s="73"/>
      <c r="W3680" s="73"/>
      <c r="X3680" s="73"/>
      <c r="Y3680" s="73"/>
      <c r="Z3680" s="73"/>
      <c r="AA3680" s="73"/>
      <c r="AB3680" s="73"/>
    </row>
    <row r="3681">
      <c r="A3681" s="73"/>
      <c r="B3681" s="73">
        <v>5810852.126</v>
      </c>
      <c r="C3681" s="73">
        <v>3.96107171397362E8</v>
      </c>
      <c r="D3681" s="73">
        <v>1.95140635936004E8</v>
      </c>
      <c r="E3681" s="73">
        <v>2.6891974839993E7</v>
      </c>
      <c r="F3681" s="73"/>
      <c r="G3681" s="73"/>
      <c r="H3681" s="73"/>
      <c r="I3681" s="73"/>
      <c r="J3681" s="73"/>
      <c r="K3681" s="73"/>
      <c r="L3681" s="73"/>
      <c r="M3681" s="73"/>
      <c r="N3681" s="73"/>
      <c r="O3681" s="73"/>
      <c r="P3681" s="73"/>
      <c r="Q3681" s="73"/>
      <c r="R3681" s="73"/>
      <c r="S3681" s="73"/>
      <c r="T3681" s="73"/>
      <c r="U3681" s="73"/>
      <c r="V3681" s="73"/>
      <c r="W3681" s="73"/>
      <c r="X3681" s="73"/>
      <c r="Y3681" s="73"/>
      <c r="Z3681" s="73"/>
      <c r="AA3681" s="73"/>
      <c r="AB3681" s="73"/>
    </row>
    <row r="3682">
      <c r="A3682" s="73"/>
      <c r="B3682" s="73">
        <v>5818540.051</v>
      </c>
      <c r="C3682" s="73">
        <v>3.96400185789223E8</v>
      </c>
      <c r="D3682" s="73">
        <v>1.95314760395997E8</v>
      </c>
      <c r="E3682" s="73">
        <v>2.69185937875161E7</v>
      </c>
      <c r="F3682" s="73"/>
      <c r="G3682" s="73"/>
      <c r="H3682" s="73"/>
      <c r="I3682" s="73"/>
      <c r="J3682" s="73"/>
      <c r="K3682" s="73"/>
      <c r="L3682" s="73"/>
      <c r="M3682" s="73"/>
      <c r="N3682" s="73"/>
      <c r="O3682" s="73"/>
      <c r="P3682" s="73"/>
      <c r="Q3682" s="73"/>
      <c r="R3682" s="73"/>
      <c r="S3682" s="73"/>
      <c r="T3682" s="73"/>
      <c r="U3682" s="73"/>
      <c r="V3682" s="73"/>
      <c r="W3682" s="73"/>
      <c r="X3682" s="73"/>
      <c r="Y3682" s="73"/>
      <c r="Z3682" s="73"/>
      <c r="AA3682" s="73"/>
      <c r="AB3682" s="73"/>
    </row>
    <row r="3683">
      <c r="A3683" s="73"/>
      <c r="B3683" s="73">
        <v>5826238.294</v>
      </c>
      <c r="C3683" s="73">
        <v>3.96693266101082E8</v>
      </c>
      <c r="D3683" s="73">
        <v>1.9548900866399E8</v>
      </c>
      <c r="E3683" s="73">
        <v>2.69452307431662E7</v>
      </c>
      <c r="F3683" s="73"/>
      <c r="G3683" s="73"/>
      <c r="H3683" s="73"/>
      <c r="I3683" s="73"/>
      <c r="J3683" s="73"/>
      <c r="K3683" s="73"/>
      <c r="L3683" s="73"/>
      <c r="M3683" s="73"/>
      <c r="N3683" s="73"/>
      <c r="O3683" s="73"/>
      <c r="P3683" s="73"/>
      <c r="Q3683" s="73"/>
      <c r="R3683" s="73"/>
      <c r="S3683" s="73"/>
      <c r="T3683" s="73"/>
      <c r="U3683" s="73"/>
      <c r="V3683" s="73"/>
      <c r="W3683" s="73"/>
      <c r="X3683" s="73"/>
      <c r="Y3683" s="73"/>
      <c r="Z3683" s="73"/>
      <c r="AA3683" s="73"/>
      <c r="AB3683" s="73"/>
    </row>
    <row r="3684">
      <c r="A3684" s="73"/>
      <c r="B3684" s="73">
        <v>5833946.889</v>
      </c>
      <c r="C3684" s="73">
        <v>3.96986544172935E8</v>
      </c>
      <c r="D3684" s="73">
        <v>1.95663339603999E8</v>
      </c>
      <c r="E3684" s="73">
        <v>2.69718863582073E7</v>
      </c>
      <c r="F3684" s="73"/>
      <c r="G3684" s="73"/>
      <c r="H3684" s="73"/>
      <c r="I3684" s="73"/>
      <c r="J3684" s="73"/>
      <c r="K3684" s="73"/>
      <c r="L3684" s="73"/>
      <c r="M3684" s="73"/>
      <c r="N3684" s="73"/>
      <c r="O3684" s="73"/>
      <c r="P3684" s="73"/>
      <c r="Q3684" s="73"/>
      <c r="R3684" s="73"/>
      <c r="S3684" s="73"/>
      <c r="T3684" s="73"/>
      <c r="U3684" s="73"/>
      <c r="V3684" s="73"/>
      <c r="W3684" s="73"/>
      <c r="X3684" s="73"/>
      <c r="Y3684" s="73"/>
      <c r="Z3684" s="73"/>
      <c r="AA3684" s="73"/>
      <c r="AB3684" s="73"/>
    </row>
    <row r="3685">
      <c r="A3685" s="73"/>
      <c r="B3685" s="73">
        <v>5841665.817</v>
      </c>
      <c r="C3685" s="73">
        <v>3.97279954084785E8</v>
      </c>
      <c r="D3685" s="73">
        <v>1.95837794351992E8</v>
      </c>
      <c r="E3685" s="73">
        <v>2.69985623015033E7</v>
      </c>
      <c r="F3685" s="73"/>
      <c r="G3685" s="73"/>
      <c r="H3685" s="73"/>
      <c r="I3685" s="73"/>
      <c r="J3685" s="73"/>
      <c r="K3685" s="73"/>
      <c r="L3685" s="73"/>
      <c r="M3685" s="73"/>
      <c r="N3685" s="73"/>
      <c r="O3685" s="73"/>
      <c r="P3685" s="73"/>
      <c r="Q3685" s="73"/>
      <c r="R3685" s="73"/>
      <c r="S3685" s="73"/>
      <c r="T3685" s="73"/>
      <c r="U3685" s="73"/>
      <c r="V3685" s="73"/>
      <c r="W3685" s="73"/>
      <c r="X3685" s="73"/>
      <c r="Y3685" s="73"/>
      <c r="Z3685" s="73"/>
      <c r="AA3685" s="73"/>
      <c r="AB3685" s="73"/>
    </row>
    <row r="3686">
      <c r="A3686" s="73"/>
      <c r="B3686" s="73">
        <v>5849395.062</v>
      </c>
      <c r="C3686" s="73">
        <v>3.97573495836632E8</v>
      </c>
      <c r="D3686" s="73">
        <v>1.96012331468001E8</v>
      </c>
      <c r="E3686" s="73">
        <v>2.70252561681263E7</v>
      </c>
      <c r="F3686" s="73"/>
      <c r="G3686" s="73"/>
      <c r="H3686" s="73"/>
      <c r="I3686" s="73"/>
      <c r="J3686" s="73"/>
      <c r="K3686" s="73"/>
      <c r="L3686" s="73"/>
      <c r="M3686" s="73"/>
      <c r="N3686" s="73"/>
      <c r="O3686" s="73"/>
      <c r="P3686" s="73"/>
      <c r="Q3686" s="73"/>
      <c r="R3686" s="73"/>
      <c r="S3686" s="73"/>
      <c r="T3686" s="73"/>
      <c r="U3686" s="73"/>
      <c r="V3686" s="73"/>
      <c r="W3686" s="73"/>
      <c r="X3686" s="73"/>
      <c r="Y3686" s="73"/>
      <c r="Z3686" s="73"/>
      <c r="AA3686" s="73"/>
      <c r="AB3686" s="73"/>
    </row>
    <row r="3687">
      <c r="A3687" s="73"/>
      <c r="B3687" s="73">
        <v>5857134.838</v>
      </c>
      <c r="C3687" s="73">
        <v>3.97867202388474E8</v>
      </c>
      <c r="D3687" s="73">
        <v>1.96186972199994E8</v>
      </c>
      <c r="E3687" s="73">
        <v>2.70519686517403E7</v>
      </c>
      <c r="F3687" s="73"/>
      <c r="G3687" s="73"/>
      <c r="H3687" s="73"/>
      <c r="I3687" s="73"/>
      <c r="J3687" s="73"/>
      <c r="K3687" s="73"/>
      <c r="L3687" s="73"/>
      <c r="M3687" s="73"/>
      <c r="N3687" s="73"/>
      <c r="O3687" s="73"/>
      <c r="P3687" s="73"/>
      <c r="Q3687" s="73"/>
      <c r="R3687" s="73"/>
      <c r="S3687" s="73"/>
      <c r="T3687" s="73"/>
      <c r="U3687" s="73"/>
      <c r="V3687" s="73"/>
      <c r="W3687" s="73"/>
      <c r="X3687" s="73"/>
      <c r="Y3687" s="73"/>
      <c r="Z3687" s="73"/>
      <c r="AA3687" s="73"/>
      <c r="AB3687" s="73"/>
    </row>
    <row r="3688">
      <c r="A3688" s="73"/>
      <c r="B3688" s="73">
        <v>5864884.963</v>
      </c>
      <c r="C3688" s="73">
        <v>3.98161007820313E8</v>
      </c>
      <c r="D3688" s="73">
        <v>1.96361715940002E8</v>
      </c>
      <c r="E3688" s="73">
        <v>2.70787006427453E7</v>
      </c>
      <c r="F3688" s="73"/>
      <c r="G3688" s="73"/>
      <c r="H3688" s="73"/>
      <c r="I3688" s="73"/>
      <c r="J3688" s="73"/>
      <c r="K3688" s="73"/>
      <c r="L3688" s="73"/>
      <c r="M3688" s="73"/>
      <c r="N3688" s="73"/>
      <c r="O3688" s="73"/>
      <c r="P3688" s="73"/>
      <c r="Q3688" s="73"/>
      <c r="R3688" s="73"/>
      <c r="S3688" s="73"/>
      <c r="T3688" s="73"/>
      <c r="U3688" s="73"/>
      <c r="V3688" s="73"/>
      <c r="W3688" s="73"/>
      <c r="X3688" s="73"/>
      <c r="Y3688" s="73"/>
      <c r="Z3688" s="73"/>
      <c r="AA3688" s="73"/>
      <c r="AB3688" s="73"/>
    </row>
    <row r="3689">
      <c r="A3689" s="73"/>
      <c r="B3689" s="73">
        <v>5872645.473</v>
      </c>
      <c r="C3689" s="73">
        <v>3.98454945092148E8</v>
      </c>
      <c r="D3689" s="73">
        <v>1.96536562687996E8</v>
      </c>
      <c r="E3689" s="73">
        <v>2.71054513779412E7</v>
      </c>
      <c r="F3689" s="73"/>
      <c r="G3689" s="73"/>
      <c r="H3689" s="73"/>
      <c r="I3689" s="73"/>
      <c r="J3689" s="73"/>
      <c r="K3689" s="73"/>
      <c r="L3689" s="73"/>
      <c r="M3689" s="73"/>
      <c r="N3689" s="73"/>
      <c r="O3689" s="73"/>
      <c r="P3689" s="73"/>
      <c r="Q3689" s="73"/>
      <c r="R3689" s="73"/>
      <c r="S3689" s="73"/>
      <c r="T3689" s="73"/>
      <c r="U3689" s="73"/>
      <c r="V3689" s="73"/>
      <c r="W3689" s="73"/>
      <c r="X3689" s="73"/>
      <c r="Y3689" s="73"/>
      <c r="Z3689" s="73"/>
      <c r="AA3689" s="73"/>
      <c r="AB3689" s="73"/>
    </row>
    <row r="3690">
      <c r="A3690" s="73"/>
      <c r="B3690" s="73">
        <v>5880416.343</v>
      </c>
      <c r="C3690" s="73">
        <v>3.98749014203979E8</v>
      </c>
      <c r="D3690" s="73">
        <v>1.96711512908004E8</v>
      </c>
      <c r="E3690" s="73">
        <v>2.71322215781281E7</v>
      </c>
      <c r="F3690" s="73"/>
      <c r="G3690" s="73"/>
      <c r="H3690" s="73"/>
      <c r="I3690" s="73"/>
      <c r="J3690" s="73"/>
      <c r="K3690" s="73"/>
      <c r="L3690" s="73"/>
      <c r="M3690" s="73"/>
      <c r="N3690" s="73"/>
      <c r="O3690" s="73"/>
      <c r="P3690" s="73"/>
      <c r="Q3690" s="73"/>
      <c r="R3690" s="73"/>
      <c r="S3690" s="73"/>
      <c r="T3690" s="73"/>
      <c r="U3690" s="73"/>
      <c r="V3690" s="73"/>
      <c r="W3690" s="73"/>
      <c r="X3690" s="73"/>
      <c r="Y3690" s="73"/>
      <c r="Z3690" s="73"/>
      <c r="AA3690" s="73"/>
      <c r="AB3690" s="73"/>
    </row>
    <row r="3691">
      <c r="A3691" s="73"/>
      <c r="B3691" s="73">
        <v>5888197.744</v>
      </c>
      <c r="C3691" s="73">
        <v>3.99043248115807E8</v>
      </c>
      <c r="D3691" s="73">
        <v>1.96886566279998E8</v>
      </c>
      <c r="E3691" s="73">
        <v>2.7159010564906E7</v>
      </c>
      <c r="F3691" s="73"/>
      <c r="G3691" s="73"/>
      <c r="H3691" s="73"/>
      <c r="I3691" s="73"/>
      <c r="J3691" s="73"/>
      <c r="K3691" s="73"/>
      <c r="L3691" s="73"/>
      <c r="M3691" s="73"/>
      <c r="N3691" s="73"/>
      <c r="O3691" s="73"/>
      <c r="P3691" s="73"/>
      <c r="Q3691" s="73"/>
      <c r="R3691" s="73"/>
      <c r="S3691" s="73"/>
      <c r="T3691" s="73"/>
      <c r="U3691" s="73"/>
      <c r="V3691" s="73"/>
      <c r="W3691" s="73"/>
      <c r="X3691" s="73"/>
      <c r="Y3691" s="73"/>
      <c r="Z3691" s="73"/>
      <c r="AA3691" s="73"/>
      <c r="AB3691" s="73"/>
    </row>
    <row r="3692">
      <c r="A3692" s="73"/>
      <c r="B3692" s="73">
        <v>5895989.336</v>
      </c>
      <c r="C3692" s="73">
        <v>3.9933761386763E8</v>
      </c>
      <c r="D3692" s="73">
        <v>1.97061702339991E8</v>
      </c>
      <c r="E3692" s="73">
        <v>2.71858183806749E7</v>
      </c>
      <c r="F3692" s="73"/>
      <c r="G3692" s="73"/>
      <c r="H3692" s="73"/>
      <c r="I3692" s="73"/>
      <c r="J3692" s="73"/>
      <c r="K3692" s="73"/>
      <c r="L3692" s="73"/>
      <c r="M3692" s="73"/>
      <c r="N3692" s="73"/>
      <c r="O3692" s="73"/>
      <c r="P3692" s="73"/>
      <c r="Q3692" s="73"/>
      <c r="R3692" s="73"/>
      <c r="S3692" s="73"/>
      <c r="T3692" s="73"/>
      <c r="U3692" s="73"/>
      <c r="V3692" s="73"/>
      <c r="W3692" s="73"/>
      <c r="X3692" s="73"/>
      <c r="Y3692" s="73"/>
      <c r="Z3692" s="73"/>
      <c r="AA3692" s="73"/>
      <c r="AB3692" s="73"/>
    </row>
    <row r="3693">
      <c r="A3693" s="73"/>
      <c r="B3693" s="73">
        <v>5903791.551</v>
      </c>
      <c r="C3693" s="73">
        <v>3.99632177379448E8</v>
      </c>
      <c r="D3693" s="73">
        <v>1.97236961887999E8</v>
      </c>
      <c r="E3693" s="73">
        <v>2.72126460430347E7</v>
      </c>
      <c r="F3693" s="73"/>
      <c r="G3693" s="73"/>
      <c r="H3693" s="73"/>
      <c r="I3693" s="73"/>
      <c r="J3693" s="73"/>
      <c r="K3693" s="73"/>
      <c r="L3693" s="73"/>
      <c r="M3693" s="73"/>
      <c r="N3693" s="73"/>
      <c r="O3693" s="73"/>
      <c r="P3693" s="73"/>
      <c r="Q3693" s="73"/>
      <c r="R3693" s="73"/>
      <c r="S3693" s="73"/>
      <c r="T3693" s="73"/>
      <c r="U3693" s="73"/>
      <c r="V3693" s="73"/>
      <c r="W3693" s="73"/>
      <c r="X3693" s="73"/>
      <c r="Y3693" s="73"/>
      <c r="Z3693" s="73"/>
      <c r="AA3693" s="73"/>
      <c r="AB3693" s="73"/>
    </row>
    <row r="3694">
      <c r="A3694" s="73"/>
      <c r="B3694" s="73">
        <v>5911604.246</v>
      </c>
      <c r="C3694" s="73">
        <v>3.99926773851265E8</v>
      </c>
      <c r="D3694" s="73">
        <v>1.97412304427993E8</v>
      </c>
      <c r="E3694" s="73">
        <v>2.72394918983855E7</v>
      </c>
      <c r="F3694" s="73"/>
      <c r="G3694" s="73"/>
      <c r="H3694" s="73"/>
      <c r="I3694" s="73"/>
      <c r="J3694" s="73"/>
      <c r="K3694" s="73"/>
      <c r="L3694" s="73"/>
      <c r="M3694" s="73"/>
      <c r="N3694" s="73"/>
      <c r="O3694" s="73"/>
      <c r="P3694" s="73"/>
      <c r="Q3694" s="73"/>
      <c r="R3694" s="73"/>
      <c r="S3694" s="73"/>
      <c r="T3694" s="73"/>
      <c r="U3694" s="73"/>
      <c r="V3694" s="73"/>
      <c r="W3694" s="73"/>
      <c r="X3694" s="73"/>
      <c r="Y3694" s="73"/>
      <c r="Z3694" s="73"/>
      <c r="AA3694" s="73"/>
      <c r="AB3694" s="73"/>
    </row>
    <row r="3695">
      <c r="A3695" s="73"/>
      <c r="B3695" s="73">
        <v>5919427.223</v>
      </c>
      <c r="C3695" s="73">
        <v>4.00221535123077E8</v>
      </c>
      <c r="D3695" s="73">
        <v>1.97587750120001E8</v>
      </c>
      <c r="E3695" s="73">
        <v>2.72663566251273E7</v>
      </c>
      <c r="F3695" s="73"/>
      <c r="G3695" s="73"/>
      <c r="H3695" s="73"/>
      <c r="I3695" s="73"/>
      <c r="J3695" s="73"/>
      <c r="K3695" s="73"/>
      <c r="L3695" s="73"/>
      <c r="M3695" s="73"/>
      <c r="N3695" s="73"/>
      <c r="O3695" s="73"/>
      <c r="P3695" s="73"/>
      <c r="Q3695" s="73"/>
      <c r="R3695" s="73"/>
      <c r="S3695" s="73"/>
      <c r="T3695" s="73"/>
      <c r="U3695" s="73"/>
      <c r="V3695" s="73"/>
      <c r="W3695" s="73"/>
      <c r="X3695" s="73"/>
      <c r="Y3695" s="73"/>
      <c r="Z3695" s="73"/>
      <c r="AA3695" s="73"/>
      <c r="AB3695" s="73"/>
    </row>
    <row r="3696">
      <c r="A3696" s="73"/>
      <c r="B3696" s="73">
        <v>5927260.771</v>
      </c>
      <c r="C3696" s="73">
        <v>4.00516461194885E8</v>
      </c>
      <c r="D3696" s="73">
        <v>1.97763319459994E8</v>
      </c>
      <c r="E3696" s="73">
        <v>2.72932396567961E7</v>
      </c>
      <c r="F3696" s="73"/>
      <c r="G3696" s="73"/>
      <c r="H3696" s="73"/>
      <c r="I3696" s="73"/>
      <c r="J3696" s="73"/>
      <c r="K3696" s="73"/>
      <c r="L3696" s="73"/>
      <c r="M3696" s="73"/>
      <c r="N3696" s="73"/>
      <c r="O3696" s="73"/>
      <c r="P3696" s="73"/>
      <c r="Q3696" s="73"/>
      <c r="R3696" s="73"/>
      <c r="S3696" s="73"/>
      <c r="T3696" s="73"/>
      <c r="U3696" s="73"/>
      <c r="V3696" s="73"/>
      <c r="W3696" s="73"/>
      <c r="X3696" s="73"/>
      <c r="Y3696" s="73"/>
      <c r="Z3696" s="73"/>
      <c r="AA3696" s="73"/>
      <c r="AB3696" s="73"/>
    </row>
    <row r="3697">
      <c r="A3697" s="73"/>
      <c r="B3697" s="73">
        <v>5935104.606</v>
      </c>
      <c r="C3697" s="73">
        <v>4.00811519106689E8</v>
      </c>
      <c r="D3697" s="73">
        <v>1.97938971472003E8</v>
      </c>
      <c r="E3697" s="73">
        <v>2.73201432287198E7</v>
      </c>
      <c r="F3697" s="73"/>
      <c r="G3697" s="73"/>
      <c r="H3697" s="73"/>
      <c r="I3697" s="73"/>
      <c r="J3697" s="73"/>
      <c r="K3697" s="73"/>
      <c r="L3697" s="73"/>
      <c r="M3697" s="73"/>
      <c r="N3697" s="73"/>
      <c r="O3697" s="73"/>
      <c r="P3697" s="73"/>
      <c r="Q3697" s="73"/>
      <c r="R3697" s="73"/>
      <c r="S3697" s="73"/>
      <c r="T3697" s="73"/>
      <c r="U3697" s="73"/>
      <c r="V3697" s="73"/>
      <c r="W3697" s="73"/>
      <c r="X3697" s="73"/>
      <c r="Y3697" s="73"/>
      <c r="Z3697" s="73"/>
      <c r="AA3697" s="73"/>
      <c r="AB3697" s="73"/>
    </row>
    <row r="3698">
      <c r="A3698" s="73"/>
      <c r="B3698" s="73">
        <v>5942959.039</v>
      </c>
      <c r="C3698" s="73">
        <v>4.01106675898491E8</v>
      </c>
      <c r="D3698" s="73">
        <v>1.98114726651996E8</v>
      </c>
      <c r="E3698" s="73">
        <v>2.73470655024345E7</v>
      </c>
      <c r="F3698" s="73"/>
      <c r="G3698" s="73"/>
      <c r="H3698" s="73"/>
      <c r="I3698" s="73"/>
      <c r="J3698" s="73"/>
      <c r="K3698" s="73"/>
      <c r="L3698" s="73"/>
      <c r="M3698" s="73"/>
      <c r="N3698" s="73"/>
      <c r="O3698" s="73"/>
      <c r="P3698" s="73"/>
      <c r="Q3698" s="73"/>
      <c r="R3698" s="73"/>
      <c r="S3698" s="73"/>
      <c r="T3698" s="73"/>
      <c r="U3698" s="73"/>
      <c r="V3698" s="73"/>
      <c r="W3698" s="73"/>
      <c r="X3698" s="73"/>
      <c r="Y3698" s="73"/>
      <c r="Z3698" s="73"/>
      <c r="AA3698" s="73"/>
      <c r="AB3698" s="73"/>
    </row>
    <row r="3699">
      <c r="A3699" s="73"/>
      <c r="B3699" s="73">
        <v>5950823.932</v>
      </c>
      <c r="C3699" s="73">
        <v>4.01402030450287E8</v>
      </c>
      <c r="D3699" s="73">
        <v>1.9829058512799E8</v>
      </c>
      <c r="E3699" s="73">
        <v>2.73740071139402E7</v>
      </c>
      <c r="F3699" s="73"/>
      <c r="G3699" s="73"/>
      <c r="H3699" s="73"/>
      <c r="I3699" s="73"/>
      <c r="J3699" s="73"/>
      <c r="K3699" s="73"/>
      <c r="L3699" s="73"/>
      <c r="M3699" s="73"/>
      <c r="N3699" s="73"/>
      <c r="O3699" s="73"/>
      <c r="P3699" s="73"/>
      <c r="Q3699" s="73"/>
      <c r="R3699" s="73"/>
      <c r="S3699" s="73"/>
      <c r="T3699" s="73"/>
      <c r="U3699" s="73"/>
      <c r="V3699" s="73"/>
      <c r="W3699" s="73"/>
      <c r="X3699" s="73"/>
      <c r="Y3699" s="73"/>
      <c r="Z3699" s="73"/>
      <c r="AA3699" s="73"/>
      <c r="AB3699" s="73"/>
    </row>
    <row r="3700">
      <c r="A3700" s="73"/>
      <c r="B3700" s="73">
        <v>5958699.322</v>
      </c>
      <c r="C3700" s="73">
        <v>4.01697516842079E8</v>
      </c>
      <c r="D3700" s="73">
        <v>1.98466546787998E8</v>
      </c>
      <c r="E3700" s="73">
        <v>2.74009663943729E7</v>
      </c>
      <c r="F3700" s="73"/>
      <c r="G3700" s="73"/>
      <c r="H3700" s="73"/>
      <c r="I3700" s="73"/>
      <c r="J3700" s="73"/>
      <c r="K3700" s="73"/>
      <c r="L3700" s="73"/>
      <c r="M3700" s="73"/>
      <c r="N3700" s="73"/>
      <c r="O3700" s="73"/>
      <c r="P3700" s="73"/>
      <c r="Q3700" s="73"/>
      <c r="R3700" s="73"/>
      <c r="S3700" s="73"/>
      <c r="T3700" s="73"/>
      <c r="U3700" s="73"/>
      <c r="V3700" s="73"/>
      <c r="W3700" s="73"/>
      <c r="X3700" s="73"/>
      <c r="Y3700" s="73"/>
      <c r="Z3700" s="73"/>
      <c r="AA3700" s="73"/>
      <c r="AB3700" s="73"/>
    </row>
    <row r="3701">
      <c r="A3701" s="73"/>
      <c r="B3701" s="73">
        <v>5966585.221</v>
      </c>
      <c r="C3701" s="73">
        <v>4.01993135073868E8</v>
      </c>
      <c r="D3701" s="73">
        <v>1.98642611599991E8</v>
      </c>
      <c r="E3701" s="73">
        <v>2.74279459182605E7</v>
      </c>
      <c r="F3701" s="73"/>
      <c r="G3701" s="73"/>
      <c r="H3701" s="73"/>
      <c r="I3701" s="73"/>
      <c r="J3701" s="73"/>
      <c r="K3701" s="73"/>
      <c r="L3701" s="73"/>
      <c r="M3701" s="73"/>
      <c r="N3701" s="73"/>
      <c r="O3701" s="73"/>
      <c r="P3701" s="73"/>
      <c r="Q3701" s="73"/>
      <c r="R3701" s="73"/>
      <c r="S3701" s="73"/>
      <c r="T3701" s="73"/>
      <c r="U3701" s="73"/>
      <c r="V3701" s="73"/>
      <c r="W3701" s="73"/>
      <c r="X3701" s="73"/>
      <c r="Y3701" s="73"/>
      <c r="Z3701" s="73"/>
      <c r="AA3701" s="73"/>
      <c r="AB3701" s="73"/>
    </row>
    <row r="3702">
      <c r="A3702" s="73"/>
      <c r="B3702" s="73">
        <v>5974481.534</v>
      </c>
      <c r="C3702" s="73">
        <v>4.02288852185654E8</v>
      </c>
      <c r="D3702" s="73">
        <v>1.98818759244E8</v>
      </c>
      <c r="E3702" s="73">
        <v>2.74549432382751E7</v>
      </c>
      <c r="F3702" s="73"/>
      <c r="G3702" s="73"/>
      <c r="H3702" s="73"/>
      <c r="I3702" s="73"/>
      <c r="J3702" s="73"/>
      <c r="K3702" s="73"/>
      <c r="L3702" s="73"/>
      <c r="M3702" s="73"/>
      <c r="N3702" s="73"/>
      <c r="O3702" s="73"/>
      <c r="P3702" s="73"/>
      <c r="Q3702" s="73"/>
      <c r="R3702" s="73"/>
      <c r="S3702" s="73"/>
      <c r="T3702" s="73"/>
      <c r="U3702" s="73"/>
      <c r="V3702" s="73"/>
      <c r="W3702" s="73"/>
      <c r="X3702" s="73"/>
      <c r="Y3702" s="73"/>
      <c r="Z3702" s="73"/>
      <c r="AA3702" s="73"/>
      <c r="AB3702" s="73"/>
    </row>
    <row r="3703">
      <c r="A3703" s="73"/>
      <c r="B3703" s="73">
        <v>5982388.325</v>
      </c>
      <c r="C3703" s="73">
        <v>4.02584734097435E8</v>
      </c>
      <c r="D3703" s="73">
        <v>1.98995030375993E8</v>
      </c>
      <c r="E3703" s="73">
        <v>2.74819612257446E7</v>
      </c>
      <c r="F3703" s="73"/>
      <c r="G3703" s="73"/>
      <c r="H3703" s="73"/>
      <c r="I3703" s="73"/>
      <c r="J3703" s="73"/>
      <c r="K3703" s="73"/>
      <c r="L3703" s="73"/>
      <c r="M3703" s="73"/>
      <c r="N3703" s="73"/>
      <c r="O3703" s="73"/>
      <c r="P3703" s="73"/>
      <c r="Q3703" s="73"/>
      <c r="R3703" s="73"/>
      <c r="S3703" s="73"/>
      <c r="T3703" s="73"/>
      <c r="U3703" s="73"/>
      <c r="V3703" s="73"/>
      <c r="W3703" s="73"/>
      <c r="X3703" s="73"/>
      <c r="Y3703" s="73"/>
      <c r="Z3703" s="73"/>
      <c r="AA3703" s="73"/>
      <c r="AB3703" s="73"/>
    </row>
    <row r="3704">
      <c r="A3704" s="73"/>
      <c r="B3704" s="73">
        <v>5990305.772</v>
      </c>
      <c r="C3704" s="73">
        <v>4.02880747849213E8</v>
      </c>
      <c r="D3704" s="73">
        <v>1.99171384500002E8</v>
      </c>
      <c r="E3704" s="73">
        <v>2.75089967549412E7</v>
      </c>
      <c r="F3704" s="73"/>
      <c r="G3704" s="73"/>
      <c r="H3704" s="73"/>
      <c r="I3704" s="73"/>
      <c r="J3704" s="73"/>
      <c r="K3704" s="73"/>
      <c r="L3704" s="73"/>
      <c r="M3704" s="73"/>
      <c r="N3704" s="73"/>
      <c r="O3704" s="73"/>
      <c r="P3704" s="73"/>
      <c r="Q3704" s="73"/>
      <c r="R3704" s="73"/>
      <c r="S3704" s="73"/>
      <c r="T3704" s="73"/>
      <c r="U3704" s="73"/>
      <c r="V3704" s="73"/>
      <c r="W3704" s="73"/>
      <c r="X3704" s="73"/>
      <c r="Y3704" s="73"/>
      <c r="Z3704" s="73"/>
      <c r="AA3704" s="73"/>
      <c r="AB3704" s="73"/>
    </row>
    <row r="3705">
      <c r="A3705" s="73"/>
      <c r="B3705" s="73">
        <v>5998233.614</v>
      </c>
      <c r="C3705" s="73">
        <v>4.03176860480988E8</v>
      </c>
      <c r="D3705" s="73">
        <v>1.99347862111995E8</v>
      </c>
      <c r="E3705" s="73">
        <v>2.75360527819927E7</v>
      </c>
      <c r="F3705" s="73"/>
      <c r="G3705" s="73"/>
      <c r="H3705" s="73"/>
      <c r="I3705" s="73"/>
      <c r="J3705" s="73"/>
      <c r="K3705" s="73"/>
      <c r="L3705" s="73"/>
      <c r="M3705" s="73"/>
      <c r="N3705" s="73"/>
      <c r="O3705" s="73"/>
      <c r="P3705" s="73"/>
      <c r="Q3705" s="73"/>
      <c r="R3705" s="73"/>
      <c r="S3705" s="73"/>
      <c r="T3705" s="73"/>
      <c r="U3705" s="73"/>
      <c r="V3705" s="73"/>
      <c r="W3705" s="73"/>
      <c r="X3705" s="73"/>
      <c r="Y3705" s="73"/>
      <c r="Z3705" s="73"/>
      <c r="AA3705" s="73"/>
      <c r="AB3705" s="73"/>
    </row>
    <row r="3706">
      <c r="A3706" s="73"/>
      <c r="B3706" s="73">
        <v>6006172.011</v>
      </c>
      <c r="C3706" s="73">
        <v>4.03473203832756E8</v>
      </c>
      <c r="D3706" s="73">
        <v>1.99524422396004E8</v>
      </c>
      <c r="E3706" s="73">
        <v>2.75631269867712E7</v>
      </c>
      <c r="F3706" s="73"/>
      <c r="G3706" s="73"/>
      <c r="H3706" s="73"/>
      <c r="I3706" s="73"/>
      <c r="J3706" s="73"/>
      <c r="K3706" s="73"/>
      <c r="L3706" s="73"/>
      <c r="M3706" s="73"/>
      <c r="N3706" s="73"/>
      <c r="O3706" s="73"/>
      <c r="P3706" s="73"/>
      <c r="Q3706" s="73"/>
      <c r="R3706" s="73"/>
      <c r="S3706" s="73"/>
      <c r="T3706" s="73"/>
      <c r="U3706" s="73"/>
      <c r="V3706" s="73"/>
      <c r="W3706" s="73"/>
      <c r="X3706" s="73"/>
      <c r="Y3706" s="73"/>
      <c r="Z3706" s="73"/>
      <c r="AA3706" s="73"/>
      <c r="AB3706" s="73"/>
    </row>
    <row r="3707">
      <c r="A3707" s="73"/>
      <c r="B3707" s="73">
        <v>6014120.931</v>
      </c>
      <c r="C3707" s="73">
        <v>4.03769613104523E8</v>
      </c>
      <c r="D3707" s="73">
        <v>1.99701085847997E8</v>
      </c>
      <c r="E3707" s="73">
        <v>2.75902198933407E7</v>
      </c>
      <c r="F3707" s="73"/>
      <c r="G3707" s="73"/>
      <c r="H3707" s="73"/>
      <c r="I3707" s="73"/>
      <c r="J3707" s="73"/>
      <c r="K3707" s="73"/>
      <c r="L3707" s="73"/>
      <c r="M3707" s="73"/>
      <c r="N3707" s="73"/>
      <c r="O3707" s="73"/>
      <c r="P3707" s="73"/>
      <c r="Q3707" s="73"/>
      <c r="R3707" s="73"/>
      <c r="S3707" s="73"/>
      <c r="T3707" s="73"/>
      <c r="U3707" s="73"/>
      <c r="V3707" s="73"/>
      <c r="W3707" s="73"/>
      <c r="X3707" s="73"/>
      <c r="Y3707" s="73"/>
      <c r="Z3707" s="73"/>
      <c r="AA3707" s="73"/>
      <c r="AB3707" s="73"/>
    </row>
    <row r="3708">
      <c r="A3708" s="73"/>
      <c r="B3708" s="73">
        <v>6022080.506</v>
      </c>
      <c r="C3708" s="73">
        <v>4.04066154216286E8</v>
      </c>
      <c r="D3708" s="73">
        <v>1.9987785261199E8</v>
      </c>
      <c r="E3708" s="73">
        <v>2.7617333340165E7</v>
      </c>
      <c r="F3708" s="73"/>
      <c r="G3708" s="73"/>
      <c r="H3708" s="73"/>
      <c r="I3708" s="73"/>
      <c r="J3708" s="73"/>
      <c r="K3708" s="73"/>
      <c r="L3708" s="73"/>
      <c r="M3708" s="73"/>
      <c r="N3708" s="73"/>
      <c r="O3708" s="73"/>
      <c r="P3708" s="73"/>
      <c r="Q3708" s="73"/>
      <c r="R3708" s="73"/>
      <c r="S3708" s="73"/>
      <c r="T3708" s="73"/>
      <c r="U3708" s="73"/>
      <c r="V3708" s="73"/>
      <c r="W3708" s="73"/>
      <c r="X3708" s="73"/>
      <c r="Y3708" s="73"/>
      <c r="Z3708" s="73"/>
      <c r="AA3708" s="73"/>
      <c r="AB3708" s="73"/>
    </row>
    <row r="3709">
      <c r="A3709" s="73"/>
      <c r="B3709" s="73">
        <v>6030050.42</v>
      </c>
      <c r="C3709" s="73">
        <v>4.04362893088043E8</v>
      </c>
      <c r="D3709" s="73">
        <v>2.00054722687999E8</v>
      </c>
      <c r="E3709" s="73">
        <v>2.76444639471165E7</v>
      </c>
      <c r="F3709" s="73"/>
      <c r="G3709" s="73"/>
      <c r="H3709" s="73"/>
      <c r="I3709" s="73"/>
      <c r="J3709" s="73"/>
      <c r="K3709" s="73"/>
      <c r="L3709" s="73"/>
      <c r="M3709" s="73"/>
      <c r="N3709" s="73"/>
      <c r="O3709" s="73"/>
      <c r="P3709" s="73"/>
      <c r="Q3709" s="73"/>
      <c r="R3709" s="73"/>
      <c r="S3709" s="73"/>
      <c r="T3709" s="73"/>
      <c r="U3709" s="73"/>
      <c r="V3709" s="73"/>
      <c r="W3709" s="73"/>
      <c r="X3709" s="73"/>
      <c r="Y3709" s="73"/>
      <c r="Z3709" s="73"/>
      <c r="AA3709" s="73"/>
      <c r="AB3709" s="73"/>
    </row>
    <row r="3710">
      <c r="A3710" s="73"/>
      <c r="B3710" s="73">
        <v>6038031.205</v>
      </c>
      <c r="C3710" s="73">
        <v>4.046596649198E8</v>
      </c>
      <c r="D3710" s="73">
        <v>2.00231695771992E8</v>
      </c>
      <c r="E3710" s="73">
        <v>2.76716145702589E7</v>
      </c>
      <c r="F3710" s="73"/>
      <c r="G3710" s="73"/>
      <c r="H3710" s="73"/>
      <c r="I3710" s="73"/>
      <c r="J3710" s="73"/>
      <c r="K3710" s="73"/>
      <c r="L3710" s="73"/>
      <c r="M3710" s="73"/>
      <c r="N3710" s="73"/>
      <c r="O3710" s="73"/>
      <c r="P3710" s="73"/>
      <c r="Q3710" s="73"/>
      <c r="R3710" s="73"/>
      <c r="S3710" s="73"/>
      <c r="T3710" s="73"/>
      <c r="U3710" s="73"/>
      <c r="V3710" s="73"/>
      <c r="W3710" s="73"/>
      <c r="X3710" s="73"/>
      <c r="Y3710" s="73"/>
      <c r="Z3710" s="73"/>
      <c r="AA3710" s="73"/>
      <c r="AB3710" s="73"/>
    </row>
    <row r="3711">
      <c r="A3711" s="73"/>
      <c r="B3711" s="73">
        <v>6046022.359</v>
      </c>
      <c r="C3711" s="73">
        <v>4.0495666747155E8</v>
      </c>
      <c r="D3711" s="73">
        <v>2.00408772184001E8</v>
      </c>
      <c r="E3711" s="73">
        <v>2.76987844463922E7</v>
      </c>
      <c r="F3711" s="73"/>
      <c r="G3711" s="73"/>
      <c r="H3711" s="73"/>
      <c r="I3711" s="73"/>
      <c r="J3711" s="73"/>
      <c r="K3711" s="73"/>
      <c r="L3711" s="73"/>
      <c r="M3711" s="73"/>
      <c r="N3711" s="73"/>
      <c r="O3711" s="73"/>
      <c r="P3711" s="73"/>
      <c r="Q3711" s="73"/>
      <c r="R3711" s="73"/>
      <c r="S3711" s="73"/>
      <c r="T3711" s="73"/>
      <c r="U3711" s="73"/>
      <c r="V3711" s="73"/>
      <c r="W3711" s="73"/>
      <c r="X3711" s="73"/>
      <c r="Y3711" s="73"/>
      <c r="Z3711" s="73"/>
      <c r="AA3711" s="73"/>
      <c r="AB3711" s="73"/>
    </row>
    <row r="3712">
      <c r="A3712" s="73"/>
      <c r="B3712" s="73">
        <v>6054024.123</v>
      </c>
      <c r="C3712" s="73">
        <v>4.05253834823296E8</v>
      </c>
      <c r="D3712" s="73">
        <v>2.00585951731994E8</v>
      </c>
      <c r="E3712" s="73">
        <v>2.77259740995804E7</v>
      </c>
      <c r="F3712" s="73"/>
      <c r="G3712" s="73"/>
      <c r="H3712" s="73"/>
      <c r="I3712" s="73"/>
      <c r="J3712" s="73"/>
      <c r="K3712" s="73"/>
      <c r="L3712" s="73"/>
      <c r="M3712" s="73"/>
      <c r="N3712" s="73"/>
      <c r="O3712" s="73"/>
      <c r="P3712" s="73"/>
      <c r="Q3712" s="73"/>
      <c r="R3712" s="73"/>
      <c r="S3712" s="73"/>
      <c r="T3712" s="73"/>
      <c r="U3712" s="73"/>
      <c r="V3712" s="73"/>
      <c r="W3712" s="73"/>
      <c r="X3712" s="73"/>
      <c r="Y3712" s="73"/>
      <c r="Z3712" s="73"/>
      <c r="AA3712" s="73"/>
      <c r="AB3712" s="73"/>
    </row>
    <row r="3713">
      <c r="A3713" s="73"/>
      <c r="B3713" s="73">
        <v>6062036.297</v>
      </c>
      <c r="C3713" s="73">
        <v>4.05551068095039E8</v>
      </c>
      <c r="D3713" s="73">
        <v>2.00763234608002E8</v>
      </c>
      <c r="E3713" s="73">
        <v>2.77531815488957E7</v>
      </c>
      <c r="F3713" s="73"/>
      <c r="G3713" s="73"/>
      <c r="H3713" s="73"/>
      <c r="I3713" s="73"/>
      <c r="J3713" s="73"/>
      <c r="K3713" s="73"/>
      <c r="L3713" s="73"/>
      <c r="M3713" s="73"/>
      <c r="N3713" s="73"/>
      <c r="O3713" s="73"/>
      <c r="P3713" s="73"/>
      <c r="Q3713" s="73"/>
      <c r="R3713" s="73"/>
      <c r="S3713" s="73"/>
      <c r="T3713" s="73"/>
      <c r="U3713" s="73"/>
      <c r="V3713" s="73"/>
      <c r="W3713" s="73"/>
      <c r="X3713" s="73"/>
      <c r="Y3713" s="73"/>
      <c r="Z3713" s="73"/>
      <c r="AA3713" s="73"/>
      <c r="AB3713" s="73"/>
    </row>
    <row r="3714">
      <c r="A3714" s="73"/>
      <c r="B3714" s="73">
        <v>6070059.339</v>
      </c>
      <c r="C3714" s="73">
        <v>4.05848433206779E8</v>
      </c>
      <c r="D3714" s="73">
        <v>2.00940620491996E8</v>
      </c>
      <c r="E3714" s="73">
        <v>2.7780408420802E7</v>
      </c>
      <c r="F3714" s="73"/>
      <c r="G3714" s="73"/>
      <c r="H3714" s="73"/>
      <c r="I3714" s="73"/>
      <c r="J3714" s="73"/>
      <c r="K3714" s="73"/>
      <c r="L3714" s="73"/>
      <c r="M3714" s="73"/>
      <c r="N3714" s="73"/>
      <c r="O3714" s="73"/>
      <c r="P3714" s="73"/>
      <c r="Q3714" s="73"/>
      <c r="R3714" s="73"/>
      <c r="S3714" s="73"/>
      <c r="T3714" s="73"/>
      <c r="U3714" s="73"/>
      <c r="V3714" s="73"/>
      <c r="W3714" s="73"/>
      <c r="X3714" s="73"/>
      <c r="Y3714" s="73"/>
      <c r="Z3714" s="73"/>
      <c r="AA3714" s="73"/>
      <c r="AB3714" s="73"/>
    </row>
    <row r="3715">
      <c r="A3715" s="73"/>
      <c r="B3715" s="73">
        <v>6078092.924</v>
      </c>
      <c r="C3715" s="73">
        <v>4.06145996078514E8</v>
      </c>
      <c r="D3715" s="73">
        <v>2.01118089208004E8</v>
      </c>
      <c r="E3715" s="73">
        <v>2.78076547152992E7</v>
      </c>
      <c r="F3715" s="73"/>
      <c r="G3715" s="73"/>
      <c r="H3715" s="73"/>
      <c r="I3715" s="73"/>
      <c r="J3715" s="73"/>
      <c r="K3715" s="73"/>
      <c r="L3715" s="73"/>
      <c r="M3715" s="73"/>
      <c r="N3715" s="73"/>
      <c r="O3715" s="73"/>
      <c r="P3715" s="73"/>
      <c r="Q3715" s="73"/>
      <c r="R3715" s="73"/>
      <c r="S3715" s="73"/>
      <c r="T3715" s="73"/>
      <c r="U3715" s="73"/>
      <c r="V3715" s="73"/>
      <c r="W3715" s="73"/>
      <c r="X3715" s="73"/>
      <c r="Y3715" s="73"/>
      <c r="Z3715" s="73"/>
      <c r="AA3715" s="73"/>
      <c r="AB3715" s="73"/>
    </row>
    <row r="3716">
      <c r="A3716" s="73"/>
      <c r="B3716" s="73">
        <v>6086137.048</v>
      </c>
      <c r="C3716" s="73">
        <v>4.06443657830246E8</v>
      </c>
      <c r="D3716" s="73">
        <v>2.01295681411998E8</v>
      </c>
      <c r="E3716" s="73">
        <v>2.78349198811874E7</v>
      </c>
      <c r="F3716" s="73"/>
      <c r="G3716" s="73"/>
      <c r="H3716" s="73"/>
      <c r="I3716" s="73"/>
      <c r="J3716" s="73"/>
      <c r="K3716" s="73"/>
      <c r="L3716" s="73"/>
      <c r="M3716" s="73"/>
      <c r="N3716" s="73"/>
      <c r="O3716" s="73"/>
      <c r="P3716" s="73"/>
      <c r="Q3716" s="73"/>
      <c r="R3716" s="73"/>
      <c r="S3716" s="73"/>
      <c r="T3716" s="73"/>
      <c r="U3716" s="73"/>
      <c r="V3716" s="73"/>
      <c r="W3716" s="73"/>
      <c r="X3716" s="73"/>
      <c r="Y3716" s="73"/>
      <c r="Z3716" s="73"/>
      <c r="AA3716" s="73"/>
      <c r="AB3716" s="73"/>
    </row>
    <row r="3717">
      <c r="A3717" s="73"/>
      <c r="B3717" s="73">
        <v>6094191.751</v>
      </c>
      <c r="C3717" s="73">
        <v>4.06741451421974E8</v>
      </c>
      <c r="D3717" s="73">
        <v>2.01473356447991E8</v>
      </c>
      <c r="E3717" s="73">
        <v>2.78622041728665E7</v>
      </c>
      <c r="F3717" s="73"/>
      <c r="G3717" s="73"/>
      <c r="H3717" s="73"/>
      <c r="I3717" s="73"/>
      <c r="J3717" s="73"/>
      <c r="K3717" s="73"/>
      <c r="L3717" s="73"/>
      <c r="M3717" s="73"/>
      <c r="N3717" s="73"/>
      <c r="O3717" s="73"/>
      <c r="P3717" s="73"/>
      <c r="Q3717" s="73"/>
      <c r="R3717" s="73"/>
      <c r="S3717" s="73"/>
      <c r="T3717" s="73"/>
      <c r="U3717" s="73"/>
      <c r="V3717" s="73"/>
      <c r="W3717" s="73"/>
      <c r="X3717" s="73"/>
      <c r="Y3717" s="73"/>
      <c r="Z3717" s="73"/>
      <c r="AA3717" s="73"/>
      <c r="AB3717" s="73"/>
    </row>
    <row r="3718">
      <c r="A3718" s="73"/>
      <c r="B3718" s="73">
        <v>6102257.103</v>
      </c>
      <c r="C3718" s="73">
        <v>4.07039376853699E8</v>
      </c>
      <c r="D3718" s="73">
        <v>2.01651155435999E8</v>
      </c>
      <c r="E3718" s="73">
        <v>2.78895075479367E7</v>
      </c>
      <c r="F3718" s="73"/>
      <c r="G3718" s="73"/>
      <c r="H3718" s="73"/>
      <c r="I3718" s="73"/>
      <c r="J3718" s="73"/>
      <c r="K3718" s="73"/>
      <c r="L3718" s="73"/>
      <c r="M3718" s="73"/>
      <c r="N3718" s="73"/>
      <c r="O3718" s="73"/>
      <c r="P3718" s="73"/>
      <c r="Q3718" s="73"/>
      <c r="R3718" s="73"/>
      <c r="S3718" s="73"/>
      <c r="T3718" s="73"/>
      <c r="U3718" s="73"/>
      <c r="V3718" s="73"/>
      <c r="W3718" s="73"/>
      <c r="X3718" s="73"/>
      <c r="Y3718" s="73"/>
      <c r="Z3718" s="73"/>
      <c r="AA3718" s="73"/>
      <c r="AB3718" s="73"/>
    </row>
    <row r="3719">
      <c r="A3719" s="73"/>
      <c r="B3719" s="73">
        <v>6110333.041</v>
      </c>
      <c r="C3719" s="73">
        <v>4.07337467085419E8</v>
      </c>
      <c r="D3719" s="73">
        <v>2.01829036791993E8</v>
      </c>
      <c r="E3719" s="73">
        <v>2.79168303879977E7</v>
      </c>
      <c r="F3719" s="73"/>
      <c r="G3719" s="73"/>
      <c r="H3719" s="73"/>
      <c r="I3719" s="73"/>
      <c r="J3719" s="73"/>
      <c r="K3719" s="73"/>
      <c r="L3719" s="73"/>
      <c r="M3719" s="73"/>
      <c r="N3719" s="73"/>
      <c r="O3719" s="73"/>
      <c r="P3719" s="73"/>
      <c r="Q3719" s="73"/>
      <c r="R3719" s="73"/>
      <c r="S3719" s="73"/>
      <c r="T3719" s="73"/>
      <c r="U3719" s="73"/>
      <c r="V3719" s="73"/>
      <c r="W3719" s="73"/>
      <c r="X3719" s="73"/>
      <c r="Y3719" s="73"/>
      <c r="Z3719" s="73"/>
      <c r="AA3719" s="73"/>
      <c r="AB3719" s="73"/>
    </row>
    <row r="3720">
      <c r="A3720" s="73"/>
      <c r="B3720" s="73">
        <v>6118419.646</v>
      </c>
      <c r="C3720" s="73">
        <v>4.07635689157135E8</v>
      </c>
      <c r="D3720" s="73">
        <v>2.02007021476001E8</v>
      </c>
      <c r="E3720" s="73">
        <v>2.79441721418498E7</v>
      </c>
      <c r="F3720" s="73"/>
      <c r="G3720" s="73"/>
      <c r="H3720" s="73"/>
      <c r="I3720" s="73"/>
      <c r="J3720" s="73"/>
      <c r="K3720" s="73"/>
      <c r="L3720" s="73"/>
      <c r="M3720" s="73"/>
      <c r="N3720" s="73"/>
      <c r="O3720" s="73"/>
      <c r="P3720" s="73"/>
      <c r="Q3720" s="73"/>
      <c r="R3720" s="73"/>
      <c r="S3720" s="73"/>
      <c r="T3720" s="73"/>
      <c r="U3720" s="73"/>
      <c r="V3720" s="73"/>
      <c r="W3720" s="73"/>
      <c r="X3720" s="73"/>
      <c r="Y3720" s="73"/>
      <c r="Z3720" s="73"/>
      <c r="AA3720" s="73"/>
      <c r="AB3720" s="73"/>
    </row>
    <row r="3721">
      <c r="A3721" s="73"/>
      <c r="B3721" s="73">
        <v>6126517.038</v>
      </c>
      <c r="C3721" s="73">
        <v>4.07934076028847E8</v>
      </c>
      <c r="D3721" s="73">
        <v>2.02185129775995E8</v>
      </c>
      <c r="E3721" s="73">
        <v>2.79715332334928E7</v>
      </c>
      <c r="F3721" s="73"/>
      <c r="G3721" s="73"/>
      <c r="H3721" s="73"/>
      <c r="I3721" s="73"/>
      <c r="J3721" s="73"/>
      <c r="K3721" s="73"/>
      <c r="L3721" s="73"/>
      <c r="M3721" s="73"/>
      <c r="N3721" s="73"/>
      <c r="O3721" s="73"/>
      <c r="P3721" s="73"/>
      <c r="Q3721" s="73"/>
      <c r="R3721" s="73"/>
      <c r="S3721" s="73"/>
      <c r="T3721" s="73"/>
      <c r="U3721" s="73"/>
      <c r="V3721" s="73"/>
      <c r="W3721" s="73"/>
      <c r="X3721" s="73"/>
      <c r="Y3721" s="73"/>
      <c r="Z3721" s="73"/>
      <c r="AA3721" s="73"/>
      <c r="AB3721" s="73"/>
    </row>
    <row r="3722">
      <c r="A3722" s="73"/>
      <c r="B3722" s="73">
        <v>6134624.966</v>
      </c>
      <c r="C3722" s="73">
        <v>4.08232528820557E8</v>
      </c>
      <c r="D3722" s="73">
        <v>2.02363320924003E8</v>
      </c>
      <c r="E3722" s="73">
        <v>2.79989131541268E7</v>
      </c>
      <c r="F3722" s="73"/>
      <c r="G3722" s="73"/>
      <c r="H3722" s="73"/>
      <c r="I3722" s="73"/>
      <c r="J3722" s="73"/>
      <c r="K3722" s="73"/>
      <c r="L3722" s="73"/>
      <c r="M3722" s="73"/>
      <c r="N3722" s="73"/>
      <c r="O3722" s="73"/>
      <c r="P3722" s="73"/>
      <c r="Q3722" s="73"/>
      <c r="R3722" s="73"/>
      <c r="S3722" s="73"/>
      <c r="T3722" s="73"/>
      <c r="U3722" s="73"/>
      <c r="V3722" s="73"/>
      <c r="W3722" s="73"/>
      <c r="X3722" s="73"/>
      <c r="Y3722" s="73"/>
      <c r="Z3722" s="73"/>
      <c r="AA3722" s="73"/>
      <c r="AB3722" s="73"/>
    </row>
    <row r="3723">
      <c r="A3723" s="73"/>
      <c r="B3723" s="73">
        <v>6142743.463</v>
      </c>
      <c r="C3723" s="73">
        <v>4.08531179372261E8</v>
      </c>
      <c r="D3723" s="73">
        <v>2.02541615079996E8</v>
      </c>
      <c r="E3723" s="73">
        <v>2.80263124973517E7</v>
      </c>
      <c r="F3723" s="73"/>
      <c r="G3723" s="73"/>
      <c r="H3723" s="73"/>
      <c r="I3723" s="73"/>
      <c r="J3723" s="73"/>
      <c r="K3723" s="73"/>
      <c r="L3723" s="73"/>
      <c r="M3723" s="73"/>
      <c r="N3723" s="73"/>
      <c r="O3723" s="73"/>
      <c r="P3723" s="73"/>
      <c r="Q3723" s="73"/>
      <c r="R3723" s="73"/>
      <c r="S3723" s="73"/>
      <c r="T3723" s="73"/>
      <c r="U3723" s="73"/>
      <c r="V3723" s="73"/>
      <c r="W3723" s="73"/>
      <c r="X3723" s="73"/>
      <c r="Y3723" s="73"/>
      <c r="Z3723" s="73"/>
      <c r="AA3723" s="73"/>
      <c r="AB3723" s="73"/>
    </row>
    <row r="3724">
      <c r="A3724" s="73"/>
      <c r="B3724" s="73">
        <v>6150872.688</v>
      </c>
      <c r="C3724" s="73">
        <v>4.08829928803963E8</v>
      </c>
      <c r="D3724" s="73">
        <v>2.0272001270799E8</v>
      </c>
      <c r="E3724" s="73">
        <v>2.80537310511676E7</v>
      </c>
      <c r="F3724" s="73"/>
      <c r="G3724" s="73"/>
      <c r="H3724" s="73"/>
      <c r="I3724" s="73"/>
      <c r="J3724" s="73"/>
      <c r="K3724" s="73"/>
      <c r="L3724" s="73"/>
      <c r="M3724" s="73"/>
      <c r="N3724" s="73"/>
      <c r="O3724" s="73"/>
      <c r="P3724" s="73"/>
      <c r="Q3724" s="73"/>
      <c r="R3724" s="73"/>
      <c r="S3724" s="73"/>
      <c r="T3724" s="73"/>
      <c r="U3724" s="73"/>
      <c r="V3724" s="73"/>
      <c r="W3724" s="73"/>
      <c r="X3724" s="73"/>
      <c r="Y3724" s="73"/>
      <c r="Z3724" s="73"/>
      <c r="AA3724" s="73"/>
      <c r="AB3724" s="73"/>
    </row>
    <row r="3725">
      <c r="A3725" s="73"/>
      <c r="B3725" s="73">
        <v>6159012.588</v>
      </c>
      <c r="C3725" s="73">
        <v>4.09128875995659E8</v>
      </c>
      <c r="D3725" s="73">
        <v>2.02898513343998E8</v>
      </c>
      <c r="E3725" s="73">
        <v>2.80811687307745E7</v>
      </c>
      <c r="F3725" s="73"/>
      <c r="G3725" s="73"/>
      <c r="H3725" s="73"/>
      <c r="I3725" s="73"/>
      <c r="J3725" s="73"/>
      <c r="K3725" s="73"/>
      <c r="L3725" s="73"/>
      <c r="M3725" s="73"/>
      <c r="N3725" s="73"/>
      <c r="O3725" s="73"/>
      <c r="P3725" s="73"/>
      <c r="Q3725" s="73"/>
      <c r="R3725" s="73"/>
      <c r="S3725" s="73"/>
      <c r="T3725" s="73"/>
      <c r="U3725" s="73"/>
      <c r="V3725" s="73"/>
      <c r="W3725" s="73"/>
      <c r="X3725" s="73"/>
      <c r="Y3725" s="73"/>
      <c r="Z3725" s="73"/>
      <c r="AA3725" s="73"/>
      <c r="AB3725" s="73"/>
    </row>
    <row r="3726">
      <c r="A3726" s="73"/>
      <c r="B3726" s="73">
        <v>6167163.155</v>
      </c>
      <c r="C3726" s="73">
        <v>4.09427889107353E8</v>
      </c>
      <c r="D3726" s="73">
        <v>2.03077117131991E8</v>
      </c>
      <c r="E3726" s="73">
        <v>2.81086241217084E7</v>
      </c>
      <c r="F3726" s="73"/>
      <c r="G3726" s="73"/>
      <c r="H3726" s="73"/>
      <c r="I3726" s="73"/>
      <c r="J3726" s="73"/>
      <c r="K3726" s="73"/>
      <c r="L3726" s="73"/>
      <c r="M3726" s="73"/>
      <c r="N3726" s="73"/>
      <c r="O3726" s="73"/>
      <c r="P3726" s="73"/>
      <c r="Q3726" s="73"/>
      <c r="R3726" s="73"/>
      <c r="S3726" s="73"/>
      <c r="T3726" s="73"/>
      <c r="U3726" s="73"/>
      <c r="V3726" s="73"/>
      <c r="W3726" s="73"/>
      <c r="X3726" s="73"/>
      <c r="Y3726" s="73"/>
      <c r="Z3726" s="73"/>
      <c r="AA3726" s="73"/>
      <c r="AB3726" s="73"/>
    </row>
    <row r="3727">
      <c r="A3727" s="73"/>
      <c r="B3727" s="73">
        <v>6175324.551</v>
      </c>
      <c r="C3727" s="73">
        <v>4.09727099979042E8</v>
      </c>
      <c r="D3727" s="73">
        <v>2.03255803752E8</v>
      </c>
      <c r="E3727" s="73">
        <v>2.81361006464972E7</v>
      </c>
      <c r="F3727" s="73"/>
      <c r="G3727" s="73"/>
      <c r="H3727" s="73"/>
      <c r="I3727" s="73"/>
      <c r="J3727" s="73"/>
      <c r="K3727" s="73"/>
      <c r="L3727" s="73"/>
      <c r="M3727" s="73"/>
      <c r="N3727" s="73"/>
      <c r="O3727" s="73"/>
      <c r="P3727" s="73"/>
      <c r="Q3727" s="73"/>
      <c r="R3727" s="73"/>
      <c r="S3727" s="73"/>
      <c r="T3727" s="73"/>
      <c r="U3727" s="73"/>
      <c r="V3727" s="73"/>
      <c r="W3727" s="73"/>
      <c r="X3727" s="73"/>
      <c r="Y3727" s="73"/>
      <c r="Z3727" s="73"/>
      <c r="AA3727" s="73"/>
      <c r="AB3727" s="73"/>
    </row>
    <row r="3728">
      <c r="A3728" s="73"/>
      <c r="B3728" s="73">
        <v>6183496.452</v>
      </c>
      <c r="C3728" s="73">
        <v>4.10026409730728E8</v>
      </c>
      <c r="D3728" s="73">
        <v>2.03434614019993E8</v>
      </c>
      <c r="E3728" s="73">
        <v>2.81635959154769E7</v>
      </c>
      <c r="F3728" s="73"/>
      <c r="G3728" s="73"/>
      <c r="H3728" s="73"/>
      <c r="I3728" s="73"/>
      <c r="J3728" s="73"/>
      <c r="K3728" s="73"/>
      <c r="L3728" s="73"/>
      <c r="M3728" s="73"/>
      <c r="N3728" s="73"/>
      <c r="O3728" s="73"/>
      <c r="P3728" s="73"/>
      <c r="Q3728" s="73"/>
      <c r="R3728" s="73"/>
      <c r="S3728" s="73"/>
      <c r="T3728" s="73"/>
      <c r="U3728" s="73"/>
      <c r="V3728" s="73"/>
      <c r="W3728" s="73"/>
      <c r="X3728" s="73"/>
      <c r="Y3728" s="73"/>
      <c r="Z3728" s="73"/>
      <c r="AA3728" s="73"/>
      <c r="AB3728" s="73"/>
    </row>
    <row r="3729">
      <c r="A3729" s="73"/>
      <c r="B3729" s="73">
        <v>6191679.112</v>
      </c>
      <c r="C3729" s="73">
        <v>4.1032588428241E8</v>
      </c>
      <c r="D3729" s="73">
        <v>2.03613527600002E8</v>
      </c>
      <c r="E3729" s="73">
        <v>2.81911100982477E7</v>
      </c>
      <c r="F3729" s="73"/>
      <c r="G3729" s="73"/>
      <c r="H3729" s="73"/>
      <c r="I3729" s="73"/>
      <c r="J3729" s="73"/>
      <c r="K3729" s="73"/>
      <c r="L3729" s="73"/>
      <c r="M3729" s="73"/>
      <c r="N3729" s="73"/>
      <c r="O3729" s="73"/>
      <c r="P3729" s="73"/>
      <c r="Q3729" s="73"/>
      <c r="R3729" s="73"/>
      <c r="S3729" s="73"/>
      <c r="T3729" s="73"/>
      <c r="U3729" s="73"/>
      <c r="V3729" s="73"/>
      <c r="W3729" s="73"/>
      <c r="X3729" s="73"/>
      <c r="Y3729" s="73"/>
      <c r="Z3729" s="73"/>
      <c r="AA3729" s="73"/>
      <c r="AB3729" s="73"/>
    </row>
    <row r="3730">
      <c r="A3730" s="73"/>
      <c r="B3730" s="73">
        <v>6199872.329</v>
      </c>
      <c r="C3730" s="73">
        <v>4.10625457714088E8</v>
      </c>
      <c r="D3730" s="73">
        <v>2.03792544187995E8</v>
      </c>
      <c r="E3730" s="73">
        <v>2.82186423739454E7</v>
      </c>
      <c r="F3730" s="73"/>
      <c r="G3730" s="73"/>
      <c r="H3730" s="73"/>
      <c r="I3730" s="73"/>
      <c r="J3730" s="73"/>
      <c r="K3730" s="73"/>
      <c r="L3730" s="73"/>
      <c r="M3730" s="73"/>
      <c r="N3730" s="73"/>
      <c r="O3730" s="73"/>
      <c r="P3730" s="73"/>
      <c r="Q3730" s="73"/>
      <c r="R3730" s="73"/>
      <c r="S3730" s="73"/>
      <c r="T3730" s="73"/>
      <c r="U3730" s="73"/>
      <c r="V3730" s="73"/>
      <c r="W3730" s="73"/>
      <c r="X3730" s="73"/>
      <c r="Y3730" s="73"/>
      <c r="Z3730" s="73"/>
      <c r="AA3730" s="73"/>
      <c r="AB3730" s="73"/>
    </row>
    <row r="3731">
      <c r="A3731" s="73"/>
      <c r="B3731" s="73">
        <v>6208076.498</v>
      </c>
      <c r="C3731" s="73">
        <v>4.10925228905762E8</v>
      </c>
      <c r="D3731" s="73">
        <v>2.03971643752004E8</v>
      </c>
      <c r="E3731" s="73">
        <v>2.82461953594981E7</v>
      </c>
      <c r="F3731" s="73"/>
      <c r="G3731" s="73"/>
      <c r="H3731" s="73"/>
      <c r="I3731" s="73"/>
      <c r="J3731" s="73"/>
      <c r="K3731" s="73"/>
      <c r="L3731" s="73"/>
      <c r="M3731" s="73"/>
      <c r="N3731" s="73"/>
      <c r="O3731" s="73"/>
      <c r="P3731" s="73"/>
      <c r="Q3731" s="73"/>
      <c r="R3731" s="73"/>
      <c r="S3731" s="73"/>
      <c r="T3731" s="73"/>
      <c r="U3731" s="73"/>
      <c r="V3731" s="73"/>
      <c r="W3731" s="73"/>
      <c r="X3731" s="73"/>
      <c r="Y3731" s="73"/>
      <c r="Z3731" s="73"/>
      <c r="AA3731" s="73"/>
      <c r="AB3731" s="73"/>
    </row>
    <row r="3732">
      <c r="A3732" s="73"/>
      <c r="B3732" s="73">
        <v>6216291.411</v>
      </c>
      <c r="C3732" s="73">
        <v>4.11225098977432E8</v>
      </c>
      <c r="D3732" s="73">
        <v>2.04150866819997E8</v>
      </c>
      <c r="E3732" s="73">
        <v>2.82737675980417E7</v>
      </c>
      <c r="F3732" s="73"/>
      <c r="G3732" s="73"/>
      <c r="H3732" s="73"/>
      <c r="I3732" s="73"/>
      <c r="J3732" s="73"/>
      <c r="K3732" s="73"/>
      <c r="L3732" s="73"/>
      <c r="M3732" s="73"/>
      <c r="N3732" s="73"/>
      <c r="O3732" s="73"/>
      <c r="P3732" s="73"/>
      <c r="Q3732" s="73"/>
      <c r="R3732" s="73"/>
      <c r="S3732" s="73"/>
      <c r="T3732" s="73"/>
      <c r="U3732" s="73"/>
      <c r="V3732" s="73"/>
      <c r="W3732" s="73"/>
      <c r="X3732" s="73"/>
      <c r="Y3732" s="73"/>
      <c r="Z3732" s="73"/>
      <c r="AA3732" s="73"/>
      <c r="AB3732" s="73"/>
    </row>
    <row r="3733">
      <c r="A3733" s="73"/>
      <c r="B3733" s="73">
        <v>6224516.828</v>
      </c>
      <c r="C3733" s="73">
        <v>4.11525100889099E8</v>
      </c>
      <c r="D3733" s="73">
        <v>2.0433017271999E8</v>
      </c>
      <c r="E3733" s="73">
        <v>2.83013578023123E7</v>
      </c>
      <c r="F3733" s="73"/>
      <c r="G3733" s="73"/>
      <c r="H3733" s="73"/>
      <c r="I3733" s="73"/>
      <c r="J3733" s="73"/>
      <c r="K3733" s="73"/>
      <c r="L3733" s="73"/>
      <c r="M3733" s="73"/>
      <c r="N3733" s="73"/>
      <c r="O3733" s="73"/>
      <c r="P3733" s="73"/>
      <c r="Q3733" s="73"/>
      <c r="R3733" s="73"/>
      <c r="S3733" s="73"/>
      <c r="T3733" s="73"/>
      <c r="U3733" s="73"/>
      <c r="V3733" s="73"/>
      <c r="W3733" s="73"/>
      <c r="X3733" s="73"/>
      <c r="Y3733" s="73"/>
      <c r="Z3733" s="73"/>
      <c r="AA3733" s="73"/>
      <c r="AB3733" s="73"/>
    </row>
    <row r="3734">
      <c r="A3734" s="73"/>
      <c r="B3734" s="73">
        <v>6232753.171</v>
      </c>
      <c r="C3734" s="73">
        <v>4.11825267600761E8</v>
      </c>
      <c r="D3734" s="73">
        <v>2.04509602251999E8</v>
      </c>
      <c r="E3734" s="73">
        <v>2.83289679108379E7</v>
      </c>
      <c r="F3734" s="73"/>
      <c r="G3734" s="73"/>
      <c r="H3734" s="73"/>
      <c r="I3734" s="73"/>
      <c r="J3734" s="73"/>
      <c r="K3734" s="73"/>
      <c r="L3734" s="73"/>
      <c r="M3734" s="73"/>
      <c r="N3734" s="73"/>
      <c r="O3734" s="73"/>
      <c r="P3734" s="73"/>
      <c r="Q3734" s="73"/>
      <c r="R3734" s="73"/>
      <c r="S3734" s="73"/>
      <c r="T3734" s="73"/>
      <c r="U3734" s="73"/>
      <c r="V3734" s="73"/>
      <c r="W3734" s="73"/>
      <c r="X3734" s="73"/>
      <c r="Y3734" s="73"/>
      <c r="Z3734" s="73"/>
      <c r="AA3734" s="73"/>
      <c r="AB3734" s="73"/>
    </row>
    <row r="3735">
      <c r="A3735" s="73"/>
      <c r="B3735" s="73">
        <v>6241000.134</v>
      </c>
      <c r="C3735" s="73">
        <v>4.1212556615242E8</v>
      </c>
      <c r="D3735" s="73">
        <v>2.04689114167992E8</v>
      </c>
      <c r="E3735" s="73">
        <v>2.83565977811544E7</v>
      </c>
      <c r="F3735" s="73"/>
      <c r="G3735" s="73"/>
      <c r="H3735" s="73"/>
      <c r="I3735" s="73"/>
      <c r="J3735" s="73"/>
      <c r="K3735" s="73"/>
      <c r="L3735" s="73"/>
      <c r="M3735" s="73"/>
      <c r="N3735" s="73"/>
      <c r="O3735" s="73"/>
      <c r="P3735" s="73"/>
      <c r="Q3735" s="73"/>
      <c r="R3735" s="73"/>
      <c r="S3735" s="73"/>
      <c r="T3735" s="73"/>
      <c r="U3735" s="73"/>
      <c r="V3735" s="73"/>
      <c r="W3735" s="73"/>
      <c r="X3735" s="73"/>
      <c r="Y3735" s="73"/>
      <c r="Z3735" s="73"/>
      <c r="AA3735" s="73"/>
      <c r="AB3735" s="73"/>
    </row>
    <row r="3736">
      <c r="A3736" s="73"/>
      <c r="B3736" s="73">
        <v>6249257.883</v>
      </c>
      <c r="C3736" s="73">
        <v>4.12425963584076E8</v>
      </c>
      <c r="D3736" s="73">
        <v>2.04868750180001E8</v>
      </c>
      <c r="E3736" s="73">
        <v>2.83842453627979E7</v>
      </c>
      <c r="F3736" s="73"/>
      <c r="G3736" s="73"/>
      <c r="H3736" s="73"/>
      <c r="I3736" s="73"/>
      <c r="J3736" s="73"/>
      <c r="K3736" s="73"/>
      <c r="L3736" s="73"/>
      <c r="M3736" s="73"/>
      <c r="N3736" s="73"/>
      <c r="O3736" s="73"/>
      <c r="P3736" s="73"/>
      <c r="Q3736" s="73"/>
      <c r="R3736" s="73"/>
      <c r="S3736" s="73"/>
      <c r="T3736" s="73"/>
      <c r="U3736" s="73"/>
      <c r="V3736" s="73"/>
      <c r="W3736" s="73"/>
      <c r="X3736" s="73"/>
      <c r="Y3736" s="73"/>
      <c r="Z3736" s="73"/>
      <c r="AA3736" s="73"/>
      <c r="AB3736" s="73"/>
    </row>
    <row r="3737">
      <c r="A3737" s="73"/>
      <c r="B3737" s="73">
        <v>6257526.419</v>
      </c>
      <c r="C3737" s="73">
        <v>4.12726525815727E8</v>
      </c>
      <c r="D3737" s="73">
        <v>2.05048468719994E8</v>
      </c>
      <c r="E3737" s="73">
        <v>2.84119137390963E7</v>
      </c>
      <c r="F3737" s="73"/>
      <c r="G3737" s="73"/>
      <c r="H3737" s="73"/>
      <c r="I3737" s="73"/>
      <c r="J3737" s="73"/>
      <c r="K3737" s="73"/>
      <c r="L3737" s="73"/>
      <c r="M3737" s="73"/>
      <c r="N3737" s="73"/>
      <c r="O3737" s="73"/>
      <c r="P3737" s="73"/>
      <c r="Q3737" s="73"/>
      <c r="R3737" s="73"/>
      <c r="S3737" s="73"/>
      <c r="T3737" s="73"/>
      <c r="U3737" s="73"/>
      <c r="V3737" s="73"/>
      <c r="W3737" s="73"/>
      <c r="X3737" s="73"/>
      <c r="Y3737" s="73"/>
      <c r="Z3737" s="73"/>
      <c r="AA3737" s="73"/>
      <c r="AB3737" s="73"/>
    </row>
    <row r="3738">
      <c r="A3738" s="73"/>
      <c r="B3738" s="73">
        <v>6265805.79</v>
      </c>
      <c r="C3738" s="73">
        <v>4.13027252847374E8</v>
      </c>
      <c r="D3738" s="73">
        <v>2.05228290716002E8</v>
      </c>
      <c r="E3738" s="73">
        <v>2.84395999539218E7</v>
      </c>
      <c r="F3738" s="73"/>
      <c r="G3738" s="73"/>
      <c r="H3738" s="73"/>
      <c r="I3738" s="73"/>
      <c r="J3738" s="73"/>
      <c r="K3738" s="73"/>
      <c r="L3738" s="73"/>
      <c r="M3738" s="73"/>
      <c r="N3738" s="73"/>
      <c r="O3738" s="73"/>
      <c r="P3738" s="73"/>
      <c r="Q3738" s="73"/>
      <c r="R3738" s="73"/>
      <c r="S3738" s="73"/>
      <c r="T3738" s="73"/>
      <c r="U3738" s="73"/>
      <c r="V3738" s="73"/>
      <c r="W3738" s="73"/>
      <c r="X3738" s="73"/>
      <c r="Y3738" s="73"/>
      <c r="Z3738" s="73"/>
      <c r="AA3738" s="73"/>
      <c r="AB3738" s="73"/>
    </row>
    <row r="3739">
      <c r="A3739" s="73"/>
      <c r="B3739" s="73">
        <v>6274095.826</v>
      </c>
      <c r="C3739" s="73">
        <v>4.13328111719017E8</v>
      </c>
      <c r="D3739" s="73">
        <v>2.05408236215996E8</v>
      </c>
      <c r="E3739" s="73">
        <v>2.84673066242022E7</v>
      </c>
      <c r="F3739" s="73"/>
      <c r="G3739" s="73"/>
      <c r="H3739" s="73"/>
      <c r="I3739" s="73"/>
      <c r="J3739" s="73"/>
      <c r="K3739" s="73"/>
      <c r="L3739" s="73"/>
      <c r="M3739" s="73"/>
      <c r="N3739" s="73"/>
      <c r="O3739" s="73"/>
      <c r="P3739" s="73"/>
      <c r="Q3739" s="73"/>
      <c r="R3739" s="73"/>
      <c r="S3739" s="73"/>
      <c r="T3739" s="73"/>
      <c r="U3739" s="73"/>
      <c r="V3739" s="73"/>
      <c r="W3739" s="73"/>
      <c r="X3739" s="73"/>
      <c r="Y3739" s="73"/>
      <c r="Z3739" s="73"/>
      <c r="AA3739" s="73"/>
      <c r="AB3739" s="73"/>
    </row>
    <row r="3740">
      <c r="A3740" s="73"/>
      <c r="B3740" s="73">
        <v>6282396.513</v>
      </c>
      <c r="C3740" s="73">
        <v>4.13629102430656E8</v>
      </c>
      <c r="D3740" s="73">
        <v>2.05588264388004E8</v>
      </c>
      <c r="E3740" s="73">
        <v>2.84950311330095E7</v>
      </c>
      <c r="F3740" s="73"/>
      <c r="G3740" s="73"/>
      <c r="H3740" s="73"/>
      <c r="I3740" s="73"/>
      <c r="J3740" s="73"/>
      <c r="K3740" s="73"/>
      <c r="L3740" s="73"/>
      <c r="M3740" s="73"/>
      <c r="N3740" s="73"/>
      <c r="O3740" s="73"/>
      <c r="P3740" s="73"/>
      <c r="Q3740" s="73"/>
      <c r="R3740" s="73"/>
      <c r="S3740" s="73"/>
      <c r="T3740" s="73"/>
      <c r="U3740" s="73"/>
      <c r="V3740" s="73"/>
      <c r="W3740" s="73"/>
      <c r="X3740" s="73"/>
      <c r="Y3740" s="73"/>
      <c r="Z3740" s="73"/>
      <c r="AA3740" s="73"/>
      <c r="AB3740" s="73"/>
    </row>
    <row r="3741">
      <c r="A3741" s="73"/>
      <c r="B3741" s="73">
        <v>6290708.171</v>
      </c>
      <c r="C3741" s="73">
        <v>4.13930192022293E8</v>
      </c>
      <c r="D3741" s="73">
        <v>2.05768395871998E8</v>
      </c>
      <c r="E3741" s="73">
        <v>2.85227765212718E7</v>
      </c>
      <c r="F3741" s="73"/>
      <c r="G3741" s="73"/>
      <c r="H3741" s="73"/>
      <c r="I3741" s="73"/>
      <c r="J3741" s="73"/>
      <c r="K3741" s="73"/>
      <c r="L3741" s="73"/>
      <c r="M3741" s="73"/>
      <c r="N3741" s="73"/>
      <c r="O3741" s="73"/>
      <c r="P3741" s="73"/>
      <c r="Q3741" s="73"/>
      <c r="R3741" s="73"/>
      <c r="S3741" s="73"/>
      <c r="T3741" s="73"/>
      <c r="U3741" s="73"/>
      <c r="V3741" s="73"/>
      <c r="W3741" s="73"/>
      <c r="X3741" s="73"/>
      <c r="Y3741" s="73"/>
      <c r="Z3741" s="73"/>
      <c r="AA3741" s="73"/>
      <c r="AB3741" s="73"/>
    </row>
    <row r="3742">
      <c r="A3742" s="73"/>
      <c r="B3742" s="73">
        <v>6299030.614</v>
      </c>
      <c r="C3742" s="73">
        <v>4.14231446413925E8</v>
      </c>
      <c r="D3742" s="73">
        <v>2.05948630379991E8</v>
      </c>
      <c r="E3742" s="73">
        <v>2.85505392816611E7</v>
      </c>
      <c r="F3742" s="73"/>
      <c r="G3742" s="73"/>
      <c r="H3742" s="73"/>
      <c r="I3742" s="73"/>
      <c r="J3742" s="73"/>
      <c r="K3742" s="73"/>
      <c r="L3742" s="73"/>
      <c r="M3742" s="73"/>
      <c r="N3742" s="73"/>
      <c r="O3742" s="73"/>
      <c r="P3742" s="73"/>
      <c r="Q3742" s="73"/>
      <c r="R3742" s="73"/>
      <c r="S3742" s="73"/>
      <c r="T3742" s="73"/>
      <c r="U3742" s="73"/>
      <c r="V3742" s="73"/>
      <c r="W3742" s="73"/>
      <c r="X3742" s="73"/>
      <c r="Y3742" s="73"/>
      <c r="Z3742" s="73"/>
      <c r="AA3742" s="73"/>
      <c r="AB3742" s="73"/>
    </row>
    <row r="3743">
      <c r="A3743" s="73"/>
      <c r="B3743" s="73">
        <v>6307363.857</v>
      </c>
      <c r="C3743" s="73">
        <v>4.14532865605553E8</v>
      </c>
      <c r="D3743" s="73">
        <v>2.06128968183999E8</v>
      </c>
      <c r="E3743" s="73">
        <v>2.85783233455053E7</v>
      </c>
      <c r="F3743" s="73"/>
      <c r="G3743" s="73"/>
      <c r="H3743" s="73"/>
      <c r="I3743" s="73"/>
      <c r="J3743" s="73"/>
      <c r="K3743" s="73"/>
      <c r="L3743" s="73"/>
      <c r="M3743" s="73"/>
      <c r="N3743" s="73"/>
      <c r="O3743" s="73"/>
      <c r="P3743" s="73"/>
      <c r="Q3743" s="73"/>
      <c r="R3743" s="73"/>
      <c r="S3743" s="73"/>
      <c r="T3743" s="73"/>
      <c r="U3743" s="73"/>
      <c r="V3743" s="73"/>
      <c r="W3743" s="73"/>
      <c r="X3743" s="73"/>
      <c r="Y3743" s="73"/>
      <c r="Z3743" s="73"/>
      <c r="AA3743" s="73"/>
      <c r="AB3743" s="73"/>
    </row>
    <row r="3744">
      <c r="A3744" s="73"/>
      <c r="B3744" s="73">
        <v>6315707.947</v>
      </c>
      <c r="C3744" s="73">
        <v>4.14834416637177E8</v>
      </c>
      <c r="D3744" s="73">
        <v>2.06309409315993E8</v>
      </c>
      <c r="E3744" s="73">
        <v>2.86061252054765E7</v>
      </c>
      <c r="F3744" s="73"/>
      <c r="G3744" s="73"/>
      <c r="H3744" s="73"/>
      <c r="I3744" s="73"/>
      <c r="J3744" s="73"/>
      <c r="K3744" s="73"/>
      <c r="L3744" s="73"/>
      <c r="M3744" s="73"/>
      <c r="N3744" s="73"/>
      <c r="O3744" s="73"/>
      <c r="P3744" s="73"/>
      <c r="Q3744" s="73"/>
      <c r="R3744" s="73"/>
      <c r="S3744" s="73"/>
      <c r="T3744" s="73"/>
      <c r="U3744" s="73"/>
      <c r="V3744" s="73"/>
      <c r="W3744" s="73"/>
      <c r="X3744" s="73"/>
      <c r="Y3744" s="73"/>
      <c r="Z3744" s="73"/>
      <c r="AA3744" s="73"/>
      <c r="AB3744" s="73"/>
    </row>
    <row r="3745">
      <c r="A3745" s="73"/>
      <c r="B3745" s="73">
        <v>6324062.591</v>
      </c>
      <c r="C3745" s="73">
        <v>4.15136066548798E8</v>
      </c>
      <c r="D3745" s="73">
        <v>2.06489953584001E8</v>
      </c>
      <c r="E3745" s="73">
        <v>2.86339469697026E7</v>
      </c>
      <c r="F3745" s="73"/>
      <c r="G3745" s="73"/>
      <c r="H3745" s="73"/>
      <c r="I3745" s="73"/>
      <c r="J3745" s="73"/>
      <c r="K3745" s="73"/>
      <c r="L3745" s="73"/>
      <c r="M3745" s="73"/>
      <c r="N3745" s="73"/>
      <c r="O3745" s="73"/>
      <c r="P3745" s="73"/>
      <c r="Q3745" s="73"/>
      <c r="R3745" s="73"/>
      <c r="S3745" s="73"/>
      <c r="T3745" s="73"/>
      <c r="U3745" s="73"/>
      <c r="V3745" s="73"/>
      <c r="W3745" s="73"/>
      <c r="X3745" s="73"/>
      <c r="Y3745" s="73"/>
      <c r="Z3745" s="73"/>
      <c r="AA3745" s="73"/>
      <c r="AB3745" s="73"/>
    </row>
    <row r="3746">
      <c r="A3746" s="73"/>
      <c r="B3746" s="73">
        <v>6332428.203</v>
      </c>
      <c r="C3746" s="73">
        <v>4.15437914220413E8</v>
      </c>
      <c r="D3746" s="73">
        <v>2.06670601035995E8</v>
      </c>
      <c r="E3746" s="73">
        <v>2.86617873780558E7</v>
      </c>
      <c r="F3746" s="73"/>
      <c r="G3746" s="73"/>
      <c r="H3746" s="73"/>
      <c r="I3746" s="73"/>
      <c r="J3746" s="73"/>
      <c r="K3746" s="73"/>
      <c r="L3746" s="73"/>
      <c r="M3746" s="73"/>
      <c r="N3746" s="73"/>
      <c r="O3746" s="73"/>
      <c r="P3746" s="73"/>
      <c r="Q3746" s="73"/>
      <c r="R3746" s="73"/>
      <c r="S3746" s="73"/>
      <c r="T3746" s="73"/>
      <c r="U3746" s="73"/>
      <c r="V3746" s="73"/>
      <c r="W3746" s="73"/>
      <c r="X3746" s="73"/>
      <c r="Y3746" s="73"/>
      <c r="Z3746" s="73"/>
      <c r="AA3746" s="73"/>
      <c r="AB3746" s="73"/>
    </row>
    <row r="3747">
      <c r="A3747" s="73"/>
      <c r="B3747" s="73">
        <v>6340804.763</v>
      </c>
      <c r="C3747" s="73">
        <v>4.15739860772026E8</v>
      </c>
      <c r="D3747" s="73">
        <v>2.06851351640003E8</v>
      </c>
      <c r="E3747" s="73">
        <v>2.86896469121999E7</v>
      </c>
      <c r="F3747" s="73"/>
      <c r="G3747" s="73"/>
      <c r="H3747" s="73"/>
      <c r="I3747" s="73"/>
      <c r="J3747" s="73"/>
      <c r="K3747" s="73"/>
      <c r="L3747" s="73"/>
      <c r="M3747" s="73"/>
      <c r="N3747" s="73"/>
      <c r="O3747" s="73"/>
      <c r="P3747" s="73"/>
      <c r="Q3747" s="73"/>
      <c r="R3747" s="73"/>
      <c r="S3747" s="73"/>
      <c r="T3747" s="73"/>
      <c r="U3747" s="73"/>
      <c r="V3747" s="73"/>
      <c r="W3747" s="73"/>
      <c r="X3747" s="73"/>
      <c r="Y3747" s="73"/>
      <c r="Z3747" s="73"/>
      <c r="AA3747" s="73"/>
      <c r="AB3747" s="73"/>
    </row>
    <row r="3748">
      <c r="A3748" s="73"/>
      <c r="B3748" s="73">
        <v>6349192.087</v>
      </c>
      <c r="C3748" s="73">
        <v>4.16041939163635E8</v>
      </c>
      <c r="D3748" s="73">
        <v>2.07032205555996E8</v>
      </c>
      <c r="E3748" s="73">
        <v>2.87175271985989E7</v>
      </c>
      <c r="F3748" s="73"/>
      <c r="G3748" s="73"/>
      <c r="H3748" s="73"/>
      <c r="I3748" s="73"/>
      <c r="J3748" s="73"/>
      <c r="K3748" s="73"/>
      <c r="L3748" s="73"/>
      <c r="M3748" s="73"/>
      <c r="N3748" s="73"/>
      <c r="O3748" s="73"/>
      <c r="P3748" s="73"/>
      <c r="Q3748" s="73"/>
      <c r="R3748" s="73"/>
      <c r="S3748" s="73"/>
      <c r="T3748" s="73"/>
      <c r="U3748" s="73"/>
      <c r="V3748" s="73"/>
      <c r="W3748" s="73"/>
      <c r="X3748" s="73"/>
      <c r="Y3748" s="73"/>
      <c r="Z3748" s="73"/>
      <c r="AA3748" s="73"/>
      <c r="AB3748" s="73"/>
    </row>
    <row r="3749">
      <c r="A3749" s="73"/>
      <c r="B3749" s="73">
        <v>6357590.201</v>
      </c>
      <c r="C3749" s="73">
        <v>4.1634418235524E8</v>
      </c>
      <c r="D3749" s="73">
        <v>2.0721316249599E8</v>
      </c>
      <c r="E3749" s="73">
        <v>2.87454247299249E7</v>
      </c>
      <c r="F3749" s="73"/>
      <c r="G3749" s="73"/>
      <c r="H3749" s="73"/>
      <c r="I3749" s="73"/>
      <c r="J3749" s="73"/>
      <c r="K3749" s="73"/>
      <c r="L3749" s="73"/>
      <c r="M3749" s="73"/>
      <c r="N3749" s="73"/>
      <c r="O3749" s="73"/>
      <c r="P3749" s="73"/>
      <c r="Q3749" s="73"/>
      <c r="R3749" s="73"/>
      <c r="S3749" s="73"/>
      <c r="T3749" s="73"/>
      <c r="U3749" s="73"/>
      <c r="V3749" s="73"/>
      <c r="W3749" s="73"/>
      <c r="X3749" s="73"/>
      <c r="Y3749" s="73"/>
      <c r="Z3749" s="73"/>
      <c r="AA3749" s="73"/>
      <c r="AB3749" s="73"/>
    </row>
    <row r="3750">
      <c r="A3750" s="73"/>
      <c r="B3750" s="73">
        <v>6365999.282</v>
      </c>
      <c r="C3750" s="73">
        <v>4.16646524426842E8</v>
      </c>
      <c r="D3750" s="73">
        <v>2.07394222731998E8</v>
      </c>
      <c r="E3750" s="73">
        <v>2.87733436495058E7</v>
      </c>
      <c r="F3750" s="73"/>
      <c r="G3750" s="73"/>
      <c r="H3750" s="73"/>
      <c r="I3750" s="73"/>
      <c r="J3750" s="73"/>
      <c r="K3750" s="73"/>
      <c r="L3750" s="73"/>
      <c r="M3750" s="73"/>
      <c r="N3750" s="73"/>
      <c r="O3750" s="73"/>
      <c r="P3750" s="73"/>
      <c r="Q3750" s="73"/>
      <c r="R3750" s="73"/>
      <c r="S3750" s="73"/>
      <c r="T3750" s="73"/>
      <c r="U3750" s="73"/>
      <c r="V3750" s="73"/>
      <c r="W3750" s="73"/>
      <c r="X3750" s="73"/>
      <c r="Y3750" s="73"/>
      <c r="Z3750" s="73"/>
      <c r="AA3750" s="73"/>
      <c r="AB3750" s="73"/>
    </row>
    <row r="3751">
      <c r="A3751" s="73"/>
      <c r="B3751" s="73">
        <v>6374419.082</v>
      </c>
      <c r="C3751" s="73">
        <v>4.16949097218437E8</v>
      </c>
      <c r="D3751" s="73">
        <v>2.07575386135991E8</v>
      </c>
      <c r="E3751" s="73">
        <v>2.88012802804137E7</v>
      </c>
      <c r="F3751" s="73"/>
      <c r="G3751" s="73"/>
      <c r="H3751" s="73"/>
      <c r="I3751" s="73"/>
      <c r="J3751" s="73"/>
      <c r="K3751" s="73"/>
      <c r="L3751" s="73"/>
      <c r="M3751" s="73"/>
      <c r="N3751" s="73"/>
      <c r="O3751" s="73"/>
      <c r="P3751" s="73"/>
      <c r="Q3751" s="73"/>
      <c r="R3751" s="73"/>
      <c r="S3751" s="73"/>
      <c r="T3751" s="73"/>
      <c r="U3751" s="73"/>
      <c r="V3751" s="73"/>
      <c r="W3751" s="73"/>
      <c r="X3751" s="73"/>
      <c r="Y3751" s="73"/>
      <c r="Z3751" s="73"/>
      <c r="AA3751" s="73"/>
      <c r="AB3751" s="73"/>
    </row>
    <row r="3752">
      <c r="A3752" s="73"/>
      <c r="B3752" s="73">
        <v>6382849.843</v>
      </c>
      <c r="C3752" s="73">
        <v>4.17251735930031E8</v>
      </c>
      <c r="D3752" s="73">
        <v>2.07756652852E8</v>
      </c>
      <c r="E3752" s="73">
        <v>2.88292360795126E7</v>
      </c>
      <c r="F3752" s="73"/>
      <c r="G3752" s="73"/>
      <c r="H3752" s="73"/>
      <c r="I3752" s="73"/>
      <c r="J3752" s="73"/>
      <c r="K3752" s="73"/>
      <c r="L3752" s="73"/>
      <c r="M3752" s="73"/>
      <c r="N3752" s="73"/>
      <c r="O3752" s="73"/>
      <c r="P3752" s="73"/>
      <c r="Q3752" s="73"/>
      <c r="R3752" s="73"/>
      <c r="S3752" s="73"/>
      <c r="T3752" s="73"/>
      <c r="U3752" s="73"/>
      <c r="V3752" s="73"/>
      <c r="W3752" s="73"/>
      <c r="X3752" s="73"/>
      <c r="Y3752" s="73"/>
      <c r="Z3752" s="73"/>
      <c r="AA3752" s="73"/>
      <c r="AB3752" s="73"/>
    </row>
    <row r="3753">
      <c r="A3753" s="73"/>
      <c r="B3753" s="73">
        <v>6391291.287</v>
      </c>
      <c r="C3753" s="73">
        <v>4.17554473521622E8</v>
      </c>
      <c r="D3753" s="73">
        <v>2.07938022735993E8</v>
      </c>
      <c r="E3753" s="73">
        <v>2.88572112588025E7</v>
      </c>
      <c r="F3753" s="73"/>
      <c r="G3753" s="73"/>
      <c r="H3753" s="73"/>
      <c r="I3753" s="73"/>
      <c r="J3753" s="73"/>
      <c r="K3753" s="73"/>
      <c r="L3753" s="73"/>
      <c r="M3753" s="73"/>
      <c r="N3753" s="73"/>
      <c r="O3753" s="73"/>
      <c r="P3753" s="73"/>
      <c r="Q3753" s="73"/>
      <c r="R3753" s="73"/>
      <c r="S3753" s="73"/>
      <c r="T3753" s="73"/>
      <c r="U3753" s="73"/>
      <c r="V3753" s="73"/>
      <c r="W3753" s="73"/>
      <c r="X3753" s="73"/>
      <c r="Y3753" s="73"/>
      <c r="Z3753" s="73"/>
      <c r="AA3753" s="73"/>
      <c r="AB3753" s="73"/>
    </row>
    <row r="3754">
      <c r="A3754" s="73"/>
      <c r="B3754" s="73">
        <v>6399743.763</v>
      </c>
      <c r="C3754" s="73">
        <v>4.17857408873207E8</v>
      </c>
      <c r="D3754" s="73">
        <v>2.08119475292002E8</v>
      </c>
      <c r="E3754" s="73">
        <v>2.88852072327472E7</v>
      </c>
      <c r="F3754" s="73"/>
      <c r="G3754" s="73"/>
      <c r="H3754" s="73"/>
      <c r="I3754" s="73"/>
      <c r="J3754" s="73"/>
      <c r="K3754" s="73"/>
      <c r="L3754" s="73"/>
      <c r="M3754" s="73"/>
      <c r="N3754" s="73"/>
      <c r="O3754" s="73"/>
      <c r="P3754" s="73"/>
      <c r="Q3754" s="73"/>
      <c r="R3754" s="73"/>
      <c r="S3754" s="73"/>
      <c r="T3754" s="73"/>
      <c r="U3754" s="73"/>
      <c r="V3754" s="73"/>
      <c r="W3754" s="73"/>
      <c r="X3754" s="73"/>
      <c r="Y3754" s="73"/>
      <c r="Z3754" s="73"/>
      <c r="AA3754" s="73"/>
      <c r="AB3754" s="73"/>
    </row>
    <row r="3755">
      <c r="A3755" s="73"/>
      <c r="B3755" s="73">
        <v>6408207.222</v>
      </c>
      <c r="C3755" s="73">
        <v>4.18160509024788E8</v>
      </c>
      <c r="D3755" s="73">
        <v>2.08301051479995E8</v>
      </c>
      <c r="E3755" s="73">
        <v>2.8913220706019E7</v>
      </c>
      <c r="F3755" s="73"/>
      <c r="G3755" s="73"/>
      <c r="H3755" s="73"/>
      <c r="I3755" s="73"/>
      <c r="J3755" s="73"/>
      <c r="K3755" s="73"/>
      <c r="L3755" s="73"/>
      <c r="M3755" s="73"/>
      <c r="N3755" s="73"/>
      <c r="O3755" s="73"/>
      <c r="P3755" s="73"/>
      <c r="Q3755" s="73"/>
      <c r="R3755" s="73"/>
      <c r="S3755" s="73"/>
      <c r="T3755" s="73"/>
      <c r="U3755" s="73"/>
      <c r="V3755" s="73"/>
      <c r="W3755" s="73"/>
      <c r="X3755" s="73"/>
      <c r="Y3755" s="73"/>
      <c r="Z3755" s="73"/>
      <c r="AA3755" s="73"/>
      <c r="AB3755" s="73"/>
    </row>
    <row r="3756">
      <c r="A3756" s="73"/>
      <c r="B3756" s="73">
        <v>6416681.517</v>
      </c>
      <c r="C3756" s="73">
        <v>4.18463675096367E8</v>
      </c>
      <c r="D3756" s="73">
        <v>2.08482730996004E8</v>
      </c>
      <c r="E3756" s="73">
        <v>2.89412538986817E7</v>
      </c>
      <c r="F3756" s="73"/>
      <c r="G3756" s="73"/>
      <c r="H3756" s="73"/>
      <c r="I3756" s="73"/>
      <c r="J3756" s="73"/>
      <c r="K3756" s="73"/>
      <c r="L3756" s="73"/>
      <c r="M3756" s="73"/>
      <c r="N3756" s="73"/>
      <c r="O3756" s="73"/>
      <c r="P3756" s="73"/>
      <c r="Q3756" s="73"/>
      <c r="R3756" s="73"/>
      <c r="S3756" s="73"/>
      <c r="T3756" s="73"/>
      <c r="U3756" s="73"/>
      <c r="V3756" s="73"/>
      <c r="W3756" s="73"/>
      <c r="X3756" s="73"/>
      <c r="Y3756" s="73"/>
      <c r="Z3756" s="73"/>
      <c r="AA3756" s="73"/>
      <c r="AB3756" s="73"/>
    </row>
    <row r="3757">
      <c r="A3757" s="73"/>
      <c r="B3757" s="73">
        <v>6425166.569</v>
      </c>
      <c r="C3757" s="73">
        <v>4.1876703892794E8</v>
      </c>
      <c r="D3757" s="73">
        <v>2.08664513663997E8</v>
      </c>
      <c r="E3757" s="73">
        <v>2.89693078011993E7</v>
      </c>
      <c r="F3757" s="73"/>
      <c r="G3757" s="73"/>
      <c r="H3757" s="73"/>
      <c r="I3757" s="73"/>
      <c r="J3757" s="73"/>
      <c r="K3757" s="73"/>
      <c r="L3757" s="73"/>
      <c r="M3757" s="73"/>
      <c r="N3757" s="73"/>
      <c r="O3757" s="73"/>
      <c r="P3757" s="73"/>
      <c r="Q3757" s="73"/>
      <c r="R3757" s="73"/>
      <c r="S3757" s="73"/>
      <c r="T3757" s="73"/>
      <c r="U3757" s="73"/>
      <c r="V3757" s="73"/>
      <c r="W3757" s="73"/>
      <c r="X3757" s="73"/>
      <c r="Y3757" s="73"/>
      <c r="Z3757" s="73"/>
      <c r="AA3757" s="73"/>
      <c r="AB3757" s="73"/>
    </row>
    <row r="3758">
      <c r="A3758" s="73"/>
      <c r="B3758" s="73">
        <v>6433662.62</v>
      </c>
      <c r="C3758" s="73">
        <v>4.1907053459951E8</v>
      </c>
      <c r="D3758" s="73">
        <v>2.0884637917999E8</v>
      </c>
      <c r="E3758" s="73">
        <v>2.8997379627044E7</v>
      </c>
      <c r="F3758" s="73"/>
      <c r="G3758" s="73"/>
      <c r="H3758" s="73"/>
      <c r="I3758" s="73"/>
      <c r="J3758" s="73"/>
      <c r="K3758" s="73"/>
      <c r="L3758" s="73"/>
      <c r="M3758" s="73"/>
      <c r="N3758" s="73"/>
      <c r="O3758" s="73"/>
      <c r="P3758" s="73"/>
      <c r="Q3758" s="73"/>
      <c r="R3758" s="73"/>
      <c r="S3758" s="73"/>
      <c r="T3758" s="73"/>
      <c r="U3758" s="73"/>
      <c r="V3758" s="73"/>
      <c r="W3758" s="73"/>
      <c r="X3758" s="73"/>
      <c r="Y3758" s="73"/>
      <c r="Z3758" s="73"/>
      <c r="AA3758" s="73"/>
      <c r="AB3758" s="73"/>
    </row>
    <row r="3759">
      <c r="A3759" s="73"/>
      <c r="B3759" s="73">
        <v>6442169.467</v>
      </c>
      <c r="C3759" s="73">
        <v>4.19374162111076E8</v>
      </c>
      <c r="D3759" s="73">
        <v>2.09028368167999E8</v>
      </c>
      <c r="E3759" s="73">
        <v>2.90254704938796E7</v>
      </c>
      <c r="F3759" s="73"/>
      <c r="G3759" s="73"/>
      <c r="H3759" s="73"/>
      <c r="I3759" s="73"/>
      <c r="J3759" s="73"/>
      <c r="K3759" s="73"/>
      <c r="L3759" s="73"/>
      <c r="M3759" s="73"/>
      <c r="N3759" s="73"/>
      <c r="O3759" s="73"/>
      <c r="P3759" s="73"/>
      <c r="Q3759" s="73"/>
      <c r="R3759" s="73"/>
      <c r="S3759" s="73"/>
      <c r="T3759" s="73"/>
      <c r="U3759" s="73"/>
      <c r="V3759" s="73"/>
      <c r="W3759" s="73"/>
      <c r="X3759" s="73"/>
      <c r="Y3759" s="73"/>
      <c r="Z3759" s="73"/>
      <c r="AA3759" s="73"/>
      <c r="AB3759" s="73"/>
    </row>
    <row r="3760">
      <c r="A3760" s="73"/>
      <c r="B3760" s="73">
        <v>6450687.438</v>
      </c>
      <c r="C3760" s="73">
        <v>4.19677921462639E8</v>
      </c>
      <c r="D3760" s="73">
        <v>2.09210460483992E8</v>
      </c>
      <c r="E3760" s="73">
        <v>2.90535812921061E7</v>
      </c>
      <c r="F3760" s="73"/>
      <c r="G3760" s="73"/>
      <c r="H3760" s="73"/>
      <c r="I3760" s="73"/>
      <c r="J3760" s="73"/>
      <c r="K3760" s="73"/>
      <c r="L3760" s="73"/>
      <c r="M3760" s="73"/>
      <c r="N3760" s="73"/>
      <c r="O3760" s="73"/>
      <c r="P3760" s="73"/>
      <c r="Q3760" s="73"/>
      <c r="R3760" s="73"/>
      <c r="S3760" s="73"/>
      <c r="T3760" s="73"/>
      <c r="U3760" s="73"/>
      <c r="V3760" s="73"/>
      <c r="W3760" s="73"/>
      <c r="X3760" s="73"/>
      <c r="Y3760" s="73"/>
      <c r="Z3760" s="73"/>
      <c r="AA3760" s="73"/>
      <c r="AB3760" s="73"/>
    </row>
    <row r="3761">
      <c r="A3761" s="73"/>
      <c r="B3761" s="73">
        <v>6459216.215</v>
      </c>
      <c r="C3761" s="73">
        <v>4.19981779694199E8</v>
      </c>
      <c r="D3761" s="73">
        <v>2.09392635312001E8</v>
      </c>
      <c r="E3761" s="73">
        <v>2.90817120369876E7</v>
      </c>
      <c r="F3761" s="73"/>
      <c r="G3761" s="73"/>
      <c r="H3761" s="73"/>
      <c r="I3761" s="73"/>
      <c r="J3761" s="73"/>
      <c r="K3761" s="73"/>
      <c r="L3761" s="73"/>
      <c r="M3761" s="73"/>
      <c r="N3761" s="73"/>
      <c r="O3761" s="73"/>
      <c r="P3761" s="73"/>
      <c r="Q3761" s="73"/>
      <c r="R3761" s="73"/>
      <c r="S3761" s="73"/>
      <c r="T3761" s="73"/>
      <c r="U3761" s="73"/>
      <c r="V3761" s="73"/>
      <c r="W3761" s="73"/>
      <c r="X3761" s="73"/>
      <c r="Y3761" s="73"/>
      <c r="Z3761" s="73"/>
      <c r="AA3761" s="73"/>
      <c r="AB3761" s="73"/>
    </row>
    <row r="3762">
      <c r="A3762" s="73"/>
      <c r="B3762" s="73">
        <v>6467755.693</v>
      </c>
      <c r="C3762" s="73">
        <v>4.20285835685753E8</v>
      </c>
      <c r="D3762" s="73">
        <v>2.09574934091994E8</v>
      </c>
      <c r="E3762" s="73">
        <v>2.91098612563961E7</v>
      </c>
      <c r="F3762" s="73"/>
      <c r="G3762" s="73"/>
      <c r="H3762" s="73"/>
      <c r="I3762" s="73"/>
      <c r="J3762" s="73"/>
      <c r="K3762" s="73"/>
      <c r="L3762" s="73"/>
      <c r="M3762" s="73"/>
      <c r="N3762" s="73"/>
      <c r="O3762" s="73"/>
      <c r="P3762" s="73"/>
      <c r="Q3762" s="73"/>
      <c r="R3762" s="73"/>
      <c r="S3762" s="73"/>
      <c r="T3762" s="73"/>
      <c r="U3762" s="73"/>
      <c r="V3762" s="73"/>
      <c r="W3762" s="73"/>
      <c r="X3762" s="73"/>
      <c r="Y3762" s="73"/>
      <c r="Z3762" s="73"/>
      <c r="AA3762" s="73"/>
      <c r="AB3762" s="73"/>
    </row>
    <row r="3763">
      <c r="A3763" s="73"/>
      <c r="B3763" s="73">
        <v>6476306.426</v>
      </c>
      <c r="C3763" s="73">
        <v>4.20590023517303E8</v>
      </c>
      <c r="D3763" s="73">
        <v>2.09757336040002E8</v>
      </c>
      <c r="E3763" s="73">
        <v>2.91380297287955E7</v>
      </c>
      <c r="F3763" s="73"/>
      <c r="G3763" s="73"/>
      <c r="H3763" s="73"/>
      <c r="I3763" s="73"/>
      <c r="J3763" s="73"/>
      <c r="K3763" s="73"/>
      <c r="L3763" s="73"/>
      <c r="M3763" s="73"/>
      <c r="N3763" s="73"/>
      <c r="O3763" s="73"/>
      <c r="P3763" s="73"/>
      <c r="Q3763" s="73"/>
      <c r="R3763" s="73"/>
      <c r="S3763" s="73"/>
      <c r="T3763" s="73"/>
      <c r="U3763" s="73"/>
      <c r="V3763" s="73"/>
      <c r="W3763" s="73"/>
      <c r="X3763" s="73"/>
      <c r="Y3763" s="73"/>
      <c r="Z3763" s="73"/>
      <c r="AA3763" s="73"/>
      <c r="AB3763" s="73"/>
    </row>
    <row r="3764">
      <c r="A3764" s="73"/>
      <c r="B3764" s="73">
        <v>6484868.052</v>
      </c>
      <c r="C3764" s="73">
        <v>4.20894376148849E8</v>
      </c>
      <c r="D3764" s="73">
        <v>2.09939820659996E8</v>
      </c>
      <c r="E3764" s="73">
        <v>2.91662174965859E7</v>
      </c>
      <c r="F3764" s="73"/>
      <c r="G3764" s="73"/>
      <c r="H3764" s="73"/>
      <c r="I3764" s="73"/>
      <c r="J3764" s="73"/>
      <c r="K3764" s="73"/>
      <c r="L3764" s="73"/>
      <c r="M3764" s="73"/>
      <c r="N3764" s="73"/>
      <c r="O3764" s="73"/>
      <c r="P3764" s="73"/>
      <c r="Q3764" s="73"/>
      <c r="R3764" s="73"/>
      <c r="S3764" s="73"/>
      <c r="T3764" s="73"/>
      <c r="U3764" s="73"/>
      <c r="V3764" s="73"/>
      <c r="W3764" s="73"/>
      <c r="X3764" s="73"/>
      <c r="Y3764" s="73"/>
      <c r="Z3764" s="73"/>
      <c r="AA3764" s="73"/>
      <c r="AB3764" s="73"/>
    </row>
    <row r="3765">
      <c r="A3765" s="73"/>
      <c r="B3765" s="73">
        <v>6493440.576</v>
      </c>
      <c r="C3765" s="73">
        <v>4.21198794700394E8</v>
      </c>
      <c r="D3765" s="73">
        <v>2.10122428927989E8</v>
      </c>
      <c r="E3765" s="73">
        <v>2.91944255926311E7</v>
      </c>
      <c r="F3765" s="73"/>
      <c r="G3765" s="73"/>
      <c r="H3765" s="73"/>
      <c r="I3765" s="73"/>
      <c r="J3765" s="73"/>
      <c r="K3765" s="73"/>
      <c r="L3765" s="73"/>
      <c r="M3765" s="73"/>
      <c r="N3765" s="73"/>
      <c r="O3765" s="73"/>
      <c r="P3765" s="73"/>
      <c r="Q3765" s="73"/>
      <c r="R3765" s="73"/>
      <c r="S3765" s="73"/>
      <c r="T3765" s="73"/>
      <c r="U3765" s="73"/>
      <c r="V3765" s="73"/>
      <c r="W3765" s="73"/>
      <c r="X3765" s="73"/>
      <c r="Y3765" s="73"/>
      <c r="Z3765" s="73"/>
      <c r="AA3765" s="73"/>
      <c r="AB3765" s="73"/>
    </row>
    <row r="3766">
      <c r="A3766" s="73"/>
      <c r="B3766" s="73">
        <v>6502024.036</v>
      </c>
      <c r="C3766" s="73">
        <v>4.21503411011932E8</v>
      </c>
      <c r="D3766" s="73">
        <v>2.10305140507998E8</v>
      </c>
      <c r="E3766" s="73">
        <v>2.92226518664034E7</v>
      </c>
      <c r="F3766" s="73"/>
      <c r="G3766" s="73"/>
      <c r="H3766" s="73"/>
      <c r="I3766" s="73"/>
      <c r="J3766" s="73"/>
      <c r="K3766" s="73"/>
      <c r="L3766" s="73"/>
      <c r="M3766" s="73"/>
      <c r="N3766" s="73"/>
      <c r="O3766" s="73"/>
      <c r="P3766" s="73"/>
      <c r="Q3766" s="73"/>
      <c r="R3766" s="73"/>
      <c r="S3766" s="73"/>
      <c r="T3766" s="73"/>
      <c r="U3766" s="73"/>
      <c r="V3766" s="73"/>
      <c r="W3766" s="73"/>
      <c r="X3766" s="73"/>
      <c r="Y3766" s="73"/>
      <c r="Z3766" s="73"/>
      <c r="AA3766" s="73"/>
      <c r="AB3766" s="73"/>
    </row>
    <row r="3767">
      <c r="A3767" s="73"/>
      <c r="B3767" s="73">
        <v>6510618.37</v>
      </c>
      <c r="C3767" s="73">
        <v>4.21808093243469E8</v>
      </c>
      <c r="D3767" s="73">
        <v>2.10487934615991E8</v>
      </c>
      <c r="E3767" s="73">
        <v>2.92508980715667E7</v>
      </c>
      <c r="F3767" s="73"/>
      <c r="G3767" s="73"/>
      <c r="H3767" s="73"/>
      <c r="I3767" s="73"/>
      <c r="J3767" s="73"/>
      <c r="K3767" s="73"/>
      <c r="L3767" s="73"/>
      <c r="M3767" s="73"/>
      <c r="N3767" s="73"/>
      <c r="O3767" s="73"/>
      <c r="P3767" s="73"/>
      <c r="Q3767" s="73"/>
      <c r="R3767" s="73"/>
      <c r="S3767" s="73"/>
      <c r="T3767" s="73"/>
      <c r="U3767" s="73"/>
      <c r="V3767" s="73"/>
      <c r="W3767" s="73"/>
      <c r="X3767" s="73"/>
      <c r="Y3767" s="73"/>
      <c r="Z3767" s="73"/>
      <c r="AA3767" s="73"/>
      <c r="AB3767" s="73"/>
    </row>
    <row r="3768">
      <c r="A3768" s="73"/>
      <c r="B3768" s="73">
        <v>6519223.987</v>
      </c>
      <c r="C3768" s="73">
        <v>4.22112973235001E8</v>
      </c>
      <c r="D3768" s="73">
        <v>2.10670852515999E8</v>
      </c>
      <c r="E3768" s="73">
        <v>2.92791629785209E7</v>
      </c>
      <c r="F3768" s="73"/>
      <c r="G3768" s="73"/>
      <c r="H3768" s="73"/>
      <c r="I3768" s="73"/>
      <c r="J3768" s="73"/>
      <c r="K3768" s="73"/>
      <c r="L3768" s="73"/>
      <c r="M3768" s="73"/>
      <c r="N3768" s="73"/>
      <c r="O3768" s="73"/>
      <c r="P3768" s="73"/>
      <c r="Q3768" s="73"/>
      <c r="R3768" s="73"/>
      <c r="S3768" s="73"/>
      <c r="T3768" s="73"/>
      <c r="U3768" s="73"/>
      <c r="V3768" s="73"/>
      <c r="W3768" s="73"/>
      <c r="X3768" s="73"/>
      <c r="Y3768" s="73"/>
      <c r="Z3768" s="73"/>
      <c r="AA3768" s="73"/>
      <c r="AB3768" s="73"/>
    </row>
    <row r="3769">
      <c r="A3769" s="73"/>
      <c r="B3769" s="73">
        <v>6527840.266</v>
      </c>
      <c r="C3769" s="73">
        <v>4.22418018026527E8</v>
      </c>
      <c r="D3769" s="73">
        <v>2.10853853247993E8</v>
      </c>
      <c r="E3769" s="73">
        <v>2.9307447477666E7</v>
      </c>
      <c r="F3769" s="73"/>
      <c r="G3769" s="73"/>
      <c r="H3769" s="73"/>
      <c r="I3769" s="73"/>
      <c r="J3769" s="73"/>
      <c r="K3769" s="73"/>
      <c r="L3769" s="73"/>
      <c r="M3769" s="73"/>
      <c r="N3769" s="73"/>
      <c r="O3769" s="73"/>
      <c r="P3769" s="73"/>
      <c r="Q3769" s="73"/>
      <c r="R3769" s="73"/>
      <c r="S3769" s="73"/>
      <c r="T3769" s="73"/>
      <c r="U3769" s="73"/>
      <c r="V3769" s="73"/>
      <c r="W3769" s="73"/>
      <c r="X3769" s="73"/>
      <c r="Y3769" s="73"/>
      <c r="Z3769" s="73"/>
      <c r="AA3769" s="73"/>
      <c r="AB3769" s="73"/>
    </row>
    <row r="3770">
      <c r="A3770" s="73"/>
      <c r="B3770" s="73">
        <v>6536467.618</v>
      </c>
      <c r="C3770" s="73">
        <v>4.22723161698051E8</v>
      </c>
      <c r="D3770" s="73">
        <v>2.11036977468001E8</v>
      </c>
      <c r="E3770" s="73">
        <v>2.93357527714661E7</v>
      </c>
      <c r="F3770" s="73"/>
      <c r="G3770" s="73"/>
      <c r="H3770" s="73"/>
      <c r="I3770" s="73"/>
      <c r="J3770" s="73"/>
      <c r="K3770" s="73"/>
      <c r="L3770" s="73"/>
      <c r="M3770" s="73"/>
      <c r="N3770" s="73"/>
      <c r="O3770" s="73"/>
      <c r="P3770" s="73"/>
      <c r="Q3770" s="73"/>
      <c r="R3770" s="73"/>
      <c r="S3770" s="73"/>
      <c r="T3770" s="73"/>
      <c r="U3770" s="73"/>
      <c r="V3770" s="73"/>
      <c r="W3770" s="73"/>
      <c r="X3770" s="73"/>
      <c r="Y3770" s="73"/>
      <c r="Z3770" s="73"/>
      <c r="AA3770" s="73"/>
      <c r="AB3770" s="73"/>
    </row>
    <row r="3771">
      <c r="A3771" s="73"/>
      <c r="B3771" s="73">
        <v>6545106.088</v>
      </c>
      <c r="C3771" s="73">
        <v>4.23028470169571E8</v>
      </c>
      <c r="D3771" s="73">
        <v>2.11220205159995E8</v>
      </c>
      <c r="E3771" s="73">
        <v>2.93640761157931E7</v>
      </c>
      <c r="F3771" s="73"/>
      <c r="G3771" s="73"/>
      <c r="H3771" s="73"/>
      <c r="I3771" s="73"/>
      <c r="J3771" s="73"/>
      <c r="K3771" s="73"/>
      <c r="L3771" s="73"/>
      <c r="M3771" s="73"/>
      <c r="N3771" s="73"/>
      <c r="O3771" s="73"/>
      <c r="P3771" s="73"/>
      <c r="Q3771" s="73"/>
      <c r="R3771" s="73"/>
      <c r="S3771" s="73"/>
      <c r="T3771" s="73"/>
      <c r="U3771" s="73"/>
      <c r="V3771" s="73"/>
      <c r="W3771" s="73"/>
      <c r="X3771" s="73"/>
      <c r="Y3771" s="73"/>
      <c r="Z3771" s="73"/>
      <c r="AA3771" s="73"/>
      <c r="AB3771" s="73"/>
    </row>
    <row r="3772">
      <c r="A3772" s="73"/>
      <c r="B3772" s="73">
        <v>6553755.35</v>
      </c>
      <c r="C3772" s="73">
        <v>4.23333910481087E8</v>
      </c>
      <c r="D3772" s="73">
        <v>2.11403515380003E8</v>
      </c>
      <c r="E3772" s="73">
        <v>2.93924185435112E7</v>
      </c>
      <c r="F3772" s="73"/>
      <c r="G3772" s="73"/>
      <c r="H3772" s="73"/>
      <c r="I3772" s="73"/>
      <c r="J3772" s="73"/>
      <c r="K3772" s="73"/>
      <c r="L3772" s="73"/>
      <c r="M3772" s="73"/>
      <c r="N3772" s="73"/>
      <c r="O3772" s="73"/>
      <c r="P3772" s="73"/>
      <c r="Q3772" s="73"/>
      <c r="R3772" s="73"/>
      <c r="S3772" s="73"/>
      <c r="T3772" s="73"/>
      <c r="U3772" s="73"/>
      <c r="V3772" s="73"/>
      <c r="W3772" s="73"/>
      <c r="X3772" s="73"/>
      <c r="Y3772" s="73"/>
      <c r="Z3772" s="73"/>
      <c r="AA3772" s="73"/>
      <c r="AB3772" s="73"/>
    </row>
    <row r="3773">
      <c r="A3773" s="73"/>
      <c r="B3773" s="73">
        <v>6562415.848</v>
      </c>
      <c r="C3773" s="73">
        <v>4.236394496726E8</v>
      </c>
      <c r="D3773" s="73">
        <v>2.11586949391996E8</v>
      </c>
      <c r="E3773" s="73">
        <v>2.94207805210201E7</v>
      </c>
      <c r="F3773" s="73"/>
      <c r="G3773" s="73"/>
      <c r="H3773" s="73"/>
      <c r="I3773" s="73"/>
      <c r="J3773" s="73"/>
      <c r="K3773" s="73"/>
      <c r="L3773" s="73"/>
      <c r="M3773" s="73"/>
      <c r="N3773" s="73"/>
      <c r="O3773" s="73"/>
      <c r="P3773" s="73"/>
      <c r="Q3773" s="73"/>
      <c r="R3773" s="73"/>
      <c r="S3773" s="73"/>
      <c r="T3773" s="73"/>
      <c r="U3773" s="73"/>
      <c r="V3773" s="73"/>
      <c r="W3773" s="73"/>
      <c r="X3773" s="73"/>
      <c r="Y3773" s="73"/>
      <c r="Z3773" s="73"/>
      <c r="AA3773" s="73"/>
      <c r="AB3773" s="73"/>
    </row>
    <row r="3774">
      <c r="A3774" s="73"/>
      <c r="B3774" s="73">
        <v>6571087.239</v>
      </c>
      <c r="C3774" s="73">
        <v>4.23945186624107E8</v>
      </c>
      <c r="D3774" s="73">
        <v>2.1177048641199E8</v>
      </c>
      <c r="E3774" s="73">
        <v>2.94491618787201E7</v>
      </c>
      <c r="F3774" s="73"/>
      <c r="G3774" s="73"/>
      <c r="H3774" s="73"/>
      <c r="I3774" s="73"/>
      <c r="J3774" s="73"/>
      <c r="K3774" s="73"/>
      <c r="L3774" s="73"/>
      <c r="M3774" s="73"/>
      <c r="N3774" s="73"/>
      <c r="O3774" s="73"/>
      <c r="P3774" s="73"/>
      <c r="Q3774" s="73"/>
      <c r="R3774" s="73"/>
      <c r="S3774" s="73"/>
      <c r="T3774" s="73"/>
      <c r="U3774" s="73"/>
      <c r="V3774" s="73"/>
      <c r="W3774" s="73"/>
      <c r="X3774" s="73"/>
      <c r="Y3774" s="73"/>
      <c r="Z3774" s="73"/>
      <c r="AA3774" s="73"/>
      <c r="AB3774" s="73"/>
    </row>
    <row r="3775">
      <c r="A3775" s="73"/>
      <c r="B3775" s="73">
        <v>6579769.648</v>
      </c>
      <c r="C3775" s="73">
        <v>4.24250989495613E8</v>
      </c>
      <c r="D3775" s="73">
        <v>2.11954106103998E8</v>
      </c>
      <c r="E3775" s="73">
        <v>2.94775639462749E7</v>
      </c>
      <c r="F3775" s="73"/>
      <c r="G3775" s="73"/>
      <c r="H3775" s="73"/>
      <c r="I3775" s="73"/>
      <c r="J3775" s="73"/>
      <c r="K3775" s="73"/>
      <c r="L3775" s="73"/>
      <c r="M3775" s="73"/>
      <c r="N3775" s="73"/>
      <c r="O3775" s="73"/>
      <c r="P3775" s="73"/>
      <c r="Q3775" s="73"/>
      <c r="R3775" s="73"/>
      <c r="S3775" s="73"/>
      <c r="T3775" s="73"/>
      <c r="U3775" s="73"/>
      <c r="V3775" s="73"/>
      <c r="W3775" s="73"/>
      <c r="X3775" s="73"/>
      <c r="Y3775" s="73"/>
      <c r="Z3775" s="73"/>
      <c r="AA3775" s="73"/>
      <c r="AB3775" s="73"/>
    </row>
    <row r="3776">
      <c r="A3776" s="73"/>
      <c r="B3776" s="73">
        <v>6588463.021</v>
      </c>
      <c r="C3776" s="73">
        <v>4.24557056047112E8</v>
      </c>
      <c r="D3776" s="73">
        <v>2.12137849747991E8</v>
      </c>
      <c r="E3776" s="73">
        <v>2.95059841491567E7</v>
      </c>
      <c r="F3776" s="73"/>
      <c r="G3776" s="73"/>
      <c r="H3776" s="73"/>
      <c r="I3776" s="73"/>
      <c r="J3776" s="73"/>
      <c r="K3776" s="73"/>
      <c r="L3776" s="73"/>
      <c r="M3776" s="73"/>
      <c r="N3776" s="73"/>
      <c r="O3776" s="73"/>
      <c r="P3776" s="73"/>
      <c r="Q3776" s="73"/>
      <c r="R3776" s="73"/>
      <c r="S3776" s="73"/>
      <c r="T3776" s="73"/>
      <c r="U3776" s="73"/>
      <c r="V3776" s="73"/>
      <c r="W3776" s="73"/>
      <c r="X3776" s="73"/>
      <c r="Y3776" s="73"/>
      <c r="Z3776" s="73"/>
      <c r="AA3776" s="73"/>
      <c r="AB3776" s="73"/>
    </row>
    <row r="3777">
      <c r="A3777" s="73"/>
      <c r="B3777" s="73">
        <v>6597167.364</v>
      </c>
      <c r="C3777" s="73">
        <v>4.24863188518608E8</v>
      </c>
      <c r="D3777" s="73">
        <v>2.1232169656E8</v>
      </c>
      <c r="E3777" s="73">
        <v>2.95344240290295E7</v>
      </c>
      <c r="F3777" s="73"/>
      <c r="G3777" s="73"/>
      <c r="H3777" s="73"/>
      <c r="I3777" s="73"/>
      <c r="J3777" s="73"/>
      <c r="K3777" s="73"/>
      <c r="L3777" s="73"/>
      <c r="M3777" s="73"/>
      <c r="N3777" s="73"/>
      <c r="O3777" s="73"/>
      <c r="P3777" s="73"/>
      <c r="Q3777" s="73"/>
      <c r="R3777" s="73"/>
      <c r="S3777" s="73"/>
      <c r="T3777" s="73"/>
      <c r="U3777" s="73"/>
      <c r="V3777" s="73"/>
      <c r="W3777" s="73"/>
      <c r="X3777" s="73"/>
      <c r="Y3777" s="73"/>
      <c r="Z3777" s="73"/>
      <c r="AA3777" s="73"/>
      <c r="AB3777" s="73"/>
    </row>
    <row r="3778">
      <c r="A3778" s="73"/>
      <c r="B3778" s="73">
        <v>6605882.887</v>
      </c>
      <c r="C3778" s="73">
        <v>4.25169419870102E8</v>
      </c>
      <c r="D3778" s="73">
        <v>2.12505626043993E8</v>
      </c>
      <c r="E3778" s="73">
        <v>2.95628825258933E7</v>
      </c>
      <c r="F3778" s="73"/>
      <c r="G3778" s="73"/>
      <c r="H3778" s="73"/>
      <c r="I3778" s="73"/>
      <c r="J3778" s="73"/>
      <c r="K3778" s="73"/>
      <c r="L3778" s="73"/>
      <c r="M3778" s="73"/>
      <c r="N3778" s="73"/>
      <c r="O3778" s="73"/>
      <c r="P3778" s="73"/>
      <c r="Q3778" s="73"/>
      <c r="R3778" s="73"/>
      <c r="S3778" s="73"/>
      <c r="T3778" s="73"/>
      <c r="U3778" s="73"/>
      <c r="V3778" s="73"/>
      <c r="W3778" s="73"/>
      <c r="X3778" s="73"/>
      <c r="Y3778" s="73"/>
      <c r="Z3778" s="73"/>
      <c r="AA3778" s="73"/>
      <c r="AB3778" s="73"/>
    </row>
    <row r="3779">
      <c r="A3779" s="73"/>
      <c r="B3779" s="73">
        <v>6614609.324</v>
      </c>
      <c r="C3779" s="73">
        <v>4.25475816021591E8</v>
      </c>
      <c r="D3779" s="73">
        <v>2.12689679176002E8</v>
      </c>
      <c r="E3779" s="73">
        <v>2.95913609541479E7</v>
      </c>
      <c r="F3779" s="73"/>
      <c r="G3779" s="73"/>
      <c r="H3779" s="73"/>
      <c r="I3779" s="73"/>
      <c r="J3779" s="73"/>
      <c r="K3779" s="73"/>
      <c r="L3779" s="73"/>
      <c r="M3779" s="73"/>
      <c r="N3779" s="73"/>
      <c r="O3779" s="73"/>
      <c r="P3779" s="73"/>
      <c r="Q3779" s="73"/>
      <c r="R3779" s="73"/>
      <c r="S3779" s="73"/>
      <c r="T3779" s="73"/>
      <c r="U3779" s="73"/>
      <c r="V3779" s="73"/>
      <c r="W3779" s="73"/>
      <c r="X3779" s="73"/>
      <c r="Y3779" s="73"/>
      <c r="Z3779" s="73"/>
      <c r="AA3779" s="73"/>
      <c r="AB3779" s="73"/>
    </row>
    <row r="3780">
      <c r="A3780" s="73"/>
      <c r="B3780" s="73">
        <v>6623346.983</v>
      </c>
      <c r="C3780" s="73">
        <v>4.25782344013077E8</v>
      </c>
      <c r="D3780" s="73">
        <v>2.12873814979995E8</v>
      </c>
      <c r="E3780" s="73">
        <v>2.96198600922575E7</v>
      </c>
      <c r="F3780" s="73"/>
      <c r="G3780" s="73"/>
      <c r="H3780" s="73"/>
      <c r="I3780" s="73"/>
      <c r="J3780" s="73"/>
      <c r="K3780" s="73"/>
      <c r="L3780" s="73"/>
      <c r="M3780" s="73"/>
      <c r="N3780" s="73"/>
      <c r="O3780" s="73"/>
      <c r="P3780" s="73"/>
      <c r="Q3780" s="73"/>
      <c r="R3780" s="73"/>
      <c r="S3780" s="73"/>
      <c r="T3780" s="73"/>
      <c r="U3780" s="73"/>
      <c r="V3780" s="73"/>
      <c r="W3780" s="73"/>
      <c r="X3780" s="73"/>
      <c r="Y3780" s="73"/>
      <c r="Z3780" s="73"/>
      <c r="AA3780" s="73"/>
      <c r="AB3780" s="73"/>
    </row>
    <row r="3781">
      <c r="A3781" s="73"/>
      <c r="B3781" s="73">
        <v>6632095.721</v>
      </c>
      <c r="C3781" s="73">
        <v>4.26089069764557E8</v>
      </c>
      <c r="D3781" s="73">
        <v>2.13058074592004E8</v>
      </c>
      <c r="E3781" s="73">
        <v>2.96483771536941E7</v>
      </c>
      <c r="F3781" s="73"/>
      <c r="G3781" s="73"/>
      <c r="H3781" s="73"/>
      <c r="I3781" s="73"/>
      <c r="J3781" s="73"/>
      <c r="K3781" s="73"/>
      <c r="L3781" s="73"/>
      <c r="M3781" s="73"/>
      <c r="N3781" s="73"/>
      <c r="O3781" s="73"/>
      <c r="P3781" s="73"/>
      <c r="Q3781" s="73"/>
      <c r="R3781" s="73"/>
      <c r="S3781" s="73"/>
      <c r="T3781" s="73"/>
      <c r="U3781" s="73"/>
      <c r="V3781" s="73"/>
      <c r="W3781" s="73"/>
      <c r="X3781" s="73"/>
      <c r="Y3781" s="73"/>
      <c r="Z3781" s="73"/>
      <c r="AA3781" s="73"/>
      <c r="AB3781" s="73"/>
    </row>
    <row r="3782">
      <c r="A3782" s="73"/>
      <c r="B3782" s="73">
        <v>6640855.239</v>
      </c>
      <c r="C3782" s="73">
        <v>4.26395894396034E8</v>
      </c>
      <c r="D3782" s="73">
        <v>2.13242437499997E8</v>
      </c>
      <c r="E3782" s="73">
        <v>2.96769135529217E7</v>
      </c>
      <c r="F3782" s="73"/>
      <c r="G3782" s="73"/>
      <c r="H3782" s="73"/>
      <c r="I3782" s="73"/>
      <c r="J3782" s="73"/>
      <c r="K3782" s="73"/>
      <c r="L3782" s="73"/>
      <c r="M3782" s="73"/>
      <c r="N3782" s="73"/>
      <c r="O3782" s="73"/>
      <c r="P3782" s="73"/>
      <c r="Q3782" s="73"/>
      <c r="R3782" s="73"/>
      <c r="S3782" s="73"/>
      <c r="T3782" s="73"/>
      <c r="U3782" s="73"/>
      <c r="V3782" s="73"/>
      <c r="W3782" s="73"/>
      <c r="X3782" s="73"/>
      <c r="Y3782" s="73"/>
      <c r="Z3782" s="73"/>
      <c r="AA3782" s="73"/>
      <c r="AB3782" s="73"/>
    </row>
    <row r="3783">
      <c r="A3783" s="73"/>
      <c r="B3783" s="73">
        <v>6649625.937</v>
      </c>
      <c r="C3783" s="73">
        <v>4.26702850867508E8</v>
      </c>
      <c r="D3783" s="73">
        <v>2.1342688279199E8</v>
      </c>
      <c r="E3783" s="73">
        <v>2.97054697563402E7</v>
      </c>
      <c r="F3783" s="73"/>
      <c r="G3783" s="73"/>
      <c r="H3783" s="73"/>
      <c r="I3783" s="73"/>
      <c r="J3783" s="73"/>
      <c r="K3783" s="73"/>
      <c r="L3783" s="73"/>
      <c r="M3783" s="73"/>
      <c r="N3783" s="73"/>
      <c r="O3783" s="73"/>
      <c r="P3783" s="73"/>
      <c r="Q3783" s="73"/>
      <c r="R3783" s="73"/>
      <c r="S3783" s="73"/>
      <c r="T3783" s="73"/>
      <c r="U3783" s="73"/>
      <c r="V3783" s="73"/>
      <c r="W3783" s="73"/>
      <c r="X3783" s="73"/>
      <c r="Y3783" s="73"/>
      <c r="Z3783" s="73"/>
      <c r="AA3783" s="73"/>
      <c r="AB3783" s="73"/>
    </row>
    <row r="3784">
      <c r="A3784" s="73"/>
      <c r="B3784" s="73">
        <v>6658407.878</v>
      </c>
      <c r="C3784" s="73">
        <v>4.27009972138977E8</v>
      </c>
      <c r="D3784" s="73">
        <v>2.13611452035999E8</v>
      </c>
      <c r="E3784" s="73">
        <v>2.97340452551496E7</v>
      </c>
      <c r="F3784" s="73"/>
      <c r="G3784" s="73"/>
      <c r="H3784" s="73"/>
      <c r="I3784" s="73"/>
      <c r="J3784" s="73"/>
      <c r="K3784" s="73"/>
      <c r="L3784" s="73"/>
      <c r="M3784" s="73"/>
      <c r="N3784" s="73"/>
      <c r="O3784" s="73"/>
      <c r="P3784" s="73"/>
      <c r="Q3784" s="73"/>
      <c r="R3784" s="73"/>
      <c r="S3784" s="73"/>
      <c r="T3784" s="73"/>
      <c r="U3784" s="73"/>
      <c r="V3784" s="73"/>
      <c r="W3784" s="73"/>
      <c r="X3784" s="73"/>
      <c r="Y3784" s="73"/>
      <c r="Z3784" s="73"/>
      <c r="AA3784" s="73"/>
      <c r="AB3784" s="73"/>
    </row>
    <row r="3785">
      <c r="A3785" s="73"/>
      <c r="B3785" s="73">
        <v>6667200.646</v>
      </c>
      <c r="C3785" s="73">
        <v>4.27317192290443E8</v>
      </c>
      <c r="D3785" s="73">
        <v>2.13796124431992E8</v>
      </c>
      <c r="E3785" s="73">
        <v>2.9762641336614E7</v>
      </c>
      <c r="F3785" s="73"/>
      <c r="G3785" s="73"/>
      <c r="H3785" s="73"/>
      <c r="I3785" s="73"/>
      <c r="J3785" s="73"/>
      <c r="K3785" s="73"/>
      <c r="L3785" s="73"/>
      <c r="M3785" s="73"/>
      <c r="N3785" s="73"/>
      <c r="O3785" s="73"/>
      <c r="P3785" s="73"/>
      <c r="Q3785" s="73"/>
      <c r="R3785" s="73"/>
      <c r="S3785" s="73"/>
      <c r="T3785" s="73"/>
      <c r="U3785" s="73"/>
      <c r="V3785" s="73"/>
      <c r="W3785" s="73"/>
      <c r="X3785" s="73"/>
      <c r="Y3785" s="73"/>
      <c r="Z3785" s="73"/>
      <c r="AA3785" s="73"/>
      <c r="AB3785" s="73"/>
    </row>
    <row r="3786">
      <c r="A3786" s="73"/>
      <c r="B3786" s="73">
        <v>6676004.492</v>
      </c>
      <c r="C3786" s="73">
        <v>4.27624577241905E8</v>
      </c>
      <c r="D3786" s="73">
        <v>2.13980899980001E8</v>
      </c>
      <c r="E3786" s="73">
        <v>2.97912554262053E7</v>
      </c>
      <c r="F3786" s="73"/>
      <c r="G3786" s="73"/>
      <c r="H3786" s="73"/>
      <c r="I3786" s="73"/>
      <c r="J3786" s="73"/>
      <c r="K3786" s="73"/>
      <c r="L3786" s="73"/>
      <c r="M3786" s="73"/>
      <c r="N3786" s="73"/>
      <c r="O3786" s="73"/>
      <c r="P3786" s="73"/>
      <c r="Q3786" s="73"/>
      <c r="R3786" s="73"/>
      <c r="S3786" s="73"/>
      <c r="T3786" s="73"/>
      <c r="U3786" s="73"/>
      <c r="V3786" s="73"/>
      <c r="W3786" s="73"/>
      <c r="X3786" s="73"/>
      <c r="Y3786" s="73"/>
      <c r="Z3786" s="73"/>
      <c r="AA3786" s="73"/>
      <c r="AB3786" s="73"/>
    </row>
    <row r="3787">
      <c r="A3787" s="73"/>
      <c r="B3787" s="73">
        <v>6684819.783</v>
      </c>
      <c r="C3787" s="73">
        <v>4.27932094033363E8</v>
      </c>
      <c r="D3787" s="73">
        <v>2.14165778855994E8</v>
      </c>
      <c r="E3787" s="73">
        <v>2.98198892351876E7</v>
      </c>
      <c r="F3787" s="73"/>
      <c r="G3787" s="73"/>
      <c r="H3787" s="73"/>
      <c r="I3787" s="73"/>
      <c r="J3787" s="73"/>
      <c r="K3787" s="73"/>
      <c r="L3787" s="73"/>
      <c r="M3787" s="73"/>
      <c r="N3787" s="73"/>
      <c r="O3787" s="73"/>
      <c r="P3787" s="73"/>
      <c r="Q3787" s="73"/>
      <c r="R3787" s="73"/>
      <c r="S3787" s="73"/>
      <c r="T3787" s="73"/>
      <c r="U3787" s="73"/>
      <c r="V3787" s="73"/>
      <c r="W3787" s="73"/>
      <c r="X3787" s="73"/>
      <c r="Y3787" s="73"/>
      <c r="Z3787" s="73"/>
      <c r="AA3787" s="73"/>
      <c r="AB3787" s="73"/>
    </row>
    <row r="3788">
      <c r="A3788" s="73"/>
      <c r="B3788" s="73">
        <v>6693645.815</v>
      </c>
      <c r="C3788" s="73">
        <v>4.28239775624817E8</v>
      </c>
      <c r="D3788" s="73">
        <v>2.14350740260002E8</v>
      </c>
      <c r="E3788" s="73">
        <v>2.98485419579609E7</v>
      </c>
      <c r="F3788" s="73"/>
      <c r="G3788" s="73"/>
      <c r="H3788" s="73"/>
      <c r="I3788" s="73"/>
      <c r="J3788" s="73"/>
      <c r="K3788" s="73"/>
      <c r="L3788" s="73"/>
      <c r="M3788" s="73"/>
      <c r="N3788" s="73"/>
      <c r="O3788" s="73"/>
      <c r="P3788" s="73"/>
      <c r="Q3788" s="73"/>
      <c r="R3788" s="73"/>
      <c r="S3788" s="73"/>
      <c r="T3788" s="73"/>
      <c r="U3788" s="73"/>
      <c r="V3788" s="73"/>
      <c r="W3788" s="73"/>
      <c r="X3788" s="73"/>
      <c r="Y3788" s="73"/>
      <c r="Z3788" s="73"/>
      <c r="AA3788" s="73"/>
      <c r="AB3788" s="73"/>
    </row>
    <row r="3789">
      <c r="A3789" s="73"/>
      <c r="B3789" s="73">
        <v>6702483.208</v>
      </c>
      <c r="C3789" s="73">
        <v>4.28547622016266E8</v>
      </c>
      <c r="D3789" s="73">
        <v>2.14535825759996E8</v>
      </c>
      <c r="E3789" s="73">
        <v>2.98772148241251E7</v>
      </c>
      <c r="F3789" s="73"/>
      <c r="G3789" s="73"/>
      <c r="H3789" s="73"/>
      <c r="I3789" s="73"/>
      <c r="J3789" s="73"/>
      <c r="K3789" s="73"/>
      <c r="L3789" s="73"/>
      <c r="M3789" s="73"/>
      <c r="N3789" s="73"/>
      <c r="O3789" s="73"/>
      <c r="P3789" s="73"/>
      <c r="Q3789" s="73"/>
      <c r="R3789" s="73"/>
      <c r="S3789" s="73"/>
      <c r="T3789" s="73"/>
      <c r="U3789" s="73"/>
      <c r="V3789" s="73"/>
      <c r="W3789" s="73"/>
      <c r="X3789" s="73"/>
      <c r="Y3789" s="73"/>
      <c r="Z3789" s="73"/>
      <c r="AA3789" s="73"/>
      <c r="AB3789" s="73"/>
    </row>
    <row r="3790">
      <c r="A3790" s="73"/>
      <c r="B3790" s="73">
        <v>6711331.453</v>
      </c>
      <c r="C3790" s="73">
        <v>4.28855534327713E8</v>
      </c>
      <c r="D3790" s="73">
        <v>2.14721013963989E8</v>
      </c>
      <c r="E3790" s="73">
        <v>2.99059082729442E7</v>
      </c>
      <c r="F3790" s="73"/>
      <c r="G3790" s="73"/>
      <c r="H3790" s="73"/>
      <c r="I3790" s="73"/>
      <c r="J3790" s="73"/>
      <c r="K3790" s="73"/>
      <c r="L3790" s="73"/>
      <c r="M3790" s="73"/>
      <c r="N3790" s="73"/>
      <c r="O3790" s="73"/>
      <c r="P3790" s="73"/>
      <c r="Q3790" s="73"/>
      <c r="R3790" s="73"/>
      <c r="S3790" s="73"/>
      <c r="T3790" s="73"/>
      <c r="U3790" s="73"/>
      <c r="V3790" s="73"/>
      <c r="W3790" s="73"/>
      <c r="X3790" s="73"/>
      <c r="Y3790" s="73"/>
      <c r="Z3790" s="73"/>
      <c r="AA3790" s="73"/>
      <c r="AB3790" s="73"/>
    </row>
    <row r="3791">
      <c r="A3791" s="73"/>
      <c r="B3791" s="73">
        <v>6720191.145</v>
      </c>
      <c r="C3791" s="73">
        <v>4.29163611439156E8</v>
      </c>
      <c r="D3791" s="73">
        <v>2.14906305783998E8</v>
      </c>
      <c r="E3791" s="73">
        <v>2.99346195602903E7</v>
      </c>
      <c r="F3791" s="73"/>
      <c r="G3791" s="73"/>
      <c r="H3791" s="73"/>
      <c r="I3791" s="73"/>
      <c r="J3791" s="73"/>
      <c r="K3791" s="73"/>
      <c r="L3791" s="73"/>
      <c r="M3791" s="73"/>
      <c r="N3791" s="73"/>
      <c r="O3791" s="73"/>
      <c r="P3791" s="73"/>
      <c r="Q3791" s="73"/>
      <c r="R3791" s="73"/>
      <c r="S3791" s="73"/>
      <c r="T3791" s="73"/>
      <c r="U3791" s="73"/>
      <c r="V3791" s="73"/>
      <c r="W3791" s="73"/>
      <c r="X3791" s="73"/>
      <c r="Y3791" s="73"/>
      <c r="Z3791" s="73"/>
      <c r="AA3791" s="73"/>
      <c r="AB3791" s="73"/>
    </row>
    <row r="3792">
      <c r="A3792" s="73"/>
      <c r="B3792" s="73">
        <v>6729061.778</v>
      </c>
      <c r="C3792" s="73">
        <v>4.29471853350594E8</v>
      </c>
      <c r="D3792" s="73">
        <v>2.15091700307991E8</v>
      </c>
      <c r="E3792" s="73">
        <v>2.99633504822274E7</v>
      </c>
      <c r="F3792" s="73"/>
      <c r="G3792" s="73"/>
      <c r="H3792" s="73"/>
      <c r="I3792" s="73"/>
      <c r="J3792" s="73"/>
      <c r="K3792" s="73"/>
      <c r="L3792" s="73"/>
      <c r="M3792" s="73"/>
      <c r="N3792" s="73"/>
      <c r="O3792" s="73"/>
      <c r="P3792" s="73"/>
      <c r="Q3792" s="73"/>
      <c r="R3792" s="73"/>
      <c r="S3792" s="73"/>
      <c r="T3792" s="73"/>
      <c r="U3792" s="73"/>
      <c r="V3792" s="73"/>
      <c r="W3792" s="73"/>
      <c r="X3792" s="73"/>
      <c r="Y3792" s="73"/>
      <c r="Z3792" s="73"/>
      <c r="AA3792" s="73"/>
      <c r="AB3792" s="73"/>
    </row>
    <row r="3793">
      <c r="A3793" s="73"/>
      <c r="B3793" s="73">
        <v>6737943.435</v>
      </c>
      <c r="C3793" s="73">
        <v>4.29780194142029E8</v>
      </c>
      <c r="D3793" s="73">
        <v>2.15277198447999E8</v>
      </c>
      <c r="E3793" s="73">
        <v>2.99921019020193E7</v>
      </c>
      <c r="F3793" s="73"/>
      <c r="G3793" s="73"/>
      <c r="H3793" s="73"/>
      <c r="I3793" s="73"/>
      <c r="J3793" s="73"/>
      <c r="K3793" s="73"/>
      <c r="L3793" s="73"/>
      <c r="M3793" s="73"/>
      <c r="N3793" s="73"/>
      <c r="O3793" s="73"/>
      <c r="P3793" s="73"/>
      <c r="Q3793" s="73"/>
      <c r="R3793" s="73"/>
      <c r="S3793" s="73"/>
      <c r="T3793" s="73"/>
      <c r="U3793" s="73"/>
      <c r="V3793" s="73"/>
      <c r="W3793" s="73"/>
      <c r="X3793" s="73"/>
      <c r="Y3793" s="73"/>
      <c r="Z3793" s="73"/>
      <c r="AA3793" s="73"/>
      <c r="AB3793" s="73"/>
    </row>
    <row r="3794">
      <c r="A3794" s="73"/>
      <c r="B3794" s="73">
        <v>6746836.228</v>
      </c>
      <c r="C3794" s="73">
        <v>4.3008866677346E8</v>
      </c>
      <c r="D3794" s="73">
        <v>2.15462799755993E8</v>
      </c>
      <c r="E3794" s="73">
        <v>3.00208716267383E7</v>
      </c>
      <c r="F3794" s="73"/>
      <c r="G3794" s="73"/>
      <c r="H3794" s="73"/>
      <c r="I3794" s="73"/>
      <c r="J3794" s="73"/>
      <c r="K3794" s="73"/>
      <c r="L3794" s="73"/>
      <c r="M3794" s="73"/>
      <c r="N3794" s="73"/>
      <c r="O3794" s="73"/>
      <c r="P3794" s="73"/>
      <c r="Q3794" s="73"/>
      <c r="R3794" s="73"/>
      <c r="S3794" s="73"/>
      <c r="T3794" s="73"/>
      <c r="U3794" s="73"/>
      <c r="V3794" s="73"/>
      <c r="W3794" s="73"/>
      <c r="X3794" s="73"/>
      <c r="Y3794" s="73"/>
      <c r="Z3794" s="73"/>
      <c r="AA3794" s="73"/>
      <c r="AB3794" s="73"/>
    </row>
    <row r="3795">
      <c r="A3795" s="73"/>
      <c r="B3795" s="73">
        <v>6755740.398</v>
      </c>
      <c r="C3795" s="73">
        <v>4.30397337164886E8</v>
      </c>
      <c r="D3795" s="73">
        <v>2.15648504072001E8</v>
      </c>
      <c r="E3795" s="73">
        <v>3.00496614524482E7</v>
      </c>
      <c r="F3795" s="73"/>
      <c r="G3795" s="73"/>
      <c r="H3795" s="73"/>
      <c r="I3795" s="73"/>
      <c r="J3795" s="73"/>
      <c r="K3795" s="73"/>
      <c r="L3795" s="73"/>
      <c r="M3795" s="73"/>
      <c r="N3795" s="73"/>
      <c r="O3795" s="73"/>
      <c r="P3795" s="73"/>
      <c r="Q3795" s="73"/>
      <c r="R3795" s="73"/>
      <c r="S3795" s="73"/>
      <c r="T3795" s="73"/>
      <c r="U3795" s="73"/>
      <c r="V3795" s="73"/>
      <c r="W3795" s="73"/>
      <c r="X3795" s="73"/>
      <c r="Y3795" s="73"/>
      <c r="Z3795" s="73"/>
      <c r="AA3795" s="73"/>
      <c r="AB3795" s="73"/>
    </row>
    <row r="3796">
      <c r="A3796" s="73"/>
      <c r="B3796" s="73">
        <v>6764655.517</v>
      </c>
      <c r="C3796" s="73">
        <v>4.30706172356308E8</v>
      </c>
      <c r="D3796" s="73">
        <v>2.15834311699995E8</v>
      </c>
      <c r="E3796" s="73">
        <v>3.00784716912129E7</v>
      </c>
      <c r="F3796" s="73"/>
      <c r="G3796" s="73"/>
      <c r="H3796" s="73"/>
      <c r="I3796" s="73"/>
      <c r="J3796" s="73"/>
      <c r="K3796" s="73"/>
      <c r="L3796" s="73"/>
      <c r="M3796" s="73"/>
      <c r="N3796" s="73"/>
      <c r="O3796" s="73"/>
      <c r="P3796" s="73"/>
      <c r="Q3796" s="73"/>
      <c r="R3796" s="73"/>
      <c r="S3796" s="73"/>
      <c r="T3796" s="73"/>
      <c r="U3796" s="73"/>
      <c r="V3796" s="73"/>
      <c r="W3796" s="73"/>
      <c r="X3796" s="73"/>
      <c r="Y3796" s="73"/>
      <c r="Z3796" s="73"/>
      <c r="AA3796" s="73"/>
      <c r="AB3796" s="73"/>
    </row>
    <row r="3797">
      <c r="A3797" s="73"/>
      <c r="B3797" s="73">
        <v>6773581.96</v>
      </c>
      <c r="C3797" s="73">
        <v>4.31015073467728E8</v>
      </c>
      <c r="D3797" s="73">
        <v>2.16020222640003E8</v>
      </c>
      <c r="E3797" s="73">
        <v>3.01072995141048E7</v>
      </c>
      <c r="F3797" s="73"/>
      <c r="G3797" s="73"/>
      <c r="H3797" s="73"/>
      <c r="I3797" s="73"/>
      <c r="J3797" s="73"/>
      <c r="K3797" s="73"/>
      <c r="L3797" s="73"/>
      <c r="M3797" s="73"/>
      <c r="N3797" s="73"/>
      <c r="O3797" s="73"/>
      <c r="P3797" s="73"/>
      <c r="Q3797" s="73"/>
      <c r="R3797" s="73"/>
      <c r="S3797" s="73"/>
      <c r="T3797" s="73"/>
      <c r="U3797" s="73"/>
      <c r="V3797" s="73"/>
      <c r="W3797" s="73"/>
      <c r="X3797" s="73"/>
      <c r="Y3797" s="73"/>
      <c r="Z3797" s="73"/>
      <c r="AA3797" s="73"/>
      <c r="AB3797" s="73"/>
    </row>
    <row r="3798">
      <c r="A3798" s="73"/>
      <c r="B3798" s="73">
        <v>6782519.445</v>
      </c>
      <c r="C3798" s="73">
        <v>4.31324139379143E8</v>
      </c>
      <c r="D3798" s="73">
        <v>2.16206236731996E8</v>
      </c>
      <c r="E3798" s="73">
        <v>3.01361469715875E7</v>
      </c>
      <c r="F3798" s="73"/>
      <c r="G3798" s="73"/>
      <c r="H3798" s="73"/>
      <c r="I3798" s="73"/>
      <c r="J3798" s="73"/>
      <c r="K3798" s="73"/>
      <c r="L3798" s="73"/>
      <c r="M3798" s="73"/>
      <c r="N3798" s="73"/>
      <c r="O3798" s="73"/>
      <c r="P3798" s="73"/>
      <c r="Q3798" s="73"/>
      <c r="R3798" s="73"/>
      <c r="S3798" s="73"/>
      <c r="T3798" s="73"/>
      <c r="U3798" s="73"/>
      <c r="V3798" s="73"/>
      <c r="W3798" s="73"/>
      <c r="X3798" s="73"/>
      <c r="Y3798" s="73"/>
      <c r="Z3798" s="73"/>
      <c r="AA3798" s="73"/>
      <c r="AB3798" s="73"/>
    </row>
    <row r="3799">
      <c r="A3799" s="73"/>
      <c r="B3799" s="73">
        <v>6791468.088</v>
      </c>
      <c r="C3799" s="73">
        <v>4.31633304170555E8</v>
      </c>
      <c r="D3799" s="73">
        <v>2.1639235399199E8</v>
      </c>
      <c r="E3799" s="73">
        <v>3.01650144452612E7</v>
      </c>
      <c r="F3799" s="73"/>
      <c r="G3799" s="73"/>
      <c r="H3799" s="73"/>
      <c r="I3799" s="73"/>
      <c r="J3799" s="73"/>
      <c r="K3799" s="73"/>
      <c r="L3799" s="73"/>
      <c r="M3799" s="73"/>
      <c r="N3799" s="73"/>
      <c r="O3799" s="73"/>
      <c r="P3799" s="73"/>
      <c r="Q3799" s="73"/>
      <c r="R3799" s="73"/>
      <c r="S3799" s="73"/>
      <c r="T3799" s="73"/>
      <c r="U3799" s="73"/>
      <c r="V3799" s="73"/>
      <c r="W3799" s="73"/>
      <c r="X3799" s="73"/>
      <c r="Y3799" s="73"/>
      <c r="Z3799" s="73"/>
      <c r="AA3799" s="73"/>
      <c r="AB3799" s="73"/>
    </row>
    <row r="3800">
      <c r="A3800" s="73"/>
      <c r="B3800" s="73">
        <v>6800427.931</v>
      </c>
      <c r="C3800" s="73">
        <v>4.31942666721962E8</v>
      </c>
      <c r="D3800" s="73">
        <v>2.16578574419998E8</v>
      </c>
      <c r="E3800" s="73">
        <v>3.01939026287898E7</v>
      </c>
      <c r="F3800" s="73"/>
      <c r="G3800" s="73"/>
      <c r="H3800" s="73"/>
      <c r="I3800" s="73"/>
      <c r="J3800" s="73"/>
      <c r="K3800" s="73"/>
      <c r="L3800" s="73"/>
      <c r="M3800" s="73"/>
      <c r="N3800" s="73"/>
      <c r="O3800" s="73"/>
      <c r="P3800" s="73"/>
      <c r="Q3800" s="73"/>
      <c r="R3800" s="73"/>
      <c r="S3800" s="73"/>
      <c r="T3800" s="73"/>
      <c r="U3800" s="73"/>
      <c r="V3800" s="73"/>
      <c r="W3800" s="73"/>
      <c r="X3800" s="73"/>
      <c r="Y3800" s="73"/>
      <c r="Z3800" s="73"/>
      <c r="AA3800" s="73"/>
      <c r="AB3800" s="73"/>
    </row>
    <row r="3801">
      <c r="A3801" s="73"/>
      <c r="B3801" s="73">
        <v>6809399.04</v>
      </c>
      <c r="C3801" s="73">
        <v>4.32252161113365E8</v>
      </c>
      <c r="D3801" s="73">
        <v>2.16764897999991E8</v>
      </c>
      <c r="E3801" s="73">
        <v>3.02228086932454E7</v>
      </c>
      <c r="F3801" s="73"/>
      <c r="G3801" s="73"/>
      <c r="H3801" s="73"/>
      <c r="I3801" s="73"/>
      <c r="J3801" s="73"/>
      <c r="K3801" s="73"/>
      <c r="L3801" s="73"/>
      <c r="M3801" s="73"/>
      <c r="N3801" s="73"/>
      <c r="O3801" s="73"/>
      <c r="P3801" s="73"/>
      <c r="Q3801" s="73"/>
      <c r="R3801" s="73"/>
      <c r="S3801" s="73"/>
      <c r="T3801" s="73"/>
      <c r="U3801" s="73"/>
      <c r="V3801" s="73"/>
      <c r="W3801" s="73"/>
      <c r="X3801" s="73"/>
      <c r="Y3801" s="73"/>
      <c r="Z3801" s="73"/>
      <c r="AA3801" s="73"/>
      <c r="AB3801" s="73"/>
    </row>
    <row r="3802">
      <c r="A3802" s="73"/>
      <c r="B3802" s="73">
        <v>6818381.225</v>
      </c>
      <c r="C3802" s="73">
        <v>4.32561820304764E8</v>
      </c>
      <c r="D3802" s="73">
        <v>2.16951345532E8</v>
      </c>
      <c r="E3802" s="73">
        <v>3.0251733883492E7</v>
      </c>
      <c r="F3802" s="73"/>
      <c r="G3802" s="73"/>
      <c r="H3802" s="73"/>
      <c r="I3802" s="73"/>
      <c r="J3802" s="73"/>
      <c r="K3802" s="73"/>
      <c r="L3802" s="73"/>
      <c r="M3802" s="73"/>
      <c r="N3802" s="73"/>
      <c r="O3802" s="73"/>
      <c r="P3802" s="73"/>
      <c r="Q3802" s="73"/>
      <c r="R3802" s="73"/>
      <c r="S3802" s="73"/>
      <c r="T3802" s="73"/>
      <c r="U3802" s="73"/>
      <c r="V3802" s="73"/>
      <c r="W3802" s="73"/>
      <c r="X3802" s="73"/>
      <c r="Y3802" s="73"/>
      <c r="Z3802" s="73"/>
      <c r="AA3802" s="73"/>
      <c r="AB3802" s="73"/>
    </row>
    <row r="3803">
      <c r="A3803" s="73"/>
      <c r="B3803" s="73">
        <v>6827374.557</v>
      </c>
      <c r="C3803" s="73">
        <v>4.3287157837616E8</v>
      </c>
      <c r="D3803" s="73">
        <v>2.17137875591993E8</v>
      </c>
      <c r="E3803" s="73">
        <v>3.02806808859934E7</v>
      </c>
      <c r="F3803" s="73"/>
      <c r="G3803" s="73"/>
      <c r="H3803" s="73"/>
      <c r="I3803" s="73"/>
      <c r="J3803" s="73"/>
      <c r="K3803" s="73"/>
      <c r="L3803" s="73"/>
      <c r="M3803" s="73"/>
      <c r="N3803" s="73"/>
      <c r="O3803" s="73"/>
      <c r="P3803" s="73"/>
      <c r="Q3803" s="73"/>
      <c r="R3803" s="73"/>
      <c r="S3803" s="73"/>
      <c r="T3803" s="73"/>
      <c r="U3803" s="73"/>
      <c r="V3803" s="73"/>
      <c r="W3803" s="73"/>
      <c r="X3803" s="73"/>
      <c r="Y3803" s="73"/>
      <c r="Z3803" s="73"/>
      <c r="AA3803" s="73"/>
      <c r="AB3803" s="73"/>
    </row>
    <row r="3804">
      <c r="A3804" s="73"/>
      <c r="B3804" s="73">
        <v>6836379.313</v>
      </c>
      <c r="C3804" s="73">
        <v>4.33181468287552E8</v>
      </c>
      <c r="D3804" s="73">
        <v>2.17324529444002E8</v>
      </c>
      <c r="E3804" s="73">
        <v>3.03096455150218E7</v>
      </c>
      <c r="F3804" s="73"/>
      <c r="G3804" s="73"/>
      <c r="H3804" s="73"/>
      <c r="I3804" s="73"/>
      <c r="J3804" s="73"/>
      <c r="K3804" s="73"/>
      <c r="L3804" s="73"/>
      <c r="M3804" s="73"/>
      <c r="N3804" s="73"/>
      <c r="O3804" s="73"/>
      <c r="P3804" s="73"/>
      <c r="Q3804" s="73"/>
      <c r="R3804" s="73"/>
      <c r="S3804" s="73"/>
      <c r="T3804" s="73"/>
      <c r="U3804" s="73"/>
      <c r="V3804" s="73"/>
      <c r="W3804" s="73"/>
      <c r="X3804" s="73"/>
      <c r="Y3804" s="73"/>
      <c r="Z3804" s="73"/>
      <c r="AA3804" s="73"/>
      <c r="AB3804" s="73"/>
    </row>
    <row r="3805">
      <c r="A3805" s="73"/>
      <c r="B3805" s="73">
        <v>6845395.073</v>
      </c>
      <c r="C3805" s="73">
        <v>4.3349152299894E8</v>
      </c>
      <c r="D3805" s="73">
        <v>2.17511265823995E8</v>
      </c>
      <c r="E3805" s="73">
        <v>3.03386308539051E7</v>
      </c>
      <c r="F3805" s="73"/>
      <c r="G3805" s="73"/>
      <c r="H3805" s="73"/>
      <c r="I3805" s="73"/>
      <c r="J3805" s="73"/>
      <c r="K3805" s="73"/>
      <c r="L3805" s="73"/>
      <c r="M3805" s="73"/>
      <c r="N3805" s="73"/>
      <c r="O3805" s="73"/>
      <c r="P3805" s="73"/>
      <c r="Q3805" s="73"/>
      <c r="R3805" s="73"/>
      <c r="S3805" s="73"/>
      <c r="T3805" s="73"/>
      <c r="U3805" s="73"/>
      <c r="V3805" s="73"/>
      <c r="W3805" s="73"/>
      <c r="X3805" s="73"/>
      <c r="Y3805" s="73"/>
      <c r="Z3805" s="73"/>
      <c r="AA3805" s="73"/>
      <c r="AB3805" s="73"/>
    </row>
    <row r="3806">
      <c r="A3806" s="73"/>
      <c r="B3806" s="73">
        <v>6854422.167</v>
      </c>
      <c r="C3806" s="73">
        <v>4.33801709550323E8</v>
      </c>
      <c r="D3806" s="73">
        <v>2.17698105516004E8</v>
      </c>
      <c r="E3806" s="73">
        <v>3.03676344977155E7</v>
      </c>
      <c r="F3806" s="73"/>
      <c r="G3806" s="73"/>
      <c r="H3806" s="73"/>
      <c r="I3806" s="73"/>
      <c r="J3806" s="73"/>
      <c r="K3806" s="73"/>
      <c r="L3806" s="73"/>
      <c r="M3806" s="73"/>
      <c r="N3806" s="73"/>
      <c r="O3806" s="73"/>
      <c r="P3806" s="73"/>
      <c r="Q3806" s="73"/>
      <c r="R3806" s="73"/>
      <c r="S3806" s="73"/>
      <c r="T3806" s="73"/>
      <c r="U3806" s="73"/>
      <c r="V3806" s="73"/>
      <c r="W3806" s="73"/>
      <c r="X3806" s="73"/>
      <c r="Y3806" s="73"/>
      <c r="Z3806" s="73"/>
      <c r="AA3806" s="73"/>
      <c r="AB3806" s="73"/>
    </row>
    <row r="3807">
      <c r="A3807" s="73"/>
      <c r="B3807" s="73">
        <v>6863460.365</v>
      </c>
      <c r="C3807" s="73">
        <v>4.34112027941704E8</v>
      </c>
      <c r="D3807" s="73">
        <v>2.17885068839997E8</v>
      </c>
      <c r="E3807" s="73">
        <v>3.03966586817807E7</v>
      </c>
      <c r="F3807" s="73"/>
      <c r="G3807" s="73"/>
      <c r="H3807" s="73"/>
      <c r="I3807" s="73"/>
      <c r="J3807" s="73"/>
      <c r="K3807" s="73"/>
      <c r="L3807" s="73"/>
      <c r="M3807" s="73"/>
      <c r="N3807" s="73"/>
      <c r="O3807" s="73"/>
      <c r="P3807" s="73"/>
      <c r="Q3807" s="73"/>
      <c r="R3807" s="73"/>
      <c r="S3807" s="73"/>
      <c r="T3807" s="73"/>
      <c r="U3807" s="73"/>
      <c r="V3807" s="73"/>
      <c r="W3807" s="73"/>
      <c r="X3807" s="73"/>
      <c r="Y3807" s="73"/>
      <c r="Z3807" s="73"/>
      <c r="AA3807" s="73"/>
      <c r="AB3807" s="73"/>
    </row>
    <row r="3808">
      <c r="A3808" s="73"/>
      <c r="B3808" s="73">
        <v>6872509.847</v>
      </c>
      <c r="C3808" s="73">
        <v>4.3442247817308E8</v>
      </c>
      <c r="D3808" s="73">
        <v>2.1807211501199E8</v>
      </c>
      <c r="E3808" s="73">
        <v>3.04257012555729E7</v>
      </c>
      <c r="F3808" s="73"/>
      <c r="G3808" s="73"/>
      <c r="H3808" s="73"/>
      <c r="I3808" s="73"/>
      <c r="J3808" s="73"/>
      <c r="K3808" s="73"/>
      <c r="L3808" s="73"/>
      <c r="M3808" s="73"/>
      <c r="N3808" s="73"/>
      <c r="O3808" s="73"/>
      <c r="P3808" s="73"/>
      <c r="Q3808" s="73"/>
      <c r="R3808" s="73"/>
      <c r="S3808" s="73"/>
      <c r="T3808" s="73"/>
      <c r="U3808" s="73"/>
      <c r="V3808" s="73"/>
      <c r="W3808" s="73"/>
      <c r="X3808" s="73"/>
      <c r="Y3808" s="73"/>
      <c r="Z3808" s="73"/>
      <c r="AA3808" s="73"/>
      <c r="AB3808" s="73"/>
    </row>
    <row r="3809">
      <c r="A3809" s="73"/>
      <c r="B3809" s="73">
        <v>6881570.408</v>
      </c>
      <c r="C3809" s="73">
        <v>4.34733126164452E8</v>
      </c>
      <c r="D3809" s="73">
        <v>2.18259284815999E8</v>
      </c>
      <c r="E3809" s="73">
        <v>3.04547645816201E7</v>
      </c>
      <c r="F3809" s="73"/>
      <c r="G3809" s="73"/>
      <c r="H3809" s="73"/>
      <c r="I3809" s="73"/>
      <c r="J3809" s="73"/>
      <c r="K3809" s="73"/>
      <c r="L3809" s="73"/>
      <c r="M3809" s="73"/>
      <c r="N3809" s="73"/>
      <c r="O3809" s="73"/>
      <c r="P3809" s="73"/>
      <c r="Q3809" s="73"/>
      <c r="R3809" s="73"/>
      <c r="S3809" s="73"/>
      <c r="T3809" s="73"/>
      <c r="U3809" s="73"/>
      <c r="V3809" s="73"/>
      <c r="W3809" s="73"/>
      <c r="X3809" s="73"/>
      <c r="Y3809" s="73"/>
      <c r="Z3809" s="73"/>
      <c r="AA3809" s="73"/>
      <c r="AB3809" s="73"/>
    </row>
    <row r="3810">
      <c r="A3810" s="73"/>
      <c r="B3810" s="73">
        <v>6890642.328</v>
      </c>
      <c r="C3810" s="73">
        <v>4.35043840075821E8</v>
      </c>
      <c r="D3810" s="73">
        <v>2.18446557931992E8</v>
      </c>
      <c r="E3810" s="73">
        <v>3.04838468061942E7</v>
      </c>
      <c r="F3810" s="73"/>
      <c r="G3810" s="73"/>
      <c r="H3810" s="73"/>
      <c r="I3810" s="73"/>
      <c r="J3810" s="73"/>
      <c r="K3810" s="73"/>
      <c r="L3810" s="73"/>
      <c r="M3810" s="73"/>
      <c r="N3810" s="73"/>
      <c r="O3810" s="73"/>
      <c r="P3810" s="73"/>
      <c r="Q3810" s="73"/>
      <c r="R3810" s="73"/>
      <c r="S3810" s="73"/>
      <c r="T3810" s="73"/>
      <c r="U3810" s="73"/>
      <c r="V3810" s="73"/>
      <c r="W3810" s="73"/>
      <c r="X3810" s="73"/>
      <c r="Y3810" s="73"/>
      <c r="Z3810" s="73"/>
      <c r="AA3810" s="73"/>
      <c r="AB3810" s="73"/>
    </row>
    <row r="3811">
      <c r="A3811" s="73"/>
      <c r="B3811" s="73">
        <v>6899725.637</v>
      </c>
      <c r="C3811" s="73">
        <v>4.35354751747185E8</v>
      </c>
      <c r="D3811" s="73">
        <v>2.18633913736001E8</v>
      </c>
      <c r="E3811" s="73">
        <v>3.05129492742232E7</v>
      </c>
      <c r="F3811" s="73"/>
      <c r="G3811" s="73"/>
      <c r="H3811" s="73"/>
      <c r="I3811" s="73"/>
      <c r="J3811" s="73"/>
      <c r="K3811" s="73"/>
      <c r="L3811" s="73"/>
      <c r="M3811" s="73"/>
      <c r="N3811" s="73"/>
      <c r="O3811" s="73"/>
      <c r="P3811" s="73"/>
      <c r="Q3811" s="73"/>
      <c r="R3811" s="73"/>
      <c r="S3811" s="73"/>
      <c r="T3811" s="73"/>
      <c r="U3811" s="73"/>
      <c r="V3811" s="73"/>
      <c r="W3811" s="73"/>
      <c r="X3811" s="73"/>
      <c r="Y3811" s="73"/>
      <c r="Z3811" s="73"/>
      <c r="AA3811" s="73"/>
      <c r="AB3811" s="73"/>
    </row>
    <row r="3812">
      <c r="A3812" s="73"/>
      <c r="B3812" s="73">
        <v>6908819.945</v>
      </c>
      <c r="C3812" s="73">
        <v>4.35665795258545E8</v>
      </c>
      <c r="D3812" s="73">
        <v>2.18821393027994E8</v>
      </c>
      <c r="E3812" s="73">
        <v>3.05420700895792E7</v>
      </c>
      <c r="F3812" s="73"/>
      <c r="G3812" s="73"/>
      <c r="H3812" s="73"/>
      <c r="I3812" s="73"/>
      <c r="J3812" s="73"/>
      <c r="K3812" s="73"/>
      <c r="L3812" s="73"/>
      <c r="M3812" s="73"/>
      <c r="N3812" s="73"/>
      <c r="O3812" s="73"/>
      <c r="P3812" s="73"/>
      <c r="Q3812" s="73"/>
      <c r="R3812" s="73"/>
      <c r="S3812" s="73"/>
      <c r="T3812" s="73"/>
      <c r="U3812" s="73"/>
      <c r="V3812" s="73"/>
      <c r="W3812" s="73"/>
      <c r="X3812" s="73"/>
      <c r="Y3812" s="73"/>
      <c r="Z3812" s="73"/>
      <c r="AA3812" s="73"/>
      <c r="AB3812" s="73"/>
    </row>
    <row r="3813">
      <c r="A3813" s="73"/>
      <c r="B3813" s="73">
        <v>6917925.657</v>
      </c>
      <c r="C3813" s="73">
        <v>4.35976904689903E8</v>
      </c>
      <c r="D3813" s="73">
        <v>2.19008975632002E8</v>
      </c>
      <c r="E3813" s="73">
        <v>3.05712114027901E7</v>
      </c>
      <c r="F3813" s="73"/>
      <c r="G3813" s="73"/>
      <c r="H3813" s="73"/>
      <c r="I3813" s="73"/>
      <c r="J3813" s="73"/>
      <c r="K3813" s="73"/>
      <c r="L3813" s="73"/>
      <c r="M3813" s="73"/>
      <c r="N3813" s="73"/>
      <c r="O3813" s="73"/>
      <c r="P3813" s="73"/>
      <c r="Q3813" s="73"/>
      <c r="R3813" s="73"/>
      <c r="S3813" s="73"/>
      <c r="T3813" s="73"/>
      <c r="U3813" s="73"/>
      <c r="V3813" s="73"/>
      <c r="W3813" s="73"/>
      <c r="X3813" s="73"/>
      <c r="Y3813" s="73"/>
      <c r="Z3813" s="73"/>
      <c r="AA3813" s="73"/>
      <c r="AB3813" s="73"/>
    </row>
    <row r="3814">
      <c r="A3814" s="73"/>
      <c r="B3814" s="73">
        <v>6927042.568</v>
      </c>
      <c r="C3814" s="73">
        <v>4.36288244841255E8</v>
      </c>
      <c r="D3814" s="73">
        <v>2.19196641067996E8</v>
      </c>
      <c r="E3814" s="73">
        <v>3.0600371360128E7</v>
      </c>
      <c r="F3814" s="73"/>
      <c r="G3814" s="73"/>
      <c r="H3814" s="73"/>
      <c r="I3814" s="73"/>
      <c r="J3814" s="73"/>
      <c r="K3814" s="73"/>
      <c r="L3814" s="73"/>
      <c r="M3814" s="73"/>
      <c r="N3814" s="73"/>
      <c r="O3814" s="73"/>
      <c r="P3814" s="73"/>
      <c r="Q3814" s="73"/>
      <c r="R3814" s="73"/>
      <c r="S3814" s="73"/>
      <c r="T3814" s="73"/>
      <c r="U3814" s="73"/>
      <c r="V3814" s="73"/>
      <c r="W3814" s="73"/>
      <c r="X3814" s="73"/>
      <c r="Y3814" s="73"/>
      <c r="Z3814" s="73"/>
      <c r="AA3814" s="73"/>
      <c r="AB3814" s="73"/>
    </row>
    <row r="3815">
      <c r="A3815" s="73"/>
      <c r="B3815" s="73">
        <v>6936170.863</v>
      </c>
      <c r="C3815" s="73">
        <v>4.36599683872604E8</v>
      </c>
      <c r="D3815" s="73">
        <v>2.19384450471989E8</v>
      </c>
      <c r="E3815" s="73">
        <v>3.06295518153208E7</v>
      </c>
      <c r="F3815" s="73"/>
      <c r="G3815" s="73"/>
      <c r="H3815" s="73"/>
      <c r="I3815" s="73"/>
      <c r="J3815" s="73"/>
      <c r="K3815" s="73"/>
      <c r="L3815" s="73"/>
      <c r="M3815" s="73"/>
      <c r="N3815" s="73"/>
      <c r="O3815" s="73"/>
      <c r="P3815" s="73"/>
      <c r="Q3815" s="73"/>
      <c r="R3815" s="73"/>
      <c r="S3815" s="73"/>
      <c r="T3815" s="73"/>
      <c r="U3815" s="73"/>
      <c r="V3815" s="73"/>
      <c r="W3815" s="73"/>
      <c r="X3815" s="73"/>
      <c r="Y3815" s="73"/>
      <c r="Z3815" s="73"/>
      <c r="AA3815" s="73"/>
      <c r="AB3815" s="73"/>
    </row>
    <row r="3816">
      <c r="A3816" s="73"/>
      <c r="B3816" s="73">
        <v>6945310.3</v>
      </c>
      <c r="C3816" s="73">
        <v>4.36911320663948E8</v>
      </c>
      <c r="D3816" s="73">
        <v>2.19572342867998E8</v>
      </c>
      <c r="E3816" s="73">
        <v>3.06587508298406E7</v>
      </c>
      <c r="F3816" s="73"/>
      <c r="G3816" s="73"/>
      <c r="H3816" s="73"/>
      <c r="I3816" s="73"/>
      <c r="J3816" s="73"/>
      <c r="K3816" s="73"/>
      <c r="L3816" s="73"/>
      <c r="M3816" s="73"/>
      <c r="N3816" s="73"/>
      <c r="O3816" s="73"/>
      <c r="P3816" s="73"/>
      <c r="Q3816" s="73"/>
      <c r="R3816" s="73"/>
      <c r="S3816" s="73"/>
      <c r="T3816" s="73"/>
      <c r="U3816" s="73"/>
      <c r="V3816" s="73"/>
      <c r="W3816" s="73"/>
      <c r="X3816" s="73"/>
      <c r="Y3816" s="73"/>
      <c r="Z3816" s="73"/>
      <c r="AA3816" s="73"/>
      <c r="AB3816" s="73"/>
    </row>
    <row r="3817">
      <c r="A3817" s="73"/>
      <c r="B3817" s="73">
        <v>6954460.933</v>
      </c>
      <c r="C3817" s="73">
        <v>4.37222990415291E8</v>
      </c>
      <c r="D3817" s="73">
        <v>2.19760317935991E8</v>
      </c>
      <c r="E3817" s="73">
        <v>3.06879710630152E7</v>
      </c>
      <c r="F3817" s="73"/>
      <c r="G3817" s="73"/>
      <c r="H3817" s="73"/>
      <c r="I3817" s="73"/>
      <c r="J3817" s="73"/>
      <c r="K3817" s="73"/>
      <c r="L3817" s="73"/>
      <c r="M3817" s="73"/>
      <c r="N3817" s="73"/>
      <c r="O3817" s="73"/>
      <c r="P3817" s="73"/>
      <c r="Q3817" s="73"/>
      <c r="R3817" s="73"/>
      <c r="S3817" s="73"/>
      <c r="T3817" s="73"/>
      <c r="U3817" s="73"/>
      <c r="V3817" s="73"/>
      <c r="W3817" s="73"/>
      <c r="X3817" s="73"/>
      <c r="Y3817" s="73"/>
      <c r="Z3817" s="73"/>
      <c r="AA3817" s="73"/>
      <c r="AB3817" s="73"/>
    </row>
    <row r="3818">
      <c r="A3818" s="73"/>
      <c r="B3818" s="73">
        <v>6963623.142</v>
      </c>
      <c r="C3818" s="73">
        <v>4.37534857926628E8</v>
      </c>
      <c r="D3818" s="73">
        <v>2.19948416651999E8</v>
      </c>
      <c r="E3818" s="73">
        <v>3.07172103371808E7</v>
      </c>
      <c r="F3818" s="73"/>
      <c r="G3818" s="73"/>
      <c r="H3818" s="73"/>
      <c r="I3818" s="73"/>
      <c r="J3818" s="73"/>
      <c r="K3818" s="73"/>
      <c r="L3818" s="73"/>
      <c r="M3818" s="73"/>
      <c r="N3818" s="73"/>
      <c r="O3818" s="73"/>
      <c r="P3818" s="73"/>
      <c r="Q3818" s="73"/>
      <c r="R3818" s="73"/>
      <c r="S3818" s="73"/>
      <c r="T3818" s="73"/>
      <c r="U3818" s="73"/>
      <c r="V3818" s="73"/>
      <c r="W3818" s="73"/>
      <c r="X3818" s="73"/>
      <c r="Y3818" s="73"/>
      <c r="Z3818" s="73"/>
      <c r="AA3818" s="73"/>
      <c r="AB3818" s="73"/>
    </row>
    <row r="3819">
      <c r="A3819" s="73"/>
      <c r="B3819" s="73">
        <v>6972796.503</v>
      </c>
      <c r="C3819" s="73">
        <v>4.37846890237961E8</v>
      </c>
      <c r="D3819" s="73">
        <v>2.20136638855993E8</v>
      </c>
      <c r="E3819" s="73">
        <v>3.07464676618735E7</v>
      </c>
      <c r="F3819" s="73"/>
      <c r="G3819" s="73"/>
      <c r="H3819" s="73"/>
      <c r="I3819" s="73"/>
      <c r="J3819" s="73"/>
      <c r="K3819" s="73"/>
      <c r="L3819" s="73"/>
      <c r="M3819" s="73"/>
      <c r="N3819" s="73"/>
      <c r="O3819" s="73"/>
      <c r="P3819" s="73"/>
      <c r="Q3819" s="73"/>
      <c r="R3819" s="73"/>
      <c r="S3819" s="73"/>
      <c r="T3819" s="73"/>
      <c r="U3819" s="73"/>
      <c r="V3819" s="73"/>
      <c r="W3819" s="73"/>
      <c r="X3819" s="73"/>
      <c r="Y3819" s="73"/>
      <c r="Z3819" s="73"/>
      <c r="AA3819" s="73"/>
      <c r="AB3819" s="73"/>
    </row>
    <row r="3820">
      <c r="A3820" s="73"/>
      <c r="B3820" s="73">
        <v>6981980.926</v>
      </c>
      <c r="C3820" s="73">
        <v>4.38159087349289E8</v>
      </c>
      <c r="D3820" s="73">
        <v>2.20324944036001E8</v>
      </c>
      <c r="E3820" s="73">
        <v>3.0775745781221E7</v>
      </c>
      <c r="F3820" s="73"/>
      <c r="G3820" s="73"/>
      <c r="H3820" s="73"/>
      <c r="I3820" s="73"/>
      <c r="J3820" s="73"/>
      <c r="K3820" s="73"/>
      <c r="L3820" s="73"/>
      <c r="M3820" s="73"/>
      <c r="N3820" s="73"/>
      <c r="O3820" s="73"/>
      <c r="P3820" s="73"/>
      <c r="Q3820" s="73"/>
      <c r="R3820" s="73"/>
      <c r="S3820" s="73"/>
      <c r="T3820" s="73"/>
      <c r="U3820" s="73"/>
      <c r="V3820" s="73"/>
      <c r="W3820" s="73"/>
      <c r="X3820" s="73"/>
      <c r="Y3820" s="73"/>
      <c r="Z3820" s="73"/>
      <c r="AA3820" s="73"/>
      <c r="AB3820" s="73"/>
    </row>
    <row r="3821">
      <c r="A3821" s="73"/>
      <c r="B3821" s="73">
        <v>6991176.937</v>
      </c>
      <c r="C3821" s="73">
        <v>4.38471383340614E8</v>
      </c>
      <c r="D3821" s="73">
        <v>2.20513352383995E8</v>
      </c>
      <c r="E3821" s="73">
        <v>3.08050441711594E7</v>
      </c>
      <c r="F3821" s="73"/>
      <c r="G3821" s="73"/>
      <c r="H3821" s="73"/>
      <c r="I3821" s="73"/>
      <c r="J3821" s="73"/>
      <c r="K3821" s="73"/>
      <c r="L3821" s="73"/>
      <c r="M3821" s="73"/>
      <c r="N3821" s="73"/>
      <c r="O3821" s="73"/>
      <c r="P3821" s="73"/>
      <c r="Q3821" s="73"/>
      <c r="R3821" s="73"/>
      <c r="S3821" s="73"/>
      <c r="T3821" s="73"/>
      <c r="U3821" s="73"/>
      <c r="V3821" s="73"/>
      <c r="W3821" s="73"/>
      <c r="X3821" s="73"/>
      <c r="Y3821" s="73"/>
      <c r="Z3821" s="73"/>
      <c r="AA3821" s="73"/>
      <c r="AB3821" s="73"/>
    </row>
    <row r="3822">
      <c r="A3822" s="73"/>
      <c r="B3822" s="73">
        <v>7000384.26</v>
      </c>
      <c r="C3822" s="73">
        <v>4.38783811171936E8</v>
      </c>
      <c r="D3822" s="73">
        <v>2.20701884380003E8</v>
      </c>
      <c r="E3822" s="73">
        <v>3.08343616868888E7</v>
      </c>
      <c r="F3822" s="73"/>
      <c r="G3822" s="73"/>
      <c r="H3822" s="73"/>
      <c r="I3822" s="73"/>
      <c r="J3822" s="73"/>
      <c r="K3822" s="73"/>
      <c r="L3822" s="73"/>
      <c r="M3822" s="73"/>
      <c r="N3822" s="73"/>
      <c r="O3822" s="73"/>
      <c r="P3822" s="73"/>
      <c r="Q3822" s="73"/>
      <c r="R3822" s="73"/>
      <c r="S3822" s="73"/>
      <c r="T3822" s="73"/>
      <c r="U3822" s="73"/>
      <c r="V3822" s="73"/>
      <c r="W3822" s="73"/>
      <c r="X3822" s="73"/>
      <c r="Y3822" s="73"/>
      <c r="Z3822" s="73"/>
      <c r="AA3822" s="73"/>
      <c r="AB3822" s="73"/>
    </row>
    <row r="3823">
      <c r="A3823" s="73"/>
      <c r="B3823" s="73">
        <v>7009602.745</v>
      </c>
      <c r="C3823" s="73">
        <v>4.39096403803253E8</v>
      </c>
      <c r="D3823" s="73">
        <v>2.20890498887996E8</v>
      </c>
      <c r="E3823" s="73">
        <v>3.08636973803452E7</v>
      </c>
      <c r="F3823" s="73"/>
      <c r="G3823" s="73"/>
      <c r="H3823" s="73"/>
      <c r="I3823" s="73"/>
      <c r="J3823" s="73"/>
      <c r="K3823" s="73"/>
      <c r="L3823" s="73"/>
      <c r="M3823" s="73"/>
      <c r="N3823" s="73"/>
      <c r="O3823" s="73"/>
      <c r="P3823" s="73"/>
      <c r="Q3823" s="73"/>
      <c r="R3823" s="73"/>
      <c r="S3823" s="73"/>
      <c r="T3823" s="73"/>
      <c r="U3823" s="73"/>
      <c r="V3823" s="73"/>
      <c r="W3823" s="73"/>
      <c r="X3823" s="73"/>
      <c r="Y3823" s="73"/>
      <c r="Z3823" s="73"/>
      <c r="AA3823" s="73"/>
      <c r="AB3823" s="73"/>
    </row>
    <row r="3824">
      <c r="A3824" s="73"/>
      <c r="B3824" s="73">
        <v>7018832.756</v>
      </c>
      <c r="C3824" s="73">
        <v>4.39409062354568E8</v>
      </c>
      <c r="D3824" s="73">
        <v>2.2107921686799E8</v>
      </c>
      <c r="E3824" s="73">
        <v>3.08930540380565E7</v>
      </c>
      <c r="F3824" s="73"/>
      <c r="G3824" s="73"/>
      <c r="H3824" s="73"/>
      <c r="I3824" s="73"/>
      <c r="J3824" s="73"/>
      <c r="K3824" s="73"/>
      <c r="L3824" s="73"/>
      <c r="M3824" s="73"/>
      <c r="N3824" s="73"/>
      <c r="O3824" s="73"/>
      <c r="P3824" s="73"/>
      <c r="Q3824" s="73"/>
      <c r="R3824" s="73"/>
      <c r="S3824" s="73"/>
      <c r="T3824" s="73"/>
      <c r="U3824" s="73"/>
      <c r="V3824" s="73"/>
      <c r="W3824" s="73"/>
      <c r="X3824" s="73"/>
      <c r="Y3824" s="73"/>
      <c r="Z3824" s="73"/>
      <c r="AA3824" s="73"/>
      <c r="AB3824" s="73"/>
    </row>
    <row r="3825">
      <c r="A3825" s="73"/>
      <c r="B3825" s="73">
        <v>7028073.931</v>
      </c>
      <c r="C3825" s="73">
        <v>4.39721951625877E8</v>
      </c>
      <c r="D3825" s="73">
        <v>2.21268058655998E8</v>
      </c>
      <c r="E3825" s="73">
        <v>3.09224304151587E7</v>
      </c>
      <c r="F3825" s="73"/>
      <c r="G3825" s="73"/>
      <c r="H3825" s="73"/>
      <c r="I3825" s="73"/>
      <c r="J3825" s="73"/>
      <c r="K3825" s="73"/>
      <c r="L3825" s="73"/>
      <c r="M3825" s="73"/>
      <c r="N3825" s="73"/>
      <c r="O3825" s="73"/>
      <c r="P3825" s="73"/>
      <c r="Q3825" s="73"/>
      <c r="R3825" s="73"/>
      <c r="S3825" s="73"/>
      <c r="T3825" s="73"/>
      <c r="U3825" s="73"/>
      <c r="V3825" s="73"/>
      <c r="W3825" s="73"/>
      <c r="X3825" s="73"/>
      <c r="Y3825" s="73"/>
      <c r="Z3825" s="73"/>
      <c r="AA3825" s="73"/>
      <c r="AB3825" s="73"/>
    </row>
    <row r="3826">
      <c r="A3826" s="73"/>
      <c r="B3826" s="73">
        <v>7037326.417</v>
      </c>
      <c r="C3826" s="73">
        <v>4.40034939777184E8</v>
      </c>
      <c r="D3826" s="73">
        <v>2.21457003275992E8</v>
      </c>
      <c r="E3826" s="73">
        <v>3.09518270628518E7</v>
      </c>
      <c r="F3826" s="73"/>
      <c r="G3826" s="73"/>
      <c r="H3826" s="73"/>
      <c r="I3826" s="73"/>
      <c r="J3826" s="73"/>
      <c r="K3826" s="73"/>
      <c r="L3826" s="73"/>
      <c r="M3826" s="73"/>
      <c r="N3826" s="73"/>
      <c r="O3826" s="73"/>
      <c r="P3826" s="73"/>
      <c r="Q3826" s="73"/>
      <c r="R3826" s="73"/>
      <c r="S3826" s="73"/>
      <c r="T3826" s="73"/>
      <c r="U3826" s="73"/>
      <c r="V3826" s="73"/>
      <c r="W3826" s="73"/>
      <c r="X3826" s="73"/>
      <c r="Y3826" s="73"/>
      <c r="Z3826" s="73"/>
      <c r="AA3826" s="73"/>
      <c r="AB3826" s="73"/>
    </row>
    <row r="3827">
      <c r="A3827" s="73"/>
      <c r="B3827" s="73">
        <v>7046590.118</v>
      </c>
      <c r="C3827" s="73">
        <v>4.40348092728485E8</v>
      </c>
      <c r="D3827" s="73">
        <v>2.21646030904E8</v>
      </c>
      <c r="E3827" s="73">
        <v>3.0981242073136E7</v>
      </c>
      <c r="F3827" s="73"/>
      <c r="G3827" s="73"/>
      <c r="H3827" s="73"/>
      <c r="I3827" s="73"/>
      <c r="J3827" s="73"/>
      <c r="K3827" s="73"/>
      <c r="L3827" s="73"/>
      <c r="M3827" s="73"/>
      <c r="N3827" s="73"/>
      <c r="O3827" s="73"/>
      <c r="P3827" s="73"/>
      <c r="Q3827" s="73"/>
      <c r="R3827" s="73"/>
      <c r="S3827" s="73"/>
      <c r="T3827" s="73"/>
      <c r="U3827" s="73"/>
      <c r="V3827" s="73"/>
      <c r="W3827" s="73"/>
      <c r="X3827" s="73"/>
      <c r="Y3827" s="73"/>
      <c r="Z3827" s="73"/>
      <c r="AA3827" s="73"/>
      <c r="AB3827" s="73"/>
    </row>
    <row r="3828">
      <c r="A3828" s="73"/>
      <c r="B3828" s="73">
        <v>7055865.417</v>
      </c>
      <c r="C3828" s="73">
        <v>4.40661377519783E8</v>
      </c>
      <c r="D3828" s="73">
        <v>2.21835182163993E8</v>
      </c>
      <c r="E3828" s="73">
        <v>3.1010677523611E7</v>
      </c>
      <c r="F3828" s="73"/>
      <c r="G3828" s="73"/>
      <c r="H3828" s="73"/>
      <c r="I3828" s="73"/>
      <c r="J3828" s="73"/>
      <c r="K3828" s="73"/>
      <c r="L3828" s="73"/>
      <c r="M3828" s="73"/>
      <c r="N3828" s="73"/>
      <c r="O3828" s="73"/>
      <c r="P3828" s="73"/>
      <c r="Q3828" s="73"/>
      <c r="R3828" s="73"/>
      <c r="S3828" s="73"/>
      <c r="T3828" s="73"/>
      <c r="U3828" s="73"/>
      <c r="V3828" s="73"/>
      <c r="W3828" s="73"/>
      <c r="X3828" s="73"/>
      <c r="Y3828" s="73"/>
      <c r="Z3828" s="73"/>
      <c r="AA3828" s="73"/>
      <c r="AB3828" s="73"/>
    </row>
    <row r="3829">
      <c r="A3829" s="73"/>
      <c r="B3829" s="73">
        <v>7065152.088</v>
      </c>
      <c r="C3829" s="73">
        <v>4.40974794151077E8</v>
      </c>
      <c r="D3829" s="73">
        <v>2.22024436736002E8</v>
      </c>
      <c r="E3829" s="73">
        <v>3.1040131930277E7</v>
      </c>
      <c r="F3829" s="73"/>
      <c r="G3829" s="73"/>
      <c r="H3829" s="73"/>
      <c r="I3829" s="73"/>
      <c r="J3829" s="73"/>
      <c r="K3829" s="73"/>
      <c r="L3829" s="73"/>
      <c r="M3829" s="73"/>
      <c r="N3829" s="73"/>
      <c r="O3829" s="73"/>
      <c r="P3829" s="73"/>
      <c r="Q3829" s="73"/>
      <c r="R3829" s="73"/>
      <c r="S3829" s="73"/>
      <c r="T3829" s="73"/>
      <c r="U3829" s="73"/>
      <c r="V3829" s="73"/>
      <c r="W3829" s="73"/>
      <c r="X3829" s="73"/>
      <c r="Y3829" s="73"/>
      <c r="Z3829" s="73"/>
      <c r="AA3829" s="73"/>
      <c r="AB3829" s="73"/>
    </row>
    <row r="3830">
      <c r="A3830" s="73"/>
      <c r="B3830" s="73">
        <v>7074450.001</v>
      </c>
      <c r="C3830" s="73">
        <v>4.41288342622368E8</v>
      </c>
      <c r="D3830" s="73">
        <v>2.22213794315995E8</v>
      </c>
      <c r="E3830" s="73">
        <v>3.106960464187E7</v>
      </c>
      <c r="F3830" s="73"/>
      <c r="G3830" s="73"/>
      <c r="H3830" s="73"/>
      <c r="I3830" s="73"/>
      <c r="J3830" s="73"/>
      <c r="K3830" s="73"/>
      <c r="L3830" s="73"/>
      <c r="M3830" s="73"/>
      <c r="N3830" s="73"/>
      <c r="O3830" s="73"/>
      <c r="P3830" s="73"/>
      <c r="Q3830" s="73"/>
      <c r="R3830" s="73"/>
      <c r="S3830" s="73"/>
      <c r="T3830" s="73"/>
      <c r="U3830" s="73"/>
      <c r="V3830" s="73"/>
      <c r="W3830" s="73"/>
      <c r="X3830" s="73"/>
      <c r="Y3830" s="73"/>
      <c r="Z3830" s="73"/>
      <c r="AA3830" s="73"/>
      <c r="AB3830" s="73"/>
    </row>
    <row r="3831">
      <c r="A3831" s="73"/>
      <c r="B3831" s="73">
        <v>7083759.287</v>
      </c>
      <c r="C3831" s="73">
        <v>4.41602022933655E8</v>
      </c>
      <c r="D3831" s="73">
        <v>2.22403254904004E8</v>
      </c>
      <c r="E3831" s="73">
        <v>3.10990984025179E7</v>
      </c>
      <c r="F3831" s="73"/>
      <c r="G3831" s="73"/>
      <c r="H3831" s="73"/>
      <c r="I3831" s="73"/>
      <c r="J3831" s="73"/>
      <c r="K3831" s="73"/>
      <c r="L3831" s="73"/>
      <c r="M3831" s="73"/>
      <c r="N3831" s="73"/>
      <c r="O3831" s="73"/>
      <c r="P3831" s="73"/>
      <c r="Q3831" s="73"/>
      <c r="R3831" s="73"/>
      <c r="S3831" s="73"/>
      <c r="T3831" s="73"/>
      <c r="U3831" s="73"/>
      <c r="V3831" s="73"/>
      <c r="W3831" s="73"/>
      <c r="X3831" s="73"/>
      <c r="Y3831" s="73"/>
      <c r="Z3831" s="73"/>
      <c r="AA3831" s="73"/>
      <c r="AB3831" s="73"/>
    </row>
    <row r="3832">
      <c r="A3832" s="73"/>
      <c r="B3832" s="73">
        <v>7093079.975</v>
      </c>
      <c r="C3832" s="73">
        <v>4.41915868044937E8</v>
      </c>
      <c r="D3832" s="73">
        <v>2.22592819107997E8</v>
      </c>
      <c r="E3832" s="73">
        <v>3.11286122217567E7</v>
      </c>
      <c r="F3832" s="73"/>
      <c r="G3832" s="73"/>
      <c r="H3832" s="73"/>
      <c r="I3832" s="73"/>
      <c r="J3832" s="73"/>
      <c r="K3832" s="73"/>
      <c r="L3832" s="73"/>
      <c r="M3832" s="73"/>
      <c r="N3832" s="73"/>
      <c r="O3832" s="73"/>
      <c r="P3832" s="73"/>
      <c r="Q3832" s="73"/>
      <c r="R3832" s="73"/>
      <c r="S3832" s="73"/>
      <c r="T3832" s="73"/>
      <c r="U3832" s="73"/>
      <c r="V3832" s="73"/>
      <c r="W3832" s="73"/>
      <c r="X3832" s="73"/>
      <c r="Y3832" s="73"/>
      <c r="Z3832" s="73"/>
      <c r="AA3832" s="73"/>
      <c r="AB3832" s="73"/>
    </row>
    <row r="3833">
      <c r="A3833" s="73"/>
      <c r="B3833" s="73">
        <v>7102411.852</v>
      </c>
      <c r="C3833" s="73">
        <v>4.42229877956215E8</v>
      </c>
      <c r="D3833" s="73">
        <v>2.2278248647999E8</v>
      </c>
      <c r="E3833" s="73">
        <v>3.11581448275865E7</v>
      </c>
      <c r="F3833" s="73"/>
      <c r="G3833" s="73"/>
      <c r="H3833" s="73"/>
      <c r="I3833" s="73"/>
      <c r="J3833" s="73"/>
      <c r="K3833" s="73"/>
      <c r="L3833" s="73"/>
      <c r="M3833" s="73"/>
      <c r="N3833" s="73"/>
      <c r="O3833" s="73"/>
      <c r="P3833" s="73"/>
      <c r="Q3833" s="73"/>
      <c r="R3833" s="73"/>
      <c r="S3833" s="73"/>
      <c r="T3833" s="73"/>
      <c r="U3833" s="73"/>
      <c r="V3833" s="73"/>
      <c r="W3833" s="73"/>
      <c r="X3833" s="73"/>
      <c r="Y3833" s="73"/>
      <c r="Z3833" s="73"/>
      <c r="AA3833" s="73"/>
      <c r="AB3833" s="73"/>
    </row>
    <row r="3834">
      <c r="A3834" s="73"/>
      <c r="B3834" s="73">
        <v>7111755.338</v>
      </c>
      <c r="C3834" s="73">
        <v>4.42544019707489E8</v>
      </c>
      <c r="D3834" s="73">
        <v>2.22972256859999E8</v>
      </c>
      <c r="E3834" s="73">
        <v>3.11876977888072E7</v>
      </c>
      <c r="F3834" s="73"/>
      <c r="G3834" s="73"/>
      <c r="H3834" s="73"/>
      <c r="I3834" s="73"/>
      <c r="J3834" s="73"/>
      <c r="K3834" s="73"/>
      <c r="L3834" s="73"/>
      <c r="M3834" s="73"/>
      <c r="N3834" s="73"/>
      <c r="O3834" s="73"/>
      <c r="P3834" s="73"/>
      <c r="Q3834" s="73"/>
      <c r="R3834" s="73"/>
      <c r="S3834" s="73"/>
      <c r="T3834" s="73"/>
      <c r="U3834" s="73"/>
      <c r="V3834" s="73"/>
      <c r="W3834" s="73"/>
      <c r="X3834" s="73"/>
      <c r="Y3834" s="73"/>
      <c r="Z3834" s="73"/>
      <c r="AA3834" s="73"/>
      <c r="AB3834" s="73"/>
    </row>
    <row r="3835">
      <c r="A3835" s="73"/>
      <c r="B3835" s="73">
        <v>7121110.138</v>
      </c>
      <c r="C3835" s="73">
        <v>4.4285826033876E8</v>
      </c>
      <c r="D3835" s="73">
        <v>2.23162151175992E8</v>
      </c>
      <c r="E3835" s="73">
        <v>3.12172703846188E7</v>
      </c>
      <c r="F3835" s="73"/>
      <c r="G3835" s="73"/>
      <c r="H3835" s="73"/>
      <c r="I3835" s="73"/>
      <c r="J3835" s="73"/>
      <c r="K3835" s="73"/>
      <c r="L3835" s="73"/>
      <c r="M3835" s="73"/>
      <c r="N3835" s="73"/>
      <c r="O3835" s="73"/>
      <c r="P3835" s="73"/>
      <c r="Q3835" s="73"/>
      <c r="R3835" s="73"/>
      <c r="S3835" s="73"/>
      <c r="T3835" s="73"/>
      <c r="U3835" s="73"/>
      <c r="V3835" s="73"/>
      <c r="W3835" s="73"/>
      <c r="X3835" s="73"/>
      <c r="Y3835" s="73"/>
      <c r="Z3835" s="73"/>
      <c r="AA3835" s="73"/>
      <c r="AB3835" s="73"/>
    </row>
    <row r="3836">
      <c r="A3836" s="73"/>
      <c r="B3836" s="73">
        <v>7130476.327</v>
      </c>
      <c r="C3836" s="73">
        <v>4.43172665770027E8</v>
      </c>
      <c r="D3836" s="73">
        <v>2.23352127876001E8</v>
      </c>
      <c r="E3836" s="73">
        <v>3.12468634782853E7</v>
      </c>
      <c r="F3836" s="73"/>
      <c r="G3836" s="73"/>
      <c r="H3836" s="73"/>
      <c r="I3836" s="73"/>
      <c r="J3836" s="73"/>
      <c r="K3836" s="73"/>
      <c r="L3836" s="73"/>
      <c r="M3836" s="73"/>
      <c r="N3836" s="73"/>
      <c r="O3836" s="73"/>
      <c r="P3836" s="73"/>
      <c r="Q3836" s="73"/>
      <c r="R3836" s="73"/>
      <c r="S3836" s="73"/>
      <c r="T3836" s="73"/>
      <c r="U3836" s="73"/>
      <c r="V3836" s="73"/>
      <c r="W3836" s="73"/>
      <c r="X3836" s="73"/>
      <c r="Y3836" s="73"/>
      <c r="Z3836" s="73"/>
      <c r="AA3836" s="73"/>
      <c r="AB3836" s="73"/>
    </row>
    <row r="3837">
      <c r="A3837" s="73"/>
      <c r="B3837" s="73">
        <v>7139853.803</v>
      </c>
      <c r="C3837" s="73">
        <v>4.43487236001289E8</v>
      </c>
      <c r="D3837" s="73">
        <v>2.23542208191994E8</v>
      </c>
      <c r="E3837" s="73">
        <v>3.12764749192788E7</v>
      </c>
      <c r="F3837" s="73"/>
      <c r="G3837" s="73"/>
      <c r="H3837" s="73"/>
      <c r="I3837" s="73"/>
      <c r="J3837" s="73"/>
      <c r="K3837" s="73"/>
      <c r="L3837" s="73"/>
      <c r="M3837" s="73"/>
      <c r="N3837" s="73"/>
      <c r="O3837" s="73"/>
      <c r="P3837" s="73"/>
      <c r="Q3837" s="73"/>
      <c r="R3837" s="73"/>
      <c r="S3837" s="73"/>
      <c r="T3837" s="73"/>
      <c r="U3837" s="73"/>
      <c r="V3837" s="73"/>
      <c r="W3837" s="73"/>
      <c r="X3837" s="73"/>
      <c r="Y3837" s="73"/>
      <c r="Z3837" s="73"/>
      <c r="AA3837" s="73"/>
      <c r="AB3837" s="73"/>
    </row>
    <row r="3838">
      <c r="A3838" s="73"/>
      <c r="B3838" s="73">
        <v>7149242.852</v>
      </c>
      <c r="C3838" s="73">
        <v>4.4380187215255E8</v>
      </c>
      <c r="D3838" s="73">
        <v>2.23732411852002E8</v>
      </c>
      <c r="E3838" s="73">
        <v>3.13061064188633E7</v>
      </c>
      <c r="F3838" s="73"/>
      <c r="G3838" s="73"/>
      <c r="H3838" s="73"/>
      <c r="I3838" s="73"/>
      <c r="J3838" s="73"/>
      <c r="K3838" s="73"/>
      <c r="L3838" s="73"/>
      <c r="M3838" s="73"/>
      <c r="N3838" s="73"/>
      <c r="O3838" s="73"/>
      <c r="P3838" s="73"/>
      <c r="Q3838" s="73"/>
      <c r="R3838" s="73"/>
      <c r="S3838" s="73"/>
      <c r="T3838" s="73"/>
      <c r="U3838" s="73"/>
      <c r="V3838" s="73"/>
      <c r="W3838" s="73"/>
      <c r="X3838" s="73"/>
      <c r="Y3838" s="73"/>
      <c r="Z3838" s="73"/>
      <c r="AA3838" s="73"/>
      <c r="AB3838" s="73"/>
    </row>
    <row r="3839">
      <c r="A3839" s="73"/>
      <c r="B3839" s="73">
        <v>7158643.316</v>
      </c>
      <c r="C3839" s="73">
        <v>4.44116739023804E8</v>
      </c>
      <c r="D3839" s="73">
        <v>2.23922718807996E8</v>
      </c>
      <c r="E3839" s="73">
        <v>3.13357575954387E7</v>
      </c>
      <c r="F3839" s="73"/>
      <c r="G3839" s="73"/>
      <c r="H3839" s="73"/>
      <c r="I3839" s="73"/>
      <c r="J3839" s="73"/>
      <c r="K3839" s="73"/>
      <c r="L3839" s="73"/>
      <c r="M3839" s="73"/>
      <c r="N3839" s="73"/>
      <c r="O3839" s="73"/>
      <c r="P3839" s="73"/>
      <c r="Q3839" s="73"/>
      <c r="R3839" s="73"/>
      <c r="S3839" s="73"/>
      <c r="T3839" s="73"/>
      <c r="U3839" s="73"/>
      <c r="V3839" s="73"/>
      <c r="W3839" s="73"/>
      <c r="X3839" s="73"/>
      <c r="Y3839" s="73"/>
      <c r="Z3839" s="73"/>
      <c r="AA3839" s="73"/>
      <c r="AB3839" s="73"/>
    </row>
    <row r="3840">
      <c r="A3840" s="73"/>
      <c r="B3840" s="73">
        <v>7168055.081</v>
      </c>
      <c r="C3840" s="73">
        <v>4.44431737735054E8</v>
      </c>
      <c r="D3840" s="73">
        <v>2.24113108611989E8</v>
      </c>
      <c r="E3840" s="73">
        <v>3.13654273466051E7</v>
      </c>
      <c r="F3840" s="73"/>
      <c r="G3840" s="73"/>
      <c r="H3840" s="73"/>
      <c r="I3840" s="73"/>
      <c r="J3840" s="73"/>
      <c r="K3840" s="73"/>
      <c r="L3840" s="73"/>
      <c r="M3840" s="73"/>
      <c r="N3840" s="73"/>
      <c r="O3840" s="73"/>
      <c r="P3840" s="73"/>
      <c r="Q3840" s="73"/>
      <c r="R3840" s="73"/>
      <c r="S3840" s="73"/>
      <c r="T3840" s="73"/>
      <c r="U3840" s="73"/>
      <c r="V3840" s="73"/>
      <c r="W3840" s="73"/>
      <c r="X3840" s="73"/>
      <c r="Y3840" s="73"/>
      <c r="Z3840" s="73"/>
      <c r="AA3840" s="73"/>
      <c r="AB3840" s="73"/>
    </row>
    <row r="3841">
      <c r="A3841" s="73"/>
      <c r="B3841" s="73">
        <v>7177478.317</v>
      </c>
      <c r="C3841" s="73">
        <v>4.44746835326302E8</v>
      </c>
      <c r="D3841" s="73">
        <v>2.24303621903998E8</v>
      </c>
      <c r="E3841" s="73">
        <v>3.13951190372262E7</v>
      </c>
      <c r="F3841" s="73"/>
      <c r="G3841" s="73"/>
      <c r="H3841" s="73"/>
      <c r="I3841" s="73"/>
      <c r="J3841" s="73"/>
      <c r="K3841" s="73"/>
      <c r="L3841" s="73"/>
      <c r="M3841" s="73"/>
      <c r="N3841" s="73"/>
      <c r="O3841" s="73"/>
      <c r="P3841" s="73"/>
      <c r="Q3841" s="73"/>
      <c r="R3841" s="73"/>
      <c r="S3841" s="73"/>
      <c r="T3841" s="73"/>
      <c r="U3841" s="73"/>
      <c r="V3841" s="73"/>
      <c r="W3841" s="73"/>
      <c r="X3841" s="73"/>
      <c r="Y3841" s="73"/>
      <c r="Z3841" s="73"/>
      <c r="AA3841" s="73"/>
      <c r="AB3841" s="73"/>
    </row>
    <row r="3842">
      <c r="A3842" s="73"/>
      <c r="B3842" s="73">
        <v>7186912.82</v>
      </c>
      <c r="C3842" s="73">
        <v>4.45062097717545E8</v>
      </c>
      <c r="D3842" s="73">
        <v>2.24494238651991E8</v>
      </c>
      <c r="E3842" s="73">
        <v>3.14248287783745E7</v>
      </c>
      <c r="F3842" s="73"/>
      <c r="G3842" s="73"/>
      <c r="H3842" s="73"/>
      <c r="I3842" s="73"/>
      <c r="J3842" s="73"/>
      <c r="K3842" s="73"/>
      <c r="L3842" s="73"/>
      <c r="M3842" s="73"/>
      <c r="N3842" s="73"/>
      <c r="O3842" s="73"/>
      <c r="P3842" s="73"/>
      <c r="Q3842" s="73"/>
      <c r="R3842" s="73"/>
      <c r="S3842" s="73"/>
      <c r="T3842" s="73"/>
      <c r="U3842" s="73"/>
      <c r="V3842" s="73"/>
      <c r="W3842" s="73"/>
      <c r="X3842" s="73"/>
      <c r="Y3842" s="73"/>
      <c r="Z3842" s="73"/>
      <c r="AA3842" s="73"/>
      <c r="AB3842" s="73"/>
    </row>
    <row r="3843">
      <c r="A3843" s="73"/>
      <c r="B3843" s="73">
        <v>7196358.982</v>
      </c>
      <c r="C3843" s="73">
        <v>4.45377458988785E8</v>
      </c>
      <c r="D3843" s="73">
        <v>2.24684958567999E8</v>
      </c>
      <c r="E3843" s="73">
        <v>3.14545579421136E7</v>
      </c>
      <c r="F3843" s="73"/>
      <c r="G3843" s="73"/>
      <c r="H3843" s="73"/>
      <c r="I3843" s="73"/>
      <c r="J3843" s="73"/>
      <c r="K3843" s="73"/>
      <c r="L3843" s="73"/>
      <c r="M3843" s="73"/>
      <c r="N3843" s="73"/>
      <c r="O3843" s="73"/>
      <c r="P3843" s="73"/>
      <c r="Q3843" s="73"/>
      <c r="R3843" s="73"/>
      <c r="S3843" s="73"/>
      <c r="T3843" s="73"/>
      <c r="U3843" s="73"/>
      <c r="V3843" s="73"/>
      <c r="W3843" s="73"/>
      <c r="X3843" s="73"/>
      <c r="Y3843" s="73"/>
      <c r="Z3843" s="73"/>
      <c r="AA3843" s="73"/>
      <c r="AB3843" s="73"/>
    </row>
    <row r="3844">
      <c r="A3844" s="73"/>
      <c r="B3844" s="73">
        <v>7205816.413</v>
      </c>
      <c r="C3844" s="73">
        <v>4.4569301802002E8</v>
      </c>
      <c r="D3844" s="73">
        <v>2.24875781491993E8</v>
      </c>
      <c r="E3844" s="73">
        <v>3.14843084093077E7</v>
      </c>
      <c r="F3844" s="73"/>
      <c r="G3844" s="73"/>
      <c r="H3844" s="73"/>
      <c r="I3844" s="73"/>
      <c r="J3844" s="73"/>
      <c r="K3844" s="73"/>
      <c r="L3844" s="73"/>
      <c r="M3844" s="73"/>
      <c r="N3844" s="73"/>
      <c r="O3844" s="73"/>
      <c r="P3844" s="73"/>
      <c r="Q3844" s="73"/>
      <c r="R3844" s="73"/>
      <c r="S3844" s="73"/>
      <c r="T3844" s="73"/>
      <c r="U3844" s="73"/>
      <c r="V3844" s="73"/>
      <c r="W3844" s="73"/>
      <c r="X3844" s="73"/>
      <c r="Y3844" s="73"/>
      <c r="Z3844" s="73"/>
      <c r="AA3844" s="73"/>
      <c r="AB3844" s="73"/>
    </row>
    <row r="3845">
      <c r="A3845" s="73"/>
      <c r="B3845" s="73">
        <v>7215285.501</v>
      </c>
      <c r="C3845" s="73">
        <v>4.46008675931252E8</v>
      </c>
      <c r="D3845" s="73">
        <v>2.25066707728001E8</v>
      </c>
      <c r="E3845" s="73">
        <v>3.15140773086287E7</v>
      </c>
      <c r="F3845" s="73"/>
      <c r="G3845" s="73"/>
      <c r="H3845" s="73"/>
      <c r="I3845" s="73"/>
      <c r="J3845" s="73"/>
      <c r="K3845" s="73"/>
      <c r="L3845" s="73"/>
      <c r="M3845" s="73"/>
      <c r="N3845" s="73"/>
      <c r="O3845" s="73"/>
      <c r="P3845" s="73"/>
      <c r="Q3845" s="73"/>
      <c r="R3845" s="73"/>
      <c r="S3845" s="73"/>
      <c r="T3845" s="73"/>
      <c r="U3845" s="73"/>
      <c r="V3845" s="73"/>
      <c r="W3845" s="73"/>
      <c r="X3845" s="73"/>
      <c r="Y3845" s="73"/>
      <c r="Z3845" s="73"/>
      <c r="AA3845" s="73"/>
      <c r="AB3845" s="73"/>
    </row>
    <row r="3846">
      <c r="A3846" s="73"/>
      <c r="B3846" s="73">
        <v>7224765.927</v>
      </c>
      <c r="C3846" s="73">
        <v>4.46324498642479E8</v>
      </c>
      <c r="D3846" s="73">
        <v>2.25257757755995E8</v>
      </c>
      <c r="E3846" s="73">
        <v>3.15438666210046E7</v>
      </c>
      <c r="F3846" s="73"/>
      <c r="G3846" s="73"/>
      <c r="H3846" s="73"/>
      <c r="I3846" s="73"/>
      <c r="J3846" s="73"/>
      <c r="K3846" s="73"/>
      <c r="L3846" s="73"/>
      <c r="M3846" s="73"/>
      <c r="N3846" s="73"/>
      <c r="O3846" s="73"/>
      <c r="P3846" s="73"/>
      <c r="Q3846" s="73"/>
      <c r="R3846" s="73"/>
      <c r="S3846" s="73"/>
      <c r="T3846" s="73"/>
      <c r="U3846" s="73"/>
      <c r="V3846" s="73"/>
      <c r="W3846" s="73"/>
      <c r="X3846" s="73"/>
      <c r="Y3846" s="73"/>
      <c r="Z3846" s="73"/>
      <c r="AA3846" s="73"/>
      <c r="AB3846" s="73"/>
    </row>
    <row r="3847">
      <c r="A3847" s="73"/>
      <c r="B3847" s="73">
        <v>7234257.605</v>
      </c>
      <c r="C3847" s="73">
        <v>4.46640486153702E8</v>
      </c>
      <c r="D3847" s="73">
        <v>2.25448890312003E8</v>
      </c>
      <c r="E3847" s="73">
        <v>3.15736751711075E7</v>
      </c>
      <c r="F3847" s="73"/>
      <c r="G3847" s="73"/>
      <c r="H3847" s="73"/>
      <c r="I3847" s="73"/>
      <c r="J3847" s="73"/>
      <c r="K3847" s="73"/>
      <c r="L3847" s="73"/>
      <c r="M3847" s="73"/>
      <c r="N3847" s="73"/>
      <c r="O3847" s="73"/>
      <c r="P3847" s="73"/>
      <c r="Q3847" s="73"/>
      <c r="R3847" s="73"/>
      <c r="S3847" s="73"/>
      <c r="T3847" s="73"/>
      <c r="U3847" s="73"/>
      <c r="V3847" s="73"/>
      <c r="W3847" s="73"/>
      <c r="X3847" s="73"/>
      <c r="Y3847" s="73"/>
      <c r="Z3847" s="73"/>
      <c r="AA3847" s="73"/>
      <c r="AB3847" s="73"/>
    </row>
    <row r="3848">
      <c r="A3848" s="73"/>
      <c r="B3848" s="73">
        <v>7243761.167</v>
      </c>
      <c r="C3848" s="73">
        <v>4.46956605504921E8</v>
      </c>
      <c r="D3848" s="73">
        <v>2.25640146819996E8</v>
      </c>
      <c r="E3848" s="73">
        <v>3.16035036254653E7</v>
      </c>
      <c r="F3848" s="73"/>
      <c r="G3848" s="73"/>
      <c r="H3848" s="73"/>
      <c r="I3848" s="73"/>
      <c r="J3848" s="73"/>
      <c r="K3848" s="73"/>
      <c r="L3848" s="73"/>
      <c r="M3848" s="73"/>
      <c r="N3848" s="73"/>
      <c r="O3848" s="73"/>
      <c r="P3848" s="73"/>
      <c r="Q3848" s="73"/>
      <c r="R3848" s="73"/>
      <c r="S3848" s="73"/>
      <c r="T3848" s="73"/>
      <c r="U3848" s="73"/>
      <c r="V3848" s="73"/>
      <c r="W3848" s="73"/>
      <c r="X3848" s="73"/>
      <c r="Y3848" s="73"/>
      <c r="Z3848" s="73"/>
      <c r="AA3848" s="73"/>
      <c r="AB3848" s="73"/>
    </row>
    <row r="3849">
      <c r="A3849" s="73"/>
      <c r="B3849" s="73">
        <v>7253275.923</v>
      </c>
      <c r="C3849" s="73">
        <v>4.47272856696136E8</v>
      </c>
      <c r="D3849" s="73">
        <v>2.2583148599999E8</v>
      </c>
      <c r="E3849" s="73">
        <v>3.16333513599501E7</v>
      </c>
      <c r="F3849" s="73"/>
      <c r="G3849" s="73"/>
      <c r="H3849" s="73"/>
      <c r="I3849" s="73"/>
      <c r="J3849" s="73"/>
      <c r="K3849" s="73"/>
      <c r="L3849" s="73"/>
      <c r="M3849" s="73"/>
      <c r="N3849" s="73"/>
      <c r="O3849" s="73"/>
      <c r="P3849" s="73"/>
      <c r="Q3849" s="73"/>
      <c r="R3849" s="73"/>
      <c r="S3849" s="73"/>
      <c r="T3849" s="73"/>
      <c r="U3849" s="73"/>
      <c r="V3849" s="73"/>
      <c r="W3849" s="73"/>
      <c r="X3849" s="73"/>
      <c r="Y3849" s="73"/>
      <c r="Z3849" s="73"/>
      <c r="AA3849" s="73"/>
      <c r="AB3849" s="73"/>
    </row>
    <row r="3850">
      <c r="A3850" s="73"/>
      <c r="B3850" s="73">
        <v>7262802.161</v>
      </c>
      <c r="C3850" s="73">
        <v>4.47589206767349E8</v>
      </c>
      <c r="D3850" s="73">
        <v>2.26022948667998E8</v>
      </c>
      <c r="E3850" s="73">
        <v>3.16632195498898E7</v>
      </c>
      <c r="F3850" s="73"/>
      <c r="G3850" s="73"/>
      <c r="H3850" s="73"/>
      <c r="I3850" s="73"/>
      <c r="J3850" s="73"/>
      <c r="K3850" s="73"/>
      <c r="L3850" s="73"/>
      <c r="M3850" s="73"/>
      <c r="N3850" s="73"/>
      <c r="O3850" s="73"/>
      <c r="P3850" s="73"/>
      <c r="Q3850" s="73"/>
      <c r="R3850" s="73"/>
      <c r="S3850" s="73"/>
      <c r="T3850" s="73"/>
      <c r="U3850" s="73"/>
      <c r="V3850" s="73"/>
      <c r="W3850" s="73"/>
      <c r="X3850" s="73"/>
      <c r="Y3850" s="73"/>
      <c r="Z3850" s="73"/>
      <c r="AA3850" s="73"/>
      <c r="AB3850" s="73"/>
    </row>
    <row r="3851">
      <c r="A3851" s="73"/>
      <c r="B3851" s="73">
        <v>7272339.78</v>
      </c>
      <c r="C3851" s="73">
        <v>4.47905754598557E8</v>
      </c>
      <c r="D3851" s="73">
        <v>2.26214514663991E8</v>
      </c>
      <c r="E3851" s="73">
        <v>3.16931058751564E7</v>
      </c>
      <c r="F3851" s="73"/>
      <c r="G3851" s="73"/>
      <c r="H3851" s="73"/>
      <c r="I3851" s="73"/>
      <c r="J3851" s="73"/>
      <c r="K3851" s="73"/>
      <c r="L3851" s="73"/>
      <c r="M3851" s="73"/>
      <c r="N3851" s="73"/>
      <c r="O3851" s="73"/>
      <c r="P3851" s="73"/>
      <c r="Q3851" s="73"/>
      <c r="R3851" s="73"/>
      <c r="S3851" s="73"/>
      <c r="T3851" s="73"/>
      <c r="U3851" s="73"/>
      <c r="V3851" s="73"/>
      <c r="W3851" s="73"/>
      <c r="X3851" s="73"/>
      <c r="Y3851" s="73"/>
      <c r="Z3851" s="73"/>
      <c r="AA3851" s="73"/>
      <c r="AB3851" s="73"/>
    </row>
    <row r="3852">
      <c r="A3852" s="73"/>
      <c r="B3852" s="73">
        <v>7281889.193</v>
      </c>
      <c r="C3852" s="73">
        <v>4.48222401309761E8</v>
      </c>
      <c r="D3852" s="73">
        <v>2.26406183956E8</v>
      </c>
      <c r="E3852" s="73">
        <v>3.1723013970278E7</v>
      </c>
      <c r="F3852" s="73"/>
      <c r="G3852" s="73"/>
      <c r="H3852" s="73"/>
      <c r="I3852" s="73"/>
      <c r="J3852" s="73"/>
      <c r="K3852" s="73"/>
      <c r="L3852" s="73"/>
      <c r="M3852" s="73"/>
      <c r="N3852" s="73"/>
      <c r="O3852" s="73"/>
      <c r="P3852" s="73"/>
      <c r="Q3852" s="73"/>
      <c r="R3852" s="73"/>
      <c r="S3852" s="73"/>
      <c r="T3852" s="73"/>
      <c r="U3852" s="73"/>
      <c r="V3852" s="73"/>
      <c r="W3852" s="73"/>
      <c r="X3852" s="73"/>
      <c r="Y3852" s="73"/>
      <c r="Z3852" s="73"/>
      <c r="AA3852" s="73"/>
      <c r="AB3852" s="73"/>
    </row>
    <row r="3853">
      <c r="A3853" s="73"/>
      <c r="B3853" s="73">
        <v>7291449.782</v>
      </c>
      <c r="C3853" s="73">
        <v>4.4853924578096E8</v>
      </c>
      <c r="D3853" s="73">
        <v>2.26597956271993E8</v>
      </c>
      <c r="E3853" s="73">
        <v>3.17529416999904E7</v>
      </c>
      <c r="F3853" s="73"/>
      <c r="G3853" s="73"/>
      <c r="H3853" s="73"/>
      <c r="I3853" s="73"/>
      <c r="J3853" s="73"/>
      <c r="K3853" s="73"/>
      <c r="L3853" s="73"/>
      <c r="M3853" s="73"/>
      <c r="N3853" s="73"/>
      <c r="O3853" s="73"/>
      <c r="P3853" s="73"/>
      <c r="Q3853" s="73"/>
      <c r="R3853" s="73"/>
      <c r="S3853" s="73"/>
      <c r="T3853" s="73"/>
      <c r="U3853" s="73"/>
      <c r="V3853" s="73"/>
      <c r="W3853" s="73"/>
      <c r="X3853" s="73"/>
      <c r="Y3853" s="73"/>
      <c r="Z3853" s="73"/>
      <c r="AA3853" s="73"/>
      <c r="AB3853" s="73"/>
    </row>
    <row r="3854">
      <c r="A3854" s="73"/>
      <c r="B3854" s="73">
        <v>7301021.936</v>
      </c>
      <c r="C3854" s="73">
        <v>4.48856189132156E8</v>
      </c>
      <c r="D3854" s="73">
        <v>2.26789831884002E8</v>
      </c>
      <c r="E3854" s="73">
        <v>3.17828873954299E7</v>
      </c>
      <c r="F3854" s="73"/>
      <c r="G3854" s="73"/>
      <c r="H3854" s="73"/>
      <c r="I3854" s="73"/>
      <c r="J3854" s="73"/>
      <c r="K3854" s="73"/>
      <c r="L3854" s="73"/>
      <c r="M3854" s="73"/>
      <c r="N3854" s="73"/>
      <c r="O3854" s="73"/>
      <c r="P3854" s="73"/>
      <c r="Q3854" s="73"/>
      <c r="R3854" s="73"/>
      <c r="S3854" s="73"/>
      <c r="T3854" s="73"/>
      <c r="U3854" s="73"/>
      <c r="V3854" s="73"/>
      <c r="W3854" s="73"/>
      <c r="X3854" s="73"/>
      <c r="Y3854" s="73"/>
      <c r="Z3854" s="73"/>
      <c r="AA3854" s="73"/>
      <c r="AB3854" s="73"/>
    </row>
    <row r="3855">
      <c r="A3855" s="73"/>
      <c r="B3855" s="73">
        <v>7310605.753</v>
      </c>
      <c r="C3855" s="73">
        <v>4.49173264323349E8</v>
      </c>
      <c r="D3855" s="73">
        <v>2.26981810823995E8</v>
      </c>
      <c r="E3855" s="73">
        <v>3.18128540975243E7</v>
      </c>
      <c r="F3855" s="73"/>
      <c r="G3855" s="73"/>
      <c r="H3855" s="73"/>
      <c r="I3855" s="73"/>
      <c r="J3855" s="73"/>
      <c r="K3855" s="73"/>
      <c r="L3855" s="73"/>
      <c r="M3855" s="73"/>
      <c r="N3855" s="73"/>
      <c r="O3855" s="73"/>
      <c r="P3855" s="73"/>
      <c r="Q3855" s="73"/>
      <c r="R3855" s="73"/>
      <c r="S3855" s="73"/>
      <c r="T3855" s="73"/>
      <c r="U3855" s="73"/>
      <c r="V3855" s="73"/>
      <c r="W3855" s="73"/>
      <c r="X3855" s="73"/>
      <c r="Y3855" s="73"/>
      <c r="Z3855" s="73"/>
      <c r="AA3855" s="73"/>
      <c r="AB3855" s="73"/>
    </row>
    <row r="3856">
      <c r="A3856" s="73"/>
      <c r="B3856" s="73">
        <v>7320201.082</v>
      </c>
      <c r="C3856" s="73">
        <v>4.49490504314537E8</v>
      </c>
      <c r="D3856" s="73">
        <v>2.27173892772004E8</v>
      </c>
      <c r="E3856" s="73">
        <v>3.18428408582095E7</v>
      </c>
      <c r="F3856" s="73"/>
      <c r="G3856" s="73"/>
      <c r="H3856" s="73"/>
      <c r="I3856" s="73"/>
      <c r="J3856" s="73"/>
      <c r="K3856" s="73"/>
      <c r="L3856" s="73"/>
      <c r="M3856" s="73"/>
      <c r="N3856" s="73"/>
      <c r="O3856" s="73"/>
      <c r="P3856" s="73"/>
      <c r="Q3856" s="73"/>
      <c r="R3856" s="73"/>
      <c r="S3856" s="73"/>
      <c r="T3856" s="73"/>
      <c r="U3856" s="73"/>
      <c r="V3856" s="73"/>
      <c r="W3856" s="73"/>
      <c r="X3856" s="73"/>
      <c r="Y3856" s="73"/>
      <c r="Z3856" s="73"/>
      <c r="AA3856" s="73"/>
      <c r="AB3856" s="73"/>
    </row>
    <row r="3857">
      <c r="A3857" s="73"/>
      <c r="B3857" s="73">
        <v>7329807.685</v>
      </c>
      <c r="C3857" s="73">
        <v>4.49807876145721E8</v>
      </c>
      <c r="D3857" s="73">
        <v>2.27366098511997E8</v>
      </c>
      <c r="E3857" s="73">
        <v>3.18728467022858E7</v>
      </c>
      <c r="F3857" s="73"/>
      <c r="G3857" s="73"/>
      <c r="H3857" s="73"/>
      <c r="I3857" s="73"/>
      <c r="J3857" s="73"/>
      <c r="K3857" s="73"/>
      <c r="L3857" s="73"/>
      <c r="M3857" s="73"/>
      <c r="N3857" s="73"/>
      <c r="O3857" s="73"/>
      <c r="P3857" s="73"/>
      <c r="Q3857" s="73"/>
      <c r="R3857" s="73"/>
      <c r="S3857" s="73"/>
      <c r="T3857" s="73"/>
      <c r="U3857" s="73"/>
      <c r="V3857" s="73"/>
      <c r="W3857" s="73"/>
      <c r="X3857" s="73"/>
      <c r="Y3857" s="73"/>
      <c r="Z3857" s="73"/>
      <c r="AA3857" s="73"/>
      <c r="AB3857" s="73"/>
    </row>
    <row r="3858">
      <c r="A3858" s="73"/>
      <c r="B3858" s="73">
        <v>7339425.977</v>
      </c>
      <c r="C3858" s="73">
        <v>4.50125379816902E8</v>
      </c>
      <c r="D3858" s="73">
        <v>2.2755838692399E8</v>
      </c>
      <c r="E3858" s="73">
        <v>3.19028729017529E7</v>
      </c>
      <c r="F3858" s="73"/>
      <c r="G3858" s="73"/>
      <c r="H3858" s="73"/>
      <c r="I3858" s="73"/>
      <c r="J3858" s="73"/>
      <c r="K3858" s="73"/>
      <c r="L3858" s="73"/>
      <c r="M3858" s="73"/>
      <c r="N3858" s="73"/>
      <c r="O3858" s="73"/>
      <c r="P3858" s="73"/>
      <c r="Q3858" s="73"/>
      <c r="R3858" s="73"/>
      <c r="S3858" s="73"/>
      <c r="T3858" s="73"/>
      <c r="U3858" s="73"/>
      <c r="V3858" s="73"/>
      <c r="W3858" s="73"/>
      <c r="X3858" s="73"/>
      <c r="Y3858" s="73"/>
      <c r="Z3858" s="73"/>
      <c r="AA3858" s="73"/>
      <c r="AB3858" s="73"/>
    </row>
    <row r="3859">
      <c r="A3859" s="73"/>
      <c r="B3859" s="73">
        <v>7349055.643</v>
      </c>
      <c r="C3859" s="73">
        <v>4.50443081248077E8</v>
      </c>
      <c r="D3859" s="73">
        <v>2.27750799287999E8</v>
      </c>
      <c r="E3859" s="73">
        <v>3.1932918735811E7</v>
      </c>
      <c r="F3859" s="73"/>
      <c r="G3859" s="73"/>
      <c r="H3859" s="73"/>
      <c r="I3859" s="73"/>
      <c r="J3859" s="73"/>
      <c r="K3859" s="73"/>
      <c r="L3859" s="73"/>
      <c r="M3859" s="73"/>
      <c r="N3859" s="73"/>
      <c r="O3859" s="73"/>
      <c r="P3859" s="73"/>
      <c r="Q3859" s="73"/>
      <c r="R3859" s="73"/>
      <c r="S3859" s="73"/>
      <c r="T3859" s="73"/>
      <c r="U3859" s="73"/>
      <c r="V3859" s="73"/>
      <c r="W3859" s="73"/>
      <c r="X3859" s="73"/>
      <c r="Y3859" s="73"/>
      <c r="Z3859" s="73"/>
      <c r="AA3859" s="73"/>
      <c r="AB3859" s="73"/>
    </row>
    <row r="3860">
      <c r="A3860" s="73"/>
      <c r="B3860" s="73">
        <v>7358697.036</v>
      </c>
      <c r="C3860" s="73">
        <v>4.5076088155925E8</v>
      </c>
      <c r="D3860" s="73">
        <v>2.27943314659992E8</v>
      </c>
      <c r="E3860" s="73">
        <v>3.196298373806E7</v>
      </c>
      <c r="F3860" s="73"/>
      <c r="G3860" s="73"/>
      <c r="H3860" s="73"/>
      <c r="I3860" s="73"/>
      <c r="J3860" s="73"/>
      <c r="K3860" s="73"/>
      <c r="L3860" s="73"/>
      <c r="M3860" s="73"/>
      <c r="N3860" s="73"/>
      <c r="O3860" s="73"/>
      <c r="P3860" s="73"/>
      <c r="Q3860" s="73"/>
      <c r="R3860" s="73"/>
      <c r="S3860" s="73"/>
      <c r="T3860" s="73"/>
      <c r="U3860" s="73"/>
      <c r="V3860" s="73"/>
      <c r="W3860" s="73"/>
      <c r="X3860" s="73"/>
      <c r="Y3860" s="73"/>
      <c r="Z3860" s="73"/>
      <c r="AA3860" s="73"/>
      <c r="AB3860" s="73"/>
    </row>
    <row r="3861">
      <c r="A3861" s="73"/>
      <c r="B3861" s="73">
        <v>7368349.677</v>
      </c>
      <c r="C3861" s="73">
        <v>4.51078813710419E8</v>
      </c>
      <c r="D3861" s="73">
        <v>2.28135933184001E8</v>
      </c>
      <c r="E3861" s="73">
        <v>3.19930687565E7</v>
      </c>
      <c r="F3861" s="73"/>
      <c r="G3861" s="73"/>
      <c r="H3861" s="73"/>
      <c r="I3861" s="73"/>
      <c r="J3861" s="73"/>
      <c r="K3861" s="73"/>
      <c r="L3861" s="73"/>
      <c r="M3861" s="73"/>
      <c r="N3861" s="73"/>
      <c r="O3861" s="73"/>
      <c r="P3861" s="73"/>
      <c r="Q3861" s="73"/>
      <c r="R3861" s="73"/>
      <c r="S3861" s="73"/>
      <c r="T3861" s="73"/>
      <c r="U3861" s="73"/>
      <c r="V3861" s="73"/>
      <c r="W3861" s="73"/>
      <c r="X3861" s="73"/>
      <c r="Y3861" s="73"/>
      <c r="Z3861" s="73"/>
      <c r="AA3861" s="73"/>
      <c r="AB3861" s="73"/>
    </row>
    <row r="3862">
      <c r="A3862" s="73"/>
      <c r="B3862" s="73">
        <v>7378014.045</v>
      </c>
      <c r="C3862" s="73">
        <v>4.51396877701584E8</v>
      </c>
      <c r="D3862" s="73">
        <v>2.28328654891994E8</v>
      </c>
      <c r="E3862" s="73">
        <v>3.20231737487309E7</v>
      </c>
      <c r="F3862" s="73"/>
      <c r="G3862" s="73"/>
      <c r="H3862" s="73"/>
      <c r="I3862" s="73"/>
      <c r="J3862" s="73"/>
      <c r="K3862" s="73"/>
      <c r="L3862" s="73"/>
      <c r="M3862" s="73"/>
      <c r="N3862" s="73"/>
      <c r="O3862" s="73"/>
      <c r="P3862" s="73"/>
      <c r="Q3862" s="73"/>
      <c r="R3862" s="73"/>
      <c r="S3862" s="73"/>
      <c r="T3862" s="73"/>
      <c r="U3862" s="73"/>
      <c r="V3862" s="73"/>
      <c r="W3862" s="73"/>
      <c r="X3862" s="73"/>
      <c r="Y3862" s="73"/>
      <c r="Z3862" s="73"/>
      <c r="AA3862" s="73"/>
      <c r="AB3862" s="73"/>
    </row>
    <row r="3863">
      <c r="A3863" s="73"/>
      <c r="B3863" s="73">
        <v>7387690.075</v>
      </c>
      <c r="C3863" s="73">
        <v>4.51715139452744E8</v>
      </c>
      <c r="D3863" s="73">
        <v>2.28521479896002E8</v>
      </c>
      <c r="E3863" s="73">
        <v>3.20532981635527E7</v>
      </c>
      <c r="F3863" s="73"/>
      <c r="G3863" s="73"/>
      <c r="H3863" s="73"/>
      <c r="I3863" s="73"/>
      <c r="J3863" s="73"/>
      <c r="K3863" s="73"/>
      <c r="L3863" s="73"/>
      <c r="M3863" s="73"/>
      <c r="N3863" s="73"/>
      <c r="O3863" s="73"/>
      <c r="P3863" s="73"/>
      <c r="Q3863" s="73"/>
      <c r="R3863" s="73"/>
      <c r="S3863" s="73"/>
      <c r="T3863" s="73"/>
      <c r="U3863" s="73"/>
      <c r="V3863" s="73"/>
      <c r="W3863" s="73"/>
      <c r="X3863" s="73"/>
      <c r="Y3863" s="73"/>
      <c r="Z3863" s="73"/>
      <c r="AA3863" s="73"/>
      <c r="AB3863" s="73"/>
    </row>
    <row r="3864">
      <c r="A3864" s="73"/>
      <c r="B3864" s="73">
        <v>7397377.528</v>
      </c>
      <c r="C3864" s="73">
        <v>4.52033467123901E8</v>
      </c>
      <c r="D3864" s="73">
        <v>2.28714428531996E8</v>
      </c>
      <c r="E3864" s="73">
        <v>3.20834423401655E7</v>
      </c>
      <c r="F3864" s="73"/>
      <c r="G3864" s="73"/>
      <c r="H3864" s="73"/>
      <c r="I3864" s="73"/>
      <c r="J3864" s="73"/>
      <c r="K3864" s="73"/>
      <c r="L3864" s="73"/>
      <c r="M3864" s="73"/>
      <c r="N3864" s="73"/>
      <c r="O3864" s="73"/>
      <c r="P3864" s="73"/>
      <c r="Q3864" s="73"/>
      <c r="R3864" s="73"/>
      <c r="S3864" s="73"/>
      <c r="T3864" s="73"/>
      <c r="U3864" s="73"/>
      <c r="V3864" s="73"/>
      <c r="W3864" s="73"/>
      <c r="X3864" s="73"/>
      <c r="Y3864" s="73"/>
      <c r="Z3864" s="73"/>
      <c r="AA3864" s="73"/>
      <c r="AB3864" s="73"/>
    </row>
    <row r="3865">
      <c r="A3865" s="73"/>
      <c r="B3865" s="73">
        <v>7407076.486</v>
      </c>
      <c r="C3865" s="73">
        <v>4.52351959595055E8</v>
      </c>
      <c r="D3865" s="73">
        <v>2.28907460015989E8</v>
      </c>
      <c r="E3865" s="73">
        <v>3.21136058969692E7</v>
      </c>
      <c r="F3865" s="73"/>
      <c r="G3865" s="73"/>
      <c r="H3865" s="73"/>
      <c r="I3865" s="73"/>
      <c r="J3865" s="73"/>
      <c r="K3865" s="73"/>
      <c r="L3865" s="73"/>
      <c r="M3865" s="73"/>
      <c r="N3865" s="73"/>
      <c r="O3865" s="73"/>
      <c r="P3865" s="73"/>
      <c r="Q3865" s="73"/>
      <c r="R3865" s="73"/>
      <c r="S3865" s="73"/>
      <c r="T3865" s="73"/>
      <c r="U3865" s="73"/>
      <c r="V3865" s="73"/>
      <c r="W3865" s="73"/>
      <c r="X3865" s="73"/>
      <c r="Y3865" s="73"/>
      <c r="Z3865" s="73"/>
      <c r="AA3865" s="73"/>
      <c r="AB3865" s="73"/>
    </row>
    <row r="3866">
      <c r="A3866" s="73"/>
      <c r="B3866" s="73">
        <v>7416787.117</v>
      </c>
      <c r="C3866" s="73">
        <v>4.52670649826202E8</v>
      </c>
      <c r="D3866" s="73">
        <v>2.29100615131998E8</v>
      </c>
      <c r="E3866" s="73">
        <v>3.21437910540278E7</v>
      </c>
      <c r="F3866" s="73"/>
      <c r="G3866" s="73"/>
      <c r="H3866" s="73"/>
      <c r="I3866" s="73"/>
      <c r="J3866" s="73"/>
      <c r="K3866" s="73"/>
      <c r="L3866" s="73"/>
      <c r="M3866" s="73"/>
      <c r="N3866" s="73"/>
      <c r="O3866" s="73"/>
      <c r="P3866" s="73"/>
      <c r="Q3866" s="73"/>
      <c r="R3866" s="73"/>
      <c r="S3866" s="73"/>
      <c r="T3866" s="73"/>
      <c r="U3866" s="73"/>
      <c r="V3866" s="73"/>
      <c r="W3866" s="73"/>
      <c r="X3866" s="73"/>
      <c r="Y3866" s="73"/>
      <c r="Z3866" s="73"/>
      <c r="AA3866" s="73"/>
      <c r="AB3866" s="73"/>
    </row>
    <row r="3867">
      <c r="A3867" s="73"/>
      <c r="B3867" s="73">
        <v>7426509.248</v>
      </c>
      <c r="C3867" s="73">
        <v>4.52989438937347E8</v>
      </c>
      <c r="D3867" s="73">
        <v>2.29293853095991E8</v>
      </c>
      <c r="E3867" s="73">
        <v>3.21739949824133E7</v>
      </c>
      <c r="F3867" s="73"/>
      <c r="G3867" s="73"/>
      <c r="H3867" s="73"/>
      <c r="I3867" s="73"/>
      <c r="J3867" s="73"/>
      <c r="K3867" s="73"/>
      <c r="L3867" s="73"/>
      <c r="M3867" s="73"/>
      <c r="N3867" s="73"/>
      <c r="O3867" s="73"/>
      <c r="P3867" s="73"/>
      <c r="Q3867" s="73"/>
      <c r="R3867" s="73"/>
      <c r="S3867" s="73"/>
      <c r="T3867" s="73"/>
      <c r="U3867" s="73"/>
      <c r="V3867" s="73"/>
      <c r="W3867" s="73"/>
      <c r="X3867" s="73"/>
      <c r="Y3867" s="73"/>
      <c r="Z3867" s="73"/>
      <c r="AA3867" s="73"/>
      <c r="AB3867" s="73"/>
    </row>
    <row r="3868">
      <c r="A3868" s="73"/>
      <c r="B3868" s="73">
        <v>7436242.98</v>
      </c>
      <c r="C3868" s="73">
        <v>4.53308392848488E8</v>
      </c>
      <c r="D3868" s="73">
        <v>2.29487214387999E8</v>
      </c>
      <c r="E3868" s="73">
        <v>3.22042182061898E7</v>
      </c>
      <c r="F3868" s="73"/>
      <c r="G3868" s="73"/>
      <c r="H3868" s="73"/>
      <c r="I3868" s="73"/>
      <c r="J3868" s="73"/>
      <c r="K3868" s="73"/>
      <c r="L3868" s="73"/>
      <c r="M3868" s="73"/>
      <c r="N3868" s="73"/>
      <c r="O3868" s="73"/>
      <c r="P3868" s="73"/>
      <c r="Q3868" s="73"/>
      <c r="R3868" s="73"/>
      <c r="S3868" s="73"/>
      <c r="T3868" s="73"/>
      <c r="U3868" s="73"/>
      <c r="V3868" s="73"/>
      <c r="W3868" s="73"/>
      <c r="X3868" s="73"/>
      <c r="Y3868" s="73"/>
      <c r="Z3868" s="73"/>
      <c r="AA3868" s="73"/>
      <c r="AB3868" s="73"/>
    </row>
    <row r="3869">
      <c r="A3869" s="73"/>
      <c r="B3869" s="73">
        <v>7445988.223</v>
      </c>
      <c r="C3869" s="73">
        <v>4.53627445639626E8</v>
      </c>
      <c r="D3869" s="73">
        <v>2.29680679295993E8</v>
      </c>
      <c r="E3869" s="73">
        <v>3.22344625214212E7</v>
      </c>
      <c r="F3869" s="73"/>
      <c r="G3869" s="73"/>
      <c r="H3869" s="73"/>
      <c r="I3869" s="73"/>
      <c r="J3869" s="73"/>
      <c r="K3869" s="73"/>
      <c r="L3869" s="73"/>
      <c r="M3869" s="73"/>
      <c r="N3869" s="73"/>
      <c r="O3869" s="73"/>
      <c r="P3869" s="73"/>
      <c r="Q3869" s="73"/>
      <c r="R3869" s="73"/>
      <c r="S3869" s="73"/>
      <c r="T3869" s="73"/>
      <c r="U3869" s="73"/>
      <c r="V3869" s="73"/>
      <c r="W3869" s="73"/>
      <c r="X3869" s="73"/>
      <c r="Y3869" s="73"/>
      <c r="Z3869" s="73"/>
      <c r="AA3869" s="73"/>
      <c r="AB3869" s="73"/>
    </row>
    <row r="3870">
      <c r="A3870" s="73"/>
      <c r="B3870" s="73">
        <v>7455745.241</v>
      </c>
      <c r="C3870" s="73">
        <v>4.53946663230759E8</v>
      </c>
      <c r="D3870" s="73">
        <v>2.29874247212001E8</v>
      </c>
      <c r="E3870" s="73">
        <v>3.22647246751796E7</v>
      </c>
      <c r="F3870" s="73"/>
      <c r="G3870" s="73"/>
      <c r="H3870" s="73"/>
      <c r="I3870" s="73"/>
      <c r="J3870" s="73"/>
      <c r="K3870" s="73"/>
      <c r="L3870" s="73"/>
      <c r="M3870" s="73"/>
      <c r="N3870" s="73"/>
      <c r="O3870" s="73"/>
      <c r="P3870" s="73"/>
      <c r="Q3870" s="73"/>
      <c r="R3870" s="73"/>
      <c r="S3870" s="73"/>
      <c r="T3870" s="73"/>
      <c r="U3870" s="73"/>
      <c r="V3870" s="73"/>
      <c r="W3870" s="73"/>
      <c r="X3870" s="73"/>
      <c r="Y3870" s="73"/>
      <c r="Z3870" s="73"/>
      <c r="AA3870" s="73"/>
      <c r="AB3870" s="73"/>
    </row>
    <row r="3871">
      <c r="A3871" s="73"/>
      <c r="B3871" s="73">
        <v>7465513.695</v>
      </c>
      <c r="C3871" s="73">
        <v>4.54266045621887E8</v>
      </c>
      <c r="D3871" s="73">
        <v>2.30067918295994E8</v>
      </c>
      <c r="E3871" s="73">
        <v>3.22950087259928E7</v>
      </c>
      <c r="F3871" s="73"/>
      <c r="G3871" s="73"/>
      <c r="H3871" s="73"/>
      <c r="I3871" s="73"/>
      <c r="J3871" s="73"/>
      <c r="K3871" s="73"/>
      <c r="L3871" s="73"/>
      <c r="M3871" s="73"/>
      <c r="N3871" s="73"/>
      <c r="O3871" s="73"/>
      <c r="P3871" s="73"/>
      <c r="Q3871" s="73"/>
      <c r="R3871" s="73"/>
      <c r="S3871" s="73"/>
      <c r="T3871" s="73"/>
      <c r="U3871" s="73"/>
      <c r="V3871" s="73"/>
      <c r="W3871" s="73"/>
      <c r="X3871" s="73"/>
      <c r="Y3871" s="73"/>
      <c r="Z3871" s="73"/>
      <c r="AA3871" s="73"/>
      <c r="AB3871" s="73"/>
    </row>
    <row r="3872">
      <c r="A3872" s="73"/>
      <c r="B3872" s="73">
        <v>7475293.868</v>
      </c>
      <c r="C3872" s="73">
        <v>4.54585559853012E8</v>
      </c>
      <c r="D3872" s="73">
        <v>2.30261692836003E8</v>
      </c>
      <c r="E3872" s="73">
        <v>3.23253105305331E7</v>
      </c>
      <c r="F3872" s="73"/>
      <c r="G3872" s="73"/>
      <c r="H3872" s="73"/>
      <c r="I3872" s="73"/>
      <c r="J3872" s="73"/>
      <c r="K3872" s="73"/>
      <c r="L3872" s="73"/>
      <c r="M3872" s="73"/>
      <c r="N3872" s="73"/>
      <c r="O3872" s="73"/>
      <c r="P3872" s="73"/>
      <c r="Q3872" s="73"/>
      <c r="R3872" s="73"/>
      <c r="S3872" s="73"/>
      <c r="T3872" s="73"/>
      <c r="U3872" s="73"/>
      <c r="V3872" s="73"/>
      <c r="W3872" s="73"/>
      <c r="X3872" s="73"/>
      <c r="Y3872" s="73"/>
      <c r="Z3872" s="73"/>
      <c r="AA3872" s="73"/>
      <c r="AB3872" s="73"/>
    </row>
    <row r="3873">
      <c r="A3873" s="73"/>
      <c r="B3873" s="73">
        <v>7485085.36</v>
      </c>
      <c r="C3873" s="73">
        <v>4.54905172964134E8</v>
      </c>
      <c r="D3873" s="73">
        <v>2.30455590863996E8</v>
      </c>
      <c r="E3873" s="73">
        <v>3.23556346137281E7</v>
      </c>
      <c r="F3873" s="73"/>
      <c r="G3873" s="73"/>
      <c r="H3873" s="73"/>
      <c r="I3873" s="73"/>
      <c r="J3873" s="73"/>
      <c r="K3873" s="73"/>
      <c r="L3873" s="73"/>
      <c r="M3873" s="73"/>
      <c r="N3873" s="73"/>
      <c r="O3873" s="73"/>
      <c r="P3873" s="73"/>
      <c r="Q3873" s="73"/>
      <c r="R3873" s="73"/>
      <c r="S3873" s="73"/>
      <c r="T3873" s="73"/>
      <c r="U3873" s="73"/>
      <c r="V3873" s="73"/>
      <c r="W3873" s="73"/>
      <c r="X3873" s="73"/>
      <c r="Y3873" s="73"/>
      <c r="Z3873" s="73"/>
      <c r="AA3873" s="73"/>
      <c r="AB3873" s="73"/>
    </row>
    <row r="3874">
      <c r="A3874" s="73"/>
      <c r="B3874" s="73">
        <v>7494888.856</v>
      </c>
      <c r="C3874" s="73">
        <v>4.55224983835251E8</v>
      </c>
      <c r="D3874" s="73">
        <v>2.3064957157999E8</v>
      </c>
      <c r="E3874" s="73">
        <v>3.23859758146502E7</v>
      </c>
      <c r="F3874" s="73"/>
      <c r="G3874" s="73"/>
      <c r="H3874" s="73"/>
      <c r="I3874" s="73"/>
      <c r="J3874" s="73"/>
      <c r="K3874" s="73"/>
      <c r="L3874" s="73"/>
      <c r="M3874" s="73"/>
      <c r="N3874" s="73"/>
      <c r="O3874" s="73"/>
      <c r="P3874" s="73"/>
      <c r="Q3874" s="73"/>
      <c r="R3874" s="73"/>
      <c r="S3874" s="73"/>
      <c r="T3874" s="73"/>
      <c r="U3874" s="73"/>
      <c r="V3874" s="73"/>
      <c r="W3874" s="73"/>
      <c r="X3874" s="73"/>
      <c r="Y3874" s="73"/>
      <c r="Z3874" s="73"/>
      <c r="AA3874" s="73"/>
      <c r="AB3874" s="73"/>
    </row>
    <row r="3875">
      <c r="A3875" s="73"/>
      <c r="B3875" s="73">
        <v>7504703.498</v>
      </c>
      <c r="C3875" s="73">
        <v>4.55544893586365E8</v>
      </c>
      <c r="D3875" s="73">
        <v>2.30843676087998E8</v>
      </c>
      <c r="E3875" s="73">
        <v>3.24163381918272E7</v>
      </c>
      <c r="F3875" s="73"/>
      <c r="G3875" s="73"/>
      <c r="H3875" s="73"/>
      <c r="I3875" s="73"/>
      <c r="J3875" s="73"/>
      <c r="K3875" s="73"/>
      <c r="L3875" s="73"/>
      <c r="M3875" s="73"/>
      <c r="N3875" s="73"/>
      <c r="O3875" s="73"/>
      <c r="P3875" s="73"/>
      <c r="Q3875" s="73"/>
      <c r="R3875" s="73"/>
      <c r="S3875" s="73"/>
      <c r="T3875" s="73"/>
      <c r="U3875" s="73"/>
      <c r="V3875" s="73"/>
      <c r="W3875" s="73"/>
      <c r="X3875" s="73"/>
      <c r="Y3875" s="73"/>
      <c r="Z3875" s="73"/>
      <c r="AA3875" s="73"/>
      <c r="AB3875" s="73"/>
    </row>
    <row r="3876">
      <c r="A3876" s="73"/>
      <c r="B3876" s="73">
        <v>7514530.157</v>
      </c>
      <c r="C3876" s="73">
        <v>4.55864968137474E8</v>
      </c>
      <c r="D3876" s="73">
        <v>2.31037883747991E8</v>
      </c>
      <c r="E3876" s="73">
        <v>3.24467213059951E7</v>
      </c>
      <c r="F3876" s="73"/>
      <c r="G3876" s="73"/>
      <c r="H3876" s="73"/>
      <c r="I3876" s="73"/>
      <c r="J3876" s="73"/>
      <c r="K3876" s="73"/>
      <c r="L3876" s="73"/>
      <c r="M3876" s="73"/>
      <c r="N3876" s="73"/>
      <c r="O3876" s="73"/>
      <c r="P3876" s="73"/>
      <c r="Q3876" s="73"/>
      <c r="R3876" s="73"/>
      <c r="S3876" s="73"/>
      <c r="T3876" s="73"/>
      <c r="U3876" s="73"/>
      <c r="V3876" s="73"/>
      <c r="W3876" s="73"/>
      <c r="X3876" s="73"/>
      <c r="Y3876" s="73"/>
      <c r="Z3876" s="73"/>
      <c r="AA3876" s="73"/>
      <c r="AB3876" s="73"/>
    </row>
    <row r="3877">
      <c r="A3877" s="73"/>
      <c r="B3877" s="73">
        <v>7524368.178</v>
      </c>
      <c r="C3877" s="73">
        <v>4.5618517452858E8</v>
      </c>
      <c r="D3877" s="73">
        <v>2.31232194736E8</v>
      </c>
      <c r="E3877" s="73">
        <v>3.24771235883539E7</v>
      </c>
      <c r="F3877" s="73"/>
      <c r="G3877" s="73"/>
      <c r="H3877" s="73"/>
      <c r="I3877" s="73"/>
      <c r="J3877" s="73"/>
      <c r="K3877" s="73"/>
      <c r="L3877" s="73"/>
      <c r="M3877" s="73"/>
      <c r="N3877" s="73"/>
      <c r="O3877" s="73"/>
      <c r="P3877" s="73"/>
      <c r="Q3877" s="73"/>
      <c r="R3877" s="73"/>
      <c r="S3877" s="73"/>
      <c r="T3877" s="73"/>
      <c r="U3877" s="73"/>
      <c r="V3877" s="73"/>
      <c r="W3877" s="73"/>
      <c r="X3877" s="73"/>
      <c r="Y3877" s="73"/>
      <c r="Z3877" s="73"/>
      <c r="AA3877" s="73"/>
      <c r="AB3877" s="73"/>
    </row>
    <row r="3878">
      <c r="A3878" s="73"/>
      <c r="B3878" s="73">
        <v>7534217.997</v>
      </c>
      <c r="C3878" s="73">
        <v>4.5650557867968E8</v>
      </c>
      <c r="D3878" s="73">
        <v>2.31426608715993E8</v>
      </c>
      <c r="E3878" s="73">
        <v>3.25075458869037E7</v>
      </c>
      <c r="F3878" s="73"/>
      <c r="G3878" s="73"/>
      <c r="H3878" s="73"/>
      <c r="I3878" s="73"/>
      <c r="J3878" s="73"/>
      <c r="K3878" s="73"/>
      <c r="L3878" s="73"/>
      <c r="M3878" s="73"/>
      <c r="N3878" s="73"/>
      <c r="O3878" s="73"/>
      <c r="P3878" s="73"/>
      <c r="Q3878" s="73"/>
      <c r="R3878" s="73"/>
      <c r="S3878" s="73"/>
      <c r="T3878" s="73"/>
      <c r="U3878" s="73"/>
      <c r="V3878" s="73"/>
      <c r="W3878" s="73"/>
      <c r="X3878" s="73"/>
      <c r="Y3878" s="73"/>
      <c r="Z3878" s="73"/>
      <c r="AA3878" s="73"/>
      <c r="AB3878" s="73"/>
    </row>
    <row r="3879">
      <c r="A3879" s="73"/>
      <c r="B3879" s="73">
        <v>7544079.453</v>
      </c>
      <c r="C3879" s="73">
        <v>4.56826081710777E8</v>
      </c>
      <c r="D3879" s="73">
        <v>2.31621126168002E8</v>
      </c>
      <c r="E3879" s="73">
        <v>3.25379857695805E7</v>
      </c>
      <c r="F3879" s="73"/>
      <c r="G3879" s="73"/>
      <c r="H3879" s="73"/>
      <c r="I3879" s="73"/>
      <c r="J3879" s="73"/>
      <c r="K3879" s="73"/>
      <c r="L3879" s="73"/>
      <c r="M3879" s="73"/>
      <c r="N3879" s="73"/>
      <c r="O3879" s="73"/>
      <c r="P3879" s="73"/>
      <c r="Q3879" s="73"/>
      <c r="R3879" s="73"/>
      <c r="S3879" s="73"/>
      <c r="T3879" s="73"/>
      <c r="U3879" s="73"/>
      <c r="V3879" s="73"/>
      <c r="W3879" s="73"/>
      <c r="X3879" s="73"/>
      <c r="Y3879" s="73"/>
      <c r="Z3879" s="73"/>
      <c r="AA3879" s="73"/>
      <c r="AB3879" s="73"/>
    </row>
    <row r="3880">
      <c r="A3880" s="73"/>
      <c r="B3880" s="73">
        <v>7553952.373</v>
      </c>
      <c r="C3880" s="73">
        <v>4.57146683621872E8</v>
      </c>
      <c r="D3880" s="73">
        <v>2.31815767267995E8</v>
      </c>
      <c r="E3880" s="73">
        <v>3.25684483125121E7</v>
      </c>
      <c r="F3880" s="73"/>
      <c r="G3880" s="73"/>
      <c r="H3880" s="73"/>
      <c r="I3880" s="73"/>
      <c r="J3880" s="73"/>
      <c r="K3880" s="73"/>
      <c r="L3880" s="73"/>
      <c r="M3880" s="73"/>
      <c r="N3880" s="73"/>
      <c r="O3880" s="73"/>
      <c r="P3880" s="73"/>
      <c r="Q3880" s="73"/>
      <c r="R3880" s="73"/>
      <c r="S3880" s="73"/>
      <c r="T3880" s="73"/>
      <c r="U3880" s="73"/>
      <c r="V3880" s="73"/>
      <c r="W3880" s="73"/>
      <c r="X3880" s="73"/>
      <c r="Y3880" s="73"/>
      <c r="Z3880" s="73"/>
      <c r="AA3880" s="73"/>
      <c r="AB3880" s="73"/>
    </row>
    <row r="3881">
      <c r="A3881" s="73"/>
      <c r="B3881" s="73">
        <v>7563837.147</v>
      </c>
      <c r="C3881" s="73">
        <v>4.57467483292961E8</v>
      </c>
      <c r="D3881" s="73">
        <v>2.32010490896004E8</v>
      </c>
      <c r="E3881" s="73">
        <v>3.25989297268347E7</v>
      </c>
      <c r="F3881" s="73"/>
      <c r="G3881" s="73"/>
      <c r="H3881" s="73"/>
      <c r="I3881" s="73"/>
      <c r="J3881" s="73"/>
      <c r="K3881" s="73"/>
      <c r="L3881" s="73"/>
      <c r="M3881" s="73"/>
      <c r="N3881" s="73"/>
      <c r="O3881" s="73"/>
      <c r="P3881" s="73"/>
      <c r="Q3881" s="73"/>
      <c r="R3881" s="73"/>
      <c r="S3881" s="73"/>
      <c r="T3881" s="73"/>
      <c r="U3881" s="73"/>
      <c r="V3881" s="73"/>
      <c r="W3881" s="73"/>
      <c r="X3881" s="73"/>
      <c r="Y3881" s="73"/>
      <c r="Z3881" s="73"/>
      <c r="AA3881" s="73"/>
      <c r="AB3881" s="73"/>
    </row>
    <row r="3882">
      <c r="A3882" s="73"/>
      <c r="B3882" s="73">
        <v>7573733.54</v>
      </c>
      <c r="C3882" s="73">
        <v>4.57788414804047E8</v>
      </c>
      <c r="D3882" s="73">
        <v>2.32205338459997E8</v>
      </c>
      <c r="E3882" s="73">
        <v>3.26294325294121E7</v>
      </c>
      <c r="F3882" s="73"/>
      <c r="G3882" s="73"/>
      <c r="H3882" s="73"/>
      <c r="I3882" s="73"/>
      <c r="J3882" s="73"/>
      <c r="K3882" s="73"/>
      <c r="L3882" s="73"/>
      <c r="M3882" s="73"/>
      <c r="N3882" s="73"/>
      <c r="O3882" s="73"/>
      <c r="P3882" s="73"/>
      <c r="Q3882" s="73"/>
      <c r="R3882" s="73"/>
      <c r="S3882" s="73"/>
      <c r="T3882" s="73"/>
      <c r="U3882" s="73"/>
      <c r="V3882" s="73"/>
      <c r="W3882" s="73"/>
      <c r="X3882" s="73"/>
      <c r="Y3882" s="73"/>
      <c r="Z3882" s="73"/>
      <c r="AA3882" s="73"/>
      <c r="AB3882" s="73"/>
    </row>
    <row r="3883">
      <c r="A3883" s="73"/>
      <c r="B3883" s="73">
        <v>7583641.312</v>
      </c>
      <c r="C3883" s="73">
        <v>4.58109478155128E8</v>
      </c>
      <c r="D3883" s="73">
        <v>2.3240028904799E8</v>
      </c>
      <c r="E3883" s="73">
        <v>3.26599533825165E7</v>
      </c>
      <c r="F3883" s="73"/>
      <c r="G3883" s="73"/>
      <c r="H3883" s="73"/>
      <c r="I3883" s="73"/>
      <c r="J3883" s="73"/>
      <c r="K3883" s="73"/>
      <c r="L3883" s="73"/>
      <c r="M3883" s="73"/>
      <c r="N3883" s="73"/>
      <c r="O3883" s="73"/>
      <c r="P3883" s="73"/>
      <c r="Q3883" s="73"/>
      <c r="R3883" s="73"/>
      <c r="S3883" s="73"/>
      <c r="T3883" s="73"/>
      <c r="U3883" s="73"/>
      <c r="V3883" s="73"/>
      <c r="W3883" s="73"/>
      <c r="X3883" s="73"/>
      <c r="Y3883" s="73"/>
      <c r="Z3883" s="73"/>
      <c r="AA3883" s="73"/>
      <c r="AB3883" s="73"/>
    </row>
    <row r="3884">
      <c r="A3884" s="73"/>
      <c r="B3884" s="73">
        <v>7593561.121</v>
      </c>
      <c r="C3884" s="73">
        <v>4.58430673346207E8</v>
      </c>
      <c r="D3884" s="73">
        <v>2.32595322451999E8</v>
      </c>
      <c r="E3884" s="73">
        <v>3.26904929221479E7</v>
      </c>
      <c r="F3884" s="73"/>
      <c r="G3884" s="73"/>
      <c r="H3884" s="73"/>
      <c r="I3884" s="73"/>
      <c r="J3884" s="73"/>
      <c r="K3884" s="73"/>
      <c r="L3884" s="73"/>
      <c r="M3884" s="73"/>
      <c r="N3884" s="73"/>
      <c r="O3884" s="73"/>
      <c r="P3884" s="73"/>
      <c r="Q3884" s="73"/>
      <c r="R3884" s="73"/>
      <c r="S3884" s="73"/>
      <c r="T3884" s="73"/>
      <c r="U3884" s="73"/>
      <c r="V3884" s="73"/>
      <c r="W3884" s="73"/>
      <c r="X3884" s="73"/>
      <c r="Y3884" s="73"/>
      <c r="Z3884" s="73"/>
      <c r="AA3884" s="73"/>
      <c r="AB3884" s="73"/>
    </row>
    <row r="3885">
      <c r="A3885" s="73"/>
      <c r="B3885" s="73">
        <v>7603492.308</v>
      </c>
      <c r="C3885" s="73">
        <v>4.58752066297279E8</v>
      </c>
      <c r="D3885" s="73">
        <v>2.32790499983992E8</v>
      </c>
      <c r="E3885" s="73">
        <v>3.27210548404982E7</v>
      </c>
      <c r="F3885" s="73"/>
      <c r="G3885" s="73"/>
      <c r="H3885" s="73"/>
      <c r="I3885" s="73"/>
      <c r="J3885" s="73"/>
      <c r="K3885" s="73"/>
      <c r="L3885" s="73"/>
      <c r="M3885" s="73"/>
      <c r="N3885" s="73"/>
      <c r="O3885" s="73"/>
      <c r="P3885" s="73"/>
      <c r="Q3885" s="73"/>
      <c r="R3885" s="73"/>
      <c r="S3885" s="73"/>
      <c r="T3885" s="73"/>
      <c r="U3885" s="73"/>
      <c r="V3885" s="73"/>
      <c r="W3885" s="73"/>
      <c r="X3885" s="73"/>
      <c r="Y3885" s="73"/>
      <c r="Z3885" s="73"/>
      <c r="AA3885" s="73"/>
      <c r="AB3885" s="73"/>
    </row>
    <row r="3886">
      <c r="A3886" s="73"/>
      <c r="B3886" s="73">
        <v>7613435.427</v>
      </c>
      <c r="C3886" s="73">
        <v>4.59073558128349E8</v>
      </c>
      <c r="D3886" s="73">
        <v>2.32985760204001E8</v>
      </c>
      <c r="E3886" s="73">
        <v>3.27516356149754E7</v>
      </c>
      <c r="F3886" s="73"/>
      <c r="G3886" s="73"/>
      <c r="H3886" s="73"/>
      <c r="I3886" s="73"/>
      <c r="J3886" s="73"/>
      <c r="K3886" s="73"/>
      <c r="L3886" s="73"/>
      <c r="M3886" s="73"/>
      <c r="N3886" s="73"/>
      <c r="O3886" s="73"/>
      <c r="P3886" s="73"/>
      <c r="Q3886" s="73"/>
      <c r="R3886" s="73"/>
      <c r="S3886" s="73"/>
      <c r="T3886" s="73"/>
      <c r="U3886" s="73"/>
      <c r="V3886" s="73"/>
      <c r="W3886" s="73"/>
      <c r="X3886" s="73"/>
      <c r="Y3886" s="73"/>
      <c r="Z3886" s="73"/>
      <c r="AA3886" s="73"/>
      <c r="AB3886" s="73"/>
    </row>
    <row r="3887">
      <c r="A3887" s="73"/>
      <c r="B3887" s="73">
        <v>7623390.035</v>
      </c>
      <c r="C3887" s="73">
        <v>4.59395181799416E8</v>
      </c>
      <c r="D3887" s="73">
        <v>2.33181123879994E8</v>
      </c>
      <c r="E3887" s="73">
        <v>3.27822357272435E7</v>
      </c>
      <c r="F3887" s="73"/>
      <c r="G3887" s="73"/>
      <c r="H3887" s="73"/>
      <c r="I3887" s="73"/>
      <c r="J3887" s="73"/>
      <c r="K3887" s="73"/>
      <c r="L3887" s="73"/>
      <c r="M3887" s="73"/>
      <c r="N3887" s="73"/>
      <c r="O3887" s="73"/>
      <c r="P3887" s="73"/>
      <c r="Q3887" s="73"/>
      <c r="R3887" s="73"/>
      <c r="S3887" s="73"/>
      <c r="T3887" s="73"/>
      <c r="U3887" s="73"/>
      <c r="V3887" s="73"/>
      <c r="W3887" s="73"/>
      <c r="X3887" s="73"/>
      <c r="Y3887" s="73"/>
      <c r="Z3887" s="73"/>
      <c r="AA3887" s="73"/>
      <c r="AB3887" s="73"/>
    </row>
    <row r="3888">
      <c r="A3888" s="73"/>
      <c r="B3888" s="73">
        <v>7633356.347</v>
      </c>
      <c r="C3888" s="73">
        <v>4.59716970270477E8</v>
      </c>
      <c r="D3888" s="73">
        <v>2.33376611044002E8</v>
      </c>
      <c r="E3888" s="73">
        <v>3.28128575669665E7</v>
      </c>
      <c r="F3888" s="73"/>
      <c r="G3888" s="73"/>
      <c r="H3888" s="73"/>
      <c r="I3888" s="73"/>
      <c r="J3888" s="73"/>
      <c r="K3888" s="73"/>
      <c r="L3888" s="73"/>
      <c r="M3888" s="73"/>
      <c r="N3888" s="73"/>
      <c r="O3888" s="73"/>
      <c r="P3888" s="73"/>
      <c r="Q3888" s="73"/>
      <c r="R3888" s="73"/>
      <c r="S3888" s="73"/>
      <c r="T3888" s="73"/>
      <c r="U3888" s="73"/>
      <c r="V3888" s="73"/>
      <c r="W3888" s="73"/>
      <c r="X3888" s="73"/>
      <c r="Y3888" s="73"/>
      <c r="Z3888" s="73"/>
      <c r="AA3888" s="73"/>
      <c r="AB3888" s="73"/>
    </row>
    <row r="3889">
      <c r="A3889" s="73"/>
      <c r="B3889" s="73">
        <v>7643334.643</v>
      </c>
      <c r="C3889" s="73">
        <v>4.60038857621536E8</v>
      </c>
      <c r="D3889" s="73">
        <v>2.33572201375996E8</v>
      </c>
      <c r="E3889" s="73">
        <v>3.28434975844165E7</v>
      </c>
      <c r="F3889" s="73"/>
      <c r="G3889" s="73"/>
      <c r="H3889" s="73"/>
      <c r="I3889" s="73"/>
      <c r="J3889" s="73"/>
      <c r="K3889" s="73"/>
      <c r="L3889" s="73"/>
      <c r="M3889" s="73"/>
      <c r="N3889" s="73"/>
      <c r="O3889" s="73"/>
      <c r="P3889" s="73"/>
      <c r="Q3889" s="73"/>
      <c r="R3889" s="73"/>
      <c r="S3889" s="73"/>
      <c r="T3889" s="73"/>
      <c r="U3889" s="73"/>
      <c r="V3889" s="73"/>
      <c r="W3889" s="73"/>
      <c r="X3889" s="73"/>
      <c r="Y3889" s="73"/>
      <c r="Z3889" s="73"/>
      <c r="AA3889" s="73"/>
      <c r="AB3889" s="73"/>
    </row>
    <row r="3890">
      <c r="A3890" s="73"/>
      <c r="B3890" s="73">
        <v>7653324.103</v>
      </c>
      <c r="C3890" s="73">
        <v>4.60360909772591E8</v>
      </c>
      <c r="D3890" s="73">
        <v>2.33767874683989E8</v>
      </c>
      <c r="E3890" s="73">
        <v>3.28741585661214E7</v>
      </c>
      <c r="F3890" s="73"/>
      <c r="G3890" s="73"/>
      <c r="H3890" s="73"/>
      <c r="I3890" s="73"/>
      <c r="J3890" s="73"/>
      <c r="K3890" s="73"/>
      <c r="L3890" s="73"/>
      <c r="M3890" s="73"/>
      <c r="N3890" s="73"/>
      <c r="O3890" s="73"/>
      <c r="P3890" s="73"/>
      <c r="Q3890" s="73"/>
      <c r="R3890" s="73"/>
      <c r="S3890" s="73"/>
      <c r="T3890" s="73"/>
      <c r="U3890" s="73"/>
      <c r="V3890" s="73"/>
      <c r="W3890" s="73"/>
      <c r="X3890" s="73"/>
      <c r="Y3890" s="73"/>
      <c r="Z3890" s="73"/>
      <c r="AA3890" s="73"/>
      <c r="AB3890" s="73"/>
    </row>
    <row r="3891">
      <c r="A3891" s="73"/>
      <c r="B3891" s="73">
        <v>7663325.602</v>
      </c>
      <c r="C3891" s="73">
        <v>4.6068315968364E8</v>
      </c>
      <c r="D3891" s="73">
        <v>2.33963691815998E8</v>
      </c>
      <c r="E3891" s="73">
        <v>3.29048382767532E7</v>
      </c>
      <c r="F3891" s="73"/>
      <c r="G3891" s="73"/>
      <c r="H3891" s="73"/>
      <c r="I3891" s="73"/>
      <c r="J3891" s="73"/>
      <c r="K3891" s="73"/>
      <c r="L3891" s="73"/>
      <c r="M3891" s="73"/>
      <c r="N3891" s="73"/>
      <c r="O3891" s="73"/>
      <c r="P3891" s="73"/>
      <c r="Q3891" s="73"/>
      <c r="R3891" s="73"/>
      <c r="S3891" s="73"/>
      <c r="T3891" s="73"/>
      <c r="U3891" s="73"/>
      <c r="V3891" s="73"/>
      <c r="W3891" s="73"/>
      <c r="X3891" s="73"/>
      <c r="Y3891" s="73"/>
      <c r="Z3891" s="73"/>
      <c r="AA3891" s="73"/>
      <c r="AB3891" s="73"/>
    </row>
    <row r="3892">
      <c r="A3892" s="73"/>
      <c r="B3892" s="73">
        <v>7673338.71</v>
      </c>
      <c r="C3892" s="73">
        <v>4.61005541434685E8</v>
      </c>
      <c r="D3892" s="73">
        <v>2.34159592083991E8</v>
      </c>
      <c r="E3892" s="73">
        <v>3.29355393756399E7</v>
      </c>
      <c r="F3892" s="73"/>
      <c r="G3892" s="73"/>
      <c r="H3892" s="73"/>
      <c r="I3892" s="73"/>
      <c r="J3892" s="73"/>
      <c r="K3892" s="73"/>
      <c r="L3892" s="73"/>
      <c r="M3892" s="73"/>
      <c r="N3892" s="73"/>
      <c r="O3892" s="73"/>
      <c r="P3892" s="73"/>
      <c r="Q3892" s="73"/>
      <c r="R3892" s="73"/>
      <c r="S3892" s="73"/>
      <c r="T3892" s="73"/>
      <c r="U3892" s="73"/>
      <c r="V3892" s="73"/>
      <c r="W3892" s="73"/>
      <c r="X3892" s="73"/>
      <c r="Y3892" s="73"/>
      <c r="Z3892" s="73"/>
      <c r="AA3892" s="73"/>
      <c r="AB3892" s="73"/>
    </row>
    <row r="3893">
      <c r="A3893" s="73"/>
      <c r="B3893" s="73">
        <v>7683363.657</v>
      </c>
      <c r="C3893" s="73">
        <v>4.61327989105728E8</v>
      </c>
      <c r="D3893" s="73">
        <v>2.34355595359999E8</v>
      </c>
      <c r="E3893" s="73">
        <v>3.29662584402537E7</v>
      </c>
      <c r="F3893" s="73"/>
      <c r="G3893" s="73"/>
      <c r="H3893" s="73"/>
      <c r="I3893" s="73"/>
      <c r="J3893" s="73"/>
      <c r="K3893" s="73"/>
      <c r="L3893" s="73"/>
      <c r="M3893" s="73"/>
      <c r="N3893" s="73"/>
      <c r="O3893" s="73"/>
      <c r="P3893" s="73"/>
      <c r="Q3893" s="73"/>
      <c r="R3893" s="73"/>
      <c r="S3893" s="73"/>
      <c r="T3893" s="73"/>
      <c r="U3893" s="73"/>
      <c r="V3893" s="73"/>
      <c r="W3893" s="73"/>
      <c r="X3893" s="73"/>
      <c r="Y3893" s="73"/>
      <c r="Z3893" s="73"/>
      <c r="AA3893" s="73"/>
      <c r="AB3893" s="73"/>
    </row>
    <row r="3894">
      <c r="A3894" s="73"/>
      <c r="B3894" s="73">
        <v>7693400.133</v>
      </c>
      <c r="C3894" s="73">
        <v>4.61650601576767E8</v>
      </c>
      <c r="D3894" s="73">
        <v>2.34551722123993E8</v>
      </c>
      <c r="E3894" s="73">
        <v>3.29969989355223E7</v>
      </c>
      <c r="F3894" s="73"/>
      <c r="G3894" s="73"/>
      <c r="H3894" s="73"/>
      <c r="I3894" s="73"/>
      <c r="J3894" s="73"/>
      <c r="K3894" s="73"/>
      <c r="L3894" s="73"/>
      <c r="M3894" s="73"/>
      <c r="N3894" s="73"/>
      <c r="O3894" s="73"/>
      <c r="P3894" s="73"/>
      <c r="Q3894" s="73"/>
      <c r="R3894" s="73"/>
      <c r="S3894" s="73"/>
      <c r="T3894" s="73"/>
      <c r="U3894" s="73"/>
      <c r="V3894" s="73"/>
      <c r="W3894" s="73"/>
      <c r="X3894" s="73"/>
      <c r="Y3894" s="73"/>
      <c r="Z3894" s="73"/>
      <c r="AA3894" s="73"/>
      <c r="AB3894" s="73"/>
    </row>
    <row r="3895">
      <c r="A3895" s="73"/>
      <c r="B3895" s="73">
        <v>7703448.493</v>
      </c>
      <c r="C3895" s="73">
        <v>4.619734118078E8</v>
      </c>
      <c r="D3895" s="73">
        <v>2.34747952360001E8</v>
      </c>
      <c r="E3895" s="73">
        <v>3.30277593621818E7</v>
      </c>
      <c r="F3895" s="73"/>
      <c r="G3895" s="73"/>
      <c r="H3895" s="73"/>
      <c r="I3895" s="73"/>
      <c r="J3895" s="73"/>
      <c r="K3895" s="73"/>
      <c r="L3895" s="73"/>
      <c r="M3895" s="73"/>
      <c r="N3895" s="73"/>
      <c r="O3895" s="73"/>
      <c r="P3895" s="73"/>
      <c r="Q3895" s="73"/>
      <c r="R3895" s="73"/>
      <c r="S3895" s="73"/>
      <c r="T3895" s="73"/>
      <c r="U3895" s="73"/>
      <c r="V3895" s="73"/>
      <c r="W3895" s="73"/>
      <c r="X3895" s="73"/>
      <c r="Y3895" s="73"/>
      <c r="Z3895" s="73"/>
      <c r="AA3895" s="73"/>
      <c r="AB3895" s="73"/>
    </row>
    <row r="3896">
      <c r="A3896" s="73"/>
      <c r="B3896" s="73">
        <v>7713508.542</v>
      </c>
      <c r="C3896" s="73">
        <v>4.6229635387883E8</v>
      </c>
      <c r="D3896" s="73">
        <v>2.34944265267994E8</v>
      </c>
      <c r="E3896" s="73">
        <v>3.30585401018322E7</v>
      </c>
      <c r="F3896" s="73"/>
      <c r="G3896" s="73"/>
      <c r="H3896" s="73"/>
      <c r="I3896" s="73"/>
      <c r="J3896" s="73"/>
      <c r="K3896" s="73"/>
      <c r="L3896" s="73"/>
      <c r="M3896" s="73"/>
      <c r="N3896" s="73"/>
      <c r="O3896" s="73"/>
      <c r="P3896" s="73"/>
      <c r="Q3896" s="73"/>
      <c r="R3896" s="73"/>
      <c r="S3896" s="73"/>
      <c r="T3896" s="73"/>
      <c r="U3896" s="73"/>
      <c r="V3896" s="73"/>
      <c r="W3896" s="73"/>
      <c r="X3896" s="73"/>
      <c r="Y3896" s="73"/>
      <c r="Z3896" s="73"/>
      <c r="AA3896" s="73"/>
      <c r="AB3896" s="73"/>
    </row>
    <row r="3897">
      <c r="A3897" s="73"/>
      <c r="B3897" s="73">
        <v>7723580.13</v>
      </c>
      <c r="C3897" s="73">
        <v>4.62619361869858E8</v>
      </c>
      <c r="D3897" s="73">
        <v>2.35140701808003E8</v>
      </c>
      <c r="E3897" s="73">
        <v>3.30893392040736E7</v>
      </c>
      <c r="F3897" s="73"/>
      <c r="G3897" s="73"/>
      <c r="H3897" s="73"/>
      <c r="I3897" s="73"/>
      <c r="J3897" s="73"/>
      <c r="K3897" s="73"/>
      <c r="L3897" s="73"/>
      <c r="M3897" s="73"/>
      <c r="N3897" s="73"/>
      <c r="O3897" s="73"/>
      <c r="P3897" s="73"/>
      <c r="Q3897" s="73"/>
      <c r="R3897" s="73"/>
      <c r="S3897" s="73"/>
      <c r="T3897" s="73"/>
      <c r="U3897" s="73"/>
      <c r="V3897" s="73"/>
      <c r="W3897" s="73"/>
      <c r="X3897" s="73"/>
      <c r="Y3897" s="73"/>
      <c r="Z3897" s="73"/>
      <c r="AA3897" s="73"/>
      <c r="AB3897" s="73"/>
    </row>
    <row r="3898">
      <c r="A3898" s="73"/>
      <c r="B3898" s="73">
        <v>7733663.752</v>
      </c>
      <c r="C3898" s="73">
        <v>4.62942600580879E8</v>
      </c>
      <c r="D3898" s="73">
        <v>2.35337241531996E8</v>
      </c>
      <c r="E3898" s="73">
        <v>3.31201598489058E7</v>
      </c>
      <c r="F3898" s="73"/>
      <c r="G3898" s="73"/>
      <c r="H3898" s="73"/>
      <c r="I3898" s="73"/>
      <c r="J3898" s="73"/>
      <c r="K3898" s="73"/>
      <c r="L3898" s="73"/>
      <c r="M3898" s="73"/>
      <c r="N3898" s="73"/>
      <c r="O3898" s="73"/>
      <c r="P3898" s="73"/>
      <c r="Q3898" s="73"/>
      <c r="R3898" s="73"/>
      <c r="S3898" s="73"/>
      <c r="T3898" s="73"/>
      <c r="U3898" s="73"/>
      <c r="V3898" s="73"/>
      <c r="W3898" s="73"/>
      <c r="X3898" s="73"/>
      <c r="Y3898" s="73"/>
      <c r="Z3898" s="73"/>
      <c r="AA3898" s="73"/>
      <c r="AB3898" s="73"/>
    </row>
    <row r="3899">
      <c r="A3899" s="73"/>
      <c r="B3899" s="73">
        <v>7743758.953</v>
      </c>
      <c r="C3899" s="73">
        <v>4.63265971131897E8</v>
      </c>
      <c r="D3899" s="73">
        <v>2.3553390519199E8</v>
      </c>
      <c r="E3899" s="73">
        <v>3.31509991955291E7</v>
      </c>
      <c r="F3899" s="73"/>
      <c r="G3899" s="73"/>
      <c r="H3899" s="73"/>
      <c r="I3899" s="73"/>
      <c r="J3899" s="73"/>
      <c r="K3899" s="73"/>
      <c r="L3899" s="73"/>
      <c r="M3899" s="73"/>
      <c r="N3899" s="73"/>
      <c r="O3899" s="73"/>
      <c r="P3899" s="73"/>
      <c r="Q3899" s="73"/>
      <c r="R3899" s="73"/>
      <c r="S3899" s="73"/>
      <c r="T3899" s="73"/>
      <c r="U3899" s="73"/>
      <c r="V3899" s="73"/>
      <c r="W3899" s="73"/>
      <c r="X3899" s="73"/>
      <c r="Y3899" s="73"/>
      <c r="Z3899" s="73"/>
      <c r="AA3899" s="73"/>
      <c r="AB3899" s="73"/>
    </row>
    <row r="3900">
      <c r="A3900" s="73"/>
      <c r="B3900" s="73">
        <v>7753865.888</v>
      </c>
      <c r="C3900" s="73">
        <v>4.63589473522911E8</v>
      </c>
      <c r="D3900" s="73">
        <v>2.35730651379998E8</v>
      </c>
      <c r="E3900" s="73">
        <v>3.31818582615433E7</v>
      </c>
      <c r="F3900" s="73"/>
      <c r="G3900" s="73"/>
      <c r="H3900" s="73"/>
      <c r="I3900" s="73"/>
      <c r="J3900" s="73"/>
      <c r="K3900" s="73"/>
      <c r="L3900" s="73"/>
      <c r="M3900" s="73"/>
      <c r="N3900" s="73"/>
      <c r="O3900" s="73"/>
      <c r="P3900" s="73"/>
      <c r="Q3900" s="73"/>
      <c r="R3900" s="73"/>
      <c r="S3900" s="73"/>
      <c r="T3900" s="73"/>
      <c r="U3900" s="73"/>
      <c r="V3900" s="73"/>
      <c r="W3900" s="73"/>
      <c r="X3900" s="73"/>
      <c r="Y3900" s="73"/>
      <c r="Z3900" s="73"/>
      <c r="AA3900" s="73"/>
      <c r="AB3900" s="73"/>
    </row>
    <row r="3901">
      <c r="A3901" s="73"/>
      <c r="B3901" s="73">
        <v>7763984.687</v>
      </c>
      <c r="C3901" s="73">
        <v>4.63913107753922E8</v>
      </c>
      <c r="D3901" s="73">
        <v>2.35927521359991E8</v>
      </c>
      <c r="E3901" s="73">
        <v>3.32127386581483E7</v>
      </c>
      <c r="F3901" s="73"/>
      <c r="G3901" s="73"/>
      <c r="H3901" s="73"/>
      <c r="I3901" s="73"/>
      <c r="J3901" s="73"/>
      <c r="K3901" s="73"/>
      <c r="L3901" s="73"/>
      <c r="M3901" s="73"/>
      <c r="N3901" s="73"/>
      <c r="O3901" s="73"/>
      <c r="P3901" s="73"/>
      <c r="Q3901" s="73"/>
      <c r="R3901" s="73"/>
      <c r="S3901" s="73"/>
      <c r="T3901" s="73"/>
      <c r="U3901" s="73"/>
      <c r="V3901" s="73"/>
      <c r="W3901" s="73"/>
      <c r="X3901" s="73"/>
      <c r="Y3901" s="73"/>
      <c r="Z3901" s="73"/>
      <c r="AA3901" s="73"/>
      <c r="AB3901" s="73"/>
    </row>
    <row r="3902">
      <c r="A3902" s="73"/>
      <c r="B3902" s="73">
        <v>7774115.0</v>
      </c>
      <c r="C3902" s="73">
        <v>4.64236840864929E8</v>
      </c>
      <c r="D3902" s="73">
        <v>2.36124494348E8</v>
      </c>
      <c r="E3902" s="73">
        <v>3.32436374173443E7</v>
      </c>
      <c r="F3902" s="73"/>
      <c r="G3902" s="73"/>
      <c r="H3902" s="73"/>
      <c r="I3902" s="73"/>
      <c r="J3902" s="73"/>
      <c r="K3902" s="73"/>
      <c r="L3902" s="73"/>
      <c r="M3902" s="73"/>
      <c r="N3902" s="73"/>
      <c r="O3902" s="73"/>
      <c r="P3902" s="73"/>
      <c r="Q3902" s="73"/>
      <c r="R3902" s="73"/>
      <c r="S3902" s="73"/>
      <c r="T3902" s="73"/>
      <c r="U3902" s="73"/>
      <c r="V3902" s="73"/>
      <c r="W3902" s="73"/>
      <c r="X3902" s="73"/>
      <c r="Y3902" s="73"/>
      <c r="Z3902" s="73"/>
      <c r="AA3902" s="73"/>
      <c r="AB3902" s="73"/>
    </row>
    <row r="3903">
      <c r="A3903" s="73"/>
      <c r="B3903" s="73">
        <v>7784257.237</v>
      </c>
      <c r="C3903" s="73">
        <v>4.64560771735931E8</v>
      </c>
      <c r="D3903" s="73">
        <v>2.36321570807993E8</v>
      </c>
      <c r="E3903" s="73">
        <v>3.32745588791951E7</v>
      </c>
      <c r="F3903" s="73"/>
      <c r="G3903" s="73"/>
      <c r="H3903" s="73"/>
      <c r="I3903" s="73"/>
      <c r="J3903" s="73"/>
      <c r="K3903" s="73"/>
      <c r="L3903" s="73"/>
      <c r="M3903" s="73"/>
      <c r="N3903" s="73"/>
      <c r="O3903" s="73"/>
      <c r="P3903" s="73"/>
      <c r="Q3903" s="73"/>
      <c r="R3903" s="73"/>
      <c r="S3903" s="73"/>
      <c r="T3903" s="73"/>
      <c r="U3903" s="73"/>
      <c r="V3903" s="73"/>
      <c r="W3903" s="73"/>
      <c r="X3903" s="73"/>
      <c r="Y3903" s="73"/>
      <c r="Z3903" s="73"/>
      <c r="AA3903" s="73"/>
      <c r="AB3903" s="73"/>
    </row>
    <row r="3904">
      <c r="A3904" s="73"/>
      <c r="B3904" s="73">
        <v>7794411.213</v>
      </c>
      <c r="C3904" s="73">
        <v>4.6488483444693E8</v>
      </c>
      <c r="D3904" s="73">
        <v>2.36518750420002E8</v>
      </c>
      <c r="E3904" s="73">
        <v>3.3305497373973E7</v>
      </c>
      <c r="F3904" s="73"/>
      <c r="G3904" s="73"/>
      <c r="H3904" s="73"/>
      <c r="I3904" s="73"/>
      <c r="J3904" s="73"/>
      <c r="K3904" s="73"/>
      <c r="L3904" s="73"/>
      <c r="M3904" s="73"/>
      <c r="N3904" s="73"/>
      <c r="O3904" s="73"/>
      <c r="P3904" s="73"/>
      <c r="Q3904" s="73"/>
      <c r="R3904" s="73"/>
      <c r="S3904" s="73"/>
      <c r="T3904" s="73"/>
      <c r="U3904" s="73"/>
      <c r="V3904" s="73"/>
      <c r="W3904" s="73"/>
      <c r="X3904" s="73"/>
      <c r="Y3904" s="73"/>
      <c r="Z3904" s="73"/>
      <c r="AA3904" s="73"/>
      <c r="AB3904" s="73"/>
    </row>
    <row r="3905">
      <c r="A3905" s="73"/>
      <c r="B3905" s="73">
        <v>7804577.073</v>
      </c>
      <c r="C3905" s="73">
        <v>4.65209061957924E8</v>
      </c>
      <c r="D3905" s="73">
        <v>2.36716033039995E8</v>
      </c>
      <c r="E3905" s="73">
        <v>3.33364566905418E7</v>
      </c>
      <c r="F3905" s="73"/>
      <c r="G3905" s="73"/>
      <c r="H3905" s="73"/>
      <c r="I3905" s="73"/>
      <c r="J3905" s="73"/>
      <c r="K3905" s="73"/>
      <c r="L3905" s="73"/>
      <c r="M3905" s="73"/>
      <c r="N3905" s="73"/>
      <c r="O3905" s="73"/>
      <c r="P3905" s="73"/>
      <c r="Q3905" s="73"/>
      <c r="R3905" s="73"/>
      <c r="S3905" s="73"/>
      <c r="T3905" s="73"/>
      <c r="U3905" s="73"/>
      <c r="V3905" s="73"/>
      <c r="W3905" s="73"/>
      <c r="X3905" s="73"/>
      <c r="Y3905" s="73"/>
      <c r="Z3905" s="73"/>
      <c r="AA3905" s="73"/>
      <c r="AB3905" s="73"/>
    </row>
    <row r="3906">
      <c r="A3906" s="73"/>
      <c r="B3906" s="73">
        <v>7814754.412</v>
      </c>
      <c r="C3906" s="73">
        <v>4.65533421308914E8</v>
      </c>
      <c r="D3906" s="73">
        <v>2.36913419132004E8</v>
      </c>
      <c r="E3906" s="73">
        <v>3.33674364201655E7</v>
      </c>
      <c r="F3906" s="73"/>
      <c r="G3906" s="73"/>
      <c r="H3906" s="73"/>
      <c r="I3906" s="73"/>
      <c r="J3906" s="73"/>
      <c r="K3906" s="73"/>
      <c r="L3906" s="73"/>
      <c r="M3906" s="73"/>
      <c r="N3906" s="73"/>
      <c r="O3906" s="73"/>
      <c r="P3906" s="73"/>
      <c r="Q3906" s="73"/>
      <c r="R3906" s="73"/>
      <c r="S3906" s="73"/>
      <c r="T3906" s="73"/>
      <c r="U3906" s="73"/>
      <c r="V3906" s="73"/>
      <c r="W3906" s="73"/>
      <c r="X3906" s="73"/>
      <c r="Y3906" s="73"/>
      <c r="Z3906" s="73"/>
      <c r="AA3906" s="73"/>
      <c r="AB3906" s="73"/>
    </row>
    <row r="3907">
      <c r="A3907" s="73"/>
      <c r="B3907" s="73">
        <v>7824944.0</v>
      </c>
      <c r="C3907" s="73">
        <v>4.65857912499901E8</v>
      </c>
      <c r="D3907" s="73">
        <v>2.37110928711997E8</v>
      </c>
      <c r="E3907" s="73">
        <v>3.33984348787161E7</v>
      </c>
      <c r="F3907" s="73"/>
      <c r="G3907" s="73"/>
      <c r="H3907" s="73"/>
      <c r="I3907" s="73"/>
      <c r="J3907" s="73"/>
      <c r="K3907" s="73"/>
      <c r="L3907" s="73"/>
      <c r="M3907" s="73"/>
      <c r="N3907" s="73"/>
      <c r="O3907" s="73"/>
      <c r="P3907" s="73"/>
      <c r="Q3907" s="73"/>
      <c r="R3907" s="73"/>
      <c r="S3907" s="73"/>
      <c r="T3907" s="73"/>
      <c r="U3907" s="73"/>
      <c r="V3907" s="73"/>
      <c r="W3907" s="73"/>
      <c r="X3907" s="73"/>
      <c r="Y3907" s="73"/>
      <c r="Z3907" s="73"/>
      <c r="AA3907" s="73"/>
      <c r="AB3907" s="73"/>
    </row>
    <row r="3908">
      <c r="A3908" s="73"/>
      <c r="B3908" s="73">
        <v>7835144.927</v>
      </c>
      <c r="C3908" s="73">
        <v>4.66182502570885E8</v>
      </c>
      <c r="D3908" s="73">
        <v>2.3730854174799E8</v>
      </c>
      <c r="E3908" s="73">
        <v>3.34294552343216E7</v>
      </c>
      <c r="F3908" s="73"/>
      <c r="G3908" s="73"/>
      <c r="H3908" s="73"/>
      <c r="I3908" s="73"/>
      <c r="J3908" s="73"/>
      <c r="K3908" s="73"/>
      <c r="L3908" s="73"/>
      <c r="M3908" s="73"/>
      <c r="N3908" s="73"/>
      <c r="O3908" s="73"/>
      <c r="P3908" s="73"/>
      <c r="Q3908" s="73"/>
      <c r="R3908" s="73"/>
      <c r="S3908" s="73"/>
      <c r="T3908" s="73"/>
      <c r="U3908" s="73"/>
      <c r="V3908" s="73"/>
      <c r="W3908" s="73"/>
      <c r="X3908" s="73"/>
      <c r="Y3908" s="73"/>
      <c r="Z3908" s="73"/>
      <c r="AA3908" s="73"/>
      <c r="AB3908" s="73"/>
    </row>
    <row r="3909">
      <c r="A3909" s="73"/>
      <c r="B3909" s="73">
        <v>7845358.003</v>
      </c>
      <c r="C3909" s="73">
        <v>4.66507290401863E8</v>
      </c>
      <c r="D3909" s="73">
        <v>2.37506257791999E8</v>
      </c>
      <c r="E3909" s="73">
        <v>3.3460495012518E7</v>
      </c>
      <c r="F3909" s="73"/>
      <c r="G3909" s="73"/>
      <c r="H3909" s="73"/>
      <c r="I3909" s="73"/>
      <c r="J3909" s="73"/>
      <c r="K3909" s="73"/>
      <c r="L3909" s="73"/>
      <c r="M3909" s="73"/>
      <c r="N3909" s="73"/>
      <c r="O3909" s="73"/>
      <c r="P3909" s="73"/>
      <c r="Q3909" s="73"/>
      <c r="R3909" s="73"/>
      <c r="S3909" s="73"/>
      <c r="T3909" s="73"/>
      <c r="U3909" s="73"/>
      <c r="V3909" s="73"/>
      <c r="W3909" s="73"/>
      <c r="X3909" s="73"/>
      <c r="Y3909" s="73"/>
      <c r="Z3909" s="73"/>
      <c r="AA3909" s="73"/>
      <c r="AB3909" s="73"/>
    </row>
    <row r="3910">
      <c r="A3910" s="73"/>
      <c r="B3910" s="73">
        <v>7855582.678</v>
      </c>
      <c r="C3910" s="73">
        <v>4.66832210072838E8</v>
      </c>
      <c r="D3910" s="73">
        <v>2.37704077163992E8</v>
      </c>
      <c r="E3910" s="73">
        <v>3.34915535196414E7</v>
      </c>
      <c r="F3910" s="73"/>
      <c r="G3910" s="73"/>
      <c r="H3910" s="73"/>
      <c r="I3910" s="73"/>
      <c r="J3910" s="73"/>
      <c r="K3910" s="73"/>
      <c r="L3910" s="73"/>
      <c r="M3910" s="73"/>
      <c r="N3910" s="73"/>
      <c r="O3910" s="73"/>
      <c r="P3910" s="73"/>
      <c r="Q3910" s="73"/>
      <c r="R3910" s="73"/>
      <c r="S3910" s="73"/>
      <c r="T3910" s="73"/>
      <c r="U3910" s="73"/>
      <c r="V3910" s="73"/>
      <c r="W3910" s="73"/>
      <c r="X3910" s="73"/>
      <c r="Y3910" s="73"/>
      <c r="Z3910" s="73"/>
      <c r="AA3910" s="73"/>
      <c r="AB3910" s="73"/>
    </row>
    <row r="3911">
      <c r="A3911" s="73"/>
      <c r="B3911" s="73">
        <v>7865819.107</v>
      </c>
      <c r="C3911" s="73">
        <v>4.67157327503807E8</v>
      </c>
      <c r="D3911" s="73">
        <v>2.37902020024001E8</v>
      </c>
      <c r="E3911" s="73">
        <v>3.35226329910197E7</v>
      </c>
      <c r="F3911" s="73"/>
      <c r="G3911" s="73"/>
      <c r="H3911" s="73"/>
      <c r="I3911" s="73"/>
      <c r="J3911" s="73"/>
      <c r="K3911" s="73"/>
      <c r="L3911" s="73"/>
      <c r="M3911" s="73"/>
      <c r="N3911" s="73"/>
      <c r="O3911" s="73"/>
      <c r="P3911" s="73"/>
      <c r="Q3911" s="73"/>
      <c r="R3911" s="73"/>
      <c r="S3911" s="73"/>
      <c r="T3911" s="73"/>
      <c r="U3911" s="73"/>
      <c r="V3911" s="73"/>
      <c r="W3911" s="73"/>
      <c r="X3911" s="73"/>
      <c r="Y3911" s="73"/>
      <c r="Z3911" s="73"/>
      <c r="AA3911" s="73"/>
      <c r="AB3911" s="73"/>
    </row>
    <row r="3912">
      <c r="A3912" s="73"/>
      <c r="B3912" s="73">
        <v>7876067.47</v>
      </c>
      <c r="C3912" s="73">
        <v>4.67482477894775E8</v>
      </c>
      <c r="D3912" s="73">
        <v>2.38100045859994E8</v>
      </c>
      <c r="E3912" s="73">
        <v>3.35537330297889E7</v>
      </c>
      <c r="F3912" s="73"/>
      <c r="G3912" s="73"/>
      <c r="H3912" s="73"/>
      <c r="I3912" s="73"/>
      <c r="J3912" s="73"/>
      <c r="K3912" s="73"/>
      <c r="L3912" s="73"/>
      <c r="M3912" s="73"/>
      <c r="N3912" s="73"/>
      <c r="O3912" s="73"/>
      <c r="P3912" s="73"/>
      <c r="Q3912" s="73"/>
      <c r="R3912" s="73"/>
      <c r="S3912" s="73"/>
      <c r="T3912" s="73"/>
      <c r="U3912" s="73"/>
      <c r="V3912" s="73"/>
      <c r="W3912" s="73"/>
      <c r="X3912" s="73"/>
      <c r="Y3912" s="73"/>
      <c r="Z3912" s="73"/>
      <c r="AA3912" s="73"/>
      <c r="AB3912" s="73"/>
    </row>
    <row r="3913">
      <c r="A3913" s="73"/>
      <c r="B3913" s="73">
        <v>7886327.622</v>
      </c>
      <c r="C3913" s="73">
        <v>4.67807859005737E8</v>
      </c>
      <c r="D3913" s="73">
        <v>2.38298215664002E8</v>
      </c>
      <c r="E3913" s="73">
        <v>3.3584852533549E7</v>
      </c>
      <c r="F3913" s="73"/>
      <c r="G3913" s="73"/>
      <c r="H3913" s="73"/>
      <c r="I3913" s="73"/>
      <c r="J3913" s="73"/>
      <c r="K3913" s="73"/>
      <c r="L3913" s="73"/>
      <c r="M3913" s="73"/>
      <c r="N3913" s="73"/>
      <c r="O3913" s="73"/>
      <c r="P3913" s="73"/>
      <c r="Q3913" s="73"/>
      <c r="R3913" s="73"/>
      <c r="S3913" s="73"/>
      <c r="T3913" s="73"/>
      <c r="U3913" s="73"/>
      <c r="V3913" s="73"/>
      <c r="W3913" s="73"/>
      <c r="X3913" s="73"/>
      <c r="Y3913" s="73"/>
      <c r="Z3913" s="73"/>
      <c r="AA3913" s="73"/>
      <c r="AB3913" s="73"/>
    </row>
    <row r="3914">
      <c r="A3914" s="73"/>
      <c r="B3914" s="73">
        <v>7896599.623</v>
      </c>
      <c r="C3914" s="73">
        <v>4.68133338996696E8</v>
      </c>
      <c r="D3914" s="73">
        <v>2.38496447979996E8</v>
      </c>
      <c r="E3914" s="73">
        <v>3.36159917143001E7</v>
      </c>
      <c r="F3914" s="73"/>
      <c r="G3914" s="73"/>
      <c r="H3914" s="73"/>
      <c r="I3914" s="73"/>
      <c r="J3914" s="73"/>
      <c r="K3914" s="73"/>
      <c r="L3914" s="73"/>
      <c r="M3914" s="73"/>
      <c r="N3914" s="73"/>
      <c r="O3914" s="73"/>
      <c r="P3914" s="73"/>
      <c r="Q3914" s="73"/>
      <c r="R3914" s="73"/>
      <c r="S3914" s="73"/>
      <c r="T3914" s="73"/>
      <c r="U3914" s="73"/>
      <c r="V3914" s="73"/>
      <c r="W3914" s="73"/>
      <c r="X3914" s="73"/>
      <c r="Y3914" s="73"/>
      <c r="Z3914" s="73"/>
      <c r="AA3914" s="73"/>
      <c r="AB3914" s="73"/>
    </row>
    <row r="3915">
      <c r="A3915" s="73"/>
      <c r="B3915" s="73">
        <v>7906883.413</v>
      </c>
      <c r="C3915" s="73">
        <v>4.6845901674765E8</v>
      </c>
      <c r="D3915" s="73">
        <v>2.38694803783989E8</v>
      </c>
      <c r="E3915" s="73">
        <v>3.36471506144421E7</v>
      </c>
      <c r="F3915" s="73"/>
      <c r="G3915" s="73"/>
      <c r="H3915" s="73"/>
      <c r="I3915" s="73"/>
      <c r="J3915" s="73"/>
      <c r="K3915" s="73"/>
      <c r="L3915" s="73"/>
      <c r="M3915" s="73"/>
      <c r="N3915" s="73"/>
      <c r="O3915" s="73"/>
      <c r="P3915" s="73"/>
      <c r="Q3915" s="73"/>
      <c r="R3915" s="73"/>
      <c r="S3915" s="73"/>
      <c r="T3915" s="73"/>
      <c r="U3915" s="73"/>
      <c r="V3915" s="73"/>
      <c r="W3915" s="73"/>
      <c r="X3915" s="73"/>
      <c r="Y3915" s="73"/>
      <c r="Z3915" s="73"/>
      <c r="AA3915" s="73"/>
      <c r="AB3915" s="73"/>
    </row>
    <row r="3916">
      <c r="A3916" s="73"/>
      <c r="B3916" s="73">
        <v>7917179.017</v>
      </c>
      <c r="C3916" s="73">
        <v>4.68784760418602E8</v>
      </c>
      <c r="D3916" s="73">
        <v>2.38893283379998E8</v>
      </c>
      <c r="E3916" s="73">
        <v>3.36783306755749E7</v>
      </c>
      <c r="F3916" s="73"/>
      <c r="G3916" s="73"/>
      <c r="H3916" s="73"/>
      <c r="I3916" s="73"/>
      <c r="J3916" s="73"/>
      <c r="K3916" s="73"/>
      <c r="L3916" s="73"/>
      <c r="M3916" s="73"/>
      <c r="N3916" s="73"/>
      <c r="O3916" s="73"/>
      <c r="P3916" s="73"/>
      <c r="Q3916" s="73"/>
      <c r="R3916" s="73"/>
      <c r="S3916" s="73"/>
      <c r="T3916" s="73"/>
      <c r="U3916" s="73"/>
      <c r="V3916" s="73"/>
      <c r="W3916" s="73"/>
      <c r="X3916" s="73"/>
      <c r="Y3916" s="73"/>
      <c r="Z3916" s="73"/>
      <c r="AA3916" s="73"/>
      <c r="AB3916" s="73"/>
    </row>
    <row r="3917">
      <c r="A3917" s="73"/>
      <c r="B3917" s="73">
        <v>7927486.48</v>
      </c>
      <c r="C3917" s="73">
        <v>4.69110701849548E8</v>
      </c>
      <c r="D3917" s="73">
        <v>2.39091845647991E8</v>
      </c>
      <c r="E3917" s="73">
        <v>3.37095301592987E7</v>
      </c>
      <c r="F3917" s="73"/>
      <c r="G3917" s="73"/>
      <c r="H3917" s="73"/>
      <c r="I3917" s="73"/>
      <c r="J3917" s="73"/>
      <c r="K3917" s="73"/>
      <c r="L3917" s="73"/>
      <c r="M3917" s="73"/>
      <c r="N3917" s="73"/>
      <c r="O3917" s="73"/>
      <c r="P3917" s="73"/>
      <c r="Q3917" s="73"/>
      <c r="R3917" s="73"/>
      <c r="S3917" s="73"/>
      <c r="T3917" s="73"/>
      <c r="U3917" s="73"/>
      <c r="V3917" s="73"/>
      <c r="W3917" s="73"/>
      <c r="X3917" s="73"/>
      <c r="Y3917" s="73"/>
      <c r="Z3917" s="73"/>
      <c r="AA3917" s="73"/>
      <c r="AB3917" s="73"/>
    </row>
    <row r="3918">
      <c r="A3918" s="73"/>
      <c r="B3918" s="73">
        <v>7937805.697</v>
      </c>
      <c r="C3918" s="73">
        <v>4.69436775120491E8</v>
      </c>
      <c r="D3918" s="73">
        <v>2.39290531723999E8</v>
      </c>
      <c r="E3918" s="73">
        <v>3.37407490232135E7</v>
      </c>
      <c r="F3918" s="73"/>
      <c r="G3918" s="73"/>
      <c r="H3918" s="73"/>
      <c r="I3918" s="73"/>
      <c r="J3918" s="73"/>
      <c r="K3918" s="73"/>
      <c r="L3918" s="73"/>
      <c r="M3918" s="73"/>
      <c r="N3918" s="73"/>
      <c r="O3918" s="73"/>
      <c r="P3918" s="73"/>
      <c r="Q3918" s="73"/>
      <c r="R3918" s="73"/>
      <c r="S3918" s="73"/>
      <c r="T3918" s="73"/>
      <c r="U3918" s="73"/>
      <c r="V3918" s="73"/>
      <c r="W3918" s="73"/>
      <c r="X3918" s="73"/>
      <c r="Y3918" s="73"/>
      <c r="Z3918" s="73"/>
      <c r="AA3918" s="73"/>
      <c r="AB3918" s="73"/>
    </row>
    <row r="3919">
      <c r="A3919" s="73"/>
      <c r="B3919" s="73">
        <v>7948136.813</v>
      </c>
      <c r="C3919" s="73">
        <v>4.69763013191429E8</v>
      </c>
      <c r="D3919" s="73">
        <v>2.39489320951993E8</v>
      </c>
      <c r="E3919" s="73">
        <v>3.3771989656983E7</v>
      </c>
      <c r="F3919" s="73"/>
      <c r="G3919" s="73"/>
      <c r="H3919" s="73"/>
      <c r="I3919" s="73"/>
      <c r="J3919" s="73"/>
      <c r="K3919" s="73"/>
      <c r="L3919" s="73"/>
      <c r="M3919" s="73"/>
      <c r="N3919" s="73"/>
      <c r="O3919" s="73"/>
      <c r="P3919" s="73"/>
      <c r="Q3919" s="73"/>
      <c r="R3919" s="73"/>
      <c r="S3919" s="73"/>
      <c r="T3919" s="73"/>
      <c r="U3919" s="73"/>
      <c r="V3919" s="73"/>
      <c r="W3919" s="73"/>
      <c r="X3919" s="73"/>
      <c r="Y3919" s="73"/>
      <c r="Z3919" s="73"/>
      <c r="AA3919" s="73"/>
      <c r="AB3919" s="73"/>
    </row>
    <row r="3920">
      <c r="A3920" s="73"/>
      <c r="B3920" s="73">
        <v>7958479.853</v>
      </c>
      <c r="C3920" s="73">
        <v>4.70089317182365E8</v>
      </c>
      <c r="D3920" s="73">
        <v>2.39688213492001E8</v>
      </c>
      <c r="E3920" s="73">
        <v>3.38032485532796E7</v>
      </c>
      <c r="F3920" s="73"/>
      <c r="G3920" s="73"/>
      <c r="H3920" s="73"/>
      <c r="I3920" s="73"/>
      <c r="J3920" s="73"/>
      <c r="K3920" s="73"/>
      <c r="L3920" s="73"/>
      <c r="M3920" s="73"/>
      <c r="N3920" s="73"/>
      <c r="O3920" s="73"/>
      <c r="P3920" s="73"/>
      <c r="Q3920" s="73"/>
      <c r="R3920" s="73"/>
      <c r="S3920" s="73"/>
      <c r="T3920" s="73"/>
      <c r="U3920" s="73"/>
      <c r="V3920" s="73"/>
      <c r="W3920" s="73"/>
      <c r="X3920" s="73"/>
      <c r="Y3920" s="73"/>
      <c r="Z3920" s="73"/>
      <c r="AA3920" s="73"/>
      <c r="AB3920" s="73"/>
    </row>
    <row r="3921">
      <c r="A3921" s="73"/>
      <c r="B3921" s="73">
        <v>7968834.907</v>
      </c>
      <c r="C3921" s="73">
        <v>4.70415785973297E8</v>
      </c>
      <c r="D3921" s="73">
        <v>2.39887209039995E8</v>
      </c>
      <c r="E3921" s="73">
        <v>3.38345284986311E7</v>
      </c>
      <c r="F3921" s="73"/>
      <c r="G3921" s="73"/>
      <c r="H3921" s="73"/>
      <c r="I3921" s="73"/>
      <c r="J3921" s="73"/>
      <c r="K3921" s="73"/>
      <c r="L3921" s="73"/>
      <c r="M3921" s="73"/>
      <c r="N3921" s="73"/>
      <c r="O3921" s="73"/>
      <c r="P3921" s="73"/>
      <c r="Q3921" s="73"/>
      <c r="R3921" s="73"/>
      <c r="S3921" s="73"/>
      <c r="T3921" s="73"/>
      <c r="U3921" s="73"/>
      <c r="V3921" s="73"/>
      <c r="W3921" s="73"/>
      <c r="X3921" s="73"/>
      <c r="Y3921" s="73"/>
      <c r="Z3921" s="73"/>
      <c r="AA3921" s="73"/>
      <c r="AB3921" s="73"/>
    </row>
    <row r="3922">
      <c r="A3922" s="73"/>
      <c r="B3922" s="73">
        <v>7979201.535</v>
      </c>
      <c r="C3922" s="73">
        <v>4.70742419564224E8</v>
      </c>
      <c r="D3922" s="73">
        <v>2.40086328380003E8</v>
      </c>
      <c r="E3922" s="73">
        <v>3.38658273849095E7</v>
      </c>
      <c r="F3922" s="73"/>
      <c r="G3922" s="73"/>
      <c r="H3922" s="73"/>
      <c r="I3922" s="73"/>
      <c r="J3922" s="73"/>
      <c r="K3922" s="73"/>
      <c r="L3922" s="73"/>
      <c r="M3922" s="73"/>
      <c r="N3922" s="73"/>
      <c r="O3922" s="73"/>
      <c r="P3922" s="73"/>
      <c r="Q3922" s="73"/>
      <c r="R3922" s="73"/>
      <c r="S3922" s="73"/>
      <c r="T3922" s="73"/>
      <c r="U3922" s="73"/>
      <c r="V3922" s="73"/>
      <c r="W3922" s="73"/>
      <c r="X3922" s="73"/>
      <c r="Y3922" s="73"/>
      <c r="Z3922" s="73"/>
      <c r="AA3922" s="73"/>
      <c r="AB3922" s="73"/>
    </row>
    <row r="3923">
      <c r="A3923" s="73"/>
      <c r="B3923" s="73">
        <v>7989580.052</v>
      </c>
      <c r="C3923" s="73">
        <v>4.71069250915146E8</v>
      </c>
      <c r="D3923" s="73">
        <v>2.40285530407996E8</v>
      </c>
      <c r="E3923" s="73">
        <v>3.38971479562428E7</v>
      </c>
      <c r="F3923" s="73"/>
      <c r="G3923" s="73"/>
      <c r="H3923" s="73"/>
      <c r="I3923" s="73"/>
      <c r="J3923" s="73"/>
      <c r="K3923" s="73"/>
      <c r="L3923" s="73"/>
      <c r="M3923" s="73"/>
      <c r="N3923" s="73"/>
      <c r="O3923" s="73"/>
      <c r="P3923" s="73"/>
      <c r="Q3923" s="73"/>
      <c r="R3923" s="73"/>
      <c r="S3923" s="73"/>
      <c r="T3923" s="73"/>
      <c r="U3923" s="73"/>
      <c r="V3923" s="73"/>
      <c r="W3923" s="73"/>
      <c r="X3923" s="73"/>
      <c r="Y3923" s="73"/>
      <c r="Z3923" s="73"/>
      <c r="AA3923" s="73"/>
      <c r="AB3923" s="73"/>
    </row>
    <row r="3924">
      <c r="A3924" s="73"/>
      <c r="B3924" s="73">
        <v>7999970.543</v>
      </c>
      <c r="C3924" s="73">
        <v>4.71396181146065E8</v>
      </c>
      <c r="D3924" s="73">
        <v>2.4048485608399E8</v>
      </c>
      <c r="E3924" s="73">
        <v>3.39284865781031E7</v>
      </c>
      <c r="F3924" s="73"/>
      <c r="G3924" s="73"/>
      <c r="H3924" s="73"/>
      <c r="I3924" s="73"/>
      <c r="J3924" s="73"/>
      <c r="K3924" s="73"/>
      <c r="L3924" s="73"/>
      <c r="M3924" s="73"/>
      <c r="N3924" s="73"/>
      <c r="O3924" s="73"/>
      <c r="P3924" s="73"/>
      <c r="Q3924" s="73"/>
      <c r="R3924" s="73"/>
      <c r="S3924" s="73"/>
      <c r="T3924" s="73"/>
      <c r="U3924" s="73"/>
      <c r="V3924" s="73"/>
      <c r="W3924" s="73"/>
      <c r="X3924" s="73"/>
      <c r="Y3924" s="73"/>
      <c r="Z3924" s="73"/>
      <c r="AA3924" s="73"/>
      <c r="AB3924" s="73"/>
    </row>
    <row r="3925">
      <c r="A3925" s="73"/>
      <c r="B3925" s="73">
        <v>8010372.773</v>
      </c>
      <c r="C3925" s="73">
        <v>4.7172324321698E8</v>
      </c>
      <c r="D3925" s="73">
        <v>2.40684305695998E8</v>
      </c>
      <c r="E3925" s="73">
        <v>3.39598465458182E7</v>
      </c>
      <c r="F3925" s="73"/>
      <c r="G3925" s="73"/>
      <c r="H3925" s="73"/>
      <c r="I3925" s="73"/>
      <c r="J3925" s="73"/>
      <c r="K3925" s="73"/>
      <c r="L3925" s="73"/>
      <c r="M3925" s="73"/>
      <c r="N3925" s="73"/>
      <c r="O3925" s="73"/>
      <c r="P3925" s="73"/>
      <c r="Q3925" s="73"/>
      <c r="R3925" s="73"/>
      <c r="S3925" s="73"/>
      <c r="T3925" s="73"/>
      <c r="U3925" s="73"/>
      <c r="V3925" s="73"/>
      <c r="W3925" s="73"/>
      <c r="X3925" s="73"/>
      <c r="Y3925" s="73"/>
      <c r="Z3925" s="73"/>
      <c r="AA3925" s="73"/>
      <c r="AB3925" s="73"/>
    </row>
    <row r="3926">
      <c r="A3926" s="73"/>
      <c r="B3926" s="73">
        <v>8020787.042</v>
      </c>
      <c r="C3926" s="73">
        <v>4.72050437127892E8</v>
      </c>
      <c r="D3926" s="73">
        <v>2.40883837835991E8</v>
      </c>
      <c r="E3926" s="73">
        <v>3.39912267417243E7</v>
      </c>
      <c r="F3926" s="73"/>
      <c r="G3926" s="73"/>
      <c r="H3926" s="73"/>
      <c r="I3926" s="73"/>
      <c r="J3926" s="73"/>
      <c r="K3926" s="73"/>
      <c r="L3926" s="73"/>
      <c r="M3926" s="73"/>
      <c r="N3926" s="73"/>
      <c r="O3926" s="73"/>
      <c r="P3926" s="73"/>
      <c r="Q3926" s="73"/>
      <c r="R3926" s="73"/>
      <c r="S3926" s="73"/>
      <c r="T3926" s="73"/>
      <c r="U3926" s="73"/>
      <c r="V3926" s="73"/>
      <c r="W3926" s="73"/>
      <c r="X3926" s="73"/>
      <c r="Y3926" s="73"/>
      <c r="Z3926" s="73"/>
      <c r="AA3926" s="73"/>
      <c r="AB3926" s="73"/>
    </row>
    <row r="3927">
      <c r="A3927" s="73"/>
      <c r="B3927" s="73">
        <v>8031213.22</v>
      </c>
      <c r="C3927" s="73">
        <v>4.72377828798798E8</v>
      </c>
      <c r="D3927" s="73">
        <v>2.41083493608E8</v>
      </c>
      <c r="E3927" s="73">
        <v>3.40226264450213E7</v>
      </c>
      <c r="F3927" s="73"/>
      <c r="G3927" s="73"/>
      <c r="H3927" s="73"/>
      <c r="I3927" s="73"/>
      <c r="J3927" s="73"/>
      <c r="K3927" s="73"/>
      <c r="L3927" s="73"/>
      <c r="M3927" s="73"/>
      <c r="N3927" s="73"/>
      <c r="O3927" s="73"/>
      <c r="P3927" s="73"/>
      <c r="Q3927" s="73"/>
      <c r="R3927" s="73"/>
      <c r="S3927" s="73"/>
      <c r="T3927" s="73"/>
      <c r="U3927" s="73"/>
      <c r="V3927" s="73"/>
      <c r="W3927" s="73"/>
      <c r="X3927" s="73"/>
      <c r="Y3927" s="73"/>
      <c r="Z3927" s="73"/>
      <c r="AA3927" s="73"/>
      <c r="AB3927" s="73"/>
    </row>
    <row r="3928">
      <c r="A3928" s="73"/>
      <c r="B3928" s="73">
        <v>8041651.187</v>
      </c>
      <c r="C3928" s="73">
        <v>4.72705319349701E8</v>
      </c>
      <c r="D3928" s="73">
        <v>2.41283232227993E8</v>
      </c>
      <c r="E3928" s="73">
        <v>3.40540467581092E7</v>
      </c>
      <c r="F3928" s="73"/>
      <c r="G3928" s="73"/>
      <c r="H3928" s="73"/>
      <c r="I3928" s="73"/>
      <c r="J3928" s="73"/>
      <c r="K3928" s="73"/>
      <c r="L3928" s="73"/>
      <c r="M3928" s="73"/>
      <c r="N3928" s="73"/>
      <c r="O3928" s="73"/>
      <c r="P3928" s="73"/>
      <c r="Q3928" s="73"/>
      <c r="R3928" s="73"/>
      <c r="S3928" s="73"/>
      <c r="T3928" s="73"/>
      <c r="U3928" s="73"/>
      <c r="V3928" s="73"/>
      <c r="W3928" s="73"/>
      <c r="X3928" s="73"/>
      <c r="Y3928" s="73"/>
      <c r="Z3928" s="73"/>
      <c r="AA3928" s="73"/>
      <c r="AB3928" s="73"/>
    </row>
    <row r="3929">
      <c r="A3929" s="73"/>
      <c r="B3929" s="73">
        <v>8052101.243</v>
      </c>
      <c r="C3929" s="73">
        <v>4.73032941740601E8</v>
      </c>
      <c r="D3929" s="73">
        <v>2.41483094480002E8</v>
      </c>
      <c r="E3929" s="73">
        <v>3.4085486748188E7</v>
      </c>
      <c r="F3929" s="73"/>
      <c r="G3929" s="73"/>
      <c r="H3929" s="73"/>
      <c r="I3929" s="73"/>
      <c r="J3929" s="73"/>
      <c r="K3929" s="73"/>
      <c r="L3929" s="73"/>
      <c r="M3929" s="73"/>
      <c r="N3929" s="73"/>
      <c r="O3929" s="73"/>
      <c r="P3929" s="73"/>
      <c r="Q3929" s="73"/>
      <c r="R3929" s="73"/>
      <c r="S3929" s="73"/>
      <c r="T3929" s="73"/>
      <c r="U3929" s="73"/>
      <c r="V3929" s="73"/>
      <c r="W3929" s="73"/>
      <c r="X3929" s="73"/>
      <c r="Y3929" s="73"/>
      <c r="Z3929" s="73"/>
      <c r="AA3929" s="73"/>
      <c r="AB3929" s="73"/>
    </row>
    <row r="3930">
      <c r="A3930" s="73"/>
      <c r="B3930" s="73">
        <v>8062562.873</v>
      </c>
      <c r="C3930" s="73">
        <v>4.73360761891495E8</v>
      </c>
      <c r="D3930" s="73">
        <v>2.41683060203995E8</v>
      </c>
      <c r="E3930" s="73">
        <v>3.41169479145217E7</v>
      </c>
      <c r="F3930" s="73"/>
      <c r="G3930" s="73"/>
      <c r="H3930" s="73"/>
      <c r="I3930" s="73"/>
      <c r="J3930" s="73"/>
      <c r="K3930" s="73"/>
      <c r="L3930" s="73"/>
      <c r="M3930" s="73"/>
      <c r="N3930" s="73"/>
      <c r="O3930" s="73"/>
      <c r="P3930" s="73"/>
      <c r="Q3930" s="73"/>
      <c r="R3930" s="73"/>
      <c r="S3930" s="73"/>
      <c r="T3930" s="73"/>
      <c r="U3930" s="73"/>
      <c r="V3930" s="73"/>
      <c r="W3930" s="73"/>
      <c r="X3930" s="73"/>
      <c r="Y3930" s="73"/>
      <c r="Z3930" s="73"/>
      <c r="AA3930" s="73"/>
      <c r="AB3930" s="73"/>
    </row>
    <row r="3931">
      <c r="A3931" s="73"/>
      <c r="B3931" s="73">
        <v>8073036.517</v>
      </c>
      <c r="C3931" s="73">
        <v>4.73688680922386E8</v>
      </c>
      <c r="D3931" s="73">
        <v>2.41883149416004E8</v>
      </c>
      <c r="E3931" s="73">
        <v>3.41484276401823E7</v>
      </c>
      <c r="F3931" s="73"/>
      <c r="G3931" s="73"/>
      <c r="H3931" s="73"/>
      <c r="I3931" s="73"/>
      <c r="J3931" s="73"/>
      <c r="K3931" s="73"/>
      <c r="L3931" s="73"/>
      <c r="M3931" s="73"/>
      <c r="N3931" s="73"/>
      <c r="O3931" s="73"/>
      <c r="P3931" s="73"/>
      <c r="Q3931" s="73"/>
      <c r="R3931" s="73"/>
      <c r="S3931" s="73"/>
      <c r="T3931" s="73"/>
      <c r="U3931" s="73"/>
      <c r="V3931" s="73"/>
      <c r="W3931" s="73"/>
      <c r="X3931" s="73"/>
      <c r="Y3931" s="73"/>
      <c r="Z3931" s="73"/>
      <c r="AA3931" s="73"/>
      <c r="AB3931" s="73"/>
    </row>
    <row r="3932">
      <c r="A3932" s="73"/>
      <c r="B3932" s="73">
        <v>8083522.21</v>
      </c>
      <c r="C3932" s="73">
        <v>4.74016764753273E8</v>
      </c>
      <c r="D3932" s="73">
        <v>2.42083321299997E8</v>
      </c>
      <c r="E3932" s="73">
        <v>3.41799275940339E7</v>
      </c>
      <c r="F3932" s="73"/>
      <c r="G3932" s="73"/>
      <c r="H3932" s="73"/>
      <c r="I3932" s="73"/>
      <c r="J3932" s="73"/>
      <c r="K3932" s="73"/>
      <c r="L3932" s="73"/>
      <c r="M3932" s="73"/>
      <c r="N3932" s="73"/>
      <c r="O3932" s="73"/>
      <c r="P3932" s="73"/>
      <c r="Q3932" s="73"/>
      <c r="R3932" s="73"/>
      <c r="S3932" s="73"/>
      <c r="T3932" s="73"/>
      <c r="U3932" s="73"/>
      <c r="V3932" s="73"/>
      <c r="W3932" s="73"/>
      <c r="X3932" s="73"/>
      <c r="Y3932" s="73"/>
      <c r="Z3932" s="73"/>
      <c r="AA3932" s="73"/>
      <c r="AB3932" s="73"/>
    </row>
    <row r="3933">
      <c r="A3933" s="73"/>
      <c r="B3933" s="73">
        <v>8094019.817</v>
      </c>
      <c r="C3933" s="73">
        <v>4.74344947464157E8</v>
      </c>
      <c r="D3933" s="73">
        <v>2.4228361713599E8</v>
      </c>
      <c r="E3933" s="73">
        <v>3.42114481576764E7</v>
      </c>
      <c r="F3933" s="73"/>
      <c r="G3933" s="73"/>
      <c r="H3933" s="73"/>
      <c r="I3933" s="73"/>
      <c r="J3933" s="73"/>
      <c r="K3933" s="73"/>
      <c r="L3933" s="73"/>
      <c r="M3933" s="73"/>
      <c r="N3933" s="73"/>
      <c r="O3933" s="73"/>
      <c r="P3933" s="73"/>
      <c r="Q3933" s="73"/>
      <c r="R3933" s="73"/>
      <c r="S3933" s="73"/>
      <c r="T3933" s="73"/>
      <c r="U3933" s="73"/>
      <c r="V3933" s="73"/>
      <c r="W3933" s="73"/>
      <c r="X3933" s="73"/>
      <c r="Y3933" s="73"/>
      <c r="Z3933" s="73"/>
      <c r="AA3933" s="73"/>
      <c r="AB3933" s="73"/>
    </row>
    <row r="3934">
      <c r="A3934" s="73"/>
      <c r="B3934" s="73">
        <v>8104529.198</v>
      </c>
      <c r="C3934" s="73">
        <v>4.74673294975037E8</v>
      </c>
      <c r="D3934" s="73">
        <v>2.42484015979999E8</v>
      </c>
      <c r="E3934" s="73">
        <v>3.42429888375738E7</v>
      </c>
      <c r="F3934" s="73"/>
      <c r="G3934" s="73"/>
      <c r="H3934" s="73"/>
      <c r="I3934" s="73"/>
      <c r="J3934" s="73"/>
      <c r="K3934" s="73"/>
      <c r="L3934" s="73"/>
      <c r="M3934" s="73"/>
      <c r="N3934" s="73"/>
      <c r="O3934" s="73"/>
      <c r="P3934" s="73"/>
      <c r="Q3934" s="73"/>
      <c r="R3934" s="73"/>
      <c r="S3934" s="73"/>
      <c r="T3934" s="73"/>
      <c r="U3934" s="73"/>
      <c r="V3934" s="73"/>
      <c r="W3934" s="73"/>
      <c r="X3934" s="73"/>
      <c r="Y3934" s="73"/>
      <c r="Z3934" s="73"/>
      <c r="AA3934" s="73"/>
      <c r="AB3934" s="73"/>
    </row>
    <row r="3935">
      <c r="A3935" s="73"/>
      <c r="B3935" s="73">
        <v>8115050.593</v>
      </c>
      <c r="C3935" s="73">
        <v>4.75001807285912E8</v>
      </c>
      <c r="D3935" s="73">
        <v>2.42684517975992E8</v>
      </c>
      <c r="E3935" s="73">
        <v>3.42745479919982E7</v>
      </c>
      <c r="F3935" s="73"/>
      <c r="G3935" s="73"/>
      <c r="H3935" s="73"/>
      <c r="I3935" s="73"/>
      <c r="J3935" s="73"/>
      <c r="K3935" s="73"/>
      <c r="L3935" s="73"/>
      <c r="M3935" s="73"/>
      <c r="N3935" s="73"/>
      <c r="O3935" s="73"/>
      <c r="P3935" s="73"/>
      <c r="Q3935" s="73"/>
      <c r="R3935" s="73"/>
      <c r="S3935" s="73"/>
      <c r="T3935" s="73"/>
      <c r="U3935" s="73"/>
      <c r="V3935" s="73"/>
      <c r="W3935" s="73"/>
      <c r="X3935" s="73"/>
      <c r="Y3935" s="73"/>
      <c r="Z3935" s="73"/>
      <c r="AA3935" s="73"/>
      <c r="AB3935" s="73"/>
    </row>
    <row r="3936">
      <c r="A3936" s="73"/>
      <c r="B3936" s="73">
        <v>8125583.797</v>
      </c>
      <c r="C3936" s="73">
        <v>4.75330517356781E8</v>
      </c>
      <c r="D3936" s="73">
        <v>2.42885123300001E8</v>
      </c>
      <c r="E3936" s="73">
        <v>3.43061301034773E7</v>
      </c>
      <c r="F3936" s="73"/>
      <c r="G3936" s="73"/>
      <c r="H3936" s="73"/>
      <c r="I3936" s="73"/>
      <c r="J3936" s="73"/>
      <c r="K3936" s="73"/>
      <c r="L3936" s="73"/>
      <c r="M3936" s="73"/>
      <c r="N3936" s="73"/>
      <c r="O3936" s="73"/>
      <c r="P3936" s="73"/>
      <c r="Q3936" s="73"/>
      <c r="R3936" s="73"/>
      <c r="S3936" s="73"/>
      <c r="T3936" s="73"/>
      <c r="U3936" s="73"/>
      <c r="V3936" s="73"/>
      <c r="W3936" s="73"/>
      <c r="X3936" s="73"/>
      <c r="Y3936" s="73"/>
      <c r="Z3936" s="73"/>
      <c r="AA3936" s="73"/>
      <c r="AB3936" s="73"/>
    </row>
    <row r="3937">
      <c r="A3937" s="73"/>
      <c r="B3937" s="73">
        <v>8136129.13</v>
      </c>
      <c r="C3937" s="73">
        <v>4.75659326307648E8</v>
      </c>
      <c r="D3937" s="73">
        <v>2.43085852255994E8</v>
      </c>
      <c r="E3937" s="73">
        <v>3.43377310439474E7</v>
      </c>
      <c r="F3937" s="73"/>
      <c r="G3937" s="73"/>
      <c r="H3937" s="73"/>
      <c r="I3937" s="73"/>
      <c r="J3937" s="73"/>
      <c r="K3937" s="73"/>
      <c r="L3937" s="73"/>
      <c r="M3937" s="73"/>
      <c r="N3937" s="73"/>
      <c r="O3937" s="73"/>
      <c r="P3937" s="73"/>
      <c r="Q3937" s="73"/>
      <c r="R3937" s="73"/>
      <c r="S3937" s="73"/>
      <c r="T3937" s="73"/>
      <c r="U3937" s="73"/>
      <c r="V3937" s="73"/>
      <c r="W3937" s="73"/>
      <c r="X3937" s="73"/>
      <c r="Y3937" s="73"/>
      <c r="Z3937" s="73"/>
      <c r="AA3937" s="73"/>
      <c r="AB3937" s="73"/>
    </row>
    <row r="3938">
      <c r="A3938" s="73"/>
      <c r="B3938" s="73">
        <v>8146686.362</v>
      </c>
      <c r="C3938" s="73">
        <v>4.75988234138512E8</v>
      </c>
      <c r="D3938" s="73">
        <v>2.43286684540002E8</v>
      </c>
      <c r="E3938" s="73">
        <v>3.43693526790084E7</v>
      </c>
      <c r="F3938" s="73"/>
      <c r="G3938" s="73"/>
      <c r="H3938" s="73"/>
      <c r="I3938" s="73"/>
      <c r="J3938" s="73"/>
      <c r="K3938" s="73"/>
      <c r="L3938" s="73"/>
      <c r="M3938" s="73"/>
      <c r="N3938" s="73"/>
      <c r="O3938" s="73"/>
      <c r="P3938" s="73"/>
      <c r="Q3938" s="73"/>
      <c r="R3938" s="73"/>
      <c r="S3938" s="73"/>
      <c r="T3938" s="73"/>
      <c r="U3938" s="73"/>
      <c r="V3938" s="73"/>
      <c r="W3938" s="73"/>
      <c r="X3938" s="73"/>
      <c r="Y3938" s="73"/>
      <c r="Z3938" s="73"/>
      <c r="AA3938" s="73"/>
      <c r="AB3938" s="73"/>
    </row>
    <row r="3939">
      <c r="A3939" s="73"/>
      <c r="B3939" s="73">
        <v>8157255.408</v>
      </c>
      <c r="C3939" s="73">
        <v>4.76317306769371E8</v>
      </c>
      <c r="D3939" s="73">
        <v>2.43487619815996E8</v>
      </c>
      <c r="E3939" s="73">
        <v>3.44009933974604E7</v>
      </c>
      <c r="F3939" s="73"/>
      <c r="G3939" s="73"/>
      <c r="H3939" s="73"/>
      <c r="I3939" s="73"/>
      <c r="J3939" s="73"/>
      <c r="K3939" s="73"/>
      <c r="L3939" s="73"/>
      <c r="M3939" s="73"/>
      <c r="N3939" s="73"/>
      <c r="O3939" s="73"/>
      <c r="P3939" s="73"/>
      <c r="Q3939" s="73"/>
      <c r="R3939" s="73"/>
      <c r="S3939" s="73"/>
      <c r="T3939" s="73"/>
      <c r="U3939" s="73"/>
      <c r="V3939" s="73"/>
      <c r="W3939" s="73"/>
      <c r="X3939" s="73"/>
      <c r="Y3939" s="73"/>
      <c r="Z3939" s="73"/>
      <c r="AA3939" s="73"/>
      <c r="AB3939" s="73"/>
    </row>
    <row r="3940">
      <c r="A3940" s="73"/>
      <c r="B3940" s="73">
        <v>8167836.628</v>
      </c>
      <c r="C3940" s="73">
        <v>4.76646544200226E8</v>
      </c>
      <c r="D3940" s="73">
        <v>2.43688658707989E8</v>
      </c>
      <c r="E3940" s="73">
        <v>3.44326532264394E7</v>
      </c>
      <c r="F3940" s="73"/>
      <c r="G3940" s="73"/>
      <c r="H3940" s="73"/>
      <c r="I3940" s="73"/>
      <c r="J3940" s="73"/>
      <c r="K3940" s="73"/>
      <c r="L3940" s="73"/>
      <c r="M3940" s="73"/>
      <c r="N3940" s="73"/>
      <c r="O3940" s="73"/>
      <c r="P3940" s="73"/>
      <c r="Q3940" s="73"/>
      <c r="R3940" s="73"/>
      <c r="S3940" s="73"/>
      <c r="T3940" s="73"/>
      <c r="U3940" s="73"/>
      <c r="V3940" s="73"/>
      <c r="W3940" s="73"/>
      <c r="X3940" s="73"/>
      <c r="Y3940" s="73"/>
      <c r="Z3940" s="73"/>
      <c r="AA3940" s="73"/>
      <c r="AB3940" s="73"/>
    </row>
    <row r="3941">
      <c r="A3941" s="73"/>
      <c r="B3941" s="73">
        <v>8178429.797</v>
      </c>
      <c r="C3941" s="73">
        <v>4.76975913471077E8</v>
      </c>
      <c r="D3941" s="73">
        <v>2.43889800463998E8</v>
      </c>
      <c r="E3941" s="73">
        <v>3.44643344012732E7</v>
      </c>
      <c r="F3941" s="73"/>
      <c r="G3941" s="73"/>
      <c r="H3941" s="73"/>
      <c r="I3941" s="73"/>
      <c r="J3941" s="73"/>
      <c r="K3941" s="73"/>
      <c r="L3941" s="73"/>
      <c r="M3941" s="73"/>
      <c r="N3941" s="73"/>
      <c r="O3941" s="73"/>
      <c r="P3941" s="73"/>
      <c r="Q3941" s="73"/>
      <c r="R3941" s="73"/>
      <c r="S3941" s="73"/>
      <c r="T3941" s="73"/>
      <c r="U3941" s="73"/>
      <c r="V3941" s="73"/>
      <c r="W3941" s="73"/>
      <c r="X3941" s="73"/>
      <c r="Y3941" s="73"/>
      <c r="Z3941" s="73"/>
      <c r="AA3941" s="73"/>
      <c r="AB3941" s="73"/>
    </row>
    <row r="3942">
      <c r="A3942" s="73"/>
      <c r="B3942" s="73">
        <v>8189034.805</v>
      </c>
      <c r="C3942" s="73">
        <v>4.77305381621925E8</v>
      </c>
      <c r="D3942" s="73">
        <v>2.44091066011991E8</v>
      </c>
      <c r="E3942" s="73">
        <v>3.44960370067618E7</v>
      </c>
      <c r="F3942" s="73"/>
      <c r="G3942" s="73"/>
      <c r="H3942" s="73"/>
      <c r="I3942" s="73"/>
      <c r="J3942" s="73"/>
      <c r="K3942" s="73"/>
      <c r="L3942" s="73"/>
      <c r="M3942" s="73"/>
      <c r="N3942" s="73"/>
      <c r="O3942" s="73"/>
      <c r="P3942" s="73"/>
      <c r="Q3942" s="73"/>
      <c r="R3942" s="73"/>
      <c r="S3942" s="73"/>
      <c r="T3942" s="73"/>
      <c r="U3942" s="73"/>
      <c r="V3942" s="73"/>
      <c r="W3942" s="73"/>
      <c r="X3942" s="73"/>
      <c r="Y3942" s="73"/>
      <c r="Z3942" s="73"/>
      <c r="AA3942" s="73"/>
      <c r="AB3942" s="73"/>
    </row>
    <row r="3943">
      <c r="A3943" s="73"/>
      <c r="B3943" s="73">
        <v>8199651.627</v>
      </c>
      <c r="C3943" s="73">
        <v>4.77635080492767E8</v>
      </c>
      <c r="D3943" s="73">
        <v>2.44292434871999E8</v>
      </c>
      <c r="E3943" s="73">
        <v>3.45277585531775E7</v>
      </c>
      <c r="F3943" s="73"/>
      <c r="G3943" s="73"/>
      <c r="H3943" s="73"/>
      <c r="I3943" s="73"/>
      <c r="J3943" s="73"/>
      <c r="K3943" s="73"/>
      <c r="L3943" s="73"/>
      <c r="M3943" s="73"/>
      <c r="N3943" s="73"/>
      <c r="O3943" s="73"/>
      <c r="P3943" s="73"/>
      <c r="Q3943" s="73"/>
      <c r="R3943" s="73"/>
      <c r="S3943" s="73"/>
      <c r="T3943" s="73"/>
      <c r="U3943" s="73"/>
      <c r="V3943" s="73"/>
      <c r="W3943" s="73"/>
      <c r="X3943" s="73"/>
      <c r="Y3943" s="73"/>
      <c r="Z3943" s="73"/>
      <c r="AA3943" s="73"/>
      <c r="AB3943" s="73"/>
    </row>
    <row r="3944">
      <c r="A3944" s="73"/>
      <c r="B3944" s="73">
        <v>8210280.548</v>
      </c>
      <c r="C3944" s="73">
        <v>4.77964878243607E8</v>
      </c>
      <c r="D3944" s="73">
        <v>2.44493906739993E8</v>
      </c>
      <c r="E3944" s="73">
        <v>3.4559499946184E7</v>
      </c>
      <c r="F3944" s="73"/>
      <c r="G3944" s="73"/>
      <c r="H3944" s="73"/>
      <c r="I3944" s="73"/>
      <c r="J3944" s="73"/>
      <c r="K3944" s="73"/>
      <c r="L3944" s="73"/>
      <c r="M3944" s="73"/>
      <c r="N3944" s="73"/>
      <c r="O3944" s="73"/>
      <c r="P3944" s="73"/>
      <c r="Q3944" s="73"/>
      <c r="R3944" s="73"/>
      <c r="S3944" s="73"/>
      <c r="T3944" s="73"/>
      <c r="U3944" s="73"/>
      <c r="V3944" s="73"/>
      <c r="W3944" s="73"/>
      <c r="X3944" s="73"/>
      <c r="Y3944" s="73"/>
      <c r="Z3944" s="73"/>
      <c r="AA3944" s="73"/>
      <c r="AB3944" s="73"/>
    </row>
    <row r="3945">
      <c r="A3945" s="73"/>
      <c r="B3945" s="73">
        <v>8220921.593</v>
      </c>
      <c r="C3945" s="73">
        <v>4.78294840794441E8</v>
      </c>
      <c r="D3945" s="73">
        <v>2.44695502560001E8</v>
      </c>
      <c r="E3945" s="73">
        <v>3.45912617522454E7</v>
      </c>
      <c r="F3945" s="73"/>
      <c r="G3945" s="73"/>
      <c r="H3945" s="73"/>
      <c r="I3945" s="73"/>
      <c r="J3945" s="73"/>
      <c r="K3945" s="73"/>
      <c r="L3945" s="73"/>
      <c r="M3945" s="73"/>
      <c r="N3945" s="73"/>
      <c r="O3945" s="73"/>
      <c r="P3945" s="73"/>
      <c r="Q3945" s="73"/>
      <c r="R3945" s="73"/>
      <c r="S3945" s="73"/>
      <c r="T3945" s="73"/>
      <c r="U3945" s="73"/>
      <c r="V3945" s="73"/>
      <c r="W3945" s="73"/>
      <c r="X3945" s="73"/>
      <c r="Y3945" s="73"/>
      <c r="Z3945" s="73"/>
      <c r="AA3945" s="73"/>
      <c r="AB3945" s="73"/>
    </row>
    <row r="3946">
      <c r="A3946" s="73"/>
      <c r="B3946" s="73">
        <v>8231574.352</v>
      </c>
      <c r="C3946" s="73">
        <v>4.78624902225273E8</v>
      </c>
      <c r="D3946" s="73">
        <v>2.44897180891995E8</v>
      </c>
      <c r="E3946" s="73">
        <v>3.46230432624338E7</v>
      </c>
      <c r="F3946" s="73"/>
      <c r="G3946" s="73"/>
      <c r="H3946" s="73"/>
      <c r="I3946" s="73"/>
      <c r="J3946" s="73"/>
      <c r="K3946" s="73"/>
      <c r="L3946" s="73"/>
      <c r="M3946" s="73"/>
      <c r="N3946" s="73"/>
      <c r="O3946" s="73"/>
      <c r="P3946" s="73"/>
      <c r="Q3946" s="73"/>
      <c r="R3946" s="73"/>
      <c r="S3946" s="73"/>
      <c r="T3946" s="73"/>
      <c r="U3946" s="73"/>
      <c r="V3946" s="73"/>
      <c r="W3946" s="73"/>
      <c r="X3946" s="73"/>
      <c r="Y3946" s="73"/>
      <c r="Z3946" s="73"/>
      <c r="AA3946" s="73"/>
      <c r="AB3946" s="73"/>
    </row>
    <row r="3947">
      <c r="A3947" s="73"/>
      <c r="B3947" s="73">
        <v>8242239.425</v>
      </c>
      <c r="C3947" s="73">
        <v>4.78955095496101E8</v>
      </c>
      <c r="D3947" s="73">
        <v>2.45098982888003E8</v>
      </c>
      <c r="E3947" s="73">
        <v>3.46548464576771E7</v>
      </c>
      <c r="F3947" s="73"/>
      <c r="G3947" s="73"/>
      <c r="H3947" s="73"/>
      <c r="I3947" s="73"/>
      <c r="J3947" s="73"/>
      <c r="K3947" s="73"/>
      <c r="L3947" s="73"/>
      <c r="M3947" s="73"/>
      <c r="N3947" s="73"/>
      <c r="O3947" s="73"/>
      <c r="P3947" s="73"/>
      <c r="Q3947" s="73"/>
      <c r="R3947" s="73"/>
      <c r="S3947" s="73"/>
      <c r="T3947" s="73"/>
      <c r="U3947" s="73"/>
      <c r="V3947" s="73"/>
      <c r="W3947" s="73"/>
      <c r="X3947" s="73"/>
      <c r="Y3947" s="73"/>
      <c r="Z3947" s="73"/>
      <c r="AA3947" s="73"/>
      <c r="AB3947" s="73"/>
    </row>
    <row r="3948">
      <c r="A3948" s="73"/>
      <c r="B3948" s="73">
        <v>8252916.357</v>
      </c>
      <c r="C3948" s="73">
        <v>4.79285486526924E8</v>
      </c>
      <c r="D3948" s="73">
        <v>2.45300888339996E8</v>
      </c>
      <c r="E3948" s="73">
        <v>3.46866680850473E7</v>
      </c>
      <c r="F3948" s="73"/>
      <c r="G3948" s="73"/>
      <c r="H3948" s="73"/>
      <c r="I3948" s="73"/>
      <c r="J3948" s="73"/>
      <c r="K3948" s="73"/>
      <c r="L3948" s="73"/>
      <c r="M3948" s="73"/>
      <c r="N3948" s="73"/>
      <c r="O3948" s="73"/>
      <c r="P3948" s="73"/>
      <c r="Q3948" s="73"/>
      <c r="R3948" s="73"/>
      <c r="S3948" s="73"/>
      <c r="T3948" s="73"/>
      <c r="U3948" s="73"/>
      <c r="V3948" s="73"/>
      <c r="W3948" s="73"/>
      <c r="X3948" s="73"/>
      <c r="Y3948" s="73"/>
      <c r="Z3948" s="73"/>
      <c r="AA3948" s="73"/>
      <c r="AB3948" s="73"/>
    </row>
    <row r="3949">
      <c r="A3949" s="73"/>
      <c r="B3949" s="73">
        <v>8263605.268</v>
      </c>
      <c r="C3949" s="73">
        <v>4.79616042357742E8</v>
      </c>
      <c r="D3949" s="73">
        <v>2.4550289694399E8</v>
      </c>
      <c r="E3949" s="73">
        <v>3.47185112278723E7</v>
      </c>
      <c r="F3949" s="73"/>
      <c r="G3949" s="73"/>
      <c r="H3949" s="73"/>
      <c r="I3949" s="73"/>
      <c r="J3949" s="73"/>
      <c r="K3949" s="73"/>
      <c r="L3949" s="73"/>
      <c r="M3949" s="73"/>
      <c r="N3949" s="73"/>
      <c r="O3949" s="73"/>
      <c r="P3949" s="73"/>
      <c r="Q3949" s="73"/>
      <c r="R3949" s="73"/>
      <c r="S3949" s="73"/>
      <c r="T3949" s="73"/>
      <c r="U3949" s="73"/>
      <c r="V3949" s="73"/>
      <c r="W3949" s="73"/>
      <c r="X3949" s="73"/>
      <c r="Y3949" s="73"/>
      <c r="Z3949" s="73"/>
      <c r="AA3949" s="73"/>
      <c r="AB3949" s="73"/>
    </row>
    <row r="3950">
      <c r="A3950" s="73"/>
      <c r="B3950" s="73">
        <v>8274306.103</v>
      </c>
      <c r="C3950" s="73">
        <v>4.79946730028557E8</v>
      </c>
      <c r="D3950" s="73">
        <v>2.45705008715998E8</v>
      </c>
      <c r="E3950" s="73">
        <v>3.47503737084883E7</v>
      </c>
      <c r="F3950" s="73"/>
      <c r="G3950" s="73"/>
      <c r="H3950" s="73"/>
      <c r="I3950" s="73"/>
      <c r="J3950" s="73"/>
      <c r="K3950" s="73"/>
      <c r="L3950" s="73"/>
      <c r="M3950" s="73"/>
      <c r="N3950" s="73"/>
      <c r="O3950" s="73"/>
      <c r="P3950" s="73"/>
      <c r="Q3950" s="73"/>
      <c r="R3950" s="73"/>
      <c r="S3950" s="73"/>
      <c r="T3950" s="73"/>
      <c r="U3950" s="73"/>
      <c r="V3950" s="73"/>
      <c r="W3950" s="73"/>
      <c r="X3950" s="73"/>
      <c r="Y3950" s="73"/>
      <c r="Z3950" s="73"/>
      <c r="AA3950" s="73"/>
      <c r="AB3950" s="73"/>
    </row>
    <row r="3951">
      <c r="A3951" s="73"/>
      <c r="B3951" s="73">
        <v>8285019.152</v>
      </c>
      <c r="C3951" s="73">
        <v>4.80277549539368E8</v>
      </c>
      <c r="D3951" s="73">
        <v>2.45907244119991E8</v>
      </c>
      <c r="E3951" s="73">
        <v>3.47822567988952E7</v>
      </c>
      <c r="F3951" s="73"/>
      <c r="G3951" s="73"/>
      <c r="H3951" s="73"/>
      <c r="I3951" s="73"/>
      <c r="J3951" s="73"/>
      <c r="K3951" s="73"/>
      <c r="L3951" s="73"/>
      <c r="M3951" s="73"/>
      <c r="N3951" s="73"/>
      <c r="O3951" s="73"/>
      <c r="P3951" s="73"/>
      <c r="Q3951" s="73"/>
      <c r="R3951" s="73"/>
      <c r="S3951" s="73"/>
      <c r="T3951" s="73"/>
      <c r="U3951" s="73"/>
      <c r="V3951" s="73"/>
      <c r="W3951" s="73"/>
      <c r="X3951" s="73"/>
      <c r="Y3951" s="73"/>
      <c r="Z3951" s="73"/>
      <c r="AA3951" s="73"/>
      <c r="AB3951" s="73"/>
    </row>
    <row r="3952">
      <c r="A3952" s="73"/>
      <c r="B3952" s="73">
        <v>8295743.985</v>
      </c>
      <c r="C3952" s="73">
        <v>4.80608500890175E8</v>
      </c>
      <c r="D3952" s="73">
        <v>2.46109582852E8</v>
      </c>
      <c r="E3952" s="73">
        <v>3.48141576430292E7</v>
      </c>
      <c r="F3952" s="73"/>
      <c r="G3952" s="73"/>
      <c r="H3952" s="73"/>
      <c r="I3952" s="73"/>
      <c r="J3952" s="73"/>
      <c r="K3952" s="73"/>
      <c r="L3952" s="73"/>
      <c r="M3952" s="73"/>
      <c r="N3952" s="73"/>
      <c r="O3952" s="73"/>
      <c r="P3952" s="73"/>
      <c r="Q3952" s="73"/>
      <c r="R3952" s="73"/>
      <c r="S3952" s="73"/>
      <c r="T3952" s="73"/>
      <c r="U3952" s="73"/>
      <c r="V3952" s="73"/>
      <c r="W3952" s="73"/>
      <c r="X3952" s="73"/>
      <c r="Y3952" s="73"/>
      <c r="Z3952" s="73"/>
      <c r="AA3952" s="73"/>
      <c r="AB3952" s="73"/>
    </row>
    <row r="3953">
      <c r="A3953" s="73"/>
      <c r="B3953" s="73">
        <v>8306480.997</v>
      </c>
      <c r="C3953" s="73">
        <v>4.80939551120979E8</v>
      </c>
      <c r="D3953" s="73">
        <v>2.46312024591993E8</v>
      </c>
      <c r="E3953" s="73">
        <v>3.48460821802818E7</v>
      </c>
      <c r="F3953" s="73"/>
      <c r="G3953" s="73"/>
      <c r="H3953" s="73"/>
      <c r="I3953" s="73"/>
      <c r="J3953" s="73"/>
      <c r="K3953" s="73"/>
      <c r="L3953" s="73"/>
      <c r="M3953" s="73"/>
      <c r="N3953" s="73"/>
      <c r="O3953" s="73"/>
      <c r="P3953" s="73"/>
      <c r="Q3953" s="73"/>
      <c r="R3953" s="73"/>
      <c r="S3953" s="73"/>
      <c r="T3953" s="73"/>
      <c r="U3953" s="73"/>
      <c r="V3953" s="73"/>
      <c r="W3953" s="73"/>
      <c r="X3953" s="73"/>
      <c r="Y3953" s="73"/>
      <c r="Z3953" s="73"/>
      <c r="AA3953" s="73"/>
      <c r="AB3953" s="73"/>
    </row>
    <row r="3954">
      <c r="A3954" s="73"/>
      <c r="B3954" s="73">
        <v>8317229.818</v>
      </c>
      <c r="C3954" s="73">
        <v>4.81270766151779E8</v>
      </c>
      <c r="D3954" s="73">
        <v>2.46514590268002E8</v>
      </c>
      <c r="E3954" s="73">
        <v>3.48780254040615E7</v>
      </c>
      <c r="F3954" s="73"/>
      <c r="G3954" s="73"/>
      <c r="H3954" s="73"/>
      <c r="I3954" s="73"/>
      <c r="J3954" s="73"/>
      <c r="K3954" s="73"/>
      <c r="L3954" s="73"/>
      <c r="M3954" s="73"/>
      <c r="N3954" s="73"/>
      <c r="O3954" s="73"/>
      <c r="P3954" s="73"/>
      <c r="Q3954" s="73"/>
      <c r="R3954" s="73"/>
      <c r="S3954" s="73"/>
      <c r="T3954" s="73"/>
      <c r="U3954" s="73"/>
      <c r="V3954" s="73"/>
      <c r="W3954" s="73"/>
      <c r="X3954" s="73"/>
      <c r="Y3954" s="73"/>
      <c r="Z3954" s="73"/>
      <c r="AA3954" s="73"/>
      <c r="AB3954" s="73"/>
    </row>
    <row r="3955">
      <c r="A3955" s="73"/>
      <c r="B3955" s="73">
        <v>8327990.953</v>
      </c>
      <c r="C3955" s="73">
        <v>4.81602211902573E8</v>
      </c>
      <c r="D3955" s="73">
        <v>2.46717238471995E8</v>
      </c>
      <c r="E3955" s="73">
        <v>3.49099888136321E7</v>
      </c>
      <c r="F3955" s="73"/>
      <c r="G3955" s="73"/>
      <c r="H3955" s="73"/>
      <c r="I3955" s="73"/>
      <c r="J3955" s="73"/>
      <c r="K3955" s="73"/>
      <c r="L3955" s="73"/>
      <c r="M3955" s="73"/>
      <c r="N3955" s="73"/>
      <c r="O3955" s="73"/>
      <c r="P3955" s="73"/>
      <c r="Q3955" s="73"/>
      <c r="R3955" s="73"/>
      <c r="S3955" s="73"/>
      <c r="T3955" s="73"/>
      <c r="U3955" s="73"/>
      <c r="V3955" s="73"/>
      <c r="W3955" s="73"/>
      <c r="X3955" s="73"/>
      <c r="Y3955" s="73"/>
      <c r="Z3955" s="73"/>
      <c r="AA3955" s="73"/>
      <c r="AB3955" s="73"/>
    </row>
    <row r="3956">
      <c r="A3956" s="73"/>
      <c r="B3956" s="73">
        <v>8338764.027</v>
      </c>
      <c r="C3956" s="73">
        <v>4.81933756533363E8</v>
      </c>
      <c r="D3956" s="73">
        <v>2.46920031108004E8</v>
      </c>
      <c r="E3956" s="73">
        <v>3.49419731450575E7</v>
      </c>
      <c r="F3956" s="73"/>
      <c r="G3956" s="73"/>
      <c r="H3956" s="73"/>
      <c r="I3956" s="73"/>
      <c r="J3956" s="73"/>
      <c r="K3956" s="73"/>
      <c r="L3956" s="73"/>
      <c r="M3956" s="73"/>
      <c r="N3956" s="73"/>
      <c r="O3956" s="73"/>
      <c r="P3956" s="73"/>
      <c r="Q3956" s="73"/>
      <c r="R3956" s="73"/>
      <c r="S3956" s="73"/>
      <c r="T3956" s="73"/>
      <c r="U3956" s="73"/>
      <c r="V3956" s="73"/>
      <c r="W3956" s="73"/>
      <c r="X3956" s="73"/>
      <c r="Y3956" s="73"/>
      <c r="Z3956" s="73"/>
      <c r="AA3956" s="73"/>
      <c r="AB3956" s="73"/>
    </row>
    <row r="3957">
      <c r="A3957" s="73"/>
      <c r="B3957" s="73">
        <v>8349549.015</v>
      </c>
      <c r="C3957" s="73">
        <v>4.8226543300415E8</v>
      </c>
      <c r="D3957" s="73">
        <v>2.47122906271997E8</v>
      </c>
      <c r="E3957" s="73">
        <v>3.49739765870099E7</v>
      </c>
      <c r="F3957" s="73"/>
      <c r="G3957" s="73"/>
      <c r="H3957" s="73"/>
      <c r="I3957" s="73"/>
      <c r="J3957" s="73"/>
      <c r="K3957" s="73"/>
      <c r="L3957" s="73"/>
      <c r="M3957" s="73"/>
      <c r="N3957" s="73"/>
      <c r="O3957" s="73"/>
      <c r="P3957" s="73"/>
      <c r="Q3957" s="73"/>
      <c r="R3957" s="73"/>
      <c r="S3957" s="73"/>
      <c r="T3957" s="73"/>
      <c r="U3957" s="73"/>
      <c r="V3957" s="73"/>
      <c r="W3957" s="73"/>
      <c r="X3957" s="73"/>
      <c r="Y3957" s="73"/>
      <c r="Z3957" s="73"/>
      <c r="AA3957" s="73"/>
      <c r="AB3957" s="73"/>
    </row>
    <row r="3958">
      <c r="A3958" s="73"/>
      <c r="B3958" s="73">
        <v>8360346.152</v>
      </c>
      <c r="C3958" s="73">
        <v>4.82597208354935E8</v>
      </c>
      <c r="D3958" s="73">
        <v>2.4732588474799E8</v>
      </c>
      <c r="E3958" s="73">
        <v>3.50060013748172E7</v>
      </c>
      <c r="F3958" s="73"/>
      <c r="G3958" s="73"/>
      <c r="H3958" s="73"/>
      <c r="I3958" s="73"/>
      <c r="J3958" s="73"/>
      <c r="K3958" s="73"/>
      <c r="L3958" s="73"/>
      <c r="M3958" s="73"/>
      <c r="N3958" s="73"/>
      <c r="O3958" s="73"/>
      <c r="P3958" s="73"/>
      <c r="Q3958" s="73"/>
      <c r="R3958" s="73"/>
      <c r="S3958" s="73"/>
      <c r="T3958" s="73"/>
      <c r="U3958" s="73"/>
      <c r="V3958" s="73"/>
      <c r="W3958" s="73"/>
      <c r="X3958" s="73"/>
      <c r="Y3958" s="73"/>
      <c r="Z3958" s="73"/>
      <c r="AA3958" s="73"/>
      <c r="AB3958" s="73"/>
    </row>
    <row r="3959">
      <c r="A3959" s="73"/>
      <c r="B3959" s="73">
        <v>8371155.313</v>
      </c>
      <c r="C3959" s="73">
        <v>4.82929181465714E8</v>
      </c>
      <c r="D3959" s="73">
        <v>2.47528987015999E8</v>
      </c>
      <c r="E3959" s="73">
        <v>3.50380443403514E7</v>
      </c>
      <c r="F3959" s="73"/>
      <c r="G3959" s="73"/>
      <c r="H3959" s="73"/>
      <c r="I3959" s="73"/>
      <c r="J3959" s="73"/>
      <c r="K3959" s="73"/>
      <c r="L3959" s="73"/>
      <c r="M3959" s="73"/>
      <c r="N3959" s="73"/>
      <c r="O3959" s="73"/>
      <c r="P3959" s="73"/>
      <c r="Q3959" s="73"/>
      <c r="R3959" s="73"/>
      <c r="S3959" s="73"/>
      <c r="T3959" s="73"/>
      <c r="U3959" s="73"/>
      <c r="V3959" s="73"/>
      <c r="W3959" s="73"/>
      <c r="X3959" s="73"/>
      <c r="Y3959" s="73"/>
      <c r="Z3959" s="73"/>
      <c r="AA3959" s="73"/>
      <c r="AB3959" s="73"/>
    </row>
    <row r="3960">
      <c r="A3960" s="73"/>
      <c r="B3960" s="73">
        <v>8381976.463</v>
      </c>
      <c r="C3960" s="73">
        <v>4.83261286416489E8</v>
      </c>
      <c r="D3960" s="73">
        <v>2.47732192291992E8</v>
      </c>
      <c r="E3960" s="73">
        <v>3.50701098389405E7</v>
      </c>
      <c r="F3960" s="73"/>
      <c r="G3960" s="73"/>
      <c r="H3960" s="73"/>
      <c r="I3960" s="73"/>
      <c r="J3960" s="73"/>
      <c r="K3960" s="73"/>
      <c r="L3960" s="73"/>
      <c r="M3960" s="73"/>
      <c r="N3960" s="73"/>
      <c r="O3960" s="73"/>
      <c r="P3960" s="73"/>
      <c r="Q3960" s="73"/>
      <c r="R3960" s="73"/>
      <c r="S3960" s="73"/>
      <c r="T3960" s="73"/>
      <c r="U3960" s="73"/>
      <c r="V3960" s="73"/>
      <c r="W3960" s="73"/>
      <c r="X3960" s="73"/>
      <c r="Y3960" s="73"/>
      <c r="Z3960" s="73"/>
      <c r="AA3960" s="73"/>
      <c r="AB3960" s="73"/>
    </row>
    <row r="3961">
      <c r="A3961" s="73"/>
      <c r="B3961" s="73">
        <v>8392809.887</v>
      </c>
      <c r="C3961" s="73">
        <v>4.8359352320726E8</v>
      </c>
      <c r="D3961" s="73">
        <v>2.47935480400001E8</v>
      </c>
      <c r="E3961" s="73">
        <v>3.51021944209205E7</v>
      </c>
      <c r="F3961" s="73"/>
      <c r="G3961" s="73"/>
      <c r="H3961" s="73"/>
      <c r="I3961" s="73"/>
      <c r="J3961" s="73"/>
      <c r="K3961" s="73"/>
      <c r="L3961" s="73"/>
      <c r="M3961" s="73"/>
      <c r="N3961" s="73"/>
      <c r="O3961" s="73"/>
      <c r="P3961" s="73"/>
      <c r="Q3961" s="73"/>
      <c r="R3961" s="73"/>
      <c r="S3961" s="73"/>
      <c r="T3961" s="73"/>
      <c r="U3961" s="73"/>
      <c r="V3961" s="73"/>
      <c r="W3961" s="73"/>
      <c r="X3961" s="73"/>
      <c r="Y3961" s="73"/>
      <c r="Z3961" s="73"/>
      <c r="AA3961" s="73"/>
      <c r="AB3961" s="73"/>
    </row>
    <row r="3962">
      <c r="A3962" s="73"/>
      <c r="B3962" s="73">
        <v>8403655.05</v>
      </c>
      <c r="C3962" s="73">
        <v>4.83925957758026E8</v>
      </c>
      <c r="D3962" s="73">
        <v>2.48138912779994E8</v>
      </c>
      <c r="E3962" s="73">
        <v>3.51342981134275E7</v>
      </c>
      <c r="F3962" s="73"/>
      <c r="G3962" s="73"/>
      <c r="H3962" s="73"/>
      <c r="I3962" s="73"/>
      <c r="J3962" s="73"/>
      <c r="K3962" s="73"/>
      <c r="L3962" s="73"/>
      <c r="M3962" s="73"/>
      <c r="N3962" s="73"/>
      <c r="O3962" s="73"/>
      <c r="P3962" s="73"/>
      <c r="Q3962" s="73"/>
      <c r="R3962" s="73"/>
      <c r="S3962" s="73"/>
      <c r="T3962" s="73"/>
      <c r="U3962" s="73"/>
      <c r="V3962" s="73"/>
      <c r="W3962" s="73"/>
      <c r="X3962" s="73"/>
      <c r="Y3962" s="73"/>
      <c r="Z3962" s="73"/>
      <c r="AA3962" s="73"/>
      <c r="AB3962" s="73"/>
    </row>
    <row r="3963">
      <c r="A3963" s="73"/>
      <c r="B3963" s="73">
        <v>8414512.527</v>
      </c>
      <c r="C3963" s="73">
        <v>4.84258491188789E8</v>
      </c>
      <c r="D3963" s="73">
        <v>2.48342448168002E8</v>
      </c>
      <c r="E3963" s="73">
        <v>3.51664235757893E7</v>
      </c>
      <c r="F3963" s="73"/>
      <c r="G3963" s="73"/>
      <c r="H3963" s="73"/>
      <c r="I3963" s="73"/>
      <c r="J3963" s="73"/>
      <c r="K3963" s="73"/>
      <c r="L3963" s="73"/>
      <c r="M3963" s="73"/>
      <c r="N3963" s="73"/>
      <c r="O3963" s="73"/>
      <c r="P3963" s="73"/>
      <c r="Q3963" s="73"/>
      <c r="R3963" s="73"/>
      <c r="S3963" s="73"/>
      <c r="T3963" s="73"/>
      <c r="U3963" s="73"/>
      <c r="V3963" s="73"/>
      <c r="W3963" s="73"/>
      <c r="X3963" s="73"/>
      <c r="Y3963" s="73"/>
      <c r="Z3963" s="73"/>
      <c r="AA3963" s="73"/>
      <c r="AB3963" s="73"/>
    </row>
    <row r="3964">
      <c r="A3964" s="73"/>
      <c r="B3964" s="73">
        <v>8425382.088</v>
      </c>
      <c r="C3964" s="73">
        <v>4.84591189419548E8</v>
      </c>
      <c r="D3964" s="73">
        <v>2.48546087027996E8</v>
      </c>
      <c r="E3964" s="73">
        <v>3.5198570044806E7</v>
      </c>
      <c r="F3964" s="73"/>
      <c r="G3964" s="73"/>
      <c r="H3964" s="73"/>
      <c r="I3964" s="73"/>
      <c r="J3964" s="73"/>
      <c r="K3964" s="73"/>
      <c r="L3964" s="73"/>
      <c r="M3964" s="73"/>
      <c r="N3964" s="73"/>
      <c r="O3964" s="73"/>
      <c r="P3964" s="73"/>
      <c r="Q3964" s="73"/>
      <c r="R3964" s="73"/>
      <c r="S3964" s="73"/>
      <c r="T3964" s="73"/>
      <c r="U3964" s="73"/>
      <c r="V3964" s="73"/>
      <c r="W3964" s="73"/>
      <c r="X3964" s="73"/>
      <c r="Y3964" s="73"/>
      <c r="Z3964" s="73"/>
      <c r="AA3964" s="73"/>
      <c r="AB3964" s="73"/>
    </row>
    <row r="3965">
      <c r="A3965" s="73"/>
      <c r="B3965" s="73">
        <v>8436263.638</v>
      </c>
      <c r="C3965" s="73">
        <v>4.84923986530304E8</v>
      </c>
      <c r="D3965" s="73">
        <v>2.48749828895989E8</v>
      </c>
      <c r="E3965" s="73">
        <v>3.52307354547497E7</v>
      </c>
      <c r="F3965" s="73"/>
      <c r="G3965" s="73"/>
      <c r="H3965" s="73"/>
      <c r="I3965" s="73"/>
      <c r="J3965" s="73"/>
      <c r="K3965" s="73"/>
      <c r="L3965" s="73"/>
      <c r="M3965" s="73"/>
      <c r="N3965" s="73"/>
      <c r="O3965" s="73"/>
      <c r="P3965" s="73"/>
      <c r="Q3965" s="73"/>
      <c r="R3965" s="73"/>
      <c r="S3965" s="73"/>
      <c r="T3965" s="73"/>
      <c r="U3965" s="73"/>
      <c r="V3965" s="73"/>
      <c r="W3965" s="73"/>
      <c r="X3965" s="73"/>
      <c r="Y3965" s="73"/>
      <c r="Z3965" s="73"/>
      <c r="AA3965" s="73"/>
      <c r="AB3965" s="73"/>
    </row>
    <row r="3966">
      <c r="A3966" s="73"/>
      <c r="B3966" s="73">
        <v>8447157.192</v>
      </c>
      <c r="C3966" s="73">
        <v>4.85256981401054E8</v>
      </c>
      <c r="D3966" s="73">
        <v>2.48953674075998E8</v>
      </c>
      <c r="E3966" s="73">
        <v>3.52629211352842E7</v>
      </c>
      <c r="F3966" s="73"/>
      <c r="G3966" s="73"/>
      <c r="H3966" s="73"/>
      <c r="I3966" s="73"/>
      <c r="J3966" s="73"/>
      <c r="K3966" s="73"/>
      <c r="L3966" s="73"/>
      <c r="M3966" s="73"/>
      <c r="N3966" s="73"/>
      <c r="O3966" s="73"/>
      <c r="P3966" s="73"/>
      <c r="Q3966" s="73"/>
      <c r="R3966" s="73"/>
      <c r="S3966" s="73"/>
      <c r="T3966" s="73"/>
      <c r="U3966" s="73"/>
      <c r="V3966" s="73"/>
      <c r="W3966" s="73"/>
      <c r="X3966" s="73"/>
      <c r="Y3966" s="73"/>
      <c r="Z3966" s="73"/>
      <c r="AA3966" s="73"/>
      <c r="AB3966" s="73"/>
    </row>
    <row r="3967">
      <c r="A3967" s="73"/>
      <c r="B3967" s="73">
        <v>8458062.89</v>
      </c>
      <c r="C3967" s="73">
        <v>4.85590108111801E8</v>
      </c>
      <c r="D3967" s="73">
        <v>2.49157642887991E8</v>
      </c>
      <c r="E3967" s="73">
        <v>3.52951266624097E7</v>
      </c>
      <c r="F3967" s="73"/>
      <c r="G3967" s="73"/>
      <c r="H3967" s="73"/>
      <c r="I3967" s="73"/>
      <c r="J3967" s="73"/>
      <c r="K3967" s="73"/>
      <c r="L3967" s="73"/>
      <c r="M3967" s="73"/>
      <c r="N3967" s="73"/>
      <c r="O3967" s="73"/>
      <c r="P3967" s="73"/>
      <c r="Q3967" s="73"/>
      <c r="R3967" s="73"/>
      <c r="S3967" s="73"/>
      <c r="T3967" s="73"/>
      <c r="U3967" s="73"/>
      <c r="V3967" s="73"/>
      <c r="W3967" s="73"/>
      <c r="X3967" s="73"/>
      <c r="Y3967" s="73"/>
      <c r="Z3967" s="73"/>
      <c r="AA3967" s="73"/>
      <c r="AB3967" s="73"/>
    </row>
    <row r="3968">
      <c r="A3968" s="73"/>
      <c r="B3968" s="73">
        <v>8468980.917</v>
      </c>
      <c r="C3968" s="73">
        <v>4.85923366662544E8</v>
      </c>
      <c r="D3968" s="73">
        <v>2.49361715027999E8</v>
      </c>
      <c r="E3968" s="73">
        <v>3.53273533657901E7</v>
      </c>
      <c r="F3968" s="73"/>
      <c r="G3968" s="73"/>
      <c r="H3968" s="73"/>
      <c r="I3968" s="73"/>
      <c r="J3968" s="73"/>
      <c r="K3968" s="73"/>
      <c r="L3968" s="73"/>
      <c r="M3968" s="73"/>
      <c r="N3968" s="73"/>
      <c r="O3968" s="73"/>
      <c r="P3968" s="73"/>
      <c r="Q3968" s="73"/>
      <c r="R3968" s="73"/>
      <c r="S3968" s="73"/>
      <c r="T3968" s="73"/>
      <c r="U3968" s="73"/>
      <c r="V3968" s="73"/>
      <c r="W3968" s="73"/>
      <c r="X3968" s="73"/>
      <c r="Y3968" s="73"/>
      <c r="Z3968" s="73"/>
      <c r="AA3968" s="73"/>
      <c r="AB3968" s="73"/>
    </row>
    <row r="3969">
      <c r="A3969" s="73"/>
      <c r="B3969" s="73">
        <v>8479910.718</v>
      </c>
      <c r="C3969" s="73">
        <v>4.86256790013283E8</v>
      </c>
      <c r="D3969" s="73">
        <v>2.49565890319993E8</v>
      </c>
      <c r="E3969" s="73">
        <v>3.53595993492974E7</v>
      </c>
      <c r="F3969" s="73"/>
      <c r="G3969" s="73"/>
      <c r="H3969" s="73"/>
      <c r="I3969" s="73"/>
      <c r="J3969" s="73"/>
      <c r="K3969" s="73"/>
      <c r="L3969" s="73"/>
      <c r="M3969" s="73"/>
      <c r="N3969" s="73"/>
      <c r="O3969" s="73"/>
      <c r="P3969" s="73"/>
      <c r="Q3969" s="73"/>
      <c r="R3969" s="73"/>
      <c r="S3969" s="73"/>
      <c r="T3969" s="73"/>
      <c r="U3969" s="73"/>
      <c r="V3969" s="73"/>
      <c r="W3969" s="73"/>
      <c r="X3969" s="73"/>
      <c r="Y3969" s="73"/>
      <c r="Z3969" s="73"/>
      <c r="AA3969" s="73"/>
      <c r="AB3969" s="73"/>
    </row>
    <row r="3970">
      <c r="A3970" s="73"/>
      <c r="B3970" s="73">
        <v>8490852.808</v>
      </c>
      <c r="C3970" s="73">
        <v>4.86590312244019E8</v>
      </c>
      <c r="D3970" s="73">
        <v>2.49770168764001E8</v>
      </c>
      <c r="E3970" s="73">
        <v>3.53918667634595E7</v>
      </c>
      <c r="F3970" s="73"/>
      <c r="G3970" s="73"/>
      <c r="H3970" s="73"/>
      <c r="I3970" s="73"/>
      <c r="J3970" s="73"/>
      <c r="K3970" s="73"/>
      <c r="L3970" s="73"/>
      <c r="M3970" s="73"/>
      <c r="N3970" s="73"/>
      <c r="O3970" s="73"/>
      <c r="P3970" s="73"/>
      <c r="Q3970" s="73"/>
      <c r="R3970" s="73"/>
      <c r="S3970" s="73"/>
      <c r="T3970" s="73"/>
      <c r="U3970" s="73"/>
      <c r="V3970" s="73"/>
      <c r="W3970" s="73"/>
      <c r="X3970" s="73"/>
      <c r="Y3970" s="73"/>
      <c r="Z3970" s="73"/>
      <c r="AA3970" s="73"/>
      <c r="AB3970" s="73"/>
    </row>
    <row r="3971">
      <c r="A3971" s="73"/>
      <c r="B3971" s="73">
        <v>8501806.837</v>
      </c>
      <c r="C3971" s="73">
        <v>4.8692399927475E8</v>
      </c>
      <c r="D3971" s="73">
        <v>2.49974571015994E8</v>
      </c>
      <c r="E3971" s="73">
        <v>3.54241536850126E7</v>
      </c>
      <c r="F3971" s="73"/>
      <c r="G3971" s="73"/>
      <c r="H3971" s="73"/>
      <c r="I3971" s="73"/>
      <c r="J3971" s="73"/>
      <c r="K3971" s="73"/>
      <c r="L3971" s="73"/>
      <c r="M3971" s="73"/>
      <c r="N3971" s="73"/>
      <c r="O3971" s="73"/>
      <c r="P3971" s="73"/>
      <c r="Q3971" s="73"/>
      <c r="R3971" s="73"/>
      <c r="S3971" s="73"/>
      <c r="T3971" s="73"/>
      <c r="U3971" s="73"/>
      <c r="V3971" s="73"/>
      <c r="W3971" s="73"/>
      <c r="X3971" s="73"/>
      <c r="Y3971" s="73"/>
      <c r="Z3971" s="73"/>
      <c r="AA3971" s="73"/>
      <c r="AB3971" s="73"/>
    </row>
    <row r="3972">
      <c r="A3972" s="73"/>
      <c r="B3972" s="73">
        <v>8512772.925</v>
      </c>
      <c r="C3972" s="73">
        <v>4.87257851105476E8</v>
      </c>
      <c r="D3972" s="73">
        <v>2.50179076276003E8</v>
      </c>
      <c r="E3972" s="73">
        <v>3.54564611315566E7</v>
      </c>
      <c r="F3972" s="73"/>
      <c r="G3972" s="73"/>
      <c r="H3972" s="73"/>
      <c r="I3972" s="73"/>
      <c r="J3972" s="73"/>
      <c r="K3972" s="73"/>
      <c r="L3972" s="73"/>
      <c r="M3972" s="73"/>
      <c r="N3972" s="73"/>
      <c r="O3972" s="73"/>
      <c r="P3972" s="73"/>
      <c r="Q3972" s="73"/>
      <c r="R3972" s="73"/>
      <c r="S3972" s="73"/>
      <c r="T3972" s="73"/>
      <c r="U3972" s="73"/>
      <c r="V3972" s="73"/>
      <c r="W3972" s="73"/>
      <c r="X3972" s="73"/>
      <c r="Y3972" s="73"/>
      <c r="Z3972" s="73"/>
      <c r="AA3972" s="73"/>
      <c r="AB3972" s="73"/>
    </row>
    <row r="3973">
      <c r="A3973" s="73"/>
      <c r="B3973" s="73">
        <v>8523751.327</v>
      </c>
      <c r="C3973" s="73">
        <v>4.875918018162E8</v>
      </c>
      <c r="D3973" s="73">
        <v>2.50383685151996E8</v>
      </c>
      <c r="E3973" s="73">
        <v>3.54887879430276E7</v>
      </c>
      <c r="F3973" s="73"/>
      <c r="G3973" s="73"/>
      <c r="H3973" s="73"/>
      <c r="I3973" s="73"/>
      <c r="J3973" s="73"/>
      <c r="K3973" s="73"/>
      <c r="L3973" s="73"/>
      <c r="M3973" s="73"/>
      <c r="N3973" s="73"/>
      <c r="O3973" s="73"/>
      <c r="P3973" s="73"/>
      <c r="Q3973" s="73"/>
      <c r="R3973" s="73"/>
      <c r="S3973" s="73"/>
      <c r="T3973" s="73"/>
      <c r="U3973" s="73"/>
      <c r="V3973" s="73"/>
      <c r="W3973" s="73"/>
      <c r="X3973" s="73"/>
      <c r="Y3973" s="73"/>
      <c r="Z3973" s="73"/>
      <c r="AA3973" s="73"/>
      <c r="AB3973" s="73"/>
    </row>
    <row r="3974">
      <c r="A3974" s="73"/>
      <c r="B3974" s="73">
        <v>8534741.693</v>
      </c>
      <c r="C3974" s="73">
        <v>4.87925950286919E8</v>
      </c>
      <c r="D3974" s="73">
        <v>2.5058841735599E8</v>
      </c>
      <c r="E3974" s="73">
        <v>3.55211355915534E7</v>
      </c>
      <c r="F3974" s="73"/>
      <c r="G3974" s="73"/>
      <c r="H3974" s="73"/>
      <c r="I3974" s="73"/>
      <c r="J3974" s="73"/>
      <c r="K3974" s="73"/>
      <c r="L3974" s="73"/>
      <c r="M3974" s="73"/>
      <c r="N3974" s="73"/>
      <c r="O3974" s="73"/>
      <c r="P3974" s="73"/>
      <c r="Q3974" s="73"/>
      <c r="R3974" s="73"/>
      <c r="S3974" s="73"/>
      <c r="T3974" s="73"/>
      <c r="U3974" s="73"/>
      <c r="V3974" s="73"/>
      <c r="W3974" s="73"/>
      <c r="X3974" s="73"/>
      <c r="Y3974" s="73"/>
      <c r="Z3974" s="73"/>
      <c r="AA3974" s="73"/>
      <c r="AB3974" s="73"/>
    </row>
    <row r="3975">
      <c r="A3975" s="73"/>
      <c r="B3975" s="73">
        <v>8545744.383</v>
      </c>
      <c r="C3975" s="73">
        <v>4.88260263557632E8</v>
      </c>
      <c r="D3975" s="73">
        <v>2.50793232551998E8</v>
      </c>
      <c r="E3975" s="73">
        <v>3.55535045859341E7</v>
      </c>
      <c r="F3975" s="73"/>
      <c r="G3975" s="73"/>
      <c r="H3975" s="73"/>
      <c r="I3975" s="73"/>
      <c r="J3975" s="73"/>
      <c r="K3975" s="73"/>
      <c r="L3975" s="73"/>
      <c r="M3975" s="73"/>
      <c r="N3975" s="73"/>
      <c r="O3975" s="73"/>
      <c r="P3975" s="73"/>
      <c r="Q3975" s="73"/>
      <c r="R3975" s="73"/>
      <c r="S3975" s="73"/>
      <c r="T3975" s="73"/>
      <c r="U3975" s="73"/>
      <c r="V3975" s="73"/>
      <c r="W3975" s="73"/>
      <c r="X3975" s="73"/>
      <c r="Y3975" s="73"/>
      <c r="Z3975" s="73"/>
      <c r="AA3975" s="73"/>
      <c r="AB3975" s="73"/>
    </row>
    <row r="3976">
      <c r="A3976" s="73"/>
      <c r="B3976" s="73">
        <v>8556759.112</v>
      </c>
      <c r="C3976" s="73">
        <v>4.88594675708344E8</v>
      </c>
      <c r="D3976" s="73">
        <v>2.50998171235991E8</v>
      </c>
      <c r="E3976" s="73">
        <v>3.55858932844417E7</v>
      </c>
      <c r="F3976" s="73"/>
      <c r="G3976" s="73"/>
      <c r="H3976" s="73"/>
      <c r="I3976" s="73"/>
      <c r="J3976" s="73"/>
      <c r="K3976" s="73"/>
      <c r="L3976" s="73"/>
      <c r="M3976" s="73"/>
      <c r="N3976" s="73"/>
      <c r="O3976" s="73"/>
      <c r="P3976" s="73"/>
      <c r="Q3976" s="73"/>
      <c r="R3976" s="73"/>
      <c r="S3976" s="73"/>
      <c r="T3976" s="73"/>
      <c r="U3976" s="73"/>
      <c r="V3976" s="73"/>
      <c r="W3976" s="73"/>
      <c r="X3976" s="73"/>
      <c r="Y3976" s="73"/>
      <c r="Z3976" s="73"/>
      <c r="AA3976" s="73"/>
      <c r="AB3976" s="73"/>
    </row>
    <row r="3977">
      <c r="A3977" s="73"/>
      <c r="B3977" s="73">
        <v>8567785.89</v>
      </c>
      <c r="C3977" s="73">
        <v>4.8892925265905E8</v>
      </c>
      <c r="D3977" s="73">
        <v>2.51203233712E8</v>
      </c>
      <c r="E3977" s="73">
        <v>3.56183011511403E7</v>
      </c>
      <c r="F3977" s="73"/>
      <c r="G3977" s="73"/>
      <c r="H3977" s="73"/>
      <c r="I3977" s="73"/>
      <c r="J3977" s="73"/>
      <c r="K3977" s="73"/>
      <c r="L3977" s="73"/>
      <c r="M3977" s="73"/>
      <c r="N3977" s="73"/>
      <c r="O3977" s="73"/>
      <c r="P3977" s="73"/>
      <c r="Q3977" s="73"/>
      <c r="R3977" s="73"/>
      <c r="S3977" s="73"/>
      <c r="T3977" s="73"/>
      <c r="U3977" s="73"/>
      <c r="V3977" s="73"/>
      <c r="W3977" s="73"/>
      <c r="X3977" s="73"/>
      <c r="Y3977" s="73"/>
      <c r="Z3977" s="73"/>
      <c r="AA3977" s="73"/>
      <c r="AB3977" s="73"/>
    </row>
    <row r="3978">
      <c r="A3978" s="73"/>
      <c r="B3978" s="73">
        <v>8578825.107</v>
      </c>
      <c r="C3978" s="73">
        <v>4.89263928489754E8</v>
      </c>
      <c r="D3978" s="73">
        <v>2.51408378875993E8</v>
      </c>
      <c r="E3978" s="73">
        <v>3.56507307876937E7</v>
      </c>
      <c r="F3978" s="73"/>
      <c r="G3978" s="73"/>
      <c r="H3978" s="73"/>
      <c r="I3978" s="73"/>
      <c r="J3978" s="73"/>
      <c r="K3978" s="73"/>
      <c r="L3978" s="73"/>
      <c r="M3978" s="73"/>
      <c r="N3978" s="73"/>
      <c r="O3978" s="73"/>
      <c r="P3978" s="73"/>
      <c r="Q3978" s="73"/>
      <c r="R3978" s="73"/>
      <c r="S3978" s="73"/>
      <c r="T3978" s="73"/>
      <c r="U3978" s="73"/>
      <c r="V3978" s="73"/>
      <c r="W3978" s="73"/>
      <c r="X3978" s="73"/>
      <c r="Y3978" s="73"/>
      <c r="Z3978" s="73"/>
      <c r="AA3978" s="73"/>
      <c r="AB3978" s="73"/>
    </row>
    <row r="3979">
      <c r="A3979" s="73"/>
      <c r="B3979" s="73">
        <v>8589876.123</v>
      </c>
      <c r="C3979" s="73">
        <v>4.89598769120453E8</v>
      </c>
      <c r="D3979" s="73">
        <v>2.51613647976002E8</v>
      </c>
      <c r="E3979" s="73">
        <v>3.5683179280374E7</v>
      </c>
      <c r="F3979" s="73"/>
      <c r="G3979" s="73"/>
      <c r="H3979" s="73"/>
      <c r="I3979" s="73"/>
      <c r="J3979" s="73"/>
      <c r="K3979" s="73"/>
      <c r="L3979" s="73"/>
      <c r="M3979" s="73"/>
      <c r="N3979" s="73"/>
      <c r="O3979" s="73"/>
      <c r="P3979" s="73"/>
      <c r="Q3979" s="73"/>
      <c r="R3979" s="73"/>
      <c r="S3979" s="73"/>
      <c r="T3979" s="73"/>
      <c r="U3979" s="73"/>
      <c r="V3979" s="73"/>
      <c r="W3979" s="73"/>
      <c r="X3979" s="73"/>
      <c r="Y3979" s="73"/>
      <c r="Z3979" s="73"/>
      <c r="AA3979" s="73"/>
      <c r="AB3979" s="73"/>
    </row>
    <row r="3980">
      <c r="A3980" s="73"/>
      <c r="B3980" s="73">
        <v>8600939.463</v>
      </c>
      <c r="C3980" s="73">
        <v>4.89933774551147E8</v>
      </c>
      <c r="D3980" s="73">
        <v>2.51818999603995E8</v>
      </c>
      <c r="E3980" s="73">
        <v>3.57156495429092E7</v>
      </c>
      <c r="F3980" s="73"/>
      <c r="G3980" s="73"/>
      <c r="H3980" s="73"/>
      <c r="I3980" s="73"/>
      <c r="J3980" s="73"/>
      <c r="K3980" s="73"/>
      <c r="L3980" s="73"/>
      <c r="M3980" s="73"/>
      <c r="N3980" s="73"/>
      <c r="O3980" s="73"/>
      <c r="P3980" s="73"/>
      <c r="Q3980" s="73"/>
      <c r="R3980" s="73"/>
      <c r="S3980" s="73"/>
      <c r="T3980" s="73"/>
      <c r="U3980" s="73"/>
      <c r="V3980" s="73"/>
      <c r="W3980" s="73"/>
      <c r="X3980" s="73"/>
      <c r="Y3980" s="73"/>
      <c r="Z3980" s="73"/>
      <c r="AA3980" s="73"/>
      <c r="AB3980" s="73"/>
    </row>
    <row r="3981">
      <c r="A3981" s="73"/>
      <c r="B3981" s="73">
        <v>8612014.867</v>
      </c>
      <c r="C3981" s="73">
        <v>4.90268944781837E8</v>
      </c>
      <c r="D3981" s="73">
        <v>2.52024495360004E8</v>
      </c>
      <c r="E3981" s="73">
        <v>3.57481400760354E7</v>
      </c>
      <c r="F3981" s="73"/>
      <c r="G3981" s="73"/>
      <c r="H3981" s="73"/>
      <c r="I3981" s="73"/>
      <c r="J3981" s="73"/>
      <c r="K3981" s="73"/>
      <c r="L3981" s="73"/>
      <c r="M3981" s="73"/>
      <c r="N3981" s="73"/>
      <c r="O3981" s="73"/>
      <c r="P3981" s="73"/>
      <c r="Q3981" s="73"/>
      <c r="R3981" s="73"/>
      <c r="S3981" s="73"/>
      <c r="T3981" s="73"/>
      <c r="U3981" s="73"/>
      <c r="V3981" s="73"/>
      <c r="W3981" s="73"/>
      <c r="X3981" s="73"/>
      <c r="Y3981" s="73"/>
      <c r="Z3981" s="73"/>
      <c r="AA3981" s="73"/>
      <c r="AB3981" s="73"/>
    </row>
    <row r="3982">
      <c r="A3982" s="73"/>
      <c r="B3982" s="73">
        <v>8623102.4</v>
      </c>
      <c r="C3982" s="73">
        <v>4.90604246852524E8</v>
      </c>
      <c r="D3982" s="73">
        <v>2.52230073787997E8</v>
      </c>
      <c r="E3982" s="73">
        <v>3.57806481932885E7</v>
      </c>
      <c r="F3982" s="73"/>
      <c r="G3982" s="73"/>
      <c r="H3982" s="73"/>
      <c r="I3982" s="73"/>
      <c r="J3982" s="73"/>
      <c r="K3982" s="73"/>
      <c r="L3982" s="73"/>
      <c r="M3982" s="73"/>
      <c r="N3982" s="73"/>
      <c r="O3982" s="73"/>
      <c r="P3982" s="73"/>
      <c r="Q3982" s="73"/>
      <c r="R3982" s="73"/>
      <c r="S3982" s="73"/>
      <c r="T3982" s="73"/>
      <c r="U3982" s="73"/>
      <c r="V3982" s="73"/>
      <c r="W3982" s="73"/>
      <c r="X3982" s="73"/>
      <c r="Y3982" s="73"/>
      <c r="Z3982" s="73"/>
      <c r="AA3982" s="73"/>
      <c r="AB3982" s="73"/>
    </row>
    <row r="3983">
      <c r="A3983" s="73"/>
      <c r="B3983" s="73">
        <v>8634202.302</v>
      </c>
      <c r="C3983" s="73">
        <v>4.90939647803207E8</v>
      </c>
      <c r="D3983" s="73">
        <v>2.5243579664799E8</v>
      </c>
      <c r="E3983" s="73">
        <v>3.58131787587965E7</v>
      </c>
      <c r="F3983" s="73"/>
      <c r="G3983" s="73"/>
      <c r="H3983" s="73"/>
      <c r="I3983" s="73"/>
      <c r="J3983" s="73"/>
      <c r="K3983" s="73"/>
      <c r="L3983" s="73"/>
      <c r="M3983" s="73"/>
      <c r="N3983" s="73"/>
      <c r="O3983" s="73"/>
      <c r="P3983" s="73"/>
      <c r="Q3983" s="73"/>
      <c r="R3983" s="73"/>
      <c r="S3983" s="73"/>
      <c r="T3983" s="73"/>
      <c r="U3983" s="73"/>
      <c r="V3983" s="73"/>
      <c r="W3983" s="73"/>
      <c r="X3983" s="73"/>
      <c r="Y3983" s="73"/>
      <c r="Z3983" s="73"/>
      <c r="AA3983" s="73"/>
      <c r="AB3983" s="73"/>
    </row>
    <row r="3984">
      <c r="A3984" s="73"/>
      <c r="B3984" s="73">
        <v>8645314.208</v>
      </c>
      <c r="C3984" s="73">
        <v>4.91275213553886E8</v>
      </c>
      <c r="D3984" s="73">
        <v>2.52641602035999E8</v>
      </c>
      <c r="E3984" s="73">
        <v>3.58457294252953E7</v>
      </c>
      <c r="F3984" s="73"/>
      <c r="G3984" s="73"/>
      <c r="H3984" s="73"/>
      <c r="I3984" s="73"/>
      <c r="J3984" s="73"/>
      <c r="K3984" s="73"/>
      <c r="L3984" s="73"/>
      <c r="M3984" s="73"/>
      <c r="N3984" s="73"/>
      <c r="O3984" s="73"/>
      <c r="P3984" s="73"/>
      <c r="Q3984" s="73"/>
      <c r="R3984" s="73"/>
      <c r="S3984" s="73"/>
      <c r="T3984" s="73"/>
      <c r="U3984" s="73"/>
      <c r="V3984" s="73"/>
      <c r="W3984" s="73"/>
      <c r="X3984" s="73"/>
      <c r="Y3984" s="73"/>
      <c r="Z3984" s="73"/>
      <c r="AA3984" s="73"/>
      <c r="AB3984" s="73"/>
    </row>
    <row r="3985">
      <c r="A3985" s="73"/>
      <c r="B3985" s="73">
        <v>8656438.113</v>
      </c>
      <c r="C3985" s="73">
        <v>4.91610944104561E8</v>
      </c>
      <c r="D3985" s="73">
        <v>2.52847510735992E8</v>
      </c>
      <c r="E3985" s="73">
        <v>3.5878301946449E7</v>
      </c>
      <c r="F3985" s="73"/>
      <c r="G3985" s="73"/>
      <c r="H3985" s="73"/>
      <c r="I3985" s="73"/>
      <c r="J3985" s="73"/>
      <c r="K3985" s="73"/>
      <c r="L3985" s="73"/>
      <c r="M3985" s="73"/>
      <c r="N3985" s="73"/>
      <c r="O3985" s="73"/>
      <c r="P3985" s="73"/>
      <c r="Q3985" s="73"/>
      <c r="R3985" s="73"/>
      <c r="S3985" s="73"/>
      <c r="T3985" s="73"/>
      <c r="U3985" s="73"/>
      <c r="V3985" s="73"/>
      <c r="W3985" s="73"/>
      <c r="X3985" s="73"/>
      <c r="Y3985" s="73"/>
      <c r="Z3985" s="73"/>
      <c r="AA3985" s="73"/>
      <c r="AB3985" s="73"/>
    </row>
    <row r="3986">
      <c r="A3986" s="73"/>
      <c r="B3986" s="73">
        <v>8667574.582</v>
      </c>
      <c r="C3986" s="73">
        <v>4.9194687241523E8</v>
      </c>
      <c r="D3986" s="73">
        <v>2.53053543228001E8</v>
      </c>
      <c r="E3986" s="73">
        <v>3.59108932389297E7</v>
      </c>
      <c r="F3986" s="73"/>
      <c r="G3986" s="73"/>
      <c r="H3986" s="73"/>
      <c r="I3986" s="73"/>
      <c r="J3986" s="73"/>
      <c r="K3986" s="73"/>
      <c r="L3986" s="73"/>
      <c r="M3986" s="73"/>
      <c r="N3986" s="73"/>
      <c r="O3986" s="73"/>
      <c r="P3986" s="73"/>
      <c r="Q3986" s="73"/>
      <c r="R3986" s="73"/>
      <c r="S3986" s="73"/>
      <c r="T3986" s="73"/>
      <c r="U3986" s="73"/>
      <c r="V3986" s="73"/>
      <c r="W3986" s="73"/>
      <c r="X3986" s="73"/>
      <c r="Y3986" s="73"/>
      <c r="Z3986" s="73"/>
      <c r="AA3986" s="73"/>
      <c r="AB3986" s="73"/>
    </row>
    <row r="3987">
      <c r="A3987" s="73"/>
      <c r="B3987" s="73">
        <v>8678723.1</v>
      </c>
      <c r="C3987" s="73">
        <v>4.92282833685898E8</v>
      </c>
      <c r="D3987" s="73">
        <v>2.53259678727994E8</v>
      </c>
      <c r="E3987" s="73">
        <v>3.59435047172013E7</v>
      </c>
      <c r="F3987" s="73"/>
      <c r="G3987" s="73"/>
      <c r="H3987" s="73"/>
      <c r="I3987" s="73"/>
      <c r="J3987" s="73"/>
      <c r="K3987" s="73"/>
      <c r="L3987" s="73"/>
      <c r="M3987" s="73"/>
      <c r="N3987" s="73"/>
      <c r="O3987" s="73"/>
      <c r="P3987" s="73"/>
      <c r="Q3987" s="73"/>
      <c r="R3987" s="73"/>
      <c r="S3987" s="73"/>
      <c r="T3987" s="73"/>
      <c r="U3987" s="73"/>
      <c r="V3987" s="73"/>
      <c r="W3987" s="73"/>
      <c r="X3987" s="73"/>
      <c r="Y3987" s="73"/>
      <c r="Z3987" s="73"/>
      <c r="AA3987" s="73"/>
      <c r="AB3987" s="73"/>
    </row>
    <row r="3988">
      <c r="A3988" s="73"/>
      <c r="B3988" s="73">
        <v>8689883.732</v>
      </c>
      <c r="C3988" s="73">
        <v>4.92619025676559E8</v>
      </c>
      <c r="D3988" s="73">
        <v>2.53465917700002E8</v>
      </c>
      <c r="E3988" s="73">
        <v>3.59761356180638E7</v>
      </c>
      <c r="F3988" s="73"/>
      <c r="G3988" s="73"/>
      <c r="H3988" s="73"/>
      <c r="I3988" s="73"/>
      <c r="J3988" s="73"/>
      <c r="K3988" s="73"/>
      <c r="L3988" s="73"/>
      <c r="M3988" s="73"/>
      <c r="N3988" s="73"/>
      <c r="O3988" s="73"/>
      <c r="P3988" s="73"/>
      <c r="Q3988" s="73"/>
      <c r="R3988" s="73"/>
      <c r="S3988" s="73"/>
      <c r="T3988" s="73"/>
      <c r="U3988" s="73"/>
      <c r="V3988" s="73"/>
      <c r="W3988" s="73"/>
      <c r="X3988" s="73"/>
      <c r="Y3988" s="73"/>
      <c r="Z3988" s="73"/>
      <c r="AA3988" s="73"/>
      <c r="AB3988" s="73"/>
    </row>
    <row r="3989">
      <c r="A3989" s="73"/>
      <c r="B3989" s="73">
        <v>8701056.538</v>
      </c>
      <c r="C3989" s="73">
        <v>4.92955316547218E8</v>
      </c>
      <c r="D3989" s="73">
        <v>2.53672280159996E8</v>
      </c>
      <c r="E3989" s="73">
        <v>3.60087884583811E7</v>
      </c>
      <c r="F3989" s="73"/>
      <c r="G3989" s="73"/>
      <c r="H3989" s="73"/>
      <c r="I3989" s="73"/>
      <c r="J3989" s="73"/>
      <c r="K3989" s="73"/>
      <c r="L3989" s="73"/>
      <c r="M3989" s="73"/>
      <c r="N3989" s="73"/>
      <c r="O3989" s="73"/>
      <c r="P3989" s="73"/>
      <c r="Q3989" s="73"/>
      <c r="R3989" s="73"/>
      <c r="S3989" s="73"/>
      <c r="T3989" s="73"/>
      <c r="U3989" s="73"/>
      <c r="V3989" s="73"/>
      <c r="W3989" s="73"/>
      <c r="X3989" s="73"/>
      <c r="Y3989" s="73"/>
      <c r="Z3989" s="73"/>
      <c r="AA3989" s="73"/>
      <c r="AB3989" s="73"/>
    </row>
    <row r="3990">
      <c r="A3990" s="73"/>
      <c r="B3990" s="73">
        <v>8712241.633</v>
      </c>
      <c r="C3990" s="73">
        <v>4.93291772217873E8</v>
      </c>
      <c r="D3990" s="73">
        <v>2.53878746075989E8</v>
      </c>
      <c r="E3990" s="73">
        <v>3.60414612300894E7</v>
      </c>
      <c r="F3990" s="73"/>
      <c r="G3990" s="73"/>
      <c r="H3990" s="73"/>
      <c r="I3990" s="73"/>
      <c r="J3990" s="73"/>
      <c r="K3990" s="73"/>
      <c r="L3990" s="73"/>
      <c r="M3990" s="73"/>
      <c r="N3990" s="73"/>
      <c r="O3990" s="73"/>
      <c r="P3990" s="73"/>
      <c r="Q3990" s="73"/>
      <c r="R3990" s="73"/>
      <c r="S3990" s="73"/>
      <c r="T3990" s="73"/>
      <c r="U3990" s="73"/>
      <c r="V3990" s="73"/>
      <c r="W3990" s="73"/>
      <c r="X3990" s="73"/>
      <c r="Y3990" s="73"/>
      <c r="Z3990" s="73"/>
      <c r="AA3990" s="73"/>
      <c r="AB3990" s="73"/>
    </row>
    <row r="3991">
      <c r="A3991" s="73"/>
      <c r="B3991" s="73">
        <v>8723438.827</v>
      </c>
      <c r="C3991" s="73">
        <v>4.93628359728523E8</v>
      </c>
      <c r="D3991" s="73">
        <v>2.54085294519998E8</v>
      </c>
      <c r="E3991" s="73">
        <v>3.60741547811886E7</v>
      </c>
      <c r="F3991" s="73"/>
      <c r="G3991" s="73"/>
      <c r="H3991" s="73"/>
      <c r="I3991" s="73"/>
      <c r="J3991" s="73"/>
      <c r="K3991" s="73"/>
      <c r="L3991" s="73"/>
      <c r="M3991" s="73"/>
      <c r="N3991" s="73"/>
      <c r="O3991" s="73"/>
      <c r="P3991" s="73"/>
      <c r="Q3991" s="73"/>
      <c r="R3991" s="73"/>
      <c r="S3991" s="73"/>
      <c r="T3991" s="73"/>
      <c r="U3991" s="73"/>
      <c r="V3991" s="73"/>
      <c r="W3991" s="73"/>
      <c r="X3991" s="73"/>
      <c r="Y3991" s="73"/>
      <c r="Z3991" s="73"/>
      <c r="AA3991" s="73"/>
      <c r="AB3991" s="73"/>
    </row>
    <row r="3992">
      <c r="A3992" s="73"/>
      <c r="B3992" s="73">
        <v>8734648.47</v>
      </c>
      <c r="C3992" s="73">
        <v>4.93965112039169E8</v>
      </c>
      <c r="D3992" s="73">
        <v>2.54291987091991E8</v>
      </c>
      <c r="E3992" s="73">
        <v>3.61068687724786E7</v>
      </c>
      <c r="F3992" s="73"/>
      <c r="G3992" s="73"/>
      <c r="H3992" s="73"/>
      <c r="I3992" s="73"/>
      <c r="J3992" s="73"/>
      <c r="K3992" s="73"/>
      <c r="L3992" s="73"/>
      <c r="M3992" s="73"/>
      <c r="N3992" s="73"/>
      <c r="O3992" s="73"/>
      <c r="P3992" s="73"/>
      <c r="Q3992" s="73"/>
      <c r="R3992" s="73"/>
      <c r="S3992" s="73"/>
      <c r="T3992" s="73"/>
      <c r="U3992" s="73"/>
      <c r="V3992" s="73"/>
      <c r="W3992" s="73"/>
      <c r="X3992" s="73"/>
      <c r="Y3992" s="73"/>
      <c r="Z3992" s="73"/>
      <c r="AA3992" s="73"/>
      <c r="AB3992" s="73"/>
    </row>
    <row r="3993">
      <c r="A3993" s="73"/>
      <c r="B3993" s="73">
        <v>8745870.127</v>
      </c>
      <c r="C3993" s="73">
        <v>4.94301996189812E8</v>
      </c>
      <c r="D3993" s="73">
        <v>2.54498762495999E8</v>
      </c>
      <c r="E3993" s="73">
        <v>3.61396009414957E7</v>
      </c>
      <c r="F3993" s="73"/>
      <c r="G3993" s="73"/>
      <c r="H3993" s="73"/>
      <c r="I3993" s="73"/>
      <c r="J3993" s="73"/>
      <c r="K3993" s="73"/>
      <c r="L3993" s="73"/>
      <c r="M3993" s="73"/>
      <c r="N3993" s="73"/>
      <c r="O3993" s="73"/>
      <c r="P3993" s="73"/>
      <c r="Q3993" s="73"/>
      <c r="R3993" s="73"/>
      <c r="S3993" s="73"/>
      <c r="T3993" s="73"/>
      <c r="U3993" s="73"/>
      <c r="V3993" s="73"/>
      <c r="W3993" s="73"/>
      <c r="X3993" s="73"/>
      <c r="Y3993" s="73"/>
      <c r="Z3993" s="73"/>
      <c r="AA3993" s="73"/>
      <c r="AB3993" s="73"/>
    </row>
    <row r="3994">
      <c r="A3994" s="73"/>
      <c r="B3994" s="73">
        <v>8757103.848</v>
      </c>
      <c r="C3994" s="73">
        <v>4.94639078100449E8</v>
      </c>
      <c r="D3994" s="73">
        <v>2.54705682171993E8</v>
      </c>
      <c r="E3994" s="73">
        <v>3.61723546259676E7</v>
      </c>
      <c r="F3994" s="73"/>
      <c r="G3994" s="73"/>
      <c r="H3994" s="73"/>
      <c r="I3994" s="73"/>
      <c r="J3994" s="73"/>
      <c r="K3994" s="73"/>
      <c r="L3994" s="73"/>
      <c r="M3994" s="73"/>
      <c r="N3994" s="73"/>
      <c r="O3994" s="73"/>
      <c r="P3994" s="73"/>
      <c r="Q3994" s="73"/>
      <c r="R3994" s="73"/>
      <c r="S3994" s="73"/>
      <c r="T3994" s="73"/>
      <c r="U3994" s="73"/>
      <c r="V3994" s="73"/>
      <c r="W3994" s="73"/>
      <c r="X3994" s="73"/>
      <c r="Y3994" s="73"/>
      <c r="Z3994" s="73"/>
      <c r="AA3994" s="73"/>
      <c r="AB3994" s="73"/>
    </row>
    <row r="3995">
      <c r="A3995" s="73"/>
      <c r="B3995" s="73">
        <v>8768350.008</v>
      </c>
      <c r="C3995" s="73">
        <v>4.94976225931084E8</v>
      </c>
      <c r="D3995" s="73">
        <v>2.54912684536001E8</v>
      </c>
      <c r="E3995" s="73">
        <v>3.62051303346943E7</v>
      </c>
      <c r="F3995" s="73"/>
      <c r="G3995" s="73"/>
      <c r="H3995" s="73"/>
      <c r="I3995" s="73"/>
      <c r="J3995" s="73"/>
      <c r="K3995" s="73"/>
      <c r="L3995" s="73"/>
      <c r="M3995" s="73"/>
      <c r="N3995" s="73"/>
      <c r="O3995" s="73"/>
      <c r="P3995" s="73"/>
      <c r="Q3995" s="73"/>
      <c r="R3995" s="73"/>
      <c r="S3995" s="73"/>
      <c r="T3995" s="73"/>
      <c r="U3995" s="73"/>
      <c r="V3995" s="73"/>
      <c r="W3995" s="73"/>
      <c r="X3995" s="73"/>
      <c r="Y3995" s="73"/>
      <c r="Z3995" s="73"/>
      <c r="AA3995" s="73"/>
      <c r="AB3995" s="73"/>
    </row>
    <row r="3996">
      <c r="A3996" s="73"/>
      <c r="B3996" s="73">
        <v>8779608.377</v>
      </c>
      <c r="C3996" s="73">
        <v>4.95313538561714E8</v>
      </c>
      <c r="D3996" s="73">
        <v>2.55119810531995E8</v>
      </c>
      <c r="E3996" s="73">
        <v>3.6237924560348E7</v>
      </c>
      <c r="F3996" s="73"/>
      <c r="G3996" s="73"/>
      <c r="H3996" s="73"/>
      <c r="I3996" s="73"/>
      <c r="J3996" s="73"/>
      <c r="K3996" s="73"/>
      <c r="L3996" s="73"/>
      <c r="M3996" s="73"/>
      <c r="N3996" s="73"/>
      <c r="O3996" s="73"/>
      <c r="P3996" s="73"/>
      <c r="Q3996" s="73"/>
      <c r="R3996" s="73"/>
      <c r="S3996" s="73"/>
      <c r="T3996" s="73"/>
      <c r="U3996" s="73"/>
      <c r="V3996" s="73"/>
      <c r="W3996" s="73"/>
      <c r="X3996" s="73"/>
      <c r="Y3996" s="73"/>
      <c r="Z3996" s="73"/>
      <c r="AA3996" s="73"/>
      <c r="AB3996" s="73"/>
    </row>
    <row r="3997">
      <c r="A3997" s="73"/>
      <c r="B3997" s="73">
        <v>8790878.785</v>
      </c>
      <c r="C3997" s="73">
        <v>4.95650983032341E8</v>
      </c>
      <c r="D3997" s="73">
        <v>2.55327019360003E8</v>
      </c>
      <c r="E3997" s="73">
        <v>3.62707407254565E7</v>
      </c>
      <c r="F3997" s="73"/>
      <c r="G3997" s="73"/>
      <c r="H3997" s="73"/>
      <c r="I3997" s="73"/>
      <c r="J3997" s="73"/>
      <c r="K3997" s="73"/>
      <c r="L3997" s="73"/>
      <c r="M3997" s="73"/>
      <c r="N3997" s="73"/>
      <c r="O3997" s="73"/>
      <c r="P3997" s="73"/>
      <c r="Q3997" s="73"/>
      <c r="R3997" s="73"/>
      <c r="S3997" s="73"/>
      <c r="T3997" s="73"/>
      <c r="U3997" s="73"/>
      <c r="V3997" s="73"/>
      <c r="W3997" s="73"/>
      <c r="X3997" s="73"/>
      <c r="Y3997" s="73"/>
      <c r="Z3997" s="73"/>
      <c r="AA3997" s="73"/>
      <c r="AB3997" s="73"/>
    </row>
    <row r="3998">
      <c r="A3998" s="73"/>
      <c r="B3998" s="73">
        <v>8802161.682</v>
      </c>
      <c r="C3998" s="73">
        <v>4.95988592302963E8</v>
      </c>
      <c r="D3998" s="73">
        <v>2.55534351675996E8</v>
      </c>
      <c r="E3998" s="73">
        <v>3.63035753226921E7</v>
      </c>
      <c r="F3998" s="73"/>
      <c r="G3998" s="73"/>
      <c r="H3998" s="73"/>
      <c r="I3998" s="73"/>
      <c r="J3998" s="73"/>
      <c r="K3998" s="73"/>
      <c r="L3998" s="73"/>
      <c r="M3998" s="73"/>
      <c r="N3998" s="73"/>
      <c r="O3998" s="73"/>
      <c r="P3998" s="73"/>
      <c r="Q3998" s="73"/>
      <c r="R3998" s="73"/>
      <c r="S3998" s="73"/>
      <c r="T3998" s="73"/>
      <c r="U3998" s="73"/>
      <c r="V3998" s="73"/>
      <c r="W3998" s="73"/>
      <c r="X3998" s="73"/>
      <c r="Y3998" s="73"/>
      <c r="Z3998" s="73"/>
      <c r="AA3998" s="73"/>
      <c r="AB3998" s="73"/>
    </row>
    <row r="3999">
      <c r="A3999" s="73"/>
      <c r="B3999" s="73">
        <v>8813456.778</v>
      </c>
      <c r="C3999" s="73">
        <v>4.96326366373581E8</v>
      </c>
      <c r="D3999" s="73">
        <v>2.5574180794399E8</v>
      </c>
      <c r="E3999" s="73">
        <v>3.63364316049824E7</v>
      </c>
      <c r="F3999" s="73"/>
      <c r="G3999" s="73"/>
      <c r="H3999" s="73"/>
      <c r="I3999" s="73"/>
      <c r="J3999" s="73"/>
      <c r="K3999" s="73"/>
      <c r="L3999" s="73"/>
      <c r="M3999" s="73"/>
      <c r="N3999" s="73"/>
      <c r="O3999" s="73"/>
      <c r="P3999" s="73"/>
      <c r="Q3999" s="73"/>
      <c r="R3999" s="73"/>
      <c r="S3999" s="73"/>
      <c r="T3999" s="73"/>
      <c r="U3999" s="73"/>
      <c r="V3999" s="73"/>
      <c r="W3999" s="73"/>
      <c r="X3999" s="73"/>
      <c r="Y3999" s="73"/>
      <c r="Z3999" s="73"/>
      <c r="AA3999" s="73"/>
      <c r="AB3999" s="73"/>
    </row>
    <row r="4000">
      <c r="A4000" s="73"/>
      <c r="B4000" s="73">
        <v>8824763.998</v>
      </c>
      <c r="C4000" s="73">
        <v>4.96664272284195E8</v>
      </c>
      <c r="D4000" s="73">
        <v>2.55949346739998E8</v>
      </c>
      <c r="E4000" s="73">
        <v>3.63693068281998E7</v>
      </c>
      <c r="F4000" s="73"/>
      <c r="G4000" s="73"/>
      <c r="H4000" s="73"/>
      <c r="I4000" s="73"/>
      <c r="J4000" s="73"/>
      <c r="K4000" s="73"/>
      <c r="L4000" s="73"/>
      <c r="M4000" s="73"/>
      <c r="N4000" s="73"/>
      <c r="O4000" s="73"/>
      <c r="P4000" s="73"/>
      <c r="Q4000" s="73"/>
      <c r="R4000" s="73"/>
      <c r="S4000" s="73"/>
      <c r="T4000" s="73"/>
      <c r="U4000" s="73"/>
      <c r="V4000" s="73"/>
      <c r="W4000" s="73"/>
      <c r="X4000" s="73"/>
      <c r="Y4000" s="73"/>
      <c r="Z4000" s="73"/>
      <c r="AA4000" s="73"/>
      <c r="AB4000" s="73"/>
    </row>
    <row r="4001">
      <c r="A4001" s="73"/>
      <c r="B4001" s="73">
        <v>8836083.632</v>
      </c>
      <c r="C4001" s="73">
        <v>4.97002342994804E8</v>
      </c>
      <c r="D4001" s="73">
        <v>2.56157009327991E8</v>
      </c>
      <c r="E4001" s="73">
        <v>3.6402203312472E7</v>
      </c>
      <c r="F4001" s="73"/>
      <c r="G4001" s="73"/>
      <c r="H4001" s="73"/>
      <c r="I4001" s="73"/>
      <c r="J4001" s="73"/>
      <c r="K4001" s="73"/>
      <c r="L4001" s="73"/>
      <c r="M4001" s="73"/>
      <c r="N4001" s="73"/>
      <c r="O4001" s="73"/>
      <c r="P4001" s="73"/>
      <c r="Q4001" s="73"/>
      <c r="R4001" s="73"/>
      <c r="S4001" s="73"/>
      <c r="T4001" s="73"/>
      <c r="U4001" s="73"/>
      <c r="V4001" s="73"/>
      <c r="W4001" s="73"/>
      <c r="X4001" s="73"/>
      <c r="Y4001" s="73"/>
      <c r="Z4001" s="73"/>
      <c r="AA4001" s="73"/>
      <c r="AB4001" s="73"/>
    </row>
    <row r="4002">
      <c r="A4002" s="73"/>
      <c r="B4002" s="73">
        <v>8847415.48</v>
      </c>
      <c r="C4002" s="73">
        <v>4.97340512585411E8</v>
      </c>
      <c r="D4002" s="73">
        <v>2.56364795708E8</v>
      </c>
      <c r="E4002" s="73">
        <v>3.64351205761351E7</v>
      </c>
      <c r="F4002" s="73"/>
      <c r="G4002" s="73"/>
      <c r="H4002" s="73"/>
      <c r="I4002" s="73"/>
      <c r="J4002" s="73"/>
      <c r="K4002" s="73"/>
      <c r="L4002" s="73"/>
      <c r="M4002" s="73"/>
      <c r="N4002" s="73"/>
      <c r="O4002" s="73"/>
      <c r="P4002" s="73"/>
      <c r="Q4002" s="73"/>
      <c r="R4002" s="73"/>
      <c r="S4002" s="73"/>
      <c r="T4002" s="73"/>
      <c r="U4002" s="73"/>
      <c r="V4002" s="73"/>
      <c r="W4002" s="73"/>
      <c r="X4002" s="73"/>
      <c r="Y4002" s="73"/>
      <c r="Z4002" s="73"/>
      <c r="AA4002" s="73"/>
      <c r="AB4002" s="73"/>
    </row>
    <row r="4003">
      <c r="A4003" s="73"/>
      <c r="B4003" s="73">
        <v>8858760.465</v>
      </c>
      <c r="C4003" s="73">
        <v>4.97678846976013E8</v>
      </c>
      <c r="D4003" s="73">
        <v>2.56572664615993E8</v>
      </c>
      <c r="E4003" s="73">
        <v>3.6468059016053E7</v>
      </c>
      <c r="F4003" s="73"/>
      <c r="G4003" s="73"/>
      <c r="H4003" s="73"/>
      <c r="I4003" s="73"/>
      <c r="J4003" s="73"/>
      <c r="K4003" s="73"/>
      <c r="L4003" s="73"/>
      <c r="M4003" s="73"/>
      <c r="N4003" s="73"/>
      <c r="O4003" s="73"/>
      <c r="P4003" s="73"/>
      <c r="Q4003" s="73"/>
      <c r="R4003" s="73"/>
      <c r="S4003" s="73"/>
      <c r="T4003" s="73"/>
      <c r="U4003" s="73"/>
      <c r="V4003" s="73"/>
      <c r="W4003" s="73"/>
      <c r="X4003" s="73"/>
      <c r="Y4003" s="73"/>
      <c r="Z4003" s="73"/>
      <c r="AA4003" s="73"/>
      <c r="AB4003" s="73"/>
    </row>
    <row r="4004">
      <c r="A4004" s="73"/>
      <c r="B4004" s="73">
        <v>8870118.378</v>
      </c>
      <c r="C4004" s="73">
        <v>4.98017346166611E8</v>
      </c>
      <c r="D4004" s="73">
        <v>2.56780657620002E8</v>
      </c>
      <c r="E4004" s="73">
        <v>3.65010167360979E7</v>
      </c>
      <c r="F4004" s="73"/>
      <c r="G4004" s="73"/>
      <c r="H4004" s="73"/>
      <c r="I4004" s="73"/>
      <c r="J4004" s="73"/>
      <c r="K4004" s="73"/>
      <c r="L4004" s="73"/>
      <c r="M4004" s="73"/>
      <c r="N4004" s="73"/>
      <c r="O4004" s="73"/>
      <c r="P4004" s="73"/>
      <c r="Q4004" s="73"/>
      <c r="R4004" s="73"/>
      <c r="S4004" s="73"/>
      <c r="T4004" s="73"/>
      <c r="U4004" s="73"/>
      <c r="V4004" s="73"/>
      <c r="W4004" s="73"/>
      <c r="X4004" s="73"/>
      <c r="Y4004" s="73"/>
      <c r="Z4004" s="73"/>
      <c r="AA4004" s="73"/>
      <c r="AB4004" s="73"/>
    </row>
    <row r="4005">
      <c r="A4005" s="73"/>
      <c r="B4005" s="73">
        <v>8881489.45</v>
      </c>
      <c r="C4005" s="73">
        <v>4.98355944237206E8</v>
      </c>
      <c r="D4005" s="73">
        <v>2.56988773967995E8</v>
      </c>
      <c r="E4005" s="73">
        <v>3.65339947267337E7</v>
      </c>
      <c r="F4005" s="73"/>
      <c r="G4005" s="73"/>
      <c r="H4005" s="73"/>
      <c r="I4005" s="73"/>
      <c r="J4005" s="73"/>
      <c r="K4005" s="73"/>
      <c r="L4005" s="73"/>
      <c r="M4005" s="73"/>
      <c r="N4005" s="73"/>
      <c r="O4005" s="73"/>
      <c r="P4005" s="73"/>
      <c r="Q4005" s="73"/>
      <c r="R4005" s="73"/>
      <c r="S4005" s="73"/>
      <c r="T4005" s="73"/>
      <c r="U4005" s="73"/>
      <c r="V4005" s="73"/>
      <c r="W4005" s="73"/>
      <c r="X4005" s="73"/>
      <c r="Y4005" s="73"/>
      <c r="Z4005" s="73"/>
      <c r="AA4005" s="73"/>
      <c r="AB4005" s="73"/>
    </row>
    <row r="4006">
      <c r="A4006" s="73"/>
      <c r="B4006" s="73">
        <v>8892873.764</v>
      </c>
      <c r="C4006" s="73">
        <v>4.98694740067795E8</v>
      </c>
      <c r="D4006" s="73">
        <v>2.57196973292004E8</v>
      </c>
      <c r="E4006" s="73">
        <v>3.65669923943604E7</v>
      </c>
      <c r="F4006" s="73"/>
      <c r="G4006" s="73"/>
      <c r="H4006" s="73"/>
      <c r="I4006" s="73"/>
      <c r="J4006" s="73"/>
      <c r="K4006" s="73"/>
      <c r="L4006" s="73"/>
      <c r="M4006" s="73"/>
      <c r="N4006" s="73"/>
      <c r="O4006" s="73"/>
      <c r="P4006" s="73"/>
      <c r="Q4006" s="73"/>
      <c r="R4006" s="73"/>
      <c r="S4006" s="73"/>
      <c r="T4006" s="73"/>
      <c r="U4006" s="73"/>
      <c r="V4006" s="73"/>
      <c r="W4006" s="73"/>
      <c r="X4006" s="73"/>
      <c r="Y4006" s="73"/>
      <c r="Z4006" s="73"/>
      <c r="AA4006" s="73"/>
      <c r="AB4006" s="73"/>
    </row>
    <row r="4007">
      <c r="A4007" s="73"/>
      <c r="B4007" s="73">
        <v>8904271.46</v>
      </c>
      <c r="C4007" s="73">
        <v>4.9903366773838E8</v>
      </c>
      <c r="D4007" s="73">
        <v>2.57405295959997E8</v>
      </c>
      <c r="E4007" s="73">
        <v>3.6600012255842E7</v>
      </c>
      <c r="F4007" s="73"/>
      <c r="G4007" s="73"/>
      <c r="H4007" s="73"/>
      <c r="I4007" s="73"/>
      <c r="J4007" s="73"/>
      <c r="K4007" s="73"/>
      <c r="L4007" s="73"/>
      <c r="M4007" s="73"/>
      <c r="N4007" s="73"/>
      <c r="O4007" s="73"/>
      <c r="P4007" s="73"/>
      <c r="Q4007" s="73"/>
      <c r="R4007" s="73"/>
      <c r="S4007" s="73"/>
      <c r="T4007" s="73"/>
      <c r="U4007" s="73"/>
      <c r="V4007" s="73"/>
      <c r="W4007" s="73"/>
      <c r="X4007" s="73"/>
      <c r="Y4007" s="73"/>
      <c r="Z4007" s="73"/>
      <c r="AA4007" s="73"/>
      <c r="AB4007" s="73"/>
    </row>
    <row r="4008">
      <c r="A4008" s="73"/>
      <c r="B4008" s="73">
        <v>8915682.659</v>
      </c>
      <c r="C4008" s="73">
        <v>4.99372727248962E8</v>
      </c>
      <c r="D4008" s="73">
        <v>2.5761372208399E8</v>
      </c>
      <c r="E4008" s="73">
        <v>3.66330521335144E7</v>
      </c>
      <c r="F4008" s="73"/>
      <c r="G4008" s="73"/>
      <c r="H4008" s="73"/>
      <c r="I4008" s="73"/>
      <c r="J4008" s="73"/>
      <c r="K4008" s="73"/>
      <c r="L4008" s="73"/>
      <c r="M4008" s="73"/>
      <c r="N4008" s="73"/>
      <c r="O4008" s="73"/>
      <c r="P4008" s="73"/>
      <c r="Q4008" s="73"/>
      <c r="R4008" s="73"/>
      <c r="S4008" s="73"/>
      <c r="T4008" s="73"/>
      <c r="U4008" s="73"/>
      <c r="V4008" s="73"/>
      <c r="W4008" s="73"/>
      <c r="X4008" s="73"/>
      <c r="Y4008" s="73"/>
      <c r="Z4008" s="73"/>
      <c r="AA4008" s="73"/>
      <c r="AB4008" s="73"/>
    </row>
    <row r="4009">
      <c r="A4009" s="73"/>
      <c r="B4009" s="73">
        <v>8927107.135</v>
      </c>
      <c r="C4009" s="73">
        <v>4.99711984519539E8</v>
      </c>
      <c r="D4009" s="73">
        <v>2.57822271855999E8</v>
      </c>
      <c r="E4009" s="73">
        <v>3.66661128753777E7</v>
      </c>
      <c r="F4009" s="73"/>
      <c r="G4009" s="73"/>
      <c r="H4009" s="73"/>
      <c r="I4009" s="73"/>
      <c r="J4009" s="73"/>
      <c r="K4009" s="73"/>
      <c r="L4009" s="73"/>
      <c r="M4009" s="73"/>
      <c r="N4009" s="73"/>
      <c r="O4009" s="73"/>
      <c r="P4009" s="73"/>
      <c r="Q4009" s="73"/>
      <c r="R4009" s="73"/>
      <c r="S4009" s="73"/>
      <c r="T4009" s="73"/>
      <c r="U4009" s="73"/>
      <c r="V4009" s="73"/>
      <c r="W4009" s="73"/>
      <c r="X4009" s="73"/>
      <c r="Y4009" s="73"/>
      <c r="Z4009" s="73"/>
      <c r="AA4009" s="73"/>
      <c r="AB4009" s="73"/>
    </row>
    <row r="4010">
      <c r="A4010" s="73"/>
      <c r="B4010" s="73">
        <v>8938545.573</v>
      </c>
      <c r="C4010" s="73">
        <v>5.00051307710114E8</v>
      </c>
      <c r="D4010" s="73">
        <v>2.58030924939992E8</v>
      </c>
      <c r="E4010" s="73">
        <v>3.66991915405681E7</v>
      </c>
      <c r="F4010" s="73"/>
      <c r="G4010" s="73"/>
      <c r="H4010" s="73"/>
      <c r="I4010" s="73"/>
      <c r="J4010" s="73"/>
      <c r="K4010" s="73"/>
      <c r="L4010" s="73"/>
      <c r="M4010" s="73"/>
      <c r="N4010" s="73"/>
      <c r="O4010" s="73"/>
      <c r="P4010" s="73"/>
      <c r="Q4010" s="73"/>
      <c r="R4010" s="73"/>
      <c r="S4010" s="73"/>
      <c r="T4010" s="73"/>
      <c r="U4010" s="73"/>
      <c r="V4010" s="73"/>
      <c r="W4010" s="73"/>
      <c r="X4010" s="73"/>
      <c r="Y4010" s="73"/>
      <c r="Z4010" s="73"/>
      <c r="AA4010" s="73"/>
      <c r="AB4010" s="73"/>
    </row>
    <row r="4011">
      <c r="A4011" s="73"/>
      <c r="B4011" s="73">
        <v>8949997.232</v>
      </c>
      <c r="C4011" s="73">
        <v>5.00390828660683E8</v>
      </c>
      <c r="D4011" s="73">
        <v>2.58239660856001E8</v>
      </c>
      <c r="E4011" s="73">
        <v>3.67322922300133E7</v>
      </c>
      <c r="F4011" s="73"/>
      <c r="G4011" s="73"/>
      <c r="H4011" s="73"/>
      <c r="I4011" s="73"/>
      <c r="J4011" s="73"/>
      <c r="K4011" s="73"/>
      <c r="L4011" s="73"/>
      <c r="M4011" s="73"/>
      <c r="N4011" s="73"/>
      <c r="O4011" s="73"/>
      <c r="P4011" s="73"/>
      <c r="Q4011" s="73"/>
      <c r="R4011" s="73"/>
      <c r="S4011" s="73"/>
      <c r="T4011" s="73"/>
      <c r="U4011" s="73"/>
      <c r="V4011" s="73"/>
      <c r="W4011" s="73"/>
      <c r="X4011" s="73"/>
      <c r="Y4011" s="73"/>
      <c r="Z4011" s="73"/>
      <c r="AA4011" s="73"/>
      <c r="AB4011" s="73"/>
    </row>
    <row r="4012">
      <c r="A4012" s="73"/>
      <c r="B4012" s="73">
        <v>8961462.803</v>
      </c>
      <c r="C4012" s="73">
        <v>5.00730481451248E8</v>
      </c>
      <c r="D4012" s="73">
        <v>2.58448540739994E8</v>
      </c>
      <c r="E4012" s="73">
        <v>3.67654134444493E7</v>
      </c>
      <c r="F4012" s="73"/>
      <c r="G4012" s="73"/>
      <c r="H4012" s="73"/>
      <c r="I4012" s="73"/>
      <c r="J4012" s="73"/>
      <c r="K4012" s="73"/>
      <c r="L4012" s="73"/>
      <c r="M4012" s="73"/>
      <c r="N4012" s="73"/>
      <c r="O4012" s="73"/>
      <c r="P4012" s="73"/>
      <c r="Q4012" s="73"/>
      <c r="R4012" s="73"/>
      <c r="S4012" s="73"/>
      <c r="T4012" s="73"/>
      <c r="U4012" s="73"/>
      <c r="V4012" s="73"/>
      <c r="W4012" s="73"/>
      <c r="X4012" s="73"/>
      <c r="Y4012" s="73"/>
      <c r="Z4012" s="73"/>
      <c r="AA4012" s="73"/>
      <c r="AB4012" s="73"/>
    </row>
    <row r="4013">
      <c r="A4013" s="73"/>
      <c r="B4013" s="73">
        <v>8972942.099</v>
      </c>
      <c r="C4013" s="73">
        <v>5.01070299041809E8</v>
      </c>
      <c r="D4013" s="73">
        <v>2.58657503456002E8</v>
      </c>
      <c r="E4013" s="73">
        <v>3.67985554959403E7</v>
      </c>
      <c r="F4013" s="73"/>
      <c r="G4013" s="73"/>
      <c r="H4013" s="73"/>
      <c r="I4013" s="73"/>
      <c r="J4013" s="73"/>
      <c r="K4013" s="73"/>
      <c r="L4013" s="73"/>
      <c r="M4013" s="73"/>
      <c r="N4013" s="73"/>
      <c r="O4013" s="73"/>
      <c r="P4013" s="73"/>
      <c r="Q4013" s="73"/>
      <c r="R4013" s="73"/>
      <c r="S4013" s="73"/>
      <c r="T4013" s="73"/>
      <c r="U4013" s="73"/>
      <c r="V4013" s="73"/>
      <c r="W4013" s="73"/>
      <c r="X4013" s="73"/>
      <c r="Y4013" s="73"/>
      <c r="Z4013" s="73"/>
      <c r="AA4013" s="73"/>
      <c r="AB4013" s="73"/>
    </row>
    <row r="4014">
      <c r="A4014" s="73"/>
      <c r="B4014" s="73">
        <v>8984435.134</v>
      </c>
      <c r="C4014" s="73">
        <v>5.01410215512367E8</v>
      </c>
      <c r="D4014" s="73">
        <v>2.58866610139996E8</v>
      </c>
      <c r="E4014" s="73">
        <v>3.68317169123582E7</v>
      </c>
      <c r="F4014" s="73"/>
      <c r="G4014" s="73"/>
      <c r="H4014" s="73"/>
      <c r="I4014" s="73"/>
      <c r="J4014" s="73"/>
      <c r="K4014" s="73"/>
      <c r="L4014" s="73"/>
      <c r="M4014" s="73"/>
      <c r="N4014" s="73"/>
      <c r="O4014" s="73"/>
      <c r="P4014" s="73"/>
      <c r="Q4014" s="73"/>
      <c r="R4014" s="73"/>
      <c r="S4014" s="73"/>
      <c r="T4014" s="73"/>
      <c r="U4014" s="73"/>
      <c r="V4014" s="73"/>
      <c r="W4014" s="73"/>
      <c r="X4014" s="73"/>
      <c r="Y4014" s="73"/>
      <c r="Z4014" s="73"/>
      <c r="AA4014" s="73"/>
      <c r="AB4014" s="73"/>
    </row>
    <row r="4015">
      <c r="A4015" s="73"/>
      <c r="B4015" s="73">
        <v>8995941.782</v>
      </c>
      <c r="C4015" s="73">
        <v>5.01750296782921E8</v>
      </c>
      <c r="D4015" s="73">
        <v>2.59075799815989E8</v>
      </c>
      <c r="E4015" s="73">
        <v>3.68648997594309E7</v>
      </c>
      <c r="F4015" s="73"/>
      <c r="G4015" s="73"/>
      <c r="H4015" s="73"/>
      <c r="I4015" s="73"/>
      <c r="J4015" s="73"/>
      <c r="K4015" s="73"/>
      <c r="L4015" s="73"/>
      <c r="M4015" s="73"/>
      <c r="N4015" s="73"/>
      <c r="O4015" s="73"/>
      <c r="P4015" s="73"/>
      <c r="Q4015" s="73"/>
      <c r="R4015" s="73"/>
      <c r="S4015" s="73"/>
      <c r="T4015" s="73"/>
      <c r="U4015" s="73"/>
      <c r="V4015" s="73"/>
      <c r="W4015" s="73"/>
      <c r="X4015" s="73"/>
      <c r="Y4015" s="73"/>
      <c r="Z4015" s="73"/>
      <c r="AA4015" s="73"/>
      <c r="AB4015" s="73"/>
    </row>
    <row r="4016">
      <c r="A4016" s="73"/>
      <c r="B4016" s="73">
        <v>9007462.628</v>
      </c>
      <c r="C4016" s="73">
        <v>5.0209054285347E8</v>
      </c>
      <c r="D4016" s="73">
        <v>2.59285113123998E8</v>
      </c>
      <c r="E4016" s="73">
        <v>3.68981023954306E7</v>
      </c>
      <c r="F4016" s="73"/>
      <c r="G4016" s="73"/>
      <c r="H4016" s="73"/>
      <c r="I4016" s="73"/>
      <c r="J4016" s="73"/>
      <c r="K4016" s="73"/>
      <c r="L4016" s="73"/>
      <c r="M4016" s="73"/>
      <c r="N4016" s="73"/>
      <c r="O4016" s="73"/>
      <c r="P4016" s="73"/>
      <c r="Q4016" s="73"/>
      <c r="R4016" s="73"/>
      <c r="S4016" s="73"/>
      <c r="T4016" s="73"/>
      <c r="U4016" s="73"/>
      <c r="V4016" s="73"/>
      <c r="W4016" s="73"/>
      <c r="X4016" s="73"/>
      <c r="Y4016" s="73"/>
      <c r="Z4016" s="73"/>
      <c r="AA4016" s="73"/>
      <c r="AB4016" s="73"/>
    </row>
    <row r="4017">
      <c r="A4017" s="73"/>
      <c r="B4017" s="73">
        <v>9018997.263</v>
      </c>
      <c r="C4017" s="73">
        <v>5.02430920764015E8</v>
      </c>
      <c r="D4017" s="73">
        <v>2.59494509119991E8</v>
      </c>
      <c r="E4017" s="73">
        <v>3.69313258684851E7</v>
      </c>
      <c r="F4017" s="73"/>
      <c r="G4017" s="73"/>
      <c r="H4017" s="73"/>
      <c r="I4017" s="73"/>
      <c r="J4017" s="73"/>
      <c r="K4017" s="73"/>
      <c r="L4017" s="73"/>
      <c r="M4017" s="73"/>
      <c r="N4017" s="73"/>
      <c r="O4017" s="73"/>
      <c r="P4017" s="73"/>
      <c r="Q4017" s="73"/>
      <c r="R4017" s="73"/>
      <c r="S4017" s="73"/>
      <c r="T4017" s="73"/>
      <c r="U4017" s="73"/>
      <c r="V4017" s="73"/>
      <c r="W4017" s="73"/>
      <c r="X4017" s="73"/>
      <c r="Y4017" s="73"/>
      <c r="Z4017" s="73"/>
      <c r="AA4017" s="73"/>
      <c r="AB4017" s="73"/>
    </row>
    <row r="4018">
      <c r="A4018" s="73"/>
      <c r="B4018" s="73">
        <v>9030545.621</v>
      </c>
      <c r="C4018" s="73">
        <v>5.02771430514557E8</v>
      </c>
      <c r="D4018" s="73">
        <v>2.59704049387999E8</v>
      </c>
      <c r="E4018" s="73">
        <v>3.69645703753305E7</v>
      </c>
      <c r="F4018" s="73"/>
      <c r="G4018" s="73"/>
      <c r="H4018" s="73"/>
      <c r="I4018" s="73"/>
      <c r="J4018" s="73"/>
      <c r="K4018" s="73"/>
      <c r="L4018" s="73"/>
      <c r="M4018" s="73"/>
      <c r="N4018" s="73"/>
      <c r="O4018" s="73"/>
      <c r="P4018" s="73"/>
      <c r="Q4018" s="73"/>
      <c r="R4018" s="73"/>
      <c r="S4018" s="73"/>
      <c r="T4018" s="73"/>
      <c r="U4018" s="73"/>
      <c r="V4018" s="73"/>
      <c r="W4018" s="73"/>
      <c r="X4018" s="73"/>
      <c r="Y4018" s="73"/>
      <c r="Z4018" s="73"/>
      <c r="AA4018" s="73"/>
      <c r="AB4018" s="73"/>
    </row>
    <row r="4019">
      <c r="A4019" s="73"/>
      <c r="B4019" s="73">
        <v>9042108.221</v>
      </c>
      <c r="C4019" s="73">
        <v>5.03112105065094E8</v>
      </c>
      <c r="D4019" s="73">
        <v>2.59913672487993E8</v>
      </c>
      <c r="E4019" s="73">
        <v>3.69978339655669E7</v>
      </c>
      <c r="F4019" s="73"/>
      <c r="G4019" s="73"/>
      <c r="H4019" s="73"/>
      <c r="I4019" s="73"/>
      <c r="J4019" s="73"/>
      <c r="K4019" s="73"/>
      <c r="L4019" s="73"/>
      <c r="M4019" s="73"/>
      <c r="N4019" s="73"/>
      <c r="O4019" s="73"/>
      <c r="P4019" s="73"/>
      <c r="Q4019" s="73"/>
      <c r="R4019" s="73"/>
      <c r="S4019" s="73"/>
      <c r="T4019" s="73"/>
      <c r="U4019" s="73"/>
      <c r="V4019" s="73"/>
      <c r="W4019" s="73"/>
      <c r="X4019" s="73"/>
      <c r="Y4019" s="73"/>
      <c r="Z4019" s="73"/>
      <c r="AA4019" s="73"/>
      <c r="AB4019" s="73"/>
    </row>
    <row r="4020">
      <c r="A4020" s="73"/>
      <c r="B4020" s="73">
        <v>9053684.636</v>
      </c>
      <c r="C4020" s="73">
        <v>5.03452944415627E8</v>
      </c>
      <c r="D4020" s="73">
        <v>2.60123439556001E8</v>
      </c>
      <c r="E4020" s="73">
        <v>3.70311188439941E7</v>
      </c>
      <c r="F4020" s="73"/>
      <c r="G4020" s="73"/>
      <c r="H4020" s="73"/>
      <c r="I4020" s="73"/>
      <c r="J4020" s="73"/>
      <c r="K4020" s="73"/>
      <c r="L4020" s="73"/>
      <c r="M4020" s="73"/>
      <c r="N4020" s="73"/>
      <c r="O4020" s="73"/>
      <c r="P4020" s="73"/>
      <c r="Q4020" s="73"/>
      <c r="R4020" s="73"/>
      <c r="S4020" s="73"/>
      <c r="T4020" s="73"/>
      <c r="U4020" s="73"/>
      <c r="V4020" s="73"/>
      <c r="W4020" s="73"/>
      <c r="X4020" s="73"/>
      <c r="Y4020" s="73"/>
      <c r="Z4020" s="73"/>
      <c r="AA4020" s="73"/>
      <c r="AB4020" s="73"/>
    </row>
    <row r="4021">
      <c r="A4021" s="73"/>
      <c r="B4021" s="73">
        <v>9065274.981</v>
      </c>
      <c r="C4021" s="73">
        <v>5.03793915606155E8</v>
      </c>
      <c r="D4021" s="73">
        <v>2.60333289455994E8</v>
      </c>
      <c r="E4021" s="73">
        <v>3.70644236538123E7</v>
      </c>
      <c r="F4021" s="73"/>
      <c r="G4021" s="73"/>
      <c r="H4021" s="73"/>
      <c r="I4021" s="73"/>
      <c r="J4021" s="73"/>
      <c r="K4021" s="73"/>
      <c r="L4021" s="73"/>
      <c r="M4021" s="73"/>
      <c r="N4021" s="73"/>
      <c r="O4021" s="73"/>
      <c r="P4021" s="73"/>
      <c r="Q4021" s="73"/>
      <c r="R4021" s="73"/>
      <c r="S4021" s="73"/>
      <c r="T4021" s="73"/>
      <c r="U4021" s="73"/>
      <c r="V4021" s="73"/>
      <c r="W4021" s="73"/>
      <c r="X4021" s="73"/>
      <c r="Y4021" s="73"/>
      <c r="Z4021" s="73"/>
      <c r="AA4021" s="73"/>
      <c r="AB4021" s="73"/>
    </row>
    <row r="4022">
      <c r="A4022" s="73"/>
      <c r="B4022" s="73">
        <v>9076879.726</v>
      </c>
      <c r="C4022" s="73">
        <v>5.04134985676682E8</v>
      </c>
      <c r="D4022" s="73">
        <v>2.60543242668003E8</v>
      </c>
      <c r="E4022" s="73">
        <v>3.70977498942853E7</v>
      </c>
      <c r="F4022" s="73"/>
      <c r="G4022" s="73"/>
      <c r="H4022" s="73"/>
      <c r="I4022" s="73"/>
      <c r="J4022" s="73"/>
      <c r="K4022" s="73"/>
      <c r="L4022" s="73"/>
      <c r="M4022" s="73"/>
      <c r="N4022" s="73"/>
      <c r="O4022" s="73"/>
      <c r="P4022" s="73"/>
      <c r="Q4022" s="73"/>
      <c r="R4022" s="73"/>
      <c r="S4022" s="73"/>
      <c r="T4022" s="73"/>
      <c r="U4022" s="73"/>
      <c r="V4022" s="73"/>
      <c r="W4022" s="73"/>
      <c r="X4022" s="73"/>
      <c r="Y4022" s="73"/>
      <c r="Z4022" s="73"/>
      <c r="AA4022" s="73"/>
      <c r="AB4022" s="73"/>
    </row>
    <row r="4023">
      <c r="A4023" s="73"/>
      <c r="B4023" s="73">
        <v>9088498.512</v>
      </c>
      <c r="C4023" s="73">
        <v>5.04476253507202E8</v>
      </c>
      <c r="D4023" s="73">
        <v>2.60753319367996E8</v>
      </c>
      <c r="E4023" s="73">
        <v>3.71310958388852E7</v>
      </c>
      <c r="F4023" s="73"/>
      <c r="G4023" s="73"/>
      <c r="H4023" s="73"/>
      <c r="I4023" s="73"/>
      <c r="J4023" s="73"/>
      <c r="K4023" s="73"/>
      <c r="L4023" s="73"/>
      <c r="M4023" s="73"/>
      <c r="N4023" s="73"/>
      <c r="O4023" s="73"/>
      <c r="P4023" s="73"/>
      <c r="Q4023" s="73"/>
      <c r="R4023" s="73"/>
      <c r="S4023" s="73"/>
      <c r="T4023" s="73"/>
      <c r="U4023" s="73"/>
      <c r="V4023" s="73"/>
      <c r="W4023" s="73"/>
      <c r="X4023" s="73"/>
      <c r="Y4023" s="73"/>
      <c r="Z4023" s="73"/>
      <c r="AA4023" s="73"/>
      <c r="AB4023" s="73"/>
    </row>
    <row r="4024">
      <c r="A4024" s="73"/>
      <c r="B4024" s="73">
        <v>9100131.44</v>
      </c>
      <c r="C4024" s="73">
        <v>5.04817653177719E8</v>
      </c>
      <c r="D4024" s="73">
        <v>2.6096349939599E8</v>
      </c>
      <c r="E4024" s="73">
        <v>3.716446279014E7</v>
      </c>
      <c r="F4024" s="73"/>
      <c r="G4024" s="73"/>
      <c r="H4024" s="73"/>
      <c r="I4024" s="73"/>
      <c r="J4024" s="73"/>
      <c r="K4024" s="73"/>
      <c r="L4024" s="73"/>
      <c r="M4024" s="73"/>
      <c r="N4024" s="73"/>
      <c r="O4024" s="73"/>
      <c r="P4024" s="73"/>
      <c r="Q4024" s="73"/>
      <c r="R4024" s="73"/>
      <c r="S4024" s="73"/>
      <c r="T4024" s="73"/>
      <c r="U4024" s="73"/>
      <c r="V4024" s="73"/>
      <c r="W4024" s="73"/>
      <c r="X4024" s="73"/>
      <c r="Y4024" s="73"/>
      <c r="Z4024" s="73"/>
      <c r="AA4024" s="73"/>
      <c r="AB4024" s="73"/>
    </row>
    <row r="4025">
      <c r="A4025" s="73"/>
      <c r="B4025" s="73">
        <v>9111778.343</v>
      </c>
      <c r="C4025" s="73">
        <v>5.05159184688232E8</v>
      </c>
      <c r="D4025" s="73">
        <v>2.61173803199998E8</v>
      </c>
      <c r="E4025" s="73">
        <v>3.71978488519218E7</v>
      </c>
      <c r="F4025" s="73"/>
      <c r="G4025" s="73"/>
      <c r="H4025" s="73"/>
      <c r="I4025" s="73"/>
      <c r="J4025" s="73"/>
      <c r="K4025" s="73"/>
      <c r="L4025" s="73"/>
      <c r="M4025" s="73"/>
      <c r="N4025" s="73"/>
      <c r="O4025" s="73"/>
      <c r="P4025" s="73"/>
      <c r="Q4025" s="73"/>
      <c r="R4025" s="73"/>
      <c r="S4025" s="73"/>
      <c r="T4025" s="73"/>
      <c r="U4025" s="73"/>
      <c r="V4025" s="73"/>
      <c r="W4025" s="73"/>
      <c r="X4025" s="73"/>
      <c r="Y4025" s="73"/>
      <c r="Z4025" s="73"/>
      <c r="AA4025" s="73"/>
      <c r="AB4025" s="73"/>
    </row>
    <row r="4026">
      <c r="A4026" s="73"/>
      <c r="B4026" s="73">
        <v>9123439.842</v>
      </c>
      <c r="C4026" s="73">
        <v>5.05500880998741E8</v>
      </c>
      <c r="D4026" s="73">
        <v>2.61384189691991E8</v>
      </c>
      <c r="E4026" s="73">
        <v>3.72312570227584E7</v>
      </c>
      <c r="F4026" s="73"/>
      <c r="G4026" s="73"/>
      <c r="H4026" s="73"/>
      <c r="I4026" s="73"/>
      <c r="J4026" s="73"/>
      <c r="K4026" s="73"/>
      <c r="L4026" s="73"/>
      <c r="M4026" s="73"/>
      <c r="N4026" s="73"/>
      <c r="O4026" s="73"/>
      <c r="P4026" s="73"/>
      <c r="Q4026" s="73"/>
      <c r="R4026" s="73"/>
      <c r="S4026" s="73"/>
      <c r="T4026" s="73"/>
      <c r="U4026" s="73"/>
      <c r="V4026" s="73"/>
      <c r="W4026" s="73"/>
      <c r="X4026" s="73"/>
      <c r="Y4026" s="73"/>
      <c r="Z4026" s="73"/>
      <c r="AA4026" s="73"/>
      <c r="AB4026" s="73"/>
    </row>
    <row r="4027">
      <c r="A4027" s="73"/>
      <c r="B4027" s="73">
        <v>9135115.249</v>
      </c>
      <c r="C4027" s="73">
        <v>5.05842742109245E8</v>
      </c>
      <c r="D4027" s="73">
        <v>2.61594720296E8</v>
      </c>
      <c r="E4027" s="73">
        <v>3.72646847857859E7</v>
      </c>
      <c r="F4027" s="73"/>
      <c r="G4027" s="73"/>
      <c r="H4027" s="73"/>
      <c r="I4027" s="73"/>
      <c r="J4027" s="73"/>
      <c r="K4027" s="73"/>
      <c r="L4027" s="73"/>
      <c r="M4027" s="73"/>
      <c r="N4027" s="73"/>
      <c r="O4027" s="73"/>
      <c r="P4027" s="73"/>
      <c r="Q4027" s="73"/>
      <c r="R4027" s="73"/>
      <c r="S4027" s="73"/>
      <c r="T4027" s="73"/>
      <c r="U4027" s="73"/>
      <c r="V4027" s="73"/>
      <c r="W4027" s="73"/>
      <c r="X4027" s="73"/>
      <c r="Y4027" s="73"/>
      <c r="Z4027" s="73"/>
      <c r="AA4027" s="73"/>
      <c r="AB4027" s="73"/>
    </row>
    <row r="4028">
      <c r="A4028" s="73"/>
      <c r="B4028" s="73">
        <v>9146805.109</v>
      </c>
      <c r="C4028" s="73">
        <v>5.06184702099747E8</v>
      </c>
      <c r="D4028" s="73">
        <v>2.61805333747993E8</v>
      </c>
      <c r="E4028" s="73">
        <v>3.72981329042043E7</v>
      </c>
      <c r="F4028" s="73"/>
      <c r="G4028" s="73"/>
      <c r="H4028" s="73"/>
      <c r="I4028" s="73"/>
      <c r="J4028" s="73"/>
      <c r="K4028" s="73"/>
      <c r="L4028" s="73"/>
      <c r="M4028" s="73"/>
      <c r="N4028" s="73"/>
      <c r="O4028" s="73"/>
      <c r="P4028" s="73"/>
      <c r="Q4028" s="73"/>
      <c r="R4028" s="73"/>
      <c r="S4028" s="73"/>
      <c r="T4028" s="73"/>
      <c r="U4028" s="73"/>
      <c r="V4028" s="73"/>
      <c r="W4028" s="73"/>
      <c r="X4028" s="73"/>
      <c r="Y4028" s="73"/>
      <c r="Z4028" s="73"/>
      <c r="AA4028" s="73"/>
      <c r="AB4028" s="73"/>
    </row>
    <row r="4029">
      <c r="A4029" s="73"/>
      <c r="B4029" s="73">
        <v>9158509.216</v>
      </c>
      <c r="C4029" s="73">
        <v>5.06526859850243E8</v>
      </c>
      <c r="D4029" s="73">
        <v>2.62016070976002E8</v>
      </c>
      <c r="E4029" s="73">
        <v>3.73316023108136E7</v>
      </c>
      <c r="F4029" s="73"/>
      <c r="G4029" s="73"/>
      <c r="H4029" s="73"/>
      <c r="I4029" s="73"/>
      <c r="J4029" s="73"/>
      <c r="K4029" s="73"/>
      <c r="L4029" s="73"/>
      <c r="M4029" s="73"/>
      <c r="N4029" s="73"/>
      <c r="O4029" s="73"/>
      <c r="P4029" s="73"/>
      <c r="Q4029" s="73"/>
      <c r="R4029" s="73"/>
      <c r="S4029" s="73"/>
      <c r="T4029" s="73"/>
      <c r="U4029" s="73"/>
      <c r="V4029" s="73"/>
      <c r="W4029" s="73"/>
      <c r="X4029" s="73"/>
      <c r="Y4029" s="73"/>
      <c r="Z4029" s="73"/>
      <c r="AA4029" s="73"/>
      <c r="AB4029" s="73"/>
    </row>
    <row r="4030">
      <c r="A4030" s="73"/>
      <c r="B4030" s="73">
        <v>9170227.583</v>
      </c>
      <c r="C4030" s="73">
        <v>5.06869116480736E8</v>
      </c>
      <c r="D4030" s="73">
        <v>2.62226931707995E8</v>
      </c>
      <c r="E4030" s="73">
        <v>3.73650913096138E7</v>
      </c>
      <c r="F4030" s="73"/>
      <c r="G4030" s="73"/>
      <c r="H4030" s="73"/>
      <c r="I4030" s="73"/>
      <c r="J4030" s="73"/>
      <c r="K4030" s="73"/>
      <c r="L4030" s="73"/>
      <c r="M4030" s="73"/>
      <c r="N4030" s="73"/>
      <c r="O4030" s="73"/>
      <c r="P4030" s="73"/>
      <c r="Q4030" s="73"/>
      <c r="R4030" s="73"/>
      <c r="S4030" s="73"/>
      <c r="T4030" s="73"/>
      <c r="U4030" s="73"/>
      <c r="V4030" s="73"/>
      <c r="W4030" s="73"/>
      <c r="X4030" s="73"/>
      <c r="Y4030" s="73"/>
      <c r="Z4030" s="73"/>
      <c r="AA4030" s="73"/>
      <c r="AB4030" s="73"/>
    </row>
    <row r="4031">
      <c r="A4031" s="73"/>
      <c r="B4031" s="73">
        <v>9181960.546</v>
      </c>
      <c r="C4031" s="73">
        <v>5.07211570871223E8</v>
      </c>
      <c r="D4031" s="73">
        <v>2.62437875256004E8</v>
      </c>
      <c r="E4031" s="73">
        <v>3.73986020782688E7</v>
      </c>
      <c r="F4031" s="73"/>
      <c r="G4031" s="73"/>
      <c r="H4031" s="73"/>
      <c r="I4031" s="73"/>
      <c r="J4031" s="73"/>
      <c r="K4031" s="73"/>
      <c r="L4031" s="73"/>
      <c r="M4031" s="73"/>
      <c r="N4031" s="73"/>
      <c r="O4031" s="73"/>
      <c r="P4031" s="73"/>
      <c r="Q4031" s="73"/>
      <c r="R4031" s="73"/>
      <c r="S4031" s="73"/>
      <c r="T4031" s="73"/>
      <c r="U4031" s="73"/>
      <c r="V4031" s="73"/>
      <c r="W4031" s="73"/>
      <c r="X4031" s="73"/>
      <c r="Y4031" s="73"/>
      <c r="Z4031" s="73"/>
      <c r="AA4031" s="73"/>
      <c r="AB4031" s="73"/>
    </row>
    <row r="4032">
      <c r="A4032" s="73"/>
      <c r="B4032" s="73">
        <v>9193707.515</v>
      </c>
      <c r="C4032" s="73">
        <v>5.07554157101707E8</v>
      </c>
      <c r="D4032" s="73">
        <v>2.62648942467997E8</v>
      </c>
      <c r="E4032" s="73">
        <v>3.74321322118508E7</v>
      </c>
      <c r="F4032" s="73"/>
      <c r="G4032" s="73"/>
      <c r="H4032" s="73"/>
      <c r="I4032" s="73"/>
      <c r="J4032" s="73"/>
      <c r="K4032" s="73"/>
      <c r="L4032" s="73"/>
      <c r="M4032" s="73"/>
      <c r="N4032" s="73"/>
      <c r="O4032" s="73"/>
      <c r="P4032" s="73"/>
      <c r="Q4032" s="73"/>
      <c r="R4032" s="73"/>
      <c r="S4032" s="73"/>
      <c r="T4032" s="73"/>
      <c r="U4032" s="73"/>
      <c r="V4032" s="73"/>
      <c r="W4032" s="73"/>
      <c r="X4032" s="73"/>
      <c r="Y4032" s="73"/>
      <c r="Z4032" s="73"/>
      <c r="AA4032" s="73"/>
      <c r="AB4032" s="73"/>
    </row>
    <row r="4033">
      <c r="A4033" s="73"/>
      <c r="B4033" s="73">
        <v>9205469.124</v>
      </c>
      <c r="C4033" s="73">
        <v>5.07896875172188E8</v>
      </c>
      <c r="D4033" s="73">
        <v>2.6286011297599E8</v>
      </c>
      <c r="E4033" s="73">
        <v>3.74656833520877E7</v>
      </c>
      <c r="F4033" s="73"/>
      <c r="G4033" s="73"/>
      <c r="H4033" s="73"/>
      <c r="I4033" s="73"/>
      <c r="J4033" s="73"/>
      <c r="K4033" s="73"/>
      <c r="L4033" s="73"/>
      <c r="M4033" s="73"/>
      <c r="N4033" s="73"/>
      <c r="O4033" s="73"/>
      <c r="P4033" s="73"/>
      <c r="Q4033" s="73"/>
      <c r="R4033" s="73"/>
      <c r="S4033" s="73"/>
      <c r="T4033" s="73"/>
      <c r="U4033" s="73"/>
      <c r="V4033" s="73"/>
      <c r="W4033" s="73"/>
      <c r="X4033" s="73"/>
      <c r="Y4033" s="73"/>
      <c r="Z4033" s="73"/>
      <c r="AA4033" s="73"/>
      <c r="AB4033" s="73"/>
    </row>
    <row r="4034">
      <c r="A4034" s="73"/>
      <c r="B4034" s="73">
        <v>9217245.094</v>
      </c>
      <c r="C4034" s="73">
        <v>5.08239725082664E8</v>
      </c>
      <c r="D4034" s="73">
        <v>2.63071407131999E8</v>
      </c>
      <c r="E4034" s="73">
        <v>3.74992554413154E7</v>
      </c>
      <c r="F4034" s="73"/>
      <c r="G4034" s="73"/>
      <c r="H4034" s="73"/>
      <c r="I4034" s="73"/>
      <c r="J4034" s="73"/>
      <c r="K4034" s="73"/>
      <c r="L4034" s="73"/>
      <c r="M4034" s="73"/>
      <c r="N4034" s="73"/>
      <c r="O4034" s="73"/>
      <c r="P4034" s="73"/>
      <c r="Q4034" s="73"/>
      <c r="R4034" s="73"/>
      <c r="S4034" s="73"/>
      <c r="T4034" s="73"/>
      <c r="U4034" s="73"/>
      <c r="V4034" s="73"/>
      <c r="W4034" s="73"/>
      <c r="X4034" s="73"/>
      <c r="Y4034" s="73"/>
      <c r="Z4034" s="73"/>
      <c r="AA4034" s="73"/>
      <c r="AB4034" s="73"/>
    </row>
    <row r="4035">
      <c r="A4035" s="73"/>
      <c r="B4035" s="73">
        <v>9229035.678</v>
      </c>
      <c r="C4035" s="73">
        <v>5.08582706833138E8</v>
      </c>
      <c r="D4035" s="73">
        <v>2.63282804439992E8</v>
      </c>
      <c r="E4035" s="73">
        <v>3.7532847631534E7</v>
      </c>
      <c r="F4035" s="73"/>
      <c r="G4035" s="73"/>
      <c r="H4035" s="73"/>
      <c r="I4035" s="73"/>
      <c r="J4035" s="73"/>
      <c r="K4035" s="73"/>
      <c r="L4035" s="73"/>
      <c r="M4035" s="73"/>
      <c r="N4035" s="73"/>
      <c r="O4035" s="73"/>
      <c r="P4035" s="73"/>
      <c r="Q4035" s="73"/>
      <c r="R4035" s="73"/>
      <c r="S4035" s="73"/>
      <c r="T4035" s="73"/>
      <c r="U4035" s="73"/>
      <c r="V4035" s="73"/>
      <c r="W4035" s="73"/>
      <c r="X4035" s="73"/>
      <c r="Y4035" s="73"/>
      <c r="Z4035" s="73"/>
      <c r="AA4035" s="73"/>
      <c r="AB4035" s="73"/>
    </row>
    <row r="4036">
      <c r="A4036" s="73"/>
      <c r="B4036" s="73">
        <v>9240840.625</v>
      </c>
      <c r="C4036" s="73">
        <v>5.08925853383606E8</v>
      </c>
      <c r="D4036" s="73">
        <v>2.63494305220001E8</v>
      </c>
      <c r="E4036" s="73">
        <v>3.75664599227436E7</v>
      </c>
      <c r="F4036" s="73"/>
      <c r="G4036" s="73"/>
      <c r="H4036" s="73"/>
      <c r="I4036" s="73"/>
      <c r="J4036" s="73"/>
      <c r="K4036" s="73"/>
      <c r="L4036" s="73"/>
      <c r="M4036" s="73"/>
      <c r="N4036" s="73"/>
      <c r="O4036" s="73"/>
      <c r="P4036" s="73"/>
      <c r="Q4036" s="73"/>
      <c r="R4036" s="73"/>
      <c r="S4036" s="73"/>
      <c r="T4036" s="73"/>
      <c r="U4036" s="73"/>
      <c r="V4036" s="73"/>
      <c r="W4036" s="73"/>
      <c r="X4036" s="73"/>
      <c r="Y4036" s="73"/>
      <c r="Z4036" s="73"/>
      <c r="AA4036" s="73"/>
      <c r="AB4036" s="73"/>
    </row>
    <row r="4037">
      <c r="A4037" s="73"/>
      <c r="B4037" s="73">
        <v>9252660.177</v>
      </c>
      <c r="C4037" s="73">
        <v>5.09269131774071E8</v>
      </c>
      <c r="D4037" s="73">
        <v>2.63705909007994E8</v>
      </c>
      <c r="E4037" s="73">
        <v>3.7600093417344E7</v>
      </c>
      <c r="F4037" s="73"/>
      <c r="G4037" s="73"/>
      <c r="H4037" s="73"/>
      <c r="I4037" s="73"/>
      <c r="J4037" s="73"/>
      <c r="K4037" s="73"/>
      <c r="L4037" s="73"/>
      <c r="M4037" s="73"/>
      <c r="N4037" s="73"/>
      <c r="O4037" s="73"/>
      <c r="P4037" s="73"/>
      <c r="Q4037" s="73"/>
      <c r="R4037" s="73"/>
      <c r="S4037" s="73"/>
      <c r="T4037" s="73"/>
      <c r="U4037" s="73"/>
      <c r="V4037" s="73"/>
      <c r="W4037" s="73"/>
      <c r="X4037" s="73"/>
      <c r="Y4037" s="73"/>
      <c r="Z4037" s="73"/>
      <c r="AA4037" s="73"/>
      <c r="AB4037" s="73"/>
    </row>
    <row r="4038">
      <c r="A4038" s="73"/>
      <c r="B4038" s="73">
        <v>9264494.284</v>
      </c>
      <c r="C4038" s="73">
        <v>5.09612574964531E8</v>
      </c>
      <c r="D4038" s="73">
        <v>2.63917657068002E8</v>
      </c>
      <c r="E4038" s="73">
        <v>3.76337473249993E7</v>
      </c>
      <c r="F4038" s="73"/>
      <c r="G4038" s="73"/>
      <c r="H4038" s="73"/>
      <c r="I4038" s="73"/>
      <c r="J4038" s="73"/>
      <c r="K4038" s="73"/>
      <c r="L4038" s="73"/>
      <c r="M4038" s="73"/>
      <c r="N4038" s="73"/>
      <c r="O4038" s="73"/>
      <c r="P4038" s="73"/>
      <c r="Q4038" s="73"/>
      <c r="R4038" s="73"/>
      <c r="S4038" s="73"/>
      <c r="T4038" s="73"/>
      <c r="U4038" s="73"/>
      <c r="V4038" s="73"/>
      <c r="W4038" s="73"/>
      <c r="X4038" s="73"/>
      <c r="Y4038" s="73"/>
      <c r="Z4038" s="73"/>
      <c r="AA4038" s="73"/>
      <c r="AB4038" s="73"/>
    </row>
    <row r="4039">
      <c r="A4039" s="73"/>
      <c r="B4039" s="73">
        <v>9276342.785</v>
      </c>
      <c r="C4039" s="73">
        <v>5.09956248874985E8</v>
      </c>
      <c r="D4039" s="73">
        <v>2.64129487655996E8</v>
      </c>
      <c r="E4039" s="73">
        <v>3.76674214455815E7</v>
      </c>
      <c r="F4039" s="73"/>
      <c r="G4039" s="73"/>
      <c r="H4039" s="73"/>
      <c r="I4039" s="73"/>
      <c r="J4039" s="73"/>
      <c r="K4039" s="73"/>
      <c r="L4039" s="73"/>
      <c r="M4039" s="73"/>
      <c r="N4039" s="73"/>
      <c r="O4039" s="73"/>
      <c r="P4039" s="73"/>
      <c r="Q4039" s="73"/>
      <c r="R4039" s="73"/>
      <c r="S4039" s="73"/>
      <c r="T4039" s="73"/>
      <c r="U4039" s="73"/>
      <c r="V4039" s="73"/>
      <c r="W4039" s="73"/>
      <c r="X4039" s="73"/>
      <c r="Y4039" s="73"/>
      <c r="Z4039" s="73"/>
      <c r="AA4039" s="73"/>
      <c r="AB4039" s="73"/>
    </row>
    <row r="4040">
      <c r="A4040" s="73"/>
      <c r="B4040" s="73">
        <v>9288205.92</v>
      </c>
      <c r="C4040" s="73">
        <v>5.10299955745438E8</v>
      </c>
      <c r="D4040" s="73">
        <v>2.64341442195989E8</v>
      </c>
      <c r="E4040" s="73">
        <v>3.77011169968186E7</v>
      </c>
      <c r="F4040" s="73"/>
      <c r="G4040" s="73"/>
      <c r="H4040" s="73"/>
      <c r="I4040" s="73"/>
      <c r="J4040" s="73"/>
      <c r="K4040" s="73"/>
      <c r="L4040" s="73"/>
      <c r="M4040" s="73"/>
      <c r="N4040" s="73"/>
      <c r="O4040" s="73"/>
      <c r="P4040" s="73"/>
      <c r="Q4040" s="73"/>
      <c r="R4040" s="73"/>
      <c r="S4040" s="73"/>
      <c r="T4040" s="73"/>
      <c r="U4040" s="73"/>
      <c r="V4040" s="73"/>
      <c r="W4040" s="73"/>
      <c r="X4040" s="73"/>
      <c r="Y4040" s="73"/>
      <c r="Z4040" s="73"/>
      <c r="AA4040" s="73"/>
      <c r="AB4040" s="73"/>
    </row>
    <row r="4041">
      <c r="A4041" s="73"/>
      <c r="B4041" s="73">
        <v>9300083.719</v>
      </c>
      <c r="C4041" s="73">
        <v>5.10643860375885E8</v>
      </c>
      <c r="D4041" s="73">
        <v>2.64553479407998E8</v>
      </c>
      <c r="E4041" s="73">
        <v>3.77348323946466E7</v>
      </c>
      <c r="F4041" s="73"/>
      <c r="G4041" s="73"/>
      <c r="H4041" s="73"/>
      <c r="I4041" s="73"/>
      <c r="J4041" s="73"/>
      <c r="K4041" s="73"/>
      <c r="L4041" s="73"/>
      <c r="M4041" s="73"/>
      <c r="N4041" s="73"/>
      <c r="O4041" s="73"/>
      <c r="P4041" s="73"/>
      <c r="Q4041" s="73"/>
      <c r="R4041" s="73"/>
      <c r="S4041" s="73"/>
      <c r="T4041" s="73"/>
      <c r="U4041" s="73"/>
      <c r="V4041" s="73"/>
      <c r="W4041" s="73"/>
      <c r="X4041" s="73"/>
      <c r="Y4041" s="73"/>
      <c r="Z4041" s="73"/>
      <c r="AA4041" s="73"/>
      <c r="AB4041" s="73"/>
    </row>
    <row r="4042">
      <c r="A4042" s="73"/>
      <c r="B4042" s="73">
        <v>9311976.019</v>
      </c>
      <c r="C4042" s="73">
        <v>5.10987896846329E8</v>
      </c>
      <c r="D4042" s="73">
        <v>2.64765660891991E8</v>
      </c>
      <c r="E4042" s="73">
        <v>3.77685673270015E7</v>
      </c>
      <c r="F4042" s="73"/>
      <c r="G4042" s="73"/>
      <c r="H4042" s="73"/>
      <c r="I4042" s="73"/>
      <c r="J4042" s="73"/>
      <c r="K4042" s="73"/>
      <c r="L4042" s="73"/>
      <c r="M4042" s="73"/>
      <c r="N4042" s="73"/>
      <c r="O4042" s="73"/>
      <c r="P4042" s="73"/>
      <c r="Q4042" s="73"/>
      <c r="R4042" s="73"/>
      <c r="S4042" s="73"/>
      <c r="T4042" s="73"/>
      <c r="U4042" s="73"/>
      <c r="V4042" s="73"/>
      <c r="W4042" s="73"/>
      <c r="X4042" s="73"/>
      <c r="Y4042" s="73"/>
      <c r="Z4042" s="73"/>
      <c r="AA4042" s="73"/>
      <c r="AB4042" s="73"/>
    </row>
    <row r="4043">
      <c r="A4043" s="73"/>
      <c r="B4043" s="73">
        <v>9323883.21</v>
      </c>
      <c r="C4043" s="73">
        <v>5.11332065156769E8</v>
      </c>
      <c r="D4043" s="73">
        <v>2.64977925063999E8</v>
      </c>
      <c r="E4043" s="73">
        <v>3.78023249348752E7</v>
      </c>
      <c r="F4043" s="73"/>
      <c r="G4043" s="73"/>
      <c r="H4043" s="73"/>
      <c r="I4043" s="73"/>
      <c r="J4043" s="73"/>
      <c r="K4043" s="73"/>
      <c r="L4043" s="73"/>
      <c r="M4043" s="73"/>
      <c r="N4043" s="73"/>
      <c r="O4043" s="73"/>
      <c r="P4043" s="73"/>
      <c r="Q4043" s="73"/>
      <c r="R4043" s="73"/>
      <c r="S4043" s="73"/>
      <c r="T4043" s="73"/>
      <c r="U4043" s="73"/>
      <c r="V4043" s="73"/>
      <c r="W4043" s="73"/>
      <c r="X4043" s="73"/>
      <c r="Y4043" s="73"/>
      <c r="Z4043" s="73"/>
      <c r="AA4043" s="73"/>
      <c r="AB4043" s="73"/>
    </row>
    <row r="4044">
      <c r="A4044" s="73"/>
      <c r="B4044" s="73">
        <v>9335804.951</v>
      </c>
      <c r="C4044" s="73">
        <v>5.11676365307205E8</v>
      </c>
      <c r="D4044" s="73">
        <v>2.65190333203993E8</v>
      </c>
      <c r="E4044" s="73">
        <v>3.78361014836759E7</v>
      </c>
      <c r="F4044" s="73"/>
      <c r="G4044" s="73"/>
      <c r="H4044" s="73"/>
      <c r="I4044" s="73"/>
      <c r="J4044" s="73"/>
      <c r="K4044" s="73"/>
      <c r="L4044" s="73"/>
      <c r="M4044" s="73"/>
      <c r="N4044" s="73"/>
      <c r="O4044" s="73"/>
      <c r="P4044" s="73"/>
      <c r="Q4044" s="73"/>
      <c r="R4044" s="73"/>
      <c r="S4044" s="73"/>
      <c r="T4044" s="73"/>
      <c r="U4044" s="73"/>
      <c r="V4044" s="73"/>
      <c r="W4044" s="73"/>
      <c r="X4044" s="73"/>
      <c r="Y4044" s="73"/>
      <c r="Z4044" s="73"/>
      <c r="AA4044" s="73"/>
      <c r="AB4044" s="73"/>
    </row>
    <row r="4045">
      <c r="A4045" s="73"/>
      <c r="B4045" s="73">
        <v>9347741.457</v>
      </c>
      <c r="C4045" s="73">
        <v>5.12020863217636E8</v>
      </c>
      <c r="D4045" s="73">
        <v>2.65402824320001E8</v>
      </c>
      <c r="E4045" s="73">
        <v>3.78698994902674E7</v>
      </c>
      <c r="F4045" s="73"/>
      <c r="G4045" s="73"/>
      <c r="H4045" s="73"/>
      <c r="I4045" s="73"/>
      <c r="J4045" s="73"/>
      <c r="K4045" s="73"/>
      <c r="L4045" s="73"/>
      <c r="M4045" s="73"/>
      <c r="N4045" s="73"/>
      <c r="O4045" s="73"/>
      <c r="P4045" s="73"/>
      <c r="Q4045" s="73"/>
      <c r="R4045" s="73"/>
      <c r="S4045" s="73"/>
      <c r="T4045" s="73"/>
      <c r="U4045" s="73"/>
      <c r="V4045" s="73"/>
      <c r="W4045" s="73"/>
      <c r="X4045" s="73"/>
      <c r="Y4045" s="73"/>
      <c r="Z4045" s="73"/>
      <c r="AA4045" s="73"/>
      <c r="AB4045" s="73"/>
    </row>
    <row r="4046">
      <c r="A4046" s="73"/>
      <c r="B4046" s="73">
        <v>9359692.609</v>
      </c>
      <c r="C4046" s="73">
        <v>5.12365492968063E8</v>
      </c>
      <c r="D4046" s="73">
        <v>2.65615439083995E8</v>
      </c>
      <c r="E4046" s="73">
        <v>3.79037179099139E7</v>
      </c>
      <c r="F4046" s="73"/>
      <c r="G4046" s="73"/>
      <c r="H4046" s="73"/>
      <c r="I4046" s="73"/>
      <c r="J4046" s="73"/>
      <c r="K4046" s="73"/>
      <c r="L4046" s="73"/>
      <c r="M4046" s="73"/>
      <c r="N4046" s="73"/>
      <c r="O4046" s="73"/>
      <c r="P4046" s="73"/>
      <c r="Q4046" s="73"/>
      <c r="R4046" s="73"/>
      <c r="S4046" s="73"/>
      <c r="T4046" s="73"/>
      <c r="U4046" s="73"/>
      <c r="V4046" s="73"/>
      <c r="W4046" s="73"/>
      <c r="X4046" s="73"/>
      <c r="Y4046" s="73"/>
      <c r="Z4046" s="73"/>
      <c r="AA4046" s="73"/>
      <c r="AB4046" s="73"/>
    </row>
    <row r="4047">
      <c r="A4047" s="73"/>
      <c r="B4047" s="73">
        <v>9371658.372</v>
      </c>
      <c r="C4047" s="73">
        <v>5.12710254558487E8</v>
      </c>
      <c r="D4047" s="73">
        <v>2.65828136536003E8</v>
      </c>
      <c r="E4047" s="73">
        <v>3.79375567120872E7</v>
      </c>
      <c r="F4047" s="73"/>
      <c r="G4047" s="73"/>
      <c r="H4047" s="73"/>
      <c r="I4047" s="73"/>
      <c r="J4047" s="73"/>
      <c r="K4047" s="73"/>
      <c r="L4047" s="73"/>
      <c r="M4047" s="73"/>
      <c r="N4047" s="73"/>
      <c r="O4047" s="73"/>
      <c r="P4047" s="73"/>
      <c r="Q4047" s="73"/>
      <c r="R4047" s="73"/>
      <c r="S4047" s="73"/>
      <c r="T4047" s="73"/>
      <c r="U4047" s="73"/>
      <c r="V4047" s="73"/>
      <c r="W4047" s="73"/>
      <c r="X4047" s="73"/>
      <c r="Y4047" s="73"/>
      <c r="Z4047" s="73"/>
      <c r="AA4047" s="73"/>
      <c r="AB4047" s="73"/>
    </row>
    <row r="4048">
      <c r="A4048" s="73"/>
      <c r="B4048" s="73">
        <v>9383639.355</v>
      </c>
      <c r="C4048" s="73">
        <v>5.13055180948906E8</v>
      </c>
      <c r="D4048" s="73">
        <v>2.66040978403996E8</v>
      </c>
      <c r="E4048" s="73">
        <v>3.79714156729154E7</v>
      </c>
      <c r="F4048" s="73"/>
      <c r="G4048" s="73"/>
      <c r="H4048" s="73"/>
      <c r="I4048" s="73"/>
      <c r="J4048" s="73"/>
      <c r="K4048" s="73"/>
      <c r="L4048" s="73"/>
      <c r="M4048" s="73"/>
      <c r="N4048" s="73"/>
      <c r="O4048" s="73"/>
      <c r="P4048" s="73"/>
      <c r="Q4048" s="73"/>
      <c r="R4048" s="73"/>
      <c r="S4048" s="73"/>
      <c r="T4048" s="73"/>
      <c r="U4048" s="73"/>
      <c r="V4048" s="73"/>
      <c r="W4048" s="73"/>
      <c r="X4048" s="73"/>
      <c r="Y4048" s="73"/>
      <c r="Z4048" s="73"/>
      <c r="AA4048" s="73"/>
      <c r="AB4048" s="73"/>
    </row>
    <row r="4049">
      <c r="A4049" s="73"/>
      <c r="B4049" s="73">
        <v>9395634.633</v>
      </c>
      <c r="C4049" s="73">
        <v>5.13400206219322E8</v>
      </c>
      <c r="D4049" s="73">
        <v>2.6625392327999E8</v>
      </c>
      <c r="E4049" s="73">
        <v>3.80052959219345E7</v>
      </c>
      <c r="F4049" s="73"/>
      <c r="G4049" s="73"/>
      <c r="H4049" s="73"/>
      <c r="I4049" s="73"/>
      <c r="J4049" s="73"/>
      <c r="K4049" s="73"/>
      <c r="L4049" s="73"/>
      <c r="M4049" s="73"/>
      <c r="N4049" s="73"/>
      <c r="O4049" s="73"/>
      <c r="P4049" s="73"/>
      <c r="Q4049" s="73"/>
      <c r="R4049" s="73"/>
      <c r="S4049" s="73"/>
      <c r="T4049" s="73"/>
      <c r="U4049" s="73"/>
      <c r="V4049" s="73"/>
      <c r="W4049" s="73"/>
      <c r="X4049" s="73"/>
      <c r="Y4049" s="73"/>
      <c r="Z4049" s="73"/>
      <c r="AA4049" s="73"/>
      <c r="AB4049" s="73"/>
    </row>
    <row r="4050">
      <c r="A4050" s="73"/>
      <c r="B4050" s="73">
        <v>9407644.964</v>
      </c>
      <c r="C4050" s="73">
        <v>5.13745429249733E8</v>
      </c>
      <c r="D4050" s="73">
        <v>2.66466971323998E8</v>
      </c>
      <c r="E4050" s="73">
        <v>3.80391958750806E7</v>
      </c>
      <c r="F4050" s="73"/>
      <c r="G4050" s="73"/>
      <c r="H4050" s="73"/>
      <c r="I4050" s="73"/>
      <c r="J4050" s="73"/>
      <c r="K4050" s="73"/>
      <c r="L4050" s="73"/>
      <c r="M4050" s="73"/>
      <c r="N4050" s="73"/>
      <c r="O4050" s="73"/>
      <c r="P4050" s="73"/>
      <c r="Q4050" s="73"/>
      <c r="R4050" s="73"/>
      <c r="S4050" s="73"/>
      <c r="T4050" s="73"/>
      <c r="U4050" s="73"/>
      <c r="V4050" s="73"/>
      <c r="W4050" s="73"/>
      <c r="X4050" s="73"/>
      <c r="Y4050" s="73"/>
      <c r="Z4050" s="73"/>
      <c r="AA4050" s="73"/>
      <c r="AB4050" s="73"/>
    </row>
    <row r="4051">
      <c r="A4051" s="73"/>
      <c r="B4051" s="73">
        <v>9419670.074</v>
      </c>
      <c r="C4051" s="73">
        <v>5.14090751160141E8</v>
      </c>
      <c r="D4051" s="73">
        <v>2.66680122823991E8</v>
      </c>
      <c r="E4051" s="73">
        <v>3.80731163260815E7</v>
      </c>
      <c r="F4051" s="73"/>
      <c r="G4051" s="73"/>
      <c r="H4051" s="73"/>
      <c r="I4051" s="73"/>
      <c r="J4051" s="73"/>
      <c r="K4051" s="73"/>
      <c r="L4051" s="73"/>
      <c r="M4051" s="73"/>
      <c r="N4051" s="73"/>
      <c r="O4051" s="73"/>
      <c r="P4051" s="73"/>
      <c r="Q4051" s="73"/>
      <c r="R4051" s="73"/>
      <c r="S4051" s="73"/>
      <c r="T4051" s="73"/>
      <c r="U4051" s="73"/>
      <c r="V4051" s="73"/>
      <c r="W4051" s="73"/>
      <c r="X4051" s="73"/>
      <c r="Y4051" s="73"/>
      <c r="Z4051" s="73"/>
      <c r="AA4051" s="73"/>
      <c r="AB4051" s="73"/>
    </row>
    <row r="4052">
      <c r="A4052" s="73"/>
      <c r="B4052" s="73">
        <v>9431710.17</v>
      </c>
      <c r="C4052" s="73">
        <v>5.14436270830544E8</v>
      </c>
      <c r="D4052" s="73">
        <v>2.66893397812E8</v>
      </c>
      <c r="E4052" s="73">
        <v>3.81070593101372E7</v>
      </c>
      <c r="F4052" s="73"/>
      <c r="G4052" s="73"/>
      <c r="H4052" s="73"/>
      <c r="I4052" s="73"/>
      <c r="J4052" s="73"/>
      <c r="K4052" s="73"/>
      <c r="L4052" s="73"/>
      <c r="M4052" s="73"/>
      <c r="N4052" s="73"/>
      <c r="O4052" s="73"/>
      <c r="P4052" s="73"/>
      <c r="Q4052" s="73"/>
      <c r="R4052" s="73"/>
      <c r="S4052" s="73"/>
      <c r="T4052" s="73"/>
      <c r="U4052" s="73"/>
      <c r="V4052" s="73"/>
      <c r="W4052" s="73"/>
      <c r="X4052" s="73"/>
      <c r="Y4052" s="73"/>
      <c r="Z4052" s="73"/>
      <c r="AA4052" s="73"/>
      <c r="AB4052" s="73"/>
    </row>
    <row r="4053">
      <c r="A4053" s="73"/>
      <c r="B4053" s="73">
        <v>9443765.077</v>
      </c>
      <c r="C4053" s="73">
        <v>5.14781922340942E8</v>
      </c>
      <c r="D4053" s="73">
        <v>2.67106796607993E8</v>
      </c>
      <c r="E4053" s="73">
        <v>3.81410214047199E7</v>
      </c>
      <c r="F4053" s="73"/>
      <c r="G4053" s="73"/>
      <c r="H4053" s="73"/>
      <c r="I4053" s="73"/>
      <c r="J4053" s="73"/>
      <c r="K4053" s="73"/>
      <c r="L4053" s="73"/>
      <c r="M4053" s="73"/>
      <c r="N4053" s="73"/>
      <c r="O4053" s="73"/>
      <c r="P4053" s="73"/>
      <c r="Q4053" s="73"/>
      <c r="R4053" s="73"/>
      <c r="S4053" s="73"/>
      <c r="T4053" s="73"/>
      <c r="U4053" s="73"/>
      <c r="V4053" s="73"/>
      <c r="W4053" s="73"/>
      <c r="X4053" s="73"/>
      <c r="Y4053" s="73"/>
      <c r="Z4053" s="73"/>
      <c r="AA4053" s="73"/>
      <c r="AB4053" s="73"/>
    </row>
    <row r="4054">
      <c r="A4054" s="73"/>
      <c r="B4054" s="73">
        <v>9455834.851</v>
      </c>
      <c r="C4054" s="73">
        <v>5.15127738651337E8</v>
      </c>
      <c r="D4054" s="73">
        <v>2.67320278076002E8</v>
      </c>
      <c r="E4054" s="73">
        <v>3.81750045059574E7</v>
      </c>
      <c r="F4054" s="73"/>
      <c r="G4054" s="73"/>
      <c r="H4054" s="73"/>
      <c r="I4054" s="73"/>
      <c r="J4054" s="73"/>
      <c r="K4054" s="73"/>
      <c r="L4054" s="73"/>
      <c r="M4054" s="73"/>
      <c r="N4054" s="73"/>
      <c r="O4054" s="73"/>
      <c r="P4054" s="73"/>
      <c r="Q4054" s="73"/>
      <c r="R4054" s="73"/>
      <c r="S4054" s="73"/>
      <c r="T4054" s="73"/>
      <c r="U4054" s="73"/>
      <c r="V4054" s="73"/>
      <c r="W4054" s="73"/>
      <c r="X4054" s="73"/>
      <c r="Y4054" s="73"/>
      <c r="Z4054" s="73"/>
      <c r="AA4054" s="73"/>
      <c r="AB4054" s="73"/>
    </row>
    <row r="4055">
      <c r="A4055" s="73"/>
      <c r="B4055" s="73">
        <v>9467919.257</v>
      </c>
      <c r="C4055" s="73">
        <v>5.15473653841728E8</v>
      </c>
      <c r="D4055" s="73">
        <v>2.67533883175995E8</v>
      </c>
      <c r="E4055" s="73">
        <v>3.82090072265219E7</v>
      </c>
      <c r="F4055" s="73"/>
      <c r="G4055" s="73"/>
      <c r="H4055" s="73"/>
      <c r="I4055" s="73"/>
      <c r="J4055" s="73"/>
      <c r="K4055" s="73"/>
      <c r="L4055" s="73"/>
      <c r="M4055" s="73"/>
      <c r="N4055" s="73"/>
      <c r="O4055" s="73"/>
      <c r="P4055" s="73"/>
      <c r="Q4055" s="73"/>
      <c r="R4055" s="73"/>
      <c r="S4055" s="73"/>
      <c r="T4055" s="73"/>
      <c r="U4055" s="73"/>
      <c r="V4055" s="73"/>
      <c r="W4055" s="73"/>
      <c r="X4055" s="73"/>
      <c r="Y4055" s="73"/>
      <c r="Z4055" s="73"/>
      <c r="AA4055" s="73"/>
      <c r="AB4055" s="73"/>
    </row>
    <row r="4056">
      <c r="A4056" s="73"/>
      <c r="B4056" s="73">
        <v>9480019.133</v>
      </c>
      <c r="C4056" s="73">
        <v>5.15819733832115E8</v>
      </c>
      <c r="D4056" s="73">
        <v>2.67747612228004E8</v>
      </c>
      <c r="E4056" s="73">
        <v>3.82430319713412E7</v>
      </c>
      <c r="F4056" s="73"/>
      <c r="G4056" s="73"/>
      <c r="H4056" s="73"/>
      <c r="I4056" s="73"/>
      <c r="J4056" s="73"/>
      <c r="K4056" s="73"/>
      <c r="L4056" s="73"/>
      <c r="M4056" s="73"/>
      <c r="N4056" s="73"/>
      <c r="O4056" s="73"/>
      <c r="P4056" s="73"/>
      <c r="Q4056" s="73"/>
      <c r="R4056" s="73"/>
      <c r="S4056" s="73"/>
      <c r="T4056" s="73"/>
      <c r="U4056" s="73"/>
      <c r="V4056" s="73"/>
      <c r="W4056" s="73"/>
      <c r="X4056" s="73"/>
      <c r="Y4056" s="73"/>
      <c r="Z4056" s="73"/>
      <c r="AA4056" s="73"/>
      <c r="AB4056" s="73"/>
    </row>
    <row r="4057">
      <c r="A4057" s="73"/>
      <c r="B4057" s="73">
        <v>9492133.511</v>
      </c>
      <c r="C4057" s="73">
        <v>5.16165945662498E8</v>
      </c>
      <c r="D4057" s="73">
        <v>2.67961423807997E8</v>
      </c>
      <c r="E4057" s="73">
        <v>3.82770763931514E7</v>
      </c>
      <c r="F4057" s="73"/>
      <c r="G4057" s="73"/>
      <c r="H4057" s="73"/>
      <c r="I4057" s="73"/>
      <c r="J4057" s="73"/>
      <c r="K4057" s="73"/>
      <c r="L4057" s="73"/>
      <c r="M4057" s="73"/>
      <c r="N4057" s="73"/>
      <c r="O4057" s="73"/>
      <c r="P4057" s="73"/>
      <c r="Q4057" s="73"/>
      <c r="R4057" s="73"/>
      <c r="S4057" s="73"/>
      <c r="T4057" s="73"/>
      <c r="U4057" s="73"/>
      <c r="V4057" s="73"/>
      <c r="W4057" s="73"/>
      <c r="X4057" s="73"/>
      <c r="Y4057" s="73"/>
      <c r="Z4057" s="73"/>
      <c r="AA4057" s="73"/>
      <c r="AB4057" s="73"/>
    </row>
    <row r="4058">
      <c r="A4058" s="73"/>
      <c r="B4058" s="73">
        <v>9504263.228</v>
      </c>
      <c r="C4058" s="73">
        <v>5.16512355252876E8</v>
      </c>
      <c r="D4058" s="73">
        <v>2.6817537967599E8</v>
      </c>
      <c r="E4058" s="73">
        <v>3.83111424423525E7</v>
      </c>
      <c r="F4058" s="73"/>
      <c r="G4058" s="73"/>
      <c r="H4058" s="73"/>
      <c r="I4058" s="73"/>
      <c r="J4058" s="73"/>
      <c r="K4058" s="73"/>
      <c r="L4058" s="73"/>
      <c r="M4058" s="73"/>
      <c r="N4058" s="73"/>
      <c r="O4058" s="73"/>
      <c r="P4058" s="73"/>
      <c r="Q4058" s="73"/>
      <c r="R4058" s="73"/>
      <c r="S4058" s="73"/>
      <c r="T4058" s="73"/>
      <c r="U4058" s="73"/>
      <c r="V4058" s="73"/>
      <c r="W4058" s="73"/>
      <c r="X4058" s="73"/>
      <c r="Y4058" s="73"/>
      <c r="Z4058" s="73"/>
      <c r="AA4058" s="73"/>
      <c r="AB4058" s="73"/>
    </row>
    <row r="4059">
      <c r="A4059" s="73"/>
      <c r="B4059" s="73">
        <v>9516407.609</v>
      </c>
      <c r="C4059" s="73">
        <v>5.1685889668325E8</v>
      </c>
      <c r="D4059" s="73">
        <v>2.68389418199999E8</v>
      </c>
      <c r="E4059" s="73">
        <v>3.83452283381444E7</v>
      </c>
      <c r="F4059" s="73"/>
      <c r="G4059" s="73"/>
      <c r="H4059" s="73"/>
      <c r="I4059" s="73"/>
      <c r="J4059" s="73"/>
      <c r="K4059" s="73"/>
      <c r="L4059" s="73"/>
      <c r="M4059" s="73"/>
      <c r="N4059" s="73"/>
      <c r="O4059" s="73"/>
      <c r="P4059" s="73"/>
      <c r="Q4059" s="73"/>
      <c r="R4059" s="73"/>
      <c r="S4059" s="73"/>
      <c r="T4059" s="73"/>
      <c r="U4059" s="73"/>
      <c r="V4059" s="73"/>
      <c r="W4059" s="73"/>
      <c r="X4059" s="73"/>
      <c r="Y4059" s="73"/>
      <c r="Z4059" s="73"/>
      <c r="AA4059" s="73"/>
      <c r="AB4059" s="73"/>
    </row>
    <row r="4060">
      <c r="A4060" s="73"/>
      <c r="B4060" s="73">
        <v>9528567.217</v>
      </c>
      <c r="C4060" s="73">
        <v>5.1720560291362E8</v>
      </c>
      <c r="D4060" s="73">
        <v>2.68603580531992E8</v>
      </c>
      <c r="E4060" s="73">
        <v>3.83793340805274E7</v>
      </c>
      <c r="F4060" s="73"/>
      <c r="G4060" s="73"/>
      <c r="H4060" s="73"/>
      <c r="I4060" s="73"/>
      <c r="J4060" s="73"/>
      <c r="K4060" s="73"/>
      <c r="L4060" s="73"/>
      <c r="M4060" s="73"/>
      <c r="N4060" s="73"/>
      <c r="O4060" s="73"/>
      <c r="P4060" s="73"/>
      <c r="Q4060" s="73"/>
      <c r="R4060" s="73"/>
      <c r="S4060" s="73"/>
      <c r="T4060" s="73"/>
      <c r="U4060" s="73"/>
      <c r="V4060" s="73"/>
      <c r="W4060" s="73"/>
      <c r="X4060" s="73"/>
      <c r="Y4060" s="73"/>
      <c r="Z4060" s="73"/>
      <c r="AA4060" s="73"/>
      <c r="AB4060" s="73"/>
    </row>
    <row r="4061">
      <c r="A4061" s="73"/>
      <c r="B4061" s="73">
        <v>9540741.729</v>
      </c>
      <c r="C4061" s="73">
        <v>5.17552375063988E8</v>
      </c>
      <c r="D4061" s="73">
        <v>2.68817846016001E8</v>
      </c>
      <c r="E4061" s="73">
        <v>3.84134621863651E7</v>
      </c>
      <c r="F4061" s="73"/>
      <c r="G4061" s="73"/>
      <c r="H4061" s="73"/>
      <c r="I4061" s="73"/>
      <c r="J4061" s="73"/>
      <c r="K4061" s="73"/>
      <c r="L4061" s="73"/>
      <c r="M4061" s="73"/>
      <c r="N4061" s="73"/>
      <c r="O4061" s="73"/>
      <c r="P4061" s="73"/>
      <c r="Q4061" s="73"/>
      <c r="R4061" s="73"/>
      <c r="S4061" s="73"/>
      <c r="T4061" s="73"/>
      <c r="U4061" s="73"/>
      <c r="V4061" s="73"/>
      <c r="W4061" s="73"/>
      <c r="X4061" s="73"/>
      <c r="Y4061" s="73"/>
      <c r="Z4061" s="73"/>
      <c r="AA4061" s="73"/>
      <c r="AB4061" s="73"/>
    </row>
    <row r="4062">
      <c r="A4062" s="73"/>
      <c r="B4062" s="73">
        <v>9552931.337</v>
      </c>
      <c r="C4062" s="73">
        <v>5.17899377934349E8</v>
      </c>
      <c r="D4062" s="73">
        <v>2.69032235307994E8</v>
      </c>
      <c r="E4062" s="73">
        <v>3.84476089787298E7</v>
      </c>
      <c r="F4062" s="73"/>
      <c r="G4062" s="73"/>
      <c r="H4062" s="73"/>
      <c r="I4062" s="73"/>
      <c r="J4062" s="73"/>
      <c r="K4062" s="73"/>
      <c r="L4062" s="73"/>
      <c r="M4062" s="73"/>
      <c r="N4062" s="73"/>
      <c r="O4062" s="73"/>
      <c r="P4062" s="73"/>
      <c r="Q4062" s="73"/>
      <c r="R4062" s="73"/>
      <c r="S4062" s="73"/>
      <c r="T4062" s="73"/>
      <c r="U4062" s="73"/>
      <c r="V4062" s="73"/>
      <c r="W4062" s="73"/>
      <c r="X4062" s="73"/>
      <c r="Y4062" s="73"/>
      <c r="Z4062" s="73"/>
      <c r="AA4062" s="73"/>
      <c r="AB4062" s="73"/>
    </row>
    <row r="4063">
      <c r="A4063" s="73"/>
      <c r="B4063" s="73">
        <v>9565136.076</v>
      </c>
      <c r="C4063" s="73">
        <v>5.18246479684708E8</v>
      </c>
      <c r="D4063" s="73">
        <v>2.69246727736002E8</v>
      </c>
      <c r="E4063" s="73">
        <v>3.84817783889493E7</v>
      </c>
      <c r="F4063" s="73"/>
      <c r="G4063" s="73"/>
      <c r="H4063" s="73"/>
      <c r="I4063" s="73"/>
      <c r="J4063" s="73"/>
      <c r="K4063" s="73"/>
      <c r="L4063" s="73"/>
      <c r="M4063" s="73"/>
      <c r="N4063" s="73"/>
      <c r="O4063" s="73"/>
      <c r="P4063" s="73"/>
      <c r="Q4063" s="73"/>
      <c r="R4063" s="73"/>
      <c r="S4063" s="73"/>
      <c r="T4063" s="73"/>
      <c r="U4063" s="73"/>
      <c r="V4063" s="73"/>
      <c r="W4063" s="73"/>
      <c r="X4063" s="73"/>
      <c r="Y4063" s="73"/>
      <c r="Z4063" s="73"/>
      <c r="AA4063" s="73"/>
      <c r="AB4063" s="73"/>
    </row>
    <row r="4064">
      <c r="A4064" s="73"/>
      <c r="B4064" s="73">
        <v>9577355.661</v>
      </c>
      <c r="C4064" s="73">
        <v>5.18593779195061E8</v>
      </c>
      <c r="D4064" s="73">
        <v>2.69461323347996E8</v>
      </c>
      <c r="E4064" s="73">
        <v>3.85159673065597E7</v>
      </c>
      <c r="F4064" s="73"/>
      <c r="G4064" s="73"/>
      <c r="H4064" s="73"/>
      <c r="I4064" s="73"/>
      <c r="J4064" s="73"/>
      <c r="K4064" s="73"/>
      <c r="L4064" s="73"/>
      <c r="M4064" s="73"/>
      <c r="N4064" s="73"/>
      <c r="O4064" s="73"/>
      <c r="P4064" s="73"/>
      <c r="Q4064" s="73"/>
      <c r="R4064" s="73"/>
      <c r="S4064" s="73"/>
      <c r="T4064" s="73"/>
      <c r="U4064" s="73"/>
      <c r="V4064" s="73"/>
      <c r="W4064" s="73"/>
      <c r="X4064" s="73"/>
      <c r="Y4064" s="73"/>
      <c r="Z4064" s="73"/>
      <c r="AA4064" s="73"/>
      <c r="AB4064" s="73"/>
    </row>
    <row r="4065">
      <c r="A4065" s="73"/>
      <c r="B4065" s="73">
        <v>9589590.585</v>
      </c>
      <c r="C4065" s="73">
        <v>5.18941177585411E8</v>
      </c>
      <c r="D4065" s="73">
        <v>2.69676042735989E8</v>
      </c>
      <c r="E4065" s="73">
        <v>3.8550177681961E7</v>
      </c>
      <c r="F4065" s="73"/>
      <c r="G4065" s="73"/>
      <c r="H4065" s="73"/>
      <c r="I4065" s="73"/>
      <c r="J4065" s="73"/>
      <c r="K4065" s="73"/>
      <c r="L4065" s="73"/>
      <c r="M4065" s="73"/>
      <c r="N4065" s="73"/>
      <c r="O4065" s="73"/>
      <c r="P4065" s="73"/>
      <c r="Q4065" s="73"/>
      <c r="R4065" s="73"/>
      <c r="S4065" s="73"/>
      <c r="T4065" s="73"/>
      <c r="U4065" s="73"/>
      <c r="V4065" s="73"/>
      <c r="W4065" s="73"/>
      <c r="X4065" s="73"/>
      <c r="Y4065" s="73"/>
      <c r="Z4065" s="73"/>
      <c r="AA4065" s="73"/>
      <c r="AB4065" s="73"/>
    </row>
    <row r="4066">
      <c r="A4066" s="73"/>
      <c r="B4066" s="73">
        <v>9601840.472</v>
      </c>
      <c r="C4066" s="73">
        <v>5.19288740775757E8</v>
      </c>
      <c r="D4066" s="73">
        <v>2.69890865307998E8</v>
      </c>
      <c r="E4066" s="73">
        <v>3.85844074799532E7</v>
      </c>
      <c r="F4066" s="73"/>
      <c r="G4066" s="73"/>
      <c r="H4066" s="73"/>
      <c r="I4066" s="73"/>
      <c r="J4066" s="73"/>
      <c r="K4066" s="73"/>
      <c r="L4066" s="73"/>
      <c r="M4066" s="73"/>
      <c r="N4066" s="73"/>
      <c r="O4066" s="73"/>
      <c r="P4066" s="73"/>
      <c r="Q4066" s="73"/>
      <c r="R4066" s="73"/>
      <c r="S4066" s="73"/>
      <c r="T4066" s="73"/>
      <c r="U4066" s="73"/>
      <c r="V4066" s="73"/>
      <c r="W4066" s="73"/>
      <c r="X4066" s="73"/>
      <c r="Y4066" s="73"/>
      <c r="Z4066" s="73"/>
      <c r="AA4066" s="73"/>
      <c r="AB4066" s="73"/>
    </row>
    <row r="4067">
      <c r="A4067" s="73"/>
      <c r="B4067" s="73">
        <v>9614105.986</v>
      </c>
      <c r="C4067" s="73">
        <v>5.19636435806099E8</v>
      </c>
      <c r="D4067" s="73">
        <v>2.70105811655991E8</v>
      </c>
      <c r="E4067" s="73">
        <v>3.86186595566002E7</v>
      </c>
      <c r="F4067" s="73"/>
      <c r="G4067" s="73"/>
      <c r="H4067" s="73"/>
      <c r="I4067" s="73"/>
      <c r="J4067" s="73"/>
      <c r="K4067" s="73"/>
      <c r="L4067" s="73"/>
      <c r="M4067" s="73"/>
      <c r="N4067" s="73"/>
      <c r="O4067" s="73"/>
      <c r="P4067" s="73"/>
      <c r="Q4067" s="73"/>
      <c r="R4067" s="73"/>
      <c r="S4067" s="73"/>
      <c r="T4067" s="73"/>
      <c r="U4067" s="73"/>
      <c r="V4067" s="73"/>
      <c r="W4067" s="73"/>
      <c r="X4067" s="73"/>
      <c r="Y4067" s="73"/>
      <c r="Z4067" s="73"/>
      <c r="AA4067" s="73"/>
      <c r="AB4067" s="73"/>
    </row>
    <row r="4068">
      <c r="A4068" s="73"/>
      <c r="B4068" s="73">
        <v>9626385.99</v>
      </c>
      <c r="C4068" s="73">
        <v>5.19984262676437E8</v>
      </c>
      <c r="D4068" s="73">
        <v>2.70320861011999E8</v>
      </c>
      <c r="E4068" s="73">
        <v>3.86529307437742E7</v>
      </c>
      <c r="F4068" s="73"/>
      <c r="G4068" s="73"/>
      <c r="H4068" s="73"/>
      <c r="I4068" s="73"/>
      <c r="J4068" s="73"/>
      <c r="K4068" s="73"/>
      <c r="L4068" s="73"/>
      <c r="M4068" s="73"/>
      <c r="N4068" s="73"/>
      <c r="O4068" s="73"/>
      <c r="P4068" s="73"/>
      <c r="Q4068" s="73"/>
      <c r="R4068" s="73"/>
      <c r="S4068" s="73"/>
      <c r="T4068" s="73"/>
      <c r="U4068" s="73"/>
      <c r="V4068" s="73"/>
      <c r="W4068" s="73"/>
      <c r="X4068" s="73"/>
      <c r="Y4068" s="73"/>
      <c r="Z4068" s="73"/>
      <c r="AA4068" s="73"/>
      <c r="AB4068" s="73"/>
    </row>
    <row r="4069">
      <c r="A4069" s="73"/>
      <c r="B4069" s="73">
        <v>9638681.567</v>
      </c>
      <c r="C4069" s="73">
        <v>5.2033228730677E8</v>
      </c>
      <c r="D4069" s="73">
        <v>2.70536013983993E8</v>
      </c>
      <c r="E4069" s="73">
        <v>3.8687223616003E7</v>
      </c>
      <c r="F4069" s="73"/>
      <c r="G4069" s="73"/>
      <c r="H4069" s="73"/>
      <c r="I4069" s="73"/>
      <c r="J4069" s="73"/>
      <c r="K4069" s="73"/>
      <c r="L4069" s="73"/>
      <c r="M4069" s="73"/>
      <c r="N4069" s="73"/>
      <c r="O4069" s="73"/>
      <c r="P4069" s="73"/>
      <c r="Q4069" s="73"/>
      <c r="R4069" s="73"/>
      <c r="S4069" s="73"/>
      <c r="T4069" s="73"/>
      <c r="U4069" s="73"/>
      <c r="V4069" s="73"/>
      <c r="W4069" s="73"/>
      <c r="X4069" s="73"/>
      <c r="Y4069" s="73"/>
      <c r="Z4069" s="73"/>
      <c r="AA4069" s="73"/>
      <c r="AB4069" s="73"/>
    </row>
    <row r="4070">
      <c r="A4070" s="73"/>
      <c r="B4070" s="73">
        <v>9650992.111</v>
      </c>
      <c r="C4070" s="73">
        <v>5.206804437771E8</v>
      </c>
      <c r="D4070" s="73">
        <v>2.70751290300001E8</v>
      </c>
      <c r="E4070" s="73">
        <v>3.87215356835588E7</v>
      </c>
      <c r="F4070" s="73"/>
      <c r="G4070" s="73"/>
      <c r="H4070" s="73"/>
      <c r="I4070" s="73"/>
      <c r="J4070" s="73"/>
      <c r="K4070" s="73"/>
      <c r="L4070" s="73"/>
      <c r="M4070" s="73"/>
      <c r="N4070" s="73"/>
      <c r="O4070" s="73"/>
      <c r="P4070" s="73"/>
      <c r="Q4070" s="73"/>
      <c r="R4070" s="73"/>
      <c r="S4070" s="73"/>
      <c r="T4070" s="73"/>
      <c r="U4070" s="73"/>
      <c r="V4070" s="73"/>
      <c r="W4070" s="73"/>
      <c r="X4070" s="73"/>
      <c r="Y4070" s="73"/>
      <c r="Z4070" s="73"/>
      <c r="AA4070" s="73"/>
      <c r="AB4070" s="73"/>
    </row>
    <row r="4071">
      <c r="A4071" s="73"/>
      <c r="B4071" s="73">
        <v>9663317.955</v>
      </c>
      <c r="C4071" s="73">
        <v>5.21028699127426E8</v>
      </c>
      <c r="D4071" s="73">
        <v>2.70966670071995E8</v>
      </c>
      <c r="E4071" s="73">
        <v>3.87558715290333E7</v>
      </c>
      <c r="F4071" s="73"/>
      <c r="G4071" s="73"/>
      <c r="H4071" s="73"/>
      <c r="I4071" s="73"/>
      <c r="J4071" s="73"/>
      <c r="K4071" s="73"/>
      <c r="L4071" s="73"/>
      <c r="M4071" s="73"/>
      <c r="N4071" s="73"/>
      <c r="O4071" s="73"/>
      <c r="P4071" s="73"/>
      <c r="Q4071" s="73"/>
      <c r="R4071" s="73"/>
      <c r="S4071" s="73"/>
      <c r="T4071" s="73"/>
      <c r="U4071" s="73"/>
      <c r="V4071" s="73"/>
      <c r="W4071" s="73"/>
      <c r="X4071" s="73"/>
      <c r="Y4071" s="73"/>
      <c r="Z4071" s="73"/>
      <c r="AA4071" s="73"/>
      <c r="AB4071" s="73"/>
    </row>
    <row r="4072">
      <c r="A4072" s="73"/>
      <c r="B4072" s="73">
        <v>9675659.131</v>
      </c>
      <c r="C4072" s="73">
        <v>5.21377185197746E8</v>
      </c>
      <c r="D4072" s="73">
        <v>2.71182152868003E8</v>
      </c>
      <c r="E4072" s="73">
        <v>3.87902256370348E7</v>
      </c>
      <c r="F4072" s="73"/>
      <c r="G4072" s="73"/>
      <c r="H4072" s="73"/>
      <c r="I4072" s="73"/>
      <c r="J4072" s="73"/>
      <c r="K4072" s="73"/>
      <c r="L4072" s="73"/>
      <c r="M4072" s="73"/>
      <c r="N4072" s="73"/>
      <c r="O4072" s="73"/>
      <c r="P4072" s="73"/>
      <c r="Q4072" s="73"/>
      <c r="R4072" s="73"/>
      <c r="S4072" s="73"/>
      <c r="T4072" s="73"/>
      <c r="U4072" s="73"/>
      <c r="V4072" s="73"/>
      <c r="W4072" s="73"/>
      <c r="X4072" s="73"/>
      <c r="Y4072" s="73"/>
      <c r="Z4072" s="73"/>
      <c r="AA4072" s="73"/>
      <c r="AB4072" s="73"/>
    </row>
    <row r="4073">
      <c r="A4073" s="73"/>
      <c r="B4073" s="73">
        <v>9688015.643</v>
      </c>
      <c r="C4073" s="73">
        <v>5.21725770148064E8</v>
      </c>
      <c r="D4073" s="73">
        <v>2.71397759599996E8</v>
      </c>
      <c r="E4073" s="73">
        <v>3.88246007788272E7</v>
      </c>
      <c r="F4073" s="73"/>
      <c r="G4073" s="73"/>
      <c r="H4073" s="73"/>
      <c r="I4073" s="73"/>
      <c r="J4073" s="73"/>
      <c r="K4073" s="73"/>
      <c r="L4073" s="73"/>
      <c r="M4073" s="73"/>
      <c r="N4073" s="73"/>
      <c r="O4073" s="73"/>
      <c r="P4073" s="73"/>
      <c r="Q4073" s="73"/>
      <c r="R4073" s="73"/>
      <c r="S4073" s="73"/>
      <c r="T4073" s="73"/>
      <c r="U4073" s="73"/>
      <c r="V4073" s="73"/>
      <c r="W4073" s="73"/>
      <c r="X4073" s="73"/>
      <c r="Y4073" s="73"/>
      <c r="Z4073" s="73"/>
      <c r="AA4073" s="73"/>
      <c r="AB4073" s="73"/>
    </row>
    <row r="4074">
      <c r="A4074" s="73"/>
      <c r="B4074" s="73">
        <v>9700386.954</v>
      </c>
      <c r="C4074" s="73">
        <v>5.22074486938377E8</v>
      </c>
      <c r="D4074" s="73">
        <v>2.7161346933999E8</v>
      </c>
      <c r="E4074" s="73">
        <v>3.88589960216105E7</v>
      </c>
      <c r="F4074" s="73"/>
      <c r="G4074" s="73"/>
      <c r="H4074" s="73"/>
      <c r="I4074" s="73"/>
      <c r="J4074" s="73"/>
      <c r="K4074" s="73"/>
      <c r="L4074" s="73"/>
      <c r="M4074" s="73"/>
      <c r="N4074" s="73"/>
      <c r="O4074" s="73"/>
      <c r="P4074" s="73"/>
      <c r="Q4074" s="73"/>
      <c r="R4074" s="73"/>
      <c r="S4074" s="73"/>
      <c r="T4074" s="73"/>
      <c r="U4074" s="73"/>
      <c r="V4074" s="73"/>
      <c r="W4074" s="73"/>
      <c r="X4074" s="73"/>
      <c r="Y4074" s="73"/>
      <c r="Z4074" s="73"/>
      <c r="AA4074" s="73"/>
      <c r="AB4074" s="73"/>
    </row>
    <row r="4075">
      <c r="A4075" s="73"/>
      <c r="B4075" s="73">
        <v>9712773.995</v>
      </c>
      <c r="C4075" s="73">
        <v>5.22423401488686E8</v>
      </c>
      <c r="D4075" s="73">
        <v>2.71829302871998E8</v>
      </c>
      <c r="E4075" s="73">
        <v>3.88934120437846E7</v>
      </c>
      <c r="F4075" s="73"/>
      <c r="G4075" s="73"/>
      <c r="H4075" s="73"/>
      <c r="I4075" s="73"/>
      <c r="J4075" s="73"/>
      <c r="K4075" s="73"/>
      <c r="L4075" s="73"/>
      <c r="M4075" s="73"/>
      <c r="N4075" s="73"/>
      <c r="O4075" s="73"/>
      <c r="P4075" s="73"/>
      <c r="Q4075" s="73"/>
      <c r="R4075" s="73"/>
      <c r="S4075" s="73"/>
      <c r="T4075" s="73"/>
      <c r="U4075" s="73"/>
      <c r="V4075" s="73"/>
      <c r="W4075" s="73"/>
      <c r="X4075" s="73"/>
      <c r="Y4075" s="73"/>
      <c r="Z4075" s="73"/>
      <c r="AA4075" s="73"/>
      <c r="AB4075" s="73"/>
    </row>
    <row r="4076">
      <c r="A4076" s="73"/>
      <c r="B4076" s="73">
        <v>9725176.0</v>
      </c>
      <c r="C4076" s="73">
        <v>5.22772414918991E8</v>
      </c>
      <c r="D4076" s="73">
        <v>2.72045219235991E8</v>
      </c>
      <c r="E4076" s="73">
        <v>3.89278506566776E7</v>
      </c>
      <c r="F4076" s="73"/>
      <c r="G4076" s="73"/>
      <c r="H4076" s="73"/>
      <c r="I4076" s="73"/>
      <c r="J4076" s="73"/>
      <c r="K4076" s="73"/>
      <c r="L4076" s="73"/>
      <c r="M4076" s="73"/>
      <c r="N4076" s="73"/>
      <c r="O4076" s="73"/>
      <c r="P4076" s="73"/>
      <c r="Q4076" s="73"/>
      <c r="R4076" s="73"/>
      <c r="S4076" s="73"/>
      <c r="T4076" s="73"/>
      <c r="U4076" s="73"/>
      <c r="V4076" s="73"/>
      <c r="W4076" s="73"/>
      <c r="X4076" s="73"/>
      <c r="Y4076" s="73"/>
      <c r="Z4076" s="73"/>
      <c r="AA4076" s="73"/>
      <c r="AB4076" s="73"/>
    </row>
    <row r="4077">
      <c r="A4077" s="73"/>
      <c r="B4077" s="73">
        <v>9737593.61</v>
      </c>
      <c r="C4077" s="73">
        <v>5.23121626109291E8</v>
      </c>
      <c r="D4077" s="73">
        <v>2.72261279568E8</v>
      </c>
      <c r="E4077" s="73">
        <v>3.89623078136335E7</v>
      </c>
      <c r="F4077" s="73"/>
      <c r="G4077" s="73"/>
      <c r="H4077" s="73"/>
      <c r="I4077" s="73"/>
      <c r="J4077" s="73"/>
      <c r="K4077" s="73"/>
      <c r="L4077" s="73"/>
      <c r="M4077" s="73"/>
      <c r="N4077" s="73"/>
      <c r="O4077" s="73"/>
      <c r="P4077" s="73"/>
      <c r="Q4077" s="73"/>
      <c r="R4077" s="73"/>
      <c r="S4077" s="73"/>
      <c r="T4077" s="73"/>
      <c r="U4077" s="73"/>
      <c r="V4077" s="73"/>
      <c r="W4077" s="73"/>
      <c r="X4077" s="73"/>
      <c r="Y4077" s="73"/>
      <c r="Z4077" s="73"/>
      <c r="AA4077" s="73"/>
      <c r="AB4077" s="73"/>
    </row>
    <row r="4078">
      <c r="A4078" s="73"/>
      <c r="B4078" s="73">
        <v>9750026.47</v>
      </c>
      <c r="C4078" s="73">
        <v>5.23470903219589E8</v>
      </c>
      <c r="D4078" s="73">
        <v>2.72477443371993E8</v>
      </c>
      <c r="E4078" s="73">
        <v>3.89967869100443E7</v>
      </c>
      <c r="F4078" s="73"/>
      <c r="G4078" s="73"/>
      <c r="H4078" s="73"/>
      <c r="I4078" s="73"/>
      <c r="J4078" s="73"/>
      <c r="K4078" s="73"/>
      <c r="L4078" s="73"/>
      <c r="M4078" s="73"/>
      <c r="N4078" s="73"/>
      <c r="O4078" s="73"/>
      <c r="P4078" s="73"/>
      <c r="Q4078" s="73"/>
      <c r="R4078" s="73"/>
      <c r="S4078" s="73"/>
      <c r="T4078" s="73"/>
      <c r="U4078" s="73"/>
      <c r="V4078" s="73"/>
      <c r="W4078" s="73"/>
      <c r="X4078" s="73"/>
      <c r="Y4078" s="73"/>
      <c r="Z4078" s="73"/>
      <c r="AA4078" s="73"/>
      <c r="AB4078" s="73"/>
    </row>
    <row r="4079">
      <c r="A4079" s="73"/>
      <c r="B4079" s="73">
        <v>9762474.589</v>
      </c>
      <c r="C4079" s="73">
        <v>5.23820378089882E8</v>
      </c>
      <c r="D4079" s="73">
        <v>2.72693710184002E8</v>
      </c>
      <c r="E4079" s="73">
        <v>3.9031286022646E7</v>
      </c>
      <c r="F4079" s="73"/>
      <c r="G4079" s="73"/>
      <c r="H4079" s="73"/>
      <c r="I4079" s="73"/>
      <c r="J4079" s="73"/>
      <c r="K4079" s="73"/>
      <c r="L4079" s="73"/>
      <c r="M4079" s="73"/>
      <c r="N4079" s="73"/>
      <c r="O4079" s="73"/>
      <c r="P4079" s="73"/>
      <c r="Q4079" s="73"/>
      <c r="R4079" s="73"/>
      <c r="S4079" s="73"/>
      <c r="T4079" s="73"/>
      <c r="U4079" s="73"/>
      <c r="V4079" s="73"/>
      <c r="W4079" s="73"/>
      <c r="X4079" s="73"/>
      <c r="Y4079" s="73"/>
      <c r="Z4079" s="73"/>
      <c r="AA4079" s="73"/>
      <c r="AB4079" s="73"/>
    </row>
    <row r="4080">
      <c r="A4080" s="73"/>
      <c r="B4080" s="73">
        <v>9774937.941</v>
      </c>
      <c r="C4080" s="73">
        <v>5.2417001776017E8</v>
      </c>
      <c r="D4080" s="73">
        <v>2.72910080451995E8</v>
      </c>
      <c r="E4080" s="73">
        <v>3.90658068203025E7</v>
      </c>
      <c r="F4080" s="73"/>
      <c r="G4080" s="73"/>
      <c r="H4080" s="73"/>
      <c r="I4080" s="73"/>
      <c r="J4080" s="73"/>
      <c r="K4080" s="73"/>
      <c r="L4080" s="73"/>
      <c r="M4080" s="73"/>
      <c r="N4080" s="73"/>
      <c r="O4080" s="73"/>
      <c r="P4080" s="73"/>
      <c r="Q4080" s="73"/>
      <c r="R4080" s="73"/>
      <c r="S4080" s="73"/>
      <c r="T4080" s="73"/>
      <c r="U4080" s="73"/>
      <c r="V4080" s="73"/>
      <c r="W4080" s="73"/>
      <c r="X4080" s="73"/>
      <c r="Y4080" s="73"/>
      <c r="Z4080" s="73"/>
      <c r="AA4080" s="73"/>
      <c r="AB4080" s="73"/>
    </row>
    <row r="4081">
      <c r="A4081" s="73"/>
      <c r="B4081" s="73">
        <v>9787416.887</v>
      </c>
      <c r="C4081" s="73">
        <v>5.24519789270454E8</v>
      </c>
      <c r="D4081" s="73">
        <v>2.73126574224004E8</v>
      </c>
      <c r="E4081" s="73">
        <v>3.9100347067686E7</v>
      </c>
      <c r="F4081" s="73"/>
      <c r="G4081" s="73"/>
      <c r="H4081" s="73"/>
      <c r="I4081" s="73"/>
      <c r="J4081" s="73"/>
      <c r="K4081" s="73"/>
      <c r="L4081" s="73"/>
      <c r="M4081" s="73"/>
      <c r="N4081" s="73"/>
      <c r="O4081" s="73"/>
      <c r="P4081" s="73"/>
      <c r="Q4081" s="73"/>
      <c r="R4081" s="73"/>
      <c r="S4081" s="73"/>
      <c r="T4081" s="73"/>
      <c r="U4081" s="73"/>
      <c r="V4081" s="73"/>
      <c r="W4081" s="73"/>
      <c r="X4081" s="73"/>
      <c r="Y4081" s="73"/>
      <c r="Z4081" s="73"/>
      <c r="AA4081" s="73"/>
      <c r="AB4081" s="73"/>
    </row>
    <row r="4082">
      <c r="A4082" s="73"/>
      <c r="B4082" s="73">
        <v>9799911.13</v>
      </c>
      <c r="C4082" s="73">
        <v>5.24869692620735E8</v>
      </c>
      <c r="D4082" s="73">
        <v>2.73343191771997E8</v>
      </c>
      <c r="E4082" s="73">
        <v>3.91349100177242E7</v>
      </c>
      <c r="F4082" s="73"/>
      <c r="G4082" s="73"/>
      <c r="H4082" s="73"/>
      <c r="I4082" s="73"/>
      <c r="J4082" s="73"/>
      <c r="K4082" s="73"/>
      <c r="L4082" s="73"/>
      <c r="M4082" s="73"/>
      <c r="N4082" s="73"/>
      <c r="O4082" s="73"/>
      <c r="P4082" s="73"/>
      <c r="Q4082" s="73"/>
      <c r="R4082" s="73"/>
      <c r="S4082" s="73"/>
      <c r="T4082" s="73"/>
      <c r="U4082" s="73"/>
      <c r="V4082" s="73"/>
      <c r="W4082" s="73"/>
      <c r="X4082" s="73"/>
      <c r="Y4082" s="73"/>
      <c r="Z4082" s="73"/>
      <c r="AA4082" s="73"/>
      <c r="AB4082" s="73"/>
    </row>
    <row r="4083">
      <c r="A4083" s="73"/>
      <c r="B4083" s="73">
        <v>9812420.87</v>
      </c>
      <c r="C4083" s="73">
        <v>5.25219760771011E8</v>
      </c>
      <c r="D4083" s="73">
        <v>2.7355991248799E8</v>
      </c>
      <c r="E4083" s="73">
        <v>3.91694902126895E7</v>
      </c>
      <c r="F4083" s="73"/>
      <c r="G4083" s="73"/>
      <c r="H4083" s="73"/>
      <c r="I4083" s="73"/>
      <c r="J4083" s="73"/>
      <c r="K4083" s="73"/>
      <c r="L4083" s="73"/>
      <c r="M4083" s="73"/>
      <c r="N4083" s="73"/>
      <c r="O4083" s="73"/>
      <c r="P4083" s="73"/>
      <c r="Q4083" s="73"/>
      <c r="R4083" s="73"/>
      <c r="S4083" s="73"/>
      <c r="T4083" s="73"/>
      <c r="U4083" s="73"/>
      <c r="V4083" s="73"/>
      <c r="W4083" s="73"/>
      <c r="X4083" s="73"/>
      <c r="Y4083" s="73"/>
      <c r="Z4083" s="73"/>
      <c r="AA4083" s="73"/>
      <c r="AB4083" s="73"/>
    </row>
    <row r="4084">
      <c r="A4084" s="73"/>
      <c r="B4084" s="73">
        <v>9824946.05</v>
      </c>
      <c r="C4084" s="73">
        <v>5.25569993721283E8</v>
      </c>
      <c r="D4084" s="73">
        <v>2.73776736515999E8</v>
      </c>
      <c r="E4084" s="73">
        <v>3.92040937039096E7</v>
      </c>
      <c r="F4084" s="73"/>
      <c r="G4084" s="73"/>
      <c r="H4084" s="73"/>
      <c r="I4084" s="73"/>
      <c r="J4084" s="73"/>
      <c r="K4084" s="73"/>
      <c r="L4084" s="73"/>
      <c r="M4084" s="73"/>
      <c r="N4084" s="73"/>
      <c r="O4084" s="73"/>
      <c r="P4084" s="73"/>
      <c r="Q4084" s="73"/>
      <c r="R4084" s="73"/>
      <c r="S4084" s="73"/>
      <c r="T4084" s="73"/>
      <c r="U4084" s="73"/>
      <c r="V4084" s="73"/>
      <c r="W4084" s="73"/>
      <c r="X4084" s="73"/>
      <c r="Y4084" s="73"/>
      <c r="Z4084" s="73"/>
      <c r="AA4084" s="73"/>
      <c r="AB4084" s="73"/>
    </row>
    <row r="4085">
      <c r="A4085" s="73"/>
      <c r="B4085" s="73">
        <v>9837486.372</v>
      </c>
      <c r="C4085" s="73">
        <v>5.25920358511551E8</v>
      </c>
      <c r="D4085" s="73">
        <v>2.73993663711992E8</v>
      </c>
      <c r="E4085" s="73">
        <v>3.92387179745205E7</v>
      </c>
      <c r="F4085" s="73"/>
      <c r="G4085" s="73"/>
      <c r="H4085" s="73"/>
      <c r="I4085" s="73"/>
      <c r="J4085" s="73"/>
      <c r="K4085" s="73"/>
      <c r="L4085" s="73"/>
      <c r="M4085" s="73"/>
      <c r="N4085" s="73"/>
      <c r="O4085" s="73"/>
      <c r="P4085" s="73"/>
      <c r="Q4085" s="73"/>
      <c r="R4085" s="73"/>
      <c r="S4085" s="73"/>
      <c r="T4085" s="73"/>
      <c r="U4085" s="73"/>
      <c r="V4085" s="73"/>
      <c r="W4085" s="73"/>
      <c r="X4085" s="73"/>
      <c r="Y4085" s="73"/>
      <c r="Z4085" s="73"/>
      <c r="AA4085" s="73"/>
      <c r="AB4085" s="73"/>
    </row>
    <row r="4086">
      <c r="A4086" s="73"/>
      <c r="B4086" s="73">
        <v>9850042.676</v>
      </c>
      <c r="C4086" s="73">
        <v>5.26270855141815E8</v>
      </c>
      <c r="D4086" s="73">
        <v>2.74210735020001E8</v>
      </c>
      <c r="E4086" s="73">
        <v>3.92733618373223E7</v>
      </c>
      <c r="F4086" s="73"/>
      <c r="G4086" s="73"/>
      <c r="H4086" s="73"/>
      <c r="I4086" s="73"/>
      <c r="J4086" s="73"/>
      <c r="K4086" s="73"/>
      <c r="L4086" s="73"/>
      <c r="M4086" s="73"/>
      <c r="N4086" s="73"/>
      <c r="O4086" s="73"/>
      <c r="P4086" s="73"/>
      <c r="Q4086" s="73"/>
      <c r="R4086" s="73"/>
      <c r="S4086" s="73"/>
      <c r="T4086" s="73"/>
      <c r="U4086" s="73"/>
      <c r="V4086" s="73"/>
      <c r="W4086" s="73"/>
      <c r="X4086" s="73"/>
      <c r="Y4086" s="73"/>
      <c r="Z4086" s="73"/>
      <c r="AA4086" s="73"/>
      <c r="AB4086" s="73"/>
    </row>
    <row r="4087">
      <c r="A4087" s="73"/>
      <c r="B4087" s="73">
        <v>9862614.155</v>
      </c>
      <c r="C4087" s="73">
        <v>5.26621450652077E8</v>
      </c>
      <c r="D4087" s="73">
        <v>2.74427889319994E8</v>
      </c>
      <c r="E4087" s="73">
        <v>3.93080266491151E7</v>
      </c>
      <c r="F4087" s="73"/>
      <c r="G4087" s="73"/>
      <c r="H4087" s="73"/>
      <c r="I4087" s="73"/>
      <c r="J4087" s="73"/>
      <c r="K4087" s="73"/>
      <c r="L4087" s="73"/>
      <c r="M4087" s="73"/>
      <c r="N4087" s="73"/>
      <c r="O4087" s="73"/>
      <c r="P4087" s="73"/>
      <c r="Q4087" s="73"/>
      <c r="R4087" s="73"/>
      <c r="S4087" s="73"/>
      <c r="T4087" s="73"/>
      <c r="U4087" s="73"/>
      <c r="V4087" s="73"/>
      <c r="W4087" s="73"/>
      <c r="X4087" s="73"/>
      <c r="Y4087" s="73"/>
      <c r="Z4087" s="73"/>
      <c r="AA4087" s="73"/>
      <c r="AB4087" s="73"/>
    </row>
    <row r="4088">
      <c r="A4088" s="73"/>
      <c r="B4088" s="73">
        <v>9875201.239</v>
      </c>
      <c r="C4088" s="73">
        <v>5.26972309842331E8</v>
      </c>
      <c r="D4088" s="73">
        <v>2.74645167252002E8</v>
      </c>
      <c r="E4088" s="73">
        <v>3.93427136547626E7</v>
      </c>
      <c r="F4088" s="73"/>
      <c r="G4088" s="73"/>
      <c r="H4088" s="73"/>
      <c r="I4088" s="73"/>
      <c r="J4088" s="73"/>
      <c r="K4088" s="73"/>
      <c r="L4088" s="73"/>
      <c r="M4088" s="73"/>
      <c r="N4088" s="73"/>
      <c r="O4088" s="73"/>
      <c r="P4088" s="73"/>
      <c r="Q4088" s="73"/>
      <c r="R4088" s="73"/>
      <c r="S4088" s="73"/>
      <c r="T4088" s="73"/>
      <c r="U4088" s="73"/>
      <c r="V4088" s="73"/>
      <c r="W4088" s="73"/>
      <c r="X4088" s="73"/>
      <c r="Y4088" s="73"/>
      <c r="Z4088" s="73"/>
      <c r="AA4088" s="73"/>
      <c r="AB4088" s="73"/>
    </row>
    <row r="4089">
      <c r="A4089" s="73"/>
      <c r="B4089" s="73">
        <v>9887803.52</v>
      </c>
      <c r="C4089" s="73">
        <v>5.27323234952583E8</v>
      </c>
      <c r="D4089" s="73">
        <v>2.74862548191996E8</v>
      </c>
      <c r="E4089" s="73">
        <v>3.93774187533372E7</v>
      </c>
      <c r="F4089" s="73"/>
      <c r="G4089" s="73"/>
      <c r="H4089" s="73"/>
      <c r="I4089" s="73"/>
      <c r="J4089" s="73"/>
      <c r="K4089" s="73"/>
      <c r="L4089" s="73"/>
      <c r="M4089" s="73"/>
      <c r="N4089" s="73"/>
      <c r="O4089" s="73"/>
      <c r="P4089" s="73"/>
      <c r="Q4089" s="73"/>
      <c r="R4089" s="73"/>
      <c r="S4089" s="73"/>
      <c r="T4089" s="73"/>
      <c r="U4089" s="73"/>
      <c r="V4089" s="73"/>
      <c r="W4089" s="73"/>
      <c r="X4089" s="73"/>
      <c r="Y4089" s="73"/>
      <c r="Z4089" s="73"/>
      <c r="AA4089" s="73"/>
      <c r="AB4089" s="73"/>
    </row>
    <row r="4090">
      <c r="A4090" s="73"/>
      <c r="B4090" s="73">
        <v>9900421.629</v>
      </c>
      <c r="C4090" s="73">
        <v>5.2767435782283E8</v>
      </c>
      <c r="D4090" s="73">
        <v>2.75080053083989E8</v>
      </c>
      <c r="E4090" s="73">
        <v>3.94121474025665E7</v>
      </c>
      <c r="F4090" s="73"/>
      <c r="G4090" s="73"/>
      <c r="H4090" s="73"/>
      <c r="I4090" s="73"/>
      <c r="J4090" s="73"/>
      <c r="K4090" s="73"/>
      <c r="L4090" s="73"/>
      <c r="M4090" s="73"/>
      <c r="N4090" s="73"/>
      <c r="O4090" s="73"/>
      <c r="P4090" s="73"/>
      <c r="Q4090" s="73"/>
      <c r="R4090" s="73"/>
      <c r="S4090" s="73"/>
      <c r="T4090" s="73"/>
      <c r="U4090" s="73"/>
      <c r="V4090" s="73"/>
      <c r="W4090" s="73"/>
      <c r="X4090" s="73"/>
      <c r="Y4090" s="73"/>
      <c r="Z4090" s="73"/>
      <c r="AA4090" s="73"/>
      <c r="AB4090" s="73"/>
    </row>
    <row r="4091">
      <c r="A4091" s="73"/>
      <c r="B4091" s="73">
        <v>9913055.086</v>
      </c>
      <c r="C4091" s="73">
        <v>5.28025579573074E8</v>
      </c>
      <c r="D4091" s="73">
        <v>2.75297660983998E8</v>
      </c>
      <c r="E4091" s="73">
        <v>3.94468957287867E7</v>
      </c>
      <c r="F4091" s="73"/>
      <c r="G4091" s="73"/>
      <c r="H4091" s="73"/>
      <c r="I4091" s="73"/>
      <c r="J4091" s="73"/>
      <c r="K4091" s="73"/>
      <c r="L4091" s="73"/>
      <c r="M4091" s="73"/>
      <c r="N4091" s="73"/>
      <c r="O4091" s="73"/>
      <c r="P4091" s="73"/>
      <c r="Q4091" s="73"/>
      <c r="R4091" s="73"/>
      <c r="S4091" s="73"/>
      <c r="T4091" s="73"/>
      <c r="U4091" s="73"/>
      <c r="V4091" s="73"/>
      <c r="W4091" s="73"/>
      <c r="X4091" s="73"/>
      <c r="Y4091" s="73"/>
      <c r="Z4091" s="73"/>
      <c r="AA4091" s="73"/>
      <c r="AB4091" s="73"/>
    </row>
    <row r="4092">
      <c r="A4092" s="73"/>
      <c r="B4092" s="73">
        <v>9925704.344</v>
      </c>
      <c r="C4092" s="73">
        <v>5.28376999083313E8</v>
      </c>
      <c r="D4092" s="73">
        <v>2.75515372195991E8</v>
      </c>
      <c r="E4092" s="73">
        <v>3.94816644951978E7</v>
      </c>
      <c r="F4092" s="73"/>
      <c r="G4092" s="73"/>
      <c r="H4092" s="73"/>
      <c r="I4092" s="73"/>
      <c r="J4092" s="73"/>
      <c r="K4092" s="73"/>
      <c r="L4092" s="73"/>
      <c r="M4092" s="73"/>
      <c r="N4092" s="73"/>
      <c r="O4092" s="73"/>
      <c r="P4092" s="73"/>
      <c r="Q4092" s="73"/>
      <c r="R4092" s="73"/>
      <c r="S4092" s="73"/>
      <c r="T4092" s="73"/>
      <c r="U4092" s="73"/>
      <c r="V4092" s="73"/>
      <c r="W4092" s="73"/>
      <c r="X4092" s="73"/>
      <c r="Y4092" s="73"/>
      <c r="Z4092" s="73"/>
      <c r="AA4092" s="73"/>
      <c r="AB4092" s="73"/>
    </row>
    <row r="4093">
      <c r="A4093" s="73"/>
      <c r="B4093" s="73">
        <v>9938368.843</v>
      </c>
      <c r="C4093" s="73">
        <v>5.2872848451355E8</v>
      </c>
      <c r="D4093" s="73">
        <v>2.75733207199999E8</v>
      </c>
      <c r="E4093" s="73">
        <v>3.95164535321999E7</v>
      </c>
      <c r="F4093" s="73"/>
      <c r="G4093" s="73"/>
      <c r="H4093" s="73"/>
      <c r="I4093" s="73"/>
      <c r="J4093" s="73"/>
      <c r="K4093" s="73"/>
      <c r="L4093" s="73"/>
      <c r="M4093" s="73"/>
      <c r="N4093" s="73"/>
      <c r="O4093" s="73"/>
      <c r="P4093" s="73"/>
      <c r="Q4093" s="73"/>
      <c r="R4093" s="73"/>
      <c r="S4093" s="73"/>
      <c r="T4093" s="73"/>
      <c r="U4093" s="73"/>
      <c r="V4093" s="73"/>
      <c r="W4093" s="73"/>
      <c r="X4093" s="73"/>
      <c r="Y4093" s="73"/>
      <c r="Z4093" s="73"/>
      <c r="AA4093" s="73"/>
      <c r="AB4093" s="73"/>
    </row>
    <row r="4094">
      <c r="A4094" s="73"/>
      <c r="B4094" s="73">
        <v>9951049.083</v>
      </c>
      <c r="C4094" s="73">
        <v>5.2908020066378E8</v>
      </c>
      <c r="D4094" s="73">
        <v>2.75951145371993E8</v>
      </c>
      <c r="E4094" s="73">
        <v>3.95512652718567E7</v>
      </c>
      <c r="F4094" s="73"/>
      <c r="G4094" s="73"/>
      <c r="H4094" s="73"/>
      <c r="I4094" s="73"/>
      <c r="J4094" s="73"/>
      <c r="K4094" s="73"/>
      <c r="L4094" s="73"/>
      <c r="M4094" s="73"/>
      <c r="N4094" s="73"/>
      <c r="O4094" s="73"/>
      <c r="P4094" s="73"/>
      <c r="Q4094" s="73"/>
      <c r="R4094" s="73"/>
      <c r="S4094" s="73"/>
      <c r="T4094" s="73"/>
      <c r="U4094" s="73"/>
      <c r="V4094" s="73"/>
      <c r="W4094" s="73"/>
      <c r="X4094" s="73"/>
      <c r="Y4094" s="73"/>
      <c r="Z4094" s="73"/>
      <c r="AA4094" s="73"/>
      <c r="AB4094" s="73"/>
    </row>
    <row r="4095">
      <c r="A4095" s="73"/>
      <c r="B4095" s="73">
        <v>9963744.926</v>
      </c>
      <c r="C4095" s="73">
        <v>5.29432048654007E8</v>
      </c>
      <c r="D4095" s="73">
        <v>2.76169207176001E8</v>
      </c>
      <c r="E4095" s="73">
        <v>3.95860959524405E7</v>
      </c>
      <c r="F4095" s="73"/>
      <c r="G4095" s="73"/>
      <c r="H4095" s="73"/>
      <c r="I4095" s="73"/>
      <c r="J4095" s="73"/>
      <c r="K4095" s="73"/>
      <c r="L4095" s="73"/>
      <c r="M4095" s="73"/>
      <c r="N4095" s="73"/>
      <c r="O4095" s="73"/>
      <c r="P4095" s="73"/>
      <c r="Q4095" s="73"/>
      <c r="R4095" s="73"/>
      <c r="S4095" s="73"/>
      <c r="T4095" s="73"/>
      <c r="U4095" s="73"/>
      <c r="V4095" s="73"/>
      <c r="W4095" s="73"/>
      <c r="X4095" s="73"/>
      <c r="Y4095" s="73"/>
      <c r="Z4095" s="73"/>
      <c r="AA4095" s="73"/>
      <c r="AB4095" s="73"/>
    </row>
    <row r="4096">
      <c r="A4096" s="73"/>
      <c r="B4096" s="73">
        <v>9976456.581</v>
      </c>
      <c r="C4096" s="73">
        <v>5.29784061444229E8</v>
      </c>
      <c r="D4096" s="73">
        <v>2.76387372451994E8</v>
      </c>
      <c r="E4096" s="73">
        <v>3.96209480636791E7</v>
      </c>
      <c r="F4096" s="73"/>
      <c r="G4096" s="73"/>
      <c r="H4096" s="73"/>
      <c r="I4096" s="73"/>
      <c r="J4096" s="73"/>
      <c r="K4096" s="73"/>
      <c r="L4096" s="73"/>
      <c r="M4096" s="73"/>
      <c r="N4096" s="73"/>
      <c r="O4096" s="73"/>
      <c r="P4096" s="73"/>
      <c r="Q4096" s="73"/>
      <c r="R4096" s="73"/>
      <c r="S4096" s="73"/>
      <c r="T4096" s="73"/>
      <c r="U4096" s="73"/>
      <c r="V4096" s="73"/>
      <c r="W4096" s="73"/>
      <c r="X4096" s="73"/>
      <c r="Y4096" s="73"/>
      <c r="Z4096" s="73"/>
      <c r="AA4096" s="73"/>
      <c r="AB4096" s="73"/>
    </row>
    <row r="4097">
      <c r="A4097" s="73"/>
      <c r="B4097" s="73">
        <v>9989183.441</v>
      </c>
      <c r="C4097" s="73">
        <v>5.30136206074448E8</v>
      </c>
      <c r="D4097" s="73">
        <v>2.76605661056003E8</v>
      </c>
      <c r="E4097" s="73">
        <v>3.96558210391086E7</v>
      </c>
      <c r="F4097" s="73"/>
      <c r="G4097" s="73"/>
      <c r="H4097" s="73"/>
      <c r="I4097" s="73"/>
      <c r="J4097" s="73"/>
      <c r="K4097" s="73"/>
      <c r="L4097" s="73"/>
      <c r="M4097" s="73"/>
      <c r="N4097" s="73"/>
      <c r="O4097" s="73"/>
      <c r="P4097" s="73"/>
      <c r="Q4097" s="73"/>
      <c r="R4097" s="73"/>
      <c r="S4097" s="73"/>
      <c r="T4097" s="73"/>
      <c r="U4097" s="73"/>
      <c r="V4097" s="73"/>
      <c r="W4097" s="73"/>
      <c r="X4097" s="73"/>
      <c r="Y4097" s="73"/>
      <c r="Z4097" s="73"/>
      <c r="AA4097" s="73"/>
      <c r="AB4097" s="73"/>
    </row>
    <row r="4098">
      <c r="A4098" s="73"/>
      <c r="B4098" s="73">
        <v>1.000192619E7</v>
      </c>
      <c r="C4098" s="73">
        <v>5.30488416624664E8</v>
      </c>
      <c r="D4098" s="73">
        <v>2.76824053275996E8</v>
      </c>
      <c r="E4098" s="73">
        <v>3.9690714878729E7</v>
      </c>
      <c r="F4098" s="73"/>
      <c r="G4098" s="73"/>
      <c r="H4098" s="73"/>
      <c r="I4098" s="73"/>
      <c r="J4098" s="73"/>
      <c r="K4098" s="73"/>
      <c r="L4098" s="73"/>
      <c r="M4098" s="73"/>
      <c r="N4098" s="73"/>
      <c r="O4098" s="73"/>
      <c r="P4098" s="73"/>
      <c r="Q4098" s="73"/>
      <c r="R4098" s="73"/>
      <c r="S4098" s="73"/>
      <c r="T4098" s="73"/>
      <c r="U4098" s="73"/>
      <c r="V4098" s="73"/>
      <c r="W4098" s="73"/>
      <c r="X4098" s="73"/>
      <c r="Y4098" s="73"/>
      <c r="Z4098" s="73"/>
      <c r="AA4098" s="73"/>
      <c r="AB4098" s="73"/>
    </row>
    <row r="4099">
      <c r="A4099" s="73"/>
      <c r="B4099" s="73">
        <v>1.001468456E7</v>
      </c>
      <c r="C4099" s="73">
        <v>5.30840890854874E8</v>
      </c>
      <c r="D4099" s="73">
        <v>2.7704254835999E8</v>
      </c>
      <c r="E4099" s="73">
        <v>3.97256289041403E7</v>
      </c>
      <c r="F4099" s="73"/>
      <c r="G4099" s="73"/>
      <c r="H4099" s="73"/>
      <c r="I4099" s="73"/>
      <c r="J4099" s="73"/>
      <c r="K4099" s="73"/>
      <c r="L4099" s="73"/>
      <c r="M4099" s="73"/>
      <c r="N4099" s="73"/>
      <c r="O4099" s="73"/>
      <c r="P4099" s="73"/>
      <c r="Q4099" s="73"/>
      <c r="R4099" s="73"/>
      <c r="S4099" s="73"/>
      <c r="T4099" s="73"/>
      <c r="U4099" s="73"/>
      <c r="V4099" s="73"/>
      <c r="W4099" s="73"/>
      <c r="X4099" s="73"/>
      <c r="Y4099" s="73"/>
      <c r="Z4099" s="73"/>
      <c r="AA4099" s="73"/>
      <c r="AB4099" s="73"/>
    </row>
    <row r="4100">
      <c r="A4100" s="73"/>
      <c r="B4100" s="73">
        <v>1.002745847E7</v>
      </c>
      <c r="C4100" s="73">
        <v>5.31193431005081E8</v>
      </c>
      <c r="D4100" s="73">
        <v>2.77261167539998E8</v>
      </c>
      <c r="E4100" s="73">
        <v>3.97605636241424E7</v>
      </c>
      <c r="F4100" s="73"/>
      <c r="G4100" s="73"/>
      <c r="H4100" s="73"/>
      <c r="I4100" s="73"/>
      <c r="J4100" s="73"/>
      <c r="K4100" s="73"/>
      <c r="L4100" s="73"/>
      <c r="M4100" s="73"/>
      <c r="N4100" s="73"/>
      <c r="O4100" s="73"/>
      <c r="P4100" s="73"/>
      <c r="Q4100" s="73"/>
      <c r="R4100" s="73"/>
      <c r="S4100" s="73"/>
      <c r="T4100" s="73"/>
      <c r="U4100" s="73"/>
      <c r="V4100" s="73"/>
      <c r="W4100" s="73"/>
      <c r="X4100" s="73"/>
      <c r="Y4100" s="73"/>
      <c r="Z4100" s="73"/>
      <c r="AA4100" s="73"/>
      <c r="AB4100" s="73"/>
    </row>
    <row r="4101">
      <c r="A4101" s="73"/>
      <c r="B4101" s="73">
        <v>1.00402485E7</v>
      </c>
      <c r="C4101" s="73">
        <v>5.31546135955284E8</v>
      </c>
      <c r="D4101" s="73">
        <v>2.77479889727991E8</v>
      </c>
      <c r="E4101" s="73">
        <v>3.97955201987994E7</v>
      </c>
      <c r="F4101" s="73"/>
      <c r="G4101" s="73"/>
      <c r="H4101" s="73"/>
      <c r="I4101" s="73"/>
      <c r="J4101" s="73"/>
      <c r="K4101" s="73"/>
      <c r="L4101" s="73"/>
      <c r="M4101" s="73"/>
      <c r="N4101" s="73"/>
      <c r="O4101" s="73"/>
      <c r="P4101" s="73"/>
      <c r="Q4101" s="73"/>
      <c r="R4101" s="73"/>
      <c r="S4101" s="73"/>
      <c r="T4101" s="73"/>
      <c r="U4101" s="73"/>
      <c r="V4101" s="73"/>
      <c r="W4101" s="73"/>
      <c r="X4101" s="73"/>
      <c r="Y4101" s="73"/>
      <c r="Z4101" s="73"/>
      <c r="AA4101" s="73"/>
      <c r="AB4101" s="73"/>
    </row>
    <row r="4102">
      <c r="A4102" s="73"/>
      <c r="B4102" s="73">
        <v>1.00530538E7</v>
      </c>
      <c r="C4102" s="73">
        <v>5.31899005705482E8</v>
      </c>
      <c r="D4102" s="73">
        <v>2.77698735404E8</v>
      </c>
      <c r="E4102" s="73">
        <v>3.98304973832473E7</v>
      </c>
      <c r="F4102" s="73"/>
      <c r="G4102" s="73"/>
      <c r="H4102" s="73"/>
      <c r="I4102" s="73"/>
      <c r="J4102" s="73"/>
      <c r="K4102" s="73"/>
      <c r="L4102" s="73"/>
      <c r="M4102" s="73"/>
      <c r="N4102" s="73"/>
      <c r="O4102" s="73"/>
      <c r="P4102" s="73"/>
      <c r="Q4102" s="73"/>
      <c r="R4102" s="73"/>
      <c r="S4102" s="73"/>
      <c r="T4102" s="73"/>
      <c r="U4102" s="73"/>
      <c r="V4102" s="73"/>
      <c r="W4102" s="73"/>
      <c r="X4102" s="73"/>
      <c r="Y4102" s="73"/>
      <c r="Z4102" s="73"/>
      <c r="AA4102" s="73"/>
      <c r="AB4102" s="73"/>
    </row>
    <row r="4103">
      <c r="A4103" s="73"/>
      <c r="B4103" s="73">
        <v>1.006587462E7</v>
      </c>
      <c r="C4103" s="73">
        <v>5.32252073215675E8</v>
      </c>
      <c r="D4103" s="73">
        <v>2.77917684695993E8</v>
      </c>
      <c r="E4103" s="73">
        <v>3.98654937630221E7</v>
      </c>
      <c r="F4103" s="73"/>
      <c r="G4103" s="73"/>
      <c r="H4103" s="73"/>
      <c r="I4103" s="73"/>
      <c r="J4103" s="73"/>
      <c r="K4103" s="73"/>
      <c r="L4103" s="73"/>
      <c r="M4103" s="73"/>
      <c r="N4103" s="73"/>
      <c r="O4103" s="73"/>
      <c r="P4103" s="73"/>
      <c r="Q4103" s="73"/>
      <c r="R4103" s="73"/>
      <c r="S4103" s="73"/>
      <c r="T4103" s="73"/>
      <c r="U4103" s="73"/>
      <c r="V4103" s="73"/>
      <c r="W4103" s="73"/>
      <c r="X4103" s="73"/>
      <c r="Y4103" s="73"/>
      <c r="Z4103" s="73"/>
      <c r="AA4103" s="73"/>
      <c r="AB4103" s="73"/>
    </row>
    <row r="4104">
      <c r="A4104" s="73"/>
      <c r="B4104" s="73">
        <v>1.007871187E7</v>
      </c>
      <c r="C4104" s="73">
        <v>5.32605239605865E8</v>
      </c>
      <c r="D4104" s="73">
        <v>2.78136757476002E8</v>
      </c>
      <c r="E4104" s="73">
        <v>3.99005140055157E7</v>
      </c>
      <c r="F4104" s="73"/>
      <c r="G4104" s="73"/>
      <c r="H4104" s="73"/>
      <c r="I4104" s="73"/>
      <c r="J4104" s="73"/>
      <c r="K4104" s="73"/>
      <c r="L4104" s="73"/>
      <c r="M4104" s="73"/>
      <c r="N4104" s="73"/>
      <c r="O4104" s="73"/>
      <c r="P4104" s="73"/>
      <c r="Q4104" s="73"/>
      <c r="R4104" s="73"/>
      <c r="S4104" s="73"/>
      <c r="T4104" s="73"/>
      <c r="U4104" s="73"/>
      <c r="V4104" s="73"/>
      <c r="W4104" s="73"/>
      <c r="X4104" s="73"/>
      <c r="Y4104" s="73"/>
      <c r="Z4104" s="73"/>
      <c r="AA4104" s="73"/>
      <c r="AB4104" s="73"/>
    </row>
    <row r="4105">
      <c r="A4105" s="73"/>
      <c r="B4105" s="73">
        <v>1.00915643E7</v>
      </c>
      <c r="C4105" s="73">
        <v>5.32958570796051E8</v>
      </c>
      <c r="D4105" s="73">
        <v>2.78355933583995E8</v>
      </c>
      <c r="E4105" s="73">
        <v>3.99355531041362E7</v>
      </c>
      <c r="F4105" s="73"/>
      <c r="G4105" s="73"/>
      <c r="H4105" s="73"/>
      <c r="I4105" s="73"/>
      <c r="J4105" s="73"/>
      <c r="K4105" s="73"/>
      <c r="L4105" s="73"/>
      <c r="M4105" s="73"/>
      <c r="N4105" s="73"/>
      <c r="O4105" s="73"/>
      <c r="P4105" s="73"/>
      <c r="Q4105" s="73"/>
      <c r="R4105" s="73"/>
      <c r="S4105" s="73"/>
      <c r="T4105" s="73"/>
      <c r="U4105" s="73"/>
      <c r="V4105" s="73"/>
      <c r="W4105" s="73"/>
      <c r="X4105" s="73"/>
      <c r="Y4105" s="73"/>
      <c r="Z4105" s="73"/>
      <c r="AA4105" s="73"/>
      <c r="AB4105" s="73"/>
    </row>
    <row r="4106">
      <c r="A4106" s="73"/>
      <c r="B4106" s="73">
        <v>1.010443276E7</v>
      </c>
      <c r="C4106" s="73">
        <v>5.33312000866234E8</v>
      </c>
      <c r="D4106" s="73">
        <v>2.78575212988004E8</v>
      </c>
      <c r="E4106" s="73">
        <v>3.99706123885477E7</v>
      </c>
      <c r="F4106" s="73"/>
      <c r="G4106" s="73"/>
      <c r="H4106" s="73"/>
      <c r="I4106" s="73"/>
      <c r="J4106" s="73"/>
      <c r="K4106" s="73"/>
      <c r="L4106" s="73"/>
      <c r="M4106" s="73"/>
      <c r="N4106" s="73"/>
      <c r="O4106" s="73"/>
      <c r="P4106" s="73"/>
      <c r="Q4106" s="73"/>
      <c r="R4106" s="73"/>
      <c r="S4106" s="73"/>
      <c r="T4106" s="73"/>
      <c r="U4106" s="73"/>
      <c r="V4106" s="73"/>
      <c r="W4106" s="73"/>
      <c r="X4106" s="73"/>
      <c r="Y4106" s="73"/>
      <c r="Z4106" s="73"/>
      <c r="AA4106" s="73"/>
      <c r="AB4106" s="73"/>
    </row>
    <row r="4107">
      <c r="A4107" s="73"/>
      <c r="B4107" s="73">
        <v>1.011731677E7</v>
      </c>
      <c r="C4107" s="73">
        <v>5.33665595736412E8</v>
      </c>
      <c r="D4107" s="73">
        <v>2.78794615879997E8</v>
      </c>
      <c r="E4107" s="73">
        <v>4.00056941212139E7</v>
      </c>
      <c r="F4107" s="73"/>
      <c r="G4107" s="73"/>
      <c r="H4107" s="73"/>
      <c r="I4107" s="73"/>
      <c r="J4107" s="73"/>
      <c r="K4107" s="73"/>
      <c r="L4107" s="73"/>
      <c r="M4107" s="73"/>
      <c r="N4107" s="73"/>
      <c r="O4107" s="73"/>
      <c r="P4107" s="73"/>
      <c r="Q4107" s="73"/>
      <c r="R4107" s="73"/>
      <c r="S4107" s="73"/>
      <c r="T4107" s="73"/>
      <c r="U4107" s="73"/>
      <c r="V4107" s="73"/>
      <c r="W4107" s="73"/>
      <c r="X4107" s="73"/>
      <c r="Y4107" s="73"/>
      <c r="Z4107" s="73"/>
      <c r="AA4107" s="73"/>
      <c r="AB4107" s="73"/>
    </row>
    <row r="4108">
      <c r="A4108" s="73"/>
      <c r="B4108" s="73">
        <v>1.013021674E7</v>
      </c>
      <c r="C4108" s="73">
        <v>5.34019388366585E8</v>
      </c>
      <c r="D4108" s="73">
        <v>2.7901412209999E8</v>
      </c>
      <c r="E4108" s="73">
        <v>4.0040796887671E7</v>
      </c>
      <c r="F4108" s="73"/>
      <c r="G4108" s="73"/>
      <c r="H4108" s="73"/>
      <c r="I4108" s="73"/>
      <c r="J4108" s="73"/>
      <c r="K4108" s="73"/>
      <c r="L4108" s="73"/>
      <c r="M4108" s="73"/>
      <c r="N4108" s="73"/>
      <c r="O4108" s="73"/>
      <c r="P4108" s="73"/>
      <c r="Q4108" s="73"/>
      <c r="R4108" s="73"/>
      <c r="S4108" s="73"/>
      <c r="T4108" s="73"/>
      <c r="U4108" s="73"/>
      <c r="V4108" s="73"/>
      <c r="W4108" s="73"/>
      <c r="X4108" s="73"/>
      <c r="Y4108" s="73"/>
      <c r="Z4108" s="73"/>
      <c r="AA4108" s="73"/>
      <c r="AB4108" s="73"/>
    </row>
    <row r="4109">
      <c r="A4109" s="73"/>
      <c r="B4109" s="73">
        <v>1.014313231E7</v>
      </c>
      <c r="C4109" s="73">
        <v>5.34373345796753E8</v>
      </c>
      <c r="D4109" s="73">
        <v>2.79233752095999E8</v>
      </c>
      <c r="E4109" s="73">
        <v>4.00759178318551E7</v>
      </c>
      <c r="F4109" s="73"/>
      <c r="G4109" s="73"/>
      <c r="H4109" s="73"/>
      <c r="I4109" s="73"/>
      <c r="J4109" s="73"/>
      <c r="K4109" s="73"/>
      <c r="L4109" s="73"/>
      <c r="M4109" s="73"/>
      <c r="N4109" s="73"/>
      <c r="O4109" s="73"/>
      <c r="P4109" s="73"/>
      <c r="Q4109" s="73"/>
      <c r="R4109" s="73"/>
      <c r="S4109" s="73"/>
      <c r="T4109" s="73"/>
      <c r="U4109" s="73"/>
      <c r="V4109" s="73"/>
      <c r="W4109" s="73"/>
      <c r="X4109" s="73"/>
      <c r="Y4109" s="73"/>
      <c r="Z4109" s="73"/>
      <c r="AA4109" s="73"/>
      <c r="AB4109" s="73"/>
    </row>
    <row r="4110">
      <c r="A4110" s="73"/>
      <c r="B4110" s="73">
        <v>1.015606402E7</v>
      </c>
      <c r="C4110" s="73">
        <v>5.34727402106918E8</v>
      </c>
      <c r="D4110" s="73">
        <v>2.79453485099992E8</v>
      </c>
      <c r="E4110" s="73">
        <v>4.0111061309094E7</v>
      </c>
      <c r="F4110" s="73"/>
      <c r="G4110" s="73"/>
      <c r="H4110" s="73"/>
      <c r="I4110" s="73"/>
      <c r="J4110" s="73"/>
      <c r="K4110" s="73"/>
      <c r="L4110" s="73"/>
      <c r="M4110" s="73"/>
      <c r="N4110" s="73"/>
      <c r="O4110" s="73"/>
      <c r="P4110" s="73"/>
      <c r="Q4110" s="73"/>
      <c r="R4110" s="73"/>
      <c r="S4110" s="73"/>
      <c r="T4110" s="73"/>
      <c r="U4110" s="73"/>
      <c r="V4110" s="73"/>
      <c r="W4110" s="73"/>
      <c r="X4110" s="73"/>
      <c r="Y4110" s="73"/>
      <c r="Z4110" s="73"/>
      <c r="AA4110" s="73"/>
      <c r="AB4110" s="73"/>
    </row>
    <row r="4111">
      <c r="A4111" s="73"/>
      <c r="B4111" s="73">
        <v>1.016901106E7</v>
      </c>
      <c r="C4111" s="73">
        <v>5.3508159025708E8</v>
      </c>
      <c r="D4111" s="73">
        <v>2.79673341912001E8</v>
      </c>
      <c r="E4111" s="73">
        <v>4.01462268105877E7</v>
      </c>
      <c r="F4111" s="73"/>
      <c r="G4111" s="73"/>
      <c r="H4111" s="73"/>
      <c r="I4111" s="73"/>
      <c r="J4111" s="73"/>
      <c r="K4111" s="73"/>
      <c r="L4111" s="73"/>
      <c r="M4111" s="73"/>
      <c r="N4111" s="73"/>
      <c r="O4111" s="73"/>
      <c r="P4111" s="73"/>
      <c r="Q4111" s="73"/>
      <c r="R4111" s="73"/>
      <c r="S4111" s="73"/>
      <c r="T4111" s="73"/>
      <c r="U4111" s="73"/>
      <c r="V4111" s="73"/>
      <c r="W4111" s="73"/>
      <c r="X4111" s="73"/>
      <c r="Y4111" s="73"/>
      <c r="Z4111" s="73"/>
      <c r="AA4111" s="73"/>
      <c r="AB4111" s="73"/>
    </row>
    <row r="4112">
      <c r="A4112" s="73"/>
      <c r="B4112" s="73">
        <v>1.018197455E7</v>
      </c>
      <c r="C4112" s="73">
        <v>5.35435943207237E8</v>
      </c>
      <c r="D4112" s="73">
        <v>2.79893302179994E8</v>
      </c>
      <c r="E4112" s="73">
        <v>4.01814111682084E7</v>
      </c>
      <c r="F4112" s="73"/>
      <c r="G4112" s="73"/>
      <c r="H4112" s="73"/>
      <c r="I4112" s="73"/>
      <c r="J4112" s="73"/>
      <c r="K4112" s="73"/>
      <c r="L4112" s="73"/>
      <c r="M4112" s="73"/>
      <c r="N4112" s="73"/>
      <c r="O4112" s="73"/>
      <c r="P4112" s="73"/>
      <c r="Q4112" s="73"/>
      <c r="R4112" s="73"/>
      <c r="S4112" s="73"/>
      <c r="T4112" s="73"/>
      <c r="U4112" s="73"/>
      <c r="V4112" s="73"/>
      <c r="W4112" s="73"/>
      <c r="X4112" s="73"/>
      <c r="Y4112" s="73"/>
      <c r="Z4112" s="73"/>
      <c r="AA4112" s="73"/>
      <c r="AB4112" s="73"/>
    </row>
    <row r="4113">
      <c r="A4113" s="73"/>
      <c r="B4113" s="73">
        <v>1.019495347E7</v>
      </c>
      <c r="C4113" s="73">
        <v>5.35790427997391E8</v>
      </c>
      <c r="D4113" s="73">
        <v>2.80113365456002E8</v>
      </c>
      <c r="E4113" s="73">
        <v>4.021661689882E7</v>
      </c>
      <c r="F4113" s="73"/>
      <c r="G4113" s="73"/>
      <c r="H4113" s="73"/>
      <c r="I4113" s="73"/>
      <c r="J4113" s="73"/>
      <c r="K4113" s="73"/>
      <c r="L4113" s="73"/>
      <c r="M4113" s="73"/>
      <c r="N4113" s="73"/>
      <c r="O4113" s="73"/>
      <c r="P4113" s="73"/>
      <c r="Q4113" s="73"/>
      <c r="R4113" s="73"/>
      <c r="S4113" s="73"/>
      <c r="T4113" s="73"/>
      <c r="U4113" s="73"/>
      <c r="V4113" s="73"/>
      <c r="W4113" s="73"/>
      <c r="X4113" s="73"/>
      <c r="Y4113" s="73"/>
      <c r="Z4113" s="73"/>
      <c r="AA4113" s="73"/>
      <c r="AB4113" s="73"/>
    </row>
    <row r="4114">
      <c r="A4114" s="73"/>
      <c r="B4114" s="73">
        <v>1.020794853E7</v>
      </c>
      <c r="C4114" s="73">
        <v>5.3614507758754E8</v>
      </c>
      <c r="D4114" s="73">
        <v>2.80333552379996E8</v>
      </c>
      <c r="E4114" s="73">
        <v>4.02518437208864E7</v>
      </c>
      <c r="F4114" s="73"/>
      <c r="G4114" s="73"/>
      <c r="H4114" s="73"/>
      <c r="I4114" s="73"/>
      <c r="J4114" s="73"/>
      <c r="K4114" s="73"/>
      <c r="L4114" s="73"/>
      <c r="M4114" s="73"/>
      <c r="N4114" s="73"/>
      <c r="O4114" s="73"/>
      <c r="P4114" s="73"/>
      <c r="Q4114" s="73"/>
      <c r="R4114" s="73"/>
      <c r="S4114" s="73"/>
      <c r="T4114" s="73"/>
      <c r="U4114" s="73"/>
      <c r="V4114" s="73"/>
      <c r="W4114" s="73"/>
      <c r="X4114" s="73"/>
      <c r="Y4114" s="73"/>
      <c r="Z4114" s="73"/>
      <c r="AA4114" s="73"/>
      <c r="AB4114" s="73"/>
    </row>
    <row r="4115">
      <c r="A4115" s="73"/>
      <c r="B4115" s="73">
        <v>1.022095909E7</v>
      </c>
      <c r="C4115" s="73">
        <v>5.36499859017685E8</v>
      </c>
      <c r="D4115" s="73">
        <v>2.80553842759989E8</v>
      </c>
      <c r="E4115" s="73">
        <v>4.02870918311436E7</v>
      </c>
      <c r="F4115" s="73"/>
      <c r="G4115" s="73"/>
      <c r="H4115" s="73"/>
      <c r="I4115" s="73"/>
      <c r="J4115" s="73"/>
      <c r="K4115" s="73"/>
      <c r="L4115" s="73"/>
      <c r="M4115" s="73"/>
      <c r="N4115" s="73"/>
      <c r="O4115" s="73"/>
      <c r="P4115" s="73"/>
      <c r="Q4115" s="73"/>
      <c r="R4115" s="73"/>
      <c r="S4115" s="73"/>
      <c r="T4115" s="73"/>
      <c r="U4115" s="73"/>
      <c r="V4115" s="73"/>
      <c r="W4115" s="73"/>
      <c r="X4115" s="73"/>
      <c r="Y4115" s="73"/>
      <c r="Z4115" s="73"/>
      <c r="AA4115" s="73"/>
      <c r="AB4115" s="73"/>
    </row>
    <row r="4116">
      <c r="A4116" s="73"/>
      <c r="B4116" s="73">
        <v>1.023398595E7</v>
      </c>
      <c r="C4116" s="73">
        <v>5.36854838207825E8</v>
      </c>
      <c r="D4116" s="73">
        <v>2.80774256627998E8</v>
      </c>
      <c r="E4116" s="73">
        <v>4.03223590519278E7</v>
      </c>
      <c r="F4116" s="73"/>
      <c r="G4116" s="73"/>
      <c r="H4116" s="73"/>
      <c r="I4116" s="73"/>
      <c r="J4116" s="73"/>
      <c r="K4116" s="73"/>
      <c r="L4116" s="73"/>
      <c r="M4116" s="73"/>
      <c r="N4116" s="73"/>
      <c r="O4116" s="73"/>
      <c r="P4116" s="73"/>
      <c r="Q4116" s="73"/>
      <c r="R4116" s="73"/>
      <c r="S4116" s="73"/>
      <c r="T4116" s="73"/>
      <c r="U4116" s="73"/>
      <c r="V4116" s="73"/>
      <c r="W4116" s="73"/>
      <c r="X4116" s="73"/>
      <c r="Y4116" s="73"/>
      <c r="Z4116" s="73"/>
      <c r="AA4116" s="73"/>
      <c r="AB4116" s="73"/>
    </row>
    <row r="4117">
      <c r="A4117" s="73"/>
      <c r="B4117" s="73">
        <v>1.024702864E7</v>
      </c>
      <c r="C4117" s="73">
        <v>5.37209916277962E8</v>
      </c>
      <c r="D4117" s="73">
        <v>2.80994794303991E8</v>
      </c>
      <c r="E4117" s="73">
        <v>4.03576478729669E7</v>
      </c>
      <c r="F4117" s="73"/>
      <c r="G4117" s="73"/>
      <c r="H4117" s="73"/>
      <c r="I4117" s="73"/>
      <c r="J4117" s="73"/>
      <c r="K4117" s="73"/>
      <c r="L4117" s="73"/>
      <c r="M4117" s="73"/>
      <c r="N4117" s="73"/>
      <c r="O4117" s="73"/>
      <c r="P4117" s="73"/>
      <c r="Q4117" s="73"/>
      <c r="R4117" s="73"/>
      <c r="S4117" s="73"/>
      <c r="T4117" s="73"/>
      <c r="U4117" s="73"/>
      <c r="V4117" s="73"/>
      <c r="W4117" s="73"/>
      <c r="X4117" s="73"/>
      <c r="Y4117" s="73"/>
      <c r="Z4117" s="73"/>
      <c r="AA4117" s="73"/>
      <c r="AB4117" s="73"/>
    </row>
    <row r="4118">
      <c r="A4118" s="73"/>
      <c r="B4118" s="73">
        <v>1.02600871E7</v>
      </c>
      <c r="C4118" s="73">
        <v>5.37565192108093E8</v>
      </c>
      <c r="D4118" s="73">
        <v>2.81215414651999E8</v>
      </c>
      <c r="E4118" s="73">
        <v>4.03929594814607E7</v>
      </c>
      <c r="F4118" s="73"/>
      <c r="G4118" s="73"/>
      <c r="H4118" s="73"/>
      <c r="I4118" s="73"/>
      <c r="J4118" s="73"/>
      <c r="K4118" s="73"/>
      <c r="L4118" s="73"/>
      <c r="M4118" s="73"/>
      <c r="N4118" s="73"/>
      <c r="O4118" s="73"/>
      <c r="P4118" s="73"/>
      <c r="Q4118" s="73"/>
      <c r="R4118" s="73"/>
      <c r="S4118" s="73"/>
      <c r="T4118" s="73"/>
      <c r="U4118" s="73"/>
      <c r="V4118" s="73"/>
      <c r="W4118" s="73"/>
      <c r="X4118" s="73"/>
      <c r="Y4118" s="73"/>
      <c r="Z4118" s="73"/>
      <c r="AA4118" s="73"/>
      <c r="AB4118" s="73"/>
    </row>
    <row r="4119">
      <c r="A4119" s="73"/>
      <c r="B4119" s="73">
        <v>1.027316145E7</v>
      </c>
      <c r="C4119" s="73">
        <v>5.37920566818222E8</v>
      </c>
      <c r="D4119" s="73">
        <v>2.81436158791993E8</v>
      </c>
      <c r="E4119" s="73">
        <v>4.04282900308815E7</v>
      </c>
      <c r="F4119" s="73"/>
      <c r="G4119" s="73"/>
      <c r="H4119" s="73"/>
      <c r="I4119" s="73"/>
      <c r="J4119" s="73"/>
      <c r="K4119" s="73"/>
      <c r="L4119" s="73"/>
      <c r="M4119" s="73"/>
      <c r="N4119" s="73"/>
      <c r="O4119" s="73"/>
      <c r="P4119" s="73"/>
      <c r="Q4119" s="73"/>
      <c r="R4119" s="73"/>
      <c r="S4119" s="73"/>
      <c r="T4119" s="73"/>
      <c r="U4119" s="73"/>
      <c r="V4119" s="73"/>
      <c r="W4119" s="73"/>
      <c r="X4119" s="73"/>
      <c r="Y4119" s="73"/>
      <c r="Z4119" s="73"/>
      <c r="AA4119" s="73"/>
      <c r="AB4119" s="73"/>
    </row>
    <row r="4120">
      <c r="A4120" s="73"/>
      <c r="B4120" s="73">
        <v>1.028625189E7</v>
      </c>
      <c r="C4120" s="73">
        <v>5.38276073368347E8</v>
      </c>
      <c r="D4120" s="73">
        <v>2.81657026564001E8</v>
      </c>
      <c r="E4120" s="73">
        <v>4.04636424349571E7</v>
      </c>
      <c r="F4120" s="73"/>
      <c r="G4120" s="73"/>
      <c r="H4120" s="73"/>
      <c r="I4120" s="73"/>
      <c r="J4120" s="73"/>
      <c r="K4120" s="73"/>
      <c r="L4120" s="73"/>
      <c r="M4120" s="73"/>
      <c r="N4120" s="73"/>
      <c r="O4120" s="73"/>
      <c r="P4120" s="73"/>
      <c r="Q4120" s="73"/>
      <c r="R4120" s="73"/>
      <c r="S4120" s="73"/>
      <c r="T4120" s="73"/>
      <c r="U4120" s="73"/>
      <c r="V4120" s="73"/>
      <c r="W4120" s="73"/>
      <c r="X4120" s="73"/>
      <c r="Y4120" s="73"/>
      <c r="Z4120" s="73"/>
      <c r="AA4120" s="73"/>
      <c r="AB4120" s="73"/>
    </row>
    <row r="4121">
      <c r="A4121" s="73"/>
      <c r="B4121" s="73">
        <v>1.029935809E7</v>
      </c>
      <c r="C4121" s="73">
        <v>5.38631810638466E8</v>
      </c>
      <c r="D4121" s="73">
        <v>2.81877997663995E8</v>
      </c>
      <c r="E4121" s="73">
        <v>4.04990159576236E7</v>
      </c>
      <c r="F4121" s="73"/>
      <c r="G4121" s="73"/>
      <c r="H4121" s="73"/>
      <c r="I4121" s="73"/>
      <c r="J4121" s="73"/>
      <c r="K4121" s="73"/>
      <c r="L4121" s="73"/>
      <c r="M4121" s="73"/>
      <c r="N4121" s="73"/>
      <c r="O4121" s="73"/>
      <c r="P4121" s="73"/>
      <c r="Q4121" s="73"/>
      <c r="R4121" s="73"/>
      <c r="S4121" s="73"/>
      <c r="T4121" s="73"/>
      <c r="U4121" s="73"/>
      <c r="V4121" s="73"/>
      <c r="W4121" s="73"/>
      <c r="X4121" s="73"/>
      <c r="Y4121" s="73"/>
      <c r="Z4121" s="73"/>
      <c r="AA4121" s="73"/>
      <c r="AB4121" s="73"/>
    </row>
    <row r="4122">
      <c r="A4122" s="73"/>
      <c r="B4122" s="73">
        <v>1.031248044E7</v>
      </c>
      <c r="C4122" s="73">
        <v>5.38987679748581E8</v>
      </c>
      <c r="D4122" s="73">
        <v>2.82099092396003E8</v>
      </c>
      <c r="E4122" s="73">
        <v>4.05344088180811E7</v>
      </c>
      <c r="F4122" s="73"/>
      <c r="G4122" s="73"/>
      <c r="H4122" s="73"/>
      <c r="I4122" s="73"/>
      <c r="J4122" s="73"/>
      <c r="K4122" s="73"/>
      <c r="L4122" s="73"/>
      <c r="M4122" s="73"/>
      <c r="N4122" s="73"/>
      <c r="O4122" s="73"/>
      <c r="P4122" s="73"/>
      <c r="Q4122" s="73"/>
      <c r="R4122" s="73"/>
      <c r="S4122" s="73"/>
      <c r="T4122" s="73"/>
      <c r="U4122" s="73"/>
      <c r="V4122" s="73"/>
      <c r="W4122" s="73"/>
      <c r="X4122" s="73"/>
      <c r="Y4122" s="73"/>
      <c r="Z4122" s="73"/>
      <c r="AA4122" s="73"/>
      <c r="AB4122" s="73"/>
    </row>
    <row r="4123">
      <c r="A4123" s="73"/>
      <c r="B4123" s="73">
        <v>1.032561901E7</v>
      </c>
      <c r="C4123" s="73">
        <v>5.39343614778694E8</v>
      </c>
      <c r="D4123" s="73">
        <v>2.82320290439996E8</v>
      </c>
      <c r="E4123" s="73">
        <v>4.05698234755293E7</v>
      </c>
      <c r="F4123" s="73"/>
      <c r="G4123" s="73"/>
      <c r="H4123" s="73"/>
      <c r="I4123" s="73"/>
      <c r="J4123" s="73"/>
      <c r="K4123" s="73"/>
      <c r="L4123" s="73"/>
      <c r="M4123" s="73"/>
      <c r="N4123" s="73"/>
      <c r="O4123" s="73"/>
      <c r="P4123" s="73"/>
      <c r="Q4123" s="73"/>
      <c r="R4123" s="73"/>
      <c r="S4123" s="73"/>
      <c r="T4123" s="73"/>
      <c r="U4123" s="73"/>
      <c r="V4123" s="73"/>
      <c r="W4123" s="73"/>
      <c r="X4123" s="73"/>
      <c r="Y4123" s="73"/>
      <c r="Z4123" s="73"/>
      <c r="AA4123" s="73"/>
      <c r="AB4123" s="73"/>
    </row>
    <row r="4124">
      <c r="A4124" s="73"/>
      <c r="B4124" s="73">
        <v>1.033877332E7</v>
      </c>
      <c r="C4124" s="73">
        <v>5.39699780528801E8</v>
      </c>
      <c r="D4124" s="73">
        <v>2.8254159165199E8</v>
      </c>
      <c r="E4124" s="73">
        <v>4.06052585731685E7</v>
      </c>
      <c r="F4124" s="73"/>
      <c r="G4124" s="73"/>
      <c r="H4124" s="73"/>
      <c r="I4124" s="73"/>
      <c r="J4124" s="73"/>
      <c r="K4124" s="73"/>
      <c r="L4124" s="73"/>
      <c r="M4124" s="73"/>
      <c r="N4124" s="73"/>
      <c r="O4124" s="73"/>
      <c r="P4124" s="73"/>
      <c r="Q4124" s="73"/>
      <c r="R4124" s="73"/>
      <c r="S4124" s="73"/>
      <c r="T4124" s="73"/>
      <c r="U4124" s="73"/>
      <c r="V4124" s="73"/>
      <c r="W4124" s="73"/>
      <c r="X4124" s="73"/>
      <c r="Y4124" s="73"/>
      <c r="Z4124" s="73"/>
      <c r="AA4124" s="73"/>
      <c r="AB4124" s="73"/>
    </row>
    <row r="4125">
      <c r="A4125" s="73"/>
      <c r="B4125" s="73">
        <v>1.035194342E7</v>
      </c>
      <c r="C4125" s="73">
        <v>5.40056078118904E8</v>
      </c>
      <c r="D4125" s="73">
        <v>2.82763016495998E8</v>
      </c>
      <c r="E4125" s="73">
        <v>4.06407160342624E7</v>
      </c>
      <c r="F4125" s="73"/>
      <c r="G4125" s="73"/>
      <c r="H4125" s="73"/>
      <c r="I4125" s="73"/>
      <c r="J4125" s="73"/>
      <c r="K4125" s="73"/>
      <c r="L4125" s="73"/>
      <c r="M4125" s="73"/>
      <c r="N4125" s="73"/>
      <c r="O4125" s="73"/>
      <c r="P4125" s="73"/>
      <c r="Q4125" s="73"/>
      <c r="R4125" s="73"/>
      <c r="S4125" s="73"/>
      <c r="T4125" s="73"/>
      <c r="U4125" s="73"/>
      <c r="V4125" s="73"/>
      <c r="W4125" s="73"/>
      <c r="X4125" s="73"/>
      <c r="Y4125" s="73"/>
      <c r="Z4125" s="73"/>
      <c r="AA4125" s="73"/>
      <c r="AB4125" s="73"/>
    </row>
    <row r="4126">
      <c r="A4126" s="73"/>
      <c r="B4126" s="73">
        <v>1.036512991E7</v>
      </c>
      <c r="C4126" s="73">
        <v>5.40412474589005E8</v>
      </c>
      <c r="D4126" s="73">
        <v>2.82984544811992E8</v>
      </c>
      <c r="E4126" s="73">
        <v>4.06761935963473E7</v>
      </c>
      <c r="F4126" s="73"/>
      <c r="G4126" s="73"/>
      <c r="H4126" s="73"/>
      <c r="I4126" s="73"/>
      <c r="J4126" s="73"/>
      <c r="K4126" s="73"/>
      <c r="L4126" s="73"/>
      <c r="M4126" s="73"/>
      <c r="N4126" s="73"/>
      <c r="O4126" s="73"/>
      <c r="P4126" s="73"/>
      <c r="Q4126" s="73"/>
      <c r="R4126" s="73"/>
      <c r="S4126" s="73"/>
      <c r="T4126" s="73"/>
      <c r="U4126" s="73"/>
      <c r="V4126" s="73"/>
      <c r="W4126" s="73"/>
      <c r="X4126" s="73"/>
      <c r="Y4126" s="73"/>
      <c r="Z4126" s="73"/>
      <c r="AA4126" s="73"/>
      <c r="AB4126" s="73"/>
    </row>
    <row r="4127">
      <c r="A4127" s="73"/>
      <c r="B4127" s="73">
        <v>1.037833217E7</v>
      </c>
      <c r="C4127" s="73">
        <v>5.407690358591E8</v>
      </c>
      <c r="D4127" s="73">
        <v>2.83206196616E8</v>
      </c>
      <c r="E4127" s="73">
        <v>4.07116909473591E7</v>
      </c>
      <c r="F4127" s="73"/>
      <c r="G4127" s="73"/>
      <c r="H4127" s="73"/>
      <c r="I4127" s="73"/>
      <c r="J4127" s="73"/>
      <c r="K4127" s="73"/>
      <c r="L4127" s="73"/>
      <c r="M4127" s="73"/>
      <c r="N4127" s="73"/>
      <c r="O4127" s="73"/>
      <c r="P4127" s="73"/>
      <c r="Q4127" s="73"/>
      <c r="R4127" s="73"/>
      <c r="S4127" s="73"/>
      <c r="T4127" s="73"/>
      <c r="U4127" s="73"/>
      <c r="V4127" s="73"/>
      <c r="W4127" s="73"/>
      <c r="X4127" s="73"/>
      <c r="Y4127" s="73"/>
      <c r="Z4127" s="73"/>
      <c r="AA4127" s="73"/>
      <c r="AB4127" s="73"/>
    </row>
    <row r="4128">
      <c r="A4128" s="73"/>
      <c r="B4128" s="73">
        <v>1.039155098E7</v>
      </c>
      <c r="C4128" s="73">
        <v>5.41125794889191E8</v>
      </c>
      <c r="D4128" s="73">
        <v>2.83427951731993E8</v>
      </c>
      <c r="E4128" s="73">
        <v>4.07472110586897E7</v>
      </c>
      <c r="F4128" s="73"/>
      <c r="G4128" s="73"/>
      <c r="H4128" s="73"/>
      <c r="I4128" s="73"/>
      <c r="J4128" s="73"/>
      <c r="K4128" s="73"/>
      <c r="L4128" s="73"/>
      <c r="M4128" s="73"/>
      <c r="N4128" s="73"/>
      <c r="O4128" s="73"/>
      <c r="P4128" s="73"/>
      <c r="Q4128" s="73"/>
      <c r="R4128" s="73"/>
      <c r="S4128" s="73"/>
      <c r="T4128" s="73"/>
      <c r="U4128" s="73"/>
      <c r="V4128" s="73"/>
      <c r="W4128" s="73"/>
      <c r="X4128" s="73"/>
      <c r="Y4128" s="73"/>
      <c r="Z4128" s="73"/>
      <c r="AA4128" s="73"/>
      <c r="AB4128" s="73"/>
    </row>
    <row r="4129">
      <c r="A4129" s="73"/>
      <c r="B4129" s="73">
        <v>1.040478518E7</v>
      </c>
      <c r="C4129" s="73">
        <v>5.41482685759277E8</v>
      </c>
      <c r="D4129" s="73">
        <v>2.83649830480002E8</v>
      </c>
      <c r="E4129" s="73">
        <v>4.07827511285472E7</v>
      </c>
      <c r="F4129" s="73"/>
      <c r="G4129" s="73"/>
      <c r="H4129" s="73"/>
      <c r="I4129" s="73"/>
      <c r="J4129" s="73"/>
      <c r="K4129" s="73"/>
      <c r="L4129" s="73"/>
      <c r="M4129" s="73"/>
      <c r="N4129" s="73"/>
      <c r="O4129" s="73"/>
      <c r="P4129" s="73"/>
      <c r="Q4129" s="73"/>
      <c r="R4129" s="73"/>
      <c r="S4129" s="73"/>
      <c r="T4129" s="73"/>
      <c r="U4129" s="73"/>
      <c r="V4129" s="73"/>
      <c r="W4129" s="73"/>
      <c r="X4129" s="73"/>
      <c r="Y4129" s="73"/>
      <c r="Z4129" s="73"/>
      <c r="AA4129" s="73"/>
      <c r="AB4129" s="73"/>
    </row>
    <row r="4130">
      <c r="A4130" s="73"/>
      <c r="B4130" s="73">
        <v>1.041803589E7</v>
      </c>
      <c r="C4130" s="73">
        <v>5.4183970846936E8</v>
      </c>
      <c r="D4130" s="73">
        <v>2.83871812555995E8</v>
      </c>
      <c r="E4130" s="73">
        <v>4.08183107905956E7</v>
      </c>
      <c r="F4130" s="73"/>
      <c r="G4130" s="73"/>
      <c r="H4130" s="73"/>
      <c r="I4130" s="73"/>
      <c r="J4130" s="73"/>
      <c r="K4130" s="73"/>
      <c r="L4130" s="73"/>
      <c r="M4130" s="73"/>
      <c r="N4130" s="73"/>
      <c r="O4130" s="73"/>
      <c r="P4130" s="73"/>
      <c r="Q4130" s="73"/>
      <c r="R4130" s="73"/>
      <c r="S4130" s="73"/>
      <c r="T4130" s="73"/>
      <c r="U4130" s="73"/>
      <c r="V4130" s="73"/>
      <c r="W4130" s="73"/>
      <c r="X4130" s="73"/>
      <c r="Y4130" s="73"/>
      <c r="Z4130" s="73"/>
      <c r="AA4130" s="73"/>
      <c r="AB4130" s="73"/>
    </row>
    <row r="4131">
      <c r="A4131" s="73"/>
      <c r="B4131" s="73">
        <v>1.043130246E7</v>
      </c>
      <c r="C4131" s="73">
        <v>5.42196895979439E8</v>
      </c>
      <c r="D4131" s="73">
        <v>2.84093918264004E8</v>
      </c>
      <c r="E4131" s="73">
        <v>4.08538941728987E7</v>
      </c>
      <c r="F4131" s="73"/>
      <c r="G4131" s="73"/>
      <c r="H4131" s="73"/>
      <c r="I4131" s="73"/>
      <c r="J4131" s="73"/>
      <c r="K4131" s="73"/>
      <c r="L4131" s="73"/>
      <c r="M4131" s="73"/>
      <c r="N4131" s="73"/>
      <c r="O4131" s="73"/>
      <c r="P4131" s="73"/>
      <c r="Q4131" s="73"/>
      <c r="R4131" s="73"/>
      <c r="S4131" s="73"/>
      <c r="T4131" s="73"/>
      <c r="U4131" s="73"/>
      <c r="V4131" s="73"/>
      <c r="W4131" s="73"/>
      <c r="X4131" s="73"/>
      <c r="Y4131" s="73"/>
      <c r="Z4131" s="73"/>
      <c r="AA4131" s="73"/>
      <c r="AB4131" s="73"/>
    </row>
    <row r="4132">
      <c r="A4132" s="73"/>
      <c r="B4132" s="73">
        <v>1.044458522E7</v>
      </c>
      <c r="C4132" s="73">
        <v>5.42554215329514E8</v>
      </c>
      <c r="D4132" s="73">
        <v>2.84316127283997E8</v>
      </c>
      <c r="E4132" s="73">
        <v>4.08894968929928E7</v>
      </c>
      <c r="F4132" s="73"/>
      <c r="G4132" s="73"/>
      <c r="H4132" s="73"/>
      <c r="I4132" s="73"/>
      <c r="J4132" s="73"/>
      <c r="K4132" s="73"/>
      <c r="L4132" s="73"/>
      <c r="M4132" s="73"/>
      <c r="N4132" s="73"/>
      <c r="O4132" s="73"/>
      <c r="P4132" s="73"/>
      <c r="Q4132" s="73"/>
      <c r="R4132" s="73"/>
      <c r="S4132" s="73"/>
      <c r="T4132" s="73"/>
      <c r="U4132" s="73"/>
      <c r="V4132" s="73"/>
      <c r="W4132" s="73"/>
      <c r="X4132" s="73"/>
      <c r="Y4132" s="73"/>
      <c r="Z4132" s="73"/>
      <c r="AA4132" s="73"/>
      <c r="AB4132" s="73"/>
    </row>
    <row r="4133">
      <c r="A4133" s="73"/>
      <c r="B4133" s="73">
        <v>1.045788406E7</v>
      </c>
      <c r="C4133" s="73">
        <v>5.42911699479584E8</v>
      </c>
      <c r="D4133" s="73">
        <v>2.8453845979199E8</v>
      </c>
      <c r="E4133" s="73">
        <v>4.09251194020139E7</v>
      </c>
      <c r="F4133" s="73"/>
      <c r="G4133" s="73"/>
      <c r="H4133" s="73"/>
      <c r="I4133" s="73"/>
      <c r="J4133" s="73"/>
      <c r="K4133" s="73"/>
      <c r="L4133" s="73"/>
      <c r="M4133" s="73"/>
      <c r="N4133" s="73"/>
      <c r="O4133" s="73"/>
      <c r="P4133" s="73"/>
      <c r="Q4133" s="73"/>
      <c r="R4133" s="73"/>
      <c r="S4133" s="73"/>
      <c r="T4133" s="73"/>
      <c r="U4133" s="73"/>
      <c r="V4133" s="73"/>
      <c r="W4133" s="73"/>
      <c r="X4133" s="73"/>
      <c r="Y4133" s="73"/>
      <c r="Z4133" s="73"/>
      <c r="AA4133" s="73"/>
      <c r="AB4133" s="73"/>
    </row>
    <row r="4134">
      <c r="A4134" s="73"/>
      <c r="B4134" s="73">
        <v>1.04711993E7</v>
      </c>
      <c r="C4134" s="73">
        <v>5.4326931546965E8</v>
      </c>
      <c r="D4134" s="73">
        <v>2.84760895771999E8</v>
      </c>
      <c r="E4134" s="73">
        <v>4.09607645288897E7</v>
      </c>
      <c r="F4134" s="73"/>
      <c r="G4134" s="73"/>
      <c r="H4134" s="73"/>
      <c r="I4134" s="73"/>
      <c r="J4134" s="73"/>
      <c r="K4134" s="73"/>
      <c r="L4134" s="73"/>
      <c r="M4134" s="73"/>
      <c r="N4134" s="73"/>
      <c r="O4134" s="73"/>
      <c r="P4134" s="73"/>
      <c r="Q4134" s="73"/>
      <c r="R4134" s="73"/>
      <c r="S4134" s="73"/>
      <c r="T4134" s="73"/>
      <c r="U4134" s="73"/>
      <c r="V4134" s="73"/>
      <c r="W4134" s="73"/>
      <c r="X4134" s="73"/>
      <c r="Y4134" s="73"/>
      <c r="Z4134" s="73"/>
      <c r="AA4134" s="73"/>
      <c r="AB4134" s="73"/>
    </row>
    <row r="4135">
      <c r="A4135" s="73"/>
      <c r="B4135" s="73">
        <v>1.048453027E7</v>
      </c>
      <c r="C4135" s="73">
        <v>5.43627096259712E8</v>
      </c>
      <c r="D4135" s="73">
        <v>2.84983434903992E8</v>
      </c>
      <c r="E4135" s="73">
        <v>4.09964308320204E7</v>
      </c>
      <c r="F4135" s="73"/>
      <c r="G4135" s="73"/>
      <c r="H4135" s="73"/>
      <c r="I4135" s="73"/>
      <c r="J4135" s="73"/>
      <c r="K4135" s="73"/>
      <c r="L4135" s="73"/>
      <c r="M4135" s="73"/>
      <c r="N4135" s="73"/>
      <c r="O4135" s="73"/>
      <c r="P4135" s="73"/>
      <c r="Q4135" s="73"/>
      <c r="R4135" s="73"/>
      <c r="S4135" s="73"/>
      <c r="T4135" s="73"/>
      <c r="U4135" s="73"/>
      <c r="V4135" s="73"/>
      <c r="W4135" s="73"/>
      <c r="X4135" s="73"/>
      <c r="Y4135" s="73"/>
      <c r="Z4135" s="73"/>
      <c r="AA4135" s="73"/>
      <c r="AB4135" s="73"/>
    </row>
    <row r="4136">
      <c r="A4136" s="73"/>
      <c r="B4136" s="73">
        <v>1.049787757E7</v>
      </c>
      <c r="C4136" s="73">
        <v>5.43985008889771E8</v>
      </c>
      <c r="D4136" s="73">
        <v>2.85206097684001E8</v>
      </c>
      <c r="E4136" s="73">
        <v>4.1032117093678E7</v>
      </c>
      <c r="F4136" s="73"/>
      <c r="G4136" s="73"/>
      <c r="H4136" s="73"/>
      <c r="I4136" s="73"/>
      <c r="J4136" s="73"/>
      <c r="K4136" s="73"/>
      <c r="L4136" s="73"/>
      <c r="M4136" s="73"/>
      <c r="N4136" s="73"/>
      <c r="O4136" s="73"/>
      <c r="P4136" s="73"/>
      <c r="Q4136" s="73"/>
      <c r="R4136" s="73"/>
      <c r="S4136" s="73"/>
      <c r="T4136" s="73"/>
      <c r="U4136" s="73"/>
      <c r="V4136" s="73"/>
      <c r="W4136" s="73"/>
      <c r="X4136" s="73"/>
      <c r="Y4136" s="73"/>
      <c r="Z4136" s="73"/>
      <c r="AA4136" s="73"/>
      <c r="AB4136" s="73"/>
    </row>
    <row r="4137">
      <c r="A4137" s="73"/>
      <c r="B4137" s="73">
        <v>1.051124096E7</v>
      </c>
      <c r="C4137" s="73">
        <v>5.44343053359825E8</v>
      </c>
      <c r="D4137" s="73">
        <v>2.85428863775994E8</v>
      </c>
      <c r="E4137" s="73">
        <v>4.10678248707904E7</v>
      </c>
      <c r="F4137" s="73"/>
      <c r="G4137" s="73"/>
      <c r="H4137" s="73"/>
      <c r="I4137" s="73"/>
      <c r="J4137" s="73"/>
      <c r="K4137" s="73"/>
      <c r="L4137" s="73"/>
      <c r="M4137" s="73"/>
      <c r="N4137" s="73"/>
      <c r="O4137" s="73"/>
      <c r="P4137" s="73"/>
      <c r="Q4137" s="73"/>
      <c r="R4137" s="73"/>
      <c r="S4137" s="73"/>
      <c r="T4137" s="73"/>
      <c r="U4137" s="73"/>
      <c r="V4137" s="73"/>
      <c r="W4137" s="73"/>
      <c r="X4137" s="73"/>
      <c r="Y4137" s="73"/>
      <c r="Z4137" s="73"/>
      <c r="AA4137" s="73"/>
      <c r="AB4137" s="73"/>
    </row>
    <row r="4138">
      <c r="A4138" s="73"/>
      <c r="B4138" s="73">
        <v>1.052462112E7</v>
      </c>
      <c r="C4138" s="73">
        <v>5.44701295589874E8</v>
      </c>
      <c r="D4138" s="73">
        <v>2.85651753660002E8</v>
      </c>
      <c r="E4138" s="73">
        <v>4.11035532848297E7</v>
      </c>
      <c r="F4138" s="73"/>
      <c r="G4138" s="73"/>
      <c r="H4138" s="73"/>
      <c r="I4138" s="73"/>
      <c r="J4138" s="73"/>
      <c r="K4138" s="73"/>
      <c r="L4138" s="73"/>
      <c r="M4138" s="73"/>
      <c r="N4138" s="73"/>
      <c r="O4138" s="73"/>
      <c r="P4138" s="73"/>
      <c r="Q4138" s="73"/>
      <c r="R4138" s="73"/>
      <c r="S4138" s="73"/>
      <c r="T4138" s="73"/>
      <c r="U4138" s="73"/>
      <c r="V4138" s="73"/>
      <c r="W4138" s="73"/>
      <c r="X4138" s="73"/>
      <c r="Y4138" s="73"/>
      <c r="Z4138" s="73"/>
      <c r="AA4138" s="73"/>
      <c r="AB4138" s="73"/>
    </row>
    <row r="4139">
      <c r="A4139" s="73"/>
      <c r="B4139" s="73">
        <v>1.053801691E7</v>
      </c>
      <c r="C4139" s="73">
        <v>5.4505966965992E8</v>
      </c>
      <c r="D4139" s="73">
        <v>2.85874767031996E8</v>
      </c>
      <c r="E4139" s="73">
        <v>4.1139301857524E7</v>
      </c>
      <c r="F4139" s="73"/>
      <c r="G4139" s="73"/>
      <c r="H4139" s="73"/>
      <c r="I4139" s="73"/>
      <c r="J4139" s="73"/>
      <c r="K4139" s="73"/>
      <c r="L4139" s="73"/>
      <c r="M4139" s="73"/>
      <c r="N4139" s="73"/>
      <c r="O4139" s="73"/>
      <c r="P4139" s="73"/>
      <c r="Q4139" s="73"/>
      <c r="R4139" s="73"/>
      <c r="S4139" s="73"/>
      <c r="T4139" s="73"/>
      <c r="U4139" s="73"/>
      <c r="V4139" s="73"/>
      <c r="W4139" s="73"/>
      <c r="X4139" s="73"/>
      <c r="Y4139" s="73"/>
      <c r="Z4139" s="73"/>
      <c r="AA4139" s="73"/>
      <c r="AB4139" s="73"/>
    </row>
    <row r="4140">
      <c r="A4140" s="73"/>
      <c r="B4140" s="73">
        <v>1.055142899E7</v>
      </c>
      <c r="C4140" s="73">
        <v>5.45418175569962E8</v>
      </c>
      <c r="D4140" s="73">
        <v>2.86097863235989E8</v>
      </c>
      <c r="E4140" s="73">
        <v>4.1175073302473E7</v>
      </c>
      <c r="F4140" s="73"/>
      <c r="G4140" s="73"/>
      <c r="H4140" s="73"/>
      <c r="I4140" s="73"/>
      <c r="J4140" s="73"/>
      <c r="K4140" s="73"/>
      <c r="L4140" s="73"/>
      <c r="M4140" s="73"/>
      <c r="N4140" s="73"/>
      <c r="O4140" s="73"/>
      <c r="P4140" s="73"/>
      <c r="Q4140" s="73"/>
      <c r="R4140" s="73"/>
      <c r="S4140" s="73"/>
      <c r="T4140" s="73"/>
      <c r="U4140" s="73"/>
      <c r="V4140" s="73"/>
      <c r="W4140" s="73"/>
      <c r="X4140" s="73"/>
      <c r="Y4140" s="73"/>
      <c r="Z4140" s="73"/>
      <c r="AA4140" s="73"/>
      <c r="AB4140" s="73"/>
    </row>
    <row r="4141">
      <c r="A4141" s="73"/>
      <c r="B4141" s="73">
        <v>1.056485723E7</v>
      </c>
      <c r="C4141" s="73">
        <v>5.45776879239998E8</v>
      </c>
      <c r="D4141" s="73">
        <v>2.86321103711998E8</v>
      </c>
      <c r="E4141" s="73">
        <v>4.12108645363489E7</v>
      </c>
      <c r="F4141" s="73"/>
      <c r="G4141" s="73"/>
      <c r="H4141" s="73"/>
      <c r="I4141" s="73"/>
      <c r="J4141" s="73"/>
      <c r="K4141" s="73"/>
      <c r="L4141" s="73"/>
      <c r="M4141" s="73"/>
      <c r="N4141" s="73"/>
      <c r="O4141" s="73"/>
      <c r="P4141" s="73"/>
      <c r="Q4141" s="73"/>
      <c r="R4141" s="73"/>
      <c r="S4141" s="73"/>
      <c r="T4141" s="73"/>
      <c r="U4141" s="73"/>
      <c r="V4141" s="73"/>
      <c r="W4141" s="73"/>
      <c r="X4141" s="73"/>
      <c r="Y4141" s="73"/>
      <c r="Z4141" s="73"/>
      <c r="AA4141" s="73"/>
      <c r="AB4141" s="73"/>
    </row>
    <row r="4142">
      <c r="A4142" s="73"/>
      <c r="B4142" s="73">
        <v>1.057830175E7</v>
      </c>
      <c r="C4142" s="73">
        <v>5.46135681790031E8</v>
      </c>
      <c r="D4142" s="73">
        <v>2.86544447355991E8</v>
      </c>
      <c r="E4142" s="73">
        <v>4.12466772856797E7</v>
      </c>
      <c r="F4142" s="73"/>
      <c r="G4142" s="73"/>
      <c r="H4142" s="73"/>
      <c r="I4142" s="73"/>
      <c r="J4142" s="73"/>
      <c r="K4142" s="73"/>
      <c r="L4142" s="73"/>
      <c r="M4142" s="73"/>
      <c r="N4142" s="73"/>
      <c r="O4142" s="73"/>
      <c r="P4142" s="73"/>
      <c r="Q4142" s="73"/>
      <c r="R4142" s="73"/>
      <c r="S4142" s="73"/>
      <c r="T4142" s="73"/>
      <c r="U4142" s="73"/>
      <c r="V4142" s="73"/>
      <c r="W4142" s="73"/>
      <c r="X4142" s="73"/>
      <c r="Y4142" s="73"/>
      <c r="Z4142" s="73"/>
      <c r="AA4142" s="73"/>
      <c r="AB4142" s="73"/>
    </row>
    <row r="4143">
      <c r="A4143" s="73"/>
      <c r="B4143" s="73">
        <v>1.059176254E7</v>
      </c>
      <c r="C4143" s="73">
        <v>5.4649464914006E8</v>
      </c>
      <c r="D4143" s="73">
        <v>2.86767894151999E8</v>
      </c>
      <c r="E4143" s="73">
        <v>4.12825096543374E7</v>
      </c>
      <c r="F4143" s="73"/>
      <c r="G4143" s="73"/>
      <c r="H4143" s="73"/>
      <c r="I4143" s="73"/>
      <c r="J4143" s="73"/>
      <c r="K4143" s="73"/>
      <c r="L4143" s="73"/>
      <c r="M4143" s="73"/>
      <c r="N4143" s="73"/>
      <c r="O4143" s="73"/>
      <c r="P4143" s="73"/>
      <c r="Q4143" s="73"/>
      <c r="R4143" s="73"/>
      <c r="S4143" s="73"/>
      <c r="T4143" s="73"/>
      <c r="U4143" s="73"/>
      <c r="V4143" s="73"/>
      <c r="W4143" s="73"/>
      <c r="X4143" s="73"/>
      <c r="Y4143" s="73"/>
      <c r="Z4143" s="73"/>
      <c r="AA4143" s="73"/>
      <c r="AB4143" s="73"/>
    </row>
    <row r="4144">
      <c r="A4144" s="73"/>
      <c r="B4144" s="73">
        <v>1.060523942E7</v>
      </c>
      <c r="C4144" s="73">
        <v>5.46853781290085E8</v>
      </c>
      <c r="D4144" s="73">
        <v>2.86991464739993E8</v>
      </c>
      <c r="E4144" s="73">
        <v>4.13183642168499E7</v>
      </c>
      <c r="F4144" s="73"/>
      <c r="G4144" s="73"/>
      <c r="H4144" s="73"/>
      <c r="I4144" s="73"/>
      <c r="J4144" s="73"/>
      <c r="K4144" s="73"/>
      <c r="L4144" s="73"/>
      <c r="M4144" s="73"/>
      <c r="N4144" s="73"/>
      <c r="O4144" s="73"/>
      <c r="P4144" s="73"/>
      <c r="Q4144" s="73"/>
      <c r="R4144" s="73"/>
      <c r="S4144" s="73"/>
      <c r="T4144" s="73"/>
      <c r="U4144" s="73"/>
      <c r="V4144" s="73"/>
      <c r="W4144" s="73"/>
      <c r="X4144" s="73"/>
      <c r="Y4144" s="73"/>
      <c r="Z4144" s="73"/>
      <c r="AA4144" s="73"/>
      <c r="AB4144" s="73"/>
    </row>
    <row r="4145">
      <c r="A4145" s="73"/>
      <c r="B4145" s="73">
        <v>1.06187329E7</v>
      </c>
      <c r="C4145" s="73">
        <v>5.47213012320107E8</v>
      </c>
      <c r="D4145" s="73">
        <v>2.87215138656001E8</v>
      </c>
      <c r="E4145" s="73">
        <v>4.13542393891533E7</v>
      </c>
      <c r="F4145" s="73"/>
      <c r="G4145" s="73"/>
      <c r="H4145" s="73"/>
      <c r="I4145" s="73"/>
      <c r="J4145" s="73"/>
      <c r="K4145" s="73"/>
      <c r="L4145" s="73"/>
      <c r="M4145" s="73"/>
      <c r="N4145" s="73"/>
      <c r="O4145" s="73"/>
      <c r="P4145" s="73"/>
      <c r="Q4145" s="73"/>
      <c r="R4145" s="73"/>
      <c r="S4145" s="73"/>
      <c r="T4145" s="73"/>
      <c r="U4145" s="73"/>
      <c r="V4145" s="73"/>
      <c r="W4145" s="73"/>
      <c r="X4145" s="73"/>
      <c r="Y4145" s="73"/>
      <c r="Z4145" s="73"/>
      <c r="AA4145" s="73"/>
      <c r="AB4145" s="73"/>
    </row>
    <row r="4146">
      <c r="A4146" s="73"/>
      <c r="B4146" s="73">
        <v>1.063224237E7</v>
      </c>
      <c r="C4146" s="73">
        <v>5.47572441110123E8</v>
      </c>
      <c r="D4146" s="73">
        <v>2.87438936043994E8</v>
      </c>
      <c r="E4146" s="73">
        <v>4.13901360769116E7</v>
      </c>
      <c r="F4146" s="73"/>
      <c r="G4146" s="73"/>
      <c r="H4146" s="73"/>
      <c r="I4146" s="73"/>
      <c r="J4146" s="73"/>
      <c r="K4146" s="73"/>
      <c r="L4146" s="73"/>
      <c r="M4146" s="73"/>
      <c r="N4146" s="73"/>
      <c r="O4146" s="73"/>
      <c r="P4146" s="73"/>
      <c r="Q4146" s="73"/>
      <c r="R4146" s="73"/>
      <c r="S4146" s="73"/>
      <c r="T4146" s="73"/>
      <c r="U4146" s="73"/>
      <c r="V4146" s="73"/>
      <c r="W4146" s="73"/>
      <c r="X4146" s="73"/>
      <c r="Y4146" s="73"/>
      <c r="Z4146" s="73"/>
      <c r="AA4146" s="73"/>
      <c r="AB4146" s="73"/>
    </row>
    <row r="4147">
      <c r="A4147" s="73"/>
      <c r="B4147" s="73">
        <v>1.064576808E7</v>
      </c>
      <c r="C4147" s="73">
        <v>5.47932034700134E8</v>
      </c>
      <c r="D4147" s="73">
        <v>2.87662836904003E8</v>
      </c>
      <c r="E4147" s="73">
        <v>4.14260529775967E7</v>
      </c>
      <c r="F4147" s="73"/>
      <c r="G4147" s="73"/>
      <c r="H4147" s="73"/>
      <c r="I4147" s="73"/>
      <c r="J4147" s="73"/>
      <c r="K4147" s="73"/>
      <c r="L4147" s="73"/>
      <c r="M4147" s="73"/>
      <c r="N4147" s="73"/>
      <c r="O4147" s="73"/>
      <c r="P4147" s="73"/>
      <c r="Q4147" s="73"/>
      <c r="R4147" s="73"/>
      <c r="S4147" s="73"/>
      <c r="T4147" s="73"/>
      <c r="U4147" s="73"/>
      <c r="V4147" s="73"/>
      <c r="W4147" s="73"/>
      <c r="X4147" s="73"/>
      <c r="Y4147" s="73"/>
      <c r="Z4147" s="73"/>
      <c r="AA4147" s="73"/>
      <c r="AB4147" s="73"/>
    </row>
    <row r="4148">
      <c r="A4148" s="73"/>
      <c r="B4148" s="73">
        <v>1.065931044E7</v>
      </c>
      <c r="C4148" s="73">
        <v>5.48291727170143E8</v>
      </c>
      <c r="D4148" s="73">
        <v>2.87886861395996E8</v>
      </c>
      <c r="E4148" s="73">
        <v>4.14619919873367E7</v>
      </c>
      <c r="F4148" s="73"/>
      <c r="G4148" s="73"/>
      <c r="H4148" s="73"/>
      <c r="I4148" s="73"/>
      <c r="J4148" s="73"/>
      <c r="K4148" s="73"/>
      <c r="L4148" s="73"/>
      <c r="M4148" s="73"/>
      <c r="N4148" s="73"/>
      <c r="O4148" s="73"/>
      <c r="P4148" s="73"/>
      <c r="Q4148" s="73"/>
      <c r="R4148" s="73"/>
      <c r="S4148" s="73"/>
      <c r="T4148" s="73"/>
      <c r="U4148" s="73"/>
      <c r="V4148" s="73"/>
      <c r="W4148" s="73"/>
      <c r="X4148" s="73"/>
      <c r="Y4148" s="73"/>
      <c r="Z4148" s="73"/>
      <c r="AA4148" s="73"/>
      <c r="AB4148" s="73"/>
    </row>
    <row r="4149">
      <c r="A4149" s="73"/>
      <c r="B4149" s="73">
        <v>1.06728686E7</v>
      </c>
      <c r="C4149" s="73">
        <v>5.48651584440147E8</v>
      </c>
      <c r="D4149" s="73">
        <v>2.8811098905599E8</v>
      </c>
      <c r="E4149" s="73">
        <v>4.14979501076036E7</v>
      </c>
      <c r="F4149" s="73"/>
      <c r="G4149" s="73"/>
      <c r="H4149" s="73"/>
      <c r="I4149" s="73"/>
      <c r="J4149" s="73"/>
      <c r="K4149" s="73"/>
      <c r="L4149" s="73"/>
      <c r="M4149" s="73"/>
      <c r="N4149" s="73"/>
      <c r="O4149" s="73"/>
      <c r="P4149" s="73"/>
      <c r="Q4149" s="73"/>
      <c r="R4149" s="73"/>
      <c r="S4149" s="73"/>
      <c r="T4149" s="73"/>
      <c r="U4149" s="73"/>
      <c r="V4149" s="73"/>
      <c r="W4149" s="73"/>
      <c r="X4149" s="73"/>
      <c r="Y4149" s="73"/>
      <c r="Z4149" s="73"/>
      <c r="AA4149" s="73"/>
      <c r="AB4149" s="73"/>
    </row>
    <row r="4150">
      <c r="A4150" s="73"/>
      <c r="B4150" s="73">
        <v>1.068644353E7</v>
      </c>
      <c r="C4150" s="73">
        <v>5.49011606510147E8</v>
      </c>
      <c r="D4150" s="73">
        <v>2.88335240363998E8</v>
      </c>
      <c r="E4150" s="73">
        <v>4.15339302521253E7</v>
      </c>
      <c r="F4150" s="73"/>
      <c r="G4150" s="73"/>
      <c r="H4150" s="73"/>
      <c r="I4150" s="73"/>
      <c r="J4150" s="73"/>
      <c r="K4150" s="73"/>
      <c r="L4150" s="73"/>
      <c r="M4150" s="73"/>
      <c r="N4150" s="73"/>
      <c r="O4150" s="73"/>
      <c r="P4150" s="73"/>
      <c r="Q4150" s="73"/>
      <c r="R4150" s="73"/>
      <c r="S4150" s="73"/>
      <c r="T4150" s="73"/>
      <c r="U4150" s="73"/>
      <c r="V4150" s="73"/>
      <c r="W4150" s="73"/>
      <c r="X4150" s="73"/>
      <c r="Y4150" s="73"/>
      <c r="Z4150" s="73"/>
      <c r="AA4150" s="73"/>
      <c r="AB4150" s="73"/>
    </row>
    <row r="4151">
      <c r="A4151" s="73"/>
      <c r="B4151" s="73">
        <v>1.070003469E7</v>
      </c>
      <c r="C4151" s="73">
        <v>5.49371760420143E8</v>
      </c>
      <c r="D4151" s="73">
        <v>2.88559595127992E8</v>
      </c>
      <c r="E4151" s="73">
        <v>4.15699316000379E7</v>
      </c>
      <c r="F4151" s="73"/>
      <c r="G4151" s="73"/>
      <c r="H4151" s="73"/>
      <c r="I4151" s="73"/>
      <c r="J4151" s="73"/>
      <c r="K4151" s="73"/>
      <c r="L4151" s="73"/>
      <c r="M4151" s="73"/>
      <c r="N4151" s="73"/>
      <c r="O4151" s="73"/>
      <c r="P4151" s="73"/>
      <c r="Q4151" s="73"/>
      <c r="R4151" s="73"/>
      <c r="S4151" s="73"/>
      <c r="T4151" s="73"/>
      <c r="U4151" s="73"/>
      <c r="V4151" s="73"/>
      <c r="W4151" s="73"/>
      <c r="X4151" s="73"/>
      <c r="Y4151" s="73"/>
      <c r="Z4151" s="73"/>
      <c r="AA4151" s="73"/>
      <c r="AB4151" s="73"/>
    </row>
    <row r="4152">
      <c r="A4152" s="73"/>
      <c r="B4152" s="73">
        <v>1.07136421E7</v>
      </c>
      <c r="C4152" s="73">
        <v>5.49732046170136E8</v>
      </c>
      <c r="D4152" s="73">
        <v>2.8878405306E8</v>
      </c>
      <c r="E4152" s="73">
        <v>4.16059548874053E7</v>
      </c>
      <c r="F4152" s="73"/>
      <c r="G4152" s="73"/>
      <c r="H4152" s="73"/>
      <c r="I4152" s="73"/>
      <c r="J4152" s="73"/>
      <c r="K4152" s="73"/>
      <c r="L4152" s="73"/>
      <c r="M4152" s="73"/>
      <c r="N4152" s="73"/>
      <c r="O4152" s="73"/>
      <c r="P4152" s="73"/>
      <c r="Q4152" s="73"/>
      <c r="R4152" s="73"/>
      <c r="S4152" s="73"/>
      <c r="T4152" s="73"/>
      <c r="U4152" s="73"/>
      <c r="V4152" s="73"/>
      <c r="W4152" s="73"/>
      <c r="X4152" s="73"/>
      <c r="Y4152" s="73"/>
      <c r="Z4152" s="73"/>
      <c r="AA4152" s="73"/>
      <c r="AB4152" s="73"/>
    </row>
    <row r="4153">
      <c r="A4153" s="73"/>
      <c r="B4153" s="73">
        <v>1.072726594E7</v>
      </c>
      <c r="C4153" s="73">
        <v>5.50092463760124E8</v>
      </c>
      <c r="D4153" s="73">
        <v>2.89008654959993E8</v>
      </c>
      <c r="E4153" s="73">
        <v>4.16419969460997E7</v>
      </c>
      <c r="F4153" s="73"/>
      <c r="G4153" s="73"/>
      <c r="H4153" s="73"/>
      <c r="I4153" s="73"/>
      <c r="J4153" s="73"/>
      <c r="K4153" s="73"/>
      <c r="L4153" s="73"/>
      <c r="M4153" s="73"/>
      <c r="N4153" s="73"/>
      <c r="O4153" s="73"/>
      <c r="P4153" s="73"/>
      <c r="Q4153" s="73"/>
      <c r="R4153" s="73"/>
      <c r="S4153" s="73"/>
      <c r="T4153" s="73"/>
      <c r="U4153" s="73"/>
      <c r="V4153" s="73"/>
      <c r="W4153" s="73"/>
      <c r="X4153" s="73"/>
      <c r="Y4153" s="73"/>
      <c r="Z4153" s="73"/>
      <c r="AA4153" s="73"/>
      <c r="AB4153" s="73"/>
    </row>
    <row r="4154">
      <c r="A4154" s="73"/>
      <c r="B4154" s="73">
        <v>1.074090611E7</v>
      </c>
      <c r="C4154" s="73">
        <v>5.50453145030106E8</v>
      </c>
      <c r="D4154" s="73">
        <v>2.89233339836002E8</v>
      </c>
      <c r="E4154" s="73">
        <v>4.16780615378489E7</v>
      </c>
      <c r="F4154" s="73"/>
      <c r="G4154" s="73"/>
      <c r="H4154" s="73"/>
      <c r="I4154" s="73"/>
      <c r="J4154" s="73"/>
      <c r="K4154" s="73"/>
      <c r="L4154" s="73"/>
      <c r="M4154" s="73"/>
      <c r="N4154" s="73"/>
      <c r="O4154" s="73"/>
      <c r="P4154" s="73"/>
      <c r="Q4154" s="73"/>
      <c r="R4154" s="73"/>
      <c r="S4154" s="73"/>
      <c r="T4154" s="73"/>
      <c r="U4154" s="73"/>
      <c r="V4154" s="73"/>
      <c r="W4154" s="73"/>
      <c r="X4154" s="73"/>
      <c r="Y4154" s="73"/>
      <c r="Z4154" s="73"/>
      <c r="AA4154" s="73"/>
      <c r="AB4154" s="73"/>
    </row>
    <row r="4155">
      <c r="A4155" s="73"/>
      <c r="B4155" s="73">
        <v>1.075456256E7</v>
      </c>
      <c r="C4155" s="73">
        <v>5.50813892220085E8</v>
      </c>
      <c r="D4155" s="73">
        <v>2.89458168839995E8</v>
      </c>
      <c r="E4155" s="73">
        <v>4.1714146400189E7</v>
      </c>
      <c r="F4155" s="73"/>
      <c r="G4155" s="73"/>
      <c r="H4155" s="73"/>
      <c r="I4155" s="73"/>
      <c r="J4155" s="73"/>
      <c r="K4155" s="73"/>
      <c r="L4155" s="73"/>
      <c r="M4155" s="73"/>
      <c r="N4155" s="73"/>
      <c r="O4155" s="73"/>
      <c r="P4155" s="73"/>
      <c r="Q4155" s="73"/>
      <c r="R4155" s="73"/>
      <c r="S4155" s="73"/>
      <c r="T4155" s="73"/>
      <c r="U4155" s="73"/>
      <c r="V4155" s="73"/>
      <c r="W4155" s="73"/>
      <c r="X4155" s="73"/>
      <c r="Y4155" s="73"/>
      <c r="Z4155" s="73"/>
      <c r="AA4155" s="73"/>
      <c r="AB4155" s="73"/>
    </row>
    <row r="4156">
      <c r="A4156" s="73"/>
      <c r="B4156" s="73">
        <v>1.076823582E7</v>
      </c>
      <c r="C4156" s="73">
        <v>5.5117480421006E8</v>
      </c>
      <c r="D4156" s="73">
        <v>2.89683080516004E8</v>
      </c>
      <c r="E4156" s="73">
        <v>4.17502526355199E7</v>
      </c>
      <c r="F4156" s="73"/>
      <c r="G4156" s="73"/>
      <c r="H4156" s="73"/>
      <c r="I4156" s="73"/>
      <c r="J4156" s="73"/>
      <c r="K4156" s="73"/>
      <c r="L4156" s="73"/>
      <c r="M4156" s="73"/>
      <c r="N4156" s="73"/>
      <c r="O4156" s="73"/>
      <c r="P4156" s="73"/>
      <c r="Q4156" s="73"/>
      <c r="R4156" s="73"/>
      <c r="S4156" s="73"/>
      <c r="T4156" s="73"/>
      <c r="U4156" s="73"/>
      <c r="V4156" s="73"/>
      <c r="W4156" s="73"/>
      <c r="X4156" s="73"/>
      <c r="Y4156" s="73"/>
      <c r="Z4156" s="73"/>
      <c r="AA4156" s="73"/>
      <c r="AB4156" s="73"/>
    </row>
    <row r="4157">
      <c r="A4157" s="73"/>
      <c r="B4157" s="73">
        <v>1.078192507E7</v>
      </c>
      <c r="C4157" s="73">
        <v>5.51535848040031E8</v>
      </c>
      <c r="D4157" s="73">
        <v>2.89908115999997E8</v>
      </c>
      <c r="E4157" s="73">
        <v>4.17863801590417E7</v>
      </c>
      <c r="F4157" s="73"/>
      <c r="G4157" s="73"/>
      <c r="H4157" s="73"/>
      <c r="I4157" s="73"/>
      <c r="J4157" s="73"/>
      <c r="K4157" s="73"/>
      <c r="L4157" s="73"/>
      <c r="M4157" s="73"/>
      <c r="N4157" s="73"/>
      <c r="O4157" s="73"/>
      <c r="P4157" s="73"/>
      <c r="Q4157" s="73"/>
      <c r="R4157" s="73"/>
      <c r="S4157" s="73"/>
      <c r="T4157" s="73"/>
      <c r="U4157" s="73"/>
      <c r="V4157" s="73"/>
      <c r="W4157" s="73"/>
      <c r="X4157" s="73"/>
      <c r="Y4157" s="73"/>
      <c r="Z4157" s="73"/>
      <c r="AA4157" s="73"/>
      <c r="AB4157" s="73"/>
    </row>
    <row r="4158">
      <c r="A4158" s="73"/>
      <c r="B4158" s="73">
        <v>1.079563097E7</v>
      </c>
      <c r="C4158" s="73">
        <v>5.51897056669998E8</v>
      </c>
      <c r="D4158" s="73">
        <v>2.9013327511599E8</v>
      </c>
      <c r="E4158" s="73">
        <v>4.18225291980183E7</v>
      </c>
      <c r="F4158" s="73"/>
      <c r="G4158" s="73"/>
      <c r="H4158" s="73"/>
      <c r="I4158" s="73"/>
      <c r="J4158" s="73"/>
      <c r="K4158" s="73"/>
      <c r="L4158" s="73"/>
      <c r="M4158" s="73"/>
      <c r="N4158" s="73"/>
      <c r="O4158" s="73"/>
      <c r="P4158" s="73"/>
      <c r="Q4158" s="73"/>
      <c r="R4158" s="73"/>
      <c r="S4158" s="73"/>
      <c r="T4158" s="73"/>
      <c r="U4158" s="73"/>
      <c r="V4158" s="73"/>
      <c r="W4158" s="73"/>
      <c r="X4158" s="73"/>
      <c r="Y4158" s="73"/>
      <c r="Z4158" s="73"/>
      <c r="AA4158" s="73"/>
      <c r="AB4158" s="73"/>
    </row>
    <row r="4159">
      <c r="A4159" s="73"/>
      <c r="B4159" s="73">
        <v>1.080935311E7</v>
      </c>
      <c r="C4159" s="73">
        <v>5.52258397139961E8</v>
      </c>
      <c r="D4159" s="73">
        <v>2.90358537687999E8</v>
      </c>
      <c r="E4159" s="73">
        <v>4.18586976019219E7</v>
      </c>
      <c r="F4159" s="73"/>
      <c r="G4159" s="73"/>
      <c r="H4159" s="73"/>
      <c r="I4159" s="73"/>
      <c r="J4159" s="73"/>
      <c r="K4159" s="73"/>
      <c r="L4159" s="73"/>
      <c r="M4159" s="73"/>
      <c r="N4159" s="73"/>
      <c r="O4159" s="73"/>
      <c r="P4159" s="73"/>
      <c r="Q4159" s="73"/>
      <c r="R4159" s="73"/>
      <c r="S4159" s="73"/>
      <c r="T4159" s="73"/>
      <c r="U4159" s="73"/>
      <c r="V4159" s="73"/>
      <c r="W4159" s="73"/>
      <c r="X4159" s="73"/>
      <c r="Y4159" s="73"/>
      <c r="Z4159" s="73"/>
      <c r="AA4159" s="73"/>
      <c r="AB4159" s="73"/>
    </row>
    <row r="4160">
      <c r="A4160" s="73"/>
      <c r="B4160" s="73">
        <v>1.082309202E7</v>
      </c>
      <c r="C4160" s="73">
        <v>5.5261990240992E8</v>
      </c>
      <c r="D4160" s="73">
        <v>2.90583923603992E8</v>
      </c>
      <c r="E4160" s="73">
        <v>4.18948882844802E7</v>
      </c>
      <c r="F4160" s="73"/>
      <c r="G4160" s="73"/>
      <c r="H4160" s="73"/>
      <c r="I4160" s="73"/>
      <c r="J4160" s="73"/>
      <c r="K4160" s="73"/>
      <c r="L4160" s="73"/>
      <c r="M4160" s="73"/>
      <c r="N4160" s="73"/>
      <c r="O4160" s="73"/>
      <c r="P4160" s="73"/>
      <c r="Q4160" s="73"/>
      <c r="R4160" s="73"/>
      <c r="S4160" s="73"/>
      <c r="T4160" s="73"/>
      <c r="U4160" s="73"/>
      <c r="V4160" s="73"/>
      <c r="W4160" s="73"/>
      <c r="X4160" s="73"/>
      <c r="Y4160" s="73"/>
      <c r="Z4160" s="73"/>
      <c r="AA4160" s="73"/>
      <c r="AB4160" s="73"/>
    </row>
    <row r="4161">
      <c r="A4161" s="73"/>
      <c r="B4161" s="73">
        <v>1.08368468E7</v>
      </c>
      <c r="C4161" s="73">
        <v>5.52981572479874E8</v>
      </c>
      <c r="D4161" s="73">
        <v>2.90809412992001E8</v>
      </c>
      <c r="E4161" s="73">
        <v>4.19310993224295E7</v>
      </c>
      <c r="F4161" s="73"/>
      <c r="G4161" s="73"/>
      <c r="H4161" s="73"/>
      <c r="I4161" s="73"/>
      <c r="J4161" s="73"/>
      <c r="K4161" s="73"/>
      <c r="L4161" s="73"/>
      <c r="M4161" s="73"/>
      <c r="N4161" s="73"/>
      <c r="O4161" s="73"/>
      <c r="P4161" s="73"/>
      <c r="Q4161" s="73"/>
      <c r="R4161" s="73"/>
      <c r="S4161" s="73"/>
      <c r="T4161" s="73"/>
      <c r="U4161" s="73"/>
      <c r="V4161" s="73"/>
      <c r="W4161" s="73"/>
      <c r="X4161" s="73"/>
      <c r="Y4161" s="73"/>
      <c r="Z4161" s="73"/>
      <c r="AA4161" s="73"/>
      <c r="AB4161" s="73"/>
    </row>
    <row r="4162">
      <c r="A4162" s="73"/>
      <c r="B4162" s="73">
        <v>1.085061824E7</v>
      </c>
      <c r="C4162" s="73">
        <v>5.53343341429825E8</v>
      </c>
      <c r="D4162" s="73">
        <v>2.91035026011994E8</v>
      </c>
      <c r="E4162" s="73">
        <v>4.19673313093697E7</v>
      </c>
      <c r="F4162" s="73"/>
      <c r="G4162" s="73"/>
      <c r="H4162" s="73"/>
      <c r="I4162" s="73"/>
      <c r="J4162" s="73"/>
      <c r="K4162" s="73"/>
      <c r="L4162" s="73"/>
      <c r="M4162" s="73"/>
      <c r="N4162" s="73"/>
      <c r="O4162" s="73"/>
      <c r="P4162" s="73"/>
      <c r="Q4162" s="73"/>
      <c r="R4162" s="73"/>
      <c r="S4162" s="73"/>
      <c r="T4162" s="73"/>
      <c r="U4162" s="73"/>
      <c r="V4162" s="73"/>
      <c r="W4162" s="73"/>
      <c r="X4162" s="73"/>
      <c r="Y4162" s="73"/>
      <c r="Z4162" s="73"/>
      <c r="AA4162" s="73"/>
      <c r="AB4162" s="73"/>
    </row>
    <row r="4163">
      <c r="A4163" s="73"/>
      <c r="B4163" s="73">
        <v>1.086440665E7</v>
      </c>
      <c r="C4163" s="73">
        <v>5.53705308139771E8</v>
      </c>
      <c r="D4163" s="73">
        <v>2.91260742344002E8</v>
      </c>
      <c r="E4163" s="73">
        <v>4.20035864229645E7</v>
      </c>
      <c r="F4163" s="73"/>
      <c r="G4163" s="73"/>
      <c r="H4163" s="73"/>
      <c r="I4163" s="73"/>
      <c r="J4163" s="73"/>
      <c r="K4163" s="73"/>
      <c r="L4163" s="73"/>
      <c r="M4163" s="73"/>
      <c r="N4163" s="73"/>
      <c r="O4163" s="73"/>
      <c r="P4163" s="73"/>
      <c r="Q4163" s="73"/>
      <c r="R4163" s="73"/>
      <c r="S4163" s="73"/>
      <c r="T4163" s="73"/>
      <c r="U4163" s="73"/>
      <c r="V4163" s="73"/>
      <c r="W4163" s="73"/>
      <c r="X4163" s="73"/>
      <c r="Y4163" s="73"/>
      <c r="Z4163" s="73"/>
      <c r="AA4163" s="73"/>
      <c r="AB4163" s="73"/>
    </row>
    <row r="4164">
      <c r="A4164" s="73"/>
      <c r="B4164" s="73">
        <v>1.08782111E7</v>
      </c>
      <c r="C4164" s="73">
        <v>5.54067472609711E8</v>
      </c>
      <c r="D4164" s="73">
        <v>2.91486582323996E8</v>
      </c>
      <c r="E4164" s="73">
        <v>4.20398597142865E7</v>
      </c>
      <c r="F4164" s="73"/>
      <c r="G4164" s="73"/>
      <c r="H4164" s="73"/>
      <c r="I4164" s="73"/>
      <c r="J4164" s="73"/>
      <c r="K4164" s="73"/>
      <c r="L4164" s="73"/>
      <c r="M4164" s="73"/>
      <c r="N4164" s="73"/>
      <c r="O4164" s="73"/>
      <c r="P4164" s="73"/>
      <c r="Q4164" s="73"/>
      <c r="R4164" s="73"/>
      <c r="S4164" s="73"/>
      <c r="T4164" s="73"/>
      <c r="U4164" s="73"/>
      <c r="V4164" s="73"/>
      <c r="W4164" s="73"/>
      <c r="X4164" s="73"/>
      <c r="Y4164" s="73"/>
      <c r="Z4164" s="73"/>
      <c r="AA4164" s="73"/>
      <c r="AB4164" s="73"/>
    </row>
    <row r="4165">
      <c r="A4165" s="73"/>
      <c r="B4165" s="73">
        <v>1.089203224E7</v>
      </c>
      <c r="C4165" s="73">
        <v>5.54429637079651E8</v>
      </c>
      <c r="D4165" s="73">
        <v>2.91712525471989E8</v>
      </c>
      <c r="E4165" s="73">
        <v>4.20761568683271E7</v>
      </c>
      <c r="F4165" s="73"/>
      <c r="G4165" s="73"/>
      <c r="H4165" s="73"/>
      <c r="I4165" s="73"/>
      <c r="J4165" s="73"/>
      <c r="K4165" s="73"/>
      <c r="L4165" s="73"/>
      <c r="M4165" s="73"/>
      <c r="N4165" s="73"/>
      <c r="O4165" s="73"/>
      <c r="P4165" s="73"/>
      <c r="Q4165" s="73"/>
      <c r="R4165" s="73"/>
      <c r="S4165" s="73"/>
      <c r="T4165" s="73"/>
      <c r="U4165" s="73"/>
      <c r="V4165" s="73"/>
      <c r="W4165" s="73"/>
      <c r="X4165" s="73"/>
      <c r="Y4165" s="73"/>
      <c r="Z4165" s="73"/>
      <c r="AA4165" s="73"/>
      <c r="AB4165" s="73"/>
    </row>
    <row r="4166">
      <c r="A4166" s="73"/>
      <c r="B4166" s="73">
        <v>1.09058698E7</v>
      </c>
      <c r="C4166" s="73">
        <v>5.54792065229584E8</v>
      </c>
      <c r="D4166" s="73">
        <v>2.91938592395998E8</v>
      </c>
      <c r="E4166" s="73">
        <v>4.21124726512307E7</v>
      </c>
      <c r="F4166" s="73"/>
      <c r="G4166" s="73"/>
      <c r="H4166" s="73"/>
      <c r="I4166" s="73"/>
      <c r="J4166" s="73"/>
      <c r="K4166" s="73"/>
      <c r="L4166" s="73"/>
      <c r="M4166" s="73"/>
      <c r="N4166" s="73"/>
      <c r="O4166" s="73"/>
      <c r="P4166" s="73"/>
      <c r="Q4166" s="73"/>
      <c r="R4166" s="73"/>
      <c r="S4166" s="73"/>
      <c r="T4166" s="73"/>
      <c r="U4166" s="73"/>
      <c r="V4166" s="73"/>
      <c r="W4166" s="73"/>
      <c r="X4166" s="73"/>
      <c r="Y4166" s="73"/>
      <c r="Z4166" s="73"/>
      <c r="AA4166" s="73"/>
      <c r="AB4166" s="73"/>
    </row>
    <row r="4167">
      <c r="A4167" s="73"/>
      <c r="B4167" s="73">
        <v>1.091972375E7</v>
      </c>
      <c r="C4167" s="73">
        <v>5.55154625219513E8</v>
      </c>
      <c r="D4167" s="73">
        <v>2.92164762487991E8</v>
      </c>
      <c r="E4167" s="73">
        <v>4.21488102039891E7</v>
      </c>
      <c r="F4167" s="73"/>
      <c r="G4167" s="73"/>
      <c r="H4167" s="73"/>
      <c r="I4167" s="73"/>
      <c r="J4167" s="73"/>
      <c r="K4167" s="73"/>
      <c r="L4167" s="73"/>
      <c r="M4167" s="73"/>
      <c r="N4167" s="73"/>
      <c r="O4167" s="73"/>
      <c r="P4167" s="73"/>
      <c r="Q4167" s="73"/>
      <c r="R4167" s="73"/>
      <c r="S4167" s="73"/>
      <c r="T4167" s="73"/>
      <c r="U4167" s="73"/>
      <c r="V4167" s="73"/>
      <c r="W4167" s="73"/>
      <c r="X4167" s="73"/>
      <c r="Y4167" s="73"/>
      <c r="Z4167" s="73"/>
      <c r="AA4167" s="73"/>
      <c r="AB4167" s="73"/>
    </row>
    <row r="4168">
      <c r="A4168" s="73"/>
      <c r="B4168" s="73">
        <v>1.093359458E7</v>
      </c>
      <c r="C4168" s="73">
        <v>5.55517317049438E8</v>
      </c>
      <c r="D4168" s="73">
        <v>2.92391056371999E8</v>
      </c>
      <c r="E4168" s="73">
        <v>4.21851694418024E7</v>
      </c>
      <c r="F4168" s="73"/>
      <c r="G4168" s="73"/>
      <c r="H4168" s="73"/>
      <c r="I4168" s="73"/>
      <c r="J4168" s="73"/>
      <c r="K4168" s="73"/>
      <c r="L4168" s="73"/>
      <c r="M4168" s="73"/>
      <c r="N4168" s="73"/>
      <c r="O4168" s="73"/>
      <c r="P4168" s="73"/>
      <c r="Q4168" s="73"/>
      <c r="R4168" s="73"/>
      <c r="S4168" s="73"/>
      <c r="T4168" s="73"/>
      <c r="U4168" s="73"/>
      <c r="V4168" s="73"/>
      <c r="W4168" s="73"/>
      <c r="X4168" s="73"/>
      <c r="Y4168" s="73"/>
      <c r="Z4168" s="73"/>
      <c r="AA4168" s="73"/>
      <c r="AB4168" s="73"/>
    </row>
    <row r="4169">
      <c r="A4169" s="73"/>
      <c r="B4169" s="73">
        <v>1.094748154E7</v>
      </c>
      <c r="C4169" s="73">
        <v>5.55880206639359E8</v>
      </c>
      <c r="D4169" s="73">
        <v>2.92617453567993E8</v>
      </c>
      <c r="E4169" s="73">
        <v>4.22215489773426E7</v>
      </c>
      <c r="F4169" s="73"/>
      <c r="G4169" s="73"/>
      <c r="H4169" s="73"/>
      <c r="I4169" s="73"/>
      <c r="J4169" s="73"/>
      <c r="K4169" s="73"/>
      <c r="L4169" s="73"/>
      <c r="M4169" s="73"/>
      <c r="N4169" s="73"/>
      <c r="O4169" s="73"/>
      <c r="P4169" s="73"/>
      <c r="Q4169" s="73"/>
      <c r="R4169" s="73"/>
      <c r="S4169" s="73"/>
      <c r="T4169" s="73"/>
      <c r="U4169" s="73"/>
      <c r="V4169" s="73"/>
      <c r="W4169" s="73"/>
      <c r="X4169" s="73"/>
      <c r="Y4169" s="73"/>
      <c r="Z4169" s="73"/>
      <c r="AA4169" s="73"/>
      <c r="AB4169" s="73"/>
    </row>
    <row r="4170">
      <c r="A4170" s="73"/>
      <c r="B4170" s="73">
        <v>1.096138557E7</v>
      </c>
      <c r="C4170" s="73">
        <v>5.56243228069275E8</v>
      </c>
      <c r="D4170" s="73">
        <v>2.92843974252001E8</v>
      </c>
      <c r="E4170" s="73">
        <v>4.22579503675376E7</v>
      </c>
      <c r="F4170" s="73"/>
      <c r="G4170" s="73"/>
      <c r="H4170" s="73"/>
      <c r="I4170" s="73"/>
      <c r="J4170" s="73"/>
      <c r="K4170" s="73"/>
      <c r="L4170" s="73"/>
      <c r="M4170" s="73"/>
      <c r="N4170" s="73"/>
      <c r="O4170" s="73"/>
      <c r="P4170" s="73"/>
      <c r="Q4170" s="73"/>
      <c r="R4170" s="73"/>
      <c r="S4170" s="73"/>
      <c r="T4170" s="73"/>
      <c r="U4170" s="73"/>
      <c r="V4170" s="73"/>
      <c r="W4170" s="73"/>
      <c r="X4170" s="73"/>
      <c r="Y4170" s="73"/>
      <c r="Z4170" s="73"/>
      <c r="AA4170" s="73"/>
      <c r="AB4170" s="73"/>
    </row>
    <row r="4171">
      <c r="A4171" s="73"/>
      <c r="B4171" s="73">
        <v>1.097530579E7</v>
      </c>
      <c r="C4171" s="73">
        <v>5.56606381339188E8</v>
      </c>
      <c r="D4171" s="73">
        <v>2.93070598407995E8</v>
      </c>
      <c r="E4171" s="73">
        <v>4.22943723675235E7</v>
      </c>
      <c r="F4171" s="73"/>
      <c r="G4171" s="73"/>
      <c r="H4171" s="73"/>
      <c r="I4171" s="73"/>
      <c r="J4171" s="73"/>
      <c r="K4171" s="73"/>
      <c r="L4171" s="73"/>
      <c r="M4171" s="73"/>
      <c r="N4171" s="73"/>
      <c r="O4171" s="73"/>
      <c r="P4171" s="73"/>
      <c r="Q4171" s="73"/>
      <c r="R4171" s="73"/>
      <c r="S4171" s="73"/>
      <c r="T4171" s="73"/>
      <c r="U4171" s="73"/>
      <c r="V4171" s="73"/>
      <c r="W4171" s="73"/>
      <c r="X4171" s="73"/>
      <c r="Y4171" s="73"/>
      <c r="Z4171" s="73"/>
      <c r="AA4171" s="73"/>
      <c r="AB4171" s="73"/>
    </row>
    <row r="4172">
      <c r="A4172" s="73"/>
      <c r="B4172" s="73">
        <v>1.098924238E7</v>
      </c>
      <c r="C4172" s="73">
        <v>5.56969666449097E8</v>
      </c>
      <c r="D4172" s="73">
        <v>2.93297346196003E8</v>
      </c>
      <c r="E4172" s="73">
        <v>4.23308155709002E7</v>
      </c>
      <c r="F4172" s="73"/>
      <c r="G4172" s="73"/>
      <c r="H4172" s="73"/>
      <c r="I4172" s="73"/>
      <c r="J4172" s="73"/>
      <c r="K4172" s="73"/>
      <c r="L4172" s="73"/>
      <c r="M4172" s="73"/>
      <c r="N4172" s="73"/>
      <c r="O4172" s="73"/>
      <c r="P4172" s="73"/>
      <c r="Q4172" s="73"/>
      <c r="R4172" s="73"/>
      <c r="S4172" s="73"/>
      <c r="T4172" s="73"/>
      <c r="U4172" s="73"/>
      <c r="V4172" s="73"/>
      <c r="W4172" s="73"/>
      <c r="X4172" s="73"/>
      <c r="Y4172" s="73"/>
      <c r="Z4172" s="73"/>
      <c r="AA4172" s="73"/>
      <c r="AB4172" s="73"/>
    </row>
    <row r="4173">
      <c r="A4173" s="73"/>
      <c r="B4173" s="73">
        <v>1.100319589E7</v>
      </c>
      <c r="C4173" s="73">
        <v>5.57333083399002E8</v>
      </c>
      <c r="D4173" s="73">
        <v>2.93524197151996E8</v>
      </c>
      <c r="E4173" s="73">
        <v>4.23672807137318E7</v>
      </c>
      <c r="F4173" s="73"/>
      <c r="G4173" s="73"/>
      <c r="H4173" s="73"/>
      <c r="I4173" s="73"/>
      <c r="J4173" s="73"/>
      <c r="K4173" s="73"/>
      <c r="L4173" s="73"/>
      <c r="M4173" s="73"/>
      <c r="N4173" s="73"/>
      <c r="O4173" s="73"/>
      <c r="P4173" s="73"/>
      <c r="Q4173" s="73"/>
      <c r="R4173" s="73"/>
      <c r="S4173" s="73"/>
      <c r="T4173" s="73"/>
      <c r="U4173" s="73"/>
      <c r="V4173" s="73"/>
      <c r="W4173" s="73"/>
      <c r="X4173" s="73"/>
      <c r="Y4173" s="73"/>
      <c r="Z4173" s="73"/>
      <c r="AA4173" s="73"/>
      <c r="AB4173" s="73"/>
    </row>
    <row r="4174">
      <c r="A4174" s="73"/>
      <c r="B4174" s="73">
        <v>1.101716614E7</v>
      </c>
      <c r="C4174" s="73">
        <v>5.57696698108902E8</v>
      </c>
      <c r="D4174" s="73">
        <v>2.9375117173999E8</v>
      </c>
      <c r="E4174" s="73">
        <v>4.24037653910903E7</v>
      </c>
      <c r="F4174" s="73"/>
      <c r="G4174" s="73"/>
      <c r="H4174" s="73"/>
      <c r="I4174" s="73"/>
      <c r="J4174" s="73"/>
      <c r="K4174" s="73"/>
      <c r="L4174" s="73"/>
      <c r="M4174" s="73"/>
      <c r="N4174" s="73"/>
      <c r="O4174" s="73"/>
      <c r="P4174" s="73"/>
      <c r="Q4174" s="73"/>
      <c r="R4174" s="73"/>
      <c r="S4174" s="73"/>
      <c r="T4174" s="73"/>
      <c r="U4174" s="73"/>
      <c r="V4174" s="73"/>
      <c r="W4174" s="73"/>
      <c r="X4174" s="73"/>
      <c r="Y4174" s="73"/>
      <c r="Z4174" s="73"/>
      <c r="AA4174" s="73"/>
      <c r="AB4174" s="73"/>
    </row>
    <row r="4175">
      <c r="A4175" s="73"/>
      <c r="B4175" s="73">
        <v>1.103115264E7</v>
      </c>
      <c r="C4175" s="73">
        <v>5.58060444658798E8</v>
      </c>
      <c r="D4175" s="73">
        <v>2.93978249799998E8</v>
      </c>
      <c r="E4175" s="73">
        <v>4.24402724319035E7</v>
      </c>
      <c r="F4175" s="73"/>
      <c r="G4175" s="73"/>
      <c r="H4175" s="73"/>
      <c r="I4175" s="73"/>
      <c r="J4175" s="73"/>
      <c r="K4175" s="73"/>
      <c r="L4175" s="73"/>
      <c r="M4175" s="73"/>
      <c r="N4175" s="73"/>
      <c r="O4175" s="73"/>
      <c r="P4175" s="73"/>
      <c r="Q4175" s="73"/>
      <c r="R4175" s="73"/>
      <c r="S4175" s="73"/>
      <c r="T4175" s="73"/>
      <c r="U4175" s="73"/>
      <c r="V4175" s="73"/>
      <c r="W4175" s="73"/>
      <c r="X4175" s="73"/>
      <c r="Y4175" s="73"/>
      <c r="Z4175" s="73"/>
      <c r="AA4175" s="73"/>
      <c r="AB4175" s="73"/>
    </row>
    <row r="4176">
      <c r="A4176" s="73"/>
      <c r="B4176" s="73">
        <v>1.104515601E7</v>
      </c>
      <c r="C4176" s="73">
        <v>5.58424388968689E8</v>
      </c>
      <c r="D4176" s="73">
        <v>2.94205451347991E8</v>
      </c>
      <c r="E4176" s="73">
        <v>4.24767995737078E7</v>
      </c>
      <c r="F4176" s="73"/>
      <c r="G4176" s="73"/>
      <c r="H4176" s="73"/>
      <c r="I4176" s="73"/>
      <c r="J4176" s="73"/>
      <c r="K4176" s="73"/>
      <c r="L4176" s="73"/>
      <c r="M4176" s="73"/>
      <c r="N4176" s="73"/>
      <c r="O4176" s="73"/>
      <c r="P4176" s="73"/>
      <c r="Q4176" s="73"/>
      <c r="R4176" s="73"/>
      <c r="S4176" s="73"/>
      <c r="T4176" s="73"/>
      <c r="U4176" s="73"/>
      <c r="V4176" s="73"/>
      <c r="W4176" s="73"/>
      <c r="X4176" s="73"/>
      <c r="Y4176" s="73"/>
      <c r="Z4176" s="73"/>
      <c r="AA4176" s="73"/>
      <c r="AB4176" s="73"/>
    </row>
    <row r="4177">
      <c r="A4177" s="73"/>
      <c r="B4177" s="73">
        <v>1.105917575E7</v>
      </c>
      <c r="C4177" s="73">
        <v>5.58788399198578E8</v>
      </c>
      <c r="D4177" s="73">
        <v>2.94432756208E8</v>
      </c>
      <c r="E4177" s="73">
        <v>4.25133484277028E7</v>
      </c>
      <c r="F4177" s="73"/>
      <c r="G4177" s="73"/>
      <c r="H4177" s="73"/>
      <c r="I4177" s="73"/>
      <c r="J4177" s="73"/>
      <c r="K4177" s="73"/>
      <c r="L4177" s="73"/>
      <c r="M4177" s="73"/>
      <c r="N4177" s="73"/>
      <c r="O4177" s="73"/>
      <c r="P4177" s="73"/>
      <c r="Q4177" s="73"/>
      <c r="R4177" s="73"/>
      <c r="S4177" s="73"/>
      <c r="T4177" s="73"/>
      <c r="U4177" s="73"/>
      <c r="V4177" s="73"/>
      <c r="W4177" s="73"/>
      <c r="X4177" s="73"/>
      <c r="Y4177" s="73"/>
      <c r="Z4177" s="73"/>
      <c r="AA4177" s="73"/>
      <c r="AB4177" s="73"/>
    </row>
    <row r="4178">
      <c r="A4178" s="73"/>
      <c r="B4178" s="73">
        <v>1.107321264E7</v>
      </c>
      <c r="C4178" s="73">
        <v>5.59152607188461E8</v>
      </c>
      <c r="D4178" s="73">
        <v>2.94660184859993E8</v>
      </c>
      <c r="E4178" s="73">
        <v>4.25499173826887E7</v>
      </c>
      <c r="F4178" s="73"/>
      <c r="G4178" s="73"/>
      <c r="H4178" s="73"/>
      <c r="I4178" s="73"/>
      <c r="J4178" s="73"/>
      <c r="K4178" s="73"/>
      <c r="L4178" s="73"/>
      <c r="M4178" s="73"/>
      <c r="N4178" s="73"/>
      <c r="O4178" s="73"/>
      <c r="P4178" s="73"/>
      <c r="Q4178" s="73"/>
      <c r="R4178" s="73"/>
      <c r="S4178" s="73"/>
      <c r="T4178" s="73"/>
      <c r="U4178" s="73"/>
      <c r="V4178" s="73"/>
      <c r="W4178" s="73"/>
      <c r="X4178" s="73"/>
      <c r="Y4178" s="73"/>
      <c r="Z4178" s="73"/>
      <c r="AA4178" s="73"/>
      <c r="AB4178" s="73"/>
    </row>
    <row r="4179">
      <c r="A4179" s="73"/>
      <c r="B4179" s="73">
        <v>1.108726579E7</v>
      </c>
      <c r="C4179" s="73">
        <v>5.59516947018341E8</v>
      </c>
      <c r="D4179" s="73">
        <v>2.94887737000002E8</v>
      </c>
      <c r="E4179" s="73">
        <v>4.25865098035294E7</v>
      </c>
      <c r="F4179" s="73"/>
      <c r="G4179" s="73"/>
      <c r="H4179" s="73"/>
      <c r="I4179" s="73"/>
      <c r="J4179" s="73"/>
      <c r="K4179" s="73"/>
      <c r="L4179" s="73"/>
      <c r="M4179" s="73"/>
      <c r="N4179" s="73"/>
      <c r="O4179" s="73"/>
      <c r="P4179" s="73"/>
      <c r="Q4179" s="73"/>
      <c r="R4179" s="73"/>
      <c r="S4179" s="73"/>
      <c r="T4179" s="73"/>
      <c r="U4179" s="73"/>
      <c r="V4179" s="73"/>
      <c r="W4179" s="73"/>
      <c r="X4179" s="73"/>
      <c r="Y4179" s="73"/>
      <c r="Z4179" s="73"/>
      <c r="AA4179" s="73"/>
      <c r="AB4179" s="73"/>
    </row>
    <row r="4180">
      <c r="A4180" s="73"/>
      <c r="B4180" s="73">
        <v>1.110133558E7</v>
      </c>
      <c r="C4180" s="73">
        <v>5.59881484608215E8</v>
      </c>
      <c r="D4180" s="73">
        <v>2.95115372131995E8</v>
      </c>
      <c r="E4180" s="73">
        <v>4.26231206564971E7</v>
      </c>
      <c r="F4180" s="73"/>
      <c r="G4180" s="73"/>
      <c r="H4180" s="73"/>
      <c r="I4180" s="73"/>
      <c r="J4180" s="73"/>
      <c r="K4180" s="73"/>
      <c r="L4180" s="73"/>
      <c r="M4180" s="73"/>
      <c r="N4180" s="73"/>
      <c r="O4180" s="73"/>
      <c r="P4180" s="73"/>
      <c r="Q4180" s="73"/>
      <c r="R4180" s="73"/>
      <c r="S4180" s="73"/>
      <c r="T4180" s="73"/>
      <c r="U4180" s="73"/>
      <c r="V4180" s="73"/>
      <c r="W4180" s="73"/>
      <c r="X4180" s="73"/>
      <c r="Y4180" s="73"/>
      <c r="Z4180" s="73"/>
      <c r="AA4180" s="73"/>
      <c r="AB4180" s="73"/>
    </row>
    <row r="4181">
      <c r="A4181" s="73"/>
      <c r="B4181" s="73">
        <v>1.111542235E7</v>
      </c>
      <c r="C4181" s="73">
        <v>5.60246088118088E8</v>
      </c>
      <c r="D4181" s="73">
        <v>2.95343151376004E8</v>
      </c>
      <c r="E4181" s="73">
        <v>4.26597543817196E7</v>
      </c>
      <c r="F4181" s="73"/>
      <c r="G4181" s="73"/>
      <c r="H4181" s="73"/>
      <c r="I4181" s="73"/>
      <c r="J4181" s="73"/>
      <c r="K4181" s="73"/>
      <c r="L4181" s="73"/>
      <c r="M4181" s="73"/>
      <c r="N4181" s="73"/>
      <c r="O4181" s="73"/>
      <c r="P4181" s="73"/>
      <c r="Q4181" s="73"/>
      <c r="R4181" s="73"/>
      <c r="S4181" s="73"/>
      <c r="T4181" s="73"/>
      <c r="U4181" s="73"/>
      <c r="V4181" s="73"/>
      <c r="W4181" s="73"/>
      <c r="X4181" s="73"/>
      <c r="Y4181" s="73"/>
      <c r="Z4181" s="73"/>
      <c r="AA4181" s="73"/>
      <c r="AB4181" s="73"/>
    </row>
    <row r="4182">
      <c r="A4182" s="73"/>
      <c r="B4182" s="73">
        <v>1.112952539E7</v>
      </c>
      <c r="C4182" s="73">
        <v>5.60610889387955E8</v>
      </c>
      <c r="D4182" s="73">
        <v>2.95571033931997E8</v>
      </c>
      <c r="E4182" s="73">
        <v>4.26964097071969E7</v>
      </c>
      <c r="F4182" s="73"/>
      <c r="G4182" s="73"/>
      <c r="H4182" s="73"/>
      <c r="I4182" s="73"/>
      <c r="J4182" s="73"/>
      <c r="K4182" s="73"/>
      <c r="L4182" s="73"/>
      <c r="M4182" s="73"/>
      <c r="N4182" s="73"/>
      <c r="O4182" s="73"/>
      <c r="P4182" s="73"/>
      <c r="Q4182" s="73"/>
      <c r="R4182" s="73"/>
      <c r="S4182" s="73"/>
      <c r="T4182" s="73"/>
      <c r="U4182" s="73"/>
      <c r="V4182" s="73"/>
      <c r="W4182" s="73"/>
      <c r="X4182" s="73"/>
      <c r="Y4182" s="73"/>
      <c r="Z4182" s="73"/>
      <c r="AA4182" s="73"/>
      <c r="AB4182" s="73"/>
    </row>
    <row r="4183">
      <c r="A4183" s="73"/>
      <c r="B4183" s="73">
        <v>1.114364528E7</v>
      </c>
      <c r="C4183" s="73">
        <v>5.60975954337814E8</v>
      </c>
      <c r="D4183" s="73">
        <v>2.9579901949599E8</v>
      </c>
      <c r="E4183" s="73">
        <v>4.27330842280011E7</v>
      </c>
      <c r="F4183" s="73"/>
      <c r="G4183" s="73"/>
      <c r="H4183" s="73"/>
      <c r="I4183" s="73"/>
      <c r="J4183" s="73"/>
      <c r="K4183" s="73"/>
      <c r="L4183" s="73"/>
      <c r="M4183" s="73"/>
      <c r="N4183" s="73"/>
      <c r="O4183" s="73"/>
      <c r="P4183" s="73"/>
      <c r="Q4183" s="73"/>
      <c r="R4183" s="73"/>
      <c r="S4183" s="73"/>
      <c r="T4183" s="73"/>
      <c r="U4183" s="73"/>
      <c r="V4183" s="73"/>
      <c r="W4183" s="73"/>
      <c r="X4183" s="73"/>
      <c r="Y4183" s="73"/>
      <c r="Z4183" s="73"/>
      <c r="AA4183" s="73"/>
      <c r="AB4183" s="73"/>
    </row>
    <row r="4184">
      <c r="A4184" s="73"/>
      <c r="B4184" s="73">
        <v>1.115778203E7</v>
      </c>
      <c r="C4184" s="73">
        <v>5.61341019287674E8</v>
      </c>
      <c r="D4184" s="73">
        <v>2.96027149347999E8</v>
      </c>
      <c r="E4184" s="73">
        <v>4.27697813666601E7</v>
      </c>
      <c r="F4184" s="73"/>
      <c r="G4184" s="73"/>
      <c r="H4184" s="73"/>
      <c r="I4184" s="73"/>
      <c r="J4184" s="73"/>
      <c r="K4184" s="73"/>
      <c r="L4184" s="73"/>
      <c r="M4184" s="73"/>
      <c r="N4184" s="73"/>
      <c r="O4184" s="73"/>
      <c r="P4184" s="73"/>
      <c r="Q4184" s="73"/>
      <c r="R4184" s="73"/>
      <c r="S4184" s="73"/>
      <c r="T4184" s="73"/>
      <c r="U4184" s="73"/>
      <c r="V4184" s="73"/>
      <c r="W4184" s="73"/>
      <c r="X4184" s="73"/>
      <c r="Y4184" s="73"/>
      <c r="Z4184" s="73"/>
      <c r="AA4184" s="73"/>
      <c r="AB4184" s="73"/>
    </row>
    <row r="4185">
      <c r="A4185" s="73"/>
      <c r="B4185" s="73">
        <v>1.117193539E7</v>
      </c>
      <c r="C4185" s="73">
        <v>5.61706281997528E8</v>
      </c>
      <c r="D4185" s="73">
        <v>2.96255362015992E8</v>
      </c>
      <c r="E4185" s="73">
        <v>4.28064973614462E7</v>
      </c>
      <c r="F4185" s="73"/>
      <c r="G4185" s="73"/>
      <c r="H4185" s="73"/>
      <c r="I4185" s="73"/>
      <c r="J4185" s="73"/>
      <c r="K4185" s="73"/>
      <c r="L4185" s="73"/>
      <c r="M4185" s="73"/>
      <c r="N4185" s="73"/>
      <c r="O4185" s="73"/>
      <c r="P4185" s="73"/>
      <c r="Q4185" s="73"/>
      <c r="R4185" s="73"/>
      <c r="S4185" s="73"/>
      <c r="T4185" s="73"/>
      <c r="U4185" s="73"/>
      <c r="V4185" s="73"/>
      <c r="W4185" s="73"/>
      <c r="X4185" s="73"/>
      <c r="Y4185" s="73"/>
      <c r="Z4185" s="73"/>
      <c r="AA4185" s="73"/>
      <c r="AB4185" s="73"/>
    </row>
    <row r="4186">
      <c r="A4186" s="73"/>
      <c r="B4186" s="73">
        <v>1.118610572E7</v>
      </c>
      <c r="C4186" s="73">
        <v>5.62071676547379E8</v>
      </c>
      <c r="D4186" s="73">
        <v>2.96483698332001E8</v>
      </c>
      <c r="E4186" s="73">
        <v>4.28432371612869E7</v>
      </c>
      <c r="F4186" s="73"/>
      <c r="G4186" s="73"/>
      <c r="H4186" s="73"/>
      <c r="I4186" s="73"/>
      <c r="J4186" s="73"/>
      <c r="K4186" s="73"/>
      <c r="L4186" s="73"/>
      <c r="M4186" s="73"/>
      <c r="N4186" s="73"/>
      <c r="O4186" s="73"/>
      <c r="P4186" s="73"/>
      <c r="Q4186" s="73"/>
      <c r="R4186" s="73"/>
      <c r="S4186" s="73"/>
      <c r="T4186" s="73"/>
      <c r="U4186" s="73"/>
      <c r="V4186" s="73"/>
      <c r="W4186" s="73"/>
      <c r="X4186" s="73"/>
      <c r="Y4186" s="73"/>
      <c r="Z4186" s="73"/>
      <c r="AA4186" s="73"/>
      <c r="AB4186" s="73"/>
    </row>
    <row r="4187">
      <c r="A4187" s="73"/>
      <c r="B4187" s="73">
        <v>1.12002925E7</v>
      </c>
      <c r="C4187" s="73">
        <v>5.62437202937225E8</v>
      </c>
      <c r="D4187" s="73">
        <v>2.96712158439994E8</v>
      </c>
      <c r="E4187" s="73">
        <v>4.28799962989186E7</v>
      </c>
      <c r="F4187" s="73"/>
      <c r="G4187" s="73"/>
      <c r="H4187" s="73"/>
      <c r="I4187" s="73"/>
      <c r="J4187" s="73"/>
      <c r="K4187" s="73"/>
      <c r="L4187" s="73"/>
      <c r="M4187" s="73"/>
      <c r="N4187" s="73"/>
      <c r="O4187" s="73"/>
      <c r="P4187" s="73"/>
      <c r="Q4187" s="73"/>
      <c r="R4187" s="73"/>
      <c r="S4187" s="73"/>
      <c r="T4187" s="73"/>
      <c r="U4187" s="73"/>
      <c r="V4187" s="73"/>
      <c r="W4187" s="73"/>
      <c r="X4187" s="73"/>
      <c r="Y4187" s="73"/>
      <c r="Z4187" s="73"/>
      <c r="AA4187" s="73"/>
      <c r="AB4187" s="73"/>
    </row>
    <row r="4188">
      <c r="A4188" s="73"/>
      <c r="B4188" s="73">
        <v>1.121449602E7</v>
      </c>
      <c r="C4188" s="73">
        <v>5.62802927087067E8</v>
      </c>
      <c r="D4188" s="73">
        <v>2.96940721716002E8</v>
      </c>
      <c r="E4188" s="73">
        <v>4.2916778732805E7</v>
      </c>
      <c r="F4188" s="73"/>
      <c r="G4188" s="73"/>
      <c r="H4188" s="73"/>
      <c r="I4188" s="73"/>
      <c r="J4188" s="73"/>
      <c r="K4188" s="73"/>
      <c r="L4188" s="73"/>
      <c r="M4188" s="73"/>
      <c r="N4188" s="73"/>
      <c r="O4188" s="73"/>
      <c r="P4188" s="73"/>
      <c r="Q4188" s="73"/>
      <c r="R4188" s="73"/>
      <c r="S4188" s="73"/>
      <c r="T4188" s="73"/>
      <c r="U4188" s="73"/>
      <c r="V4188" s="73"/>
      <c r="W4188" s="73"/>
      <c r="X4188" s="73"/>
      <c r="Y4188" s="73"/>
      <c r="Z4188" s="73"/>
      <c r="AA4188" s="73"/>
      <c r="AB4188" s="73"/>
    </row>
    <row r="4189">
      <c r="A4189" s="73"/>
      <c r="B4189" s="73">
        <v>1.122871647E7</v>
      </c>
      <c r="C4189" s="73">
        <v>5.63168783076904E8</v>
      </c>
      <c r="D4189" s="73">
        <v>2.97169408767996E8</v>
      </c>
      <c r="E4189" s="73">
        <v>4.29535806164184E7</v>
      </c>
      <c r="F4189" s="73"/>
      <c r="G4189" s="73"/>
      <c r="H4189" s="73"/>
      <c r="I4189" s="73"/>
      <c r="J4189" s="73"/>
      <c r="K4189" s="73"/>
      <c r="L4189" s="73"/>
      <c r="M4189" s="73"/>
      <c r="N4189" s="73"/>
      <c r="O4189" s="73"/>
      <c r="P4189" s="73"/>
      <c r="Q4189" s="73"/>
      <c r="R4189" s="73"/>
      <c r="S4189" s="73"/>
      <c r="T4189" s="73"/>
      <c r="U4189" s="73"/>
      <c r="V4189" s="73"/>
      <c r="W4189" s="73"/>
      <c r="X4189" s="73"/>
      <c r="Y4189" s="73"/>
      <c r="Z4189" s="73"/>
      <c r="AA4189" s="73"/>
      <c r="AB4189" s="73"/>
    </row>
    <row r="4190">
      <c r="A4190" s="73"/>
      <c r="B4190" s="73">
        <v>1.124295346E7</v>
      </c>
      <c r="C4190" s="73">
        <v>5.63534770906738E8</v>
      </c>
      <c r="D4190" s="73">
        <v>2.97398198987989E8</v>
      </c>
      <c r="E4190" s="73">
        <v>4.29904044394866E7</v>
      </c>
      <c r="F4190" s="73"/>
      <c r="G4190" s="73"/>
      <c r="H4190" s="73"/>
      <c r="I4190" s="73"/>
      <c r="J4190" s="73"/>
      <c r="K4190" s="73"/>
      <c r="L4190" s="73"/>
      <c r="M4190" s="73"/>
      <c r="N4190" s="73"/>
      <c r="O4190" s="73"/>
      <c r="P4190" s="73"/>
      <c r="Q4190" s="73"/>
      <c r="R4190" s="73"/>
      <c r="S4190" s="73"/>
      <c r="T4190" s="73"/>
      <c r="U4190" s="73"/>
      <c r="V4190" s="73"/>
      <c r="W4190" s="73"/>
      <c r="X4190" s="73"/>
      <c r="Y4190" s="73"/>
      <c r="Z4190" s="73"/>
      <c r="AA4190" s="73"/>
      <c r="AB4190" s="73"/>
    </row>
    <row r="4191">
      <c r="A4191" s="73"/>
      <c r="B4191" s="73">
        <v>1.125720744E7</v>
      </c>
      <c r="C4191" s="73">
        <v>5.63900890576569E8</v>
      </c>
      <c r="D4191" s="73">
        <v>2.97627112855998E8</v>
      </c>
      <c r="E4191" s="73">
        <v>4.30272486179456E7</v>
      </c>
      <c r="F4191" s="73"/>
      <c r="G4191" s="73"/>
      <c r="H4191" s="73"/>
      <c r="I4191" s="73"/>
      <c r="J4191" s="73"/>
      <c r="K4191" s="73"/>
      <c r="L4191" s="73"/>
      <c r="M4191" s="73"/>
      <c r="N4191" s="73"/>
      <c r="O4191" s="73"/>
      <c r="P4191" s="73"/>
      <c r="Q4191" s="73"/>
      <c r="R4191" s="73"/>
      <c r="S4191" s="73"/>
      <c r="T4191" s="73"/>
      <c r="U4191" s="73"/>
      <c r="V4191" s="73"/>
      <c r="W4191" s="73"/>
      <c r="X4191" s="73"/>
      <c r="Y4191" s="73"/>
      <c r="Z4191" s="73"/>
      <c r="AA4191" s="73"/>
      <c r="AB4191" s="73"/>
    </row>
    <row r="4192">
      <c r="A4192" s="73"/>
      <c r="B4192" s="73">
        <v>1.127147798E7</v>
      </c>
      <c r="C4192" s="73">
        <v>5.64267208006393E8</v>
      </c>
      <c r="D4192" s="73">
        <v>2.97856150659991E8</v>
      </c>
      <c r="E4192" s="73">
        <v>4.30641147629956E7</v>
      </c>
      <c r="F4192" s="73"/>
      <c r="G4192" s="73"/>
      <c r="H4192" s="73"/>
      <c r="I4192" s="73"/>
      <c r="J4192" s="73"/>
      <c r="K4192" s="73"/>
      <c r="L4192" s="73"/>
      <c r="M4192" s="73"/>
      <c r="N4192" s="73"/>
      <c r="O4192" s="73"/>
      <c r="P4192" s="73"/>
      <c r="Q4192" s="73"/>
      <c r="R4192" s="73"/>
      <c r="S4192" s="73"/>
      <c r="T4192" s="73"/>
      <c r="U4192" s="73"/>
      <c r="V4192" s="73"/>
      <c r="W4192" s="73"/>
      <c r="X4192" s="73"/>
      <c r="Y4192" s="73"/>
      <c r="Z4192" s="73"/>
      <c r="AA4192" s="73"/>
      <c r="AB4192" s="73"/>
    </row>
    <row r="4193">
      <c r="A4193" s="73"/>
      <c r="B4193" s="73">
        <v>1.128576566E7</v>
      </c>
      <c r="C4193" s="73">
        <v>5.64633657276215E8</v>
      </c>
      <c r="D4193" s="73">
        <v>2.98085270991999E8</v>
      </c>
      <c r="E4193" s="73">
        <v>4.31010023387003E7</v>
      </c>
      <c r="F4193" s="73"/>
      <c r="G4193" s="73"/>
      <c r="H4193" s="73"/>
      <c r="I4193" s="73"/>
      <c r="J4193" s="73"/>
      <c r="K4193" s="73"/>
      <c r="L4193" s="73"/>
      <c r="M4193" s="73"/>
      <c r="N4193" s="73"/>
      <c r="O4193" s="73"/>
      <c r="P4193" s="73"/>
      <c r="Q4193" s="73"/>
      <c r="R4193" s="73"/>
      <c r="S4193" s="73"/>
      <c r="T4193" s="73"/>
      <c r="U4193" s="73"/>
      <c r="V4193" s="73"/>
      <c r="W4193" s="73"/>
      <c r="X4193" s="73"/>
      <c r="Y4193" s="73"/>
      <c r="Z4193" s="73"/>
      <c r="AA4193" s="73"/>
      <c r="AB4193" s="73"/>
    </row>
    <row r="4194">
      <c r="A4194" s="73"/>
      <c r="B4194" s="73">
        <v>1.130006988E7</v>
      </c>
      <c r="C4194" s="73">
        <v>5.65000238386032E8</v>
      </c>
      <c r="D4194" s="73">
        <v>2.98314535611993E8</v>
      </c>
      <c r="E4194" s="73">
        <v>4.3137909024932E7</v>
      </c>
      <c r="F4194" s="73"/>
      <c r="G4194" s="73"/>
      <c r="H4194" s="73"/>
      <c r="I4194" s="73"/>
      <c r="J4194" s="73"/>
      <c r="K4194" s="73"/>
      <c r="L4194" s="73"/>
      <c r="M4194" s="73"/>
      <c r="N4194" s="73"/>
      <c r="O4194" s="73"/>
      <c r="P4194" s="73"/>
      <c r="Q4194" s="73"/>
      <c r="R4194" s="73"/>
      <c r="S4194" s="73"/>
      <c r="T4194" s="73"/>
      <c r="U4194" s="73"/>
      <c r="V4194" s="73"/>
      <c r="W4194" s="73"/>
      <c r="X4194" s="73"/>
      <c r="Y4194" s="73"/>
      <c r="Z4194" s="73"/>
      <c r="AA4194" s="73"/>
      <c r="AB4194" s="73"/>
    </row>
    <row r="4195">
      <c r="A4195" s="73"/>
      <c r="B4195" s="73">
        <v>1.131439125E7</v>
      </c>
      <c r="C4195" s="73">
        <v>5.65367083175842E8</v>
      </c>
      <c r="D4195" s="73">
        <v>2.98543903528001E8</v>
      </c>
      <c r="E4195" s="73">
        <v>4.31748393466185E7</v>
      </c>
      <c r="F4195" s="73"/>
      <c r="G4195" s="73"/>
      <c r="H4195" s="73"/>
      <c r="I4195" s="73"/>
      <c r="J4195" s="73"/>
      <c r="K4195" s="73"/>
      <c r="L4195" s="73"/>
      <c r="M4195" s="73"/>
      <c r="N4195" s="73"/>
      <c r="O4195" s="73"/>
      <c r="P4195" s="73"/>
      <c r="Q4195" s="73"/>
      <c r="R4195" s="73"/>
      <c r="S4195" s="73"/>
      <c r="T4195" s="73"/>
      <c r="U4195" s="73"/>
      <c r="V4195" s="73"/>
      <c r="W4195" s="73"/>
      <c r="X4195" s="73"/>
      <c r="Y4195" s="73"/>
      <c r="Z4195" s="73"/>
      <c r="AA4195" s="73"/>
      <c r="AB4195" s="73"/>
    </row>
    <row r="4196">
      <c r="A4196" s="73"/>
      <c r="B4196" s="73">
        <v>1.132872922E7</v>
      </c>
      <c r="C4196" s="73">
        <v>5.65733927965652E8</v>
      </c>
      <c r="D4196" s="73">
        <v>2.98773374611995E8</v>
      </c>
      <c r="E4196" s="73">
        <v>4.32117900236958E7</v>
      </c>
      <c r="F4196" s="73"/>
      <c r="G4196" s="73"/>
      <c r="H4196" s="73"/>
      <c r="I4196" s="73"/>
      <c r="J4196" s="73"/>
      <c r="K4196" s="73"/>
      <c r="L4196" s="73"/>
      <c r="M4196" s="73"/>
      <c r="N4196" s="73"/>
      <c r="O4196" s="73"/>
      <c r="P4196" s="73"/>
      <c r="Q4196" s="73"/>
      <c r="R4196" s="73"/>
      <c r="S4196" s="73"/>
      <c r="T4196" s="73"/>
      <c r="U4196" s="73"/>
      <c r="V4196" s="73"/>
      <c r="W4196" s="73"/>
      <c r="X4196" s="73"/>
      <c r="Y4196" s="73"/>
      <c r="Z4196" s="73"/>
      <c r="AA4196" s="73"/>
      <c r="AB4196" s="73"/>
    </row>
    <row r="4197">
      <c r="A4197" s="73"/>
      <c r="B4197" s="73">
        <v>1.13430843E7</v>
      </c>
      <c r="C4197" s="73">
        <v>5.66101036435455E8</v>
      </c>
      <c r="D4197" s="73">
        <v>2.99002989664003E8</v>
      </c>
      <c r="E4197" s="73">
        <v>4.3248761649764E7</v>
      </c>
      <c r="F4197" s="73"/>
      <c r="G4197" s="73"/>
      <c r="H4197" s="73"/>
      <c r="I4197" s="73"/>
      <c r="J4197" s="73"/>
      <c r="K4197" s="73"/>
      <c r="L4197" s="73"/>
      <c r="M4197" s="73"/>
      <c r="N4197" s="73"/>
      <c r="O4197" s="73"/>
      <c r="P4197" s="73"/>
      <c r="Q4197" s="73"/>
      <c r="R4197" s="73"/>
      <c r="S4197" s="73"/>
      <c r="T4197" s="73"/>
      <c r="U4197" s="73"/>
      <c r="V4197" s="73"/>
      <c r="W4197" s="73"/>
      <c r="X4197" s="73"/>
      <c r="Y4197" s="73"/>
      <c r="Z4197" s="73"/>
      <c r="AA4197" s="73"/>
      <c r="AB4197" s="73"/>
    </row>
    <row r="4198">
      <c r="A4198" s="73"/>
      <c r="B4198" s="73">
        <v>1.135745598E7</v>
      </c>
      <c r="C4198" s="73">
        <v>5.66468210825256E8</v>
      </c>
      <c r="D4198" s="73">
        <v>2.99232687851996E8</v>
      </c>
      <c r="E4198" s="73">
        <v>4.32857534616232E7</v>
      </c>
      <c r="F4198" s="73"/>
      <c r="G4198" s="73"/>
      <c r="H4198" s="73"/>
      <c r="I4198" s="73"/>
      <c r="J4198" s="73"/>
      <c r="K4198" s="73"/>
      <c r="L4198" s="73"/>
      <c r="M4198" s="73"/>
      <c r="N4198" s="73"/>
      <c r="O4198" s="73"/>
      <c r="P4198" s="73"/>
      <c r="Q4198" s="73"/>
      <c r="R4198" s="73"/>
      <c r="S4198" s="73"/>
      <c r="T4198" s="73"/>
      <c r="U4198" s="73"/>
      <c r="V4198" s="73"/>
      <c r="W4198" s="73"/>
      <c r="X4198" s="73"/>
      <c r="Y4198" s="73"/>
      <c r="Z4198" s="73"/>
      <c r="AA4198" s="73"/>
      <c r="AB4198" s="73"/>
    </row>
    <row r="4199">
      <c r="A4199" s="73"/>
      <c r="B4199" s="73">
        <v>1.137184424E7</v>
      </c>
      <c r="C4199" s="73">
        <v>5.66835582975052E8</v>
      </c>
      <c r="D4199" s="73">
        <v>2.9946250952799E8</v>
      </c>
      <c r="E4199" s="73">
        <v>4.3322768654537E7</v>
      </c>
      <c r="F4199" s="73"/>
      <c r="G4199" s="73"/>
      <c r="H4199" s="73"/>
      <c r="I4199" s="73"/>
      <c r="J4199" s="73"/>
      <c r="K4199" s="73"/>
      <c r="L4199" s="73"/>
      <c r="M4199" s="73"/>
      <c r="N4199" s="73"/>
      <c r="O4199" s="73"/>
      <c r="P4199" s="73"/>
      <c r="Q4199" s="73"/>
      <c r="R4199" s="73"/>
      <c r="S4199" s="73"/>
      <c r="T4199" s="73"/>
      <c r="U4199" s="73"/>
      <c r="V4199" s="73"/>
      <c r="W4199" s="73"/>
      <c r="X4199" s="73"/>
      <c r="Y4199" s="73"/>
      <c r="Z4199" s="73"/>
      <c r="AA4199" s="73"/>
      <c r="AB4199" s="73"/>
    </row>
    <row r="4200">
      <c r="A4200" s="73"/>
      <c r="B4200" s="73">
        <v>1.138625002E7</v>
      </c>
      <c r="C4200" s="73">
        <v>5.67203086964844E8</v>
      </c>
      <c r="D4200" s="73">
        <v>2.99692454851998E8</v>
      </c>
      <c r="E4200" s="73">
        <v>4.33598040332418E7</v>
      </c>
      <c r="F4200" s="73"/>
      <c r="G4200" s="73"/>
      <c r="H4200" s="73"/>
      <c r="I4200" s="73"/>
      <c r="J4200" s="73"/>
      <c r="K4200" s="73"/>
      <c r="L4200" s="73"/>
      <c r="M4200" s="73"/>
      <c r="N4200" s="73"/>
      <c r="O4200" s="73"/>
      <c r="P4200" s="73"/>
      <c r="Q4200" s="73"/>
      <c r="R4200" s="73"/>
      <c r="S4200" s="73"/>
      <c r="T4200" s="73"/>
      <c r="U4200" s="73"/>
      <c r="V4200" s="73"/>
      <c r="W4200" s="73"/>
      <c r="X4200" s="73"/>
      <c r="Y4200" s="73"/>
      <c r="Z4200" s="73"/>
      <c r="AA4200" s="73"/>
      <c r="AB4200" s="73"/>
    </row>
    <row r="4201">
      <c r="A4201" s="73"/>
      <c r="B4201" s="73">
        <v>1.140067222E7</v>
      </c>
      <c r="C4201" s="73">
        <v>5.6757078871463E8</v>
      </c>
      <c r="D4201" s="73">
        <v>2.99922524111991E8</v>
      </c>
      <c r="E4201" s="73">
        <v>4.33968610393374E7</v>
      </c>
      <c r="F4201" s="73"/>
      <c r="G4201" s="73"/>
      <c r="H4201" s="73"/>
      <c r="I4201" s="73"/>
      <c r="J4201" s="73"/>
      <c r="K4201" s="73"/>
      <c r="L4201" s="73"/>
      <c r="M4201" s="73"/>
      <c r="N4201" s="73"/>
      <c r="O4201" s="73"/>
      <c r="P4201" s="73"/>
      <c r="Q4201" s="73"/>
      <c r="R4201" s="73"/>
      <c r="S4201" s="73"/>
      <c r="T4201" s="73"/>
      <c r="U4201" s="73"/>
      <c r="V4201" s="73"/>
      <c r="W4201" s="73"/>
      <c r="X4201" s="73"/>
      <c r="Y4201" s="73"/>
      <c r="Z4201" s="73"/>
      <c r="AA4201" s="73"/>
      <c r="AB4201" s="73"/>
    </row>
    <row r="4202">
      <c r="A4202" s="73"/>
      <c r="B4202" s="73">
        <v>1.141511159E7</v>
      </c>
      <c r="C4202" s="73">
        <v>5.67938556384415E8</v>
      </c>
      <c r="D4202" s="73">
        <v>3.0015267606E8</v>
      </c>
      <c r="E4202" s="73">
        <v>4.34339377224239E7</v>
      </c>
      <c r="F4202" s="73"/>
      <c r="G4202" s="73"/>
      <c r="H4202" s="73"/>
      <c r="I4202" s="73"/>
      <c r="J4202" s="73"/>
      <c r="K4202" s="73"/>
      <c r="L4202" s="73"/>
      <c r="M4202" s="73"/>
      <c r="N4202" s="73"/>
      <c r="O4202" s="73"/>
      <c r="P4202" s="73"/>
      <c r="Q4202" s="73"/>
      <c r="R4202" s="73"/>
      <c r="S4202" s="73"/>
      <c r="T4202" s="73"/>
      <c r="U4202" s="73"/>
      <c r="V4202" s="73"/>
      <c r="W4202" s="73"/>
      <c r="X4202" s="73"/>
      <c r="Y4202" s="73"/>
      <c r="Z4202" s="73"/>
      <c r="AA4202" s="73"/>
      <c r="AB4202" s="73"/>
    </row>
    <row r="4203">
      <c r="A4203" s="73"/>
      <c r="B4203" s="73">
        <v>1.142956778E7</v>
      </c>
      <c r="C4203" s="73">
        <v>5.68306521814194E8</v>
      </c>
      <c r="D4203" s="73">
        <v>3.00382972119993E8</v>
      </c>
      <c r="E4203" s="73">
        <v>4.34710357785013E7</v>
      </c>
      <c r="F4203" s="73"/>
      <c r="G4203" s="73"/>
      <c r="H4203" s="73"/>
      <c r="I4203" s="73"/>
      <c r="J4203" s="73"/>
      <c r="K4203" s="73"/>
      <c r="L4203" s="73"/>
      <c r="M4203" s="73"/>
      <c r="N4203" s="73"/>
      <c r="O4203" s="73"/>
      <c r="P4203" s="73"/>
      <c r="Q4203" s="73"/>
      <c r="R4203" s="73"/>
      <c r="S4203" s="73"/>
      <c r="T4203" s="73"/>
      <c r="U4203" s="73"/>
      <c r="V4203" s="73"/>
      <c r="W4203" s="73"/>
      <c r="X4203" s="73"/>
      <c r="Y4203" s="73"/>
      <c r="Z4203" s="73"/>
      <c r="AA4203" s="73"/>
      <c r="AB4203" s="73"/>
    </row>
    <row r="4204">
      <c r="A4204" s="73"/>
      <c r="B4204" s="73">
        <v>1.144404075E7</v>
      </c>
      <c r="C4204" s="73">
        <v>5.68674619083969E8</v>
      </c>
      <c r="D4204" s="73">
        <v>3.00613371348002E8</v>
      </c>
      <c r="E4204" s="73">
        <v>4.35081567916335E7</v>
      </c>
      <c r="F4204" s="73"/>
      <c r="G4204" s="73"/>
      <c r="H4204" s="73"/>
      <c r="I4204" s="73"/>
      <c r="J4204" s="73"/>
      <c r="K4204" s="73"/>
      <c r="L4204" s="73"/>
      <c r="M4204" s="73"/>
      <c r="N4204" s="73"/>
      <c r="O4204" s="73"/>
      <c r="P4204" s="73"/>
      <c r="Q4204" s="73"/>
      <c r="R4204" s="73"/>
      <c r="S4204" s="73"/>
      <c r="T4204" s="73"/>
      <c r="U4204" s="73"/>
      <c r="V4204" s="73"/>
      <c r="W4204" s="73"/>
      <c r="X4204" s="73"/>
      <c r="Y4204" s="73"/>
      <c r="Z4204" s="73"/>
      <c r="AA4204" s="73"/>
      <c r="AB4204" s="73"/>
    </row>
    <row r="4205">
      <c r="A4205" s="73"/>
      <c r="B4205" s="73">
        <v>1.145853082E7</v>
      </c>
      <c r="C4205" s="73">
        <v>5.69042848193741E8</v>
      </c>
      <c r="D4205" s="73">
        <v>3.00843873887995E8</v>
      </c>
      <c r="E4205" s="73">
        <v>4.35452982449565E7</v>
      </c>
      <c r="F4205" s="73"/>
      <c r="G4205" s="73"/>
      <c r="H4205" s="73"/>
      <c r="I4205" s="73"/>
      <c r="J4205" s="73"/>
      <c r="K4205" s="73"/>
      <c r="L4205" s="73"/>
      <c r="M4205" s="73"/>
      <c r="N4205" s="73"/>
      <c r="O4205" s="73"/>
      <c r="P4205" s="73"/>
      <c r="Q4205" s="73"/>
      <c r="R4205" s="73"/>
      <c r="S4205" s="73"/>
      <c r="T4205" s="73"/>
      <c r="U4205" s="73"/>
      <c r="V4205" s="73"/>
      <c r="W4205" s="73"/>
      <c r="X4205" s="73"/>
      <c r="Y4205" s="73"/>
      <c r="Z4205" s="73"/>
      <c r="AA4205" s="73"/>
      <c r="AB4205" s="73"/>
    </row>
    <row r="4206">
      <c r="A4206" s="73"/>
      <c r="B4206" s="73">
        <v>1.147303753E7</v>
      </c>
      <c r="C4206" s="73">
        <v>5.69411275063507E8</v>
      </c>
      <c r="D4206" s="73">
        <v>3.01074520844004E8</v>
      </c>
      <c r="E4206" s="73">
        <v>4.35824604776704E7</v>
      </c>
      <c r="F4206" s="73"/>
      <c r="G4206" s="73"/>
      <c r="H4206" s="73"/>
      <c r="I4206" s="73"/>
      <c r="J4206" s="73"/>
      <c r="K4206" s="73"/>
      <c r="L4206" s="73"/>
      <c r="M4206" s="73"/>
      <c r="N4206" s="73"/>
      <c r="O4206" s="73"/>
      <c r="P4206" s="73"/>
      <c r="Q4206" s="73"/>
      <c r="R4206" s="73"/>
      <c r="S4206" s="73"/>
      <c r="T4206" s="73"/>
      <c r="U4206" s="73"/>
      <c r="V4206" s="73"/>
      <c r="W4206" s="73"/>
      <c r="X4206" s="73"/>
      <c r="Y4206" s="73"/>
      <c r="Z4206" s="73"/>
      <c r="AA4206" s="73"/>
      <c r="AB4206" s="73"/>
    </row>
    <row r="4207">
      <c r="A4207" s="73"/>
      <c r="B4207" s="73">
        <v>1.148756143E7</v>
      </c>
      <c r="C4207" s="73">
        <v>5.6977983377327E8</v>
      </c>
      <c r="D4207" s="73">
        <v>3.01305250343997E8</v>
      </c>
      <c r="E4207" s="73">
        <v>4.36196439137752E7</v>
      </c>
      <c r="F4207" s="73"/>
      <c r="G4207" s="73"/>
      <c r="H4207" s="73"/>
      <c r="I4207" s="73"/>
      <c r="J4207" s="73"/>
      <c r="K4207" s="73"/>
      <c r="L4207" s="73"/>
      <c r="M4207" s="73"/>
      <c r="N4207" s="73"/>
      <c r="O4207" s="73"/>
      <c r="P4207" s="73"/>
      <c r="Q4207" s="73"/>
      <c r="R4207" s="73"/>
      <c r="S4207" s="73"/>
      <c r="T4207" s="73"/>
      <c r="U4207" s="73"/>
      <c r="V4207" s="73"/>
      <c r="W4207" s="73"/>
      <c r="X4207" s="73"/>
      <c r="Y4207" s="73"/>
      <c r="Z4207" s="73"/>
      <c r="AA4207" s="73"/>
      <c r="AB4207" s="73"/>
    </row>
    <row r="4208">
      <c r="A4208" s="73"/>
      <c r="B4208" s="73">
        <v>1.150210289E7</v>
      </c>
      <c r="C4208" s="73">
        <v>5.70148656163025E8</v>
      </c>
      <c r="D4208" s="73">
        <v>3.0153610347599E8</v>
      </c>
      <c r="E4208" s="73">
        <v>4.36568495437348E7</v>
      </c>
      <c r="F4208" s="73"/>
      <c r="G4208" s="73"/>
      <c r="H4208" s="73"/>
      <c r="I4208" s="73"/>
      <c r="J4208" s="73"/>
      <c r="K4208" s="73"/>
      <c r="L4208" s="73"/>
      <c r="M4208" s="73"/>
      <c r="N4208" s="73"/>
      <c r="O4208" s="73"/>
      <c r="P4208" s="73"/>
      <c r="Q4208" s="73"/>
      <c r="R4208" s="73"/>
      <c r="S4208" s="73"/>
      <c r="T4208" s="73"/>
      <c r="U4208" s="73"/>
      <c r="V4208" s="73"/>
      <c r="W4208" s="73"/>
      <c r="X4208" s="73"/>
      <c r="Y4208" s="73"/>
      <c r="Z4208" s="73"/>
      <c r="AA4208" s="73"/>
      <c r="AB4208" s="73"/>
    </row>
    <row r="4209">
      <c r="A4209" s="73"/>
      <c r="B4209" s="73">
        <v>1.151666052E7</v>
      </c>
      <c r="C4209" s="73">
        <v>5.7051747855278E8</v>
      </c>
      <c r="D4209" s="73">
        <v>3.01767080399999E8</v>
      </c>
      <c r="E4209" s="73">
        <v>4.36940752170213E7</v>
      </c>
      <c r="F4209" s="73"/>
      <c r="G4209" s="73"/>
      <c r="H4209" s="73"/>
      <c r="I4209" s="73"/>
      <c r="J4209" s="73"/>
      <c r="K4209" s="73"/>
      <c r="L4209" s="73"/>
      <c r="M4209" s="73"/>
      <c r="N4209" s="73"/>
      <c r="O4209" s="73"/>
      <c r="P4209" s="73"/>
      <c r="Q4209" s="73"/>
      <c r="R4209" s="73"/>
      <c r="S4209" s="73"/>
      <c r="T4209" s="73"/>
      <c r="U4209" s="73"/>
      <c r="V4209" s="73"/>
      <c r="W4209" s="73"/>
      <c r="X4209" s="73"/>
      <c r="Y4209" s="73"/>
      <c r="Z4209" s="73"/>
      <c r="AA4209" s="73"/>
      <c r="AB4209" s="73"/>
    </row>
    <row r="4210">
      <c r="A4210" s="73"/>
      <c r="B4210" s="73">
        <v>1.153123546E7</v>
      </c>
      <c r="C4210" s="73">
        <v>5.7088649870253E8</v>
      </c>
      <c r="D4210" s="73">
        <v>3.01998181115992E8</v>
      </c>
      <c r="E4210" s="73">
        <v>4.37313227449626E7</v>
      </c>
      <c r="F4210" s="73"/>
      <c r="G4210" s="73"/>
      <c r="H4210" s="73"/>
      <c r="I4210" s="73"/>
      <c r="J4210" s="73"/>
      <c r="K4210" s="73"/>
      <c r="L4210" s="73"/>
      <c r="M4210" s="73"/>
      <c r="N4210" s="73"/>
      <c r="O4210" s="73"/>
      <c r="P4210" s="73"/>
      <c r="Q4210" s="73"/>
      <c r="R4210" s="73"/>
      <c r="S4210" s="73"/>
      <c r="T4210" s="73"/>
      <c r="U4210" s="73"/>
      <c r="V4210" s="73"/>
      <c r="W4210" s="73"/>
      <c r="X4210" s="73"/>
      <c r="Y4210" s="73"/>
      <c r="Z4210" s="73"/>
      <c r="AA4210" s="73"/>
      <c r="AB4210" s="73"/>
    </row>
    <row r="4211">
      <c r="A4211" s="73"/>
      <c r="B4211" s="73">
        <v>1.154582719E7</v>
      </c>
      <c r="C4211" s="73">
        <v>5.71255650692276E8</v>
      </c>
      <c r="D4211" s="73">
        <v>3.02229364520001E8</v>
      </c>
      <c r="E4211" s="73">
        <v>4.37685914762948E7</v>
      </c>
      <c r="F4211" s="73"/>
      <c r="G4211" s="73"/>
      <c r="H4211" s="73"/>
      <c r="I4211" s="73"/>
      <c r="J4211" s="73"/>
      <c r="K4211" s="73"/>
      <c r="L4211" s="73"/>
      <c r="M4211" s="73"/>
      <c r="N4211" s="73"/>
      <c r="O4211" s="73"/>
      <c r="P4211" s="73"/>
      <c r="Q4211" s="73"/>
      <c r="R4211" s="73"/>
      <c r="S4211" s="73"/>
      <c r="T4211" s="73"/>
      <c r="U4211" s="73"/>
      <c r="V4211" s="73"/>
      <c r="W4211" s="73"/>
      <c r="X4211" s="73"/>
      <c r="Y4211" s="73"/>
      <c r="Z4211" s="73"/>
      <c r="AA4211" s="73"/>
      <c r="AB4211" s="73"/>
    </row>
    <row r="4212">
      <c r="A4212" s="73"/>
      <c r="B4212" s="73">
        <v>1.156043613E7</v>
      </c>
      <c r="C4212" s="73">
        <v>5.71624934522018E8</v>
      </c>
      <c r="D4212" s="73">
        <v>3.02460692035994E8</v>
      </c>
      <c r="E4212" s="73">
        <v>4.38058820622818E7</v>
      </c>
      <c r="F4212" s="73"/>
      <c r="G4212" s="73"/>
      <c r="H4212" s="73"/>
      <c r="I4212" s="73"/>
      <c r="J4212" s="73"/>
      <c r="K4212" s="73"/>
      <c r="L4212" s="73"/>
      <c r="M4212" s="73"/>
      <c r="N4212" s="73"/>
      <c r="O4212" s="73"/>
      <c r="P4212" s="73"/>
      <c r="Q4212" s="73"/>
      <c r="R4212" s="73"/>
      <c r="S4212" s="73"/>
      <c r="T4212" s="73"/>
      <c r="U4212" s="73"/>
      <c r="V4212" s="73"/>
      <c r="W4212" s="73"/>
      <c r="X4212" s="73"/>
      <c r="Y4212" s="73"/>
      <c r="Z4212" s="73"/>
      <c r="AA4212" s="73"/>
      <c r="AB4212" s="73"/>
    </row>
    <row r="4213">
      <c r="A4213" s="73"/>
      <c r="B4213" s="73">
        <v>1.157506152E7</v>
      </c>
      <c r="C4213" s="73">
        <v>5.71994416111755E8</v>
      </c>
      <c r="D4213" s="73">
        <v>3.02692122864002E8</v>
      </c>
      <c r="E4213" s="73">
        <v>4.38431920979957E7</v>
      </c>
      <c r="F4213" s="73"/>
      <c r="G4213" s="73"/>
      <c r="H4213" s="73"/>
      <c r="I4213" s="73"/>
      <c r="J4213" s="73"/>
      <c r="K4213" s="73"/>
      <c r="L4213" s="73"/>
      <c r="M4213" s="73"/>
      <c r="N4213" s="73"/>
      <c r="O4213" s="73"/>
      <c r="P4213" s="73"/>
      <c r="Q4213" s="73"/>
      <c r="R4213" s="73"/>
      <c r="S4213" s="73"/>
      <c r="T4213" s="73"/>
      <c r="U4213" s="73"/>
      <c r="V4213" s="73"/>
      <c r="W4213" s="73"/>
      <c r="X4213" s="73"/>
      <c r="Y4213" s="73"/>
      <c r="Z4213" s="73"/>
      <c r="AA4213" s="73"/>
      <c r="AB4213" s="73"/>
    </row>
    <row r="4214">
      <c r="A4214" s="73"/>
      <c r="B4214" s="73">
        <v>1.158970455E7</v>
      </c>
      <c r="C4214" s="73">
        <v>5.72364029541489E8</v>
      </c>
      <c r="D4214" s="73">
        <v>3.02923656859996E8</v>
      </c>
      <c r="E4214" s="73">
        <v>4.38805254299644E7</v>
      </c>
      <c r="F4214" s="73"/>
      <c r="G4214" s="73"/>
      <c r="H4214" s="73"/>
      <c r="I4214" s="73"/>
      <c r="J4214" s="73"/>
      <c r="K4214" s="73"/>
      <c r="L4214" s="73"/>
      <c r="M4214" s="73"/>
      <c r="N4214" s="73"/>
      <c r="O4214" s="73"/>
      <c r="P4214" s="73"/>
      <c r="Q4214" s="73"/>
      <c r="R4214" s="73"/>
      <c r="S4214" s="73"/>
      <c r="T4214" s="73"/>
      <c r="U4214" s="73"/>
      <c r="V4214" s="73"/>
      <c r="W4214" s="73"/>
      <c r="X4214" s="73"/>
      <c r="Y4214" s="73"/>
      <c r="Z4214" s="73"/>
      <c r="AA4214" s="73"/>
      <c r="AB4214" s="73"/>
    </row>
    <row r="4215">
      <c r="A4215" s="73"/>
      <c r="B4215" s="73">
        <v>1.160436462E7</v>
      </c>
      <c r="C4215" s="73">
        <v>5.72733840731216E8</v>
      </c>
      <c r="D4215" s="73">
        <v>3.03155335127989E8</v>
      </c>
      <c r="E4215" s="73">
        <v>4.3917879117324E7</v>
      </c>
      <c r="F4215" s="73"/>
      <c r="G4215" s="73"/>
      <c r="H4215" s="73"/>
      <c r="I4215" s="73"/>
      <c r="J4215" s="73"/>
      <c r="K4215" s="73"/>
      <c r="L4215" s="73"/>
      <c r="M4215" s="73"/>
      <c r="N4215" s="73"/>
      <c r="O4215" s="73"/>
      <c r="P4215" s="73"/>
      <c r="Q4215" s="73"/>
      <c r="R4215" s="73"/>
      <c r="S4215" s="73"/>
      <c r="T4215" s="73"/>
      <c r="U4215" s="73"/>
      <c r="V4215" s="73"/>
      <c r="W4215" s="73"/>
      <c r="X4215" s="73"/>
      <c r="Y4215" s="73"/>
      <c r="Z4215" s="73"/>
      <c r="AA4215" s="73"/>
      <c r="AB4215" s="73"/>
    </row>
    <row r="4216">
      <c r="A4216" s="73"/>
      <c r="B4216" s="73">
        <v>1.161904135E7</v>
      </c>
      <c r="C4216" s="73">
        <v>5.73103717840942E8</v>
      </c>
      <c r="D4216" s="73">
        <v>3.03387096227998E8</v>
      </c>
      <c r="E4216" s="73">
        <v>4.39552547712744E7</v>
      </c>
      <c r="F4216" s="73"/>
      <c r="G4216" s="73"/>
      <c r="H4216" s="73"/>
      <c r="I4216" s="73"/>
      <c r="J4216" s="73"/>
      <c r="K4216" s="73"/>
      <c r="L4216" s="73"/>
      <c r="M4216" s="73"/>
      <c r="N4216" s="73"/>
      <c r="O4216" s="73"/>
      <c r="P4216" s="73"/>
      <c r="Q4216" s="73"/>
      <c r="R4216" s="73"/>
      <c r="S4216" s="73"/>
      <c r="T4216" s="73"/>
      <c r="U4216" s="73"/>
      <c r="V4216" s="73"/>
      <c r="W4216" s="73"/>
      <c r="X4216" s="73"/>
      <c r="Y4216" s="73"/>
      <c r="Z4216" s="73"/>
      <c r="AA4216" s="73"/>
      <c r="AB4216" s="73"/>
    </row>
    <row r="4217">
      <c r="A4217" s="73"/>
      <c r="B4217" s="73">
        <v>1.163373566E7</v>
      </c>
      <c r="C4217" s="73">
        <v>5.73473858630661E8</v>
      </c>
      <c r="D4217" s="73">
        <v>3.03619001295991E8</v>
      </c>
      <c r="E4217" s="73">
        <v>4.39926509230797E7</v>
      </c>
      <c r="F4217" s="73"/>
      <c r="G4217" s="73"/>
      <c r="H4217" s="73"/>
      <c r="I4217" s="73"/>
      <c r="J4217" s="73"/>
      <c r="K4217" s="73"/>
      <c r="L4217" s="73"/>
      <c r="M4217" s="73"/>
      <c r="N4217" s="73"/>
      <c r="O4217" s="73"/>
      <c r="P4217" s="73"/>
      <c r="Q4217" s="73"/>
      <c r="R4217" s="73"/>
      <c r="S4217" s="73"/>
      <c r="T4217" s="73"/>
      <c r="U4217" s="73"/>
      <c r="V4217" s="73"/>
      <c r="W4217" s="73"/>
      <c r="X4217" s="73"/>
      <c r="Y4217" s="73"/>
      <c r="Z4217" s="73"/>
      <c r="AA4217" s="73"/>
      <c r="AB4217" s="73"/>
    </row>
    <row r="4218">
      <c r="A4218" s="73"/>
      <c r="B4218" s="73">
        <v>1.164844637E7</v>
      </c>
      <c r="C4218" s="73">
        <v>5.73844065340378E8</v>
      </c>
      <c r="D4218" s="73">
        <v>3.03851009979999E8</v>
      </c>
      <c r="E4218" s="73">
        <v>4.40300682206119E7</v>
      </c>
      <c r="F4218" s="73"/>
      <c r="G4218" s="73"/>
      <c r="H4218" s="73"/>
      <c r="I4218" s="73"/>
      <c r="J4218" s="73"/>
      <c r="K4218" s="73"/>
      <c r="L4218" s="73"/>
      <c r="M4218" s="73"/>
      <c r="N4218" s="73"/>
      <c r="O4218" s="73"/>
      <c r="P4218" s="73"/>
      <c r="Q4218" s="73"/>
      <c r="R4218" s="73"/>
      <c r="S4218" s="73"/>
      <c r="T4218" s="73"/>
      <c r="U4218" s="73"/>
      <c r="V4218" s="73"/>
      <c r="W4218" s="73"/>
      <c r="X4218" s="73"/>
      <c r="Y4218" s="73"/>
      <c r="Z4218" s="73"/>
      <c r="AA4218" s="73"/>
      <c r="AB4218" s="73"/>
    </row>
    <row r="4219">
      <c r="A4219" s="73"/>
      <c r="B4219" s="73">
        <v>1.166317466E7</v>
      </c>
      <c r="C4219" s="73">
        <v>5.74214403890091E8</v>
      </c>
      <c r="D4219" s="73">
        <v>3.04083121671993E8</v>
      </c>
      <c r="E4219" s="73">
        <v>4.40675072031989E7</v>
      </c>
      <c r="F4219" s="73"/>
      <c r="G4219" s="73"/>
      <c r="H4219" s="73"/>
      <c r="I4219" s="73"/>
      <c r="J4219" s="73"/>
      <c r="K4219" s="73"/>
      <c r="L4219" s="73"/>
      <c r="M4219" s="73"/>
      <c r="N4219" s="73"/>
      <c r="O4219" s="73"/>
      <c r="P4219" s="73"/>
      <c r="Q4219" s="73"/>
      <c r="R4219" s="73"/>
      <c r="S4219" s="73"/>
      <c r="T4219" s="73"/>
      <c r="U4219" s="73"/>
      <c r="V4219" s="73"/>
      <c r="W4219" s="73"/>
      <c r="X4219" s="73"/>
      <c r="Y4219" s="73"/>
      <c r="Z4219" s="73"/>
      <c r="AA4219" s="73"/>
      <c r="AB4219" s="73"/>
    </row>
    <row r="4220">
      <c r="A4220" s="73"/>
      <c r="B4220" s="73">
        <v>1.167791998E7</v>
      </c>
      <c r="C4220" s="73">
        <v>5.74584940199799E8</v>
      </c>
      <c r="D4220" s="73">
        <v>3.04315377332001E8</v>
      </c>
      <c r="E4220" s="73">
        <v>4.41049661171768E7</v>
      </c>
      <c r="F4220" s="73"/>
      <c r="G4220" s="73"/>
      <c r="H4220" s="73"/>
      <c r="I4220" s="73"/>
      <c r="J4220" s="73"/>
      <c r="K4220" s="73"/>
      <c r="L4220" s="73"/>
      <c r="M4220" s="73"/>
      <c r="N4220" s="73"/>
      <c r="O4220" s="73"/>
      <c r="P4220" s="73"/>
      <c r="Q4220" s="73"/>
      <c r="R4220" s="73"/>
      <c r="S4220" s="73"/>
      <c r="T4220" s="73"/>
      <c r="U4220" s="73"/>
      <c r="V4220" s="73"/>
      <c r="W4220" s="73"/>
      <c r="X4220" s="73"/>
      <c r="Y4220" s="73"/>
      <c r="Z4220" s="73"/>
      <c r="AA4220" s="73"/>
      <c r="AB4220" s="73"/>
    </row>
    <row r="4221">
      <c r="A4221" s="73"/>
      <c r="B4221" s="73">
        <v>1.1692682E7</v>
      </c>
      <c r="C4221" s="73">
        <v>5.74955674269501E8</v>
      </c>
      <c r="D4221" s="73">
        <v>3.04547715983994E8</v>
      </c>
      <c r="E4221" s="73">
        <v>4.41424475065455E7</v>
      </c>
      <c r="F4221" s="73"/>
      <c r="G4221" s="73"/>
      <c r="H4221" s="73"/>
      <c r="I4221" s="73"/>
      <c r="J4221" s="73"/>
      <c r="K4221" s="73"/>
      <c r="L4221" s="73"/>
      <c r="M4221" s="73"/>
      <c r="N4221" s="73"/>
      <c r="O4221" s="73"/>
      <c r="P4221" s="73"/>
      <c r="Q4221" s="73"/>
      <c r="R4221" s="73"/>
      <c r="S4221" s="73"/>
      <c r="T4221" s="73"/>
      <c r="U4221" s="73"/>
      <c r="V4221" s="73"/>
      <c r="W4221" s="73"/>
      <c r="X4221" s="73"/>
      <c r="Y4221" s="73"/>
      <c r="Z4221" s="73"/>
      <c r="AA4221" s="73"/>
      <c r="AB4221" s="73"/>
    </row>
    <row r="4222">
      <c r="A4222" s="73"/>
      <c r="B4222" s="73">
        <v>1.170746171E7</v>
      </c>
      <c r="C4222" s="73">
        <v>5.75326474259201E8</v>
      </c>
      <c r="D4222" s="73">
        <v>3.04780178268003E8</v>
      </c>
      <c r="E4222" s="73">
        <v>4.41799515137689E7</v>
      </c>
      <c r="F4222" s="73"/>
      <c r="G4222" s="73"/>
      <c r="H4222" s="73"/>
      <c r="I4222" s="73"/>
      <c r="J4222" s="73"/>
      <c r="K4222" s="73"/>
      <c r="L4222" s="73"/>
      <c r="M4222" s="73"/>
      <c r="N4222" s="73"/>
      <c r="O4222" s="73"/>
      <c r="P4222" s="73"/>
      <c r="Q4222" s="73"/>
      <c r="R4222" s="73"/>
      <c r="S4222" s="73"/>
      <c r="T4222" s="73"/>
      <c r="U4222" s="73"/>
      <c r="V4222" s="73"/>
      <c r="W4222" s="73"/>
      <c r="X4222" s="73"/>
      <c r="Y4222" s="73"/>
      <c r="Z4222" s="73"/>
      <c r="AA4222" s="73"/>
      <c r="AB4222" s="73"/>
    </row>
    <row r="4223">
      <c r="A4223" s="73"/>
      <c r="B4223" s="73">
        <v>1.172225795E7</v>
      </c>
      <c r="C4223" s="73">
        <v>5.75697472008896E8</v>
      </c>
      <c r="D4223" s="73">
        <v>3.05012764503996E8</v>
      </c>
      <c r="E4223" s="73">
        <v>4.42174754523833E7</v>
      </c>
      <c r="F4223" s="73"/>
      <c r="G4223" s="73"/>
      <c r="H4223" s="73"/>
      <c r="I4223" s="73"/>
      <c r="J4223" s="73"/>
      <c r="K4223" s="73"/>
      <c r="L4223" s="73"/>
      <c r="M4223" s="73"/>
      <c r="N4223" s="73"/>
      <c r="O4223" s="73"/>
      <c r="P4223" s="73"/>
      <c r="Q4223" s="73"/>
      <c r="R4223" s="73"/>
      <c r="S4223" s="73"/>
      <c r="T4223" s="73"/>
      <c r="U4223" s="73"/>
      <c r="V4223" s="73"/>
      <c r="W4223" s="73"/>
      <c r="X4223" s="73"/>
      <c r="Y4223" s="73"/>
      <c r="Z4223" s="73"/>
      <c r="AA4223" s="73"/>
      <c r="AB4223" s="73"/>
    </row>
    <row r="4224">
      <c r="A4224" s="73"/>
      <c r="B4224" s="73">
        <v>1.173707151E7</v>
      </c>
      <c r="C4224" s="73">
        <v>5.76068601598587E8</v>
      </c>
      <c r="D4224" s="73">
        <v>3.0524547422799E8</v>
      </c>
      <c r="E4224" s="73">
        <v>4.42550206791886E7</v>
      </c>
      <c r="F4224" s="73"/>
      <c r="G4224" s="73"/>
      <c r="H4224" s="73"/>
      <c r="I4224" s="73"/>
      <c r="J4224" s="73"/>
      <c r="K4224" s="73"/>
      <c r="L4224" s="73"/>
      <c r="M4224" s="73"/>
      <c r="N4224" s="73"/>
      <c r="O4224" s="73"/>
      <c r="P4224" s="73"/>
      <c r="Q4224" s="73"/>
      <c r="R4224" s="73"/>
      <c r="S4224" s="73"/>
      <c r="T4224" s="73"/>
      <c r="U4224" s="73"/>
      <c r="V4224" s="73"/>
      <c r="W4224" s="73"/>
      <c r="X4224" s="73"/>
      <c r="Y4224" s="73"/>
      <c r="Z4224" s="73"/>
      <c r="AA4224" s="73"/>
      <c r="AB4224" s="73"/>
    </row>
    <row r="4225">
      <c r="A4225" s="73"/>
      <c r="B4225" s="73">
        <v>1.175190234E7</v>
      </c>
      <c r="C4225" s="73">
        <v>5.76439863028275E8</v>
      </c>
      <c r="D4225" s="73">
        <v>3.05478266623998E8</v>
      </c>
      <c r="E4225" s="73">
        <v>4.42925866853847E7</v>
      </c>
      <c r="F4225" s="73"/>
      <c r="G4225" s="73"/>
      <c r="H4225" s="73"/>
      <c r="I4225" s="73"/>
      <c r="J4225" s="73"/>
      <c r="K4225" s="73"/>
      <c r="L4225" s="73"/>
      <c r="M4225" s="73"/>
      <c r="N4225" s="73"/>
      <c r="O4225" s="73"/>
      <c r="P4225" s="73"/>
      <c r="Q4225" s="73"/>
      <c r="R4225" s="73"/>
      <c r="S4225" s="73"/>
      <c r="T4225" s="73"/>
      <c r="U4225" s="73"/>
      <c r="V4225" s="73"/>
      <c r="W4225" s="73"/>
      <c r="X4225" s="73"/>
      <c r="Y4225" s="73"/>
      <c r="Z4225" s="73"/>
      <c r="AA4225" s="73"/>
      <c r="AB4225" s="73"/>
    </row>
    <row r="4226">
      <c r="A4226" s="73"/>
      <c r="B4226" s="73">
        <v>1.176675016E7</v>
      </c>
      <c r="C4226" s="73">
        <v>5.76811256297958E8</v>
      </c>
      <c r="D4226" s="73">
        <v>3.05711203451992E8</v>
      </c>
      <c r="E4226" s="73">
        <v>4.43301738101717E7</v>
      </c>
      <c r="F4226" s="73"/>
      <c r="G4226" s="73"/>
      <c r="H4226" s="73"/>
      <c r="I4226" s="73"/>
      <c r="J4226" s="73"/>
      <c r="K4226" s="73"/>
      <c r="L4226" s="73"/>
      <c r="M4226" s="73"/>
      <c r="N4226" s="73"/>
      <c r="O4226" s="73"/>
      <c r="P4226" s="73"/>
      <c r="Q4226" s="73"/>
      <c r="R4226" s="73"/>
      <c r="S4226" s="73"/>
      <c r="T4226" s="73"/>
      <c r="U4226" s="73"/>
      <c r="V4226" s="73"/>
      <c r="W4226" s="73"/>
      <c r="X4226" s="73"/>
      <c r="Y4226" s="73"/>
      <c r="Z4226" s="73"/>
      <c r="AA4226" s="73"/>
      <c r="AB4226" s="73"/>
    </row>
    <row r="4227">
      <c r="A4227" s="73"/>
      <c r="B4227" s="73">
        <v>1.178161524E7</v>
      </c>
      <c r="C4227" s="73">
        <v>5.77182847327637E8</v>
      </c>
      <c r="D4227" s="73">
        <v>3.05944243288E8</v>
      </c>
      <c r="E4227" s="73">
        <v>4.43677840616135E7</v>
      </c>
      <c r="F4227" s="73"/>
      <c r="G4227" s="73"/>
      <c r="H4227" s="73"/>
      <c r="I4227" s="73"/>
      <c r="J4227" s="73"/>
      <c r="K4227" s="73"/>
      <c r="L4227" s="73"/>
      <c r="M4227" s="73"/>
      <c r="N4227" s="73"/>
      <c r="O4227" s="73"/>
      <c r="P4227" s="73"/>
      <c r="Q4227" s="73"/>
      <c r="R4227" s="73"/>
      <c r="S4227" s="73"/>
      <c r="T4227" s="73"/>
      <c r="U4227" s="73"/>
      <c r="V4227" s="73"/>
      <c r="W4227" s="73"/>
      <c r="X4227" s="73"/>
      <c r="Y4227" s="73"/>
      <c r="Z4227" s="73"/>
      <c r="AA4227" s="73"/>
      <c r="AB4227" s="73"/>
    </row>
    <row r="4228">
      <c r="A4228" s="73"/>
      <c r="B4228" s="73">
        <v>1.179649762E7</v>
      </c>
      <c r="C4228" s="73">
        <v>5.7755463611731E8</v>
      </c>
      <c r="D4228" s="73">
        <v>3.06177407059993E8</v>
      </c>
      <c r="E4228" s="73">
        <v>4.44054144140461E7</v>
      </c>
      <c r="F4228" s="73"/>
      <c r="G4228" s="73"/>
      <c r="H4228" s="73"/>
      <c r="I4228" s="73"/>
      <c r="J4228" s="73"/>
      <c r="K4228" s="73"/>
      <c r="L4228" s="73"/>
      <c r="M4228" s="73"/>
      <c r="N4228" s="73"/>
      <c r="O4228" s="73"/>
      <c r="P4228" s="73"/>
      <c r="Q4228" s="73"/>
      <c r="R4228" s="73"/>
      <c r="S4228" s="73"/>
      <c r="T4228" s="73"/>
      <c r="U4228" s="73"/>
      <c r="V4228" s="73"/>
      <c r="W4228" s="73"/>
      <c r="X4228" s="73"/>
      <c r="Y4228" s="73"/>
      <c r="Z4228" s="73"/>
      <c r="AA4228" s="73"/>
      <c r="AB4228" s="73"/>
    </row>
    <row r="4229">
      <c r="A4229" s="73"/>
      <c r="B4229" s="73">
        <v>1.181139719E7</v>
      </c>
      <c r="C4229" s="73">
        <v>5.77926490826981E8</v>
      </c>
      <c r="D4229" s="73">
        <v>3.06410673856002E8</v>
      </c>
      <c r="E4229" s="73">
        <v>4.44430663090696E7</v>
      </c>
      <c r="F4229" s="73"/>
      <c r="G4229" s="73"/>
      <c r="H4229" s="73"/>
      <c r="I4229" s="73"/>
      <c r="J4229" s="73"/>
      <c r="K4229" s="73"/>
      <c r="L4229" s="73"/>
      <c r="M4229" s="73"/>
      <c r="N4229" s="73"/>
      <c r="O4229" s="73"/>
      <c r="P4229" s="73"/>
      <c r="Q4229" s="73"/>
      <c r="R4229" s="73"/>
      <c r="S4229" s="73"/>
      <c r="T4229" s="73"/>
      <c r="U4229" s="73"/>
      <c r="V4229" s="73"/>
      <c r="W4229" s="73"/>
      <c r="X4229" s="73"/>
      <c r="Y4229" s="73"/>
      <c r="Z4229" s="73"/>
      <c r="AA4229" s="73"/>
      <c r="AB4229" s="73"/>
    </row>
    <row r="4230">
      <c r="A4230" s="73"/>
      <c r="B4230" s="73">
        <v>1.182631349E7</v>
      </c>
      <c r="C4230" s="73">
        <v>5.78298543296646E8</v>
      </c>
      <c r="D4230" s="73">
        <v>3.06644064587995E8</v>
      </c>
      <c r="E4230" s="73">
        <v>4.44807394922839E7</v>
      </c>
      <c r="F4230" s="73"/>
      <c r="G4230" s="73"/>
      <c r="H4230" s="73"/>
      <c r="I4230" s="73"/>
      <c r="J4230" s="73"/>
      <c r="K4230" s="73"/>
      <c r="L4230" s="73"/>
      <c r="M4230" s="73"/>
      <c r="N4230" s="73"/>
      <c r="O4230" s="73"/>
      <c r="P4230" s="73"/>
      <c r="Q4230" s="73"/>
      <c r="R4230" s="73"/>
      <c r="S4230" s="73"/>
      <c r="T4230" s="73"/>
      <c r="U4230" s="73"/>
      <c r="V4230" s="73"/>
      <c r="W4230" s="73"/>
      <c r="X4230" s="73"/>
      <c r="Y4230" s="73"/>
      <c r="Z4230" s="73"/>
      <c r="AA4230" s="73"/>
      <c r="AB4230" s="73"/>
    </row>
    <row r="4231">
      <c r="A4231" s="73"/>
      <c r="B4231" s="73">
        <v>1.184124727E7</v>
      </c>
      <c r="C4231" s="73">
        <v>5.78670727606308E8</v>
      </c>
      <c r="D4231" s="73">
        <v>3.06877578968004E8</v>
      </c>
      <c r="E4231" s="73">
        <v>4.45184331156892E7</v>
      </c>
      <c r="F4231" s="73"/>
      <c r="G4231" s="73"/>
      <c r="H4231" s="73"/>
      <c r="I4231" s="73"/>
      <c r="J4231" s="73"/>
      <c r="K4231" s="73"/>
      <c r="L4231" s="73"/>
      <c r="M4231" s="73"/>
      <c r="N4231" s="73"/>
      <c r="O4231" s="73"/>
      <c r="P4231" s="73"/>
      <c r="Q4231" s="73"/>
      <c r="R4231" s="73"/>
      <c r="S4231" s="73"/>
      <c r="T4231" s="73"/>
      <c r="U4231" s="73"/>
      <c r="V4231" s="73"/>
      <c r="W4231" s="73"/>
      <c r="X4231" s="73"/>
      <c r="Y4231" s="73"/>
      <c r="Z4231" s="73"/>
      <c r="AA4231" s="73"/>
      <c r="AB4231" s="73"/>
    </row>
    <row r="4232">
      <c r="A4232" s="73"/>
      <c r="B4232" s="73">
        <v>1.185619824E7</v>
      </c>
      <c r="C4232" s="73">
        <v>5.79043043755966E8</v>
      </c>
      <c r="D4232" s="73">
        <v>3.07111196355997E8</v>
      </c>
      <c r="E4232" s="73">
        <v>4.45561492721492E7</v>
      </c>
      <c r="F4232" s="73"/>
      <c r="G4232" s="73"/>
      <c r="H4232" s="73"/>
      <c r="I4232" s="73"/>
      <c r="J4232" s="73"/>
      <c r="K4232" s="73"/>
      <c r="L4232" s="73"/>
      <c r="M4232" s="73"/>
      <c r="N4232" s="73"/>
      <c r="O4232" s="73"/>
      <c r="P4232" s="73"/>
      <c r="Q4232" s="73"/>
      <c r="R4232" s="73"/>
      <c r="S4232" s="73"/>
      <c r="T4232" s="73"/>
      <c r="U4232" s="73"/>
      <c r="V4232" s="73"/>
      <c r="W4232" s="73"/>
      <c r="X4232" s="73"/>
      <c r="Y4232" s="73"/>
      <c r="Z4232" s="73"/>
      <c r="AA4232" s="73"/>
      <c r="AB4232" s="73"/>
    </row>
    <row r="4233">
      <c r="A4233" s="73"/>
      <c r="B4233" s="73">
        <v>1.18711664E7</v>
      </c>
      <c r="C4233" s="73">
        <v>5.79415557665619E8</v>
      </c>
      <c r="D4233" s="73">
        <v>3.0734493767999E8</v>
      </c>
      <c r="E4233" s="73">
        <v>4.45938868016001E7</v>
      </c>
      <c r="F4233" s="73"/>
      <c r="G4233" s="73"/>
      <c r="H4233" s="73"/>
      <c r="I4233" s="73"/>
      <c r="J4233" s="73"/>
      <c r="K4233" s="73"/>
      <c r="L4233" s="73"/>
      <c r="M4233" s="73"/>
      <c r="N4233" s="73"/>
      <c r="O4233" s="73"/>
      <c r="P4233" s="73"/>
      <c r="Q4233" s="73"/>
      <c r="R4233" s="73"/>
      <c r="S4233" s="73"/>
      <c r="T4233" s="73"/>
      <c r="U4233" s="73"/>
      <c r="V4233" s="73"/>
      <c r="W4233" s="73"/>
      <c r="X4233" s="73"/>
      <c r="Y4233" s="73"/>
      <c r="Z4233" s="73"/>
      <c r="AA4233" s="73"/>
      <c r="AB4233" s="73"/>
    </row>
    <row r="4234">
      <c r="A4234" s="73"/>
      <c r="B4234" s="73">
        <v>1.188615185E7</v>
      </c>
      <c r="C4234" s="73">
        <v>5.79788269335266E8</v>
      </c>
      <c r="D4234" s="73">
        <v>3.07578782171999E8</v>
      </c>
      <c r="E4234" s="73">
        <v>4.46316465249057E7</v>
      </c>
      <c r="F4234" s="73"/>
      <c r="G4234" s="73"/>
      <c r="H4234" s="73"/>
      <c r="I4234" s="73"/>
      <c r="J4234" s="73"/>
      <c r="K4234" s="73"/>
      <c r="L4234" s="73"/>
      <c r="M4234" s="73"/>
      <c r="N4234" s="73"/>
      <c r="O4234" s="73"/>
      <c r="P4234" s="73"/>
      <c r="Q4234" s="73"/>
      <c r="R4234" s="73"/>
      <c r="S4234" s="73"/>
      <c r="T4234" s="73"/>
      <c r="U4234" s="73"/>
      <c r="V4234" s="73"/>
      <c r="W4234" s="73"/>
      <c r="X4234" s="73"/>
      <c r="Y4234" s="73"/>
      <c r="Z4234" s="73"/>
      <c r="AA4234" s="73"/>
      <c r="AB4234" s="73"/>
    </row>
    <row r="4235">
      <c r="A4235" s="73"/>
      <c r="B4235" s="73">
        <v>1.190115434E7</v>
      </c>
      <c r="C4235" s="73">
        <v>5.80161046924912E8</v>
      </c>
      <c r="D4235" s="73">
        <v>3.07812750455992E8</v>
      </c>
      <c r="E4235" s="73">
        <v>4.46694245107384E7</v>
      </c>
      <c r="F4235" s="73"/>
      <c r="G4235" s="73"/>
      <c r="H4235" s="73"/>
      <c r="I4235" s="73"/>
      <c r="J4235" s="73"/>
      <c r="K4235" s="73"/>
      <c r="L4235" s="73"/>
      <c r="M4235" s="73"/>
      <c r="N4235" s="73"/>
      <c r="O4235" s="73"/>
      <c r="P4235" s="73"/>
      <c r="Q4235" s="73"/>
      <c r="R4235" s="73"/>
      <c r="S4235" s="73"/>
      <c r="T4235" s="73"/>
      <c r="U4235" s="73"/>
      <c r="V4235" s="73"/>
      <c r="W4235" s="73"/>
      <c r="X4235" s="73"/>
      <c r="Y4235" s="73"/>
      <c r="Z4235" s="73"/>
      <c r="AA4235" s="73"/>
      <c r="AB4235" s="73"/>
    </row>
    <row r="4236">
      <c r="A4236" s="73"/>
      <c r="B4236" s="73">
        <v>1.191617446E7</v>
      </c>
      <c r="C4236" s="73">
        <v>5.80534022274551E8</v>
      </c>
      <c r="D4236" s="73">
        <v>3.08046821892001E8</v>
      </c>
      <c r="E4236" s="73">
        <v>4.47072269800258E7</v>
      </c>
      <c r="F4236" s="73"/>
      <c r="G4236" s="73"/>
      <c r="H4236" s="73"/>
      <c r="I4236" s="73"/>
      <c r="J4236" s="73"/>
      <c r="K4236" s="73"/>
      <c r="L4236" s="73"/>
      <c r="M4236" s="73"/>
      <c r="N4236" s="73"/>
      <c r="O4236" s="73"/>
      <c r="P4236" s="73"/>
      <c r="Q4236" s="73"/>
      <c r="R4236" s="73"/>
      <c r="S4236" s="73"/>
      <c r="T4236" s="73"/>
      <c r="U4236" s="73"/>
      <c r="V4236" s="73"/>
      <c r="W4236" s="73"/>
      <c r="X4236" s="73"/>
      <c r="Y4236" s="73"/>
      <c r="Z4236" s="73"/>
      <c r="AA4236" s="73"/>
      <c r="AB4236" s="73"/>
    </row>
    <row r="4237">
      <c r="A4237" s="73"/>
      <c r="B4237" s="73">
        <v>1.193121098E7</v>
      </c>
      <c r="C4237" s="73">
        <v>5.80907129464188E8</v>
      </c>
      <c r="D4237" s="73">
        <v>3.08281016975994E8</v>
      </c>
      <c r="E4237" s="73">
        <v>4.47450485598401E7</v>
      </c>
      <c r="F4237" s="73"/>
      <c r="G4237" s="73"/>
      <c r="H4237" s="73"/>
      <c r="I4237" s="73"/>
      <c r="J4237" s="73"/>
      <c r="K4237" s="73"/>
      <c r="L4237" s="73"/>
      <c r="M4237" s="73"/>
      <c r="N4237" s="73"/>
      <c r="O4237" s="73"/>
      <c r="P4237" s="73"/>
      <c r="Q4237" s="73"/>
      <c r="R4237" s="73"/>
      <c r="S4237" s="73"/>
      <c r="T4237" s="73"/>
      <c r="U4237" s="73"/>
      <c r="V4237" s="73"/>
      <c r="W4237" s="73"/>
      <c r="X4237" s="73"/>
      <c r="Y4237" s="73"/>
      <c r="Z4237" s="73"/>
      <c r="AA4237" s="73"/>
      <c r="AB4237" s="73"/>
    </row>
    <row r="4238">
      <c r="A4238" s="73"/>
      <c r="B4238" s="73">
        <v>1.194626559E7</v>
      </c>
      <c r="C4238" s="73">
        <v>5.8128036849382E8</v>
      </c>
      <c r="D4238" s="73">
        <v>3.08515335852002E8</v>
      </c>
      <c r="E4238" s="73">
        <v>4.47828918247093E7</v>
      </c>
      <c r="F4238" s="73"/>
      <c r="G4238" s="73"/>
      <c r="H4238" s="73"/>
      <c r="I4238" s="73"/>
      <c r="J4238" s="73"/>
      <c r="K4238" s="73"/>
      <c r="L4238" s="73"/>
      <c r="M4238" s="73"/>
      <c r="N4238" s="73"/>
      <c r="O4238" s="73"/>
      <c r="P4238" s="73"/>
      <c r="Q4238" s="73"/>
      <c r="R4238" s="73"/>
      <c r="S4238" s="73"/>
      <c r="T4238" s="73"/>
      <c r="U4238" s="73"/>
      <c r="V4238" s="73"/>
      <c r="W4238" s="73"/>
      <c r="X4238" s="73"/>
      <c r="Y4238" s="73"/>
      <c r="Z4238" s="73"/>
      <c r="AA4238" s="73"/>
      <c r="AB4238" s="73"/>
    </row>
    <row r="4239">
      <c r="A4239" s="73"/>
      <c r="B4239" s="73">
        <v>1.196133712E7</v>
      </c>
      <c r="C4239" s="73">
        <v>5.81653739363449E8</v>
      </c>
      <c r="D4239" s="73">
        <v>3.08749758039996E8</v>
      </c>
      <c r="E4239" s="73">
        <v>4.48207582162332E7</v>
      </c>
      <c r="F4239" s="73"/>
      <c r="G4239" s="73"/>
      <c r="H4239" s="73"/>
      <c r="I4239" s="73"/>
      <c r="J4239" s="73"/>
      <c r="K4239" s="73"/>
      <c r="L4239" s="73"/>
      <c r="M4239" s="73"/>
      <c r="N4239" s="73"/>
      <c r="O4239" s="73"/>
      <c r="P4239" s="73"/>
      <c r="Q4239" s="73"/>
      <c r="R4239" s="73"/>
      <c r="S4239" s="73"/>
      <c r="T4239" s="73"/>
      <c r="U4239" s="73"/>
      <c r="V4239" s="73"/>
      <c r="W4239" s="73"/>
      <c r="X4239" s="73"/>
      <c r="Y4239" s="73"/>
      <c r="Z4239" s="73"/>
      <c r="AA4239" s="73"/>
      <c r="AB4239" s="73"/>
    </row>
    <row r="4240">
      <c r="A4240" s="73"/>
      <c r="B4240" s="73">
        <v>1.197642613E7</v>
      </c>
      <c r="C4240" s="73">
        <v>5.82027307993073E8</v>
      </c>
      <c r="D4240" s="73">
        <v>3.08984303875989E8</v>
      </c>
      <c r="E4240" s="73">
        <v>4.4858644311884E7</v>
      </c>
      <c r="F4240" s="73"/>
      <c r="G4240" s="73"/>
      <c r="H4240" s="73"/>
      <c r="I4240" s="73"/>
      <c r="J4240" s="73"/>
      <c r="K4240" s="73"/>
      <c r="L4240" s="73"/>
      <c r="M4240" s="73"/>
      <c r="N4240" s="73"/>
      <c r="O4240" s="73"/>
      <c r="P4240" s="73"/>
      <c r="Q4240" s="73"/>
      <c r="R4240" s="73"/>
      <c r="S4240" s="73"/>
      <c r="T4240" s="73"/>
      <c r="U4240" s="73"/>
      <c r="V4240" s="73"/>
      <c r="W4240" s="73"/>
      <c r="X4240" s="73"/>
      <c r="Y4240" s="73"/>
      <c r="Z4240" s="73"/>
      <c r="AA4240" s="73"/>
      <c r="AB4240" s="73"/>
    </row>
    <row r="4241">
      <c r="A4241" s="73"/>
      <c r="B4241" s="73">
        <v>1.199153227E7</v>
      </c>
      <c r="C4241" s="73">
        <v>5.82401008462692E8</v>
      </c>
      <c r="D4241" s="73">
        <v>3.09218973487998E8</v>
      </c>
      <c r="E4241" s="73">
        <v>4.48965526013897E7</v>
      </c>
      <c r="F4241" s="73"/>
      <c r="G4241" s="73"/>
      <c r="H4241" s="73"/>
      <c r="I4241" s="73"/>
      <c r="J4241" s="73"/>
      <c r="K4241" s="73"/>
      <c r="L4241" s="73"/>
      <c r="M4241" s="73"/>
      <c r="N4241" s="73"/>
      <c r="O4241" s="73"/>
      <c r="P4241" s="73"/>
      <c r="Q4241" s="73"/>
      <c r="R4241" s="73"/>
      <c r="S4241" s="73"/>
      <c r="T4241" s="73"/>
      <c r="U4241" s="73"/>
      <c r="V4241" s="73"/>
      <c r="W4241" s="73"/>
      <c r="X4241" s="73"/>
      <c r="Y4241" s="73"/>
      <c r="Z4241" s="73"/>
      <c r="AA4241" s="73"/>
      <c r="AB4241" s="73"/>
    </row>
    <row r="4242">
      <c r="A4242" s="73"/>
      <c r="B4242" s="73">
        <v>1.200665569E7</v>
      </c>
      <c r="C4242" s="73">
        <v>5.82774840772308E8</v>
      </c>
      <c r="D4242" s="73">
        <v>3.09453746427991E8</v>
      </c>
      <c r="E4242" s="73">
        <v>4.49344816702862E7</v>
      </c>
      <c r="F4242" s="73"/>
      <c r="G4242" s="73"/>
      <c r="H4242" s="73"/>
      <c r="I4242" s="73"/>
      <c r="J4242" s="73"/>
      <c r="K4242" s="73"/>
      <c r="L4242" s="73"/>
      <c r="M4242" s="73"/>
      <c r="N4242" s="73"/>
      <c r="O4242" s="73"/>
      <c r="P4242" s="73"/>
      <c r="Q4242" s="73"/>
      <c r="R4242" s="73"/>
      <c r="S4242" s="73"/>
      <c r="T4242" s="73"/>
      <c r="U4242" s="73"/>
      <c r="V4242" s="73"/>
      <c r="W4242" s="73"/>
      <c r="X4242" s="73"/>
      <c r="Y4242" s="73"/>
      <c r="Z4242" s="73"/>
      <c r="AA4242" s="73"/>
      <c r="AB4242" s="73"/>
    </row>
    <row r="4243">
      <c r="A4243" s="73"/>
      <c r="B4243" s="73">
        <v>1.202179672E7</v>
      </c>
      <c r="C4243" s="73">
        <v>5.83148804921921E8</v>
      </c>
      <c r="D4243" s="73">
        <v>3.09688642855999E8</v>
      </c>
      <c r="E4243" s="73">
        <v>4.49724316033736E7</v>
      </c>
      <c r="F4243" s="73"/>
      <c r="G4243" s="73"/>
      <c r="H4243" s="73"/>
      <c r="I4243" s="73"/>
      <c r="J4243" s="73"/>
      <c r="K4243" s="73"/>
      <c r="L4243" s="73"/>
      <c r="M4243" s="73"/>
      <c r="N4243" s="73"/>
      <c r="O4243" s="73"/>
      <c r="P4243" s="73"/>
      <c r="Q4243" s="73"/>
      <c r="R4243" s="73"/>
      <c r="S4243" s="73"/>
      <c r="T4243" s="73"/>
      <c r="U4243" s="73"/>
      <c r="V4243" s="73"/>
      <c r="W4243" s="73"/>
      <c r="X4243" s="73"/>
      <c r="Y4243" s="73"/>
      <c r="Z4243" s="73"/>
      <c r="AA4243" s="73"/>
      <c r="AB4243" s="73"/>
    </row>
    <row r="4244">
      <c r="A4244" s="73"/>
      <c r="B4244" s="73">
        <v>1.203695456E7</v>
      </c>
      <c r="C4244" s="73">
        <v>5.83522966831528E8</v>
      </c>
      <c r="D4244" s="73">
        <v>3.09923642595993E8</v>
      </c>
      <c r="E4244" s="73">
        <v>4.50104044087158E7</v>
      </c>
      <c r="F4244" s="73"/>
      <c r="G4244" s="73"/>
      <c r="H4244" s="73"/>
      <c r="I4244" s="73"/>
      <c r="J4244" s="73"/>
      <c r="K4244" s="73"/>
      <c r="L4244" s="73"/>
      <c r="M4244" s="73"/>
      <c r="N4244" s="73"/>
      <c r="O4244" s="73"/>
      <c r="P4244" s="73"/>
      <c r="Q4244" s="73"/>
      <c r="R4244" s="73"/>
      <c r="S4244" s="73"/>
      <c r="T4244" s="73"/>
      <c r="U4244" s="73"/>
      <c r="V4244" s="73"/>
      <c r="W4244" s="73"/>
      <c r="X4244" s="73"/>
      <c r="Y4244" s="73"/>
      <c r="Z4244" s="73"/>
      <c r="AA4244" s="73"/>
      <c r="AB4244" s="73"/>
    </row>
    <row r="4245">
      <c r="A4245" s="73"/>
      <c r="B4245" s="73">
        <v>1.205213016E7</v>
      </c>
      <c r="C4245" s="73">
        <v>5.83897326501129E8</v>
      </c>
      <c r="D4245" s="73">
        <v>3.10158765968001E8</v>
      </c>
      <c r="E4245" s="73">
        <v>4.50483967485849E7</v>
      </c>
      <c r="F4245" s="73"/>
      <c r="G4245" s="73"/>
      <c r="H4245" s="73"/>
      <c r="I4245" s="73"/>
      <c r="J4245" s="73"/>
      <c r="K4245" s="73"/>
      <c r="L4245" s="73"/>
      <c r="M4245" s="73"/>
      <c r="N4245" s="73"/>
      <c r="O4245" s="73"/>
      <c r="P4245" s="73"/>
      <c r="Q4245" s="73"/>
      <c r="R4245" s="73"/>
      <c r="S4245" s="73"/>
      <c r="T4245" s="73"/>
      <c r="U4245" s="73"/>
      <c r="V4245" s="73"/>
      <c r="W4245" s="73"/>
      <c r="X4245" s="73"/>
      <c r="Y4245" s="73"/>
      <c r="Z4245" s="73"/>
      <c r="AA4245" s="73"/>
      <c r="AB4245" s="73"/>
    </row>
    <row r="4246">
      <c r="A4246" s="73"/>
      <c r="B4246" s="73">
        <v>1.206732256E7</v>
      </c>
      <c r="C4246" s="73">
        <v>5.84271752090729E8</v>
      </c>
      <c r="D4246" s="73">
        <v>3.10394013291995E8</v>
      </c>
      <c r="E4246" s="73">
        <v>4.50864107735089E7</v>
      </c>
      <c r="F4246" s="73"/>
      <c r="G4246" s="73"/>
      <c r="H4246" s="73"/>
      <c r="I4246" s="73"/>
      <c r="J4246" s="73"/>
      <c r="K4246" s="73"/>
      <c r="L4246" s="73"/>
      <c r="M4246" s="73"/>
      <c r="N4246" s="73"/>
      <c r="O4246" s="73"/>
      <c r="P4246" s="73"/>
      <c r="Q4246" s="73"/>
      <c r="R4246" s="73"/>
      <c r="S4246" s="73"/>
      <c r="T4246" s="73"/>
      <c r="U4246" s="73"/>
      <c r="V4246" s="73"/>
      <c r="W4246" s="73"/>
      <c r="X4246" s="73"/>
      <c r="Y4246" s="73"/>
      <c r="Z4246" s="73"/>
      <c r="AA4246" s="73"/>
      <c r="AB4246" s="73"/>
    </row>
    <row r="4247">
      <c r="A4247" s="73"/>
      <c r="B4247" s="73">
        <v>1.208253296E7</v>
      </c>
      <c r="C4247" s="73">
        <v>5.84646441360321E8</v>
      </c>
      <c r="D4247" s="73">
        <v>3.10629363624003E8</v>
      </c>
      <c r="E4247" s="73">
        <v>4.51244490274875E7</v>
      </c>
      <c r="F4247" s="73"/>
      <c r="G4247" s="73"/>
      <c r="H4247" s="73"/>
      <c r="I4247" s="73"/>
      <c r="J4247" s="73"/>
      <c r="K4247" s="73"/>
      <c r="L4247" s="73"/>
      <c r="M4247" s="73"/>
      <c r="N4247" s="73"/>
      <c r="O4247" s="73"/>
      <c r="P4247" s="73"/>
      <c r="Q4247" s="73"/>
      <c r="R4247" s="73"/>
      <c r="S4247" s="73"/>
      <c r="T4247" s="73"/>
      <c r="U4247" s="73"/>
      <c r="V4247" s="73"/>
      <c r="W4247" s="73"/>
      <c r="X4247" s="73"/>
      <c r="Y4247" s="73"/>
      <c r="Z4247" s="73"/>
      <c r="AA4247" s="73"/>
      <c r="AB4247" s="73"/>
    </row>
    <row r="4248">
      <c r="A4248" s="73"/>
      <c r="B4248" s="73">
        <v>1.209776036E7</v>
      </c>
      <c r="C4248" s="73">
        <v>5.85021196549912E8</v>
      </c>
      <c r="D4248" s="73">
        <v>3.10864837747996E8</v>
      </c>
      <c r="E4248" s="73">
        <v>4.51625063919931E7</v>
      </c>
      <c r="F4248" s="73"/>
      <c r="G4248" s="73"/>
      <c r="H4248" s="73"/>
      <c r="I4248" s="73"/>
      <c r="J4248" s="73"/>
      <c r="K4248" s="73"/>
      <c r="L4248" s="73"/>
      <c r="M4248" s="73"/>
      <c r="N4248" s="73"/>
      <c r="O4248" s="73"/>
      <c r="P4248" s="73"/>
      <c r="Q4248" s="73"/>
      <c r="R4248" s="73"/>
      <c r="S4248" s="73"/>
      <c r="T4248" s="73"/>
      <c r="U4248" s="73"/>
      <c r="V4248" s="73"/>
      <c r="W4248" s="73"/>
      <c r="X4248" s="73"/>
      <c r="Y4248" s="73"/>
      <c r="Z4248" s="73"/>
      <c r="AA4248" s="73"/>
      <c r="AB4248" s="73"/>
    </row>
    <row r="4249">
      <c r="A4249" s="73"/>
      <c r="B4249" s="73">
        <v>1.211300515E7</v>
      </c>
      <c r="C4249" s="73">
        <v>5.85396149499496E8</v>
      </c>
      <c r="D4249" s="73">
        <v>3.1110041518399E8</v>
      </c>
      <c r="E4249" s="73">
        <v>4.52005849327536E7</v>
      </c>
      <c r="F4249" s="73"/>
      <c r="G4249" s="73"/>
      <c r="H4249" s="73"/>
      <c r="I4249" s="73"/>
      <c r="J4249" s="73"/>
      <c r="K4249" s="73"/>
      <c r="L4249" s="73"/>
      <c r="M4249" s="73"/>
      <c r="N4249" s="73"/>
      <c r="O4249" s="73"/>
      <c r="P4249" s="73"/>
      <c r="Q4249" s="73"/>
      <c r="R4249" s="73"/>
      <c r="S4249" s="73"/>
      <c r="T4249" s="73"/>
      <c r="U4249" s="73"/>
      <c r="V4249" s="73"/>
      <c r="W4249" s="73"/>
      <c r="X4249" s="73"/>
      <c r="Y4249" s="73"/>
      <c r="Z4249" s="73"/>
      <c r="AA4249" s="73"/>
      <c r="AB4249" s="73"/>
    </row>
    <row r="4250">
      <c r="A4250" s="73"/>
      <c r="B4250" s="73">
        <v>1.212826729E7</v>
      </c>
      <c r="C4250" s="73">
        <v>5.85771234289078E8</v>
      </c>
      <c r="D4250" s="73">
        <v>3.11336116107998E8</v>
      </c>
      <c r="E4250" s="73">
        <v>4.52386846192409E7</v>
      </c>
      <c r="F4250" s="73"/>
      <c r="G4250" s="73"/>
      <c r="H4250" s="73"/>
      <c r="I4250" s="73"/>
      <c r="J4250" s="73"/>
      <c r="K4250" s="73"/>
      <c r="L4250" s="73"/>
      <c r="M4250" s="73"/>
      <c r="N4250" s="73"/>
      <c r="O4250" s="73"/>
      <c r="P4250" s="73"/>
      <c r="Q4250" s="73"/>
      <c r="R4250" s="73"/>
      <c r="S4250" s="73"/>
      <c r="T4250" s="73"/>
      <c r="U4250" s="73"/>
      <c r="V4250" s="73"/>
      <c r="W4250" s="73"/>
      <c r="X4250" s="73"/>
      <c r="Y4250" s="73"/>
      <c r="Z4250" s="73"/>
      <c r="AA4250" s="73"/>
      <c r="AB4250" s="73"/>
    </row>
    <row r="4251">
      <c r="A4251" s="73"/>
      <c r="B4251" s="73">
        <v>1.214354695E7</v>
      </c>
      <c r="C4251" s="73">
        <v>5.86146384998657E8</v>
      </c>
      <c r="D4251" s="73">
        <v>3.11571920503991E8</v>
      </c>
      <c r="E4251" s="73">
        <v>4.5276805821183E7</v>
      </c>
      <c r="F4251" s="73"/>
      <c r="G4251" s="73"/>
      <c r="H4251" s="73"/>
      <c r="I4251" s="73"/>
      <c r="J4251" s="73"/>
      <c r="K4251" s="73"/>
      <c r="L4251" s="73"/>
      <c r="M4251" s="73"/>
      <c r="N4251" s="73"/>
      <c r="O4251" s="73"/>
      <c r="P4251" s="73"/>
      <c r="Q4251" s="73"/>
      <c r="R4251" s="73"/>
      <c r="S4251" s="73"/>
      <c r="T4251" s="73"/>
      <c r="U4251" s="73"/>
      <c r="V4251" s="73"/>
      <c r="W4251" s="73"/>
      <c r="X4251" s="73"/>
      <c r="Y4251" s="73"/>
      <c r="Z4251" s="73"/>
      <c r="AA4251" s="73"/>
      <c r="AB4251" s="73"/>
    </row>
    <row r="4252">
      <c r="A4252" s="73"/>
      <c r="B4252" s="73">
        <v>1.215884404E7</v>
      </c>
      <c r="C4252" s="73">
        <v>5.86521799388229E8</v>
      </c>
      <c r="D4252" s="73">
        <v>3.11807869012E8</v>
      </c>
      <c r="E4252" s="73">
        <v>4.53149500649799E7</v>
      </c>
      <c r="F4252" s="73"/>
      <c r="G4252" s="73"/>
      <c r="H4252" s="73"/>
      <c r="I4252" s="73"/>
      <c r="J4252" s="73"/>
      <c r="K4252" s="73"/>
      <c r="L4252" s="73"/>
      <c r="M4252" s="73"/>
      <c r="N4252" s="73"/>
      <c r="O4252" s="73"/>
      <c r="P4252" s="73"/>
      <c r="Q4252" s="73"/>
      <c r="R4252" s="73"/>
      <c r="S4252" s="73"/>
      <c r="T4252" s="73"/>
      <c r="U4252" s="73"/>
      <c r="V4252" s="73"/>
      <c r="W4252" s="73"/>
      <c r="X4252" s="73"/>
      <c r="Y4252" s="73"/>
      <c r="Z4252" s="73"/>
      <c r="AA4252" s="73"/>
      <c r="AB4252" s="73"/>
    </row>
    <row r="4253">
      <c r="A4253" s="73"/>
      <c r="B4253" s="73">
        <v>1.217415839E7</v>
      </c>
      <c r="C4253" s="73">
        <v>5.868972796978E8</v>
      </c>
      <c r="D4253" s="73">
        <v>3.12043920831993E8</v>
      </c>
      <c r="E4253" s="73">
        <v>4.53531136737038E7</v>
      </c>
      <c r="F4253" s="73"/>
      <c r="G4253" s="73"/>
      <c r="H4253" s="73"/>
      <c r="I4253" s="73"/>
      <c r="J4253" s="73"/>
      <c r="K4253" s="73"/>
      <c r="L4253" s="73"/>
      <c r="M4253" s="73"/>
      <c r="N4253" s="73"/>
      <c r="O4253" s="73"/>
      <c r="P4253" s="73"/>
      <c r="Q4253" s="73"/>
      <c r="R4253" s="73"/>
      <c r="S4253" s="73"/>
      <c r="T4253" s="73"/>
      <c r="U4253" s="73"/>
      <c r="V4253" s="73"/>
      <c r="W4253" s="73"/>
      <c r="X4253" s="73"/>
      <c r="Y4253" s="73"/>
      <c r="Z4253" s="73"/>
      <c r="AA4253" s="73"/>
      <c r="AB4253" s="73"/>
    </row>
    <row r="4254">
      <c r="A4254" s="73"/>
      <c r="B4254" s="73">
        <v>1.218949023E7</v>
      </c>
      <c r="C4254" s="73">
        <v>5.87273023687363E8</v>
      </c>
      <c r="D4254" s="73">
        <v>3.12280075820002E8</v>
      </c>
      <c r="E4254" s="73">
        <v>4.53913000698824E7</v>
      </c>
      <c r="F4254" s="73"/>
      <c r="G4254" s="73"/>
      <c r="H4254" s="73"/>
      <c r="I4254" s="73"/>
      <c r="J4254" s="73"/>
      <c r="K4254" s="73"/>
      <c r="L4254" s="73"/>
      <c r="M4254" s="73"/>
      <c r="N4254" s="73"/>
      <c r="O4254" s="73"/>
      <c r="P4254" s="73"/>
      <c r="Q4254" s="73"/>
      <c r="R4254" s="73"/>
      <c r="S4254" s="73"/>
      <c r="T4254" s="73"/>
      <c r="U4254" s="73"/>
      <c r="V4254" s="73"/>
      <c r="W4254" s="73"/>
      <c r="X4254" s="73"/>
      <c r="Y4254" s="73"/>
      <c r="Z4254" s="73"/>
      <c r="AA4254" s="73"/>
      <c r="AB4254" s="73"/>
    </row>
    <row r="4255">
      <c r="A4255" s="73"/>
      <c r="B4255" s="73">
        <v>1.220483939E7</v>
      </c>
      <c r="C4255" s="73">
        <v>5.87648833596924E8</v>
      </c>
      <c r="D4255" s="73">
        <v>3.12516354295995E8</v>
      </c>
      <c r="E4255" s="73">
        <v>4.5429507330252E7</v>
      </c>
      <c r="F4255" s="73"/>
      <c r="G4255" s="73"/>
      <c r="H4255" s="73"/>
      <c r="I4255" s="73"/>
      <c r="J4255" s="73"/>
      <c r="K4255" s="73"/>
      <c r="L4255" s="73"/>
      <c r="M4255" s="73"/>
      <c r="N4255" s="73"/>
      <c r="O4255" s="73"/>
      <c r="P4255" s="73"/>
      <c r="Q4255" s="73"/>
      <c r="R4255" s="73"/>
      <c r="S4255" s="73"/>
      <c r="T4255" s="73"/>
      <c r="U4255" s="73"/>
      <c r="V4255" s="73"/>
      <c r="W4255" s="73"/>
      <c r="X4255" s="73"/>
      <c r="Y4255" s="73"/>
      <c r="Z4255" s="73"/>
      <c r="AA4255" s="73"/>
      <c r="AB4255" s="73"/>
    </row>
    <row r="4256">
      <c r="A4256" s="73"/>
      <c r="B4256" s="73">
        <v>1.22202058E7</v>
      </c>
      <c r="C4256" s="73">
        <v>5.88024775346481E8</v>
      </c>
      <c r="D4256" s="73">
        <v>3.12752756868004E8</v>
      </c>
      <c r="E4256" s="73">
        <v>4.54677356244123E7</v>
      </c>
      <c r="F4256" s="73"/>
      <c r="G4256" s="73"/>
      <c r="H4256" s="73"/>
      <c r="I4256" s="73"/>
      <c r="J4256" s="73"/>
      <c r="K4256" s="73"/>
      <c r="L4256" s="73"/>
      <c r="M4256" s="73"/>
      <c r="N4256" s="73"/>
      <c r="O4256" s="73"/>
      <c r="P4256" s="73"/>
      <c r="Q4256" s="73"/>
      <c r="R4256" s="73"/>
      <c r="S4256" s="73"/>
      <c r="T4256" s="73"/>
      <c r="U4256" s="73"/>
      <c r="V4256" s="73"/>
      <c r="W4256" s="73"/>
      <c r="X4256" s="73"/>
      <c r="Y4256" s="73"/>
      <c r="Z4256" s="73"/>
      <c r="AA4256" s="73"/>
      <c r="AB4256" s="73"/>
    </row>
    <row r="4257">
      <c r="A4257" s="73"/>
      <c r="B4257" s="73">
        <v>1.223558969E7</v>
      </c>
      <c r="C4257" s="73">
        <v>5.88400914856033E8</v>
      </c>
      <c r="D4257" s="73">
        <v>3.12989262447997E8</v>
      </c>
      <c r="E4257" s="73">
        <v>4.55059875540274E7</v>
      </c>
      <c r="F4257" s="73"/>
      <c r="G4257" s="73"/>
      <c r="H4257" s="73"/>
      <c r="I4257" s="73"/>
      <c r="J4257" s="73"/>
      <c r="K4257" s="73"/>
      <c r="L4257" s="73"/>
      <c r="M4257" s="73"/>
      <c r="N4257" s="73"/>
      <c r="O4257" s="73"/>
      <c r="P4257" s="73"/>
      <c r="Q4257" s="73"/>
      <c r="R4257" s="73"/>
      <c r="S4257" s="73"/>
      <c r="T4257" s="73"/>
      <c r="U4257" s="73"/>
      <c r="V4257" s="73"/>
      <c r="W4257" s="73"/>
      <c r="X4257" s="73"/>
      <c r="Y4257" s="73"/>
      <c r="Z4257" s="73"/>
      <c r="AA4257" s="73"/>
      <c r="AB4257" s="73"/>
    </row>
    <row r="4258">
      <c r="A4258" s="73"/>
      <c r="B4258" s="73">
        <v>1.225099144E7</v>
      </c>
      <c r="C4258" s="73">
        <v>5.8877725212558E8</v>
      </c>
      <c r="D4258" s="73">
        <v>3.1322589181999E8</v>
      </c>
      <c r="E4258" s="73">
        <v>4.55442575765696E7</v>
      </c>
      <c r="F4258" s="73"/>
      <c r="G4258" s="73"/>
      <c r="H4258" s="73"/>
      <c r="I4258" s="73"/>
      <c r="J4258" s="73"/>
      <c r="K4258" s="73"/>
      <c r="L4258" s="73"/>
      <c r="M4258" s="73"/>
      <c r="N4258" s="73"/>
      <c r="O4258" s="73"/>
      <c r="P4258" s="73"/>
      <c r="Q4258" s="73"/>
      <c r="R4258" s="73"/>
      <c r="S4258" s="73"/>
      <c r="T4258" s="73"/>
      <c r="U4258" s="73"/>
      <c r="V4258" s="73"/>
      <c r="W4258" s="73"/>
      <c r="X4258" s="73"/>
      <c r="Y4258" s="73"/>
      <c r="Z4258" s="73"/>
      <c r="AA4258" s="73"/>
      <c r="AB4258" s="73"/>
    </row>
    <row r="4259">
      <c r="A4259" s="73"/>
      <c r="B4259" s="73">
        <v>1.226640991E7</v>
      </c>
      <c r="C4259" s="73">
        <v>5.89153655315125E8</v>
      </c>
      <c r="D4259" s="73">
        <v>3.13462644823999E8</v>
      </c>
      <c r="E4259" s="73">
        <v>4.55825515466304E7</v>
      </c>
      <c r="F4259" s="73"/>
      <c r="G4259" s="73"/>
      <c r="H4259" s="73"/>
      <c r="I4259" s="73"/>
      <c r="J4259" s="73"/>
      <c r="K4259" s="73"/>
      <c r="L4259" s="73"/>
      <c r="M4259" s="73"/>
      <c r="N4259" s="73"/>
      <c r="O4259" s="73"/>
      <c r="P4259" s="73"/>
      <c r="Q4259" s="73"/>
      <c r="R4259" s="73"/>
      <c r="S4259" s="73"/>
      <c r="T4259" s="73"/>
      <c r="U4259" s="73"/>
      <c r="V4259" s="73"/>
      <c r="W4259" s="73"/>
      <c r="X4259" s="73"/>
      <c r="Y4259" s="73"/>
      <c r="Z4259" s="73"/>
      <c r="AA4259" s="73"/>
      <c r="AB4259" s="73"/>
    </row>
    <row r="4260">
      <c r="A4260" s="73"/>
      <c r="B4260" s="73">
        <v>1.228184627E7</v>
      </c>
      <c r="C4260" s="73">
        <v>5.89530322184662E8</v>
      </c>
      <c r="D4260" s="73">
        <v>3.13699501299992E8</v>
      </c>
      <c r="E4260" s="73">
        <v>4.56208666624181E7</v>
      </c>
      <c r="F4260" s="73"/>
      <c r="G4260" s="73"/>
      <c r="H4260" s="73"/>
      <c r="I4260" s="73"/>
      <c r="J4260" s="73"/>
      <c r="K4260" s="73"/>
      <c r="L4260" s="73"/>
      <c r="M4260" s="73"/>
      <c r="N4260" s="73"/>
      <c r="O4260" s="73"/>
      <c r="P4260" s="73"/>
      <c r="Q4260" s="73"/>
      <c r="R4260" s="73"/>
      <c r="S4260" s="73"/>
      <c r="T4260" s="73"/>
      <c r="U4260" s="73"/>
      <c r="V4260" s="73"/>
      <c r="W4260" s="73"/>
      <c r="X4260" s="73"/>
      <c r="Y4260" s="73"/>
      <c r="Z4260" s="73"/>
      <c r="AA4260" s="73"/>
      <c r="AB4260" s="73"/>
    </row>
    <row r="4261">
      <c r="A4261" s="73"/>
      <c r="B4261" s="73">
        <v>1.229730026E7</v>
      </c>
      <c r="C4261" s="73">
        <v>5.89907054974197E8</v>
      </c>
      <c r="D4261" s="73">
        <v>3.13936481264001E8</v>
      </c>
      <c r="E4261" s="73">
        <v>4.56592012007967E7</v>
      </c>
      <c r="F4261" s="73"/>
      <c r="G4261" s="73"/>
      <c r="H4261" s="73"/>
      <c r="I4261" s="73"/>
      <c r="J4261" s="73"/>
      <c r="K4261" s="73"/>
      <c r="L4261" s="73"/>
      <c r="M4261" s="73"/>
      <c r="N4261" s="73"/>
      <c r="O4261" s="73"/>
      <c r="P4261" s="73"/>
      <c r="Q4261" s="73"/>
      <c r="R4261" s="73"/>
      <c r="S4261" s="73"/>
      <c r="T4261" s="73"/>
      <c r="U4261" s="73"/>
      <c r="V4261" s="73"/>
      <c r="W4261" s="73"/>
      <c r="X4261" s="73"/>
      <c r="Y4261" s="73"/>
      <c r="Z4261" s="73"/>
      <c r="AA4261" s="73"/>
      <c r="AB4261" s="73"/>
    </row>
    <row r="4262">
      <c r="A4262" s="73"/>
      <c r="B4262" s="73">
        <v>1.231277172E7</v>
      </c>
      <c r="C4262" s="73">
        <v>5.90283919603729E8</v>
      </c>
      <c r="D4262" s="73">
        <v>3.14173584875994E8</v>
      </c>
      <c r="E4262" s="73">
        <v>4.56975595442301E7</v>
      </c>
      <c r="F4262" s="73"/>
      <c r="G4262" s="73"/>
      <c r="H4262" s="73"/>
      <c r="I4262" s="73"/>
      <c r="J4262" s="73"/>
      <c r="K4262" s="73"/>
      <c r="L4262" s="73"/>
      <c r="M4262" s="73"/>
      <c r="N4262" s="73"/>
      <c r="O4262" s="73"/>
      <c r="P4262" s="73"/>
      <c r="Q4262" s="73"/>
      <c r="R4262" s="73"/>
      <c r="S4262" s="73"/>
      <c r="T4262" s="73"/>
      <c r="U4262" s="73"/>
      <c r="V4262" s="73"/>
      <c r="W4262" s="73"/>
      <c r="X4262" s="73"/>
      <c r="Y4262" s="73"/>
      <c r="Z4262" s="73"/>
      <c r="AA4262" s="73"/>
      <c r="AB4262" s="73"/>
    </row>
    <row r="4263">
      <c r="A4263" s="73"/>
      <c r="B4263" s="73">
        <v>1.23282605E7</v>
      </c>
      <c r="C4263" s="73">
        <v>5.90660981993256E8</v>
      </c>
      <c r="D4263" s="73">
        <v>3.14410792104002E8</v>
      </c>
      <c r="E4263" s="73">
        <v>4.57359387518543E7</v>
      </c>
      <c r="F4263" s="73"/>
      <c r="G4263" s="73"/>
      <c r="H4263" s="73"/>
      <c r="I4263" s="73"/>
      <c r="J4263" s="73"/>
      <c r="K4263" s="73"/>
      <c r="L4263" s="73"/>
      <c r="M4263" s="73"/>
      <c r="N4263" s="73"/>
      <c r="O4263" s="73"/>
      <c r="P4263" s="73"/>
      <c r="Q4263" s="73"/>
      <c r="R4263" s="73"/>
      <c r="S4263" s="73"/>
      <c r="T4263" s="73"/>
      <c r="U4263" s="73"/>
      <c r="V4263" s="73"/>
      <c r="W4263" s="73"/>
      <c r="X4263" s="73"/>
      <c r="Y4263" s="73"/>
      <c r="Z4263" s="73"/>
      <c r="AA4263" s="73"/>
      <c r="AB4263" s="73"/>
    </row>
    <row r="4264">
      <c r="A4264" s="73"/>
      <c r="B4264" s="73">
        <v>1.234376692E7</v>
      </c>
      <c r="C4264" s="73">
        <v>5.91038176222778E8</v>
      </c>
      <c r="D4264" s="73">
        <v>3.14648102179996E8</v>
      </c>
      <c r="E4264" s="73">
        <v>4.57743388236694E7</v>
      </c>
      <c r="F4264" s="73"/>
      <c r="G4264" s="73"/>
      <c r="H4264" s="73"/>
      <c r="I4264" s="73"/>
      <c r="J4264" s="73"/>
      <c r="K4264" s="73"/>
      <c r="L4264" s="73"/>
      <c r="M4264" s="73"/>
      <c r="N4264" s="73"/>
      <c r="O4264" s="73"/>
      <c r="P4264" s="73"/>
      <c r="Q4264" s="73"/>
      <c r="R4264" s="73"/>
      <c r="S4264" s="73"/>
      <c r="T4264" s="73"/>
      <c r="U4264" s="73"/>
      <c r="V4264" s="73"/>
      <c r="W4264" s="73"/>
      <c r="X4264" s="73"/>
      <c r="Y4264" s="73"/>
      <c r="Z4264" s="73"/>
      <c r="AA4264" s="73"/>
      <c r="AB4264" s="73"/>
    </row>
    <row r="4265">
      <c r="A4265" s="73"/>
      <c r="B4265" s="73">
        <v>1.235929081E7</v>
      </c>
      <c r="C4265" s="73">
        <v>5.91415502292297E8</v>
      </c>
      <c r="D4265" s="73">
        <v>3.14885556687989E8</v>
      </c>
      <c r="E4265" s="73">
        <v>4.58127596748754E7</v>
      </c>
      <c r="F4265" s="73"/>
      <c r="G4265" s="73"/>
      <c r="H4265" s="73"/>
      <c r="I4265" s="73"/>
      <c r="J4265" s="73"/>
      <c r="K4265" s="73"/>
      <c r="L4265" s="73"/>
      <c r="M4265" s="73"/>
      <c r="N4265" s="73"/>
      <c r="O4265" s="73"/>
      <c r="P4265" s="73"/>
      <c r="Q4265" s="73"/>
      <c r="R4265" s="73"/>
      <c r="S4265" s="73"/>
      <c r="T4265" s="73"/>
      <c r="U4265" s="73"/>
      <c r="V4265" s="73"/>
      <c r="W4265" s="73"/>
      <c r="X4265" s="73"/>
      <c r="Y4265" s="73"/>
      <c r="Z4265" s="73"/>
      <c r="AA4265" s="73"/>
      <c r="AB4265" s="73"/>
    </row>
    <row r="4266">
      <c r="A4266" s="73"/>
      <c r="B4266" s="73">
        <v>1.237483201E7</v>
      </c>
      <c r="C4266" s="73">
        <v>5.91793026121811E8</v>
      </c>
      <c r="D4266" s="73">
        <v>3.15123114347998E8</v>
      </c>
      <c r="E4266" s="73">
        <v>4.58512033983361E7</v>
      </c>
      <c r="F4266" s="73"/>
      <c r="G4266" s="73"/>
      <c r="H4266" s="73"/>
      <c r="I4266" s="73"/>
      <c r="J4266" s="73"/>
      <c r="K4266" s="73"/>
      <c r="L4266" s="73"/>
      <c r="M4266" s="73"/>
      <c r="N4266" s="73"/>
      <c r="O4266" s="73"/>
      <c r="P4266" s="73"/>
      <c r="Q4266" s="73"/>
      <c r="R4266" s="73"/>
      <c r="S4266" s="73"/>
      <c r="T4266" s="73"/>
      <c r="U4266" s="73"/>
      <c r="V4266" s="73"/>
      <c r="W4266" s="73"/>
      <c r="X4266" s="73"/>
      <c r="Y4266" s="73"/>
      <c r="Z4266" s="73"/>
      <c r="AA4266" s="73"/>
      <c r="AB4266" s="73"/>
    </row>
    <row r="4267">
      <c r="A4267" s="73"/>
      <c r="B4267" s="73">
        <v>1.239039093E7</v>
      </c>
      <c r="C4267" s="73">
        <v>5.92170681791321E8</v>
      </c>
      <c r="D4267" s="73">
        <v>3.15360795655991E8</v>
      </c>
      <c r="E4267" s="73">
        <v>4.58896679859878E7</v>
      </c>
      <c r="F4267" s="73"/>
      <c r="G4267" s="73"/>
      <c r="H4267" s="73"/>
      <c r="I4267" s="73"/>
      <c r="J4267" s="73"/>
      <c r="K4267" s="73"/>
      <c r="L4267" s="73"/>
      <c r="M4267" s="73"/>
      <c r="N4267" s="73"/>
      <c r="O4267" s="73"/>
      <c r="P4267" s="73"/>
      <c r="Q4267" s="73"/>
      <c r="R4267" s="73"/>
      <c r="S4267" s="73"/>
      <c r="T4267" s="73"/>
      <c r="U4267" s="73"/>
      <c r="V4267" s="73"/>
      <c r="W4267" s="73"/>
      <c r="X4267" s="73"/>
      <c r="Y4267" s="73"/>
      <c r="Z4267" s="73"/>
      <c r="AA4267" s="73"/>
      <c r="AB4267" s="73"/>
    </row>
    <row r="4268">
      <c r="A4268" s="73"/>
      <c r="B4268" s="73">
        <v>1.240596746E7</v>
      </c>
      <c r="C4268" s="73">
        <v>5.92548469300827E8</v>
      </c>
      <c r="D4268" s="73">
        <v>3.15598580275999E8</v>
      </c>
      <c r="E4268" s="73">
        <v>4.59281541162302E7</v>
      </c>
      <c r="F4268" s="73"/>
      <c r="G4268" s="73"/>
      <c r="H4268" s="73"/>
      <c r="I4268" s="73"/>
      <c r="J4268" s="73"/>
      <c r="K4268" s="73"/>
      <c r="L4268" s="73"/>
      <c r="M4268" s="73"/>
      <c r="N4268" s="73"/>
      <c r="O4268" s="73"/>
      <c r="P4268" s="73"/>
      <c r="Q4268" s="73"/>
      <c r="R4268" s="73"/>
      <c r="S4268" s="73"/>
      <c r="T4268" s="73"/>
      <c r="U4268" s="73"/>
      <c r="V4268" s="73"/>
      <c r="W4268" s="73"/>
      <c r="X4268" s="73"/>
      <c r="Y4268" s="73"/>
      <c r="Z4268" s="73"/>
      <c r="AA4268" s="73"/>
      <c r="AB4268" s="73"/>
    </row>
    <row r="4269">
      <c r="A4269" s="73"/>
      <c r="B4269" s="73">
        <v>1.242156108E7</v>
      </c>
      <c r="C4269" s="73">
        <v>5.92926454570328E8</v>
      </c>
      <c r="D4269" s="73">
        <v>3.15836488687993E8</v>
      </c>
      <c r="E4269" s="73">
        <v>4.59666615346635E7</v>
      </c>
      <c r="F4269" s="73"/>
      <c r="G4269" s="73"/>
      <c r="H4269" s="73"/>
      <c r="I4269" s="73"/>
      <c r="J4269" s="73"/>
      <c r="K4269" s="73"/>
      <c r="L4269" s="73"/>
      <c r="M4269" s="73"/>
      <c r="N4269" s="73"/>
      <c r="O4269" s="73"/>
      <c r="P4269" s="73"/>
      <c r="Q4269" s="73"/>
      <c r="R4269" s="73"/>
      <c r="S4269" s="73"/>
      <c r="T4269" s="73"/>
      <c r="U4269" s="73"/>
      <c r="V4269" s="73"/>
      <c r="W4269" s="73"/>
      <c r="X4269" s="73"/>
      <c r="Y4269" s="73"/>
      <c r="Z4269" s="73"/>
      <c r="AA4269" s="73"/>
      <c r="AB4269" s="73"/>
    </row>
    <row r="4270">
      <c r="A4270" s="73"/>
      <c r="B4270" s="73">
        <v>1.243717271E7</v>
      </c>
      <c r="C4270" s="73">
        <v>5.93304571679825E8</v>
      </c>
      <c r="D4270" s="73">
        <v>3.16074520748001E8</v>
      </c>
      <c r="E4270" s="73">
        <v>4.60051906381517E7</v>
      </c>
      <c r="F4270" s="73"/>
      <c r="G4270" s="73"/>
      <c r="H4270" s="73"/>
      <c r="I4270" s="73"/>
      <c r="J4270" s="73"/>
      <c r="K4270" s="73"/>
      <c r="L4270" s="73"/>
      <c r="M4270" s="73"/>
      <c r="N4270" s="73"/>
      <c r="O4270" s="73"/>
      <c r="P4270" s="73"/>
      <c r="Q4270" s="73"/>
      <c r="R4270" s="73"/>
      <c r="S4270" s="73"/>
      <c r="T4270" s="73"/>
      <c r="U4270" s="73"/>
      <c r="V4270" s="73"/>
      <c r="W4270" s="73"/>
      <c r="X4270" s="73"/>
      <c r="Y4270" s="73"/>
      <c r="Z4270" s="73"/>
      <c r="AA4270" s="73"/>
      <c r="AB4270" s="73"/>
    </row>
    <row r="4271">
      <c r="A4271" s="73"/>
      <c r="B4271" s="73">
        <v>1.245280205E7</v>
      </c>
      <c r="C4271" s="73">
        <v>5.93682820629318E8</v>
      </c>
      <c r="D4271" s="73">
        <v>3.16312655959994E8</v>
      </c>
      <c r="E4271" s="73">
        <v>4.60437417930306E7</v>
      </c>
      <c r="F4271" s="73"/>
      <c r="G4271" s="73"/>
      <c r="H4271" s="73"/>
      <c r="I4271" s="73"/>
      <c r="J4271" s="73"/>
      <c r="K4271" s="73"/>
      <c r="L4271" s="73"/>
      <c r="M4271" s="73"/>
      <c r="N4271" s="73"/>
      <c r="O4271" s="73"/>
      <c r="P4271" s="73"/>
      <c r="Q4271" s="73"/>
      <c r="R4271" s="73"/>
      <c r="S4271" s="73"/>
      <c r="T4271" s="73"/>
      <c r="U4271" s="73"/>
      <c r="V4271" s="73"/>
      <c r="W4271" s="73"/>
      <c r="X4271" s="73"/>
      <c r="Y4271" s="73"/>
      <c r="Z4271" s="73"/>
      <c r="AA4271" s="73"/>
      <c r="AB4271" s="73"/>
    </row>
    <row r="4272">
      <c r="A4272" s="73"/>
      <c r="B4272" s="73">
        <v>1.246844844E7</v>
      </c>
      <c r="C4272" s="73">
        <v>5.94061333258804E8</v>
      </c>
      <c r="D4272" s="73">
        <v>3.16550914964003E8</v>
      </c>
      <c r="E4272" s="73">
        <v>4.60823129064365E7</v>
      </c>
      <c r="F4272" s="73"/>
      <c r="G4272" s="73"/>
      <c r="H4272" s="73"/>
      <c r="I4272" s="73"/>
      <c r="J4272" s="73"/>
      <c r="K4272" s="73"/>
      <c r="L4272" s="73"/>
      <c r="M4272" s="73"/>
      <c r="N4272" s="73"/>
      <c r="O4272" s="73"/>
      <c r="P4272" s="73"/>
      <c r="Q4272" s="73"/>
      <c r="R4272" s="73"/>
      <c r="S4272" s="73"/>
      <c r="T4272" s="73"/>
      <c r="U4272" s="73"/>
      <c r="V4272" s="73"/>
      <c r="W4272" s="73"/>
      <c r="X4272" s="73"/>
      <c r="Y4272" s="73"/>
      <c r="Z4272" s="73"/>
      <c r="AA4272" s="73"/>
      <c r="AB4272" s="73"/>
    </row>
    <row r="4273">
      <c r="A4273" s="73"/>
      <c r="B4273" s="73">
        <v>1.248411284E7</v>
      </c>
      <c r="C4273" s="73">
        <v>5.94439911808289E8</v>
      </c>
      <c r="D4273" s="73">
        <v>3.16789277279996E8</v>
      </c>
      <c r="E4273" s="73">
        <v>4.61209066105611E7</v>
      </c>
      <c r="F4273" s="73"/>
      <c r="G4273" s="73"/>
      <c r="H4273" s="73"/>
      <c r="I4273" s="73"/>
      <c r="J4273" s="73"/>
      <c r="K4273" s="73"/>
      <c r="L4273" s="73"/>
      <c r="M4273" s="73"/>
      <c r="N4273" s="73"/>
      <c r="O4273" s="73"/>
      <c r="P4273" s="73"/>
      <c r="Q4273" s="73"/>
      <c r="R4273" s="73"/>
      <c r="S4273" s="73"/>
      <c r="T4273" s="73"/>
      <c r="U4273" s="73"/>
      <c r="V4273" s="73"/>
      <c r="W4273" s="73"/>
      <c r="X4273" s="73"/>
      <c r="Y4273" s="73"/>
      <c r="Z4273" s="73"/>
      <c r="AA4273" s="73"/>
      <c r="AB4273" s="73"/>
    </row>
    <row r="4274">
      <c r="A4274" s="73"/>
      <c r="B4274" s="73">
        <v>1.24997947E7</v>
      </c>
      <c r="C4274" s="73">
        <v>5.94818622197769E8</v>
      </c>
      <c r="D4274" s="73">
        <v>3.1702776324399E8</v>
      </c>
      <c r="E4274" s="73">
        <v>4.61595221388126E7</v>
      </c>
      <c r="F4274" s="73"/>
      <c r="G4274" s="73"/>
      <c r="H4274" s="73"/>
      <c r="I4274" s="73"/>
      <c r="J4274" s="73"/>
      <c r="K4274" s="73"/>
      <c r="L4274" s="73"/>
      <c r="M4274" s="73"/>
      <c r="N4274" s="73"/>
      <c r="O4274" s="73"/>
      <c r="P4274" s="73"/>
      <c r="Q4274" s="73"/>
      <c r="R4274" s="73"/>
      <c r="S4274" s="73"/>
      <c r="T4274" s="73"/>
      <c r="U4274" s="73"/>
      <c r="V4274" s="73"/>
      <c r="W4274" s="73"/>
      <c r="X4274" s="73"/>
      <c r="Y4274" s="73"/>
      <c r="Z4274" s="73"/>
      <c r="AA4274" s="73"/>
      <c r="AB4274" s="73"/>
    </row>
    <row r="4275">
      <c r="A4275" s="73"/>
      <c r="B4275" s="73">
        <v>1.251549417E7</v>
      </c>
      <c r="C4275" s="73">
        <v>5.95197464427246E8</v>
      </c>
      <c r="D4275" s="73">
        <v>3.17266372839998E8</v>
      </c>
      <c r="E4275" s="73">
        <v>4.6198157995319E7</v>
      </c>
      <c r="F4275" s="73"/>
      <c r="G4275" s="73"/>
      <c r="H4275" s="73"/>
      <c r="I4275" s="73"/>
      <c r="J4275" s="73"/>
      <c r="K4275" s="73"/>
      <c r="L4275" s="73"/>
      <c r="M4275" s="73"/>
      <c r="N4275" s="73"/>
      <c r="O4275" s="73"/>
      <c r="P4275" s="73"/>
      <c r="Q4275" s="73"/>
      <c r="R4275" s="73"/>
      <c r="S4275" s="73"/>
      <c r="T4275" s="73"/>
      <c r="U4275" s="73"/>
      <c r="V4275" s="73"/>
      <c r="W4275" s="73"/>
      <c r="X4275" s="73"/>
      <c r="Y4275" s="73"/>
      <c r="Z4275" s="73"/>
      <c r="AA4275" s="73"/>
      <c r="AB4275" s="73"/>
    </row>
    <row r="4276">
      <c r="A4276" s="73"/>
      <c r="B4276" s="73">
        <v>1.253121115E7</v>
      </c>
      <c r="C4276" s="73">
        <v>5.95576504416718E8</v>
      </c>
      <c r="D4276" s="73">
        <v>3.17505106387991E8</v>
      </c>
      <c r="E4276" s="73">
        <v>4.62368153096162E7</v>
      </c>
      <c r="F4276" s="73"/>
      <c r="G4276" s="73"/>
      <c r="H4276" s="73"/>
      <c r="I4276" s="73"/>
      <c r="J4276" s="73"/>
      <c r="K4276" s="73"/>
      <c r="L4276" s="73"/>
      <c r="M4276" s="73"/>
      <c r="N4276" s="73"/>
      <c r="O4276" s="73"/>
      <c r="P4276" s="73"/>
      <c r="Q4276" s="73"/>
      <c r="R4276" s="73"/>
      <c r="S4276" s="73"/>
      <c r="T4276" s="73"/>
      <c r="U4276" s="73"/>
      <c r="V4276" s="73"/>
      <c r="W4276" s="73"/>
      <c r="X4276" s="73"/>
      <c r="Y4276" s="73"/>
      <c r="Z4276" s="73"/>
      <c r="AA4276" s="73"/>
      <c r="AB4276" s="73"/>
    </row>
    <row r="4277">
      <c r="A4277" s="73"/>
      <c r="B4277" s="73">
        <v>1.254694554E7</v>
      </c>
      <c r="C4277" s="73">
        <v>5.95955676246185E8</v>
      </c>
      <c r="D4277" s="73">
        <v>3.17743942944E8</v>
      </c>
      <c r="E4277" s="73">
        <v>4.62754953537042E7</v>
      </c>
      <c r="F4277" s="73"/>
      <c r="G4277" s="73"/>
      <c r="H4277" s="73"/>
      <c r="I4277" s="73"/>
      <c r="J4277" s="73"/>
      <c r="K4277" s="73"/>
      <c r="L4277" s="73"/>
      <c r="M4277" s="73"/>
      <c r="N4277" s="73"/>
      <c r="O4277" s="73"/>
      <c r="P4277" s="73"/>
      <c r="Q4277" s="73"/>
      <c r="R4277" s="73"/>
      <c r="S4277" s="73"/>
      <c r="T4277" s="73"/>
      <c r="U4277" s="73"/>
      <c r="V4277" s="73"/>
      <c r="W4277" s="73"/>
      <c r="X4277" s="73"/>
      <c r="Y4277" s="73"/>
      <c r="Z4277" s="73"/>
      <c r="AA4277" s="73"/>
      <c r="AB4277" s="73"/>
    </row>
    <row r="4278">
      <c r="A4278" s="73"/>
      <c r="B4278" s="73">
        <v>1.256269794E7</v>
      </c>
      <c r="C4278" s="73">
        <v>5.96334979915649E8</v>
      </c>
      <c r="D4278" s="73">
        <v>3.17982903291993E8</v>
      </c>
      <c r="E4278" s="73">
        <v>4.6314196913247E7</v>
      </c>
      <c r="F4278" s="73"/>
      <c r="G4278" s="73"/>
      <c r="H4278" s="73"/>
      <c r="I4278" s="73"/>
      <c r="J4278" s="73"/>
      <c r="K4278" s="73"/>
      <c r="L4278" s="73"/>
      <c r="M4278" s="73"/>
      <c r="N4278" s="73"/>
      <c r="O4278" s="73"/>
      <c r="P4278" s="73"/>
      <c r="Q4278" s="73"/>
      <c r="R4278" s="73"/>
      <c r="S4278" s="73"/>
      <c r="T4278" s="73"/>
      <c r="U4278" s="73"/>
      <c r="V4278" s="73"/>
      <c r="W4278" s="73"/>
      <c r="X4278" s="73"/>
      <c r="Y4278" s="73"/>
      <c r="Z4278" s="73"/>
      <c r="AA4278" s="73"/>
      <c r="AB4278" s="73"/>
    </row>
    <row r="4279">
      <c r="A4279" s="73"/>
      <c r="B4279" s="73">
        <v>1.257846807E7</v>
      </c>
      <c r="C4279" s="73">
        <v>5.96714547265106E8</v>
      </c>
      <c r="D4279" s="73">
        <v>3.18221966952002E8</v>
      </c>
      <c r="E4279" s="73">
        <v>4.63529193369807E7</v>
      </c>
      <c r="F4279" s="73"/>
      <c r="G4279" s="73"/>
      <c r="H4279" s="73"/>
      <c r="I4279" s="73"/>
      <c r="J4279" s="73"/>
      <c r="K4279" s="73"/>
      <c r="L4279" s="73"/>
      <c r="M4279" s="73"/>
      <c r="N4279" s="73"/>
      <c r="O4279" s="73"/>
      <c r="P4279" s="73"/>
      <c r="Q4279" s="73"/>
      <c r="R4279" s="73"/>
      <c r="S4279" s="73"/>
      <c r="T4279" s="73"/>
      <c r="U4279" s="73"/>
      <c r="V4279" s="73"/>
      <c r="W4279" s="73"/>
      <c r="X4279" s="73"/>
      <c r="Y4279" s="73"/>
      <c r="Z4279" s="73"/>
      <c r="AA4279" s="73"/>
      <c r="AB4279" s="73"/>
    </row>
    <row r="4280">
      <c r="A4280" s="73"/>
      <c r="B4280" s="73">
        <v>1.259425547E7</v>
      </c>
      <c r="C4280" s="73">
        <v>5.97094180534561E8</v>
      </c>
      <c r="D4280" s="73">
        <v>3.18461154099995E8</v>
      </c>
      <c r="E4280" s="73">
        <v>4.63916632185053E7</v>
      </c>
      <c r="F4280" s="73"/>
      <c r="G4280" s="73"/>
      <c r="H4280" s="73"/>
      <c r="I4280" s="73"/>
      <c r="J4280" s="73"/>
      <c r="K4280" s="73"/>
      <c r="L4280" s="73"/>
      <c r="M4280" s="73"/>
      <c r="N4280" s="73"/>
      <c r="O4280" s="73"/>
      <c r="P4280" s="73"/>
      <c r="Q4280" s="73"/>
      <c r="R4280" s="73"/>
      <c r="S4280" s="73"/>
      <c r="T4280" s="73"/>
      <c r="U4280" s="73"/>
      <c r="V4280" s="73"/>
      <c r="W4280" s="73"/>
      <c r="X4280" s="73"/>
      <c r="Y4280" s="73"/>
      <c r="Z4280" s="73"/>
      <c r="AA4280" s="73"/>
      <c r="AB4280" s="73"/>
    </row>
    <row r="4281">
      <c r="A4281" s="73"/>
      <c r="B4281" s="73">
        <v>1.26100604E7</v>
      </c>
      <c r="C4281" s="73">
        <v>5.97473945644012E8</v>
      </c>
      <c r="D4281" s="73">
        <v>3.18700465040004E8</v>
      </c>
      <c r="E4281" s="73">
        <v>4.64304282186207E7</v>
      </c>
      <c r="F4281" s="73"/>
      <c r="G4281" s="73"/>
      <c r="H4281" s="73"/>
      <c r="I4281" s="73"/>
      <c r="J4281" s="73"/>
      <c r="K4281" s="73"/>
      <c r="L4281" s="73"/>
      <c r="M4281" s="73"/>
      <c r="N4281" s="73"/>
      <c r="O4281" s="73"/>
      <c r="P4281" s="73"/>
      <c r="Q4281" s="73"/>
      <c r="R4281" s="73"/>
      <c r="S4281" s="73"/>
      <c r="T4281" s="73"/>
      <c r="U4281" s="73"/>
      <c r="V4281" s="73"/>
      <c r="W4281" s="73"/>
      <c r="X4281" s="73"/>
      <c r="Y4281" s="73"/>
      <c r="Z4281" s="73"/>
      <c r="AA4281" s="73"/>
      <c r="AB4281" s="73"/>
    </row>
    <row r="4282">
      <c r="A4282" s="73"/>
      <c r="B4282" s="73">
        <v>1.262588352E7</v>
      </c>
      <c r="C4282" s="73">
        <v>5.9785384259346E8</v>
      </c>
      <c r="D4282" s="73">
        <v>3.18939879451997E8</v>
      </c>
      <c r="E4282" s="73">
        <v>4.64692172781908E7</v>
      </c>
      <c r="F4282" s="73"/>
      <c r="G4282" s="73"/>
      <c r="H4282" s="73"/>
      <c r="I4282" s="73"/>
      <c r="J4282" s="73"/>
      <c r="K4282" s="73"/>
      <c r="L4282" s="73"/>
      <c r="M4282" s="73"/>
      <c r="N4282" s="73"/>
      <c r="O4282" s="73"/>
      <c r="P4282" s="73"/>
      <c r="Q4282" s="73"/>
      <c r="R4282" s="73"/>
      <c r="S4282" s="73"/>
      <c r="T4282" s="73"/>
      <c r="U4282" s="73"/>
      <c r="V4282" s="73"/>
      <c r="W4282" s="73"/>
      <c r="X4282" s="73"/>
      <c r="Y4282" s="73"/>
      <c r="Z4282" s="73"/>
      <c r="AA4282" s="73"/>
      <c r="AB4282" s="73"/>
    </row>
    <row r="4283">
      <c r="A4283" s="73"/>
      <c r="B4283" s="73">
        <v>1.264172369E7</v>
      </c>
      <c r="C4283" s="73">
        <v>5.982340032229E8</v>
      </c>
      <c r="D4283" s="73">
        <v>3.1917941733599E8</v>
      </c>
      <c r="E4283" s="73">
        <v>4.65080251090879E7</v>
      </c>
      <c r="F4283" s="73"/>
      <c r="G4283" s="73"/>
      <c r="H4283" s="73"/>
      <c r="I4283" s="73"/>
      <c r="J4283" s="73"/>
      <c r="K4283" s="73"/>
      <c r="L4283" s="73"/>
      <c r="M4283" s="73"/>
      <c r="N4283" s="73"/>
      <c r="O4283" s="73"/>
      <c r="P4283" s="73"/>
      <c r="Q4283" s="73"/>
      <c r="R4283" s="73"/>
      <c r="S4283" s="73"/>
      <c r="T4283" s="73"/>
      <c r="U4283" s="73"/>
      <c r="V4283" s="73"/>
      <c r="W4283" s="73"/>
      <c r="X4283" s="73"/>
      <c r="Y4283" s="73"/>
      <c r="Z4283" s="73"/>
      <c r="AA4283" s="73"/>
      <c r="AB4283" s="73"/>
    </row>
    <row r="4284">
      <c r="A4284" s="73"/>
      <c r="B4284" s="73">
        <v>1.265758229E7</v>
      </c>
      <c r="C4284" s="73">
        <v>5.98614229772339E8</v>
      </c>
      <c r="D4284" s="73">
        <v>3.19419079027999E8</v>
      </c>
      <c r="E4284" s="73">
        <v>4.65468548794398E7</v>
      </c>
      <c r="F4284" s="73"/>
      <c r="G4284" s="73"/>
      <c r="H4284" s="73"/>
      <c r="I4284" s="73"/>
      <c r="J4284" s="73"/>
      <c r="K4284" s="73"/>
      <c r="L4284" s="73"/>
      <c r="M4284" s="73"/>
      <c r="N4284" s="73"/>
      <c r="O4284" s="73"/>
      <c r="P4284" s="73"/>
      <c r="Q4284" s="73"/>
      <c r="R4284" s="73"/>
      <c r="S4284" s="73"/>
      <c r="T4284" s="73"/>
      <c r="U4284" s="73"/>
      <c r="V4284" s="73"/>
      <c r="W4284" s="73"/>
      <c r="X4284" s="73"/>
      <c r="Y4284" s="73"/>
      <c r="Z4284" s="73"/>
      <c r="AA4284" s="73"/>
      <c r="AB4284" s="73"/>
    </row>
    <row r="4285">
      <c r="A4285" s="73"/>
      <c r="B4285" s="73">
        <v>1.267345801E7</v>
      </c>
      <c r="C4285" s="73">
        <v>5.9899472000177E8</v>
      </c>
      <c r="D4285" s="73">
        <v>3.19658864511992E8</v>
      </c>
      <c r="E4285" s="73">
        <v>4.65857075220465E7</v>
      </c>
      <c r="F4285" s="73"/>
      <c r="G4285" s="73"/>
      <c r="H4285" s="73"/>
      <c r="I4285" s="73"/>
      <c r="J4285" s="73"/>
      <c r="K4285" s="73"/>
      <c r="L4285" s="73"/>
      <c r="M4285" s="73"/>
      <c r="N4285" s="73"/>
      <c r="O4285" s="73"/>
      <c r="P4285" s="73"/>
      <c r="Q4285" s="73"/>
      <c r="R4285" s="73"/>
      <c r="S4285" s="73"/>
      <c r="T4285" s="73"/>
      <c r="U4285" s="73"/>
      <c r="V4285" s="73"/>
      <c r="W4285" s="73"/>
      <c r="X4285" s="73"/>
      <c r="Y4285" s="73"/>
      <c r="Z4285" s="73"/>
      <c r="AA4285" s="73"/>
      <c r="AB4285" s="73"/>
    </row>
    <row r="4286">
      <c r="A4286" s="73"/>
      <c r="B4286" s="73">
        <v>1.268935184E7</v>
      </c>
      <c r="C4286" s="73">
        <v>5.99375276151199E8</v>
      </c>
      <c r="D4286" s="73">
        <v>3.19898753148001E8</v>
      </c>
      <c r="E4286" s="73">
        <v>4.66245791903801E7</v>
      </c>
      <c r="F4286" s="73"/>
      <c r="G4286" s="73"/>
      <c r="H4286" s="73"/>
      <c r="I4286" s="73"/>
      <c r="J4286" s="73"/>
      <c r="K4286" s="73"/>
      <c r="L4286" s="73"/>
      <c r="M4286" s="73"/>
      <c r="N4286" s="73"/>
      <c r="O4286" s="73"/>
      <c r="P4286" s="73"/>
      <c r="Q4286" s="73"/>
      <c r="R4286" s="73"/>
      <c r="S4286" s="73"/>
      <c r="T4286" s="73"/>
      <c r="U4286" s="73"/>
      <c r="V4286" s="73"/>
      <c r="W4286" s="73"/>
      <c r="X4286" s="73"/>
      <c r="Y4286" s="73"/>
      <c r="Z4286" s="73"/>
      <c r="AA4286" s="73"/>
      <c r="AB4286" s="73"/>
    </row>
    <row r="4287">
      <c r="A4287" s="73"/>
      <c r="B4287" s="73">
        <v>1.270526286E7</v>
      </c>
      <c r="C4287" s="73">
        <v>5.99755964140625E8</v>
      </c>
      <c r="D4287" s="73">
        <v>3.20138744951994E8</v>
      </c>
      <c r="E4287" s="73">
        <v>4.66634740701685E7</v>
      </c>
      <c r="F4287" s="73"/>
      <c r="G4287" s="73"/>
      <c r="H4287" s="73"/>
      <c r="I4287" s="73"/>
      <c r="J4287" s="73"/>
      <c r="K4287" s="73"/>
      <c r="L4287" s="73"/>
      <c r="M4287" s="73"/>
      <c r="N4287" s="73"/>
      <c r="O4287" s="73"/>
      <c r="P4287" s="73"/>
      <c r="Q4287" s="73"/>
      <c r="R4287" s="73"/>
      <c r="S4287" s="73"/>
      <c r="T4287" s="73"/>
      <c r="U4287" s="73"/>
      <c r="V4287" s="73"/>
      <c r="W4287" s="73"/>
      <c r="X4287" s="73"/>
      <c r="Y4287" s="73"/>
      <c r="Z4287" s="73"/>
      <c r="AA4287" s="73"/>
      <c r="AB4287" s="73"/>
    </row>
    <row r="4288">
      <c r="A4288" s="73"/>
      <c r="B4288" s="73">
        <v>1.272119174E7</v>
      </c>
      <c r="C4288" s="73">
        <v>6.00136783970047E8</v>
      </c>
      <c r="D4288" s="73">
        <v>3.20378881028002E8</v>
      </c>
      <c r="E4288" s="73">
        <v>4.67023905773477E7</v>
      </c>
      <c r="F4288" s="73"/>
      <c r="G4288" s="73"/>
      <c r="H4288" s="73"/>
      <c r="I4288" s="73"/>
      <c r="J4288" s="73"/>
      <c r="K4288" s="73"/>
      <c r="L4288" s="73"/>
      <c r="M4288" s="73"/>
      <c r="N4288" s="73"/>
      <c r="O4288" s="73"/>
      <c r="P4288" s="73"/>
      <c r="Q4288" s="73"/>
      <c r="R4288" s="73"/>
      <c r="S4288" s="73"/>
      <c r="T4288" s="73"/>
      <c r="U4288" s="73"/>
      <c r="V4288" s="73"/>
      <c r="W4288" s="73"/>
      <c r="X4288" s="73"/>
      <c r="Y4288" s="73"/>
      <c r="Z4288" s="73"/>
      <c r="AA4288" s="73"/>
      <c r="AB4288" s="73"/>
    </row>
    <row r="4289">
      <c r="A4289" s="73"/>
      <c r="B4289" s="73">
        <v>1.27371386E7</v>
      </c>
      <c r="C4289" s="73">
        <v>6.00517801559464E8</v>
      </c>
      <c r="D4289" s="73">
        <v>3.20619120415996E8</v>
      </c>
      <c r="E4289" s="73">
        <v>4.67413302959817E7</v>
      </c>
      <c r="F4289" s="73"/>
      <c r="G4289" s="73"/>
      <c r="H4289" s="73"/>
      <c r="I4289" s="73"/>
      <c r="J4289" s="73"/>
      <c r="K4289" s="73"/>
      <c r="L4289" s="73"/>
      <c r="M4289" s="73"/>
      <c r="N4289" s="73"/>
      <c r="O4289" s="73"/>
      <c r="P4289" s="73"/>
      <c r="Q4289" s="73"/>
      <c r="R4289" s="73"/>
      <c r="S4289" s="73"/>
      <c r="T4289" s="73"/>
      <c r="U4289" s="73"/>
      <c r="V4289" s="73"/>
      <c r="W4289" s="73"/>
      <c r="X4289" s="73"/>
      <c r="Y4289" s="73"/>
      <c r="Z4289" s="73"/>
      <c r="AA4289" s="73"/>
      <c r="AB4289" s="73"/>
    </row>
    <row r="4290">
      <c r="A4290" s="73"/>
      <c r="B4290" s="73">
        <v>1.275310313E7</v>
      </c>
      <c r="C4290" s="73">
        <v>6.00899016908875E8</v>
      </c>
      <c r="D4290" s="73">
        <v>3.20859463115989E8</v>
      </c>
      <c r="E4290" s="73">
        <v>4.67802885315427E7</v>
      </c>
      <c r="F4290" s="73"/>
      <c r="G4290" s="73"/>
      <c r="H4290" s="73"/>
      <c r="I4290" s="73"/>
      <c r="J4290" s="73"/>
      <c r="K4290" s="73"/>
      <c r="L4290" s="73"/>
      <c r="M4290" s="73"/>
      <c r="N4290" s="73"/>
      <c r="O4290" s="73"/>
      <c r="P4290" s="73"/>
      <c r="Q4290" s="73"/>
      <c r="R4290" s="73"/>
      <c r="S4290" s="73"/>
      <c r="T4290" s="73"/>
      <c r="U4290" s="73"/>
      <c r="V4290" s="73"/>
      <c r="W4290" s="73"/>
      <c r="X4290" s="73"/>
      <c r="Y4290" s="73"/>
      <c r="Z4290" s="73"/>
      <c r="AA4290" s="73"/>
      <c r="AB4290" s="73"/>
    </row>
    <row r="4291">
      <c r="A4291" s="73"/>
      <c r="B4291" s="73">
        <v>1.276908523E7</v>
      </c>
      <c r="C4291" s="73">
        <v>6.01280298178284E8</v>
      </c>
      <c r="D4291" s="73">
        <v>3.21099949783998E8</v>
      </c>
      <c r="E4291" s="73">
        <v>4.68192698937584E7</v>
      </c>
      <c r="F4291" s="73"/>
      <c r="G4291" s="73"/>
      <c r="H4291" s="73"/>
      <c r="I4291" s="73"/>
      <c r="J4291" s="73"/>
      <c r="K4291" s="73"/>
      <c r="L4291" s="73"/>
      <c r="M4291" s="73"/>
      <c r="N4291" s="73"/>
      <c r="O4291" s="73"/>
      <c r="P4291" s="73"/>
      <c r="Q4291" s="73"/>
      <c r="R4291" s="73"/>
      <c r="S4291" s="73"/>
      <c r="T4291" s="73"/>
      <c r="U4291" s="73"/>
      <c r="V4291" s="73"/>
      <c r="W4291" s="73"/>
      <c r="X4291" s="73"/>
      <c r="Y4291" s="73"/>
      <c r="Z4291" s="73"/>
      <c r="AA4291" s="73"/>
      <c r="AB4291" s="73"/>
    </row>
    <row r="4292">
      <c r="A4292" s="73"/>
      <c r="B4292" s="73">
        <v>1.278508524E7</v>
      </c>
      <c r="C4292" s="73">
        <v>6.01661777207687E8</v>
      </c>
      <c r="D4292" s="73">
        <v>3.21340539763991E8</v>
      </c>
      <c r="E4292" s="73">
        <v>4.6858271611365E7</v>
      </c>
      <c r="F4292" s="73"/>
      <c r="G4292" s="73"/>
      <c r="H4292" s="73"/>
      <c r="I4292" s="73"/>
      <c r="J4292" s="73"/>
      <c r="K4292" s="73"/>
      <c r="L4292" s="73"/>
      <c r="M4292" s="73"/>
      <c r="N4292" s="73"/>
      <c r="O4292" s="73"/>
      <c r="P4292" s="73"/>
      <c r="Q4292" s="73"/>
      <c r="R4292" s="73"/>
      <c r="S4292" s="73"/>
      <c r="T4292" s="73"/>
      <c r="U4292" s="73"/>
      <c r="V4292" s="73"/>
      <c r="W4292" s="73"/>
      <c r="X4292" s="73"/>
      <c r="Y4292" s="73"/>
      <c r="Z4292" s="73"/>
      <c r="AA4292" s="73"/>
      <c r="AB4292" s="73"/>
    </row>
    <row r="4293">
      <c r="A4293" s="73"/>
      <c r="B4293" s="73">
        <v>1.280110296E7</v>
      </c>
      <c r="C4293" s="73">
        <v>6.02043388077087E8</v>
      </c>
      <c r="D4293" s="73">
        <v>3.21581233055999E8</v>
      </c>
      <c r="E4293" s="73">
        <v>4.68972960587624E7</v>
      </c>
      <c r="F4293" s="73"/>
      <c r="G4293" s="73"/>
      <c r="H4293" s="73"/>
      <c r="I4293" s="73"/>
      <c r="J4293" s="73"/>
      <c r="K4293" s="73"/>
      <c r="L4293" s="73"/>
      <c r="M4293" s="73"/>
      <c r="N4293" s="73"/>
      <c r="O4293" s="73"/>
      <c r="P4293" s="73"/>
      <c r="Q4293" s="73"/>
      <c r="R4293" s="73"/>
      <c r="S4293" s="73"/>
      <c r="T4293" s="73"/>
      <c r="U4293" s="73"/>
      <c r="V4293" s="73"/>
      <c r="W4293" s="73"/>
      <c r="X4293" s="73"/>
      <c r="Y4293" s="73"/>
      <c r="Z4293" s="73"/>
      <c r="AA4293" s="73"/>
      <c r="AB4293" s="73"/>
    </row>
    <row r="4294">
      <c r="A4294" s="73"/>
      <c r="B4294" s="73">
        <v>1.281713817E7</v>
      </c>
      <c r="C4294" s="73">
        <v>6.02425196706482E8</v>
      </c>
      <c r="D4294" s="73">
        <v>3.21822070475993E8</v>
      </c>
      <c r="E4294" s="73">
        <v>4.69363427000146E7</v>
      </c>
      <c r="F4294" s="73"/>
      <c r="G4294" s="73"/>
      <c r="H4294" s="73"/>
      <c r="I4294" s="73"/>
      <c r="J4294" s="73"/>
      <c r="K4294" s="73"/>
      <c r="L4294" s="73"/>
      <c r="M4294" s="73"/>
      <c r="N4294" s="73"/>
      <c r="O4294" s="73"/>
      <c r="P4294" s="73"/>
      <c r="Q4294" s="73"/>
      <c r="R4294" s="73"/>
      <c r="S4294" s="73"/>
      <c r="T4294" s="73"/>
      <c r="U4294" s="73"/>
      <c r="V4294" s="73"/>
      <c r="W4294" s="73"/>
      <c r="X4294" s="73"/>
      <c r="Y4294" s="73"/>
      <c r="Z4294" s="73"/>
      <c r="AA4294" s="73"/>
      <c r="AB4294" s="73"/>
    </row>
    <row r="4295">
      <c r="A4295" s="73"/>
      <c r="B4295" s="73">
        <v>1.283319137E7</v>
      </c>
      <c r="C4295" s="73">
        <v>6.02807137175873E8</v>
      </c>
      <c r="D4295" s="73">
        <v>3.22063011048001E8</v>
      </c>
      <c r="E4295" s="73">
        <v>4.69754101206577E7</v>
      </c>
      <c r="F4295" s="73"/>
      <c r="G4295" s="73"/>
      <c r="H4295" s="73"/>
      <c r="I4295" s="73"/>
      <c r="J4295" s="73"/>
      <c r="K4295" s="73"/>
      <c r="L4295" s="73"/>
      <c r="M4295" s="73"/>
      <c r="N4295" s="73"/>
      <c r="O4295" s="73"/>
      <c r="P4295" s="73"/>
      <c r="Q4295" s="73"/>
      <c r="R4295" s="73"/>
      <c r="S4295" s="73"/>
      <c r="T4295" s="73"/>
      <c r="U4295" s="73"/>
      <c r="V4295" s="73"/>
      <c r="W4295" s="73"/>
      <c r="X4295" s="73"/>
      <c r="Y4295" s="73"/>
      <c r="Z4295" s="73"/>
      <c r="AA4295" s="73"/>
      <c r="AB4295" s="73"/>
    </row>
    <row r="4296">
      <c r="A4296" s="73"/>
      <c r="B4296" s="73">
        <v>1.284926291E7</v>
      </c>
      <c r="C4296" s="73">
        <v>6.0318920948526E8</v>
      </c>
      <c r="D4296" s="73">
        <v>3.22304075571994E8</v>
      </c>
      <c r="E4296" s="73">
        <v>4.70144970758277E7</v>
      </c>
      <c r="F4296" s="73"/>
      <c r="G4296" s="73"/>
      <c r="H4296" s="73"/>
      <c r="I4296" s="73"/>
      <c r="J4296" s="73"/>
      <c r="K4296" s="73"/>
      <c r="L4296" s="73"/>
      <c r="M4296" s="73"/>
      <c r="N4296" s="73"/>
      <c r="O4296" s="73"/>
      <c r="P4296" s="73"/>
      <c r="Q4296" s="73"/>
      <c r="R4296" s="73"/>
      <c r="S4296" s="73"/>
      <c r="T4296" s="73"/>
      <c r="U4296" s="73"/>
      <c r="V4296" s="73"/>
      <c r="W4296" s="73"/>
      <c r="X4296" s="73"/>
      <c r="Y4296" s="73"/>
      <c r="Z4296" s="73"/>
      <c r="AA4296" s="73"/>
      <c r="AB4296" s="73"/>
    </row>
    <row r="4297">
      <c r="A4297" s="73"/>
      <c r="B4297" s="73">
        <v>1.286535144E7</v>
      </c>
      <c r="C4297" s="73">
        <v>6.03571413634644E8</v>
      </c>
      <c r="D4297" s="73">
        <v>3.22545243248003E8</v>
      </c>
      <c r="E4297" s="73">
        <v>4.70536082329164E7</v>
      </c>
      <c r="F4297" s="73"/>
      <c r="G4297" s="73"/>
      <c r="H4297" s="73"/>
      <c r="I4297" s="73"/>
      <c r="J4297" s="73"/>
      <c r="K4297" s="73"/>
      <c r="L4297" s="73"/>
      <c r="M4297" s="73"/>
      <c r="N4297" s="73"/>
      <c r="O4297" s="73"/>
      <c r="P4297" s="73"/>
      <c r="Q4297" s="73"/>
      <c r="R4297" s="73"/>
      <c r="S4297" s="73"/>
      <c r="T4297" s="73"/>
      <c r="U4297" s="73"/>
      <c r="V4297" s="73"/>
      <c r="W4297" s="73"/>
      <c r="X4297" s="73"/>
      <c r="Y4297" s="73"/>
      <c r="Z4297" s="73"/>
      <c r="AA4297" s="73"/>
      <c r="AB4297" s="73"/>
    </row>
    <row r="4298">
      <c r="A4298" s="73"/>
      <c r="B4298" s="73">
        <v>1.28814581E7</v>
      </c>
      <c r="C4298" s="73">
        <v>6.0395388146402E8</v>
      </c>
      <c r="D4298" s="73">
        <v>3.22786534571996E8</v>
      </c>
      <c r="E4298" s="73">
        <v>4.7092740535732E7</v>
      </c>
      <c r="F4298" s="73"/>
      <c r="G4298" s="73"/>
      <c r="H4298" s="73"/>
      <c r="I4298" s="73"/>
      <c r="J4298" s="73"/>
      <c r="K4298" s="73"/>
      <c r="L4298" s="73"/>
      <c r="M4298" s="73"/>
      <c r="N4298" s="73"/>
      <c r="O4298" s="73"/>
      <c r="P4298" s="73"/>
      <c r="Q4298" s="73"/>
      <c r="R4298" s="73"/>
      <c r="S4298" s="73"/>
      <c r="T4298" s="73"/>
      <c r="U4298" s="73"/>
      <c r="V4298" s="73"/>
      <c r="W4298" s="73"/>
      <c r="X4298" s="73"/>
      <c r="Y4298" s="73"/>
      <c r="Z4298" s="73"/>
      <c r="AA4298" s="73"/>
      <c r="AB4298" s="73"/>
    </row>
    <row r="4299">
      <c r="A4299" s="73"/>
      <c r="B4299" s="73">
        <v>1.289758228E7</v>
      </c>
      <c r="C4299" s="73">
        <v>6.04336481133392E8</v>
      </c>
      <c r="D4299" s="73">
        <v>3.2302794968799E8</v>
      </c>
      <c r="E4299" s="73">
        <v>4.71318945236024E7</v>
      </c>
      <c r="F4299" s="73"/>
      <c r="G4299" s="73"/>
      <c r="H4299" s="73"/>
      <c r="I4299" s="73"/>
      <c r="J4299" s="73"/>
      <c r="K4299" s="73"/>
      <c r="L4299" s="73"/>
      <c r="M4299" s="73"/>
      <c r="N4299" s="73"/>
      <c r="O4299" s="73"/>
      <c r="P4299" s="73"/>
      <c r="Q4299" s="73"/>
      <c r="R4299" s="73"/>
      <c r="S4299" s="73"/>
      <c r="T4299" s="73"/>
      <c r="U4299" s="73"/>
      <c r="V4299" s="73"/>
      <c r="W4299" s="73"/>
      <c r="X4299" s="73"/>
      <c r="Y4299" s="73"/>
      <c r="Z4299" s="73"/>
      <c r="AA4299" s="73"/>
      <c r="AB4299" s="73"/>
    </row>
    <row r="4300">
      <c r="A4300" s="73"/>
      <c r="B4300" s="73">
        <v>1.291372477E7</v>
      </c>
      <c r="C4300" s="73">
        <v>6.04719146722763E8</v>
      </c>
      <c r="D4300" s="73">
        <v>3.23269488291998E8</v>
      </c>
      <c r="E4300" s="73">
        <v>4.71710686972637E7</v>
      </c>
      <c r="F4300" s="73"/>
      <c r="G4300" s="73"/>
      <c r="H4300" s="73"/>
      <c r="I4300" s="73"/>
      <c r="J4300" s="73"/>
      <c r="K4300" s="73"/>
      <c r="L4300" s="73"/>
      <c r="M4300" s="73"/>
      <c r="N4300" s="73"/>
      <c r="O4300" s="73"/>
      <c r="P4300" s="73"/>
      <c r="Q4300" s="73"/>
      <c r="R4300" s="73"/>
      <c r="S4300" s="73"/>
      <c r="T4300" s="73"/>
      <c r="U4300" s="73"/>
      <c r="V4300" s="73"/>
      <c r="W4300" s="73"/>
      <c r="X4300" s="73"/>
      <c r="Y4300" s="73"/>
      <c r="Z4300" s="73"/>
      <c r="AA4300" s="73"/>
      <c r="AB4300" s="73"/>
    </row>
    <row r="4301">
      <c r="A4301" s="73"/>
      <c r="B4301" s="73">
        <v>1.29298846E7</v>
      </c>
      <c r="C4301" s="73">
        <v>6.0510194415213E8</v>
      </c>
      <c r="D4301" s="73">
        <v>3.23511130511992E8</v>
      </c>
      <c r="E4301" s="73">
        <v>4.72102650919159E7</v>
      </c>
      <c r="F4301" s="73"/>
      <c r="G4301" s="73"/>
      <c r="H4301" s="73"/>
      <c r="I4301" s="73"/>
      <c r="J4301" s="73"/>
      <c r="K4301" s="73"/>
      <c r="L4301" s="73"/>
      <c r="M4301" s="73"/>
      <c r="N4301" s="73"/>
      <c r="O4301" s="73"/>
      <c r="P4301" s="73"/>
      <c r="Q4301" s="73"/>
      <c r="R4301" s="73"/>
      <c r="S4301" s="73"/>
      <c r="T4301" s="73"/>
      <c r="U4301" s="73"/>
      <c r="V4301" s="73"/>
      <c r="W4301" s="73"/>
      <c r="X4301" s="73"/>
      <c r="Y4301" s="73"/>
      <c r="Z4301" s="73"/>
      <c r="AA4301" s="73"/>
      <c r="AB4301" s="73"/>
    </row>
    <row r="4302">
      <c r="A4302" s="73"/>
      <c r="B4302" s="73">
        <v>1.294606243E7</v>
      </c>
      <c r="C4302" s="73">
        <v>6.0548500526149E8</v>
      </c>
      <c r="D4302" s="73">
        <v>3.2375287574E8</v>
      </c>
      <c r="E4302" s="73">
        <v>4.72494841892228E7</v>
      </c>
      <c r="F4302" s="73"/>
      <c r="G4302" s="73"/>
      <c r="H4302" s="73"/>
      <c r="I4302" s="73"/>
      <c r="J4302" s="73"/>
      <c r="K4302" s="73"/>
      <c r="L4302" s="73"/>
      <c r="M4302" s="73"/>
      <c r="N4302" s="73"/>
      <c r="O4302" s="73"/>
      <c r="P4302" s="73"/>
      <c r="Q4302" s="73"/>
      <c r="R4302" s="73"/>
      <c r="S4302" s="73"/>
      <c r="T4302" s="73"/>
      <c r="U4302" s="73"/>
      <c r="V4302" s="73"/>
      <c r="W4302" s="73"/>
      <c r="X4302" s="73"/>
      <c r="Y4302" s="73"/>
      <c r="Z4302" s="73"/>
      <c r="AA4302" s="73"/>
      <c r="AB4302" s="73"/>
    </row>
    <row r="4303">
      <c r="A4303" s="73"/>
      <c r="B4303" s="73">
        <v>1.296225815E7</v>
      </c>
      <c r="C4303" s="73">
        <v>6.05868132290848E8</v>
      </c>
      <c r="D4303" s="73">
        <v>3.23994765239993E8</v>
      </c>
      <c r="E4303" s="73">
        <v>4.72887247443205E7</v>
      </c>
      <c r="F4303" s="73"/>
      <c r="G4303" s="73"/>
      <c r="H4303" s="73"/>
      <c r="I4303" s="73"/>
      <c r="J4303" s="73"/>
      <c r="K4303" s="73"/>
      <c r="L4303" s="73"/>
      <c r="M4303" s="73"/>
      <c r="N4303" s="73"/>
      <c r="O4303" s="73"/>
      <c r="P4303" s="73"/>
      <c r="Q4303" s="73"/>
      <c r="R4303" s="73"/>
      <c r="S4303" s="73"/>
      <c r="T4303" s="73"/>
      <c r="U4303" s="73"/>
      <c r="V4303" s="73"/>
      <c r="W4303" s="73"/>
      <c r="X4303" s="73"/>
      <c r="Y4303" s="73"/>
      <c r="Z4303" s="73"/>
      <c r="AA4303" s="73"/>
      <c r="AB4303" s="73"/>
    </row>
    <row r="4304">
      <c r="A4304" s="73"/>
      <c r="B4304" s="73">
        <v>1.297847199E7</v>
      </c>
      <c r="C4304" s="73">
        <v>6.062514570802E8</v>
      </c>
      <c r="D4304" s="73">
        <v>3.24236757908002E8</v>
      </c>
      <c r="E4304" s="73">
        <v>4.73279849764092E7</v>
      </c>
      <c r="F4304" s="73"/>
      <c r="G4304" s="73"/>
      <c r="H4304" s="73"/>
      <c r="I4304" s="73"/>
      <c r="J4304" s="73"/>
      <c r="K4304" s="73"/>
      <c r="L4304" s="73"/>
      <c r="M4304" s="73"/>
      <c r="N4304" s="73"/>
      <c r="O4304" s="73"/>
      <c r="P4304" s="73"/>
      <c r="Q4304" s="73"/>
      <c r="R4304" s="73"/>
      <c r="S4304" s="73"/>
      <c r="T4304" s="73"/>
      <c r="U4304" s="73"/>
      <c r="V4304" s="73"/>
      <c r="W4304" s="73"/>
      <c r="X4304" s="73"/>
      <c r="Y4304" s="73"/>
      <c r="Z4304" s="73"/>
      <c r="AA4304" s="73"/>
      <c r="AB4304" s="73"/>
    </row>
    <row r="4305">
      <c r="A4305" s="73"/>
      <c r="B4305" s="73">
        <v>1.2994703E7</v>
      </c>
      <c r="C4305" s="73">
        <v>6.06634913709549E8</v>
      </c>
      <c r="D4305" s="73">
        <v>3.24478874207995E8</v>
      </c>
      <c r="E4305" s="73">
        <v>4.73672679382886E7</v>
      </c>
      <c r="F4305" s="73"/>
      <c r="G4305" s="73"/>
      <c r="H4305" s="73"/>
      <c r="I4305" s="73"/>
      <c r="J4305" s="73"/>
      <c r="K4305" s="73"/>
      <c r="L4305" s="73"/>
      <c r="M4305" s="73"/>
      <c r="N4305" s="73"/>
      <c r="O4305" s="73"/>
      <c r="P4305" s="73"/>
      <c r="Q4305" s="73"/>
      <c r="R4305" s="73"/>
      <c r="S4305" s="73"/>
      <c r="T4305" s="73"/>
      <c r="U4305" s="73"/>
      <c r="V4305" s="73"/>
      <c r="W4305" s="73"/>
      <c r="X4305" s="73"/>
      <c r="Y4305" s="73"/>
      <c r="Z4305" s="73"/>
      <c r="AA4305" s="73"/>
      <c r="AB4305" s="73"/>
    </row>
    <row r="4306">
      <c r="A4306" s="73"/>
      <c r="B4306" s="73">
        <v>1.30109525E7</v>
      </c>
      <c r="C4306" s="73">
        <v>6.07018502178894E8</v>
      </c>
      <c r="D4306" s="73">
        <v>3.24721114460004E8</v>
      </c>
      <c r="E4306" s="73">
        <v>4.74065735180228E7</v>
      </c>
      <c r="F4306" s="73"/>
      <c r="G4306" s="73"/>
      <c r="H4306" s="73"/>
      <c r="I4306" s="73"/>
      <c r="J4306" s="73"/>
      <c r="K4306" s="73"/>
      <c r="L4306" s="73"/>
      <c r="M4306" s="73"/>
      <c r="N4306" s="73"/>
      <c r="O4306" s="73"/>
      <c r="P4306" s="73"/>
      <c r="Q4306" s="73"/>
      <c r="R4306" s="73"/>
      <c r="S4306" s="73"/>
      <c r="T4306" s="73"/>
      <c r="U4306" s="73"/>
      <c r="V4306" s="73"/>
      <c r="W4306" s="73"/>
      <c r="X4306" s="73"/>
      <c r="Y4306" s="73"/>
      <c r="Z4306" s="73"/>
      <c r="AA4306" s="73"/>
      <c r="AB4306" s="73"/>
    </row>
    <row r="4307">
      <c r="A4307" s="73"/>
      <c r="B4307" s="73">
        <v>1.302721996E7</v>
      </c>
      <c r="C4307" s="73">
        <v>6.07402288408234E8</v>
      </c>
      <c r="D4307" s="73">
        <v>3.24963457863997E8</v>
      </c>
      <c r="E4307" s="73">
        <v>4.74458999619479E7</v>
      </c>
      <c r="F4307" s="73"/>
      <c r="G4307" s="73"/>
      <c r="H4307" s="73"/>
      <c r="I4307" s="73"/>
      <c r="J4307" s="73"/>
      <c r="K4307" s="73"/>
      <c r="L4307" s="73"/>
      <c r="M4307" s="73"/>
      <c r="N4307" s="73"/>
      <c r="O4307" s="73"/>
      <c r="P4307" s="73"/>
      <c r="Q4307" s="73"/>
      <c r="R4307" s="73"/>
      <c r="S4307" s="73"/>
      <c r="T4307" s="73"/>
      <c r="U4307" s="73"/>
      <c r="V4307" s="73"/>
      <c r="W4307" s="73"/>
      <c r="X4307" s="73"/>
      <c r="Y4307" s="73"/>
      <c r="Z4307" s="73"/>
      <c r="AA4307" s="73"/>
      <c r="AB4307" s="73"/>
    </row>
    <row r="4308">
      <c r="A4308" s="73"/>
      <c r="B4308" s="73">
        <v>1.304350469E7</v>
      </c>
      <c r="C4308" s="73">
        <v>6.0778620647757E8</v>
      </c>
      <c r="D4308" s="73">
        <v>3.2520592491599E8</v>
      </c>
      <c r="E4308" s="73">
        <v>4.74852472700639E7</v>
      </c>
      <c r="F4308" s="73"/>
      <c r="G4308" s="73"/>
      <c r="H4308" s="73"/>
      <c r="I4308" s="73"/>
      <c r="J4308" s="73"/>
      <c r="K4308" s="73"/>
      <c r="L4308" s="73"/>
      <c r="M4308" s="73"/>
      <c r="N4308" s="73"/>
      <c r="O4308" s="73"/>
      <c r="P4308" s="73"/>
      <c r="Q4308" s="73"/>
      <c r="R4308" s="73"/>
      <c r="S4308" s="73"/>
      <c r="T4308" s="73"/>
      <c r="U4308" s="73"/>
      <c r="V4308" s="73"/>
      <c r="W4308" s="73"/>
      <c r="X4308" s="73"/>
      <c r="Y4308" s="73"/>
      <c r="Z4308" s="73"/>
      <c r="AA4308" s="73"/>
      <c r="AB4308" s="73"/>
    </row>
    <row r="4309">
      <c r="A4309" s="73"/>
      <c r="B4309" s="73">
        <v>1.305980799E7</v>
      </c>
      <c r="C4309" s="73">
        <v>6.081703223069E8</v>
      </c>
      <c r="D4309" s="73">
        <v>3.25448495279999E8</v>
      </c>
      <c r="E4309" s="73">
        <v>4.75246172231706E7</v>
      </c>
      <c r="F4309" s="73"/>
      <c r="G4309" s="73"/>
      <c r="H4309" s="73"/>
      <c r="I4309" s="73"/>
      <c r="J4309" s="73"/>
      <c r="K4309" s="73"/>
      <c r="L4309" s="73"/>
      <c r="M4309" s="73"/>
      <c r="N4309" s="73"/>
      <c r="O4309" s="73"/>
      <c r="P4309" s="73"/>
      <c r="Q4309" s="73"/>
      <c r="R4309" s="73"/>
      <c r="S4309" s="73"/>
      <c r="T4309" s="73"/>
      <c r="U4309" s="73"/>
      <c r="V4309" s="73"/>
      <c r="W4309" s="73"/>
      <c r="X4309" s="73"/>
      <c r="Y4309" s="73"/>
      <c r="Z4309" s="73"/>
      <c r="AA4309" s="73"/>
      <c r="AB4309" s="73"/>
    </row>
    <row r="4310">
      <c r="A4310" s="73"/>
      <c r="B4310" s="73">
        <v>1.307612862E7</v>
      </c>
      <c r="C4310" s="73">
        <v>6.08554504056229E8</v>
      </c>
      <c r="D4310" s="73">
        <v>3.25691209915992E8</v>
      </c>
      <c r="E4310" s="73">
        <v>4.75640093701322E7</v>
      </c>
      <c r="F4310" s="73"/>
      <c r="G4310" s="73"/>
      <c r="H4310" s="73"/>
      <c r="I4310" s="73"/>
      <c r="J4310" s="73"/>
      <c r="K4310" s="73"/>
      <c r="L4310" s="73"/>
      <c r="M4310" s="73"/>
      <c r="N4310" s="73"/>
      <c r="O4310" s="73"/>
      <c r="P4310" s="73"/>
      <c r="Q4310" s="73"/>
      <c r="R4310" s="73"/>
      <c r="S4310" s="73"/>
      <c r="T4310" s="73"/>
      <c r="U4310" s="73"/>
      <c r="V4310" s="73"/>
      <c r="W4310" s="73"/>
      <c r="X4310" s="73"/>
      <c r="Y4310" s="73"/>
      <c r="Z4310" s="73"/>
      <c r="AA4310" s="73"/>
      <c r="AB4310" s="73"/>
    </row>
    <row r="4311">
      <c r="A4311" s="73"/>
      <c r="B4311" s="73">
        <v>1.30924673E7</v>
      </c>
      <c r="C4311" s="73">
        <v>6.0893894948555E8</v>
      </c>
      <c r="D4311" s="73">
        <v>3.25934027704001E8</v>
      </c>
      <c r="E4311" s="73">
        <v>4.76034223812846E7</v>
      </c>
      <c r="F4311" s="73"/>
      <c r="G4311" s="73"/>
      <c r="H4311" s="73"/>
      <c r="I4311" s="73"/>
      <c r="J4311" s="73"/>
      <c r="K4311" s="73"/>
      <c r="L4311" s="73"/>
      <c r="M4311" s="73"/>
      <c r="N4311" s="73"/>
      <c r="O4311" s="73"/>
      <c r="P4311" s="73"/>
      <c r="Q4311" s="73"/>
      <c r="R4311" s="73"/>
      <c r="S4311" s="73"/>
      <c r="T4311" s="73"/>
      <c r="U4311" s="73"/>
      <c r="V4311" s="73"/>
      <c r="W4311" s="73"/>
      <c r="X4311" s="73"/>
      <c r="Y4311" s="73"/>
      <c r="Z4311" s="73"/>
      <c r="AA4311" s="73"/>
      <c r="AB4311" s="73"/>
    </row>
    <row r="4312">
      <c r="A4312" s="73"/>
      <c r="B4312" s="73">
        <v>1.310882437E7</v>
      </c>
      <c r="C4312" s="73">
        <v>6.09323526754868E8</v>
      </c>
      <c r="D4312" s="73">
        <v>3.26176948659994E8</v>
      </c>
      <c r="E4312" s="73">
        <v>4.76428562566279E7</v>
      </c>
      <c r="F4312" s="73"/>
      <c r="G4312" s="73"/>
      <c r="H4312" s="73"/>
      <c r="I4312" s="73"/>
      <c r="J4312" s="73"/>
      <c r="K4312" s="73"/>
      <c r="L4312" s="73"/>
      <c r="M4312" s="73"/>
      <c r="N4312" s="73"/>
      <c r="O4312" s="73"/>
      <c r="P4312" s="73"/>
      <c r="Q4312" s="73"/>
      <c r="R4312" s="73"/>
      <c r="S4312" s="73"/>
      <c r="T4312" s="73"/>
      <c r="U4312" s="73"/>
      <c r="V4312" s="73"/>
      <c r="W4312" s="73"/>
      <c r="X4312" s="73"/>
      <c r="Y4312" s="73"/>
      <c r="Z4312" s="73"/>
      <c r="AA4312" s="73"/>
      <c r="AB4312" s="73"/>
    </row>
    <row r="4313">
      <c r="A4313" s="73"/>
      <c r="B4313" s="73">
        <v>1.312519887E7</v>
      </c>
      <c r="C4313" s="73">
        <v>6.09708235864182E8</v>
      </c>
      <c r="D4313" s="73">
        <v>3.26420013888002E8</v>
      </c>
      <c r="E4313" s="73">
        <v>4.7682313428226E7</v>
      </c>
      <c r="F4313" s="73"/>
      <c r="G4313" s="73"/>
      <c r="H4313" s="73"/>
      <c r="I4313" s="73"/>
      <c r="J4313" s="73"/>
      <c r="K4313" s="73"/>
      <c r="L4313" s="73"/>
      <c r="M4313" s="73"/>
      <c r="N4313" s="73"/>
      <c r="O4313" s="73"/>
      <c r="P4313" s="73"/>
      <c r="Q4313" s="73"/>
      <c r="R4313" s="73"/>
      <c r="S4313" s="73"/>
      <c r="T4313" s="73"/>
      <c r="U4313" s="73"/>
      <c r="V4313" s="73"/>
      <c r="W4313" s="73"/>
      <c r="X4313" s="73"/>
      <c r="Y4313" s="73"/>
      <c r="Z4313" s="73"/>
      <c r="AA4313" s="73"/>
      <c r="AB4313" s="73"/>
    </row>
    <row r="4314">
      <c r="A4314" s="73"/>
      <c r="B4314" s="73">
        <v>1.314159125E7</v>
      </c>
      <c r="C4314" s="73">
        <v>6.10093076813492E8</v>
      </c>
      <c r="D4314" s="73">
        <v>3.26663182283996E8</v>
      </c>
      <c r="E4314" s="73">
        <v>4.77217903887509E7</v>
      </c>
      <c r="F4314" s="73"/>
      <c r="G4314" s="73"/>
      <c r="H4314" s="73"/>
      <c r="I4314" s="73"/>
      <c r="J4314" s="73"/>
      <c r="K4314" s="73"/>
      <c r="L4314" s="73"/>
      <c r="M4314" s="73"/>
      <c r="N4314" s="73"/>
      <c r="O4314" s="73"/>
      <c r="P4314" s="73"/>
      <c r="Q4314" s="73"/>
      <c r="R4314" s="73"/>
      <c r="S4314" s="73"/>
      <c r="T4314" s="73"/>
      <c r="U4314" s="73"/>
      <c r="V4314" s="73"/>
      <c r="W4314" s="73"/>
      <c r="X4314" s="73"/>
      <c r="Y4314" s="73"/>
      <c r="Z4314" s="73"/>
      <c r="AA4314" s="73"/>
      <c r="AB4314" s="73"/>
    </row>
    <row r="4315">
      <c r="A4315" s="73"/>
      <c r="B4315" s="73">
        <v>1.315800194E7</v>
      </c>
      <c r="C4315" s="73">
        <v>6.10478049602798E8</v>
      </c>
      <c r="D4315" s="73">
        <v>3.26906474615989E8</v>
      </c>
      <c r="E4315" s="73">
        <v>4.77612912967946E7</v>
      </c>
      <c r="F4315" s="73"/>
      <c r="G4315" s="73"/>
      <c r="H4315" s="73"/>
      <c r="I4315" s="73"/>
      <c r="J4315" s="73"/>
      <c r="K4315" s="73"/>
      <c r="L4315" s="73"/>
      <c r="M4315" s="73"/>
      <c r="N4315" s="73"/>
      <c r="O4315" s="73"/>
      <c r="P4315" s="73"/>
      <c r="Q4315" s="73"/>
      <c r="R4315" s="73"/>
      <c r="S4315" s="73"/>
      <c r="T4315" s="73"/>
      <c r="U4315" s="73"/>
      <c r="V4315" s="73"/>
      <c r="W4315" s="73"/>
      <c r="X4315" s="73"/>
      <c r="Y4315" s="73"/>
      <c r="Z4315" s="73"/>
      <c r="AA4315" s="73"/>
      <c r="AB4315" s="73"/>
    </row>
    <row r="4316">
      <c r="A4316" s="73"/>
      <c r="B4316" s="73">
        <v>1.317443017E7</v>
      </c>
      <c r="C4316" s="73">
        <v>6.108632201521E8</v>
      </c>
      <c r="D4316" s="73">
        <v>3.27149870115998E8</v>
      </c>
      <c r="E4316" s="73">
        <v>4.78008121633652E7</v>
      </c>
      <c r="F4316" s="73"/>
      <c r="G4316" s="73"/>
      <c r="H4316" s="73"/>
      <c r="I4316" s="73"/>
      <c r="J4316" s="73"/>
      <c r="K4316" s="73"/>
      <c r="L4316" s="73"/>
      <c r="M4316" s="73"/>
      <c r="N4316" s="73"/>
      <c r="O4316" s="73"/>
      <c r="P4316" s="73"/>
      <c r="Q4316" s="73"/>
      <c r="R4316" s="73"/>
      <c r="S4316" s="73"/>
      <c r="T4316" s="73"/>
      <c r="U4316" s="73"/>
      <c r="V4316" s="73"/>
      <c r="W4316" s="73"/>
      <c r="X4316" s="73"/>
      <c r="Y4316" s="73"/>
      <c r="Z4316" s="73"/>
      <c r="AA4316" s="73"/>
      <c r="AB4316" s="73"/>
    </row>
    <row r="4317">
      <c r="A4317" s="73"/>
      <c r="B4317" s="73">
        <v>1.319087629E7</v>
      </c>
      <c r="C4317" s="73">
        <v>6.11248522541397E8</v>
      </c>
      <c r="D4317" s="73">
        <v>3.27393389247991E8</v>
      </c>
      <c r="E4317" s="73">
        <v>4.78403541485267E7</v>
      </c>
      <c r="F4317" s="73"/>
      <c r="G4317" s="73"/>
      <c r="H4317" s="73"/>
      <c r="I4317" s="73"/>
      <c r="J4317" s="73"/>
      <c r="K4317" s="73"/>
      <c r="L4317" s="73"/>
      <c r="M4317" s="73"/>
      <c r="N4317" s="73"/>
      <c r="O4317" s="73"/>
      <c r="P4317" s="73"/>
      <c r="Q4317" s="73"/>
      <c r="R4317" s="73"/>
      <c r="S4317" s="73"/>
      <c r="T4317" s="73"/>
      <c r="U4317" s="73"/>
      <c r="V4317" s="73"/>
      <c r="W4317" s="73"/>
      <c r="X4317" s="73"/>
      <c r="Y4317" s="73"/>
      <c r="Z4317" s="73"/>
      <c r="AA4317" s="73"/>
      <c r="AB4317" s="73"/>
    </row>
    <row r="4318">
      <c r="A4318" s="73"/>
      <c r="B4318" s="73">
        <v>1.320734095E7</v>
      </c>
      <c r="C4318" s="73">
        <v>6.11633956770691E8</v>
      </c>
      <c r="D4318" s="73">
        <v>3.27637032027999E8</v>
      </c>
      <c r="E4318" s="73">
        <v>4.78799186667429E7</v>
      </c>
      <c r="F4318" s="73"/>
      <c r="G4318" s="73"/>
      <c r="H4318" s="73"/>
      <c r="I4318" s="73"/>
      <c r="J4318" s="73"/>
      <c r="K4318" s="73"/>
      <c r="L4318" s="73"/>
      <c r="M4318" s="73"/>
      <c r="N4318" s="73"/>
      <c r="O4318" s="73"/>
      <c r="P4318" s="73"/>
      <c r="Q4318" s="73"/>
      <c r="R4318" s="73"/>
      <c r="S4318" s="73"/>
      <c r="T4318" s="73"/>
      <c r="U4318" s="73"/>
      <c r="V4318" s="73"/>
      <c r="W4318" s="73"/>
      <c r="X4318" s="73"/>
      <c r="Y4318" s="73"/>
      <c r="Z4318" s="73"/>
      <c r="AA4318" s="73"/>
      <c r="AB4318" s="73"/>
    </row>
    <row r="4319">
      <c r="A4319" s="73"/>
      <c r="B4319" s="73">
        <v>1.322382319E7</v>
      </c>
      <c r="C4319" s="73">
        <v>6.12019522839981E8</v>
      </c>
      <c r="D4319" s="73">
        <v>3.27880798599993E8</v>
      </c>
      <c r="E4319" s="73">
        <v>4.791950481235E7</v>
      </c>
      <c r="F4319" s="73"/>
      <c r="G4319" s="73"/>
      <c r="H4319" s="73"/>
      <c r="I4319" s="73"/>
      <c r="J4319" s="73"/>
      <c r="K4319" s="73"/>
      <c r="L4319" s="73"/>
      <c r="M4319" s="73"/>
      <c r="N4319" s="73"/>
      <c r="O4319" s="73"/>
      <c r="P4319" s="73"/>
      <c r="Q4319" s="73"/>
      <c r="R4319" s="73"/>
      <c r="S4319" s="73"/>
      <c r="T4319" s="73"/>
      <c r="U4319" s="73"/>
      <c r="V4319" s="73"/>
      <c r="W4319" s="73"/>
      <c r="X4319" s="73"/>
      <c r="Y4319" s="73"/>
      <c r="Z4319" s="73"/>
      <c r="AA4319" s="73"/>
      <c r="AB4319" s="73"/>
    </row>
    <row r="4320">
      <c r="A4320" s="73"/>
      <c r="B4320" s="73">
        <v>1.324032366E7</v>
      </c>
      <c r="C4320" s="73">
        <v>6.12405286669266E8</v>
      </c>
      <c r="D4320" s="73">
        <v>3.28124668484001E8</v>
      </c>
      <c r="E4320" s="73">
        <v>4.7959111822148E7</v>
      </c>
      <c r="F4320" s="73"/>
      <c r="G4320" s="73"/>
      <c r="H4320" s="73"/>
      <c r="I4320" s="73"/>
      <c r="J4320" s="73"/>
      <c r="K4320" s="73"/>
      <c r="L4320" s="73"/>
      <c r="M4320" s="73"/>
      <c r="N4320" s="73"/>
      <c r="O4320" s="73"/>
      <c r="P4320" s="73"/>
      <c r="Q4320" s="73"/>
      <c r="R4320" s="73"/>
      <c r="S4320" s="73"/>
      <c r="T4320" s="73"/>
      <c r="U4320" s="73"/>
      <c r="V4320" s="73"/>
      <c r="W4320" s="73"/>
      <c r="X4320" s="73"/>
      <c r="Y4320" s="73"/>
      <c r="Z4320" s="73"/>
      <c r="AA4320" s="73"/>
      <c r="AB4320" s="73"/>
    </row>
    <row r="4321">
      <c r="A4321" s="73"/>
      <c r="B4321" s="73">
        <v>1.325684218E7</v>
      </c>
      <c r="C4321" s="73">
        <v>6.12791248258545E8</v>
      </c>
      <c r="D4321" s="73">
        <v>3.28368661999995E8</v>
      </c>
      <c r="E4321" s="73">
        <v>4.79987433154006E7</v>
      </c>
      <c r="F4321" s="73"/>
      <c r="G4321" s="73"/>
      <c r="H4321" s="73"/>
      <c r="I4321" s="73"/>
      <c r="J4321" s="73"/>
      <c r="K4321" s="73"/>
      <c r="L4321" s="73"/>
      <c r="M4321" s="73"/>
      <c r="N4321" s="73"/>
      <c r="O4321" s="73"/>
      <c r="P4321" s="73"/>
      <c r="Q4321" s="73"/>
      <c r="R4321" s="73"/>
      <c r="S4321" s="73"/>
      <c r="T4321" s="73"/>
      <c r="U4321" s="73"/>
      <c r="V4321" s="73"/>
      <c r="W4321" s="73"/>
      <c r="X4321" s="73"/>
      <c r="Y4321" s="73"/>
      <c r="Z4321" s="73"/>
      <c r="AA4321" s="73"/>
      <c r="AB4321" s="73"/>
    </row>
    <row r="4322">
      <c r="A4322" s="73"/>
      <c r="B4322" s="73">
        <v>1.327337831E7</v>
      </c>
      <c r="C4322" s="73">
        <v>6.1317734168782E8</v>
      </c>
      <c r="D4322" s="73">
        <v>3.28612779164003E8</v>
      </c>
      <c r="E4322" s="73">
        <v>4.80383944856441E7</v>
      </c>
      <c r="F4322" s="73"/>
      <c r="G4322" s="73"/>
      <c r="H4322" s="73"/>
      <c r="I4322" s="73"/>
      <c r="J4322" s="73"/>
      <c r="K4322" s="73"/>
      <c r="L4322" s="73"/>
      <c r="M4322" s="73"/>
      <c r="N4322" s="73"/>
      <c r="O4322" s="73"/>
      <c r="P4322" s="73"/>
      <c r="Q4322" s="73"/>
      <c r="R4322" s="73"/>
      <c r="S4322" s="73"/>
      <c r="T4322" s="73"/>
      <c r="U4322" s="73"/>
      <c r="V4322" s="73"/>
      <c r="W4322" s="73"/>
      <c r="X4322" s="73"/>
      <c r="Y4322" s="73"/>
      <c r="Z4322" s="73"/>
      <c r="AA4322" s="73"/>
      <c r="AB4322" s="73"/>
    </row>
    <row r="4323">
      <c r="A4323" s="73"/>
      <c r="B4323" s="73">
        <v>1.328993249E7</v>
      </c>
      <c r="C4323" s="73">
        <v>6.13563566957092E8</v>
      </c>
      <c r="D4323" s="73">
        <v>3.28856999799996E8</v>
      </c>
      <c r="E4323" s="73">
        <v>4.80780664352786E7</v>
      </c>
      <c r="F4323" s="73"/>
      <c r="G4323" s="73"/>
      <c r="H4323" s="73"/>
      <c r="I4323" s="73"/>
      <c r="J4323" s="73"/>
      <c r="K4323" s="73"/>
      <c r="L4323" s="73"/>
      <c r="M4323" s="73"/>
      <c r="N4323" s="73"/>
      <c r="O4323" s="73"/>
      <c r="P4323" s="73"/>
      <c r="Q4323" s="73"/>
      <c r="R4323" s="73"/>
      <c r="S4323" s="73"/>
      <c r="T4323" s="73"/>
      <c r="U4323" s="73"/>
      <c r="V4323" s="73"/>
      <c r="W4323" s="73"/>
      <c r="X4323" s="73"/>
      <c r="Y4323" s="73"/>
      <c r="Z4323" s="73"/>
      <c r="AA4323" s="73"/>
      <c r="AB4323" s="73"/>
    </row>
    <row r="4324">
      <c r="A4324" s="73"/>
      <c r="B4324" s="73">
        <v>1.330650507E7</v>
      </c>
      <c r="C4324" s="73">
        <v>6.13949989986359E8</v>
      </c>
      <c r="D4324" s="73">
        <v>3.2910136454799E8</v>
      </c>
      <c r="E4324" s="73">
        <v>4.81177611995038E7</v>
      </c>
      <c r="F4324" s="73"/>
      <c r="G4324" s="73"/>
      <c r="H4324" s="73"/>
      <c r="I4324" s="73"/>
      <c r="J4324" s="73"/>
      <c r="K4324" s="73"/>
      <c r="L4324" s="73"/>
      <c r="M4324" s="73"/>
      <c r="N4324" s="73"/>
      <c r="O4324" s="73"/>
      <c r="P4324" s="73"/>
      <c r="Q4324" s="73"/>
      <c r="R4324" s="73"/>
      <c r="S4324" s="73"/>
      <c r="T4324" s="73"/>
      <c r="U4324" s="73"/>
      <c r="V4324" s="73"/>
      <c r="W4324" s="73"/>
      <c r="X4324" s="73"/>
      <c r="Y4324" s="73"/>
      <c r="Z4324" s="73"/>
      <c r="AA4324" s="73"/>
      <c r="AB4324" s="73"/>
    </row>
    <row r="4325">
      <c r="A4325" s="73"/>
      <c r="B4325" s="73">
        <v>1.332309538E7</v>
      </c>
      <c r="C4325" s="73">
        <v>6.14336544855621E8</v>
      </c>
      <c r="D4325" s="73">
        <v>3.29345811967998E8</v>
      </c>
      <c r="E4325" s="73">
        <v>4.81574768855839E7</v>
      </c>
      <c r="F4325" s="73"/>
      <c r="G4325" s="73"/>
      <c r="H4325" s="73"/>
      <c r="I4325" s="73"/>
      <c r="J4325" s="73"/>
      <c r="K4325" s="73"/>
      <c r="L4325" s="73"/>
      <c r="M4325" s="73"/>
      <c r="N4325" s="73"/>
      <c r="O4325" s="73"/>
      <c r="P4325" s="73"/>
      <c r="Q4325" s="73"/>
      <c r="R4325" s="73"/>
      <c r="S4325" s="73"/>
      <c r="T4325" s="73"/>
      <c r="U4325" s="73"/>
      <c r="V4325" s="73"/>
      <c r="W4325" s="73"/>
      <c r="X4325" s="73"/>
      <c r="Y4325" s="73"/>
      <c r="Z4325" s="73"/>
      <c r="AA4325" s="73"/>
      <c r="AB4325" s="73"/>
    </row>
    <row r="4326">
      <c r="A4326" s="73"/>
      <c r="B4326" s="73">
        <v>1.333970347E7</v>
      </c>
      <c r="C4326" s="73">
        <v>6.1472323156488E8</v>
      </c>
      <c r="D4326" s="73">
        <v>3.29590403675991E8</v>
      </c>
      <c r="E4326" s="73">
        <v>4.81972158102547E7</v>
      </c>
      <c r="F4326" s="73"/>
      <c r="G4326" s="73"/>
      <c r="H4326" s="73"/>
      <c r="I4326" s="73"/>
      <c r="J4326" s="73"/>
      <c r="K4326" s="73"/>
      <c r="L4326" s="73"/>
      <c r="M4326" s="73"/>
      <c r="N4326" s="73"/>
      <c r="O4326" s="73"/>
      <c r="P4326" s="73"/>
      <c r="Q4326" s="73"/>
      <c r="R4326" s="73"/>
      <c r="S4326" s="73"/>
      <c r="T4326" s="73"/>
      <c r="U4326" s="73"/>
      <c r="V4326" s="73"/>
      <c r="W4326" s="73"/>
      <c r="X4326" s="73"/>
      <c r="Y4326" s="73"/>
      <c r="Z4326" s="73"/>
      <c r="AA4326" s="73"/>
      <c r="AB4326" s="73"/>
    </row>
    <row r="4327">
      <c r="A4327" s="73"/>
      <c r="B4327" s="73">
        <v>1.335633009E7</v>
      </c>
      <c r="C4327" s="73">
        <v>6.15110050114136E8</v>
      </c>
      <c r="D4327" s="73">
        <v>3.29835098536E8</v>
      </c>
      <c r="E4327" s="73">
        <v>4.82369760231164E7</v>
      </c>
      <c r="F4327" s="73"/>
      <c r="G4327" s="73"/>
      <c r="H4327" s="73"/>
      <c r="I4327" s="73"/>
      <c r="J4327" s="73"/>
      <c r="K4327" s="73"/>
      <c r="L4327" s="73"/>
      <c r="M4327" s="73"/>
      <c r="N4327" s="73"/>
      <c r="O4327" s="73"/>
      <c r="P4327" s="73"/>
      <c r="Q4327" s="73"/>
      <c r="R4327" s="73"/>
      <c r="S4327" s="73"/>
      <c r="T4327" s="73"/>
      <c r="U4327" s="73"/>
      <c r="V4327" s="73"/>
      <c r="W4327" s="73"/>
      <c r="X4327" s="73"/>
      <c r="Y4327" s="73"/>
      <c r="Z4327" s="73"/>
      <c r="AA4327" s="73"/>
      <c r="AB4327" s="73"/>
    </row>
    <row r="4328">
      <c r="A4328" s="73"/>
      <c r="B4328" s="73">
        <v>1.33729747E7</v>
      </c>
      <c r="C4328" s="73">
        <v>6.15497066423386E8</v>
      </c>
      <c r="D4328" s="73">
        <v>3.30079917187993E8</v>
      </c>
      <c r="E4328" s="73">
        <v>4.8276755658569E7</v>
      </c>
      <c r="F4328" s="73"/>
      <c r="G4328" s="73"/>
      <c r="H4328" s="73"/>
      <c r="I4328" s="73"/>
      <c r="J4328" s="73"/>
      <c r="K4328" s="73"/>
      <c r="L4328" s="73"/>
      <c r="M4328" s="73"/>
      <c r="N4328" s="73"/>
      <c r="O4328" s="73"/>
      <c r="P4328" s="73"/>
      <c r="Q4328" s="73"/>
      <c r="R4328" s="73"/>
      <c r="S4328" s="73"/>
      <c r="T4328" s="73"/>
      <c r="U4328" s="73"/>
      <c r="V4328" s="73"/>
      <c r="W4328" s="73"/>
      <c r="X4328" s="73"/>
      <c r="Y4328" s="73"/>
      <c r="Z4328" s="73"/>
      <c r="AA4328" s="73"/>
      <c r="AB4328" s="73"/>
    </row>
    <row r="4329">
      <c r="A4329" s="73"/>
      <c r="B4329" s="73">
        <v>1.338963721E7</v>
      </c>
      <c r="C4329" s="73">
        <v>6.15884214572632E8</v>
      </c>
      <c r="D4329" s="73">
        <v>3.30324859488002E8</v>
      </c>
      <c r="E4329" s="73">
        <v>4.83165596078763E7</v>
      </c>
      <c r="F4329" s="73"/>
      <c r="G4329" s="73"/>
      <c r="H4329" s="73"/>
      <c r="I4329" s="73"/>
      <c r="J4329" s="73"/>
      <c r="K4329" s="73"/>
      <c r="L4329" s="73"/>
      <c r="M4329" s="73"/>
      <c r="N4329" s="73"/>
      <c r="O4329" s="73"/>
      <c r="P4329" s="73"/>
      <c r="Q4329" s="73"/>
      <c r="R4329" s="73"/>
      <c r="S4329" s="73"/>
      <c r="T4329" s="73"/>
      <c r="U4329" s="73"/>
      <c r="V4329" s="73"/>
      <c r="W4329" s="73"/>
      <c r="X4329" s="73"/>
      <c r="Y4329" s="73"/>
      <c r="Z4329" s="73"/>
      <c r="AA4329" s="73"/>
      <c r="AB4329" s="73"/>
    </row>
    <row r="4330">
      <c r="A4330" s="73"/>
      <c r="B4330" s="73">
        <v>1.340631802E7</v>
      </c>
      <c r="C4330" s="73">
        <v>6.16271494561874E8</v>
      </c>
      <c r="D4330" s="73">
        <v>3.30569905099995E8</v>
      </c>
      <c r="E4330" s="73">
        <v>4.83563843365746E7</v>
      </c>
      <c r="F4330" s="73"/>
      <c r="G4330" s="73"/>
      <c r="H4330" s="73"/>
      <c r="I4330" s="73"/>
      <c r="J4330" s="73"/>
      <c r="K4330" s="73"/>
      <c r="L4330" s="73"/>
      <c r="M4330" s="73"/>
      <c r="N4330" s="73"/>
      <c r="O4330" s="73"/>
      <c r="P4330" s="73"/>
      <c r="Q4330" s="73"/>
      <c r="R4330" s="73"/>
      <c r="S4330" s="73"/>
      <c r="T4330" s="73"/>
      <c r="U4330" s="73"/>
      <c r="V4330" s="73"/>
      <c r="W4330" s="73"/>
      <c r="X4330" s="73"/>
      <c r="Y4330" s="73"/>
      <c r="Z4330" s="73"/>
      <c r="AA4330" s="73"/>
      <c r="AB4330" s="73"/>
    </row>
    <row r="4331">
      <c r="A4331" s="73"/>
      <c r="B4331" s="73">
        <v>1.342301632E7</v>
      </c>
      <c r="C4331" s="73">
        <v>6.16658972311111E8</v>
      </c>
      <c r="D4331" s="73">
        <v>3.30815074504004E8</v>
      </c>
      <c r="E4331" s="73">
        <v>4.83962306926636E7</v>
      </c>
      <c r="F4331" s="73"/>
      <c r="G4331" s="73"/>
      <c r="H4331" s="73"/>
      <c r="I4331" s="73"/>
      <c r="J4331" s="73"/>
      <c r="K4331" s="73"/>
      <c r="L4331" s="73"/>
      <c r="M4331" s="73"/>
      <c r="N4331" s="73"/>
      <c r="O4331" s="73"/>
      <c r="P4331" s="73"/>
      <c r="Q4331" s="73"/>
      <c r="R4331" s="73"/>
      <c r="S4331" s="73"/>
      <c r="T4331" s="73"/>
      <c r="U4331" s="73"/>
      <c r="V4331" s="73"/>
      <c r="W4331" s="73"/>
      <c r="X4331" s="73"/>
      <c r="Y4331" s="73"/>
      <c r="Z4331" s="73"/>
      <c r="AA4331" s="73"/>
      <c r="AB4331" s="73"/>
    </row>
    <row r="4332">
      <c r="A4332" s="73"/>
      <c r="B4332" s="73">
        <v>1.343973348E7</v>
      </c>
      <c r="C4332" s="73">
        <v>6.17046581900345E8</v>
      </c>
      <c r="D4332" s="73">
        <v>3.31060367395997E8</v>
      </c>
      <c r="E4332" s="73">
        <v>4.84360991578074E7</v>
      </c>
      <c r="F4332" s="73"/>
      <c r="G4332" s="73"/>
      <c r="H4332" s="73"/>
      <c r="I4332" s="73"/>
      <c r="J4332" s="73"/>
      <c r="K4332" s="73"/>
      <c r="L4332" s="73"/>
      <c r="M4332" s="73"/>
      <c r="N4332" s="73"/>
      <c r="O4332" s="73"/>
      <c r="P4332" s="73"/>
      <c r="Q4332" s="73"/>
      <c r="R4332" s="73"/>
      <c r="S4332" s="73"/>
      <c r="T4332" s="73"/>
      <c r="U4332" s="73"/>
      <c r="V4332" s="73"/>
      <c r="W4332" s="73"/>
      <c r="X4332" s="73"/>
      <c r="Y4332" s="73"/>
      <c r="Z4332" s="73"/>
      <c r="AA4332" s="73"/>
      <c r="AB4332" s="73"/>
    </row>
    <row r="4333">
      <c r="A4333" s="73"/>
      <c r="B4333" s="73">
        <v>1.345646837E7</v>
      </c>
      <c r="C4333" s="73">
        <v>6.17434389249573E8</v>
      </c>
      <c r="D4333" s="73">
        <v>3.3130578438399E8</v>
      </c>
      <c r="E4333" s="73">
        <v>4.84759891655421E7</v>
      </c>
      <c r="F4333" s="73"/>
      <c r="G4333" s="73"/>
      <c r="H4333" s="73"/>
      <c r="I4333" s="73"/>
      <c r="J4333" s="73"/>
      <c r="K4333" s="73"/>
      <c r="L4333" s="73"/>
      <c r="M4333" s="73"/>
      <c r="N4333" s="73"/>
      <c r="O4333" s="73"/>
      <c r="P4333" s="73"/>
      <c r="Q4333" s="73"/>
      <c r="R4333" s="73"/>
      <c r="S4333" s="73"/>
      <c r="T4333" s="73"/>
      <c r="U4333" s="73"/>
      <c r="V4333" s="73"/>
      <c r="W4333" s="73"/>
      <c r="X4333" s="73"/>
      <c r="Y4333" s="73"/>
      <c r="Z4333" s="73"/>
      <c r="AA4333" s="73"/>
      <c r="AB4333" s="73"/>
    </row>
    <row r="4334">
      <c r="A4334" s="73"/>
      <c r="B4334" s="73">
        <v>1.347322128E7</v>
      </c>
      <c r="C4334" s="73">
        <v>6.17822262518799E8</v>
      </c>
      <c r="D4334" s="73">
        <v>3.31551304235999E8</v>
      </c>
      <c r="E4334" s="73">
        <v>4.85159005462676E7</v>
      </c>
      <c r="F4334" s="73"/>
      <c r="G4334" s="73"/>
      <c r="H4334" s="73"/>
      <c r="I4334" s="73"/>
      <c r="J4334" s="73"/>
      <c r="K4334" s="73"/>
      <c r="L4334" s="73"/>
      <c r="M4334" s="73"/>
      <c r="N4334" s="73"/>
      <c r="O4334" s="73"/>
      <c r="P4334" s="73"/>
      <c r="Q4334" s="73"/>
      <c r="R4334" s="73"/>
      <c r="S4334" s="73"/>
      <c r="T4334" s="73"/>
      <c r="U4334" s="73"/>
      <c r="V4334" s="73"/>
      <c r="W4334" s="73"/>
      <c r="X4334" s="73"/>
      <c r="Y4334" s="73"/>
      <c r="Z4334" s="73"/>
      <c r="AA4334" s="73"/>
      <c r="AB4334" s="73"/>
    </row>
    <row r="4335">
      <c r="A4335" s="73"/>
      <c r="B4335" s="73">
        <v>1.34899923E7</v>
      </c>
      <c r="C4335" s="73">
        <v>6.18210333548019E8</v>
      </c>
      <c r="D4335" s="73">
        <v>3.31796947863992E8</v>
      </c>
      <c r="E4335" s="73">
        <v>4.8555833893584E7</v>
      </c>
      <c r="F4335" s="73"/>
      <c r="G4335" s="73"/>
      <c r="H4335" s="73"/>
      <c r="I4335" s="73"/>
      <c r="J4335" s="73"/>
      <c r="K4335" s="73"/>
      <c r="L4335" s="73"/>
      <c r="M4335" s="73"/>
      <c r="N4335" s="73"/>
      <c r="O4335" s="73"/>
      <c r="P4335" s="73"/>
      <c r="Q4335" s="73"/>
      <c r="R4335" s="73"/>
      <c r="S4335" s="73"/>
      <c r="T4335" s="73"/>
      <c r="U4335" s="73"/>
      <c r="V4335" s="73"/>
      <c r="W4335" s="73"/>
      <c r="X4335" s="73"/>
      <c r="Y4335" s="73"/>
      <c r="Z4335" s="73"/>
      <c r="AA4335" s="73"/>
      <c r="AB4335" s="73"/>
    </row>
    <row r="4336">
      <c r="A4336" s="73"/>
      <c r="B4336" s="73">
        <v>1.350678171E7</v>
      </c>
      <c r="C4336" s="73">
        <v>6.18598602337235E8</v>
      </c>
      <c r="D4336" s="73">
        <v>3.32042715444001E8</v>
      </c>
      <c r="E4336" s="73">
        <v>4.85957875962912E7</v>
      </c>
      <c r="F4336" s="73"/>
      <c r="G4336" s="73"/>
      <c r="H4336" s="73"/>
      <c r="I4336" s="73"/>
      <c r="J4336" s="73"/>
      <c r="K4336" s="73"/>
      <c r="L4336" s="73"/>
      <c r="M4336" s="73"/>
      <c r="N4336" s="73"/>
      <c r="O4336" s="73"/>
      <c r="P4336" s="73"/>
      <c r="Q4336" s="73"/>
      <c r="R4336" s="73"/>
      <c r="S4336" s="73"/>
      <c r="T4336" s="73"/>
      <c r="U4336" s="73"/>
      <c r="V4336" s="73"/>
      <c r="W4336" s="73"/>
      <c r="X4336" s="73"/>
      <c r="Y4336" s="73"/>
      <c r="Z4336" s="73"/>
      <c r="AA4336" s="73"/>
      <c r="AB4336" s="73"/>
    </row>
    <row r="4337">
      <c r="A4337" s="73"/>
      <c r="B4337" s="73">
        <v>1.352358896E7</v>
      </c>
      <c r="C4337" s="73">
        <v>6.18987002966446E8</v>
      </c>
      <c r="D4337" s="73">
        <v>3.32288606671994E8</v>
      </c>
      <c r="E4337" s="73">
        <v>4.86357660097171E7</v>
      </c>
      <c r="F4337" s="73"/>
      <c r="G4337" s="73"/>
      <c r="H4337" s="73"/>
      <c r="I4337" s="73"/>
      <c r="J4337" s="73"/>
      <c r="K4337" s="73"/>
      <c r="L4337" s="73"/>
      <c r="M4337" s="73"/>
      <c r="N4337" s="73"/>
      <c r="O4337" s="73"/>
      <c r="P4337" s="73"/>
      <c r="Q4337" s="73"/>
      <c r="R4337" s="73"/>
      <c r="S4337" s="73"/>
      <c r="T4337" s="73"/>
      <c r="U4337" s="73"/>
      <c r="V4337" s="73"/>
      <c r="W4337" s="73"/>
      <c r="X4337" s="73"/>
      <c r="Y4337" s="73"/>
      <c r="Z4337" s="73"/>
      <c r="AA4337" s="73"/>
      <c r="AB4337" s="73"/>
    </row>
    <row r="4338">
      <c r="A4338" s="73"/>
      <c r="B4338" s="73">
        <v>1.354041438E7</v>
      </c>
      <c r="C4338" s="73">
        <v>6.19375535435654E8</v>
      </c>
      <c r="D4338" s="73">
        <v>3.32534601052002E8</v>
      </c>
      <c r="E4338" s="73">
        <v>4.86757643816699E7</v>
      </c>
      <c r="F4338" s="73"/>
      <c r="G4338" s="73"/>
      <c r="H4338" s="73"/>
      <c r="I4338" s="73"/>
      <c r="J4338" s="73"/>
      <c r="K4338" s="73"/>
      <c r="L4338" s="73"/>
      <c r="M4338" s="73"/>
      <c r="N4338" s="73"/>
      <c r="O4338" s="73"/>
      <c r="P4338" s="73"/>
      <c r="Q4338" s="73"/>
      <c r="R4338" s="73"/>
      <c r="S4338" s="73"/>
      <c r="T4338" s="73"/>
      <c r="U4338" s="73"/>
      <c r="V4338" s="73"/>
      <c r="W4338" s="73"/>
      <c r="X4338" s="73"/>
      <c r="Y4338" s="73"/>
      <c r="Z4338" s="73"/>
      <c r="AA4338" s="73"/>
      <c r="AB4338" s="73"/>
    </row>
    <row r="4339">
      <c r="A4339" s="73"/>
      <c r="B4339" s="73">
        <v>1.355725762E7</v>
      </c>
      <c r="C4339" s="73">
        <v>6.19764265664856E8</v>
      </c>
      <c r="D4339" s="73">
        <v>3.32780719079996E8</v>
      </c>
      <c r="E4339" s="73">
        <v>4.87157842962136E7</v>
      </c>
      <c r="F4339" s="73"/>
      <c r="G4339" s="73"/>
      <c r="H4339" s="73"/>
      <c r="I4339" s="73"/>
      <c r="J4339" s="73"/>
      <c r="K4339" s="73"/>
      <c r="L4339" s="73"/>
      <c r="M4339" s="73"/>
      <c r="N4339" s="73"/>
      <c r="O4339" s="73"/>
      <c r="P4339" s="73"/>
      <c r="Q4339" s="73"/>
      <c r="R4339" s="73"/>
      <c r="S4339" s="73"/>
      <c r="T4339" s="73"/>
      <c r="U4339" s="73"/>
      <c r="V4339" s="73"/>
      <c r="W4339" s="73"/>
      <c r="X4339" s="73"/>
      <c r="Y4339" s="73"/>
      <c r="Z4339" s="73"/>
      <c r="AA4339" s="73"/>
      <c r="AB4339" s="73"/>
    </row>
    <row r="4340">
      <c r="A4340" s="73"/>
      <c r="B4340" s="73">
        <v>1.357411953E7</v>
      </c>
      <c r="C4340" s="73">
        <v>6.20153061814056E8</v>
      </c>
      <c r="D4340" s="73">
        <v>3.33026961043989E8</v>
      </c>
      <c r="E4340" s="73">
        <v>4.87558258958121E7</v>
      </c>
      <c r="F4340" s="73"/>
      <c r="G4340" s="73"/>
      <c r="H4340" s="73"/>
      <c r="I4340" s="73"/>
      <c r="J4340" s="73"/>
      <c r="K4340" s="73"/>
      <c r="L4340" s="73"/>
      <c r="M4340" s="73"/>
      <c r="N4340" s="73"/>
      <c r="O4340" s="73"/>
      <c r="P4340" s="73"/>
      <c r="Q4340" s="73"/>
      <c r="R4340" s="73"/>
      <c r="S4340" s="73"/>
      <c r="T4340" s="73"/>
      <c r="U4340" s="73"/>
      <c r="V4340" s="73"/>
      <c r="W4340" s="73"/>
      <c r="X4340" s="73"/>
      <c r="Y4340" s="73"/>
      <c r="Z4340" s="73"/>
      <c r="AA4340" s="73"/>
      <c r="AB4340" s="73"/>
    </row>
    <row r="4341">
      <c r="A4341" s="73"/>
      <c r="B4341" s="73">
        <v>1.359099989E7</v>
      </c>
      <c r="C4341" s="73">
        <v>6.2054212164325E8</v>
      </c>
      <c r="D4341" s="73">
        <v>3.33273306175998E8</v>
      </c>
      <c r="E4341" s="73">
        <v>4.87958900556013E7</v>
      </c>
      <c r="F4341" s="73"/>
      <c r="G4341" s="73"/>
      <c r="H4341" s="73"/>
      <c r="I4341" s="73"/>
      <c r="J4341" s="73"/>
      <c r="K4341" s="73"/>
      <c r="L4341" s="73"/>
      <c r="M4341" s="73"/>
      <c r="N4341" s="73"/>
      <c r="O4341" s="73"/>
      <c r="P4341" s="73"/>
      <c r="Q4341" s="73"/>
      <c r="R4341" s="73"/>
      <c r="S4341" s="73"/>
      <c r="T4341" s="73"/>
      <c r="U4341" s="73"/>
      <c r="V4341" s="73"/>
      <c r="W4341" s="73"/>
      <c r="X4341" s="73"/>
      <c r="Y4341" s="73"/>
      <c r="Z4341" s="73"/>
      <c r="AA4341" s="73"/>
      <c r="AB4341" s="73"/>
    </row>
    <row r="4342">
      <c r="A4342" s="73"/>
      <c r="B4342" s="73">
        <v>1.36078976E7</v>
      </c>
      <c r="C4342" s="73">
        <v>6.20931247392441E8</v>
      </c>
      <c r="D4342" s="73">
        <v>3.33519774795991E8</v>
      </c>
      <c r="E4342" s="73">
        <v>4.88359756731815E7</v>
      </c>
      <c r="F4342" s="73"/>
      <c r="G4342" s="73"/>
      <c r="H4342" s="73"/>
      <c r="I4342" s="73"/>
      <c r="J4342" s="73"/>
      <c r="K4342" s="73"/>
      <c r="L4342" s="73"/>
      <c r="M4342" s="73"/>
      <c r="N4342" s="73"/>
      <c r="O4342" s="73"/>
      <c r="P4342" s="73"/>
      <c r="Q4342" s="73"/>
      <c r="R4342" s="73"/>
      <c r="S4342" s="73"/>
      <c r="T4342" s="73"/>
      <c r="U4342" s="73"/>
      <c r="V4342" s="73"/>
      <c r="W4342" s="73"/>
      <c r="X4342" s="73"/>
      <c r="Y4342" s="73"/>
      <c r="Z4342" s="73"/>
      <c r="AA4342" s="73"/>
      <c r="AB4342" s="73"/>
    </row>
    <row r="4343">
      <c r="A4343" s="73"/>
      <c r="B4343" s="73">
        <v>1.36248136E7</v>
      </c>
      <c r="C4343" s="73">
        <v>6.21320570901627E8</v>
      </c>
      <c r="D4343" s="73">
        <v>3.33766367351999E8</v>
      </c>
      <c r="E4343" s="73">
        <v>4.88760834846164E7</v>
      </c>
      <c r="F4343" s="73"/>
      <c r="G4343" s="73"/>
      <c r="H4343" s="73"/>
      <c r="I4343" s="73"/>
      <c r="J4343" s="73"/>
      <c r="K4343" s="73"/>
      <c r="L4343" s="73"/>
      <c r="M4343" s="73"/>
      <c r="N4343" s="73"/>
      <c r="O4343" s="73"/>
      <c r="P4343" s="73"/>
      <c r="Q4343" s="73"/>
      <c r="R4343" s="73"/>
      <c r="S4343" s="73"/>
      <c r="T4343" s="73"/>
      <c r="U4343" s="73"/>
      <c r="V4343" s="73"/>
      <c r="W4343" s="73"/>
      <c r="X4343" s="73"/>
      <c r="Y4343" s="73"/>
      <c r="Z4343" s="73"/>
      <c r="AA4343" s="73"/>
      <c r="AB4343" s="73"/>
    </row>
    <row r="4344">
      <c r="A4344" s="73"/>
      <c r="B4344" s="73">
        <v>1.36417485E7</v>
      </c>
      <c r="C4344" s="73">
        <v>6.21710026250809E8</v>
      </c>
      <c r="D4344" s="73">
        <v>3.34013083715993E8</v>
      </c>
      <c r="E4344" s="73">
        <v>4.89162128386421E7</v>
      </c>
      <c r="F4344" s="73"/>
      <c r="G4344" s="73"/>
      <c r="H4344" s="73"/>
      <c r="I4344" s="73"/>
      <c r="J4344" s="73"/>
      <c r="K4344" s="73"/>
      <c r="L4344" s="73"/>
      <c r="M4344" s="73"/>
      <c r="N4344" s="73"/>
      <c r="O4344" s="73"/>
      <c r="P4344" s="73"/>
      <c r="Q4344" s="73"/>
      <c r="R4344" s="73"/>
      <c r="S4344" s="73"/>
      <c r="T4344" s="73"/>
      <c r="U4344" s="73"/>
      <c r="V4344" s="73"/>
      <c r="W4344" s="73"/>
      <c r="X4344" s="73"/>
      <c r="Y4344" s="73"/>
      <c r="Z4344" s="73"/>
      <c r="AA4344" s="73"/>
      <c r="AB4344" s="73"/>
    </row>
    <row r="4345">
      <c r="A4345" s="73"/>
      <c r="B4345" s="73">
        <v>1.365870069E7</v>
      </c>
      <c r="C4345" s="73">
        <v>6.22099679359985E8</v>
      </c>
      <c r="D4345" s="73">
        <v>3.34259903232001E8</v>
      </c>
      <c r="E4345" s="73">
        <v>4.89563621511948E7</v>
      </c>
      <c r="F4345" s="73"/>
      <c r="G4345" s="73"/>
      <c r="H4345" s="73"/>
      <c r="I4345" s="73"/>
      <c r="J4345" s="73"/>
      <c r="K4345" s="73"/>
      <c r="L4345" s="73"/>
      <c r="M4345" s="73"/>
      <c r="N4345" s="73"/>
      <c r="O4345" s="73"/>
      <c r="P4345" s="73"/>
      <c r="Q4345" s="73"/>
      <c r="R4345" s="73"/>
      <c r="S4345" s="73"/>
      <c r="T4345" s="73"/>
      <c r="U4345" s="73"/>
      <c r="V4345" s="73"/>
      <c r="W4345" s="73"/>
      <c r="X4345" s="73"/>
      <c r="Y4345" s="73"/>
      <c r="Z4345" s="73"/>
      <c r="AA4345" s="73"/>
      <c r="AB4345" s="73"/>
    </row>
    <row r="4346">
      <c r="A4346" s="73"/>
      <c r="B4346" s="73">
        <v>1.367567187E7</v>
      </c>
      <c r="C4346" s="73">
        <v>6.2248939838916E8</v>
      </c>
      <c r="D4346" s="73">
        <v>3.34506846235995E8</v>
      </c>
      <c r="E4346" s="73">
        <v>4.89965354960662E7</v>
      </c>
      <c r="F4346" s="73"/>
      <c r="G4346" s="73"/>
      <c r="H4346" s="73"/>
      <c r="I4346" s="73"/>
      <c r="J4346" s="73"/>
      <c r="K4346" s="73"/>
      <c r="L4346" s="73"/>
      <c r="M4346" s="73"/>
      <c r="N4346" s="73"/>
      <c r="O4346" s="73"/>
      <c r="P4346" s="73"/>
      <c r="Q4346" s="73"/>
      <c r="R4346" s="73"/>
      <c r="S4346" s="73"/>
      <c r="T4346" s="73"/>
      <c r="U4346" s="73"/>
      <c r="V4346" s="73"/>
      <c r="W4346" s="73"/>
      <c r="X4346" s="73"/>
      <c r="Y4346" s="73"/>
      <c r="Z4346" s="73"/>
      <c r="AA4346" s="73"/>
      <c r="AB4346" s="73"/>
    </row>
    <row r="4347">
      <c r="A4347" s="73"/>
      <c r="B4347" s="73">
        <v>1.369266052E7</v>
      </c>
      <c r="C4347" s="73">
        <v>6.22879315178329E8</v>
      </c>
      <c r="D4347" s="73">
        <v>3.34753913336003E8</v>
      </c>
      <c r="E4347" s="73">
        <v>4.90367297322644E7</v>
      </c>
      <c r="F4347" s="73"/>
      <c r="G4347" s="73"/>
      <c r="H4347" s="73"/>
      <c r="I4347" s="73"/>
      <c r="J4347" s="73"/>
      <c r="K4347" s="73"/>
      <c r="L4347" s="73"/>
      <c r="M4347" s="73"/>
      <c r="N4347" s="73"/>
      <c r="O4347" s="73"/>
      <c r="P4347" s="73"/>
      <c r="Q4347" s="73"/>
      <c r="R4347" s="73"/>
      <c r="S4347" s="73"/>
      <c r="T4347" s="73"/>
      <c r="U4347" s="73"/>
      <c r="V4347" s="73"/>
      <c r="W4347" s="73"/>
      <c r="X4347" s="73"/>
      <c r="Y4347" s="73"/>
      <c r="Z4347" s="73"/>
      <c r="AA4347" s="73"/>
      <c r="AB4347" s="73"/>
    </row>
    <row r="4348">
      <c r="A4348" s="73"/>
      <c r="B4348" s="73">
        <v>1.370966783E7</v>
      </c>
      <c r="C4348" s="73">
        <v>6.23269429727493E8</v>
      </c>
      <c r="D4348" s="73">
        <v>3.35001083603996E8</v>
      </c>
      <c r="E4348" s="73">
        <v>4.90769463047815E7</v>
      </c>
      <c r="F4348" s="73"/>
      <c r="G4348" s="73"/>
      <c r="H4348" s="73"/>
      <c r="I4348" s="73"/>
      <c r="J4348" s="73"/>
      <c r="K4348" s="73"/>
      <c r="L4348" s="73"/>
      <c r="M4348" s="73"/>
      <c r="N4348" s="73"/>
      <c r="O4348" s="73"/>
      <c r="P4348" s="73"/>
      <c r="Q4348" s="73"/>
      <c r="R4348" s="73"/>
      <c r="S4348" s="73"/>
      <c r="T4348" s="73"/>
      <c r="U4348" s="73"/>
      <c r="V4348" s="73"/>
      <c r="W4348" s="73"/>
      <c r="X4348" s="73"/>
      <c r="Y4348" s="73"/>
      <c r="Z4348" s="73"/>
      <c r="AA4348" s="73"/>
      <c r="AB4348" s="73"/>
    </row>
    <row r="4349">
      <c r="A4349" s="73"/>
      <c r="B4349" s="73">
        <v>1.372669335E7</v>
      </c>
      <c r="C4349" s="73">
        <v>6.23659676116653E8</v>
      </c>
      <c r="D4349" s="73">
        <v>3.3524839798399E8</v>
      </c>
      <c r="E4349" s="73">
        <v>4.91171847014254E7</v>
      </c>
      <c r="F4349" s="73"/>
      <c r="G4349" s="73"/>
      <c r="H4349" s="73"/>
      <c r="I4349" s="73"/>
      <c r="J4349" s="73"/>
      <c r="K4349" s="73"/>
      <c r="L4349" s="73"/>
      <c r="M4349" s="73"/>
      <c r="N4349" s="73"/>
      <c r="O4349" s="73"/>
      <c r="P4349" s="73"/>
      <c r="Q4349" s="73"/>
      <c r="R4349" s="73"/>
      <c r="S4349" s="73"/>
      <c r="T4349" s="73"/>
      <c r="U4349" s="73"/>
      <c r="V4349" s="73"/>
      <c r="W4349" s="73"/>
      <c r="X4349" s="73"/>
      <c r="Y4349" s="73"/>
      <c r="Z4349" s="73"/>
      <c r="AA4349" s="73"/>
      <c r="AB4349" s="73"/>
    </row>
    <row r="4350">
      <c r="A4350" s="73"/>
      <c r="B4350" s="73">
        <v>1.374373727E7</v>
      </c>
      <c r="C4350" s="73">
        <v>6.24050120265808E8</v>
      </c>
      <c r="D4350" s="73">
        <v>3.35495815371998E8</v>
      </c>
      <c r="E4350" s="73">
        <v>4.91574427750602E7</v>
      </c>
      <c r="F4350" s="73"/>
      <c r="G4350" s="73"/>
      <c r="H4350" s="73"/>
      <c r="I4350" s="73"/>
      <c r="J4350" s="73"/>
      <c r="K4350" s="73"/>
      <c r="L4350" s="73"/>
      <c r="M4350" s="73"/>
      <c r="N4350" s="73"/>
      <c r="O4350" s="73"/>
      <c r="P4350" s="73"/>
      <c r="Q4350" s="73"/>
      <c r="R4350" s="73"/>
      <c r="S4350" s="73"/>
      <c r="T4350" s="73"/>
      <c r="U4350" s="73"/>
      <c r="V4350" s="73"/>
      <c r="W4350" s="73"/>
      <c r="X4350" s="73"/>
      <c r="Y4350" s="73"/>
      <c r="Z4350" s="73"/>
      <c r="AA4350" s="73"/>
      <c r="AB4350" s="73"/>
    </row>
    <row r="4351">
      <c r="A4351" s="73"/>
      <c r="B4351" s="73">
        <v>1.376079893E7</v>
      </c>
      <c r="C4351" s="73">
        <v>6.24440630334961E8</v>
      </c>
      <c r="D4351" s="73">
        <v>3.35743356855991E8</v>
      </c>
      <c r="E4351" s="73">
        <v>4.91977247385497E7</v>
      </c>
      <c r="F4351" s="73"/>
      <c r="G4351" s="73"/>
      <c r="H4351" s="73"/>
      <c r="I4351" s="73"/>
      <c r="J4351" s="73"/>
      <c r="K4351" s="73"/>
      <c r="L4351" s="73"/>
      <c r="M4351" s="73"/>
      <c r="N4351" s="73"/>
      <c r="O4351" s="73"/>
      <c r="P4351" s="73"/>
      <c r="Q4351" s="73"/>
      <c r="R4351" s="73"/>
      <c r="S4351" s="73"/>
      <c r="T4351" s="73"/>
      <c r="U4351" s="73"/>
      <c r="V4351" s="73"/>
      <c r="W4351" s="73"/>
      <c r="X4351" s="73"/>
      <c r="Y4351" s="73"/>
      <c r="Z4351" s="73"/>
      <c r="AA4351" s="73"/>
      <c r="AB4351" s="73"/>
    </row>
    <row r="4352">
      <c r="A4352" s="73"/>
      <c r="B4352" s="73">
        <v>1.377787951E7</v>
      </c>
      <c r="C4352" s="73">
        <v>6.24831338164108E8</v>
      </c>
      <c r="D4352" s="73">
        <v>3.35991001668E8</v>
      </c>
      <c r="E4352" s="73">
        <v>4.92380277358301E7</v>
      </c>
      <c r="F4352" s="73"/>
      <c r="G4352" s="73"/>
      <c r="H4352" s="73"/>
      <c r="I4352" s="73"/>
      <c r="J4352" s="73"/>
      <c r="K4352" s="73"/>
      <c r="L4352" s="73"/>
      <c r="M4352" s="73"/>
      <c r="N4352" s="73"/>
      <c r="O4352" s="73"/>
      <c r="P4352" s="73"/>
      <c r="Q4352" s="73"/>
      <c r="R4352" s="73"/>
      <c r="S4352" s="73"/>
      <c r="T4352" s="73"/>
      <c r="U4352" s="73"/>
      <c r="V4352" s="73"/>
      <c r="W4352" s="73"/>
      <c r="X4352" s="73"/>
      <c r="Y4352" s="73"/>
      <c r="Z4352" s="73"/>
      <c r="AA4352" s="73"/>
      <c r="AB4352" s="73"/>
    </row>
    <row r="4353">
      <c r="A4353" s="73"/>
      <c r="B4353" s="73">
        <v>1.379497764E7</v>
      </c>
      <c r="C4353" s="73">
        <v>6.2522224375325E8</v>
      </c>
      <c r="D4353" s="73">
        <v>3.36238769647993E8</v>
      </c>
      <c r="E4353" s="73">
        <v>4.92783540293652E7</v>
      </c>
      <c r="F4353" s="73"/>
      <c r="G4353" s="73"/>
      <c r="H4353" s="73"/>
      <c r="I4353" s="73"/>
      <c r="J4353" s="73"/>
      <c r="K4353" s="73"/>
      <c r="L4353" s="73"/>
      <c r="M4353" s="73"/>
      <c r="N4353" s="73"/>
      <c r="O4353" s="73"/>
      <c r="P4353" s="73"/>
      <c r="Q4353" s="73"/>
      <c r="R4353" s="73"/>
      <c r="S4353" s="73"/>
      <c r="T4353" s="73"/>
      <c r="U4353" s="73"/>
      <c r="V4353" s="73"/>
      <c r="W4353" s="73"/>
      <c r="X4353" s="73"/>
      <c r="Y4353" s="73"/>
      <c r="Z4353" s="73"/>
      <c r="AA4353" s="73"/>
      <c r="AB4353" s="73"/>
    </row>
    <row r="4354">
      <c r="A4354" s="73"/>
      <c r="B4354" s="73">
        <v>1.381209422E7</v>
      </c>
      <c r="C4354" s="73">
        <v>6.2561321526239E8</v>
      </c>
      <c r="D4354" s="73">
        <v>3.36486682204002E8</v>
      </c>
      <c r="E4354" s="73">
        <v>4.93186991790273E7</v>
      </c>
      <c r="F4354" s="73"/>
      <c r="G4354" s="73"/>
      <c r="H4354" s="73"/>
      <c r="I4354" s="73"/>
      <c r="J4354" s="73"/>
      <c r="K4354" s="73"/>
      <c r="L4354" s="73"/>
      <c r="M4354" s="73"/>
      <c r="N4354" s="73"/>
      <c r="O4354" s="73"/>
      <c r="P4354" s="73"/>
      <c r="Q4354" s="73"/>
      <c r="R4354" s="73"/>
      <c r="S4354" s="73"/>
      <c r="T4354" s="73"/>
      <c r="U4354" s="73"/>
      <c r="V4354" s="73"/>
      <c r="W4354" s="73"/>
      <c r="X4354" s="73"/>
      <c r="Y4354" s="73"/>
      <c r="Z4354" s="73"/>
      <c r="AA4354" s="73"/>
      <c r="AB4354" s="73"/>
    </row>
    <row r="4355">
      <c r="A4355" s="73"/>
      <c r="B4355" s="73">
        <v>1.382922935E7</v>
      </c>
      <c r="C4355" s="73">
        <v>6.26004384531525E8</v>
      </c>
      <c r="D4355" s="73">
        <v>3.36734677607995E8</v>
      </c>
      <c r="E4355" s="73">
        <v>4.93590690665441E7</v>
      </c>
      <c r="F4355" s="73"/>
      <c r="G4355" s="73"/>
      <c r="H4355" s="73"/>
      <c r="I4355" s="73"/>
      <c r="J4355" s="73"/>
      <c r="K4355" s="73"/>
      <c r="L4355" s="73"/>
      <c r="M4355" s="73"/>
      <c r="N4355" s="73"/>
      <c r="O4355" s="73"/>
      <c r="P4355" s="73"/>
      <c r="Q4355" s="73"/>
      <c r="R4355" s="73"/>
      <c r="S4355" s="73"/>
      <c r="T4355" s="73"/>
      <c r="U4355" s="73"/>
      <c r="V4355" s="73"/>
      <c r="W4355" s="73"/>
      <c r="X4355" s="73"/>
      <c r="Y4355" s="73"/>
      <c r="Z4355" s="73"/>
      <c r="AA4355" s="73"/>
      <c r="AB4355" s="73"/>
    </row>
    <row r="4356">
      <c r="A4356" s="73"/>
      <c r="B4356" s="73">
        <v>1.384638229E7</v>
      </c>
      <c r="C4356" s="73">
        <v>6.26395685640656E8</v>
      </c>
      <c r="D4356" s="73">
        <v>3.36982817124004E8</v>
      </c>
      <c r="E4356" s="73">
        <v>4.93994588854517E7</v>
      </c>
      <c r="F4356" s="73"/>
      <c r="G4356" s="73"/>
      <c r="H4356" s="73"/>
      <c r="I4356" s="73"/>
      <c r="J4356" s="73"/>
      <c r="K4356" s="73"/>
      <c r="L4356" s="73"/>
      <c r="M4356" s="73"/>
      <c r="N4356" s="73"/>
      <c r="O4356" s="73"/>
      <c r="P4356" s="73"/>
      <c r="Q4356" s="73"/>
      <c r="R4356" s="73"/>
      <c r="S4356" s="73"/>
      <c r="T4356" s="73"/>
      <c r="U4356" s="73"/>
      <c r="V4356" s="73"/>
      <c r="W4356" s="73"/>
      <c r="X4356" s="73"/>
      <c r="Y4356" s="73"/>
      <c r="Z4356" s="73"/>
      <c r="AA4356" s="73"/>
      <c r="AB4356" s="73"/>
    </row>
    <row r="4357">
      <c r="A4357" s="73"/>
      <c r="B4357" s="73">
        <v>1.386355379E7</v>
      </c>
      <c r="C4357" s="73">
        <v>6.26787184509781E8</v>
      </c>
      <c r="D4357" s="73">
        <v>3.37231059647997E8</v>
      </c>
      <c r="E4357" s="73">
        <v>4.94398717462142E7</v>
      </c>
      <c r="F4357" s="73"/>
      <c r="G4357" s="73"/>
      <c r="H4357" s="73"/>
      <c r="I4357" s="73"/>
      <c r="J4357" s="73"/>
      <c r="K4357" s="73"/>
      <c r="L4357" s="73"/>
      <c r="M4357" s="73"/>
      <c r="N4357" s="73"/>
      <c r="O4357" s="73"/>
      <c r="P4357" s="73"/>
      <c r="Q4357" s="73"/>
      <c r="R4357" s="73"/>
      <c r="S4357" s="73"/>
      <c r="T4357" s="73"/>
      <c r="U4357" s="73"/>
      <c r="V4357" s="73"/>
      <c r="W4357" s="73"/>
      <c r="X4357" s="73"/>
      <c r="Y4357" s="73"/>
      <c r="Z4357" s="73"/>
      <c r="AA4357" s="73"/>
      <c r="AB4357" s="73"/>
    </row>
    <row r="4358">
      <c r="A4358" s="73"/>
      <c r="B4358" s="73">
        <v>1.388074371E7</v>
      </c>
      <c r="C4358" s="73">
        <v>6.27178749298904E8</v>
      </c>
      <c r="D4358" s="73">
        <v>3.3747942626799E8</v>
      </c>
      <c r="E4358" s="73">
        <v>4.94803071671674E7</v>
      </c>
      <c r="F4358" s="73"/>
      <c r="G4358" s="73"/>
      <c r="H4358" s="73"/>
      <c r="I4358" s="73"/>
      <c r="J4358" s="73"/>
      <c r="K4358" s="73"/>
      <c r="L4358" s="73"/>
      <c r="M4358" s="73"/>
      <c r="N4358" s="73"/>
      <c r="O4358" s="73"/>
      <c r="P4358" s="73"/>
      <c r="Q4358" s="73"/>
      <c r="R4358" s="73"/>
      <c r="S4358" s="73"/>
      <c r="T4358" s="73"/>
      <c r="U4358" s="73"/>
      <c r="V4358" s="73"/>
      <c r="W4358" s="73"/>
      <c r="X4358" s="73"/>
      <c r="Y4358" s="73"/>
      <c r="Z4358" s="73"/>
      <c r="AA4358" s="73"/>
      <c r="AB4358" s="73"/>
    </row>
    <row r="4359">
      <c r="A4359" s="73"/>
      <c r="B4359" s="73">
        <v>1.389795171E7</v>
      </c>
      <c r="C4359" s="73">
        <v>6.27570511848022E8</v>
      </c>
      <c r="D4359" s="73">
        <v>3.37727916375999E8</v>
      </c>
      <c r="E4359" s="73">
        <v>4.95207604266477E7</v>
      </c>
      <c r="F4359" s="73"/>
      <c r="G4359" s="73"/>
      <c r="H4359" s="73"/>
      <c r="I4359" s="73"/>
      <c r="J4359" s="73"/>
      <c r="K4359" s="73"/>
      <c r="L4359" s="73"/>
      <c r="M4359" s="73"/>
      <c r="N4359" s="73"/>
      <c r="O4359" s="73"/>
      <c r="P4359" s="73"/>
      <c r="Q4359" s="73"/>
      <c r="R4359" s="73"/>
      <c r="S4359" s="73"/>
      <c r="T4359" s="73"/>
      <c r="U4359" s="73"/>
      <c r="V4359" s="73"/>
      <c r="W4359" s="73"/>
      <c r="X4359" s="73"/>
      <c r="Y4359" s="73"/>
      <c r="Z4359" s="73"/>
      <c r="AA4359" s="73"/>
      <c r="AB4359" s="73"/>
    </row>
    <row r="4360">
      <c r="A4360" s="73"/>
      <c r="B4360" s="73">
        <v>1.39151782E7</v>
      </c>
      <c r="C4360" s="73">
        <v>6.27962472157135E8</v>
      </c>
      <c r="D4360" s="73">
        <v>3.37976530291992E8</v>
      </c>
      <c r="E4360" s="73">
        <v>4.95612399232466E7</v>
      </c>
      <c r="F4360" s="73"/>
      <c r="G4360" s="73"/>
      <c r="H4360" s="73"/>
      <c r="I4360" s="73"/>
      <c r="J4360" s="73"/>
      <c r="K4360" s="73"/>
      <c r="L4360" s="73"/>
      <c r="M4360" s="73"/>
      <c r="N4360" s="73"/>
      <c r="O4360" s="73"/>
      <c r="P4360" s="73"/>
      <c r="Q4360" s="73"/>
      <c r="R4360" s="73"/>
      <c r="S4360" s="73"/>
      <c r="T4360" s="73"/>
      <c r="U4360" s="73"/>
      <c r="V4360" s="73"/>
      <c r="W4360" s="73"/>
      <c r="X4360" s="73"/>
      <c r="Y4360" s="73"/>
      <c r="Z4360" s="73"/>
      <c r="AA4360" s="73"/>
      <c r="AB4360" s="73"/>
    </row>
    <row r="4361">
      <c r="A4361" s="73"/>
      <c r="B4361" s="73">
        <v>1.393242277E7</v>
      </c>
      <c r="C4361" s="73">
        <v>6.28354564306244E8</v>
      </c>
      <c r="D4361" s="73">
        <v>3.38225247504001E8</v>
      </c>
      <c r="E4361" s="73">
        <v>4.96017390391724E7</v>
      </c>
      <c r="F4361" s="73"/>
      <c r="G4361" s="73"/>
      <c r="H4361" s="73"/>
      <c r="I4361" s="73"/>
      <c r="J4361" s="73"/>
      <c r="K4361" s="73"/>
      <c r="L4361" s="73"/>
      <c r="M4361" s="73"/>
      <c r="N4361" s="73"/>
      <c r="O4361" s="73"/>
      <c r="P4361" s="73"/>
      <c r="Q4361" s="73"/>
      <c r="R4361" s="73"/>
      <c r="S4361" s="73"/>
      <c r="T4361" s="73"/>
      <c r="U4361" s="73"/>
      <c r="V4361" s="73"/>
      <c r="W4361" s="73"/>
      <c r="X4361" s="73"/>
      <c r="Y4361" s="73"/>
      <c r="Z4361" s="73"/>
      <c r="AA4361" s="73"/>
      <c r="AB4361" s="73"/>
    </row>
    <row r="4362">
      <c r="A4362" s="73"/>
      <c r="B4362" s="73">
        <v>1.394968591E7</v>
      </c>
      <c r="C4362" s="73">
        <v>6.28746920135345E8</v>
      </c>
      <c r="D4362" s="73">
        <v>3.38474088203994E8</v>
      </c>
      <c r="E4362" s="73">
        <v>4.96422605185529E7</v>
      </c>
      <c r="F4362" s="73"/>
      <c r="G4362" s="73"/>
      <c r="H4362" s="73"/>
      <c r="I4362" s="73"/>
      <c r="J4362" s="73"/>
      <c r="K4362" s="73"/>
      <c r="L4362" s="73"/>
      <c r="M4362" s="73"/>
      <c r="N4362" s="73"/>
      <c r="O4362" s="73"/>
      <c r="P4362" s="73"/>
      <c r="Q4362" s="73"/>
      <c r="R4362" s="73"/>
      <c r="S4362" s="73"/>
      <c r="T4362" s="73"/>
      <c r="U4362" s="73"/>
      <c r="V4362" s="73"/>
      <c r="W4362" s="73"/>
      <c r="X4362" s="73"/>
      <c r="Y4362" s="73"/>
      <c r="Z4362" s="73"/>
      <c r="AA4362" s="73"/>
      <c r="AB4362" s="73"/>
    </row>
    <row r="4363">
      <c r="A4363" s="73"/>
      <c r="B4363" s="73">
        <v>1.39669672E7</v>
      </c>
      <c r="C4363" s="73">
        <v>6.29139275964447E8</v>
      </c>
      <c r="D4363" s="73">
        <v>3.38723052856002E8</v>
      </c>
      <c r="E4363" s="73">
        <v>4.96828039373883E7</v>
      </c>
      <c r="F4363" s="73"/>
      <c r="G4363" s="73"/>
      <c r="H4363" s="73"/>
      <c r="I4363" s="73"/>
      <c r="J4363" s="73"/>
      <c r="K4363" s="73"/>
      <c r="L4363" s="73"/>
      <c r="M4363" s="73"/>
      <c r="N4363" s="73"/>
      <c r="O4363" s="73"/>
      <c r="P4363" s="73"/>
      <c r="Q4363" s="73"/>
      <c r="R4363" s="73"/>
      <c r="S4363" s="73"/>
      <c r="T4363" s="73"/>
      <c r="U4363" s="73"/>
      <c r="V4363" s="73"/>
      <c r="W4363" s="73"/>
      <c r="X4363" s="73"/>
      <c r="Y4363" s="73"/>
      <c r="Z4363" s="73"/>
      <c r="AA4363" s="73"/>
      <c r="AB4363" s="73"/>
    </row>
    <row r="4364">
      <c r="A4364" s="73"/>
      <c r="B4364" s="73">
        <v>1.398426697E7</v>
      </c>
      <c r="C4364" s="73">
        <v>6.29531829553543E8</v>
      </c>
      <c r="D4364" s="73">
        <v>3.38972120659996E8</v>
      </c>
      <c r="E4364" s="73">
        <v>4.97233694347506E7</v>
      </c>
      <c r="F4364" s="73"/>
      <c r="G4364" s="73"/>
      <c r="H4364" s="73"/>
      <c r="I4364" s="73"/>
      <c r="J4364" s="73"/>
      <c r="K4364" s="73"/>
      <c r="L4364" s="73"/>
      <c r="M4364" s="73"/>
      <c r="N4364" s="73"/>
      <c r="O4364" s="73"/>
      <c r="P4364" s="73"/>
      <c r="Q4364" s="73"/>
      <c r="R4364" s="73"/>
      <c r="S4364" s="73"/>
      <c r="T4364" s="73"/>
      <c r="U4364" s="73"/>
      <c r="V4364" s="73"/>
      <c r="W4364" s="73"/>
      <c r="X4364" s="73"/>
      <c r="Y4364" s="73"/>
      <c r="Z4364" s="73"/>
      <c r="AA4364" s="73"/>
      <c r="AB4364" s="73"/>
    </row>
    <row r="4365">
      <c r="A4365" s="73"/>
      <c r="B4365" s="73">
        <v>1.400158495E7</v>
      </c>
      <c r="C4365" s="73">
        <v>6.29924514982636E8</v>
      </c>
      <c r="D4365" s="73">
        <v>3.39221332751989E8</v>
      </c>
      <c r="E4365" s="73">
        <v>4.97639565323676E7</v>
      </c>
      <c r="F4365" s="73"/>
      <c r="G4365" s="73"/>
      <c r="H4365" s="73"/>
      <c r="I4365" s="73"/>
      <c r="J4365" s="73"/>
      <c r="K4365" s="73"/>
      <c r="L4365" s="73"/>
      <c r="M4365" s="73"/>
      <c r="N4365" s="73"/>
      <c r="O4365" s="73"/>
      <c r="P4365" s="73"/>
      <c r="Q4365" s="73"/>
      <c r="R4365" s="73"/>
      <c r="S4365" s="73"/>
      <c r="T4365" s="73"/>
      <c r="U4365" s="73"/>
      <c r="V4365" s="73"/>
      <c r="W4365" s="73"/>
      <c r="X4365" s="73"/>
      <c r="Y4365" s="73"/>
      <c r="Z4365" s="73"/>
      <c r="AA4365" s="73"/>
      <c r="AB4365" s="73"/>
    </row>
    <row r="4366">
      <c r="A4366" s="73"/>
      <c r="B4366" s="73">
        <v>1.401892106E7</v>
      </c>
      <c r="C4366" s="73">
        <v>6.30317398171722E8</v>
      </c>
      <c r="D4366" s="73">
        <v>3.39470647995998E8</v>
      </c>
      <c r="E4366" s="73">
        <v>4.98045655117755E7</v>
      </c>
      <c r="F4366" s="73"/>
      <c r="G4366" s="73"/>
      <c r="H4366" s="73"/>
      <c r="I4366" s="73"/>
      <c r="J4366" s="73"/>
      <c r="K4366" s="73"/>
      <c r="L4366" s="73"/>
      <c r="M4366" s="73"/>
      <c r="N4366" s="73"/>
      <c r="O4366" s="73"/>
      <c r="P4366" s="73"/>
      <c r="Q4366" s="73"/>
      <c r="R4366" s="73"/>
      <c r="S4366" s="73"/>
      <c r="T4366" s="73"/>
      <c r="U4366" s="73"/>
      <c r="V4366" s="73"/>
      <c r="W4366" s="73"/>
      <c r="X4366" s="73"/>
      <c r="Y4366" s="73"/>
      <c r="Z4366" s="73"/>
      <c r="AA4366" s="73"/>
      <c r="AB4366" s="73"/>
    </row>
    <row r="4367">
      <c r="A4367" s="73"/>
      <c r="B4367" s="73">
        <v>1.403627593E7</v>
      </c>
      <c r="C4367" s="73">
        <v>6.30710413200806E8</v>
      </c>
      <c r="D4367" s="73">
        <v>3.39720086871991E8</v>
      </c>
      <c r="E4367" s="73">
        <v>4.98451960337742E7</v>
      </c>
      <c r="F4367" s="73"/>
      <c r="G4367" s="73"/>
      <c r="H4367" s="73"/>
      <c r="I4367" s="73"/>
      <c r="J4367" s="73"/>
      <c r="K4367" s="73"/>
      <c r="L4367" s="73"/>
      <c r="M4367" s="73"/>
      <c r="N4367" s="73"/>
      <c r="O4367" s="73"/>
      <c r="P4367" s="73"/>
      <c r="Q4367" s="73"/>
      <c r="R4367" s="73"/>
      <c r="S4367" s="73"/>
      <c r="T4367" s="73"/>
      <c r="U4367" s="73"/>
      <c r="V4367" s="73"/>
      <c r="W4367" s="73"/>
      <c r="X4367" s="73"/>
      <c r="Y4367" s="73"/>
      <c r="Z4367" s="73"/>
      <c r="AA4367" s="73"/>
      <c r="AB4367" s="73"/>
    </row>
    <row r="4368">
      <c r="A4368" s="73"/>
      <c r="B4368" s="73">
        <v>1.405364916E7</v>
      </c>
      <c r="C4368" s="73">
        <v>6.31103625989883E8</v>
      </c>
      <c r="D4368" s="73">
        <v>3.39969629219999E8</v>
      </c>
      <c r="E4368" s="73">
        <v>4.98858487496277E7</v>
      </c>
      <c r="F4368" s="73"/>
      <c r="G4368" s="73"/>
      <c r="H4368" s="73"/>
      <c r="I4368" s="73"/>
      <c r="J4368" s="73"/>
      <c r="K4368" s="73"/>
      <c r="L4368" s="73"/>
      <c r="M4368" s="73"/>
      <c r="N4368" s="73"/>
      <c r="O4368" s="73"/>
      <c r="P4368" s="73"/>
      <c r="Q4368" s="73"/>
      <c r="R4368" s="73"/>
      <c r="S4368" s="73"/>
      <c r="T4368" s="73"/>
      <c r="U4368" s="73"/>
      <c r="V4368" s="73"/>
      <c r="W4368" s="73"/>
      <c r="X4368" s="73"/>
      <c r="Y4368" s="73"/>
      <c r="Z4368" s="73"/>
      <c r="AA4368" s="73"/>
      <c r="AB4368" s="73"/>
    </row>
    <row r="4369">
      <c r="A4369" s="73"/>
      <c r="B4369" s="73">
        <v>1.407104097E7</v>
      </c>
      <c r="C4369" s="73">
        <v>6.31496970618958E8</v>
      </c>
      <c r="D4369" s="73">
        <v>3.40219315535993E8</v>
      </c>
      <c r="E4369" s="73">
        <v>4.9926522329672E7</v>
      </c>
      <c r="F4369" s="73"/>
      <c r="G4369" s="73"/>
      <c r="H4369" s="73"/>
      <c r="I4369" s="73"/>
      <c r="J4369" s="73"/>
      <c r="K4369" s="73"/>
      <c r="L4369" s="73"/>
      <c r="M4369" s="73"/>
      <c r="N4369" s="73"/>
      <c r="O4369" s="73"/>
      <c r="P4369" s="73"/>
      <c r="Q4369" s="73"/>
      <c r="R4369" s="73"/>
      <c r="S4369" s="73"/>
      <c r="T4369" s="73"/>
      <c r="U4369" s="73"/>
      <c r="V4369" s="73"/>
      <c r="W4369" s="73"/>
      <c r="X4369" s="73"/>
      <c r="Y4369" s="73"/>
      <c r="Z4369" s="73"/>
      <c r="AA4369" s="73"/>
      <c r="AB4369" s="73"/>
    </row>
    <row r="4370">
      <c r="A4370" s="73"/>
      <c r="B4370" s="73">
        <v>1.408845058E7</v>
      </c>
      <c r="C4370" s="73">
        <v>6.31890447088028E8</v>
      </c>
      <c r="D4370" s="73">
        <v>3.40469105324001E8</v>
      </c>
      <c r="E4370" s="73">
        <v>4.99672190635072E7</v>
      </c>
      <c r="F4370" s="73"/>
      <c r="G4370" s="73"/>
      <c r="H4370" s="73"/>
      <c r="I4370" s="73"/>
      <c r="J4370" s="73"/>
      <c r="K4370" s="73"/>
      <c r="L4370" s="73"/>
      <c r="M4370" s="73"/>
      <c r="N4370" s="73"/>
      <c r="O4370" s="73"/>
      <c r="P4370" s="73"/>
      <c r="Q4370" s="73"/>
      <c r="R4370" s="73"/>
      <c r="S4370" s="73"/>
      <c r="T4370" s="73"/>
      <c r="U4370" s="73"/>
      <c r="V4370" s="73"/>
      <c r="W4370" s="73"/>
      <c r="X4370" s="73"/>
      <c r="Y4370" s="73"/>
      <c r="Z4370" s="73"/>
      <c r="AA4370" s="73"/>
      <c r="AB4370" s="73"/>
    </row>
    <row r="4371">
      <c r="A4371" s="73"/>
      <c r="B4371" s="73">
        <v>1.410587898E7</v>
      </c>
      <c r="C4371" s="73">
        <v>6.32284055397095E8</v>
      </c>
      <c r="D4371" s="73">
        <v>3.40719018743995E8</v>
      </c>
      <c r="E4371" s="73">
        <v>5.00079354743332E7</v>
      </c>
      <c r="F4371" s="73"/>
      <c r="G4371" s="73"/>
      <c r="H4371" s="73"/>
      <c r="I4371" s="73"/>
      <c r="J4371" s="73"/>
      <c r="K4371" s="73"/>
      <c r="L4371" s="73"/>
      <c r="M4371" s="73"/>
      <c r="N4371" s="73"/>
      <c r="O4371" s="73"/>
      <c r="P4371" s="73"/>
      <c r="Q4371" s="73"/>
      <c r="R4371" s="73"/>
      <c r="S4371" s="73"/>
      <c r="T4371" s="73"/>
      <c r="U4371" s="73"/>
      <c r="V4371" s="73"/>
      <c r="W4371" s="73"/>
      <c r="X4371" s="73"/>
      <c r="Y4371" s="73"/>
      <c r="Z4371" s="73"/>
      <c r="AA4371" s="73"/>
      <c r="AB4371" s="73"/>
    </row>
    <row r="4372">
      <c r="A4372" s="73"/>
      <c r="B4372" s="73">
        <v>1.412332544E7</v>
      </c>
      <c r="C4372" s="73">
        <v>6.32677861466156E8</v>
      </c>
      <c r="D4372" s="73">
        <v>3.40969055972003E8</v>
      </c>
      <c r="E4372" s="73">
        <v>5.0048676453414E7</v>
      </c>
      <c r="F4372" s="73"/>
      <c r="G4372" s="73"/>
      <c r="H4372" s="73"/>
      <c r="I4372" s="73"/>
      <c r="J4372" s="73"/>
      <c r="K4372" s="73"/>
      <c r="L4372" s="73"/>
      <c r="M4372" s="73"/>
      <c r="N4372" s="73"/>
      <c r="O4372" s="73"/>
      <c r="P4372" s="73"/>
      <c r="Q4372" s="73"/>
      <c r="R4372" s="73"/>
      <c r="S4372" s="73"/>
      <c r="T4372" s="73"/>
      <c r="U4372" s="73"/>
      <c r="V4372" s="73"/>
      <c r="W4372" s="73"/>
      <c r="X4372" s="73"/>
      <c r="Y4372" s="73"/>
      <c r="Z4372" s="73"/>
      <c r="AA4372" s="73"/>
      <c r="AB4372" s="73"/>
    </row>
    <row r="4373">
      <c r="A4373" s="73"/>
      <c r="B4373" s="73">
        <v>1.414079044E7</v>
      </c>
      <c r="C4373" s="73">
        <v>6.33071799375214E8</v>
      </c>
      <c r="D4373" s="73">
        <v>3.41219196495996E8</v>
      </c>
      <c r="E4373" s="73">
        <v>5.00894372790856E7</v>
      </c>
      <c r="F4373" s="73"/>
      <c r="G4373" s="73"/>
      <c r="H4373" s="73"/>
      <c r="I4373" s="73"/>
      <c r="J4373" s="73"/>
      <c r="K4373" s="73"/>
      <c r="L4373" s="73"/>
      <c r="M4373" s="73"/>
      <c r="N4373" s="73"/>
      <c r="O4373" s="73"/>
      <c r="P4373" s="73"/>
      <c r="Q4373" s="73"/>
      <c r="R4373" s="73"/>
      <c r="S4373" s="73"/>
      <c r="T4373" s="73"/>
      <c r="U4373" s="73"/>
      <c r="V4373" s="73"/>
      <c r="W4373" s="73"/>
      <c r="X4373" s="73"/>
      <c r="Y4373" s="73"/>
      <c r="Z4373" s="73"/>
      <c r="AA4373" s="73"/>
      <c r="AB4373" s="73"/>
    </row>
    <row r="4374">
      <c r="A4374" s="73"/>
      <c r="B4374" s="73">
        <v>1.415827422E7</v>
      </c>
      <c r="C4374" s="73">
        <v>6.33465869124268E8</v>
      </c>
      <c r="D4374" s="73">
        <v>3.4146948098799E8</v>
      </c>
      <c r="E4374" s="73">
        <v>5.01302208345481E7</v>
      </c>
      <c r="F4374" s="73"/>
      <c r="G4374" s="73"/>
      <c r="H4374" s="73"/>
      <c r="I4374" s="73"/>
      <c r="J4374" s="73"/>
      <c r="K4374" s="73"/>
      <c r="L4374" s="73"/>
      <c r="M4374" s="73"/>
      <c r="N4374" s="73"/>
      <c r="O4374" s="73"/>
      <c r="P4374" s="73"/>
      <c r="Q4374" s="73"/>
      <c r="R4374" s="73"/>
      <c r="S4374" s="73"/>
      <c r="T4374" s="73"/>
      <c r="U4374" s="73"/>
      <c r="V4374" s="73"/>
      <c r="W4374" s="73"/>
      <c r="X4374" s="73"/>
      <c r="Y4374" s="73"/>
      <c r="Z4374" s="73"/>
      <c r="AA4374" s="73"/>
      <c r="AB4374" s="73"/>
    </row>
    <row r="4375">
      <c r="A4375" s="73"/>
      <c r="B4375" s="73">
        <v>1.417577604E7</v>
      </c>
      <c r="C4375" s="73">
        <v>6.33860202553314E8</v>
      </c>
      <c r="D4375" s="73">
        <v>3.41719868807998E8</v>
      </c>
      <c r="E4375" s="73">
        <v>5.01710275166653E7</v>
      </c>
      <c r="F4375" s="73"/>
      <c r="G4375" s="73"/>
      <c r="H4375" s="73"/>
      <c r="I4375" s="73"/>
      <c r="J4375" s="73"/>
      <c r="K4375" s="73"/>
      <c r="L4375" s="73"/>
      <c r="M4375" s="73"/>
      <c r="N4375" s="73"/>
      <c r="O4375" s="73"/>
      <c r="P4375" s="73"/>
      <c r="Q4375" s="73"/>
      <c r="R4375" s="73"/>
      <c r="S4375" s="73"/>
      <c r="T4375" s="73"/>
      <c r="U4375" s="73"/>
      <c r="V4375" s="73"/>
      <c r="W4375" s="73"/>
      <c r="X4375" s="73"/>
      <c r="Y4375" s="73"/>
      <c r="Z4375" s="73"/>
      <c r="AA4375" s="73"/>
      <c r="AB4375" s="73"/>
    </row>
    <row r="4376">
      <c r="A4376" s="73"/>
      <c r="B4376" s="73">
        <v>1.419329656E7</v>
      </c>
      <c r="C4376" s="73">
        <v>6.34254667822357E8</v>
      </c>
      <c r="D4376" s="73">
        <v>3.41970359923991E8</v>
      </c>
      <c r="E4376" s="73">
        <v>5.02118545541734E7</v>
      </c>
      <c r="F4376" s="73"/>
      <c r="G4376" s="73"/>
      <c r="H4376" s="73"/>
      <c r="I4376" s="73"/>
      <c r="J4376" s="73"/>
      <c r="K4376" s="73"/>
      <c r="L4376" s="73"/>
      <c r="M4376" s="73"/>
      <c r="N4376" s="73"/>
      <c r="O4376" s="73"/>
      <c r="P4376" s="73"/>
      <c r="Q4376" s="73"/>
      <c r="R4376" s="73"/>
      <c r="S4376" s="73"/>
      <c r="T4376" s="73"/>
      <c r="U4376" s="73"/>
      <c r="V4376" s="73"/>
      <c r="W4376" s="73"/>
      <c r="X4376" s="73"/>
      <c r="Y4376" s="73"/>
      <c r="Z4376" s="73"/>
      <c r="AA4376" s="73"/>
      <c r="AB4376" s="73"/>
    </row>
    <row r="4377">
      <c r="A4377" s="73"/>
      <c r="B4377" s="73">
        <v>1.421083528E7</v>
      </c>
      <c r="C4377" s="73">
        <v>6.34649199011398E8</v>
      </c>
      <c r="D4377" s="73">
        <v>3.42220995008E8</v>
      </c>
      <c r="E4377" s="73">
        <v>5.02527040670722E7</v>
      </c>
      <c r="F4377" s="73"/>
      <c r="G4377" s="73"/>
      <c r="H4377" s="73"/>
      <c r="I4377" s="73"/>
      <c r="J4377" s="73"/>
      <c r="K4377" s="73"/>
      <c r="L4377" s="73"/>
      <c r="M4377" s="73"/>
      <c r="N4377" s="73"/>
      <c r="O4377" s="73"/>
      <c r="P4377" s="73"/>
      <c r="Q4377" s="73"/>
      <c r="R4377" s="73"/>
      <c r="S4377" s="73"/>
      <c r="T4377" s="73"/>
      <c r="U4377" s="73"/>
      <c r="V4377" s="73"/>
      <c r="W4377" s="73"/>
      <c r="X4377" s="73"/>
      <c r="Y4377" s="73"/>
      <c r="Z4377" s="73"/>
      <c r="AA4377" s="73"/>
      <c r="AB4377" s="73"/>
    </row>
    <row r="4378">
      <c r="A4378" s="73"/>
      <c r="B4378" s="73">
        <v>1.422839241E7</v>
      </c>
      <c r="C4378" s="73">
        <v>6.35043927960434E8</v>
      </c>
      <c r="D4378" s="73">
        <v>3.42471733563993E8</v>
      </c>
      <c r="E4378" s="73">
        <v>5.02935757738259E7</v>
      </c>
      <c r="F4378" s="73"/>
      <c r="G4378" s="73"/>
      <c r="H4378" s="73"/>
      <c r="I4378" s="73"/>
      <c r="J4378" s="73"/>
      <c r="K4378" s="73"/>
      <c r="L4378" s="73"/>
      <c r="M4378" s="73"/>
      <c r="N4378" s="73"/>
      <c r="O4378" s="73"/>
      <c r="P4378" s="73"/>
      <c r="Q4378" s="73"/>
      <c r="R4378" s="73"/>
      <c r="S4378" s="73"/>
      <c r="T4378" s="73"/>
      <c r="U4378" s="73"/>
      <c r="V4378" s="73"/>
      <c r="W4378" s="73"/>
      <c r="X4378" s="73"/>
      <c r="Y4378" s="73"/>
      <c r="Z4378" s="73"/>
      <c r="AA4378" s="73"/>
      <c r="AB4378" s="73"/>
    </row>
    <row r="4379">
      <c r="A4379" s="73"/>
      <c r="B4379" s="73">
        <v>1.42459683E7</v>
      </c>
      <c r="C4379" s="73">
        <v>6.35438854669464E8</v>
      </c>
      <c r="D4379" s="73">
        <v>3.42722616088002E8</v>
      </c>
      <c r="E4379" s="73">
        <v>5.03344695319704E7</v>
      </c>
      <c r="F4379" s="73"/>
      <c r="G4379" s="73"/>
      <c r="H4379" s="73"/>
      <c r="I4379" s="73"/>
      <c r="J4379" s="73"/>
      <c r="K4379" s="73"/>
      <c r="L4379" s="73"/>
      <c r="M4379" s="73"/>
      <c r="N4379" s="73"/>
      <c r="O4379" s="73"/>
      <c r="P4379" s="73"/>
      <c r="Q4379" s="73"/>
      <c r="R4379" s="73"/>
      <c r="S4379" s="73"/>
      <c r="T4379" s="73"/>
      <c r="U4379" s="73"/>
      <c r="V4379" s="73"/>
      <c r="W4379" s="73"/>
      <c r="X4379" s="73"/>
      <c r="Y4379" s="73"/>
      <c r="Z4379" s="73"/>
      <c r="AA4379" s="73"/>
      <c r="AB4379" s="73"/>
    </row>
    <row r="4380">
      <c r="A4380" s="73"/>
      <c r="B4380" s="73">
        <v>1.426356256E7</v>
      </c>
      <c r="C4380" s="73">
        <v>6.35833847298492E8</v>
      </c>
      <c r="D4380" s="73">
        <v>3.42973602227995E8</v>
      </c>
      <c r="E4380" s="73">
        <v>5.03753831367058E7</v>
      </c>
      <c r="F4380" s="73"/>
      <c r="G4380" s="73"/>
      <c r="H4380" s="73"/>
      <c r="I4380" s="73"/>
      <c r="J4380" s="73"/>
      <c r="K4380" s="73"/>
      <c r="L4380" s="73"/>
      <c r="M4380" s="73"/>
      <c r="N4380" s="73"/>
      <c r="O4380" s="73"/>
      <c r="P4380" s="73"/>
      <c r="Q4380" s="73"/>
      <c r="R4380" s="73"/>
      <c r="S4380" s="73"/>
      <c r="T4380" s="73"/>
      <c r="U4380" s="73"/>
      <c r="V4380" s="73"/>
      <c r="W4380" s="73"/>
      <c r="X4380" s="73"/>
      <c r="Y4380" s="73"/>
      <c r="Z4380" s="73"/>
      <c r="AA4380" s="73"/>
      <c r="AB4380" s="73"/>
    </row>
    <row r="4381">
      <c r="A4381" s="73"/>
      <c r="B4381" s="73">
        <v>1.428117519E7</v>
      </c>
      <c r="C4381" s="73">
        <v>6.36229037687515E8</v>
      </c>
      <c r="D4381" s="73">
        <v>3.43224691376004E8</v>
      </c>
      <c r="E4381" s="73">
        <v>5.0416320234432E7</v>
      </c>
      <c r="F4381" s="73"/>
      <c r="G4381" s="73"/>
      <c r="H4381" s="73"/>
      <c r="I4381" s="73"/>
      <c r="J4381" s="73"/>
      <c r="K4381" s="73"/>
      <c r="L4381" s="73"/>
      <c r="M4381" s="73"/>
      <c r="N4381" s="73"/>
      <c r="O4381" s="73"/>
      <c r="P4381" s="73"/>
      <c r="Q4381" s="73"/>
      <c r="R4381" s="73"/>
      <c r="S4381" s="73"/>
      <c r="T4381" s="73"/>
      <c r="U4381" s="73"/>
      <c r="V4381" s="73"/>
      <c r="W4381" s="73"/>
      <c r="X4381" s="73"/>
      <c r="Y4381" s="73"/>
      <c r="Z4381" s="73"/>
      <c r="AA4381" s="73"/>
      <c r="AB4381" s="73"/>
    </row>
    <row r="4382">
      <c r="A4382" s="73"/>
      <c r="B4382" s="73">
        <v>1.429880629E7</v>
      </c>
      <c r="C4382" s="73">
        <v>6.36624359916534E8</v>
      </c>
      <c r="D4382" s="73">
        <v>3.43475924955997E8</v>
      </c>
      <c r="E4382" s="73">
        <v>5.0457278508413E7</v>
      </c>
      <c r="F4382" s="73"/>
      <c r="G4382" s="73"/>
      <c r="H4382" s="73"/>
      <c r="I4382" s="73"/>
      <c r="J4382" s="73"/>
      <c r="K4382" s="73"/>
      <c r="L4382" s="73"/>
      <c r="M4382" s="73"/>
      <c r="N4382" s="73"/>
      <c r="O4382" s="73"/>
      <c r="P4382" s="73"/>
      <c r="Q4382" s="73"/>
      <c r="R4382" s="73"/>
      <c r="S4382" s="73"/>
      <c r="T4382" s="73"/>
      <c r="U4382" s="73"/>
      <c r="V4382" s="73"/>
      <c r="W4382" s="73"/>
      <c r="X4382" s="73"/>
      <c r="Y4382" s="73"/>
      <c r="Z4382" s="73"/>
      <c r="AA4382" s="73"/>
      <c r="AB4382" s="73"/>
    </row>
    <row r="4383">
      <c r="A4383" s="73"/>
      <c r="B4383" s="73">
        <v>1.431645585E7</v>
      </c>
      <c r="C4383" s="73">
        <v>6.37019879905548E8</v>
      </c>
      <c r="D4383" s="73">
        <v>3.4372726154399E8</v>
      </c>
      <c r="E4383" s="73">
        <v>5.04982595121848E7</v>
      </c>
      <c r="F4383" s="73"/>
      <c r="G4383" s="73"/>
      <c r="H4383" s="73"/>
      <c r="I4383" s="73"/>
      <c r="J4383" s="73"/>
      <c r="K4383" s="73"/>
      <c r="L4383" s="73"/>
      <c r="M4383" s="73"/>
      <c r="N4383" s="73"/>
      <c r="O4383" s="73"/>
      <c r="P4383" s="73"/>
      <c r="Q4383" s="73"/>
      <c r="R4383" s="73"/>
      <c r="S4383" s="73"/>
      <c r="T4383" s="73"/>
      <c r="U4383" s="73"/>
      <c r="V4383" s="73"/>
      <c r="W4383" s="73"/>
      <c r="X4383" s="73"/>
      <c r="Y4383" s="73"/>
      <c r="Z4383" s="73"/>
      <c r="AA4383" s="73"/>
      <c r="AB4383" s="73"/>
    </row>
    <row r="4384">
      <c r="A4384" s="73"/>
      <c r="B4384" s="73">
        <v>1.433412378E7</v>
      </c>
      <c r="C4384" s="73">
        <v>6.37415531734558E8</v>
      </c>
      <c r="D4384" s="73">
        <v>3.43978721763999E8</v>
      </c>
      <c r="E4384" s="73">
        <v>5.05392623129474E7</v>
      </c>
      <c r="F4384" s="73"/>
      <c r="G4384" s="73"/>
      <c r="H4384" s="73"/>
      <c r="I4384" s="73"/>
      <c r="J4384" s="73"/>
      <c r="K4384" s="73"/>
      <c r="L4384" s="73"/>
      <c r="M4384" s="73"/>
      <c r="N4384" s="73"/>
      <c r="O4384" s="73"/>
      <c r="P4384" s="73"/>
      <c r="Q4384" s="73"/>
      <c r="R4384" s="73"/>
      <c r="S4384" s="73"/>
      <c r="T4384" s="73"/>
      <c r="U4384" s="73"/>
      <c r="V4384" s="73"/>
      <c r="W4384" s="73"/>
      <c r="X4384" s="73"/>
      <c r="Y4384" s="73"/>
      <c r="Z4384" s="73"/>
      <c r="AA4384" s="73"/>
      <c r="AB4384" s="73"/>
    </row>
    <row r="4385">
      <c r="A4385" s="73"/>
      <c r="B4385" s="73">
        <v>1.43518106E7</v>
      </c>
      <c r="C4385" s="73">
        <v>6.37811381323563E8</v>
      </c>
      <c r="D4385" s="73">
        <v>3.44230305935992E8</v>
      </c>
      <c r="E4385" s="73">
        <v>5.05802867987648E7</v>
      </c>
      <c r="F4385" s="73"/>
      <c r="G4385" s="73"/>
      <c r="H4385" s="73"/>
      <c r="I4385" s="73"/>
      <c r="J4385" s="73"/>
      <c r="K4385" s="73"/>
      <c r="L4385" s="73"/>
      <c r="M4385" s="73"/>
      <c r="N4385" s="73"/>
      <c r="O4385" s="73"/>
      <c r="P4385" s="73"/>
      <c r="Q4385" s="73"/>
      <c r="R4385" s="73"/>
      <c r="S4385" s="73"/>
      <c r="T4385" s="73"/>
      <c r="U4385" s="73"/>
      <c r="V4385" s="73"/>
      <c r="W4385" s="73"/>
      <c r="X4385" s="73"/>
      <c r="Y4385" s="73"/>
      <c r="Z4385" s="73"/>
      <c r="AA4385" s="73"/>
      <c r="AB4385" s="73"/>
    </row>
    <row r="4386">
      <c r="A4386" s="73"/>
      <c r="B4386" s="73">
        <v>1.436951543E7</v>
      </c>
      <c r="C4386" s="73">
        <v>6.38207296832565E8</v>
      </c>
      <c r="D4386" s="73">
        <v>3.44482013740001E8</v>
      </c>
      <c r="E4386" s="73">
        <v>5.0621334438373E7</v>
      </c>
      <c r="F4386" s="73"/>
      <c r="G4386" s="73"/>
      <c r="H4386" s="73"/>
      <c r="I4386" s="73"/>
      <c r="J4386" s="73"/>
      <c r="K4386" s="73"/>
      <c r="L4386" s="73"/>
      <c r="M4386" s="73"/>
      <c r="N4386" s="73"/>
      <c r="O4386" s="73"/>
      <c r="P4386" s="73"/>
      <c r="Q4386" s="73"/>
      <c r="R4386" s="73"/>
      <c r="S4386" s="73"/>
      <c r="T4386" s="73"/>
      <c r="U4386" s="73"/>
      <c r="V4386" s="73"/>
      <c r="W4386" s="73"/>
      <c r="X4386" s="73"/>
      <c r="Y4386" s="73"/>
      <c r="Z4386" s="73"/>
      <c r="AA4386" s="73"/>
      <c r="AB4386" s="73"/>
    </row>
    <row r="4387">
      <c r="A4387" s="73"/>
      <c r="B4387" s="73">
        <v>1.438723894E7</v>
      </c>
      <c r="C4387" s="73">
        <v>6.38603410101563E8</v>
      </c>
      <c r="D4387" s="73">
        <v>3.44733825015994E8</v>
      </c>
      <c r="E4387" s="73">
        <v>5.06624025181721E7</v>
      </c>
      <c r="F4387" s="73"/>
      <c r="G4387" s="73"/>
      <c r="H4387" s="73"/>
      <c r="I4387" s="73"/>
      <c r="J4387" s="73"/>
      <c r="K4387" s="73"/>
      <c r="L4387" s="73"/>
      <c r="M4387" s="73"/>
      <c r="N4387" s="73"/>
      <c r="O4387" s="73"/>
      <c r="P4387" s="73"/>
      <c r="Q4387" s="73"/>
      <c r="R4387" s="73"/>
      <c r="S4387" s="73"/>
      <c r="T4387" s="73"/>
      <c r="U4387" s="73"/>
      <c r="V4387" s="73"/>
      <c r="W4387" s="73"/>
      <c r="X4387" s="73"/>
      <c r="Y4387" s="73"/>
      <c r="Z4387" s="73"/>
      <c r="AA4387" s="73"/>
      <c r="AB4387" s="73"/>
    </row>
    <row r="4388">
      <c r="A4388" s="73"/>
      <c r="B4388" s="73">
        <v>1.440498122E7</v>
      </c>
      <c r="C4388" s="73">
        <v>6.38999787050552E8</v>
      </c>
      <c r="D4388" s="73">
        <v>3.44985759780002E8</v>
      </c>
      <c r="E4388" s="73">
        <v>5.0703492707026E7</v>
      </c>
      <c r="F4388" s="73"/>
      <c r="G4388" s="73"/>
      <c r="H4388" s="73"/>
      <c r="I4388" s="73"/>
      <c r="J4388" s="73"/>
      <c r="K4388" s="73"/>
      <c r="L4388" s="73"/>
      <c r="M4388" s="73"/>
      <c r="N4388" s="73"/>
      <c r="O4388" s="73"/>
      <c r="P4388" s="73"/>
      <c r="Q4388" s="73"/>
      <c r="R4388" s="73"/>
      <c r="S4388" s="73"/>
      <c r="T4388" s="73"/>
      <c r="U4388" s="73"/>
      <c r="V4388" s="73"/>
      <c r="W4388" s="73"/>
      <c r="X4388" s="73"/>
      <c r="Y4388" s="73"/>
      <c r="Z4388" s="73"/>
      <c r="AA4388" s="73"/>
      <c r="AB4388" s="73"/>
    </row>
    <row r="4389">
      <c r="A4389" s="73"/>
      <c r="B4389" s="73">
        <v>1.442274181E7</v>
      </c>
      <c r="C4389" s="73">
        <v>6.3939622991954E8</v>
      </c>
      <c r="D4389" s="73">
        <v>3.45237838655996E8</v>
      </c>
      <c r="E4389" s="73">
        <v>5.07446053136066E7</v>
      </c>
      <c r="F4389" s="73"/>
      <c r="G4389" s="73"/>
      <c r="H4389" s="73"/>
      <c r="I4389" s="73"/>
      <c r="J4389" s="73"/>
      <c r="K4389" s="73"/>
      <c r="L4389" s="73"/>
      <c r="M4389" s="73"/>
      <c r="N4389" s="73"/>
      <c r="O4389" s="73"/>
      <c r="P4389" s="73"/>
      <c r="Q4389" s="73"/>
      <c r="R4389" s="73"/>
      <c r="S4389" s="73"/>
      <c r="T4389" s="73"/>
      <c r="U4389" s="73"/>
      <c r="V4389" s="73"/>
      <c r="W4389" s="73"/>
      <c r="X4389" s="73"/>
      <c r="Y4389" s="73"/>
      <c r="Z4389" s="73"/>
      <c r="AA4389" s="73"/>
      <c r="AB4389" s="73"/>
    </row>
    <row r="4390">
      <c r="A4390" s="73"/>
      <c r="B4390" s="73">
        <v>1.44405213E7</v>
      </c>
      <c r="C4390" s="73">
        <v>6.39792804628525E8</v>
      </c>
      <c r="D4390" s="73">
        <v>3.45490000379989E8</v>
      </c>
      <c r="E4390" s="73">
        <v>5.07857388420422E7</v>
      </c>
      <c r="F4390" s="73"/>
      <c r="G4390" s="73"/>
      <c r="H4390" s="73"/>
      <c r="I4390" s="73"/>
      <c r="J4390" s="73"/>
      <c r="K4390" s="73"/>
      <c r="L4390" s="73"/>
      <c r="M4390" s="73"/>
      <c r="N4390" s="73"/>
      <c r="O4390" s="73"/>
      <c r="P4390" s="73"/>
      <c r="Q4390" s="73"/>
      <c r="R4390" s="73"/>
      <c r="S4390" s="73"/>
      <c r="T4390" s="73"/>
      <c r="U4390" s="73"/>
      <c r="V4390" s="73"/>
      <c r="W4390" s="73"/>
      <c r="X4390" s="73"/>
      <c r="Y4390" s="73"/>
      <c r="Z4390" s="73"/>
      <c r="AA4390" s="73"/>
      <c r="AB4390" s="73"/>
    </row>
    <row r="4391">
      <c r="A4391" s="73"/>
      <c r="B4391" s="73">
        <v>1.445831936E7</v>
      </c>
      <c r="C4391" s="73">
        <v>6.40189577097504E8</v>
      </c>
      <c r="D4391" s="73">
        <v>3.45742306359998E8</v>
      </c>
      <c r="E4391" s="73">
        <v>5.08268948187325E7</v>
      </c>
      <c r="F4391" s="73"/>
      <c r="G4391" s="73"/>
      <c r="H4391" s="73"/>
      <c r="I4391" s="73"/>
      <c r="J4391" s="73"/>
      <c r="K4391" s="73"/>
      <c r="L4391" s="73"/>
      <c r="M4391" s="73"/>
      <c r="N4391" s="73"/>
      <c r="O4391" s="73"/>
      <c r="P4391" s="73"/>
      <c r="Q4391" s="73"/>
      <c r="R4391" s="73"/>
      <c r="S4391" s="73"/>
      <c r="T4391" s="73"/>
      <c r="U4391" s="73"/>
      <c r="V4391" s="73"/>
      <c r="W4391" s="73"/>
      <c r="X4391" s="73"/>
      <c r="Y4391" s="73"/>
      <c r="Z4391" s="73"/>
      <c r="AA4391" s="73"/>
      <c r="AB4391" s="73"/>
    </row>
    <row r="4392">
      <c r="A4392" s="73"/>
      <c r="B4392" s="73">
        <v>1.44761354E7</v>
      </c>
      <c r="C4392" s="73">
        <v>6.40586481406479E8</v>
      </c>
      <c r="D4392" s="73">
        <v>3.45994715667991E8</v>
      </c>
      <c r="E4392" s="73">
        <v>5.08680731283497E7</v>
      </c>
      <c r="F4392" s="73"/>
      <c r="G4392" s="73"/>
      <c r="H4392" s="73"/>
      <c r="I4392" s="73"/>
      <c r="J4392" s="73"/>
      <c r="K4392" s="73"/>
      <c r="L4392" s="73"/>
      <c r="M4392" s="73"/>
      <c r="N4392" s="73"/>
      <c r="O4392" s="73"/>
      <c r="P4392" s="73"/>
      <c r="Q4392" s="73"/>
      <c r="R4392" s="73"/>
      <c r="S4392" s="73"/>
      <c r="T4392" s="73"/>
      <c r="U4392" s="73"/>
      <c r="V4392" s="73"/>
      <c r="W4392" s="73"/>
      <c r="X4392" s="73"/>
      <c r="Y4392" s="73"/>
      <c r="Z4392" s="73"/>
      <c r="AA4392" s="73"/>
      <c r="AB4392" s="73"/>
    </row>
    <row r="4393">
      <c r="A4393" s="73"/>
      <c r="B4393" s="73">
        <v>1.449397006E7</v>
      </c>
      <c r="C4393" s="73">
        <v>6.4098351755545E8</v>
      </c>
      <c r="D4393" s="73">
        <v>3.46247269087999E8</v>
      </c>
      <c r="E4393" s="73">
        <v>5.09092741982856E7</v>
      </c>
      <c r="F4393" s="73"/>
      <c r="G4393" s="73"/>
      <c r="H4393" s="73"/>
      <c r="I4393" s="73"/>
      <c r="J4393" s="73"/>
      <c r="K4393" s="73"/>
      <c r="L4393" s="73"/>
      <c r="M4393" s="73"/>
      <c r="N4393" s="73"/>
      <c r="O4393" s="73"/>
      <c r="P4393" s="73"/>
      <c r="Q4393" s="73"/>
      <c r="R4393" s="73"/>
      <c r="S4393" s="73"/>
      <c r="T4393" s="73"/>
      <c r="U4393" s="73"/>
      <c r="V4393" s="73"/>
      <c r="W4393" s="73"/>
      <c r="X4393" s="73"/>
      <c r="Y4393" s="73"/>
      <c r="Z4393" s="73"/>
      <c r="AA4393" s="73"/>
      <c r="AB4393" s="73"/>
    </row>
    <row r="4394">
      <c r="A4394" s="73"/>
      <c r="B4394" s="73">
        <v>1.451182377E7</v>
      </c>
      <c r="C4394" s="73">
        <v>6.41380685544418E8</v>
      </c>
      <c r="D4394" s="73">
        <v>3.46499925835993E8</v>
      </c>
      <c r="E4394" s="73">
        <v>5.09504957355484E7</v>
      </c>
      <c r="F4394" s="73"/>
      <c r="G4394" s="73"/>
      <c r="H4394" s="73"/>
      <c r="I4394" s="73"/>
      <c r="J4394" s="73"/>
      <c r="K4394" s="73"/>
      <c r="L4394" s="73"/>
      <c r="M4394" s="73"/>
      <c r="N4394" s="73"/>
      <c r="O4394" s="73"/>
      <c r="P4394" s="73"/>
      <c r="Q4394" s="73"/>
      <c r="R4394" s="73"/>
      <c r="S4394" s="73"/>
      <c r="T4394" s="73"/>
      <c r="U4394" s="73"/>
      <c r="V4394" s="73"/>
      <c r="W4394" s="73"/>
      <c r="X4394" s="73"/>
      <c r="Y4394" s="73"/>
      <c r="Z4394" s="73"/>
      <c r="AA4394" s="73"/>
      <c r="AB4394" s="73"/>
    </row>
    <row r="4395">
      <c r="A4395" s="73"/>
      <c r="B4395" s="73">
        <v>1.452969533E7</v>
      </c>
      <c r="C4395" s="73">
        <v>6.41778117213379E8</v>
      </c>
      <c r="D4395" s="73">
        <v>3.46752706360001E8</v>
      </c>
      <c r="E4395" s="73">
        <v>5.0991738391402E7</v>
      </c>
      <c r="F4395" s="73"/>
      <c r="G4395" s="73"/>
      <c r="H4395" s="73"/>
      <c r="I4395" s="73"/>
      <c r="J4395" s="73"/>
      <c r="K4395" s="73"/>
      <c r="L4395" s="73"/>
      <c r="M4395" s="73"/>
      <c r="N4395" s="73"/>
      <c r="O4395" s="73"/>
      <c r="P4395" s="73"/>
      <c r="Q4395" s="73"/>
      <c r="R4395" s="73"/>
      <c r="S4395" s="73"/>
      <c r="T4395" s="73"/>
      <c r="U4395" s="73"/>
      <c r="V4395" s="73"/>
      <c r="W4395" s="73"/>
      <c r="X4395" s="73"/>
      <c r="Y4395" s="73"/>
      <c r="Z4395" s="73"/>
      <c r="AA4395" s="73"/>
      <c r="AB4395" s="73"/>
    </row>
    <row r="4396">
      <c r="A4396" s="73"/>
      <c r="B4396" s="73">
        <v>1.454758599E7</v>
      </c>
      <c r="C4396" s="73">
        <v>6.42175614802338E8</v>
      </c>
      <c r="D4396" s="73">
        <v>3.47005589891995E8</v>
      </c>
      <c r="E4396" s="73">
        <v>5.10330055307103E7</v>
      </c>
      <c r="F4396" s="73"/>
      <c r="G4396" s="73"/>
      <c r="H4396" s="73"/>
      <c r="I4396" s="73"/>
      <c r="J4396" s="73"/>
      <c r="K4396" s="73"/>
      <c r="L4396" s="73"/>
      <c r="M4396" s="73"/>
      <c r="N4396" s="73"/>
      <c r="O4396" s="73"/>
      <c r="P4396" s="73"/>
      <c r="Q4396" s="73"/>
      <c r="R4396" s="73"/>
      <c r="S4396" s="73"/>
      <c r="T4396" s="73"/>
      <c r="U4396" s="73"/>
      <c r="V4396" s="73"/>
      <c r="W4396" s="73"/>
      <c r="X4396" s="73"/>
      <c r="Y4396" s="73"/>
      <c r="Z4396" s="73"/>
      <c r="AA4396" s="73"/>
      <c r="AB4396" s="73"/>
    </row>
    <row r="4397">
      <c r="A4397" s="73"/>
      <c r="B4397" s="73">
        <v>1.456549525E7</v>
      </c>
      <c r="C4397" s="73">
        <v>6.42573310151291E8</v>
      </c>
      <c r="D4397" s="73">
        <v>3.47258617856003E8</v>
      </c>
      <c r="E4397" s="73">
        <v>5.10742932798096E7</v>
      </c>
      <c r="F4397" s="73"/>
      <c r="G4397" s="73"/>
      <c r="H4397" s="73"/>
      <c r="I4397" s="73"/>
      <c r="J4397" s="73"/>
      <c r="K4397" s="73"/>
      <c r="L4397" s="73"/>
      <c r="M4397" s="73"/>
      <c r="N4397" s="73"/>
      <c r="O4397" s="73"/>
      <c r="P4397" s="73"/>
      <c r="Q4397" s="73"/>
      <c r="R4397" s="73"/>
      <c r="S4397" s="73"/>
      <c r="T4397" s="73"/>
      <c r="U4397" s="73"/>
      <c r="V4397" s="73"/>
      <c r="W4397" s="73"/>
      <c r="X4397" s="73"/>
      <c r="Y4397" s="73"/>
      <c r="Z4397" s="73"/>
      <c r="AA4397" s="73"/>
      <c r="AB4397" s="73"/>
    </row>
    <row r="4398">
      <c r="A4398" s="73"/>
      <c r="B4398" s="73">
        <v>1.458342297E7</v>
      </c>
      <c r="C4398" s="73">
        <v>6.4297113734024E8</v>
      </c>
      <c r="D4398" s="73">
        <v>3.47511748827996E8</v>
      </c>
      <c r="E4398" s="73">
        <v>5.11156024595636E7</v>
      </c>
      <c r="F4398" s="73"/>
      <c r="G4398" s="73"/>
      <c r="H4398" s="73"/>
      <c r="I4398" s="73"/>
      <c r="J4398" s="73"/>
      <c r="K4398" s="73"/>
      <c r="L4398" s="73"/>
      <c r="M4398" s="73"/>
      <c r="N4398" s="73"/>
      <c r="O4398" s="73"/>
      <c r="P4398" s="73"/>
      <c r="Q4398" s="73"/>
      <c r="R4398" s="73"/>
      <c r="S4398" s="73"/>
      <c r="T4398" s="73"/>
      <c r="U4398" s="73"/>
      <c r="V4398" s="73"/>
      <c r="W4398" s="73"/>
      <c r="X4398" s="73"/>
      <c r="Y4398" s="73"/>
      <c r="Z4398" s="73"/>
      <c r="AA4398" s="73"/>
      <c r="AB4398" s="73"/>
    </row>
    <row r="4399">
      <c r="A4399" s="73"/>
      <c r="B4399" s="73">
        <v>1.460136952E7</v>
      </c>
      <c r="C4399" s="73">
        <v>6.43369096369186E8</v>
      </c>
      <c r="D4399" s="73">
        <v>3.4776500343199E8</v>
      </c>
      <c r="E4399" s="73">
        <v>5.11569353867084E7</v>
      </c>
      <c r="F4399" s="73"/>
      <c r="G4399" s="73"/>
      <c r="H4399" s="73"/>
      <c r="I4399" s="73"/>
      <c r="J4399" s="73"/>
      <c r="K4399" s="73"/>
      <c r="L4399" s="73"/>
      <c r="M4399" s="73"/>
      <c r="N4399" s="73"/>
      <c r="O4399" s="73"/>
      <c r="P4399" s="73"/>
      <c r="Q4399" s="73"/>
      <c r="R4399" s="73"/>
      <c r="S4399" s="73"/>
      <c r="T4399" s="73"/>
      <c r="U4399" s="73"/>
      <c r="V4399" s="73"/>
      <c r="W4399" s="73"/>
      <c r="X4399" s="73"/>
      <c r="Y4399" s="73"/>
      <c r="Z4399" s="73"/>
      <c r="AA4399" s="73"/>
      <c r="AB4399" s="73"/>
    </row>
    <row r="4400">
      <c r="A4400" s="73"/>
      <c r="B4400" s="73">
        <v>1.461933443E7</v>
      </c>
      <c r="C4400" s="73">
        <v>6.43767319078125E8</v>
      </c>
      <c r="D4400" s="73">
        <v>3.48018381987998E8</v>
      </c>
      <c r="E4400" s="73">
        <v>5.11982881604441E7</v>
      </c>
      <c r="F4400" s="73"/>
      <c r="G4400" s="73"/>
      <c r="H4400" s="73"/>
      <c r="I4400" s="73"/>
      <c r="J4400" s="73"/>
      <c r="K4400" s="73"/>
      <c r="L4400" s="73"/>
      <c r="M4400" s="73"/>
      <c r="N4400" s="73"/>
      <c r="O4400" s="73"/>
      <c r="P4400" s="73"/>
      <c r="Q4400" s="73"/>
      <c r="R4400" s="73"/>
      <c r="S4400" s="73"/>
      <c r="T4400" s="73"/>
      <c r="U4400" s="73"/>
      <c r="V4400" s="73"/>
      <c r="W4400" s="73"/>
      <c r="X4400" s="73"/>
      <c r="Y4400" s="73"/>
      <c r="Z4400" s="73"/>
      <c r="AA4400" s="73"/>
      <c r="AB4400" s="73"/>
    </row>
    <row r="4401">
      <c r="A4401" s="73"/>
      <c r="B4401" s="73">
        <v>1.463731814E7</v>
      </c>
      <c r="C4401" s="73">
        <v>6.44165607707062E8</v>
      </c>
      <c r="D4401" s="73">
        <v>3.48271864015991E8</v>
      </c>
      <c r="E4401" s="73">
        <v>5.12396645967706E7</v>
      </c>
      <c r="F4401" s="73"/>
      <c r="G4401" s="73"/>
      <c r="H4401" s="73"/>
      <c r="I4401" s="73"/>
      <c r="J4401" s="73"/>
      <c r="K4401" s="73"/>
      <c r="L4401" s="73"/>
      <c r="M4401" s="73"/>
      <c r="N4401" s="73"/>
      <c r="O4401" s="73"/>
      <c r="P4401" s="73"/>
      <c r="Q4401" s="73"/>
      <c r="R4401" s="73"/>
      <c r="S4401" s="73"/>
      <c r="T4401" s="73"/>
      <c r="U4401" s="73"/>
      <c r="V4401" s="73"/>
      <c r="W4401" s="73"/>
      <c r="X4401" s="73"/>
      <c r="Y4401" s="73"/>
      <c r="Z4401" s="73"/>
      <c r="AA4401" s="73"/>
      <c r="AB4401" s="73"/>
    </row>
    <row r="4402">
      <c r="A4402" s="73"/>
      <c r="B4402" s="73">
        <v>1.465532033E7</v>
      </c>
      <c r="C4402" s="73">
        <v>6.44564094095993E8</v>
      </c>
      <c r="D4402" s="73">
        <v>3.48525489836E8</v>
      </c>
      <c r="E4402" s="73">
        <v>5.12810620397519E7</v>
      </c>
      <c r="F4402" s="73"/>
      <c r="G4402" s="73"/>
      <c r="H4402" s="73"/>
      <c r="I4402" s="73"/>
      <c r="J4402" s="73"/>
      <c r="K4402" s="73"/>
      <c r="L4402" s="73"/>
      <c r="M4402" s="73"/>
      <c r="N4402" s="73"/>
      <c r="O4402" s="73"/>
      <c r="P4402" s="73"/>
      <c r="Q4402" s="73"/>
      <c r="R4402" s="73"/>
      <c r="S4402" s="73"/>
      <c r="T4402" s="73"/>
      <c r="U4402" s="73"/>
      <c r="V4402" s="73"/>
      <c r="W4402" s="73"/>
      <c r="X4402" s="73"/>
      <c r="Y4402" s="73"/>
      <c r="Z4402" s="73"/>
      <c r="AA4402" s="73"/>
      <c r="AB4402" s="73"/>
    </row>
    <row r="4403">
      <c r="A4403" s="73"/>
      <c r="B4403" s="73">
        <v>1.467334105E7</v>
      </c>
      <c r="C4403" s="73">
        <v>6.44962712324921E8</v>
      </c>
      <c r="D4403" s="73">
        <v>3.48779219303993E8</v>
      </c>
      <c r="E4403" s="73">
        <v>5.13224822125239E7</v>
      </c>
      <c r="F4403" s="73"/>
      <c r="G4403" s="73"/>
      <c r="H4403" s="73"/>
      <c r="I4403" s="73"/>
      <c r="J4403" s="73"/>
      <c r="K4403" s="73"/>
      <c r="L4403" s="73"/>
      <c r="M4403" s="73"/>
      <c r="N4403" s="73"/>
      <c r="O4403" s="73"/>
      <c r="P4403" s="73"/>
      <c r="Q4403" s="73"/>
      <c r="R4403" s="73"/>
      <c r="S4403" s="73"/>
      <c r="T4403" s="73"/>
      <c r="U4403" s="73"/>
      <c r="V4403" s="73"/>
      <c r="W4403" s="73"/>
      <c r="X4403" s="73"/>
      <c r="Y4403" s="73"/>
      <c r="Z4403" s="73"/>
      <c r="AA4403" s="73"/>
      <c r="AB4403" s="73"/>
    </row>
    <row r="4404">
      <c r="A4404" s="73"/>
      <c r="B4404" s="73">
        <v>1.469138075E7</v>
      </c>
      <c r="C4404" s="73">
        <v>6.45361462393845E8</v>
      </c>
      <c r="D4404" s="73">
        <v>3.49033092564002E8</v>
      </c>
      <c r="E4404" s="73">
        <v>5.13639241822868E7</v>
      </c>
      <c r="F4404" s="73"/>
      <c r="G4404" s="73"/>
      <c r="H4404" s="73"/>
      <c r="I4404" s="73"/>
      <c r="J4404" s="73"/>
      <c r="K4404" s="73"/>
      <c r="L4404" s="73"/>
      <c r="M4404" s="73"/>
      <c r="N4404" s="73"/>
      <c r="O4404" s="73"/>
      <c r="P4404" s="73"/>
      <c r="Q4404" s="73"/>
      <c r="R4404" s="73"/>
      <c r="S4404" s="73"/>
      <c r="T4404" s="73"/>
      <c r="U4404" s="73"/>
      <c r="V4404" s="73"/>
      <c r="W4404" s="73"/>
      <c r="X4404" s="73"/>
      <c r="Y4404" s="73"/>
      <c r="Z4404" s="73"/>
      <c r="AA4404" s="73"/>
      <c r="AB4404" s="73"/>
    </row>
    <row r="4405">
      <c r="A4405" s="73"/>
      <c r="B4405" s="73">
        <v>1.470943869E7</v>
      </c>
      <c r="C4405" s="73">
        <v>6.45760410222763E8</v>
      </c>
      <c r="D4405" s="73">
        <v>3.49287048671995E8</v>
      </c>
      <c r="E4405" s="73">
        <v>5.14053869043046E7</v>
      </c>
      <c r="F4405" s="73"/>
      <c r="G4405" s="73"/>
      <c r="H4405" s="73"/>
      <c r="I4405" s="73"/>
      <c r="J4405" s="73"/>
      <c r="K4405" s="73"/>
      <c r="L4405" s="73"/>
      <c r="M4405" s="73"/>
      <c r="N4405" s="73"/>
      <c r="O4405" s="73"/>
      <c r="P4405" s="73"/>
      <c r="Q4405" s="73"/>
      <c r="R4405" s="73"/>
      <c r="S4405" s="73"/>
      <c r="T4405" s="73"/>
      <c r="U4405" s="73"/>
      <c r="V4405" s="73"/>
      <c r="W4405" s="73"/>
      <c r="X4405" s="73"/>
      <c r="Y4405" s="73"/>
      <c r="Z4405" s="73"/>
      <c r="AA4405" s="73"/>
      <c r="AB4405" s="73"/>
    </row>
    <row r="4406">
      <c r="A4406" s="73"/>
      <c r="B4406" s="73">
        <v>1.472751566E7</v>
      </c>
      <c r="C4406" s="73">
        <v>6.46159489891678E8</v>
      </c>
      <c r="D4406" s="73">
        <v>3.49541128556004E8</v>
      </c>
      <c r="E4406" s="73">
        <v>5.14468732889131E7</v>
      </c>
      <c r="F4406" s="73"/>
      <c r="G4406" s="73"/>
      <c r="H4406" s="73"/>
      <c r="I4406" s="73"/>
      <c r="J4406" s="73"/>
      <c r="K4406" s="73"/>
      <c r="L4406" s="73"/>
      <c r="M4406" s="73"/>
      <c r="N4406" s="73"/>
      <c r="O4406" s="73"/>
      <c r="P4406" s="73"/>
      <c r="Q4406" s="73"/>
      <c r="R4406" s="73"/>
      <c r="S4406" s="73"/>
      <c r="T4406" s="73"/>
      <c r="U4406" s="73"/>
      <c r="V4406" s="73"/>
      <c r="W4406" s="73"/>
      <c r="X4406" s="73"/>
      <c r="Y4406" s="73"/>
      <c r="Z4406" s="73"/>
      <c r="AA4406" s="73"/>
      <c r="AB4406" s="73"/>
    </row>
    <row r="4407">
      <c r="A4407" s="73"/>
      <c r="B4407" s="73">
        <v>1.474561134E7</v>
      </c>
      <c r="C4407" s="73">
        <v>6.46558701400589E8</v>
      </c>
      <c r="D4407" s="73">
        <v>3.49795373207997E8</v>
      </c>
      <c r="E4407" s="73">
        <v>5.14883804529125E7</v>
      </c>
      <c r="F4407" s="73"/>
      <c r="G4407" s="73"/>
      <c r="H4407" s="73"/>
      <c r="I4407" s="73"/>
      <c r="J4407" s="73"/>
      <c r="K4407" s="73"/>
      <c r="L4407" s="73"/>
      <c r="M4407" s="73"/>
      <c r="N4407" s="73"/>
      <c r="O4407" s="73"/>
      <c r="P4407" s="73"/>
      <c r="Q4407" s="73"/>
      <c r="R4407" s="73"/>
      <c r="S4407" s="73"/>
      <c r="T4407" s="73"/>
      <c r="U4407" s="73"/>
      <c r="V4407" s="73"/>
      <c r="W4407" s="73"/>
      <c r="X4407" s="73"/>
      <c r="Y4407" s="73"/>
      <c r="Z4407" s="73"/>
      <c r="AA4407" s="73"/>
      <c r="AB4407" s="73"/>
    </row>
    <row r="4408">
      <c r="A4408" s="73"/>
      <c r="B4408" s="73">
        <v>1.47637252E7</v>
      </c>
      <c r="C4408" s="73">
        <v>6.46958044749496E8</v>
      </c>
      <c r="D4408" s="73">
        <v>3.5004970085199E8</v>
      </c>
      <c r="E4408" s="73">
        <v>5.15299115067666E7</v>
      </c>
      <c r="F4408" s="73"/>
      <c r="G4408" s="73"/>
      <c r="H4408" s="73"/>
      <c r="I4408" s="73"/>
      <c r="J4408" s="73"/>
      <c r="K4408" s="73"/>
      <c r="L4408" s="73"/>
      <c r="M4408" s="73"/>
      <c r="N4408" s="73"/>
      <c r="O4408" s="73"/>
      <c r="P4408" s="73"/>
      <c r="Q4408" s="73"/>
      <c r="R4408" s="73"/>
      <c r="S4408" s="73"/>
      <c r="T4408" s="73"/>
      <c r="U4408" s="73"/>
      <c r="V4408" s="73"/>
      <c r="W4408" s="73"/>
      <c r="X4408" s="73"/>
      <c r="Y4408" s="73"/>
      <c r="Z4408" s="73"/>
      <c r="AA4408" s="73"/>
      <c r="AB4408" s="73"/>
    </row>
    <row r="4409">
      <c r="A4409" s="73"/>
      <c r="B4409" s="73">
        <v>1.478185814E7</v>
      </c>
      <c r="C4409" s="73">
        <v>6.47357651778397E8</v>
      </c>
      <c r="D4409" s="73">
        <v>3.50304151807999E8</v>
      </c>
      <c r="E4409" s="73">
        <v>5.15714629160116E7</v>
      </c>
      <c r="F4409" s="73"/>
      <c r="G4409" s="73"/>
      <c r="H4409" s="73"/>
      <c r="I4409" s="73"/>
      <c r="J4409" s="73"/>
      <c r="K4409" s="73"/>
      <c r="L4409" s="73"/>
      <c r="M4409" s="73"/>
      <c r="N4409" s="73"/>
      <c r="O4409" s="73"/>
      <c r="P4409" s="73"/>
      <c r="Q4409" s="73"/>
      <c r="R4409" s="73"/>
      <c r="S4409" s="73"/>
      <c r="T4409" s="73"/>
      <c r="U4409" s="73"/>
      <c r="V4409" s="73"/>
      <c r="W4409" s="73"/>
      <c r="X4409" s="73"/>
      <c r="Y4409" s="73"/>
      <c r="Z4409" s="73"/>
      <c r="AA4409" s="73"/>
      <c r="AB4409" s="73"/>
    </row>
    <row r="4410">
      <c r="A4410" s="73"/>
      <c r="B4410" s="73">
        <v>1.480000992E7</v>
      </c>
      <c r="C4410" s="73">
        <v>6.47757324727295E8</v>
      </c>
      <c r="D4410" s="73">
        <v>3.50558726571992E8</v>
      </c>
      <c r="E4410" s="73">
        <v>5.16130363766474E7</v>
      </c>
      <c r="F4410" s="73"/>
      <c r="G4410" s="73"/>
      <c r="H4410" s="73"/>
      <c r="I4410" s="73"/>
      <c r="J4410" s="73"/>
      <c r="K4410" s="73"/>
      <c r="L4410" s="73"/>
      <c r="M4410" s="73"/>
      <c r="N4410" s="73"/>
      <c r="O4410" s="73"/>
      <c r="P4410" s="73"/>
      <c r="Q4410" s="73"/>
      <c r="R4410" s="73"/>
      <c r="S4410" s="73"/>
      <c r="T4410" s="73"/>
      <c r="U4410" s="73"/>
      <c r="V4410" s="73"/>
      <c r="W4410" s="73"/>
      <c r="X4410" s="73"/>
      <c r="Y4410" s="73"/>
      <c r="Z4410" s="73"/>
      <c r="AA4410" s="73"/>
      <c r="AB4410" s="73"/>
    </row>
    <row r="4411">
      <c r="A4411" s="73"/>
      <c r="B4411" s="73">
        <v>1.481817981E7</v>
      </c>
      <c r="C4411" s="73">
        <v>6.48157195436188E8</v>
      </c>
      <c r="D4411" s="73">
        <v>3.50813425288001E8</v>
      </c>
      <c r="E4411" s="73">
        <v>5.1654631803874E7</v>
      </c>
      <c r="F4411" s="73"/>
      <c r="G4411" s="73"/>
      <c r="H4411" s="73"/>
      <c r="I4411" s="73"/>
      <c r="J4411" s="73"/>
      <c r="K4411" s="73"/>
      <c r="L4411" s="73"/>
      <c r="M4411" s="73"/>
      <c r="N4411" s="73"/>
      <c r="O4411" s="73"/>
      <c r="P4411" s="73"/>
      <c r="Q4411" s="73"/>
      <c r="R4411" s="73"/>
      <c r="S4411" s="73"/>
      <c r="T4411" s="73"/>
      <c r="U4411" s="73"/>
      <c r="V4411" s="73"/>
      <c r="W4411" s="73"/>
      <c r="X4411" s="73"/>
      <c r="Y4411" s="73"/>
      <c r="Z4411" s="73"/>
      <c r="AA4411" s="73"/>
      <c r="AB4411" s="73"/>
    </row>
    <row r="4412">
      <c r="A4412" s="73"/>
      <c r="B4412" s="73">
        <v>1.483636897E7</v>
      </c>
      <c r="C4412" s="73">
        <v>6.48557197985077E8</v>
      </c>
      <c r="D4412" s="73">
        <v>3.51068247635994E8</v>
      </c>
      <c r="E4412" s="73">
        <v>5.16962501033554E7</v>
      </c>
      <c r="F4412" s="73"/>
      <c r="G4412" s="73"/>
      <c r="H4412" s="73"/>
      <c r="I4412" s="73"/>
      <c r="J4412" s="73"/>
      <c r="K4412" s="73"/>
      <c r="L4412" s="73"/>
      <c r="M4412" s="73"/>
      <c r="N4412" s="73"/>
      <c r="O4412" s="73"/>
      <c r="P4412" s="73"/>
      <c r="Q4412" s="73"/>
      <c r="R4412" s="73"/>
      <c r="S4412" s="73"/>
      <c r="T4412" s="73"/>
      <c r="U4412" s="73"/>
      <c r="V4412" s="73"/>
      <c r="W4412" s="73"/>
      <c r="X4412" s="73"/>
      <c r="Y4412" s="73"/>
      <c r="Z4412" s="73"/>
      <c r="AA4412" s="73"/>
      <c r="AB4412" s="73"/>
    </row>
    <row r="4413">
      <c r="A4413" s="73"/>
      <c r="B4413" s="73">
        <v>1.485457617E7</v>
      </c>
      <c r="C4413" s="73">
        <v>6.48957464213959E8</v>
      </c>
      <c r="D4413" s="73">
        <v>3.51323152656002E8</v>
      </c>
      <c r="E4413" s="73">
        <v>5.17378892670276E7</v>
      </c>
      <c r="F4413" s="73"/>
      <c r="G4413" s="73"/>
      <c r="H4413" s="73"/>
      <c r="I4413" s="73"/>
      <c r="J4413" s="73"/>
      <c r="K4413" s="73"/>
      <c r="L4413" s="73"/>
      <c r="M4413" s="73"/>
      <c r="N4413" s="73"/>
      <c r="O4413" s="73"/>
      <c r="P4413" s="73"/>
      <c r="Q4413" s="73"/>
      <c r="R4413" s="73"/>
      <c r="S4413" s="73"/>
      <c r="T4413" s="73"/>
      <c r="U4413" s="73"/>
      <c r="V4413" s="73"/>
      <c r="W4413" s="73"/>
      <c r="X4413" s="73"/>
      <c r="Y4413" s="73"/>
      <c r="Z4413" s="73"/>
      <c r="AA4413" s="73"/>
      <c r="AB4413" s="73"/>
    </row>
    <row r="4414">
      <c r="A4414" s="73"/>
      <c r="B4414" s="73">
        <v>1.48728027E7</v>
      </c>
      <c r="C4414" s="73">
        <v>6.49357796362839E8</v>
      </c>
      <c r="D4414" s="73">
        <v>3.51578222443996E8</v>
      </c>
      <c r="E4414" s="73">
        <v>5.17795518117546E7</v>
      </c>
      <c r="F4414" s="73"/>
      <c r="G4414" s="73"/>
      <c r="H4414" s="73"/>
      <c r="I4414" s="73"/>
      <c r="J4414" s="73"/>
      <c r="K4414" s="73"/>
      <c r="L4414" s="73"/>
      <c r="M4414" s="73"/>
      <c r="N4414" s="73"/>
      <c r="O4414" s="73"/>
      <c r="P4414" s="73"/>
      <c r="Q4414" s="73"/>
      <c r="R4414" s="73"/>
      <c r="S4414" s="73"/>
      <c r="T4414" s="73"/>
      <c r="U4414" s="73"/>
      <c r="V4414" s="73"/>
      <c r="W4414" s="73"/>
      <c r="X4414" s="73"/>
      <c r="Y4414" s="73"/>
      <c r="Z4414" s="73"/>
      <c r="AA4414" s="73"/>
      <c r="AB4414" s="73"/>
    </row>
    <row r="4415">
      <c r="A4415" s="73"/>
      <c r="B4415" s="73">
        <v>1.489104785E7</v>
      </c>
      <c r="C4415" s="73">
        <v>6.49758260351715E8</v>
      </c>
      <c r="D4415" s="73">
        <v>3.51833415863989E8</v>
      </c>
      <c r="E4415" s="73">
        <v>5.18212356446725E7</v>
      </c>
      <c r="F4415" s="73"/>
      <c r="G4415" s="73"/>
      <c r="H4415" s="73"/>
      <c r="I4415" s="73"/>
      <c r="J4415" s="73"/>
      <c r="K4415" s="73"/>
      <c r="L4415" s="73"/>
      <c r="M4415" s="73"/>
      <c r="N4415" s="73"/>
      <c r="O4415" s="73"/>
      <c r="P4415" s="73"/>
      <c r="Q4415" s="73"/>
      <c r="R4415" s="73"/>
      <c r="S4415" s="73"/>
      <c r="T4415" s="73"/>
      <c r="U4415" s="73"/>
      <c r="V4415" s="73"/>
      <c r="W4415" s="73"/>
      <c r="X4415" s="73"/>
      <c r="Y4415" s="73"/>
      <c r="Z4415" s="73"/>
      <c r="AA4415" s="73"/>
      <c r="AB4415" s="73"/>
    </row>
    <row r="4416">
      <c r="A4416" s="73"/>
      <c r="B4416" s="73">
        <v>1.490931162E7</v>
      </c>
      <c r="C4416" s="73">
        <v>6.50158856180588E8</v>
      </c>
      <c r="D4416" s="73">
        <v>3.52088691955998E8</v>
      </c>
      <c r="E4416" s="73">
        <v>5.18629413017171E7</v>
      </c>
      <c r="F4416" s="73"/>
      <c r="G4416" s="73"/>
      <c r="H4416" s="73"/>
      <c r="I4416" s="73"/>
      <c r="J4416" s="73"/>
      <c r="K4416" s="73"/>
      <c r="L4416" s="73"/>
      <c r="M4416" s="73"/>
      <c r="N4416" s="73"/>
      <c r="O4416" s="73"/>
      <c r="P4416" s="73"/>
      <c r="Q4416" s="73"/>
      <c r="R4416" s="73"/>
      <c r="S4416" s="73"/>
      <c r="T4416" s="73"/>
      <c r="U4416" s="73"/>
      <c r="V4416" s="73"/>
      <c r="W4416" s="73"/>
      <c r="X4416" s="73"/>
      <c r="Y4416" s="73"/>
      <c r="Z4416" s="73"/>
      <c r="AA4416" s="73"/>
      <c r="AB4416" s="73"/>
    </row>
    <row r="4417">
      <c r="A4417" s="73"/>
      <c r="B4417" s="73">
        <v>1.492759416E7</v>
      </c>
      <c r="C4417" s="73">
        <v>6.50559715689453E8</v>
      </c>
      <c r="D4417" s="73">
        <v>3.52344091855991E8</v>
      </c>
      <c r="E4417" s="73">
        <v>5.19046688710806E7</v>
      </c>
      <c r="F4417" s="73"/>
      <c r="G4417" s="73"/>
      <c r="H4417" s="73"/>
      <c r="I4417" s="73"/>
      <c r="J4417" s="73"/>
      <c r="K4417" s="73"/>
      <c r="L4417" s="73"/>
      <c r="M4417" s="73"/>
      <c r="N4417" s="73"/>
      <c r="O4417" s="73"/>
      <c r="P4417" s="73"/>
      <c r="Q4417" s="73"/>
      <c r="R4417" s="73"/>
      <c r="S4417" s="73"/>
      <c r="T4417" s="73"/>
      <c r="U4417" s="73"/>
      <c r="V4417" s="73"/>
      <c r="W4417" s="73"/>
      <c r="X4417" s="73"/>
      <c r="Y4417" s="73"/>
      <c r="Z4417" s="73"/>
      <c r="AA4417" s="73"/>
      <c r="AB4417" s="73"/>
    </row>
    <row r="4418">
      <c r="A4418" s="73"/>
      <c r="B4418" s="73">
        <v>1.494589557E7</v>
      </c>
      <c r="C4418" s="73">
        <v>6.50960641118317E8</v>
      </c>
      <c r="D4418" s="73">
        <v>3.52599656811999E8</v>
      </c>
      <c r="E4418" s="73">
        <v>5.19464182645709E7</v>
      </c>
      <c r="F4418" s="73"/>
      <c r="G4418" s="73"/>
      <c r="H4418" s="73"/>
      <c r="I4418" s="73"/>
      <c r="J4418" s="73"/>
      <c r="K4418" s="73"/>
      <c r="L4418" s="73"/>
      <c r="M4418" s="73"/>
      <c r="N4418" s="73"/>
      <c r="O4418" s="73"/>
      <c r="P4418" s="73"/>
      <c r="Q4418" s="73"/>
      <c r="R4418" s="73"/>
      <c r="S4418" s="73"/>
      <c r="T4418" s="73"/>
      <c r="U4418" s="73"/>
      <c r="V4418" s="73"/>
      <c r="W4418" s="73"/>
      <c r="X4418" s="73"/>
      <c r="Y4418" s="73"/>
      <c r="Z4418" s="73"/>
      <c r="AA4418" s="73"/>
      <c r="AB4418" s="73"/>
    </row>
    <row r="4419">
      <c r="A4419" s="73"/>
      <c r="B4419" s="73">
        <v>1.496421575E7</v>
      </c>
      <c r="C4419" s="73">
        <v>6.51361764307175E8</v>
      </c>
      <c r="D4419" s="73">
        <v>3.52855303975993E8</v>
      </c>
      <c r="E4419" s="73">
        <v>5.19881919447799E7</v>
      </c>
      <c r="F4419" s="73"/>
      <c r="G4419" s="73"/>
      <c r="H4419" s="73"/>
      <c r="I4419" s="73"/>
      <c r="J4419" s="73"/>
      <c r="K4419" s="73"/>
      <c r="L4419" s="73"/>
      <c r="M4419" s="73"/>
      <c r="N4419" s="73"/>
      <c r="O4419" s="73"/>
      <c r="P4419" s="73"/>
      <c r="Q4419" s="73"/>
      <c r="R4419" s="73"/>
      <c r="S4419" s="73"/>
      <c r="T4419" s="73"/>
      <c r="U4419" s="73"/>
      <c r="V4419" s="73"/>
      <c r="W4419" s="73"/>
      <c r="X4419" s="73"/>
      <c r="Y4419" s="73"/>
      <c r="Z4419" s="73"/>
      <c r="AA4419" s="73"/>
      <c r="AB4419" s="73"/>
    </row>
    <row r="4420">
      <c r="A4420" s="73"/>
      <c r="B4420" s="73">
        <v>1.498255436E7</v>
      </c>
      <c r="C4420" s="73">
        <v>6.51763019336029E8</v>
      </c>
      <c r="D4420" s="73">
        <v>3.53111074948001E8</v>
      </c>
      <c r="E4420" s="73">
        <v>5.20299854987158E7</v>
      </c>
      <c r="F4420" s="73"/>
      <c r="G4420" s="73"/>
      <c r="H4420" s="73"/>
      <c r="I4420" s="73"/>
      <c r="J4420" s="73"/>
      <c r="K4420" s="73"/>
      <c r="L4420" s="73"/>
      <c r="M4420" s="73"/>
      <c r="N4420" s="73"/>
      <c r="O4420" s="73"/>
      <c r="P4420" s="73"/>
      <c r="Q4420" s="73"/>
      <c r="R4420" s="73"/>
      <c r="S4420" s="73"/>
      <c r="T4420" s="73"/>
      <c r="U4420" s="73"/>
      <c r="V4420" s="73"/>
      <c r="W4420" s="73"/>
      <c r="X4420" s="73"/>
      <c r="Y4420" s="73"/>
      <c r="Z4420" s="73"/>
      <c r="AA4420" s="73"/>
      <c r="AB4420" s="73"/>
    </row>
    <row r="4421">
      <c r="A4421" s="73"/>
      <c r="B4421" s="73">
        <v>1.500091194E7</v>
      </c>
      <c r="C4421" s="73">
        <v>6.52164472124878E8</v>
      </c>
      <c r="D4421" s="73">
        <v>3.53366970015995E8</v>
      </c>
      <c r="E4421" s="73">
        <v>5.20718006800426E7</v>
      </c>
      <c r="F4421" s="73"/>
      <c r="G4421" s="73"/>
      <c r="H4421" s="73"/>
      <c r="I4421" s="73"/>
      <c r="J4421" s="73"/>
      <c r="K4421" s="73"/>
      <c r="L4421" s="73"/>
      <c r="M4421" s="73"/>
      <c r="N4421" s="73"/>
      <c r="O4421" s="73"/>
      <c r="P4421" s="73"/>
      <c r="Q4421" s="73"/>
      <c r="R4421" s="73"/>
      <c r="S4421" s="73"/>
      <c r="T4421" s="73"/>
      <c r="U4421" s="73"/>
      <c r="V4421" s="73"/>
      <c r="W4421" s="73"/>
      <c r="X4421" s="73"/>
      <c r="Y4421" s="73"/>
      <c r="Z4421" s="73"/>
      <c r="AA4421" s="73"/>
      <c r="AB4421" s="73"/>
    </row>
    <row r="4422">
      <c r="A4422" s="73"/>
      <c r="B4422" s="73">
        <v>1.501928821E7</v>
      </c>
      <c r="C4422" s="73">
        <v>6.52565990833725E8</v>
      </c>
      <c r="D4422" s="73">
        <v>3.53622988572003E8</v>
      </c>
      <c r="E4422" s="73">
        <v>5.2113639581624E7</v>
      </c>
      <c r="F4422" s="73"/>
      <c r="G4422" s="73"/>
      <c r="H4422" s="73"/>
      <c r="I4422" s="73"/>
      <c r="J4422" s="73"/>
      <c r="K4422" s="73"/>
      <c r="L4422" s="73"/>
      <c r="M4422" s="73"/>
      <c r="N4422" s="73"/>
      <c r="O4422" s="73"/>
      <c r="P4422" s="73"/>
      <c r="Q4422" s="73"/>
      <c r="R4422" s="73"/>
      <c r="S4422" s="73"/>
      <c r="T4422" s="73"/>
      <c r="U4422" s="73"/>
      <c r="V4422" s="73"/>
      <c r="W4422" s="73"/>
      <c r="X4422" s="73"/>
      <c r="Y4422" s="73"/>
      <c r="Z4422" s="73"/>
      <c r="AA4422" s="73"/>
      <c r="AB4422" s="73"/>
    </row>
    <row r="4423">
      <c r="A4423" s="73"/>
      <c r="B4423" s="73">
        <v>1.503768346E7</v>
      </c>
      <c r="C4423" s="73">
        <v>6.52967773222565E8</v>
      </c>
      <c r="D4423" s="73">
        <v>3.53879131079996E8</v>
      </c>
      <c r="E4423" s="73">
        <v>5.21555007618603E7</v>
      </c>
      <c r="F4423" s="73"/>
      <c r="G4423" s="73"/>
      <c r="H4423" s="73"/>
      <c r="I4423" s="73"/>
      <c r="J4423" s="73"/>
      <c r="K4423" s="73"/>
      <c r="L4423" s="73"/>
      <c r="M4423" s="73"/>
      <c r="N4423" s="73"/>
      <c r="O4423" s="73"/>
      <c r="P4423" s="73"/>
      <c r="Q4423" s="73"/>
      <c r="R4423" s="73"/>
      <c r="S4423" s="73"/>
      <c r="T4423" s="73"/>
      <c r="U4423" s="73"/>
      <c r="V4423" s="73"/>
      <c r="W4423" s="73"/>
      <c r="X4423" s="73"/>
      <c r="Y4423" s="73"/>
      <c r="Z4423" s="73"/>
      <c r="AA4423" s="73"/>
      <c r="AB4423" s="73"/>
    </row>
    <row r="4424">
      <c r="A4424" s="73"/>
      <c r="B4424" s="73">
        <v>1.505609729E7</v>
      </c>
      <c r="C4424" s="73">
        <v>6.53369687451401E8</v>
      </c>
      <c r="D4424" s="73">
        <v>3.5413539689999E8</v>
      </c>
      <c r="E4424" s="73">
        <v>5.21973821550235E7</v>
      </c>
      <c r="F4424" s="73"/>
      <c r="G4424" s="73"/>
      <c r="H4424" s="73"/>
      <c r="I4424" s="73"/>
      <c r="J4424" s="73"/>
      <c r="K4424" s="73"/>
      <c r="L4424" s="73"/>
      <c r="M4424" s="73"/>
      <c r="N4424" s="73"/>
      <c r="O4424" s="73"/>
      <c r="P4424" s="73"/>
      <c r="Q4424" s="73"/>
      <c r="R4424" s="73"/>
      <c r="S4424" s="73"/>
      <c r="T4424" s="73"/>
      <c r="U4424" s="73"/>
      <c r="V4424" s="73"/>
      <c r="W4424" s="73"/>
      <c r="X4424" s="73"/>
      <c r="Y4424" s="73"/>
      <c r="Z4424" s="73"/>
      <c r="AA4424" s="73"/>
      <c r="AB4424" s="73"/>
    </row>
    <row r="4425">
      <c r="A4425" s="73"/>
      <c r="B4425" s="73">
        <v>1.507453035E7</v>
      </c>
      <c r="C4425" s="73">
        <v>6.53771733520233E8</v>
      </c>
      <c r="D4425" s="73">
        <v>3.54391745887998E8</v>
      </c>
      <c r="E4425" s="73">
        <v>5.22392868444414E7</v>
      </c>
      <c r="F4425" s="73"/>
      <c r="G4425" s="73"/>
      <c r="H4425" s="73"/>
      <c r="I4425" s="73"/>
      <c r="J4425" s="73"/>
      <c r="K4425" s="73"/>
      <c r="L4425" s="73"/>
      <c r="M4425" s="73"/>
      <c r="N4425" s="73"/>
      <c r="O4425" s="73"/>
      <c r="P4425" s="73"/>
      <c r="Q4425" s="73"/>
      <c r="R4425" s="73"/>
      <c r="S4425" s="73"/>
      <c r="T4425" s="73"/>
      <c r="U4425" s="73"/>
      <c r="V4425" s="73"/>
      <c r="W4425" s="73"/>
      <c r="X4425" s="73"/>
      <c r="Y4425" s="73"/>
      <c r="Z4425" s="73"/>
      <c r="AA4425" s="73"/>
      <c r="AB4425" s="73"/>
    </row>
    <row r="4426">
      <c r="A4426" s="73"/>
      <c r="B4426" s="73">
        <v>1.509298167E7</v>
      </c>
      <c r="C4426" s="73">
        <v>6.5417397734906E8</v>
      </c>
      <c r="D4426" s="73">
        <v>3.54648259291991E8</v>
      </c>
      <c r="E4426" s="73">
        <v>5.22812123980502E7</v>
      </c>
      <c r="F4426" s="73"/>
      <c r="G4426" s="73"/>
      <c r="H4426" s="73"/>
      <c r="I4426" s="73"/>
      <c r="J4426" s="73"/>
      <c r="K4426" s="73"/>
      <c r="L4426" s="73"/>
      <c r="M4426" s="73"/>
      <c r="N4426" s="73"/>
      <c r="O4426" s="73"/>
      <c r="P4426" s="73"/>
      <c r="Q4426" s="73"/>
      <c r="R4426" s="73"/>
      <c r="S4426" s="73"/>
      <c r="T4426" s="73"/>
      <c r="U4426" s="73"/>
      <c r="V4426" s="73"/>
      <c r="W4426" s="73"/>
      <c r="X4426" s="73"/>
      <c r="Y4426" s="73"/>
      <c r="Z4426" s="73"/>
      <c r="AA4426" s="73"/>
      <c r="AB4426" s="73"/>
    </row>
    <row r="4427">
      <c r="A4427" s="73"/>
      <c r="B4427" s="73">
        <v>1.511145175E7</v>
      </c>
      <c r="C4427" s="73">
        <v>6.54576287097885E8</v>
      </c>
      <c r="D4427" s="73">
        <v>3.54904896504E8</v>
      </c>
      <c r="E4427" s="73">
        <v>5.23231624351136E7</v>
      </c>
      <c r="F4427" s="73"/>
      <c r="G4427" s="73"/>
      <c r="H4427" s="73"/>
      <c r="I4427" s="73"/>
      <c r="J4427" s="73"/>
      <c r="K4427" s="73"/>
      <c r="L4427" s="73"/>
      <c r="M4427" s="73"/>
      <c r="N4427" s="73"/>
      <c r="O4427" s="73"/>
      <c r="P4427" s="73"/>
      <c r="Q4427" s="73"/>
      <c r="R4427" s="73"/>
      <c r="S4427" s="73"/>
      <c r="T4427" s="73"/>
      <c r="U4427" s="73"/>
      <c r="V4427" s="73"/>
      <c r="W4427" s="73"/>
      <c r="X4427" s="73"/>
      <c r="Y4427" s="73"/>
      <c r="Z4427" s="73"/>
      <c r="AA4427" s="73"/>
      <c r="AB4427" s="73"/>
    </row>
    <row r="4428">
      <c r="A4428" s="73"/>
      <c r="B4428" s="73">
        <v>1.512994115E7</v>
      </c>
      <c r="C4428" s="73">
        <v>6.54978860526703E8</v>
      </c>
      <c r="D4428" s="73">
        <v>3.55161616563993E8</v>
      </c>
      <c r="E4428" s="73">
        <v>5.2365132233968E7</v>
      </c>
      <c r="F4428" s="73"/>
      <c r="G4428" s="73"/>
      <c r="H4428" s="73"/>
      <c r="I4428" s="73"/>
      <c r="J4428" s="73"/>
      <c r="K4428" s="73"/>
      <c r="L4428" s="73"/>
      <c r="M4428" s="73"/>
      <c r="N4428" s="73"/>
      <c r="O4428" s="73"/>
      <c r="P4428" s="73"/>
      <c r="Q4428" s="73"/>
      <c r="R4428" s="73"/>
      <c r="S4428" s="73"/>
      <c r="T4428" s="73"/>
      <c r="U4428" s="73"/>
      <c r="V4428" s="73"/>
      <c r="W4428" s="73"/>
      <c r="X4428" s="73"/>
      <c r="Y4428" s="73"/>
      <c r="Z4428" s="73"/>
      <c r="AA4428" s="73"/>
      <c r="AB4428" s="73"/>
    </row>
    <row r="4429">
      <c r="A4429" s="73"/>
      <c r="B4429" s="73">
        <v>1.514844911E7</v>
      </c>
      <c r="C4429" s="73">
        <v>6.55381499875519E8</v>
      </c>
      <c r="D4429" s="73">
        <v>3.55418460400002E8</v>
      </c>
      <c r="E4429" s="73">
        <v>5.24071251866132E7</v>
      </c>
      <c r="F4429" s="73"/>
      <c r="G4429" s="73"/>
      <c r="H4429" s="73"/>
      <c r="I4429" s="73"/>
      <c r="J4429" s="73"/>
      <c r="K4429" s="73"/>
      <c r="L4429" s="73"/>
      <c r="M4429" s="73"/>
      <c r="N4429" s="73"/>
      <c r="O4429" s="73"/>
      <c r="P4429" s="73"/>
      <c r="Q4429" s="73"/>
      <c r="R4429" s="73"/>
      <c r="S4429" s="73"/>
      <c r="T4429" s="73"/>
      <c r="U4429" s="73"/>
      <c r="V4429" s="73"/>
      <c r="W4429" s="73"/>
      <c r="X4429" s="73"/>
      <c r="Y4429" s="73"/>
      <c r="Z4429" s="73"/>
      <c r="AA4429" s="73"/>
      <c r="AB4429" s="73"/>
    </row>
    <row r="4430">
      <c r="A4430" s="73"/>
      <c r="B4430" s="73">
        <v>1.516697596E7</v>
      </c>
      <c r="C4430" s="73">
        <v>6.55784336984329E8</v>
      </c>
      <c r="D4430" s="73">
        <v>3.55675468683995E8</v>
      </c>
      <c r="E4430" s="73">
        <v>5.24491394274492E7</v>
      </c>
      <c r="F4430" s="73"/>
      <c r="G4430" s="73"/>
      <c r="H4430" s="73"/>
      <c r="I4430" s="73"/>
      <c r="J4430" s="73"/>
      <c r="K4430" s="73"/>
      <c r="L4430" s="73"/>
      <c r="M4430" s="73"/>
      <c r="N4430" s="73"/>
      <c r="O4430" s="73"/>
      <c r="P4430" s="73"/>
      <c r="Q4430" s="73"/>
      <c r="R4430" s="73"/>
      <c r="S4430" s="73"/>
      <c r="T4430" s="73"/>
      <c r="U4430" s="73"/>
      <c r="V4430" s="73"/>
      <c r="W4430" s="73"/>
      <c r="X4430" s="73"/>
      <c r="Y4430" s="73"/>
      <c r="Z4430" s="73"/>
      <c r="AA4430" s="73"/>
      <c r="AB4430" s="73"/>
    </row>
    <row r="4431">
      <c r="A4431" s="73"/>
      <c r="B4431" s="73">
        <v>1.518552132E7</v>
      </c>
      <c r="C4431" s="73">
        <v>6.56187371853134E8</v>
      </c>
      <c r="D4431" s="73">
        <v>3.55932559960004E8</v>
      </c>
      <c r="E4431" s="73">
        <v>5.249117679494E7</v>
      </c>
      <c r="F4431" s="73"/>
      <c r="G4431" s="73"/>
      <c r="H4431" s="73"/>
      <c r="I4431" s="73"/>
      <c r="J4431" s="73"/>
      <c r="K4431" s="73"/>
      <c r="L4431" s="73"/>
      <c r="M4431" s="73"/>
      <c r="N4431" s="73"/>
      <c r="O4431" s="73"/>
      <c r="P4431" s="73"/>
      <c r="Q4431" s="73"/>
      <c r="R4431" s="73"/>
      <c r="S4431" s="73"/>
      <c r="T4431" s="73"/>
      <c r="U4431" s="73"/>
      <c r="V4431" s="73"/>
      <c r="W4431" s="73"/>
      <c r="X4431" s="73"/>
      <c r="Y4431" s="73"/>
      <c r="Z4431" s="73"/>
      <c r="AA4431" s="73"/>
      <c r="AB4431" s="73"/>
    </row>
    <row r="4432">
      <c r="A4432" s="73"/>
      <c r="B4432" s="73">
        <v>1.520408587E7</v>
      </c>
      <c r="C4432" s="73">
        <v>6.56590472641937E8</v>
      </c>
      <c r="D4432" s="73">
        <v>3.56189774867997E8</v>
      </c>
      <c r="E4432" s="73">
        <v>5.25332354506216E7</v>
      </c>
      <c r="F4432" s="73"/>
      <c r="G4432" s="73"/>
      <c r="H4432" s="73"/>
      <c r="I4432" s="73"/>
      <c r="J4432" s="73"/>
      <c r="K4432" s="73"/>
      <c r="L4432" s="73"/>
      <c r="M4432" s="73"/>
      <c r="N4432" s="73"/>
      <c r="O4432" s="73"/>
      <c r="P4432" s="73"/>
      <c r="Q4432" s="73"/>
      <c r="R4432" s="73"/>
      <c r="S4432" s="73"/>
      <c r="T4432" s="73"/>
      <c r="U4432" s="73"/>
      <c r="V4432" s="73"/>
      <c r="W4432" s="73"/>
      <c r="X4432" s="73"/>
      <c r="Y4432" s="73"/>
      <c r="Z4432" s="73"/>
      <c r="AA4432" s="73"/>
      <c r="AB4432" s="73"/>
    </row>
    <row r="4433">
      <c r="A4433" s="73"/>
      <c r="B4433" s="73">
        <v>1.522266921E7</v>
      </c>
      <c r="C4433" s="73">
        <v>6.56993771190735E8</v>
      </c>
      <c r="D4433" s="73">
        <v>3.5644711326399E8</v>
      </c>
      <c r="E4433" s="73">
        <v>5.2575315479294E7</v>
      </c>
      <c r="F4433" s="73"/>
      <c r="G4433" s="73"/>
      <c r="H4433" s="73"/>
      <c r="I4433" s="73"/>
      <c r="J4433" s="73"/>
      <c r="K4433" s="73"/>
      <c r="L4433" s="73"/>
      <c r="M4433" s="73"/>
      <c r="N4433" s="73"/>
      <c r="O4433" s="73"/>
      <c r="P4433" s="73"/>
      <c r="Q4433" s="73"/>
      <c r="R4433" s="73"/>
      <c r="S4433" s="73"/>
      <c r="T4433" s="73"/>
      <c r="U4433" s="73"/>
      <c r="V4433" s="73"/>
      <c r="W4433" s="73"/>
      <c r="X4433" s="73"/>
      <c r="Y4433" s="73"/>
      <c r="Z4433" s="73"/>
      <c r="AA4433" s="73"/>
      <c r="AB4433" s="73"/>
    </row>
    <row r="4434">
      <c r="A4434" s="73"/>
      <c r="B4434" s="73">
        <v>1.524127102E7</v>
      </c>
      <c r="C4434" s="73">
        <v>6.57397201579529E8</v>
      </c>
      <c r="D4434" s="73">
        <v>3.56704575611999E8</v>
      </c>
      <c r="E4434" s="73">
        <v>5.26174199914212E7</v>
      </c>
      <c r="F4434" s="73"/>
      <c r="G4434" s="73"/>
      <c r="H4434" s="73"/>
      <c r="I4434" s="73"/>
      <c r="J4434" s="73"/>
      <c r="K4434" s="73"/>
      <c r="L4434" s="73"/>
      <c r="M4434" s="73"/>
      <c r="N4434" s="73"/>
      <c r="O4434" s="73"/>
      <c r="P4434" s="73"/>
      <c r="Q4434" s="73"/>
      <c r="R4434" s="73"/>
      <c r="S4434" s="73"/>
      <c r="T4434" s="73"/>
      <c r="U4434" s="73"/>
      <c r="V4434" s="73"/>
      <c r="W4434" s="73"/>
      <c r="X4434" s="73"/>
      <c r="Y4434" s="73"/>
      <c r="Z4434" s="73"/>
      <c r="AA4434" s="73"/>
      <c r="AB4434" s="73"/>
    </row>
    <row r="4435">
      <c r="A4435" s="73"/>
      <c r="B4435" s="73">
        <v>1.525989236E7</v>
      </c>
      <c r="C4435" s="73">
        <v>6.57800829728317E8</v>
      </c>
      <c r="D4435" s="73">
        <v>3.56962161911992E8</v>
      </c>
      <c r="E4435" s="73">
        <v>5.26595448589392E7</v>
      </c>
      <c r="F4435" s="73"/>
      <c r="G4435" s="73"/>
      <c r="H4435" s="73"/>
      <c r="I4435" s="73"/>
      <c r="J4435" s="73"/>
      <c r="K4435" s="73"/>
      <c r="L4435" s="73"/>
      <c r="M4435" s="73"/>
      <c r="N4435" s="73"/>
      <c r="O4435" s="73"/>
      <c r="P4435" s="73"/>
      <c r="Q4435" s="73"/>
      <c r="R4435" s="73"/>
      <c r="S4435" s="73"/>
      <c r="T4435" s="73"/>
      <c r="U4435" s="73"/>
      <c r="V4435" s="73"/>
      <c r="W4435" s="73"/>
      <c r="X4435" s="73"/>
      <c r="Y4435" s="73"/>
      <c r="Z4435" s="73"/>
      <c r="AA4435" s="73"/>
      <c r="AB4435" s="73"/>
    </row>
    <row r="4436">
      <c r="A4436" s="73"/>
      <c r="B4436" s="73">
        <v>1.527853256E7</v>
      </c>
      <c r="C4436" s="73">
        <v>6.58204589717102E8</v>
      </c>
      <c r="D4436" s="73">
        <v>3.57219871844001E8</v>
      </c>
      <c r="E4436" s="73">
        <v>5.2701692683512E7</v>
      </c>
      <c r="F4436" s="73"/>
      <c r="G4436" s="73"/>
      <c r="H4436" s="73"/>
      <c r="I4436" s="73"/>
      <c r="J4436" s="73"/>
      <c r="K4436" s="73"/>
      <c r="L4436" s="73"/>
      <c r="M4436" s="73"/>
      <c r="N4436" s="73"/>
      <c r="O4436" s="73"/>
      <c r="P4436" s="73"/>
      <c r="Q4436" s="73"/>
      <c r="R4436" s="73"/>
      <c r="S4436" s="73"/>
      <c r="T4436" s="73"/>
      <c r="U4436" s="73"/>
      <c r="V4436" s="73"/>
      <c r="W4436" s="73"/>
      <c r="X4436" s="73"/>
      <c r="Y4436" s="73"/>
      <c r="Z4436" s="73"/>
      <c r="AA4436" s="73"/>
      <c r="AB4436" s="73"/>
    </row>
    <row r="4437">
      <c r="A4437" s="73"/>
      <c r="B4437" s="73">
        <v>1.529719118E7</v>
      </c>
      <c r="C4437" s="73">
        <v>6.58608547465881E8</v>
      </c>
      <c r="D4437" s="73">
        <v>3.57477705263994E8</v>
      </c>
      <c r="E4437" s="73">
        <v>5.27438620778116E7</v>
      </c>
      <c r="F4437" s="73"/>
      <c r="G4437" s="73"/>
      <c r="H4437" s="73"/>
      <c r="I4437" s="73"/>
      <c r="J4437" s="73"/>
      <c r="K4437" s="73"/>
      <c r="L4437" s="73"/>
      <c r="M4437" s="73"/>
      <c r="N4437" s="73"/>
      <c r="O4437" s="73"/>
      <c r="P4437" s="73"/>
      <c r="Q4437" s="73"/>
      <c r="R4437" s="73"/>
      <c r="S4437" s="73"/>
      <c r="T4437" s="73"/>
      <c r="U4437" s="73"/>
      <c r="V4437" s="73"/>
      <c r="W4437" s="73"/>
      <c r="X4437" s="73"/>
      <c r="Y4437" s="73"/>
      <c r="Z4437" s="73"/>
      <c r="AA4437" s="73"/>
      <c r="AB4437" s="73"/>
    </row>
    <row r="4438">
      <c r="A4438" s="73"/>
      <c r="B4438" s="73">
        <v>1.531586893E7</v>
      </c>
      <c r="C4438" s="73">
        <v>6.59012571134659E8</v>
      </c>
      <c r="D4438" s="73">
        <v>3.57735662316002E8</v>
      </c>
      <c r="E4438" s="73">
        <v>5.27860527331661E7</v>
      </c>
      <c r="F4438" s="73"/>
      <c r="G4438" s="73"/>
      <c r="H4438" s="73"/>
      <c r="I4438" s="73"/>
      <c r="J4438" s="73"/>
      <c r="K4438" s="73"/>
      <c r="L4438" s="73"/>
      <c r="M4438" s="73"/>
      <c r="N4438" s="73"/>
      <c r="O4438" s="73"/>
      <c r="P4438" s="73"/>
      <c r="Q4438" s="73"/>
      <c r="R4438" s="73"/>
      <c r="S4438" s="73"/>
      <c r="T4438" s="73"/>
      <c r="U4438" s="73"/>
      <c r="V4438" s="73"/>
      <c r="W4438" s="73"/>
      <c r="X4438" s="73"/>
      <c r="Y4438" s="73"/>
      <c r="Z4438" s="73"/>
      <c r="AA4438" s="73"/>
      <c r="AB4438" s="73"/>
    </row>
    <row r="4439">
      <c r="A4439" s="73"/>
      <c r="B4439" s="73">
        <v>1.533456563E7</v>
      </c>
      <c r="C4439" s="73">
        <v>6.59416924403427E8</v>
      </c>
      <c r="D4439" s="73">
        <v>3.57993702359996E8</v>
      </c>
      <c r="E4439" s="73">
        <v>5.28282681263753E7</v>
      </c>
      <c r="F4439" s="73"/>
      <c r="G4439" s="73"/>
      <c r="H4439" s="73"/>
      <c r="I4439" s="73"/>
      <c r="J4439" s="73"/>
      <c r="K4439" s="73"/>
      <c r="L4439" s="73"/>
      <c r="M4439" s="73"/>
      <c r="N4439" s="73"/>
      <c r="O4439" s="73"/>
      <c r="P4439" s="73"/>
      <c r="Q4439" s="73"/>
      <c r="R4439" s="73"/>
      <c r="S4439" s="73"/>
      <c r="T4439" s="73"/>
      <c r="U4439" s="73"/>
      <c r="V4439" s="73"/>
      <c r="W4439" s="73"/>
      <c r="X4439" s="73"/>
      <c r="Y4439" s="73"/>
      <c r="Z4439" s="73"/>
      <c r="AA4439" s="73"/>
      <c r="AB4439" s="73"/>
    </row>
    <row r="4440">
      <c r="A4440" s="73"/>
      <c r="B4440" s="73">
        <v>1.535328136E7</v>
      </c>
      <c r="C4440" s="73">
        <v>6.59821277672195E8</v>
      </c>
      <c r="D4440" s="73">
        <v>3.58251907315989E8</v>
      </c>
      <c r="E4440" s="73">
        <v>5.28705022909114E7</v>
      </c>
      <c r="F4440" s="73"/>
      <c r="G4440" s="73"/>
      <c r="H4440" s="73"/>
      <c r="I4440" s="73"/>
      <c r="J4440" s="73"/>
      <c r="K4440" s="73"/>
      <c r="L4440" s="73"/>
      <c r="M4440" s="73"/>
      <c r="N4440" s="73"/>
      <c r="O4440" s="73"/>
      <c r="P4440" s="73"/>
      <c r="Q4440" s="73"/>
      <c r="R4440" s="73"/>
      <c r="S4440" s="73"/>
      <c r="T4440" s="73"/>
      <c r="U4440" s="73"/>
      <c r="V4440" s="73"/>
      <c r="W4440" s="73"/>
      <c r="X4440" s="73"/>
      <c r="Y4440" s="73"/>
      <c r="Z4440" s="73"/>
      <c r="AA4440" s="73"/>
      <c r="AB4440" s="73"/>
    </row>
    <row r="4441">
      <c r="A4441" s="73"/>
      <c r="B4441" s="73">
        <v>1.537201577E7</v>
      </c>
      <c r="C4441" s="73">
        <v>6.60225894620956E8</v>
      </c>
      <c r="D4441" s="73">
        <v>3.58510194799998E8</v>
      </c>
      <c r="E4441" s="73">
        <v>5.29127607693022E7</v>
      </c>
      <c r="F4441" s="73"/>
      <c r="G4441" s="73"/>
      <c r="H4441" s="73"/>
      <c r="I4441" s="73"/>
      <c r="J4441" s="73"/>
      <c r="K4441" s="73"/>
      <c r="L4441" s="73"/>
      <c r="M4441" s="73"/>
      <c r="N4441" s="73"/>
      <c r="O4441" s="73"/>
      <c r="P4441" s="73"/>
      <c r="Q4441" s="73"/>
      <c r="R4441" s="73"/>
      <c r="S4441" s="73"/>
      <c r="T4441" s="73"/>
      <c r="U4441" s="73"/>
      <c r="V4441" s="73"/>
      <c r="W4441" s="73"/>
      <c r="X4441" s="73"/>
      <c r="Y4441" s="73"/>
      <c r="Z4441" s="73"/>
      <c r="AA4441" s="73"/>
      <c r="AB4441" s="73"/>
    </row>
    <row r="4442">
      <c r="A4442" s="73"/>
      <c r="B4442" s="73">
        <v>1.53907692E7</v>
      </c>
      <c r="C4442" s="73">
        <v>6.60630577489716E8</v>
      </c>
      <c r="D4442" s="73">
        <v>3.58768646875991E8</v>
      </c>
      <c r="E4442" s="73">
        <v>5.29550410175479E7</v>
      </c>
      <c r="F4442" s="73"/>
      <c r="G4442" s="73"/>
      <c r="H4442" s="73"/>
      <c r="I4442" s="73"/>
      <c r="J4442" s="73"/>
      <c r="K4442" s="73"/>
      <c r="L4442" s="73"/>
      <c r="M4442" s="73"/>
      <c r="N4442" s="73"/>
      <c r="O4442" s="73"/>
      <c r="P4442" s="73"/>
      <c r="Q4442" s="73"/>
      <c r="R4442" s="73"/>
      <c r="S4442" s="73"/>
      <c r="T4442" s="73"/>
      <c r="U4442" s="73"/>
      <c r="V4442" s="73"/>
      <c r="W4442" s="73"/>
      <c r="X4442" s="73"/>
      <c r="Y4442" s="73"/>
      <c r="Z4442" s="73"/>
      <c r="AA4442" s="73"/>
      <c r="AB4442" s="73"/>
    </row>
    <row r="4443">
      <c r="A4443" s="73"/>
      <c r="B4443" s="73">
        <v>1.540954127E7</v>
      </c>
      <c r="C4443" s="73">
        <v>6.61035458118469E8</v>
      </c>
      <c r="D4443" s="73">
        <v>3.59027181943999E8</v>
      </c>
      <c r="E4443" s="73">
        <v>5.29973435139203E7</v>
      </c>
      <c r="F4443" s="73"/>
      <c r="G4443" s="73"/>
      <c r="H4443" s="73"/>
      <c r="I4443" s="73"/>
      <c r="J4443" s="73"/>
      <c r="K4443" s="73"/>
      <c r="L4443" s="73"/>
      <c r="M4443" s="73"/>
      <c r="N4443" s="73"/>
      <c r="O4443" s="73"/>
      <c r="P4443" s="73"/>
      <c r="Q4443" s="73"/>
      <c r="R4443" s="73"/>
      <c r="S4443" s="73"/>
      <c r="T4443" s="73"/>
      <c r="U4443" s="73"/>
      <c r="V4443" s="73"/>
      <c r="W4443" s="73"/>
      <c r="X4443" s="73"/>
      <c r="Y4443" s="73"/>
      <c r="Z4443" s="73"/>
      <c r="AA4443" s="73"/>
      <c r="AB4443" s="73"/>
    </row>
    <row r="4444">
      <c r="A4444" s="73"/>
      <c r="B4444" s="73">
        <v>1.542833253E7</v>
      </c>
      <c r="C4444" s="73">
        <v>6.61440470587219E8</v>
      </c>
      <c r="D4444" s="73">
        <v>3.59285840643993E8</v>
      </c>
      <c r="E4444" s="73">
        <v>5.30396677801476E7</v>
      </c>
      <c r="F4444" s="73"/>
      <c r="G4444" s="73"/>
      <c r="H4444" s="73"/>
      <c r="I4444" s="73"/>
      <c r="J4444" s="73"/>
      <c r="K4444" s="73"/>
      <c r="L4444" s="73"/>
      <c r="M4444" s="73"/>
      <c r="N4444" s="73"/>
      <c r="O4444" s="73"/>
      <c r="P4444" s="73"/>
      <c r="Q4444" s="73"/>
      <c r="R4444" s="73"/>
      <c r="S4444" s="73"/>
      <c r="T4444" s="73"/>
      <c r="U4444" s="73"/>
      <c r="V4444" s="73"/>
      <c r="W4444" s="73"/>
      <c r="X4444" s="73"/>
      <c r="Y4444" s="73"/>
      <c r="Z4444" s="73"/>
      <c r="AA4444" s="73"/>
      <c r="AB4444" s="73"/>
    </row>
    <row r="4445">
      <c r="A4445" s="73"/>
      <c r="B4445" s="73">
        <v>1.544714268E7</v>
      </c>
      <c r="C4445" s="73">
        <v>6.61845614895966E8</v>
      </c>
      <c r="D4445" s="73">
        <v>3.59544663792001E8</v>
      </c>
      <c r="E4445" s="73">
        <v>5.30820145217656E7</v>
      </c>
      <c r="F4445" s="73"/>
      <c r="G4445" s="73"/>
      <c r="H4445" s="73"/>
      <c r="I4445" s="73"/>
      <c r="J4445" s="73"/>
      <c r="K4445" s="73"/>
      <c r="L4445" s="73"/>
      <c r="M4445" s="73"/>
      <c r="N4445" s="73"/>
      <c r="O4445" s="73"/>
      <c r="P4445" s="73"/>
      <c r="Q4445" s="73"/>
      <c r="R4445" s="73"/>
      <c r="S4445" s="73"/>
      <c r="T4445" s="73"/>
      <c r="U4445" s="73"/>
      <c r="V4445" s="73"/>
      <c r="W4445" s="73"/>
      <c r="X4445" s="73"/>
      <c r="Y4445" s="73"/>
      <c r="Z4445" s="73"/>
      <c r="AA4445" s="73"/>
      <c r="AB4445" s="73"/>
    </row>
    <row r="4446">
      <c r="A4446" s="73"/>
      <c r="B4446" s="73">
        <v>1.546597168E7</v>
      </c>
      <c r="C4446" s="73">
        <v>6.62250956964706E8</v>
      </c>
      <c r="D4446" s="73">
        <v>3.59803569931995E8</v>
      </c>
      <c r="E4446" s="73">
        <v>5.31243829484385E7</v>
      </c>
      <c r="F4446" s="73"/>
      <c r="G4446" s="73"/>
      <c r="H4446" s="73"/>
      <c r="I4446" s="73"/>
      <c r="J4446" s="73"/>
      <c r="K4446" s="73"/>
      <c r="L4446" s="73"/>
      <c r="M4446" s="73"/>
      <c r="N4446" s="73"/>
      <c r="O4446" s="73"/>
      <c r="P4446" s="73"/>
      <c r="Q4446" s="73"/>
      <c r="R4446" s="73"/>
      <c r="S4446" s="73"/>
      <c r="T4446" s="73"/>
      <c r="U4446" s="73"/>
      <c r="V4446" s="73"/>
      <c r="W4446" s="73"/>
      <c r="X4446" s="73"/>
      <c r="Y4446" s="73"/>
      <c r="Z4446" s="73"/>
      <c r="AA4446" s="73"/>
      <c r="AB4446" s="73"/>
    </row>
    <row r="4447">
      <c r="A4447" s="73"/>
      <c r="B4447" s="73">
        <v>1.548481989E7</v>
      </c>
      <c r="C4447" s="73">
        <v>6.62656496793442E8</v>
      </c>
      <c r="D4447" s="73">
        <v>3.60062600024003E8</v>
      </c>
      <c r="E4447" s="73">
        <v>5.31667734265022E7</v>
      </c>
      <c r="F4447" s="73"/>
      <c r="G4447" s="73"/>
      <c r="H4447" s="73"/>
      <c r="I4447" s="73"/>
      <c r="J4447" s="73"/>
      <c r="K4447" s="73"/>
      <c r="L4447" s="73"/>
      <c r="M4447" s="73"/>
      <c r="N4447" s="73"/>
      <c r="O4447" s="73"/>
      <c r="P4447" s="73"/>
      <c r="Q4447" s="73"/>
      <c r="R4447" s="73"/>
      <c r="S4447" s="73"/>
      <c r="T4447" s="73"/>
      <c r="U4447" s="73"/>
      <c r="V4447" s="73"/>
      <c r="W4447" s="73"/>
      <c r="X4447" s="73"/>
      <c r="Y4447" s="73"/>
      <c r="Z4447" s="73"/>
      <c r="AA4447" s="73"/>
      <c r="AB4447" s="73"/>
    </row>
    <row r="4448">
      <c r="A4448" s="73"/>
      <c r="B4448" s="73">
        <v>1.550368682E7</v>
      </c>
      <c r="C4448" s="73">
        <v>6.63062102542175E8</v>
      </c>
      <c r="D4448" s="73">
        <v>3.60321753427996E8</v>
      </c>
      <c r="E4448" s="73">
        <v>5.32091862951567E7</v>
      </c>
      <c r="F4448" s="73"/>
      <c r="G4448" s="73"/>
      <c r="H4448" s="73"/>
      <c r="I4448" s="73"/>
      <c r="J4448" s="73"/>
      <c r="K4448" s="73"/>
      <c r="L4448" s="73"/>
      <c r="M4448" s="73"/>
      <c r="N4448" s="73"/>
      <c r="O4448" s="73"/>
      <c r="P4448" s="73"/>
      <c r="Q4448" s="73"/>
      <c r="R4448" s="73"/>
      <c r="S4448" s="73"/>
      <c r="T4448" s="73"/>
      <c r="U4448" s="73"/>
      <c r="V4448" s="73"/>
      <c r="W4448" s="73"/>
      <c r="X4448" s="73"/>
      <c r="Y4448" s="73"/>
      <c r="Z4448" s="73"/>
      <c r="AA4448" s="73"/>
      <c r="AB4448" s="73"/>
    </row>
    <row r="4449">
      <c r="A4449" s="73"/>
      <c r="B4449" s="73">
        <v>1.552257289E7</v>
      </c>
      <c r="C4449" s="73">
        <v>6.63467971970901E8</v>
      </c>
      <c r="D4449" s="73">
        <v>3.6058103063999E8</v>
      </c>
      <c r="E4449" s="73">
        <v>5.32516221208659E7</v>
      </c>
      <c r="F4449" s="73"/>
      <c r="G4449" s="73"/>
      <c r="H4449" s="73"/>
      <c r="I4449" s="73"/>
      <c r="J4449" s="73"/>
      <c r="K4449" s="73"/>
      <c r="L4449" s="73"/>
      <c r="M4449" s="73"/>
      <c r="N4449" s="73"/>
      <c r="O4449" s="73"/>
      <c r="P4449" s="73"/>
      <c r="Q4449" s="73"/>
      <c r="R4449" s="73"/>
      <c r="S4449" s="73"/>
      <c r="T4449" s="73"/>
      <c r="U4449" s="73"/>
      <c r="V4449" s="73"/>
      <c r="W4449" s="73"/>
      <c r="X4449" s="73"/>
      <c r="Y4449" s="73"/>
      <c r="Z4449" s="73"/>
      <c r="AA4449" s="73"/>
      <c r="AB4449" s="73"/>
    </row>
    <row r="4450">
      <c r="A4450" s="73"/>
      <c r="B4450" s="73">
        <v>1.554147773E7</v>
      </c>
      <c r="C4450" s="73">
        <v>6.63873907319626E8</v>
      </c>
      <c r="D4450" s="73">
        <v>3.60840431803998E8</v>
      </c>
      <c r="E4450" s="73">
        <v>5.3294079997966E7</v>
      </c>
      <c r="F4450" s="73"/>
      <c r="G4450" s="73"/>
      <c r="H4450" s="73"/>
      <c r="I4450" s="73"/>
      <c r="J4450" s="73"/>
      <c r="K4450" s="73"/>
      <c r="L4450" s="73"/>
      <c r="M4450" s="73"/>
      <c r="N4450" s="73"/>
      <c r="O4450" s="73"/>
      <c r="P4450" s="73"/>
      <c r="Q4450" s="73"/>
      <c r="R4450" s="73"/>
      <c r="S4450" s="73"/>
      <c r="T4450" s="73"/>
      <c r="U4450" s="73"/>
      <c r="V4450" s="73"/>
      <c r="W4450" s="73"/>
      <c r="X4450" s="73"/>
      <c r="Y4450" s="73"/>
      <c r="Z4450" s="73"/>
      <c r="AA4450" s="73"/>
      <c r="AB4450" s="73"/>
    </row>
    <row r="4451">
      <c r="A4451" s="73"/>
      <c r="B4451" s="73">
        <v>1.556040179E7</v>
      </c>
      <c r="C4451" s="73">
        <v>6.64280040428345E8</v>
      </c>
      <c r="D4451" s="73">
        <v>3.61099956599991E8</v>
      </c>
      <c r="E4451" s="73">
        <v>5.33365593328569E7</v>
      </c>
      <c r="F4451" s="73"/>
      <c r="G4451" s="73"/>
      <c r="H4451" s="73"/>
      <c r="I4451" s="73"/>
      <c r="J4451" s="73"/>
      <c r="K4451" s="73"/>
      <c r="L4451" s="73"/>
      <c r="M4451" s="73"/>
      <c r="N4451" s="73"/>
      <c r="O4451" s="73"/>
      <c r="P4451" s="73"/>
      <c r="Q4451" s="73"/>
      <c r="R4451" s="73"/>
      <c r="S4451" s="73"/>
      <c r="T4451" s="73"/>
      <c r="U4451" s="73"/>
      <c r="V4451" s="73"/>
      <c r="W4451" s="73"/>
      <c r="X4451" s="73"/>
      <c r="Y4451" s="73"/>
      <c r="Z4451" s="73"/>
      <c r="AA4451" s="73"/>
      <c r="AB4451" s="73"/>
    </row>
    <row r="4452">
      <c r="A4452" s="73"/>
      <c r="B4452" s="73">
        <v>1.557934448E7</v>
      </c>
      <c r="C4452" s="73">
        <v>6.64686371297058E8</v>
      </c>
      <c r="D4452" s="73">
        <v>3.61359564068E8</v>
      </c>
      <c r="E4452" s="73">
        <v>5.33790606920026E7</v>
      </c>
      <c r="F4452" s="73"/>
      <c r="G4452" s="73"/>
      <c r="H4452" s="73"/>
      <c r="I4452" s="73"/>
      <c r="J4452" s="73"/>
      <c r="K4452" s="73"/>
      <c r="L4452" s="73"/>
      <c r="M4452" s="73"/>
      <c r="N4452" s="73"/>
      <c r="O4452" s="73"/>
      <c r="P4452" s="73"/>
      <c r="Q4452" s="73"/>
      <c r="R4452" s="73"/>
      <c r="S4452" s="73"/>
      <c r="T4452" s="73"/>
      <c r="U4452" s="73"/>
      <c r="V4452" s="73"/>
      <c r="W4452" s="73"/>
      <c r="X4452" s="73"/>
      <c r="Y4452" s="73"/>
      <c r="Z4452" s="73"/>
      <c r="AA4452" s="73"/>
      <c r="AB4452" s="73"/>
    </row>
    <row r="4453">
      <c r="A4453" s="73"/>
      <c r="B4453" s="73">
        <v>1.559830653E7</v>
      </c>
      <c r="C4453" s="73">
        <v>6.65092834005768E8</v>
      </c>
      <c r="D4453" s="73">
        <v>3.61619336303993E8</v>
      </c>
      <c r="E4453" s="73">
        <v>5.34215829424752E7</v>
      </c>
      <c r="F4453" s="73"/>
      <c r="G4453" s="73"/>
      <c r="H4453" s="73"/>
      <c r="I4453" s="73"/>
      <c r="J4453" s="73"/>
      <c r="K4453" s="73"/>
      <c r="L4453" s="73"/>
      <c r="M4453" s="73"/>
      <c r="N4453" s="73"/>
      <c r="O4453" s="73"/>
      <c r="P4453" s="73"/>
      <c r="Q4453" s="73"/>
      <c r="R4453" s="73"/>
      <c r="S4453" s="73"/>
      <c r="T4453" s="73"/>
      <c r="U4453" s="73"/>
      <c r="V4453" s="73"/>
      <c r="W4453" s="73"/>
      <c r="X4453" s="73"/>
      <c r="Y4453" s="73"/>
      <c r="Z4453" s="73"/>
      <c r="AA4453" s="73"/>
      <c r="AB4453" s="73"/>
    </row>
    <row r="4454">
      <c r="A4454" s="73"/>
      <c r="B4454" s="73">
        <v>1.561728738E7</v>
      </c>
      <c r="C4454" s="73">
        <v>6.65499428554474E8</v>
      </c>
      <c r="D4454" s="73">
        <v>3.61879232492002E8</v>
      </c>
      <c r="E4454" s="73">
        <v>5.34641303276664E7</v>
      </c>
      <c r="F4454" s="73"/>
      <c r="G4454" s="73"/>
      <c r="H4454" s="73"/>
      <c r="I4454" s="73"/>
      <c r="J4454" s="73"/>
      <c r="K4454" s="73"/>
      <c r="L4454" s="73"/>
      <c r="M4454" s="73"/>
      <c r="N4454" s="73"/>
      <c r="O4454" s="73"/>
      <c r="P4454" s="73"/>
      <c r="Q4454" s="73"/>
      <c r="R4454" s="73"/>
      <c r="S4454" s="73"/>
      <c r="T4454" s="73"/>
      <c r="U4454" s="73"/>
      <c r="V4454" s="73"/>
      <c r="W4454" s="73"/>
      <c r="X4454" s="73"/>
      <c r="Y4454" s="73"/>
      <c r="Z4454" s="73"/>
      <c r="AA4454" s="73"/>
      <c r="AB4454" s="73"/>
    </row>
    <row r="4455">
      <c r="A4455" s="73"/>
      <c r="B4455" s="73">
        <v>1.563628713E7</v>
      </c>
      <c r="C4455" s="73">
        <v>6.65906154943176E8</v>
      </c>
      <c r="D4455" s="73">
        <v>3.62139211031995E8</v>
      </c>
      <c r="E4455" s="73">
        <v>5.35066984345845E7</v>
      </c>
      <c r="F4455" s="73"/>
      <c r="G4455" s="73"/>
      <c r="H4455" s="73"/>
      <c r="I4455" s="73"/>
      <c r="J4455" s="73"/>
      <c r="K4455" s="73"/>
      <c r="L4455" s="73"/>
      <c r="M4455" s="73"/>
      <c r="N4455" s="73"/>
      <c r="O4455" s="73"/>
      <c r="P4455" s="73"/>
      <c r="Q4455" s="73"/>
      <c r="R4455" s="73"/>
      <c r="S4455" s="73"/>
      <c r="T4455" s="73"/>
      <c r="U4455" s="73"/>
      <c r="V4455" s="73"/>
      <c r="W4455" s="73"/>
      <c r="X4455" s="73"/>
      <c r="Y4455" s="73"/>
      <c r="Z4455" s="73"/>
      <c r="AA4455" s="73"/>
      <c r="AB4455" s="73"/>
    </row>
    <row r="4456">
      <c r="A4456" s="73"/>
      <c r="B4456" s="73">
        <v>1.565530634E7</v>
      </c>
      <c r="C4456" s="73">
        <v>6.66313013171875E8</v>
      </c>
      <c r="D4456" s="73">
        <v>3.62399354339988E8</v>
      </c>
      <c r="E4456" s="73">
        <v>5.35492878025575E7</v>
      </c>
      <c r="F4456" s="73"/>
      <c r="G4456" s="73"/>
      <c r="H4456" s="73"/>
      <c r="I4456" s="73"/>
      <c r="J4456" s="73"/>
      <c r="K4456" s="73"/>
      <c r="L4456" s="73"/>
      <c r="M4456" s="73"/>
      <c r="N4456" s="73"/>
      <c r="O4456" s="73"/>
      <c r="P4456" s="73"/>
      <c r="Q4456" s="73"/>
      <c r="R4456" s="73"/>
      <c r="S4456" s="73"/>
      <c r="T4456" s="73"/>
      <c r="U4456" s="73"/>
      <c r="V4456" s="73"/>
      <c r="W4456" s="73"/>
      <c r="X4456" s="73"/>
      <c r="Y4456" s="73"/>
      <c r="Z4456" s="73"/>
      <c r="AA4456" s="73"/>
      <c r="AB4456" s="73"/>
    </row>
    <row r="4457">
      <c r="A4457" s="73"/>
      <c r="B4457" s="73">
        <v>1.56743443E7</v>
      </c>
      <c r="C4457" s="73">
        <v>6.66720135080566E8</v>
      </c>
      <c r="D4457" s="73">
        <v>3.62659580783997E8</v>
      </c>
      <c r="E4457" s="73">
        <v>5.35919000699212E7</v>
      </c>
      <c r="F4457" s="73"/>
      <c r="G4457" s="73"/>
      <c r="H4457" s="73"/>
      <c r="I4457" s="73"/>
      <c r="J4457" s="73"/>
      <c r="K4457" s="73"/>
      <c r="L4457" s="73"/>
      <c r="M4457" s="73"/>
      <c r="N4457" s="73"/>
      <c r="O4457" s="73"/>
      <c r="P4457" s="73"/>
      <c r="Q4457" s="73"/>
      <c r="R4457" s="73"/>
      <c r="S4457" s="73"/>
      <c r="T4457" s="73"/>
      <c r="U4457" s="73"/>
      <c r="V4457" s="73"/>
      <c r="W4457" s="73"/>
      <c r="X4457" s="73"/>
      <c r="Y4457" s="73"/>
      <c r="Z4457" s="73"/>
      <c r="AA4457" s="73"/>
      <c r="AB4457" s="73"/>
    </row>
    <row r="4458">
      <c r="A4458" s="73"/>
      <c r="B4458" s="73">
        <v>1.569340104E7</v>
      </c>
      <c r="C4458" s="73">
        <v>6.67127322909256E8</v>
      </c>
      <c r="D4458" s="73">
        <v>3.6291997167599E8</v>
      </c>
      <c r="E4458" s="73">
        <v>5.36345363967396E7</v>
      </c>
      <c r="F4458" s="73"/>
      <c r="G4458" s="73"/>
      <c r="H4458" s="73"/>
      <c r="I4458" s="73"/>
      <c r="J4458" s="73"/>
      <c r="K4458" s="73"/>
      <c r="L4458" s="73"/>
      <c r="M4458" s="73"/>
      <c r="N4458" s="73"/>
      <c r="O4458" s="73"/>
      <c r="P4458" s="73"/>
      <c r="Q4458" s="73"/>
      <c r="R4458" s="73"/>
      <c r="S4458" s="73"/>
      <c r="T4458" s="73"/>
      <c r="U4458" s="73"/>
      <c r="V4458" s="73"/>
      <c r="W4458" s="73"/>
      <c r="X4458" s="73"/>
      <c r="Y4458" s="73"/>
      <c r="Z4458" s="73"/>
      <c r="AA4458" s="73"/>
      <c r="AB4458" s="73"/>
    </row>
    <row r="4459">
      <c r="A4459" s="73"/>
      <c r="B4459" s="73">
        <v>1.571247714E7</v>
      </c>
      <c r="C4459" s="73">
        <v>6.6753470849794E8</v>
      </c>
      <c r="D4459" s="73">
        <v>3.63180445239999E8</v>
      </c>
      <c r="E4459" s="73">
        <v>5.3677192909349E7</v>
      </c>
      <c r="F4459" s="73"/>
      <c r="G4459" s="73"/>
      <c r="H4459" s="73"/>
      <c r="I4459" s="73"/>
      <c r="J4459" s="73"/>
      <c r="K4459" s="73"/>
      <c r="L4459" s="73"/>
      <c r="M4459" s="73"/>
      <c r="N4459" s="73"/>
      <c r="O4459" s="73"/>
      <c r="P4459" s="73"/>
      <c r="Q4459" s="73"/>
      <c r="R4459" s="73"/>
      <c r="S4459" s="73"/>
      <c r="T4459" s="73"/>
      <c r="U4459" s="73"/>
      <c r="V4459" s="73"/>
      <c r="W4459" s="73"/>
      <c r="X4459" s="73"/>
      <c r="Y4459" s="73"/>
      <c r="Z4459" s="73"/>
      <c r="AA4459" s="73"/>
      <c r="AB4459" s="73"/>
    </row>
    <row r="4460">
      <c r="A4460" s="73"/>
      <c r="B4460" s="73">
        <v>1.573157249E7</v>
      </c>
      <c r="C4460" s="73">
        <v>6.67942291846619E8</v>
      </c>
      <c r="D4460" s="73">
        <v>3.63441042611992E8</v>
      </c>
      <c r="E4460" s="73">
        <v>5.3719872830149E7</v>
      </c>
      <c r="F4460" s="73"/>
      <c r="G4460" s="73"/>
      <c r="H4460" s="73"/>
      <c r="I4460" s="73"/>
      <c r="J4460" s="73"/>
      <c r="K4460" s="73"/>
      <c r="L4460" s="73"/>
      <c r="M4460" s="73"/>
      <c r="N4460" s="73"/>
      <c r="O4460" s="73"/>
      <c r="P4460" s="73"/>
      <c r="Q4460" s="73"/>
      <c r="R4460" s="73"/>
      <c r="S4460" s="73"/>
      <c r="T4460" s="73"/>
      <c r="U4460" s="73"/>
      <c r="V4460" s="73"/>
      <c r="W4460" s="73"/>
      <c r="X4460" s="73"/>
      <c r="Y4460" s="73"/>
      <c r="Z4460" s="73"/>
      <c r="AA4460" s="73"/>
      <c r="AB4460" s="73"/>
    </row>
    <row r="4461">
      <c r="A4461" s="73"/>
      <c r="B4461" s="73">
        <v>1.575068638E7</v>
      </c>
      <c r="C4461" s="73">
        <v>6.68349941115295E8</v>
      </c>
      <c r="D4461" s="73">
        <v>3.63701804720001E8</v>
      </c>
      <c r="E4461" s="73">
        <v>5.37625721735401E7</v>
      </c>
      <c r="F4461" s="73"/>
      <c r="G4461" s="73"/>
      <c r="H4461" s="73"/>
      <c r="I4461" s="73"/>
      <c r="J4461" s="73"/>
      <c r="K4461" s="73"/>
      <c r="L4461" s="73"/>
      <c r="M4461" s="73"/>
      <c r="N4461" s="73"/>
      <c r="O4461" s="73"/>
      <c r="P4461" s="73"/>
      <c r="Q4461" s="73"/>
      <c r="R4461" s="73"/>
      <c r="S4461" s="73"/>
      <c r="T4461" s="73"/>
      <c r="U4461" s="73"/>
      <c r="V4461" s="73"/>
      <c r="W4461" s="73"/>
      <c r="X4461" s="73"/>
      <c r="Y4461" s="73"/>
      <c r="Z4461" s="73"/>
      <c r="AA4461" s="73"/>
      <c r="AB4461" s="73"/>
    </row>
    <row r="4462">
      <c r="A4462" s="73"/>
      <c r="B4462" s="73">
        <v>1.576981952E7</v>
      </c>
      <c r="C4462" s="73">
        <v>6.68757788143967E8</v>
      </c>
      <c r="D4462" s="73">
        <v>3.63962649355994E8</v>
      </c>
      <c r="E4462" s="73">
        <v>5.38052967635857E7</v>
      </c>
      <c r="F4462" s="73"/>
      <c r="G4462" s="73"/>
      <c r="H4462" s="73"/>
      <c r="I4462" s="73"/>
      <c r="J4462" s="73"/>
      <c r="K4462" s="73"/>
      <c r="L4462" s="73"/>
      <c r="M4462" s="73"/>
      <c r="N4462" s="73"/>
      <c r="O4462" s="73"/>
      <c r="P4462" s="73"/>
      <c r="Q4462" s="73"/>
      <c r="R4462" s="73"/>
      <c r="S4462" s="73"/>
      <c r="T4462" s="73"/>
      <c r="U4462" s="73"/>
      <c r="V4462" s="73"/>
      <c r="W4462" s="73"/>
      <c r="X4462" s="73"/>
      <c r="Y4462" s="73"/>
      <c r="Z4462" s="73"/>
      <c r="AA4462" s="73"/>
      <c r="AB4462" s="73"/>
    </row>
    <row r="4463">
      <c r="A4463" s="73"/>
      <c r="B4463" s="73">
        <v>1.5788972E7</v>
      </c>
      <c r="C4463" s="73">
        <v>6.69165832932632E8</v>
      </c>
      <c r="D4463" s="73">
        <v>3.64223617944002E8</v>
      </c>
      <c r="E4463" s="73">
        <v>5.38480434626862E7</v>
      </c>
      <c r="F4463" s="73"/>
      <c r="G4463" s="73"/>
      <c r="H4463" s="73"/>
      <c r="I4463" s="73"/>
      <c r="J4463" s="73"/>
      <c r="K4463" s="73"/>
      <c r="L4463" s="73"/>
      <c r="M4463" s="73"/>
      <c r="N4463" s="73"/>
      <c r="O4463" s="73"/>
      <c r="P4463" s="73"/>
      <c r="Q4463" s="73"/>
      <c r="R4463" s="73"/>
      <c r="S4463" s="73"/>
      <c r="T4463" s="73"/>
      <c r="U4463" s="73"/>
      <c r="V4463" s="73"/>
      <c r="W4463" s="73"/>
      <c r="X4463" s="73"/>
      <c r="Y4463" s="73"/>
      <c r="Z4463" s="73"/>
      <c r="AA4463" s="73"/>
      <c r="AB4463" s="73"/>
    </row>
    <row r="4464">
      <c r="A4464" s="73"/>
      <c r="B4464" s="73">
        <v>1.580814323E7</v>
      </c>
      <c r="C4464" s="73">
        <v>6.69574009561295E8</v>
      </c>
      <c r="D4464" s="73">
        <v>3.64484710339996E8</v>
      </c>
      <c r="E4464" s="73">
        <v>5.38908104595136E7</v>
      </c>
      <c r="F4464" s="73"/>
      <c r="G4464" s="73"/>
      <c r="H4464" s="73"/>
      <c r="I4464" s="73"/>
      <c r="J4464" s="73"/>
      <c r="K4464" s="73"/>
      <c r="L4464" s="73"/>
      <c r="M4464" s="73"/>
      <c r="N4464" s="73"/>
      <c r="O4464" s="73"/>
      <c r="P4464" s="73"/>
      <c r="Q4464" s="73"/>
      <c r="R4464" s="73"/>
      <c r="S4464" s="73"/>
      <c r="T4464" s="73"/>
      <c r="U4464" s="73"/>
      <c r="V4464" s="73"/>
      <c r="W4464" s="73"/>
      <c r="X4464" s="73"/>
      <c r="Y4464" s="73"/>
      <c r="Z4464" s="73"/>
      <c r="AA4464" s="73"/>
      <c r="AB4464" s="73"/>
    </row>
    <row r="4465">
      <c r="A4465" s="73"/>
      <c r="B4465" s="73">
        <v>1.582733351E7</v>
      </c>
      <c r="C4465" s="73">
        <v>6.69982383949951E8</v>
      </c>
      <c r="D4465" s="73">
        <v>3.64745926367989E8</v>
      </c>
      <c r="E4465" s="73">
        <v>5.39336000741957E7</v>
      </c>
      <c r="F4465" s="73"/>
      <c r="G4465" s="73"/>
      <c r="H4465" s="73"/>
      <c r="I4465" s="73"/>
      <c r="J4465" s="73"/>
      <c r="K4465" s="73"/>
      <c r="L4465" s="73"/>
      <c r="M4465" s="73"/>
      <c r="N4465" s="73"/>
      <c r="O4465" s="73"/>
      <c r="P4465" s="73"/>
      <c r="Q4465" s="73"/>
      <c r="R4465" s="73"/>
      <c r="S4465" s="73"/>
      <c r="T4465" s="73"/>
      <c r="U4465" s="73"/>
      <c r="V4465" s="73"/>
      <c r="W4465" s="73"/>
      <c r="X4465" s="73"/>
      <c r="Y4465" s="73"/>
      <c r="Z4465" s="73"/>
      <c r="AA4465" s="73"/>
      <c r="AB4465" s="73"/>
    </row>
    <row r="4466">
      <c r="A4466" s="73"/>
      <c r="B4466" s="73">
        <v>1.584654308E7</v>
      </c>
      <c r="C4466" s="73">
        <v>6.70390824258606E8</v>
      </c>
      <c r="D4466" s="73">
        <v>3.65007266171998E8</v>
      </c>
      <c r="E4466" s="73">
        <v>5.39764129274686E7</v>
      </c>
      <c r="F4466" s="73"/>
      <c r="G4466" s="73"/>
      <c r="H4466" s="73"/>
      <c r="I4466" s="73"/>
      <c r="J4466" s="73"/>
      <c r="K4466" s="73"/>
      <c r="L4466" s="73"/>
      <c r="M4466" s="73"/>
      <c r="N4466" s="73"/>
      <c r="O4466" s="73"/>
      <c r="P4466" s="73"/>
      <c r="Q4466" s="73"/>
      <c r="R4466" s="73"/>
      <c r="S4466" s="73"/>
      <c r="T4466" s="73"/>
      <c r="U4466" s="73"/>
      <c r="V4466" s="73"/>
      <c r="W4466" s="73"/>
      <c r="X4466" s="73"/>
      <c r="Y4466" s="73"/>
      <c r="Z4466" s="73"/>
      <c r="AA4466" s="73"/>
      <c r="AB4466" s="73"/>
    </row>
    <row r="4467">
      <c r="A4467" s="73"/>
      <c r="B4467" s="73">
        <v>1.586577197E7</v>
      </c>
      <c r="C4467" s="73">
        <v>6.70799528247253E8</v>
      </c>
      <c r="D4467" s="73">
        <v>3.65268729639991E8</v>
      </c>
      <c r="E4467" s="73">
        <v>5.40192485681963E7</v>
      </c>
      <c r="F4467" s="73"/>
      <c r="G4467" s="73"/>
      <c r="H4467" s="73"/>
      <c r="I4467" s="73"/>
      <c r="J4467" s="73"/>
      <c r="K4467" s="73"/>
      <c r="L4467" s="73"/>
      <c r="M4467" s="73"/>
      <c r="N4467" s="73"/>
      <c r="O4467" s="73"/>
      <c r="P4467" s="73"/>
      <c r="Q4467" s="73"/>
      <c r="R4467" s="73"/>
      <c r="S4467" s="73"/>
      <c r="T4467" s="73"/>
      <c r="U4467" s="73"/>
      <c r="V4467" s="73"/>
      <c r="W4467" s="73"/>
      <c r="X4467" s="73"/>
      <c r="Y4467" s="73"/>
      <c r="Z4467" s="73"/>
      <c r="AA4467" s="73"/>
      <c r="AB4467" s="73"/>
    </row>
    <row r="4468">
      <c r="A4468" s="73"/>
      <c r="B4468" s="73">
        <v>1.588501946E7</v>
      </c>
      <c r="C4468" s="73">
        <v>6.71208298155899E8</v>
      </c>
      <c r="D4468" s="73">
        <v>3.65530316883999E8</v>
      </c>
      <c r="E4468" s="73">
        <v>5.40621043947148E7</v>
      </c>
      <c r="F4468" s="73"/>
      <c r="G4468" s="73"/>
      <c r="H4468" s="73"/>
      <c r="I4468" s="73"/>
      <c r="J4468" s="73"/>
      <c r="K4468" s="73"/>
      <c r="L4468" s="73"/>
      <c r="M4468" s="73"/>
      <c r="N4468" s="73"/>
      <c r="O4468" s="73"/>
      <c r="P4468" s="73"/>
      <c r="Q4468" s="73"/>
      <c r="R4468" s="73"/>
      <c r="S4468" s="73"/>
      <c r="T4468" s="73"/>
      <c r="U4468" s="73"/>
      <c r="V4468" s="73"/>
      <c r="W4468" s="73"/>
      <c r="X4468" s="73"/>
      <c r="Y4468" s="73"/>
      <c r="Z4468" s="73"/>
      <c r="AA4468" s="73"/>
      <c r="AB4468" s="73"/>
    </row>
    <row r="4469">
      <c r="A4469" s="73"/>
      <c r="B4469" s="73">
        <v>1.590428627E7</v>
      </c>
      <c r="C4469" s="73">
        <v>6.71617265824539E8</v>
      </c>
      <c r="D4469" s="73">
        <v>3.65791986655993E8</v>
      </c>
      <c r="E4469" s="73">
        <v>5.41049834598242E7</v>
      </c>
      <c r="F4469" s="73"/>
      <c r="G4469" s="73"/>
      <c r="H4469" s="73"/>
      <c r="I4469" s="73"/>
      <c r="J4469" s="73"/>
      <c r="K4469" s="73"/>
      <c r="L4469" s="73"/>
      <c r="M4469" s="73"/>
      <c r="N4469" s="73"/>
      <c r="O4469" s="73"/>
      <c r="P4469" s="73"/>
      <c r="Q4469" s="73"/>
      <c r="R4469" s="73"/>
      <c r="S4469" s="73"/>
      <c r="T4469" s="73"/>
      <c r="U4469" s="73"/>
      <c r="V4469" s="73"/>
      <c r="W4469" s="73"/>
      <c r="X4469" s="73"/>
      <c r="Y4469" s="73"/>
      <c r="Z4469" s="73"/>
      <c r="AA4469" s="73"/>
      <c r="AB4469" s="73"/>
    </row>
    <row r="4470">
      <c r="A4470" s="73"/>
      <c r="B4470" s="73">
        <v>1.59235723E7</v>
      </c>
      <c r="C4470" s="73">
        <v>6.72026365333176E8</v>
      </c>
      <c r="D4470" s="73">
        <v>3.66053821340001E8</v>
      </c>
      <c r="E4470" s="73">
        <v>5.41478840675243E7</v>
      </c>
      <c r="F4470" s="73"/>
      <c r="G4470" s="73"/>
      <c r="H4470" s="73"/>
      <c r="I4470" s="73"/>
      <c r="J4470" s="73"/>
      <c r="K4470" s="73"/>
      <c r="L4470" s="73"/>
      <c r="M4470" s="73"/>
      <c r="N4470" s="73"/>
      <c r="O4470" s="73"/>
      <c r="P4470" s="73"/>
      <c r="Q4470" s="73"/>
      <c r="R4470" s="73"/>
      <c r="S4470" s="73"/>
      <c r="T4470" s="73"/>
      <c r="U4470" s="73"/>
      <c r="V4470" s="73"/>
      <c r="W4470" s="73"/>
      <c r="X4470" s="73"/>
      <c r="Y4470" s="73"/>
      <c r="Z4470" s="73"/>
      <c r="AA4470" s="73"/>
      <c r="AB4470" s="73"/>
    </row>
    <row r="4471">
      <c r="A4471" s="73"/>
      <c r="B4471" s="73">
        <v>1.59428772E7</v>
      </c>
      <c r="C4471" s="73">
        <v>6.72435596681808E8</v>
      </c>
      <c r="D4471" s="73">
        <v>3.66315779655995E8</v>
      </c>
      <c r="E4471" s="73">
        <v>5.41908079714792E7</v>
      </c>
      <c r="F4471" s="73"/>
      <c r="G4471" s="73"/>
      <c r="H4471" s="73"/>
      <c r="I4471" s="73"/>
      <c r="J4471" s="73"/>
      <c r="K4471" s="73"/>
      <c r="L4471" s="73"/>
      <c r="M4471" s="73"/>
      <c r="N4471" s="73"/>
      <c r="O4471" s="73"/>
      <c r="P4471" s="73"/>
      <c r="Q4471" s="73"/>
      <c r="R4471" s="73"/>
      <c r="S4471" s="73"/>
      <c r="T4471" s="73"/>
      <c r="U4471" s="73"/>
      <c r="V4471" s="73"/>
      <c r="W4471" s="73"/>
      <c r="X4471" s="73"/>
      <c r="Y4471" s="73"/>
      <c r="Z4471" s="73"/>
      <c r="AA4471" s="73"/>
      <c r="AB4471" s="73"/>
    </row>
    <row r="4472">
      <c r="A4472" s="73"/>
      <c r="B4472" s="73">
        <v>1.596220155E7</v>
      </c>
      <c r="C4472" s="73">
        <v>6.72845025790436E8</v>
      </c>
      <c r="D4472" s="73">
        <v>3.66577820964003E8</v>
      </c>
      <c r="E4472" s="73">
        <v>5.42337556804888E7</v>
      </c>
      <c r="F4472" s="73"/>
      <c r="G4472" s="73"/>
      <c r="H4472" s="73"/>
      <c r="I4472" s="73"/>
      <c r="J4472" s="73"/>
      <c r="K4472" s="73"/>
      <c r="L4472" s="73"/>
      <c r="M4472" s="73"/>
      <c r="N4472" s="73"/>
      <c r="O4472" s="73"/>
      <c r="P4472" s="73"/>
      <c r="Q4472" s="73"/>
      <c r="R4472" s="73"/>
      <c r="S4472" s="73"/>
      <c r="T4472" s="73"/>
      <c r="U4472" s="73"/>
      <c r="V4472" s="73"/>
      <c r="W4472" s="73"/>
      <c r="X4472" s="73"/>
      <c r="Y4472" s="73"/>
      <c r="Z4472" s="73"/>
      <c r="AA4472" s="73"/>
      <c r="AB4472" s="73"/>
    </row>
    <row r="4473">
      <c r="A4473" s="73"/>
      <c r="B4473" s="73">
        <v>1.598154465E7</v>
      </c>
      <c r="C4473" s="73">
        <v>6.73254652659058E8</v>
      </c>
      <c r="D4473" s="73">
        <v>3.66840026719996E8</v>
      </c>
      <c r="E4473" s="73">
        <v>5.42767225000254E7</v>
      </c>
      <c r="F4473" s="73"/>
      <c r="G4473" s="73"/>
      <c r="H4473" s="73"/>
      <c r="I4473" s="73"/>
      <c r="J4473" s="73"/>
      <c r="K4473" s="73"/>
      <c r="L4473" s="73"/>
      <c r="M4473" s="73"/>
      <c r="N4473" s="73"/>
      <c r="O4473" s="73"/>
      <c r="P4473" s="73"/>
      <c r="Q4473" s="73"/>
      <c r="R4473" s="73"/>
      <c r="S4473" s="73"/>
      <c r="T4473" s="73"/>
      <c r="U4473" s="73"/>
      <c r="V4473" s="73"/>
      <c r="W4473" s="73"/>
      <c r="X4473" s="73"/>
      <c r="Y4473" s="73"/>
      <c r="Z4473" s="73"/>
      <c r="AA4473" s="73"/>
      <c r="AB4473" s="73"/>
    </row>
    <row r="4474">
      <c r="A4474" s="73"/>
      <c r="B4474" s="73">
        <v>1.600090722E7</v>
      </c>
      <c r="C4474" s="73">
        <v>6.73664345447678E8</v>
      </c>
      <c r="D4474" s="73">
        <v>3.6710231546799E8</v>
      </c>
      <c r="E4474" s="73">
        <v>5.43197126158167E7</v>
      </c>
      <c r="F4474" s="73"/>
      <c r="G4474" s="73"/>
      <c r="H4474" s="73"/>
      <c r="I4474" s="73"/>
      <c r="J4474" s="73"/>
      <c r="K4474" s="73"/>
      <c r="L4474" s="73"/>
      <c r="M4474" s="73"/>
      <c r="N4474" s="73"/>
      <c r="O4474" s="73"/>
      <c r="P4474" s="73"/>
      <c r="Q4474" s="73"/>
      <c r="R4474" s="73"/>
      <c r="S4474" s="73"/>
      <c r="T4474" s="73"/>
      <c r="U4474" s="73"/>
      <c r="V4474" s="73"/>
      <c r="W4474" s="73"/>
      <c r="X4474" s="73"/>
      <c r="Y4474" s="73"/>
      <c r="Z4474" s="73"/>
      <c r="AA4474" s="73"/>
      <c r="AB4474" s="73"/>
    </row>
    <row r="4475">
      <c r="A4475" s="73"/>
      <c r="B4475" s="73">
        <v>1.602028903E7</v>
      </c>
      <c r="C4475" s="73">
        <v>6.7407430191629E8</v>
      </c>
      <c r="D4475" s="73">
        <v>3.67364768807998E8</v>
      </c>
      <c r="E4475" s="73">
        <v>5.43627247829989E7</v>
      </c>
      <c r="F4475" s="73"/>
      <c r="G4475" s="73"/>
      <c r="H4475" s="73"/>
      <c r="I4475" s="73"/>
      <c r="J4475" s="73"/>
      <c r="K4475" s="73"/>
      <c r="L4475" s="73"/>
      <c r="M4475" s="73"/>
      <c r="N4475" s="73"/>
      <c r="O4475" s="73"/>
      <c r="P4475" s="73"/>
      <c r="Q4475" s="73"/>
      <c r="R4475" s="73"/>
      <c r="S4475" s="73"/>
      <c r="T4475" s="73"/>
      <c r="U4475" s="73"/>
      <c r="V4475" s="73"/>
      <c r="W4475" s="73"/>
      <c r="X4475" s="73"/>
      <c r="Y4475" s="73"/>
      <c r="Z4475" s="73"/>
      <c r="AA4475" s="73"/>
      <c r="AB4475" s="73"/>
    </row>
    <row r="4476">
      <c r="A4476" s="73"/>
      <c r="B4476" s="73">
        <v>1.60396896E7</v>
      </c>
      <c r="C4476" s="73">
        <v>6.74484324304901E8</v>
      </c>
      <c r="D4476" s="73">
        <v>3.67627304819991E8</v>
      </c>
      <c r="E4476" s="73">
        <v>5.44057591440358E7</v>
      </c>
      <c r="F4476" s="73"/>
      <c r="G4476" s="73"/>
      <c r="H4476" s="73"/>
      <c r="I4476" s="73"/>
      <c r="J4476" s="73"/>
      <c r="K4476" s="73"/>
      <c r="L4476" s="73"/>
      <c r="M4476" s="73"/>
      <c r="N4476" s="73"/>
      <c r="O4476" s="73"/>
      <c r="P4476" s="73"/>
      <c r="Q4476" s="73"/>
      <c r="R4476" s="73"/>
      <c r="S4476" s="73"/>
      <c r="T4476" s="73"/>
      <c r="U4476" s="73"/>
      <c r="V4476" s="73"/>
      <c r="W4476" s="73"/>
      <c r="X4476" s="73"/>
      <c r="Y4476" s="73"/>
      <c r="Z4476" s="73"/>
      <c r="AA4476" s="73"/>
      <c r="AB4476" s="73"/>
    </row>
    <row r="4477">
      <c r="A4477" s="73"/>
      <c r="B4477" s="73">
        <v>1.605910963E7</v>
      </c>
      <c r="C4477" s="73">
        <v>6.74894610373505E8</v>
      </c>
      <c r="D4477" s="73">
        <v>3.678900056E8</v>
      </c>
      <c r="E4477" s="73">
        <v>5.44488171676635E7</v>
      </c>
      <c r="F4477" s="73"/>
      <c r="G4477" s="73"/>
      <c r="H4477" s="73"/>
      <c r="I4477" s="73"/>
      <c r="J4477" s="73"/>
      <c r="K4477" s="73"/>
      <c r="L4477" s="73"/>
      <c r="M4477" s="73"/>
      <c r="N4477" s="73"/>
      <c r="O4477" s="73"/>
      <c r="P4477" s="73"/>
      <c r="Q4477" s="73"/>
      <c r="R4477" s="73"/>
      <c r="S4477" s="73"/>
      <c r="T4477" s="73"/>
      <c r="U4477" s="73"/>
      <c r="V4477" s="73"/>
      <c r="W4477" s="73"/>
      <c r="X4477" s="73"/>
      <c r="Y4477" s="73"/>
      <c r="Z4477" s="73"/>
      <c r="AA4477" s="73"/>
      <c r="AB4477" s="73"/>
    </row>
    <row r="4478">
      <c r="A4478" s="73"/>
      <c r="B4478" s="73">
        <v>1.607854867E7</v>
      </c>
      <c r="C4478" s="73">
        <v>6.75304962362106E8</v>
      </c>
      <c r="D4478" s="73">
        <v>3.68152789051993E8</v>
      </c>
      <c r="E4478" s="73">
        <v>5.4491896225082E7</v>
      </c>
      <c r="F4478" s="73"/>
      <c r="G4478" s="73"/>
      <c r="H4478" s="73"/>
      <c r="I4478" s="73"/>
      <c r="J4478" s="73"/>
      <c r="K4478" s="73"/>
      <c r="L4478" s="73"/>
      <c r="M4478" s="73"/>
      <c r="N4478" s="73"/>
      <c r="O4478" s="73"/>
      <c r="P4478" s="73"/>
      <c r="Q4478" s="73"/>
      <c r="R4478" s="73"/>
      <c r="S4478" s="73"/>
      <c r="T4478" s="73"/>
      <c r="U4478" s="73"/>
      <c r="V4478" s="73"/>
      <c r="W4478" s="73"/>
      <c r="X4478" s="73"/>
      <c r="Y4478" s="73"/>
      <c r="Z4478" s="73"/>
      <c r="AA4478" s="73"/>
      <c r="AB4478" s="73"/>
    </row>
    <row r="4479">
      <c r="A4479" s="73"/>
      <c r="B4479" s="73">
        <v>1.609800676E7</v>
      </c>
      <c r="C4479" s="73">
        <v>6.75715512110703E8</v>
      </c>
      <c r="D4479" s="73">
        <v>3.68415696456002E8</v>
      </c>
      <c r="E4479" s="73">
        <v>5.45349979851553E7</v>
      </c>
      <c r="F4479" s="73"/>
      <c r="G4479" s="73"/>
      <c r="H4479" s="73"/>
      <c r="I4479" s="73"/>
      <c r="J4479" s="73"/>
      <c r="K4479" s="73"/>
      <c r="L4479" s="73"/>
      <c r="M4479" s="73"/>
      <c r="N4479" s="73"/>
      <c r="O4479" s="73"/>
      <c r="P4479" s="73"/>
      <c r="Q4479" s="73"/>
      <c r="R4479" s="73"/>
      <c r="S4479" s="73"/>
      <c r="T4479" s="73"/>
      <c r="U4479" s="73"/>
      <c r="V4479" s="73"/>
      <c r="W4479" s="73"/>
      <c r="X4479" s="73"/>
      <c r="Y4479" s="73"/>
      <c r="Z4479" s="73"/>
      <c r="AA4479" s="73"/>
      <c r="AB4479" s="73"/>
    </row>
    <row r="4480">
      <c r="A4480" s="73"/>
      <c r="B4480" s="73">
        <v>1.611748427E7</v>
      </c>
      <c r="C4480" s="73">
        <v>6.76126193699295E8</v>
      </c>
      <c r="D4480" s="73">
        <v>3.68678768451995E8</v>
      </c>
      <c r="E4480" s="73">
        <v>5.45781228990193E7</v>
      </c>
      <c r="F4480" s="73"/>
      <c r="G4480" s="73"/>
      <c r="H4480" s="73"/>
      <c r="I4480" s="73"/>
      <c r="J4480" s="73"/>
      <c r="K4480" s="73"/>
      <c r="L4480" s="73"/>
      <c r="M4480" s="73"/>
      <c r="N4480" s="73"/>
      <c r="O4480" s="73"/>
      <c r="P4480" s="73"/>
      <c r="Q4480" s="73"/>
      <c r="R4480" s="73"/>
      <c r="S4480" s="73"/>
      <c r="T4480" s="73"/>
      <c r="U4480" s="73"/>
      <c r="V4480" s="73"/>
      <c r="W4480" s="73"/>
      <c r="X4480" s="73"/>
      <c r="Y4480" s="73"/>
      <c r="Z4480" s="73"/>
      <c r="AA4480" s="73"/>
      <c r="AB4480" s="73"/>
    </row>
    <row r="4481">
      <c r="A4481" s="73"/>
      <c r="B4481" s="73">
        <v>1.61369808E7</v>
      </c>
      <c r="C4481" s="73">
        <v>6.76537007127884E8</v>
      </c>
      <c r="D4481" s="73">
        <v>3.68941923295988E8</v>
      </c>
      <c r="E4481" s="73">
        <v>5.46212674898743E7</v>
      </c>
      <c r="F4481" s="73"/>
      <c r="G4481" s="73"/>
      <c r="H4481" s="73"/>
      <c r="I4481" s="73"/>
      <c r="J4481" s="73"/>
      <c r="K4481" s="73"/>
      <c r="L4481" s="73"/>
      <c r="M4481" s="73"/>
      <c r="N4481" s="73"/>
      <c r="O4481" s="73"/>
      <c r="P4481" s="73"/>
      <c r="Q4481" s="73"/>
      <c r="R4481" s="73"/>
      <c r="S4481" s="73"/>
      <c r="T4481" s="73"/>
      <c r="U4481" s="73"/>
      <c r="V4481" s="73"/>
      <c r="W4481" s="73"/>
      <c r="X4481" s="73"/>
      <c r="Y4481" s="73"/>
      <c r="Z4481" s="73"/>
      <c r="AA4481" s="73"/>
      <c r="AB4481" s="73"/>
    </row>
    <row r="4482">
      <c r="A4482" s="73"/>
      <c r="B4482" s="73">
        <v>1.615649685E7</v>
      </c>
      <c r="C4482" s="73">
        <v>6.76948018316467E8</v>
      </c>
      <c r="D4482" s="73">
        <v>3.69205201595997E8</v>
      </c>
      <c r="E4482" s="73">
        <v>5.4664436224984E7</v>
      </c>
      <c r="F4482" s="73"/>
      <c r="G4482" s="73"/>
      <c r="H4482" s="73"/>
      <c r="I4482" s="73"/>
      <c r="J4482" s="73"/>
      <c r="K4482" s="73"/>
      <c r="L4482" s="73"/>
      <c r="M4482" s="73"/>
      <c r="N4482" s="73"/>
      <c r="O4482" s="73"/>
      <c r="P4482" s="73"/>
      <c r="Q4482" s="73"/>
      <c r="R4482" s="73"/>
      <c r="S4482" s="73"/>
      <c r="T4482" s="73"/>
      <c r="U4482" s="73"/>
      <c r="V4482" s="73"/>
      <c r="W4482" s="73"/>
      <c r="X4482" s="73"/>
      <c r="Y4482" s="73"/>
      <c r="Z4482" s="73"/>
      <c r="AA4482" s="73"/>
      <c r="AB4482" s="73"/>
    </row>
    <row r="4483">
      <c r="A4483" s="73"/>
      <c r="B4483" s="73">
        <v>1.617603172E7</v>
      </c>
      <c r="C4483" s="73">
        <v>6.77359161345047E8</v>
      </c>
      <c r="D4483" s="73">
        <v>3.6946860387999E8</v>
      </c>
      <c r="E4483" s="73">
        <v>5.47076280290845E7</v>
      </c>
      <c r="F4483" s="73"/>
      <c r="G4483" s="73"/>
      <c r="H4483" s="73"/>
      <c r="I4483" s="73"/>
      <c r="J4483" s="73"/>
      <c r="K4483" s="73"/>
      <c r="L4483" s="73"/>
      <c r="M4483" s="73"/>
      <c r="N4483" s="73"/>
      <c r="O4483" s="73"/>
      <c r="P4483" s="73"/>
      <c r="Q4483" s="73"/>
      <c r="R4483" s="73"/>
      <c r="S4483" s="73"/>
      <c r="T4483" s="73"/>
      <c r="U4483" s="73"/>
      <c r="V4483" s="73"/>
      <c r="W4483" s="73"/>
      <c r="X4483" s="73"/>
      <c r="Y4483" s="73"/>
      <c r="Z4483" s="73"/>
      <c r="AA4483" s="73"/>
      <c r="AB4483" s="73"/>
    </row>
    <row r="4484">
      <c r="A4484" s="73"/>
      <c r="B4484" s="73">
        <v>1.619558614E7</v>
      </c>
      <c r="C4484" s="73">
        <v>6.77770502133621E8</v>
      </c>
      <c r="D4484" s="73">
        <v>3.69732129939999E8</v>
      </c>
      <c r="E4484" s="73">
        <v>5.47508400189758E7</v>
      </c>
      <c r="F4484" s="73"/>
      <c r="G4484" s="73"/>
      <c r="H4484" s="73"/>
      <c r="I4484" s="73"/>
      <c r="J4484" s="73"/>
      <c r="K4484" s="73"/>
      <c r="L4484" s="73"/>
      <c r="M4484" s="73"/>
      <c r="N4484" s="73"/>
      <c r="O4484" s="73"/>
      <c r="P4484" s="73"/>
      <c r="Q4484" s="73"/>
      <c r="R4484" s="73"/>
      <c r="S4484" s="73"/>
      <c r="T4484" s="73"/>
      <c r="U4484" s="73"/>
      <c r="V4484" s="73"/>
      <c r="W4484" s="73"/>
      <c r="X4484" s="73"/>
      <c r="Y4484" s="73"/>
      <c r="Z4484" s="73"/>
      <c r="AA4484" s="73"/>
      <c r="AB4484" s="73"/>
    </row>
    <row r="4485">
      <c r="A4485" s="73"/>
      <c r="B4485" s="73">
        <v>1.621515943E7</v>
      </c>
      <c r="C4485" s="73">
        <v>6.78181974762192E8</v>
      </c>
      <c r="D4485" s="73">
        <v>3.69995779487992E8</v>
      </c>
      <c r="E4485" s="73">
        <v>5.47940760683219E7</v>
      </c>
      <c r="F4485" s="73"/>
      <c r="G4485" s="73"/>
      <c r="H4485" s="73"/>
      <c r="I4485" s="73"/>
      <c r="J4485" s="73"/>
      <c r="K4485" s="73"/>
      <c r="L4485" s="73"/>
      <c r="M4485" s="73"/>
      <c r="N4485" s="73"/>
      <c r="O4485" s="73"/>
      <c r="P4485" s="73"/>
      <c r="Q4485" s="73"/>
      <c r="R4485" s="73"/>
      <c r="S4485" s="73"/>
      <c r="T4485" s="73"/>
      <c r="U4485" s="73"/>
      <c r="V4485" s="73"/>
      <c r="W4485" s="73"/>
      <c r="X4485" s="73"/>
      <c r="Y4485" s="73"/>
      <c r="Z4485" s="73"/>
      <c r="AA4485" s="73"/>
      <c r="AB4485" s="73"/>
    </row>
    <row r="4486">
      <c r="A4486" s="73"/>
      <c r="B4486" s="73">
        <v>1.623475203E7</v>
      </c>
      <c r="C4486" s="73">
        <v>6.78593645150757E8</v>
      </c>
      <c r="D4486" s="73">
        <v>3.70259552812001E8</v>
      </c>
      <c r="E4486" s="73">
        <v>5.48373345930587E7</v>
      </c>
      <c r="F4486" s="73"/>
      <c r="G4486" s="73"/>
      <c r="H4486" s="73"/>
      <c r="I4486" s="73"/>
      <c r="J4486" s="73"/>
      <c r="K4486" s="73"/>
      <c r="L4486" s="73"/>
      <c r="M4486" s="73"/>
      <c r="N4486" s="73"/>
      <c r="O4486" s="73"/>
      <c r="P4486" s="73"/>
      <c r="Q4486" s="73"/>
      <c r="R4486" s="73"/>
      <c r="S4486" s="73"/>
      <c r="T4486" s="73"/>
      <c r="U4486" s="73"/>
      <c r="V4486" s="73"/>
      <c r="W4486" s="73"/>
      <c r="X4486" s="73"/>
      <c r="Y4486" s="73"/>
      <c r="Z4486" s="73"/>
      <c r="AA4486" s="73"/>
      <c r="AB4486" s="73"/>
    </row>
    <row r="4487">
      <c r="A4487" s="73"/>
      <c r="B4487" s="73">
        <v>1.625436404E7</v>
      </c>
      <c r="C4487" s="73">
        <v>6.79005447379318E8</v>
      </c>
      <c r="D4487" s="73">
        <v>3.70523449943994E8</v>
      </c>
      <c r="E4487" s="73">
        <v>5.48806135579864E7</v>
      </c>
      <c r="F4487" s="73"/>
      <c r="G4487" s="73"/>
      <c r="H4487" s="73"/>
      <c r="I4487" s="73"/>
      <c r="J4487" s="73"/>
      <c r="K4487" s="73"/>
      <c r="L4487" s="73"/>
      <c r="M4487" s="73"/>
      <c r="N4487" s="73"/>
      <c r="O4487" s="73"/>
      <c r="P4487" s="73"/>
      <c r="Q4487" s="73"/>
      <c r="R4487" s="73"/>
      <c r="S4487" s="73"/>
      <c r="T4487" s="73"/>
      <c r="U4487" s="73"/>
      <c r="V4487" s="73"/>
      <c r="W4487" s="73"/>
      <c r="X4487" s="73"/>
      <c r="Y4487" s="73"/>
      <c r="Z4487" s="73"/>
      <c r="AA4487" s="73"/>
      <c r="AB4487" s="73"/>
    </row>
    <row r="4488">
      <c r="A4488" s="73"/>
      <c r="B4488" s="73">
        <v>1.627399519E7</v>
      </c>
      <c r="C4488" s="73">
        <v>6.79417381447876E8</v>
      </c>
      <c r="D4488" s="73">
        <v>3.70787470884002E8</v>
      </c>
      <c r="E4488" s="73">
        <v>5.49239155647689E7</v>
      </c>
      <c r="F4488" s="73"/>
      <c r="G4488" s="73"/>
      <c r="H4488" s="73"/>
      <c r="I4488" s="73"/>
      <c r="J4488" s="73"/>
      <c r="K4488" s="73"/>
      <c r="L4488" s="73"/>
      <c r="M4488" s="73"/>
      <c r="N4488" s="73"/>
      <c r="O4488" s="73"/>
      <c r="P4488" s="73"/>
      <c r="Q4488" s="73"/>
      <c r="R4488" s="73"/>
      <c r="S4488" s="73"/>
      <c r="T4488" s="73"/>
      <c r="U4488" s="73"/>
      <c r="V4488" s="73"/>
      <c r="W4488" s="73"/>
      <c r="X4488" s="73"/>
      <c r="Y4488" s="73"/>
      <c r="Z4488" s="73"/>
      <c r="AA4488" s="73"/>
      <c r="AB4488" s="73"/>
    </row>
    <row r="4489">
      <c r="A4489" s="73"/>
      <c r="B4489" s="73">
        <v>1.629364541E7</v>
      </c>
      <c r="C4489" s="73">
        <v>6.79829513276428E8</v>
      </c>
      <c r="D4489" s="73">
        <v>3.71051615279996E8</v>
      </c>
      <c r="E4489" s="73">
        <v>5.49672398773422E7</v>
      </c>
      <c r="F4489" s="73"/>
      <c r="G4489" s="73"/>
      <c r="H4489" s="73"/>
      <c r="I4489" s="73"/>
      <c r="J4489" s="73"/>
      <c r="K4489" s="73"/>
      <c r="L4489" s="73"/>
      <c r="M4489" s="73"/>
      <c r="N4489" s="73"/>
      <c r="O4489" s="73"/>
      <c r="P4489" s="73"/>
      <c r="Q4489" s="73"/>
      <c r="R4489" s="73"/>
      <c r="S4489" s="73"/>
      <c r="T4489" s="73"/>
      <c r="U4489" s="73"/>
      <c r="V4489" s="73"/>
      <c r="W4489" s="73"/>
      <c r="X4489" s="73"/>
      <c r="Y4489" s="73"/>
      <c r="Z4489" s="73"/>
      <c r="AA4489" s="73"/>
      <c r="AB4489" s="73"/>
    </row>
    <row r="4490">
      <c r="A4490" s="73"/>
      <c r="B4490" s="73">
        <v>1.631331527E7</v>
      </c>
      <c r="C4490" s="73">
        <v>6.80241776944977E8</v>
      </c>
      <c r="D4490" s="73">
        <v>3.71315883803989E8</v>
      </c>
      <c r="E4490" s="73">
        <v>5.50105861565063E7</v>
      </c>
      <c r="F4490" s="73"/>
      <c r="G4490" s="73"/>
      <c r="H4490" s="73"/>
      <c r="I4490" s="73"/>
      <c r="J4490" s="73"/>
      <c r="K4490" s="73"/>
      <c r="L4490" s="73"/>
      <c r="M4490" s="73"/>
      <c r="N4490" s="73"/>
      <c r="O4490" s="73"/>
      <c r="P4490" s="73"/>
      <c r="Q4490" s="73"/>
      <c r="R4490" s="73"/>
      <c r="S4490" s="73"/>
      <c r="T4490" s="73"/>
      <c r="U4490" s="73"/>
      <c r="V4490" s="73"/>
      <c r="W4490" s="73"/>
      <c r="X4490" s="73"/>
      <c r="Y4490" s="73"/>
      <c r="Z4490" s="73"/>
      <c r="AA4490" s="73"/>
      <c r="AB4490" s="73"/>
    </row>
    <row r="4491">
      <c r="A4491" s="73"/>
      <c r="B4491" s="73">
        <v>1.633300424E7</v>
      </c>
      <c r="C4491" s="73">
        <v>6.8065423837352E8</v>
      </c>
      <c r="D4491" s="73">
        <v>3.71580234679998E8</v>
      </c>
      <c r="E4491" s="73">
        <v>5.50539558167252E7</v>
      </c>
      <c r="F4491" s="73"/>
      <c r="G4491" s="73"/>
      <c r="H4491" s="73"/>
      <c r="I4491" s="73"/>
      <c r="J4491" s="73"/>
      <c r="K4491" s="73"/>
      <c r="L4491" s="73"/>
      <c r="M4491" s="73"/>
      <c r="N4491" s="73"/>
      <c r="O4491" s="73"/>
      <c r="P4491" s="73"/>
      <c r="Q4491" s="73"/>
      <c r="R4491" s="73"/>
      <c r="S4491" s="73"/>
      <c r="T4491" s="73"/>
      <c r="U4491" s="73"/>
      <c r="V4491" s="73"/>
      <c r="W4491" s="73"/>
      <c r="X4491" s="73"/>
      <c r="Y4491" s="73"/>
      <c r="Z4491" s="73"/>
      <c r="AA4491" s="73"/>
      <c r="AB4491" s="73"/>
    </row>
    <row r="4492">
      <c r="A4492" s="73"/>
      <c r="B4492" s="73">
        <v>1.635271258E7</v>
      </c>
      <c r="C4492" s="73">
        <v>6.81066831642059E8</v>
      </c>
      <c r="D4492" s="73">
        <v>3.71844750467991E8</v>
      </c>
      <c r="E4492" s="73">
        <v>5.50973463411349E7</v>
      </c>
      <c r="F4492" s="73"/>
      <c r="G4492" s="73"/>
      <c r="H4492" s="73"/>
      <c r="I4492" s="73"/>
      <c r="J4492" s="73"/>
      <c r="K4492" s="73"/>
      <c r="L4492" s="73"/>
      <c r="M4492" s="73"/>
      <c r="N4492" s="73"/>
      <c r="O4492" s="73"/>
      <c r="P4492" s="73"/>
      <c r="Q4492" s="73"/>
      <c r="R4492" s="73"/>
      <c r="S4492" s="73"/>
      <c r="T4492" s="73"/>
      <c r="U4492" s="73"/>
      <c r="V4492" s="73"/>
      <c r="W4492" s="73"/>
      <c r="X4492" s="73"/>
      <c r="Y4492" s="73"/>
      <c r="Z4492" s="73"/>
      <c r="AA4492" s="73"/>
      <c r="AB4492" s="73"/>
    </row>
    <row r="4493">
      <c r="A4493" s="73"/>
      <c r="B4493" s="73">
        <v>1.637243947E7</v>
      </c>
      <c r="C4493" s="73">
        <v>6.81479556750595E8</v>
      </c>
      <c r="D4493" s="73">
        <v>3.72109390063999E8</v>
      </c>
      <c r="E4493" s="73">
        <v>5.51407600193353E7</v>
      </c>
      <c r="F4493" s="73"/>
      <c r="G4493" s="73"/>
      <c r="H4493" s="73"/>
      <c r="I4493" s="73"/>
      <c r="J4493" s="73"/>
      <c r="K4493" s="73"/>
      <c r="L4493" s="73"/>
      <c r="M4493" s="73"/>
      <c r="N4493" s="73"/>
      <c r="O4493" s="73"/>
      <c r="P4493" s="73"/>
      <c r="Q4493" s="73"/>
      <c r="R4493" s="73"/>
      <c r="S4493" s="73"/>
      <c r="T4493" s="73"/>
      <c r="U4493" s="73"/>
      <c r="V4493" s="73"/>
      <c r="W4493" s="73"/>
      <c r="X4493" s="73"/>
      <c r="Y4493" s="73"/>
      <c r="Z4493" s="73"/>
      <c r="AA4493" s="73"/>
      <c r="AB4493" s="73"/>
    </row>
    <row r="4494">
      <c r="A4494" s="73"/>
      <c r="B4494" s="73">
        <v>1.639218619E7</v>
      </c>
      <c r="C4494" s="73">
        <v>6.81892479619125E8</v>
      </c>
      <c r="D4494" s="73">
        <v>3.72374153291993E8</v>
      </c>
      <c r="E4494" s="73">
        <v>5.51841958913906E7</v>
      </c>
      <c r="F4494" s="73"/>
      <c r="G4494" s="73"/>
      <c r="H4494" s="73"/>
      <c r="I4494" s="73"/>
      <c r="J4494" s="73"/>
      <c r="K4494" s="73"/>
      <c r="L4494" s="73"/>
      <c r="M4494" s="73"/>
      <c r="N4494" s="73"/>
      <c r="O4494" s="73"/>
      <c r="P4494" s="73"/>
      <c r="Q4494" s="73"/>
      <c r="R4494" s="73"/>
      <c r="S4494" s="73"/>
      <c r="T4494" s="73"/>
      <c r="U4494" s="73"/>
      <c r="V4494" s="73"/>
      <c r="W4494" s="73"/>
      <c r="X4494" s="73"/>
      <c r="Y4494" s="73"/>
      <c r="Z4494" s="73"/>
      <c r="AA4494" s="73"/>
      <c r="AB4494" s="73"/>
    </row>
    <row r="4495">
      <c r="A4495" s="73"/>
      <c r="B4495" s="73">
        <v>1.641195254E7</v>
      </c>
      <c r="C4495" s="73">
        <v>6.82305534327652E8</v>
      </c>
      <c r="D4495" s="73">
        <v>3.72638999192001E8</v>
      </c>
      <c r="E4495" s="73">
        <v>5.52276550020366E7</v>
      </c>
      <c r="F4495" s="73"/>
      <c r="G4495" s="73"/>
      <c r="H4495" s="73"/>
      <c r="I4495" s="73"/>
      <c r="J4495" s="73"/>
      <c r="K4495" s="73"/>
      <c r="L4495" s="73"/>
      <c r="M4495" s="73"/>
      <c r="N4495" s="73"/>
      <c r="O4495" s="73"/>
      <c r="P4495" s="73"/>
      <c r="Q4495" s="73"/>
      <c r="R4495" s="73"/>
      <c r="S4495" s="73"/>
      <c r="T4495" s="73"/>
      <c r="U4495" s="73"/>
      <c r="V4495" s="73"/>
      <c r="W4495" s="73"/>
      <c r="X4495" s="73"/>
      <c r="Y4495" s="73"/>
      <c r="Z4495" s="73"/>
      <c r="AA4495" s="73"/>
      <c r="AB4495" s="73"/>
    </row>
    <row r="4496">
      <c r="A4496" s="73"/>
      <c r="B4496" s="73">
        <v>1.64317374E7</v>
      </c>
      <c r="C4496" s="73">
        <v>6.82718720876175E8</v>
      </c>
      <c r="D4496" s="73">
        <v>3.72904010003995E8</v>
      </c>
      <c r="E4496" s="73">
        <v>5.52711362217374E7</v>
      </c>
      <c r="F4496" s="73"/>
      <c r="G4496" s="73"/>
      <c r="H4496" s="73"/>
      <c r="I4496" s="73"/>
      <c r="J4496" s="73"/>
      <c r="K4496" s="73"/>
      <c r="L4496" s="73"/>
      <c r="M4496" s="73"/>
      <c r="N4496" s="73"/>
      <c r="O4496" s="73"/>
      <c r="P4496" s="73"/>
      <c r="Q4496" s="73"/>
      <c r="R4496" s="73"/>
      <c r="S4496" s="73"/>
      <c r="T4496" s="73"/>
      <c r="U4496" s="73"/>
      <c r="V4496" s="73"/>
      <c r="W4496" s="73"/>
      <c r="X4496" s="73"/>
      <c r="Y4496" s="73"/>
      <c r="Z4496" s="73"/>
      <c r="AA4496" s="73"/>
      <c r="AB4496" s="73"/>
    </row>
    <row r="4497">
      <c r="A4497" s="73"/>
      <c r="B4497" s="73">
        <v>1.645154238E7</v>
      </c>
      <c r="C4497" s="73">
        <v>6.83132105184692E8</v>
      </c>
      <c r="D4497" s="73">
        <v>3.73169103488003E8</v>
      </c>
      <c r="E4497" s="73">
        <v>5.5314639068829E7</v>
      </c>
      <c r="F4497" s="73"/>
      <c r="G4497" s="73"/>
      <c r="H4497" s="73"/>
      <c r="I4497" s="73"/>
      <c r="J4497" s="73"/>
      <c r="K4497" s="73"/>
      <c r="L4497" s="73"/>
      <c r="M4497" s="73"/>
      <c r="N4497" s="73"/>
      <c r="O4497" s="73"/>
      <c r="P4497" s="73"/>
      <c r="Q4497" s="73"/>
      <c r="R4497" s="73"/>
      <c r="S4497" s="73"/>
      <c r="T4497" s="73"/>
      <c r="U4497" s="73"/>
      <c r="V4497" s="73"/>
      <c r="W4497" s="73"/>
      <c r="X4497" s="73"/>
      <c r="Y4497" s="73"/>
      <c r="Z4497" s="73"/>
      <c r="AA4497" s="73"/>
      <c r="AB4497" s="73"/>
    </row>
    <row r="4498">
      <c r="A4498" s="73"/>
      <c r="B4498" s="73">
        <v>1.647136566E7</v>
      </c>
      <c r="C4498" s="73">
        <v>6.83545621333206E8</v>
      </c>
      <c r="D4498" s="73">
        <v>3.73434361595996E8</v>
      </c>
      <c r="E4498" s="73">
        <v>5.53581643065115E7</v>
      </c>
      <c r="F4498" s="73"/>
      <c r="G4498" s="73"/>
      <c r="H4498" s="73"/>
      <c r="I4498" s="73"/>
      <c r="J4498" s="73"/>
      <c r="K4498" s="73"/>
      <c r="L4498" s="73"/>
      <c r="M4498" s="73"/>
      <c r="N4498" s="73"/>
      <c r="O4498" s="73"/>
      <c r="P4498" s="73"/>
      <c r="Q4498" s="73"/>
      <c r="R4498" s="73"/>
      <c r="S4498" s="73"/>
      <c r="T4498" s="73"/>
      <c r="U4498" s="73"/>
      <c r="V4498" s="73"/>
      <c r="W4498" s="73"/>
      <c r="X4498" s="73"/>
      <c r="Y4498" s="73"/>
      <c r="Z4498" s="73"/>
      <c r="AA4498" s="73"/>
      <c r="AB4498" s="73"/>
    </row>
    <row r="4499">
      <c r="A4499" s="73"/>
      <c r="B4499" s="73">
        <v>1.649120912E7</v>
      </c>
      <c r="C4499" s="73">
        <v>6.83959335241714E8</v>
      </c>
      <c r="D4499" s="73">
        <v>3.7369970266399E8</v>
      </c>
      <c r="E4499" s="73">
        <v>5.54017104931848E7</v>
      </c>
      <c r="F4499" s="73"/>
      <c r="G4499" s="73"/>
      <c r="H4499" s="73"/>
      <c r="I4499" s="73"/>
      <c r="J4499" s="73"/>
      <c r="K4499" s="73"/>
      <c r="L4499" s="73"/>
      <c r="M4499" s="73"/>
      <c r="N4499" s="73"/>
      <c r="O4499" s="73"/>
      <c r="P4499" s="73"/>
      <c r="Q4499" s="73"/>
      <c r="R4499" s="73"/>
      <c r="S4499" s="73"/>
      <c r="T4499" s="73"/>
      <c r="U4499" s="73"/>
      <c r="V4499" s="73"/>
      <c r="W4499" s="73"/>
      <c r="X4499" s="73"/>
      <c r="Y4499" s="73"/>
      <c r="Z4499" s="73"/>
      <c r="AA4499" s="73"/>
      <c r="AB4499" s="73"/>
    </row>
    <row r="4500">
      <c r="A4500" s="73"/>
      <c r="B4500" s="73">
        <v>1.651107164E7</v>
      </c>
      <c r="C4500" s="73">
        <v>6.84373180990219E8</v>
      </c>
      <c r="D4500" s="73">
        <v>3.73965208179998E8</v>
      </c>
      <c r="E4500" s="73">
        <v>5.54452815873128E7</v>
      </c>
      <c r="F4500" s="73"/>
      <c r="G4500" s="73"/>
      <c r="H4500" s="73"/>
      <c r="I4500" s="73"/>
      <c r="J4500" s="73"/>
      <c r="K4500" s="73"/>
      <c r="L4500" s="73"/>
      <c r="M4500" s="73"/>
      <c r="N4500" s="73"/>
      <c r="O4500" s="73"/>
      <c r="P4500" s="73"/>
      <c r="Q4500" s="73"/>
      <c r="R4500" s="73"/>
      <c r="S4500" s="73"/>
      <c r="T4500" s="73"/>
      <c r="U4500" s="73"/>
      <c r="V4500" s="73"/>
      <c r="W4500" s="73"/>
      <c r="X4500" s="73"/>
      <c r="Y4500" s="73"/>
      <c r="Z4500" s="73"/>
      <c r="AA4500" s="73"/>
      <c r="AB4500" s="73"/>
    </row>
    <row r="4501">
      <c r="A4501" s="73"/>
      <c r="B4501" s="73">
        <v>1.653095356E7</v>
      </c>
      <c r="C4501" s="73">
        <v>6.8478715857872E8</v>
      </c>
      <c r="D4501" s="73">
        <v>3.74230796543991E8</v>
      </c>
      <c r="E4501" s="73">
        <v>5.54888744512956E7</v>
      </c>
      <c r="F4501" s="73"/>
      <c r="G4501" s="73"/>
      <c r="H4501" s="73"/>
      <c r="I4501" s="73"/>
      <c r="J4501" s="73"/>
      <c r="K4501" s="73"/>
      <c r="L4501" s="73"/>
      <c r="M4501" s="73"/>
      <c r="N4501" s="73"/>
      <c r="O4501" s="73"/>
      <c r="P4501" s="73"/>
      <c r="Q4501" s="73"/>
      <c r="R4501" s="73"/>
      <c r="S4501" s="73"/>
      <c r="T4501" s="73"/>
      <c r="U4501" s="73"/>
      <c r="V4501" s="73"/>
      <c r="W4501" s="73"/>
      <c r="X4501" s="73"/>
      <c r="Y4501" s="73"/>
      <c r="Z4501" s="73"/>
      <c r="AA4501" s="73"/>
      <c r="AB4501" s="73"/>
    </row>
    <row r="4502">
      <c r="A4502" s="73"/>
      <c r="B4502" s="73">
        <v>1.65508552E7</v>
      </c>
      <c r="C4502" s="73">
        <v>6.85201333927216E8</v>
      </c>
      <c r="D4502" s="73">
        <v>3.74496549964E8</v>
      </c>
      <c r="E4502" s="73">
        <v>5.55324899026051E7</v>
      </c>
      <c r="F4502" s="73"/>
      <c r="G4502" s="73"/>
      <c r="H4502" s="73"/>
      <c r="I4502" s="73"/>
      <c r="J4502" s="73"/>
      <c r="K4502" s="73"/>
      <c r="L4502" s="73"/>
      <c r="M4502" s="73"/>
      <c r="N4502" s="73"/>
      <c r="O4502" s="73"/>
      <c r="P4502" s="73"/>
      <c r="Q4502" s="73"/>
      <c r="R4502" s="73"/>
      <c r="S4502" s="73"/>
      <c r="T4502" s="73"/>
      <c r="U4502" s="73"/>
      <c r="V4502" s="73"/>
      <c r="W4502" s="73"/>
      <c r="X4502" s="73"/>
      <c r="Y4502" s="73"/>
      <c r="Z4502" s="73"/>
      <c r="AA4502" s="73"/>
      <c r="AB4502" s="73"/>
    </row>
    <row r="4503">
      <c r="A4503" s="73"/>
      <c r="B4503" s="73">
        <v>1.657077528E7</v>
      </c>
      <c r="C4503" s="73">
        <v>6.85615772955704E8</v>
      </c>
      <c r="D4503" s="73">
        <v>3.74762385591993E8</v>
      </c>
      <c r="E4503" s="73">
        <v>5.55761255973696E7</v>
      </c>
      <c r="F4503" s="73"/>
      <c r="G4503" s="73"/>
      <c r="H4503" s="73"/>
      <c r="I4503" s="73"/>
      <c r="J4503" s="73"/>
      <c r="K4503" s="73"/>
      <c r="L4503" s="73"/>
      <c r="M4503" s="73"/>
      <c r="N4503" s="73"/>
      <c r="O4503" s="73"/>
      <c r="P4503" s="73"/>
      <c r="Q4503" s="73"/>
      <c r="R4503" s="73"/>
      <c r="S4503" s="73"/>
      <c r="T4503" s="73"/>
      <c r="U4503" s="73"/>
      <c r="V4503" s="73"/>
      <c r="W4503" s="73"/>
      <c r="X4503" s="73"/>
      <c r="Y4503" s="73"/>
      <c r="Z4503" s="73"/>
      <c r="AA4503" s="73"/>
      <c r="AB4503" s="73"/>
    </row>
    <row r="4504">
      <c r="A4504" s="73"/>
      <c r="B4504" s="73">
        <v>1.659071527E7</v>
      </c>
      <c r="C4504" s="73">
        <v>6.86030211984192E8</v>
      </c>
      <c r="D4504" s="73">
        <v>3.75028345028002E8</v>
      </c>
      <c r="E4504" s="73">
        <v>5.56197852091248E7</v>
      </c>
      <c r="F4504" s="73"/>
      <c r="G4504" s="73"/>
      <c r="H4504" s="73"/>
      <c r="I4504" s="73"/>
      <c r="J4504" s="73"/>
      <c r="K4504" s="73"/>
      <c r="L4504" s="73"/>
      <c r="M4504" s="73"/>
      <c r="N4504" s="73"/>
      <c r="O4504" s="73"/>
      <c r="P4504" s="73"/>
      <c r="Q4504" s="73"/>
      <c r="R4504" s="73"/>
      <c r="S4504" s="73"/>
      <c r="T4504" s="73"/>
      <c r="U4504" s="73"/>
      <c r="V4504" s="73"/>
      <c r="W4504" s="73"/>
      <c r="X4504" s="73"/>
      <c r="Y4504" s="73"/>
      <c r="Z4504" s="73"/>
      <c r="AA4504" s="73"/>
      <c r="AB4504" s="73"/>
    </row>
    <row r="4505">
      <c r="A4505" s="73"/>
      <c r="B4505" s="73">
        <v>1.661067454E7</v>
      </c>
      <c r="C4505" s="73">
        <v>6.86444848772675E8</v>
      </c>
      <c r="D4505" s="73">
        <v>3.75294469519995E8</v>
      </c>
      <c r="E4505" s="73">
        <v>5.56634674387347E7</v>
      </c>
      <c r="F4505" s="73"/>
      <c r="G4505" s="73"/>
      <c r="H4505" s="73"/>
      <c r="I4505" s="73"/>
      <c r="J4505" s="73"/>
      <c r="K4505" s="73"/>
      <c r="L4505" s="73"/>
      <c r="M4505" s="73"/>
      <c r="N4505" s="73"/>
      <c r="O4505" s="73"/>
      <c r="P4505" s="73"/>
      <c r="Q4505" s="73"/>
      <c r="R4505" s="73"/>
      <c r="S4505" s="73"/>
      <c r="T4505" s="73"/>
      <c r="U4505" s="73"/>
      <c r="V4505" s="73"/>
      <c r="W4505" s="73"/>
      <c r="X4505" s="73"/>
      <c r="Y4505" s="73"/>
      <c r="Z4505" s="73"/>
      <c r="AA4505" s="73"/>
      <c r="AB4505" s="73"/>
    </row>
    <row r="4506">
      <c r="A4506" s="73"/>
      <c r="B4506" s="73">
        <v>1.663065311E7</v>
      </c>
      <c r="C4506" s="73">
        <v>6.86859617401154E8</v>
      </c>
      <c r="D4506" s="73">
        <v>3.75560676539988E8</v>
      </c>
      <c r="E4506" s="73">
        <v>5.57071724829355E7</v>
      </c>
      <c r="F4506" s="73"/>
      <c r="G4506" s="73"/>
      <c r="H4506" s="73"/>
      <c r="I4506" s="73"/>
      <c r="J4506" s="73"/>
      <c r="K4506" s="73"/>
      <c r="L4506" s="73"/>
      <c r="M4506" s="73"/>
      <c r="N4506" s="73"/>
      <c r="O4506" s="73"/>
      <c r="P4506" s="73"/>
      <c r="Q4506" s="73"/>
      <c r="R4506" s="73"/>
      <c r="S4506" s="73"/>
      <c r="T4506" s="73"/>
      <c r="U4506" s="73"/>
      <c r="V4506" s="73"/>
      <c r="W4506" s="73"/>
      <c r="X4506" s="73"/>
      <c r="Y4506" s="73"/>
      <c r="Z4506" s="73"/>
      <c r="AA4506" s="73"/>
      <c r="AB4506" s="73"/>
    </row>
    <row r="4507">
      <c r="A4507" s="73"/>
      <c r="B4507" s="73">
        <v>1.665065108E7</v>
      </c>
      <c r="C4507" s="73">
        <v>6.87274649709625E8</v>
      </c>
      <c r="D4507" s="73">
        <v>3.75827007335997E8</v>
      </c>
      <c r="E4507" s="73">
        <v>5.57508983065271E7</v>
      </c>
      <c r="F4507" s="73"/>
      <c r="G4507" s="73"/>
      <c r="H4507" s="73"/>
      <c r="I4507" s="73"/>
      <c r="J4507" s="73"/>
      <c r="K4507" s="73"/>
      <c r="L4507" s="73"/>
      <c r="M4507" s="73"/>
      <c r="N4507" s="73"/>
      <c r="O4507" s="73"/>
      <c r="P4507" s="73"/>
      <c r="Q4507" s="73"/>
      <c r="R4507" s="73"/>
      <c r="S4507" s="73"/>
      <c r="T4507" s="73"/>
      <c r="U4507" s="73"/>
      <c r="V4507" s="73"/>
      <c r="W4507" s="73"/>
      <c r="X4507" s="73"/>
      <c r="Y4507" s="73"/>
      <c r="Z4507" s="73"/>
      <c r="AA4507" s="73"/>
      <c r="AB4507" s="73"/>
    </row>
    <row r="4508">
      <c r="A4508" s="73"/>
      <c r="B4508" s="73">
        <v>1.667066814E7</v>
      </c>
      <c r="C4508" s="73">
        <v>6.87689682018097E8</v>
      </c>
      <c r="D4508" s="73">
        <v>3.7609346193999E8</v>
      </c>
      <c r="E4508" s="73">
        <v>5.57946484439734E7</v>
      </c>
      <c r="F4508" s="73"/>
      <c r="G4508" s="73"/>
      <c r="H4508" s="73"/>
      <c r="I4508" s="73"/>
      <c r="J4508" s="73"/>
      <c r="K4508" s="73"/>
      <c r="L4508" s="73"/>
      <c r="M4508" s="73"/>
      <c r="N4508" s="73"/>
      <c r="O4508" s="73"/>
      <c r="P4508" s="73"/>
      <c r="Q4508" s="73"/>
      <c r="R4508" s="73"/>
      <c r="S4508" s="73"/>
      <c r="T4508" s="73"/>
      <c r="U4508" s="73"/>
      <c r="V4508" s="73"/>
      <c r="W4508" s="73"/>
      <c r="X4508" s="73"/>
      <c r="Y4508" s="73"/>
      <c r="Z4508" s="73"/>
      <c r="AA4508" s="73"/>
      <c r="AB4508" s="73"/>
    </row>
    <row r="4509">
      <c r="A4509" s="73"/>
      <c r="B4509" s="73">
        <v>1.66907048E7</v>
      </c>
      <c r="C4509" s="73">
        <v>6.88105043926559E8</v>
      </c>
      <c r="D4509" s="73">
        <v>3.76360040031999E8</v>
      </c>
      <c r="E4509" s="73">
        <v>5.58384191912106E7</v>
      </c>
      <c r="F4509" s="73"/>
      <c r="G4509" s="73"/>
      <c r="H4509" s="73"/>
      <c r="I4509" s="73"/>
      <c r="J4509" s="73"/>
      <c r="K4509" s="73"/>
      <c r="L4509" s="73"/>
      <c r="M4509" s="73"/>
      <c r="N4509" s="73"/>
      <c r="O4509" s="73"/>
      <c r="P4509" s="73"/>
      <c r="Q4509" s="73"/>
      <c r="R4509" s="73"/>
      <c r="S4509" s="73"/>
      <c r="T4509" s="73"/>
      <c r="U4509" s="73"/>
      <c r="V4509" s="73"/>
      <c r="W4509" s="73"/>
      <c r="X4509" s="73"/>
      <c r="Y4509" s="73"/>
      <c r="Z4509" s="73"/>
      <c r="AA4509" s="73"/>
      <c r="AB4509" s="73"/>
    </row>
    <row r="4510">
      <c r="A4510" s="73"/>
      <c r="B4510" s="73">
        <v>1.671076075E7</v>
      </c>
      <c r="C4510" s="73">
        <v>6.88520405835022E8</v>
      </c>
      <c r="D4510" s="73">
        <v>3.76626783179992E8</v>
      </c>
      <c r="E4510" s="73">
        <v>5.58822137435025E7</v>
      </c>
      <c r="F4510" s="73"/>
      <c r="G4510" s="73"/>
      <c r="H4510" s="73"/>
      <c r="I4510" s="73"/>
      <c r="J4510" s="73"/>
      <c r="K4510" s="73"/>
      <c r="L4510" s="73"/>
      <c r="M4510" s="73"/>
      <c r="N4510" s="73"/>
      <c r="O4510" s="73"/>
      <c r="P4510" s="73"/>
      <c r="Q4510" s="73"/>
      <c r="R4510" s="73"/>
      <c r="S4510" s="73"/>
      <c r="T4510" s="73"/>
      <c r="U4510" s="73"/>
      <c r="V4510" s="73"/>
      <c r="W4510" s="73"/>
      <c r="X4510" s="73"/>
      <c r="Y4510" s="73"/>
      <c r="Z4510" s="73"/>
      <c r="AA4510" s="73"/>
      <c r="AB4510" s="73"/>
    </row>
    <row r="4511">
      <c r="A4511" s="73"/>
      <c r="B4511" s="73">
        <v>1.67308364E7</v>
      </c>
      <c r="C4511" s="73">
        <v>6.88936031423477E8</v>
      </c>
      <c r="D4511" s="73">
        <v>3.76893608856001E8</v>
      </c>
      <c r="E4511" s="73">
        <v>5.59260295839852E7</v>
      </c>
      <c r="F4511" s="73"/>
      <c r="G4511" s="73"/>
      <c r="H4511" s="73"/>
      <c r="I4511" s="73"/>
      <c r="J4511" s="73"/>
      <c r="K4511" s="73"/>
      <c r="L4511" s="73"/>
      <c r="M4511" s="73"/>
      <c r="N4511" s="73"/>
      <c r="O4511" s="73"/>
      <c r="P4511" s="73"/>
      <c r="Q4511" s="73"/>
      <c r="R4511" s="73"/>
      <c r="S4511" s="73"/>
      <c r="T4511" s="73"/>
      <c r="U4511" s="73"/>
      <c r="V4511" s="73"/>
      <c r="W4511" s="73"/>
      <c r="X4511" s="73"/>
      <c r="Y4511" s="73"/>
      <c r="Z4511" s="73"/>
      <c r="AA4511" s="73"/>
      <c r="AB4511" s="73"/>
    </row>
    <row r="4512">
      <c r="A4512" s="73"/>
      <c r="B4512" s="73">
        <v>1.67509314E7</v>
      </c>
      <c r="C4512" s="73">
        <v>6.89351788851929E8</v>
      </c>
      <c r="D4512" s="73">
        <v>3.77160558019994E8</v>
      </c>
      <c r="E4512" s="73">
        <v>5.59698677302588E7</v>
      </c>
      <c r="F4512" s="73"/>
      <c r="G4512" s="73"/>
      <c r="H4512" s="73"/>
      <c r="I4512" s="73"/>
      <c r="J4512" s="73"/>
      <c r="K4512" s="73"/>
      <c r="L4512" s="73"/>
      <c r="M4512" s="73"/>
      <c r="N4512" s="73"/>
      <c r="O4512" s="73"/>
      <c r="P4512" s="73"/>
      <c r="Q4512" s="73"/>
      <c r="R4512" s="73"/>
      <c r="S4512" s="73"/>
      <c r="T4512" s="73"/>
      <c r="U4512" s="73"/>
      <c r="V4512" s="73"/>
      <c r="W4512" s="73"/>
      <c r="X4512" s="73"/>
      <c r="Y4512" s="73"/>
      <c r="Z4512" s="73"/>
      <c r="AA4512" s="73"/>
      <c r="AB4512" s="73"/>
    </row>
    <row r="4513">
      <c r="A4513" s="73"/>
      <c r="B4513" s="73">
        <v>1.677104546E7</v>
      </c>
      <c r="C4513" s="73">
        <v>6.89767678120377E8</v>
      </c>
      <c r="D4513" s="73">
        <v>3.77427631280002E8</v>
      </c>
      <c r="E4513" s="73">
        <v>5.60137276735232E7</v>
      </c>
      <c r="F4513" s="73"/>
      <c r="G4513" s="73"/>
      <c r="H4513" s="73"/>
      <c r="I4513" s="73"/>
      <c r="J4513" s="73"/>
      <c r="K4513" s="73"/>
      <c r="L4513" s="73"/>
      <c r="M4513" s="73"/>
      <c r="N4513" s="73"/>
      <c r="O4513" s="73"/>
      <c r="P4513" s="73"/>
      <c r="Q4513" s="73"/>
      <c r="R4513" s="73"/>
      <c r="S4513" s="73"/>
      <c r="T4513" s="73"/>
      <c r="U4513" s="73"/>
      <c r="V4513" s="73"/>
      <c r="W4513" s="73"/>
      <c r="X4513" s="73"/>
      <c r="Y4513" s="73"/>
      <c r="Z4513" s="73"/>
      <c r="AA4513" s="73"/>
      <c r="AB4513" s="73"/>
    </row>
    <row r="4514">
      <c r="A4514" s="73"/>
      <c r="B4514" s="73">
        <v>1.67911794E7</v>
      </c>
      <c r="C4514" s="73">
        <v>6.90183765148819E8</v>
      </c>
      <c r="D4514" s="73">
        <v>3.77694828347996E8</v>
      </c>
      <c r="E4514" s="73">
        <v>5.60576121002422E7</v>
      </c>
      <c r="F4514" s="73"/>
      <c r="G4514" s="73"/>
      <c r="H4514" s="73"/>
      <c r="I4514" s="73"/>
      <c r="J4514" s="73"/>
      <c r="K4514" s="73"/>
      <c r="L4514" s="73"/>
      <c r="M4514" s="73"/>
      <c r="N4514" s="73"/>
      <c r="O4514" s="73"/>
      <c r="P4514" s="73"/>
      <c r="Q4514" s="73"/>
      <c r="R4514" s="73"/>
      <c r="S4514" s="73"/>
      <c r="T4514" s="73"/>
      <c r="U4514" s="73"/>
      <c r="V4514" s="73"/>
      <c r="W4514" s="73"/>
      <c r="X4514" s="73"/>
      <c r="Y4514" s="73"/>
      <c r="Z4514" s="73"/>
      <c r="AA4514" s="73"/>
      <c r="AB4514" s="73"/>
    </row>
    <row r="4515">
      <c r="A4515" s="73"/>
      <c r="B4515" s="73">
        <v>1.681133248E7</v>
      </c>
      <c r="C4515" s="73">
        <v>6.90600049937256E8</v>
      </c>
      <c r="D4515" s="73">
        <v>3.77962148871989E8</v>
      </c>
      <c r="E4515" s="73">
        <v>5.61015176455521E7</v>
      </c>
      <c r="F4515" s="73"/>
      <c r="G4515" s="73"/>
      <c r="H4515" s="73"/>
      <c r="I4515" s="73"/>
      <c r="J4515" s="73"/>
      <c r="K4515" s="73"/>
      <c r="L4515" s="73"/>
      <c r="M4515" s="73"/>
      <c r="N4515" s="73"/>
      <c r="O4515" s="73"/>
      <c r="P4515" s="73"/>
      <c r="Q4515" s="73"/>
      <c r="R4515" s="73"/>
      <c r="S4515" s="73"/>
      <c r="T4515" s="73"/>
      <c r="U4515" s="73"/>
      <c r="V4515" s="73"/>
      <c r="W4515" s="73"/>
      <c r="X4515" s="73"/>
      <c r="Y4515" s="73"/>
      <c r="Z4515" s="73"/>
      <c r="AA4515" s="73"/>
      <c r="AB4515" s="73"/>
    </row>
    <row r="4516">
      <c r="A4516" s="73"/>
      <c r="B4516" s="73">
        <v>1.683150488E7</v>
      </c>
      <c r="C4516" s="73">
        <v>6.91016400645691E8</v>
      </c>
      <c r="D4516" s="73">
        <v>3.78229593203998E8</v>
      </c>
      <c r="E4516" s="73">
        <v>5.61454463175168E7</v>
      </c>
      <c r="F4516" s="73"/>
      <c r="G4516" s="73"/>
      <c r="H4516" s="73"/>
      <c r="I4516" s="73"/>
      <c r="J4516" s="73"/>
      <c r="K4516" s="73"/>
      <c r="L4516" s="73"/>
      <c r="M4516" s="73"/>
      <c r="N4516" s="73"/>
      <c r="O4516" s="73"/>
      <c r="P4516" s="73"/>
      <c r="Q4516" s="73"/>
      <c r="R4516" s="73"/>
      <c r="S4516" s="73"/>
      <c r="T4516" s="73"/>
      <c r="U4516" s="73"/>
      <c r="V4516" s="73"/>
      <c r="W4516" s="73"/>
      <c r="X4516" s="73"/>
      <c r="Y4516" s="73"/>
      <c r="Z4516" s="73"/>
      <c r="AA4516" s="73"/>
      <c r="AB4516" s="73"/>
    </row>
    <row r="4517">
      <c r="A4517" s="73"/>
      <c r="B4517" s="73">
        <v>1.685169643E7</v>
      </c>
      <c r="C4517" s="73">
        <v>6.9143294911412E8</v>
      </c>
      <c r="D4517" s="73">
        <v>3.78497161343991E8</v>
      </c>
      <c r="E4517" s="73">
        <v>5.61893969560722E7</v>
      </c>
      <c r="F4517" s="73"/>
      <c r="G4517" s="73"/>
      <c r="H4517" s="73"/>
      <c r="I4517" s="73"/>
      <c r="J4517" s="73"/>
      <c r="K4517" s="73"/>
      <c r="L4517" s="73"/>
      <c r="M4517" s="73"/>
      <c r="N4517" s="73"/>
      <c r="O4517" s="73"/>
      <c r="P4517" s="73"/>
      <c r="Q4517" s="73"/>
      <c r="R4517" s="73"/>
      <c r="S4517" s="73"/>
      <c r="T4517" s="73"/>
      <c r="U4517" s="73"/>
      <c r="V4517" s="73"/>
      <c r="W4517" s="73"/>
      <c r="X4517" s="73"/>
      <c r="Y4517" s="73"/>
      <c r="Z4517" s="73"/>
      <c r="AA4517" s="73"/>
      <c r="AB4517" s="73"/>
    </row>
    <row r="4518">
      <c r="A4518" s="73"/>
      <c r="B4518" s="73">
        <v>1.687190827E7</v>
      </c>
      <c r="C4518" s="73">
        <v>6.91849695342545E8</v>
      </c>
      <c r="D4518" s="73">
        <v>3.78764853259999E8</v>
      </c>
      <c r="E4518" s="73">
        <v>5.62333704092185E7</v>
      </c>
      <c r="F4518" s="73"/>
      <c r="G4518" s="73"/>
      <c r="H4518" s="73"/>
      <c r="I4518" s="73"/>
      <c r="J4518" s="73"/>
      <c r="K4518" s="73"/>
      <c r="L4518" s="73"/>
      <c r="M4518" s="73"/>
      <c r="N4518" s="73"/>
      <c r="O4518" s="73"/>
      <c r="P4518" s="73"/>
      <c r="Q4518" s="73"/>
      <c r="R4518" s="73"/>
      <c r="S4518" s="73"/>
      <c r="T4518" s="73"/>
      <c r="U4518" s="73"/>
      <c r="V4518" s="73"/>
      <c r="W4518" s="73"/>
      <c r="X4518" s="73"/>
      <c r="Y4518" s="73"/>
      <c r="Z4518" s="73"/>
      <c r="AA4518" s="73"/>
      <c r="AB4518" s="73"/>
    </row>
    <row r="4519">
      <c r="A4519" s="73"/>
      <c r="B4519" s="73">
        <v>1.689213879E7</v>
      </c>
      <c r="C4519" s="73">
        <v>6.92266573410965E8</v>
      </c>
      <c r="D4519" s="73">
        <v>3.79032668983993E8</v>
      </c>
      <c r="E4519" s="73">
        <v>5.62773654626196E7</v>
      </c>
      <c r="F4519" s="73"/>
      <c r="G4519" s="73"/>
      <c r="H4519" s="73"/>
      <c r="I4519" s="73"/>
      <c r="J4519" s="73"/>
      <c r="K4519" s="73"/>
      <c r="L4519" s="73"/>
      <c r="M4519" s="73"/>
      <c r="N4519" s="73"/>
      <c r="O4519" s="73"/>
      <c r="P4519" s="73"/>
      <c r="Q4519" s="73"/>
      <c r="R4519" s="73"/>
      <c r="S4519" s="73"/>
      <c r="T4519" s="73"/>
      <c r="U4519" s="73"/>
      <c r="V4519" s="73"/>
      <c r="W4519" s="73"/>
      <c r="X4519" s="73"/>
      <c r="Y4519" s="73"/>
      <c r="Z4519" s="73"/>
      <c r="AA4519" s="73"/>
      <c r="AB4519" s="73"/>
    </row>
    <row r="4520">
      <c r="A4520" s="73"/>
      <c r="B4520" s="73">
        <v>1.69123889E7</v>
      </c>
      <c r="C4520" s="73">
        <v>6.92683583319382E8</v>
      </c>
      <c r="D4520" s="73">
        <v>3.79300608164001E8</v>
      </c>
      <c r="E4520" s="73">
        <v>5.63213835850114E7</v>
      </c>
      <c r="F4520" s="73"/>
      <c r="G4520" s="73"/>
      <c r="H4520" s="73"/>
      <c r="I4520" s="73"/>
      <c r="J4520" s="73"/>
      <c r="K4520" s="73"/>
      <c r="L4520" s="73"/>
      <c r="M4520" s="73"/>
      <c r="N4520" s="73"/>
      <c r="O4520" s="73"/>
      <c r="P4520" s="73"/>
      <c r="Q4520" s="73"/>
      <c r="R4520" s="73"/>
      <c r="S4520" s="73"/>
      <c r="T4520" s="73"/>
      <c r="U4520" s="73"/>
      <c r="V4520" s="73"/>
      <c r="W4520" s="73"/>
      <c r="X4520" s="73"/>
      <c r="Y4520" s="73"/>
      <c r="Z4520" s="73"/>
      <c r="AA4520" s="73"/>
      <c r="AB4520" s="73"/>
    </row>
    <row r="4521">
      <c r="A4521" s="73"/>
      <c r="B4521" s="73">
        <v>1.69326587E7</v>
      </c>
      <c r="C4521" s="73">
        <v>6.93100725067795E8</v>
      </c>
      <c r="D4521" s="73">
        <v>3.79568671471995E8</v>
      </c>
      <c r="E4521" s="73">
        <v>5.6365423843594E7</v>
      </c>
      <c r="F4521" s="73"/>
      <c r="G4521" s="73"/>
      <c r="H4521" s="73"/>
      <c r="I4521" s="73"/>
      <c r="J4521" s="73"/>
      <c r="K4521" s="73"/>
      <c r="L4521" s="73"/>
      <c r="M4521" s="73"/>
      <c r="N4521" s="73"/>
      <c r="O4521" s="73"/>
      <c r="P4521" s="73"/>
      <c r="Q4521" s="73"/>
      <c r="R4521" s="73"/>
      <c r="S4521" s="73"/>
      <c r="T4521" s="73"/>
      <c r="U4521" s="73"/>
      <c r="V4521" s="73"/>
      <c r="W4521" s="73"/>
      <c r="X4521" s="73"/>
      <c r="Y4521" s="73"/>
      <c r="Z4521" s="73"/>
      <c r="AA4521" s="73"/>
      <c r="AB4521" s="73"/>
    </row>
    <row r="4522">
      <c r="A4522" s="73"/>
      <c r="B4522" s="73">
        <v>1.695294836E7</v>
      </c>
      <c r="C4522" s="73">
        <v>6.93518064576202E8</v>
      </c>
      <c r="D4522" s="73">
        <v>3.79836857948003E8</v>
      </c>
      <c r="E4522" s="73">
        <v>5.64094861264315E7</v>
      </c>
      <c r="F4522" s="73"/>
      <c r="G4522" s="73"/>
      <c r="H4522" s="73"/>
      <c r="I4522" s="73"/>
      <c r="J4522" s="73"/>
      <c r="K4522" s="73"/>
      <c r="L4522" s="73"/>
      <c r="M4522" s="73"/>
      <c r="N4522" s="73"/>
      <c r="O4522" s="73"/>
      <c r="P4522" s="73"/>
      <c r="Q4522" s="73"/>
      <c r="R4522" s="73"/>
      <c r="S4522" s="73"/>
      <c r="T4522" s="73"/>
      <c r="U4522" s="73"/>
      <c r="V4522" s="73"/>
      <c r="W4522" s="73"/>
      <c r="X4522" s="73"/>
      <c r="Y4522" s="73"/>
      <c r="Z4522" s="73"/>
      <c r="AA4522" s="73"/>
      <c r="AB4522" s="73"/>
    </row>
    <row r="4523">
      <c r="A4523" s="73"/>
      <c r="B4523" s="73">
        <v>1.69732567E7</v>
      </c>
      <c r="C4523" s="73">
        <v>6.93935535924606E8</v>
      </c>
      <c r="D4523" s="73">
        <v>3.80105127559996E8</v>
      </c>
      <c r="E4523" s="73">
        <v>5.64535706302597E7</v>
      </c>
      <c r="F4523" s="73"/>
      <c r="G4523" s="73"/>
      <c r="H4523" s="73"/>
      <c r="I4523" s="73"/>
      <c r="J4523" s="73"/>
      <c r="K4523" s="73"/>
      <c r="L4523" s="73"/>
      <c r="M4523" s="73"/>
      <c r="N4523" s="73"/>
      <c r="O4523" s="73"/>
      <c r="P4523" s="73"/>
      <c r="Q4523" s="73"/>
      <c r="R4523" s="73"/>
      <c r="S4523" s="73"/>
      <c r="T4523" s="73"/>
      <c r="U4523" s="73"/>
      <c r="V4523" s="73"/>
      <c r="W4523" s="73"/>
      <c r="X4523" s="73"/>
      <c r="Y4523" s="73"/>
      <c r="Z4523" s="73"/>
      <c r="AA4523" s="73"/>
      <c r="AB4523" s="73"/>
    </row>
    <row r="4524">
      <c r="A4524" s="73"/>
      <c r="B4524" s="73">
        <v>1.699358495E7</v>
      </c>
      <c r="C4524" s="73">
        <v>6.94353270953003E8</v>
      </c>
      <c r="D4524" s="73">
        <v>3.8037356193999E8</v>
      </c>
      <c r="E4524" s="73">
        <v>5.64976776942788E7</v>
      </c>
      <c r="F4524" s="73"/>
      <c r="G4524" s="73"/>
      <c r="H4524" s="73"/>
      <c r="I4524" s="73"/>
      <c r="J4524" s="73"/>
      <c r="K4524" s="73"/>
      <c r="L4524" s="73"/>
      <c r="M4524" s="73"/>
      <c r="N4524" s="73"/>
      <c r="O4524" s="73"/>
      <c r="P4524" s="73"/>
      <c r="Q4524" s="73"/>
      <c r="R4524" s="73"/>
      <c r="S4524" s="73"/>
      <c r="T4524" s="73"/>
      <c r="U4524" s="73"/>
      <c r="V4524" s="73"/>
      <c r="W4524" s="73"/>
      <c r="X4524" s="73"/>
      <c r="Y4524" s="73"/>
      <c r="Z4524" s="73"/>
      <c r="AA4524" s="73"/>
      <c r="AB4524" s="73"/>
    </row>
    <row r="4525">
      <c r="A4525" s="73"/>
      <c r="B4525" s="73">
        <v>1.701393254E7</v>
      </c>
      <c r="C4525" s="73">
        <v>6.947710059814E8</v>
      </c>
      <c r="D4525" s="73">
        <v>3.80642119807998E8</v>
      </c>
      <c r="E4525" s="73">
        <v>5.65418080545525E7</v>
      </c>
      <c r="F4525" s="73"/>
      <c r="G4525" s="73"/>
      <c r="H4525" s="73"/>
      <c r="I4525" s="73"/>
      <c r="J4525" s="73"/>
      <c r="K4525" s="73"/>
      <c r="L4525" s="73"/>
      <c r="M4525" s="73"/>
      <c r="N4525" s="73"/>
      <c r="O4525" s="73"/>
      <c r="P4525" s="73"/>
      <c r="Q4525" s="73"/>
      <c r="R4525" s="73"/>
      <c r="S4525" s="73"/>
      <c r="T4525" s="73"/>
      <c r="U4525" s="73"/>
      <c r="V4525" s="73"/>
      <c r="W4525" s="73"/>
      <c r="X4525" s="73"/>
      <c r="Y4525" s="73"/>
      <c r="Z4525" s="73"/>
      <c r="AA4525" s="73"/>
      <c r="AB4525" s="73"/>
    </row>
    <row r="4526">
      <c r="A4526" s="73"/>
      <c r="B4526" s="73">
        <v>1.703429957E7</v>
      </c>
      <c r="C4526" s="73">
        <v>6.95189004689789E8</v>
      </c>
      <c r="D4526" s="73">
        <v>3.80910801451991E8</v>
      </c>
      <c r="E4526" s="73">
        <v>5.65859599574172E7</v>
      </c>
      <c r="F4526" s="73"/>
      <c r="G4526" s="73"/>
      <c r="H4526" s="73"/>
      <c r="I4526" s="73"/>
      <c r="J4526" s="73"/>
      <c r="K4526" s="73"/>
      <c r="L4526" s="73"/>
      <c r="M4526" s="73"/>
      <c r="N4526" s="73"/>
      <c r="O4526" s="73"/>
      <c r="P4526" s="73"/>
      <c r="Q4526" s="73"/>
      <c r="R4526" s="73"/>
      <c r="S4526" s="73"/>
      <c r="T4526" s="73"/>
      <c r="U4526" s="73"/>
      <c r="V4526" s="73"/>
      <c r="W4526" s="73"/>
      <c r="X4526" s="73"/>
      <c r="Y4526" s="73"/>
      <c r="Z4526" s="73"/>
      <c r="AA4526" s="73"/>
      <c r="AB4526" s="73"/>
    </row>
    <row r="4527">
      <c r="A4527" s="73"/>
      <c r="B4527" s="73">
        <v>1.70546862E7</v>
      </c>
      <c r="C4527" s="73">
        <v>6.95607069318176E8</v>
      </c>
      <c r="D4527" s="73">
        <v>3.81179606904E8</v>
      </c>
      <c r="E4527" s="73">
        <v>5.66301354957365E7</v>
      </c>
      <c r="F4527" s="73"/>
      <c r="G4527" s="73"/>
      <c r="H4527" s="73"/>
      <c r="I4527" s="73"/>
      <c r="J4527" s="73"/>
      <c r="K4527" s="73"/>
      <c r="L4527" s="73"/>
      <c r="M4527" s="73"/>
      <c r="N4527" s="73"/>
      <c r="O4527" s="73"/>
      <c r="P4527" s="73"/>
      <c r="Q4527" s="73"/>
      <c r="R4527" s="73"/>
      <c r="S4527" s="73"/>
      <c r="T4527" s="73"/>
      <c r="U4527" s="73"/>
      <c r="V4527" s="73"/>
      <c r="W4527" s="73"/>
      <c r="X4527" s="73"/>
      <c r="Y4527" s="73"/>
      <c r="Z4527" s="73"/>
      <c r="AA4527" s="73"/>
      <c r="AB4527" s="73"/>
    </row>
    <row r="4528">
      <c r="A4528" s="73"/>
      <c r="B4528" s="73">
        <v>1.707509257E7</v>
      </c>
      <c r="C4528" s="73">
        <v>6.96025529466553E8</v>
      </c>
      <c r="D4528" s="73">
        <v>3.81448495171993E8</v>
      </c>
      <c r="E4528" s="73">
        <v>5.66743323222467E7</v>
      </c>
      <c r="F4528" s="73"/>
      <c r="G4528" s="73"/>
      <c r="H4528" s="73"/>
      <c r="I4528" s="73"/>
      <c r="J4528" s="73"/>
      <c r="K4528" s="73"/>
      <c r="L4528" s="73"/>
      <c r="M4528" s="73"/>
      <c r="N4528" s="73"/>
      <c r="O4528" s="73"/>
      <c r="P4528" s="73"/>
      <c r="Q4528" s="73"/>
      <c r="R4528" s="73"/>
      <c r="S4528" s="73"/>
      <c r="T4528" s="73"/>
      <c r="U4528" s="73"/>
      <c r="V4528" s="73"/>
      <c r="W4528" s="73"/>
      <c r="X4528" s="73"/>
      <c r="Y4528" s="73"/>
      <c r="Z4528" s="73"/>
      <c r="AA4528" s="73"/>
      <c r="AB4528" s="73"/>
    </row>
    <row r="4529">
      <c r="A4529" s="73"/>
      <c r="B4529" s="73">
        <v>1.709551792E7</v>
      </c>
      <c r="C4529" s="73">
        <v>6.96443923694931E8</v>
      </c>
      <c r="D4529" s="73">
        <v>3.81717548208002E8</v>
      </c>
      <c r="E4529" s="73">
        <v>5.67185520481476E7</v>
      </c>
      <c r="F4529" s="73"/>
      <c r="G4529" s="73"/>
      <c r="H4529" s="73"/>
      <c r="I4529" s="73"/>
      <c r="J4529" s="73"/>
      <c r="K4529" s="73"/>
      <c r="L4529" s="73"/>
      <c r="M4529" s="73"/>
      <c r="N4529" s="73"/>
      <c r="O4529" s="73"/>
      <c r="P4529" s="73"/>
      <c r="Q4529" s="73"/>
      <c r="R4529" s="73"/>
      <c r="S4529" s="73"/>
      <c r="T4529" s="73"/>
      <c r="U4529" s="73"/>
      <c r="V4529" s="73"/>
      <c r="W4529" s="73"/>
      <c r="X4529" s="73"/>
      <c r="Y4529" s="73"/>
      <c r="Z4529" s="73"/>
      <c r="AA4529" s="73"/>
      <c r="AB4529" s="73"/>
    </row>
    <row r="4530">
      <c r="A4530" s="73"/>
      <c r="B4530" s="73">
        <v>1.711596309E7</v>
      </c>
      <c r="C4530" s="73">
        <v>6.96862581603302E8</v>
      </c>
      <c r="D4530" s="73">
        <v>3.81986724731995E8</v>
      </c>
      <c r="E4530" s="73">
        <v>5.67627952399033E7</v>
      </c>
      <c r="F4530" s="73"/>
      <c r="G4530" s="73"/>
      <c r="H4530" s="73"/>
      <c r="I4530" s="73"/>
      <c r="J4530" s="73"/>
      <c r="K4530" s="73"/>
      <c r="L4530" s="73"/>
      <c r="M4530" s="73"/>
      <c r="N4530" s="73"/>
      <c r="O4530" s="73"/>
      <c r="P4530" s="73"/>
      <c r="Q4530" s="73"/>
      <c r="R4530" s="73"/>
      <c r="S4530" s="73"/>
      <c r="T4530" s="73"/>
      <c r="U4530" s="73"/>
      <c r="V4530" s="73"/>
      <c r="W4530" s="73"/>
      <c r="X4530" s="73"/>
      <c r="Y4530" s="73"/>
      <c r="Z4530" s="73"/>
      <c r="AA4530" s="73"/>
      <c r="AB4530" s="73"/>
    </row>
    <row r="4531">
      <c r="A4531" s="73"/>
      <c r="B4531" s="73">
        <v>1.713642767E7</v>
      </c>
      <c r="C4531" s="73">
        <v>6.97281305431671E8</v>
      </c>
      <c r="D4531" s="73">
        <v>3.82256025031988E8</v>
      </c>
      <c r="E4531" s="73">
        <v>5.68070603982498E7</v>
      </c>
      <c r="F4531" s="73"/>
      <c r="G4531" s="73"/>
      <c r="H4531" s="73"/>
      <c r="I4531" s="73"/>
      <c r="J4531" s="73"/>
      <c r="K4531" s="73"/>
      <c r="L4531" s="73"/>
      <c r="M4531" s="73"/>
      <c r="N4531" s="73"/>
      <c r="O4531" s="73"/>
      <c r="P4531" s="73"/>
      <c r="Q4531" s="73"/>
      <c r="R4531" s="73"/>
      <c r="S4531" s="73"/>
      <c r="T4531" s="73"/>
      <c r="U4531" s="73"/>
      <c r="V4531" s="73"/>
      <c r="W4531" s="73"/>
      <c r="X4531" s="73"/>
      <c r="Y4531" s="73"/>
      <c r="Z4531" s="73"/>
      <c r="AA4531" s="73"/>
      <c r="AB4531" s="73"/>
    </row>
    <row r="4532">
      <c r="A4532" s="73"/>
      <c r="B4532" s="73">
        <v>1.715691193E7</v>
      </c>
      <c r="C4532" s="73">
        <v>6.97700292940033E8</v>
      </c>
      <c r="D4532" s="73">
        <v>3.82525408179997E8</v>
      </c>
      <c r="E4532" s="73">
        <v>5.68513464207872E7</v>
      </c>
      <c r="F4532" s="73"/>
      <c r="G4532" s="73"/>
      <c r="H4532" s="73"/>
      <c r="I4532" s="73"/>
      <c r="J4532" s="73"/>
      <c r="K4532" s="73"/>
      <c r="L4532" s="73"/>
      <c r="M4532" s="73"/>
      <c r="N4532" s="73"/>
      <c r="O4532" s="73"/>
      <c r="P4532" s="73"/>
      <c r="Q4532" s="73"/>
      <c r="R4532" s="73"/>
      <c r="S4532" s="73"/>
      <c r="T4532" s="73"/>
      <c r="U4532" s="73"/>
      <c r="V4532" s="73"/>
      <c r="W4532" s="73"/>
      <c r="X4532" s="73"/>
      <c r="Y4532" s="73"/>
      <c r="Z4532" s="73"/>
      <c r="AA4532" s="73"/>
      <c r="AB4532" s="73"/>
    </row>
    <row r="4533">
      <c r="A4533" s="73"/>
      <c r="B4533" s="73">
        <v>1.717741554E7</v>
      </c>
      <c r="C4533" s="73">
        <v>6.98119346368393E8</v>
      </c>
      <c r="D4533" s="73">
        <v>3.8279495609599E8</v>
      </c>
      <c r="E4533" s="73">
        <v>5.68956553155793E7</v>
      </c>
      <c r="F4533" s="73"/>
      <c r="G4533" s="73"/>
      <c r="H4533" s="73"/>
      <c r="I4533" s="73"/>
      <c r="J4533" s="73"/>
      <c r="K4533" s="73"/>
      <c r="L4533" s="73"/>
      <c r="M4533" s="73"/>
      <c r="N4533" s="73"/>
      <c r="O4533" s="73"/>
      <c r="P4533" s="73"/>
      <c r="Q4533" s="73"/>
      <c r="R4533" s="73"/>
      <c r="S4533" s="73"/>
      <c r="T4533" s="73"/>
      <c r="U4533" s="73"/>
      <c r="V4533" s="73"/>
      <c r="W4533" s="73"/>
      <c r="X4533" s="73"/>
      <c r="Y4533" s="73"/>
      <c r="Z4533" s="73"/>
      <c r="AA4533" s="73"/>
      <c r="AB4533" s="73"/>
    </row>
    <row r="4534">
      <c r="A4534" s="73"/>
      <c r="B4534" s="73">
        <v>1.719793909E7</v>
      </c>
      <c r="C4534" s="73">
        <v>6.98538597556747E8</v>
      </c>
      <c r="D4534" s="73">
        <v>3.83064627467999E8</v>
      </c>
      <c r="E4534" s="73">
        <v>5.69399878729622E7</v>
      </c>
      <c r="F4534" s="73"/>
      <c r="G4534" s="73"/>
      <c r="H4534" s="73"/>
      <c r="I4534" s="73"/>
      <c r="J4534" s="73"/>
      <c r="K4534" s="73"/>
      <c r="L4534" s="73"/>
      <c r="M4534" s="73"/>
      <c r="N4534" s="73"/>
      <c r="O4534" s="73"/>
      <c r="P4534" s="73"/>
      <c r="Q4534" s="73"/>
      <c r="R4534" s="73"/>
      <c r="S4534" s="73"/>
      <c r="T4534" s="73"/>
      <c r="U4534" s="73"/>
      <c r="V4534" s="73"/>
      <c r="W4534" s="73"/>
      <c r="X4534" s="73"/>
      <c r="Y4534" s="73"/>
      <c r="Z4534" s="73"/>
      <c r="AA4534" s="73"/>
      <c r="AB4534" s="73"/>
    </row>
    <row r="4535">
      <c r="A4535" s="73"/>
      <c r="B4535" s="73">
        <v>1.721848179E7</v>
      </c>
      <c r="C4535" s="73">
        <v>6.98957980585098E8</v>
      </c>
      <c r="D4535" s="73">
        <v>3.83334382007992E8</v>
      </c>
      <c r="E4535" s="73">
        <v>5.69843424817358E7</v>
      </c>
      <c r="F4535" s="73"/>
      <c r="G4535" s="73"/>
      <c r="H4535" s="73"/>
      <c r="I4535" s="73"/>
      <c r="J4535" s="73"/>
      <c r="K4535" s="73"/>
      <c r="L4535" s="73"/>
      <c r="M4535" s="73"/>
      <c r="N4535" s="73"/>
      <c r="O4535" s="73"/>
      <c r="P4535" s="73"/>
      <c r="Q4535" s="73"/>
      <c r="R4535" s="73"/>
      <c r="S4535" s="73"/>
      <c r="T4535" s="73"/>
      <c r="U4535" s="73"/>
      <c r="V4535" s="73"/>
      <c r="W4535" s="73"/>
      <c r="X4535" s="73"/>
      <c r="Y4535" s="73"/>
      <c r="Z4535" s="73"/>
      <c r="AA4535" s="73"/>
      <c r="AB4535" s="73"/>
    </row>
    <row r="4536">
      <c r="A4536" s="73"/>
      <c r="B4536" s="73">
        <v>1.723904422E7</v>
      </c>
      <c r="C4536" s="73">
        <v>6.99377561373444E8</v>
      </c>
      <c r="D4536" s="73">
        <v>3.83604300964001E8</v>
      </c>
      <c r="E4536" s="73">
        <v>5.70287187755643E7</v>
      </c>
      <c r="F4536" s="73"/>
      <c r="G4536" s="73"/>
      <c r="H4536" s="73"/>
      <c r="I4536" s="73"/>
      <c r="J4536" s="73"/>
      <c r="K4536" s="73"/>
      <c r="L4536" s="73"/>
      <c r="M4536" s="73"/>
      <c r="N4536" s="73"/>
      <c r="O4536" s="73"/>
      <c r="P4536" s="73"/>
      <c r="Q4536" s="73"/>
      <c r="R4536" s="73"/>
      <c r="S4536" s="73"/>
      <c r="T4536" s="73"/>
      <c r="U4536" s="73"/>
      <c r="V4536" s="73"/>
      <c r="W4536" s="73"/>
      <c r="X4536" s="73"/>
      <c r="Y4536" s="73"/>
      <c r="Z4536" s="73"/>
      <c r="AA4536" s="73"/>
      <c r="AB4536" s="73"/>
    </row>
    <row r="4537">
      <c r="A4537" s="73"/>
      <c r="B4537" s="73">
        <v>1.725962601E7</v>
      </c>
      <c r="C4537" s="73">
        <v>6.99797274001785E8</v>
      </c>
      <c r="D4537" s="73">
        <v>3.83874343727994E8</v>
      </c>
      <c r="E4537" s="73">
        <v>5.70731187319836E7</v>
      </c>
      <c r="F4537" s="73"/>
      <c r="G4537" s="73"/>
      <c r="H4537" s="73"/>
      <c r="I4537" s="73"/>
      <c r="J4537" s="73"/>
      <c r="K4537" s="73"/>
      <c r="L4537" s="73"/>
      <c r="M4537" s="73"/>
      <c r="N4537" s="73"/>
      <c r="O4537" s="73"/>
      <c r="P4537" s="73"/>
      <c r="Q4537" s="73"/>
      <c r="R4537" s="73"/>
      <c r="S4537" s="73"/>
      <c r="T4537" s="73"/>
      <c r="U4537" s="73"/>
      <c r="V4537" s="73"/>
      <c r="W4537" s="73"/>
      <c r="X4537" s="73"/>
      <c r="Y4537" s="73"/>
      <c r="Z4537" s="73"/>
      <c r="AA4537" s="73"/>
      <c r="AB4537" s="73"/>
    </row>
    <row r="4538">
      <c r="A4538" s="73"/>
      <c r="B4538" s="73">
        <v>1.728022787E7</v>
      </c>
      <c r="C4538" s="73">
        <v>7.00217184390121E8</v>
      </c>
      <c r="D4538" s="73">
        <v>3.84144469628002E8</v>
      </c>
      <c r="E4538" s="73">
        <v>5.71175415606575E7</v>
      </c>
      <c r="F4538" s="73"/>
      <c r="G4538" s="73"/>
      <c r="H4538" s="73"/>
      <c r="I4538" s="73"/>
      <c r="J4538" s="73"/>
      <c r="K4538" s="73"/>
      <c r="L4538" s="73"/>
      <c r="M4538" s="73"/>
      <c r="N4538" s="73"/>
      <c r="O4538" s="73"/>
      <c r="P4538" s="73"/>
      <c r="Q4538" s="73"/>
      <c r="R4538" s="73"/>
      <c r="S4538" s="73"/>
      <c r="T4538" s="73"/>
      <c r="U4538" s="73"/>
      <c r="V4538" s="73"/>
      <c r="W4538" s="73"/>
      <c r="X4538" s="73"/>
      <c r="Y4538" s="73"/>
      <c r="Z4538" s="73"/>
      <c r="AA4538" s="73"/>
      <c r="AB4538" s="73"/>
    </row>
    <row r="4539">
      <c r="A4539" s="73"/>
      <c r="B4539" s="73">
        <v>1.73008486E7</v>
      </c>
      <c r="C4539" s="73">
        <v>7.00637226618454E8</v>
      </c>
      <c r="D4539" s="73">
        <v>3.84414759367996E8</v>
      </c>
      <c r="E4539" s="73">
        <v>5.71619845751224E7</v>
      </c>
      <c r="F4539" s="73"/>
      <c r="G4539" s="73"/>
      <c r="H4539" s="73"/>
      <c r="I4539" s="73"/>
      <c r="J4539" s="73"/>
      <c r="K4539" s="73"/>
      <c r="L4539" s="73"/>
      <c r="M4539" s="73"/>
      <c r="N4539" s="73"/>
      <c r="O4539" s="73"/>
      <c r="P4539" s="73"/>
      <c r="Q4539" s="73"/>
      <c r="R4539" s="73"/>
      <c r="S4539" s="73"/>
      <c r="T4539" s="73"/>
      <c r="U4539" s="73"/>
      <c r="V4539" s="73"/>
      <c r="W4539" s="73"/>
      <c r="X4539" s="73"/>
      <c r="Y4539" s="73"/>
      <c r="Z4539" s="73"/>
      <c r="AA4539" s="73"/>
      <c r="AB4539" s="73"/>
    </row>
    <row r="4540">
      <c r="A4540" s="73"/>
      <c r="B4540" s="73">
        <v>1.732148924E7</v>
      </c>
      <c r="C4540" s="73">
        <v>7.01057400686783E8</v>
      </c>
      <c r="D4540" s="73">
        <v>3.84685173811989E8</v>
      </c>
      <c r="E4540" s="73">
        <v>5.7206451930578E7</v>
      </c>
      <c r="F4540" s="73"/>
      <c r="G4540" s="73"/>
      <c r="H4540" s="73"/>
      <c r="I4540" s="73"/>
      <c r="J4540" s="73"/>
      <c r="K4540" s="73"/>
      <c r="L4540" s="73"/>
      <c r="M4540" s="73"/>
      <c r="N4540" s="73"/>
      <c r="O4540" s="73"/>
      <c r="P4540" s="73"/>
      <c r="Q4540" s="73"/>
      <c r="R4540" s="73"/>
      <c r="S4540" s="73"/>
      <c r="T4540" s="73"/>
      <c r="U4540" s="73"/>
      <c r="V4540" s="73"/>
      <c r="W4540" s="73"/>
      <c r="X4540" s="73"/>
      <c r="Y4540" s="73"/>
      <c r="Z4540" s="73"/>
      <c r="AA4540" s="73"/>
      <c r="AB4540" s="73"/>
    </row>
    <row r="4541">
      <c r="A4541" s="73"/>
      <c r="B4541" s="73">
        <v>1.734214906E7</v>
      </c>
      <c r="C4541" s="73">
        <v>7.01477838435104E8</v>
      </c>
      <c r="D4541" s="73">
        <v>3.84955670175998E8</v>
      </c>
      <c r="E4541" s="73">
        <v>5.72509421582884E7</v>
      </c>
      <c r="F4541" s="73"/>
      <c r="G4541" s="73"/>
      <c r="H4541" s="73"/>
      <c r="I4541" s="73"/>
      <c r="J4541" s="73"/>
      <c r="K4541" s="73"/>
      <c r="L4541" s="73"/>
      <c r="M4541" s="73"/>
      <c r="N4541" s="73"/>
      <c r="O4541" s="73"/>
      <c r="P4541" s="73"/>
      <c r="Q4541" s="73"/>
      <c r="R4541" s="73"/>
      <c r="S4541" s="73"/>
      <c r="T4541" s="73"/>
      <c r="U4541" s="73"/>
      <c r="V4541" s="73"/>
      <c r="W4541" s="73"/>
      <c r="X4541" s="73"/>
      <c r="Y4541" s="73"/>
      <c r="Z4541" s="73"/>
      <c r="AA4541" s="73"/>
      <c r="AB4541" s="73"/>
    </row>
    <row r="4542">
      <c r="A4542" s="73"/>
      <c r="B4542" s="73">
        <v>1.736282938E7</v>
      </c>
      <c r="C4542" s="73">
        <v>7.01898342103424E8</v>
      </c>
      <c r="D4542" s="73">
        <v>3.85226331595991E8</v>
      </c>
      <c r="E4542" s="73">
        <v>5.72954544373895E7</v>
      </c>
      <c r="F4542" s="73"/>
      <c r="G4542" s="73"/>
      <c r="H4542" s="73"/>
      <c r="I4542" s="73"/>
      <c r="J4542" s="73"/>
      <c r="K4542" s="73"/>
      <c r="L4542" s="73"/>
      <c r="M4542" s="73"/>
      <c r="N4542" s="73"/>
      <c r="O4542" s="73"/>
      <c r="P4542" s="73"/>
      <c r="Q4542" s="73"/>
      <c r="R4542" s="73"/>
      <c r="S4542" s="73"/>
      <c r="T4542" s="73"/>
      <c r="U4542" s="73"/>
      <c r="V4542" s="73"/>
      <c r="W4542" s="73"/>
      <c r="X4542" s="73"/>
      <c r="Y4542" s="73"/>
      <c r="Z4542" s="73"/>
      <c r="AA4542" s="73"/>
      <c r="AB4542" s="73"/>
    </row>
    <row r="4543">
      <c r="A4543" s="73"/>
      <c r="B4543" s="73">
        <v>1.738352854E7</v>
      </c>
      <c r="C4543" s="73">
        <v>7.02319043531738E8</v>
      </c>
      <c r="D4543" s="73">
        <v>3.85497116823999E8</v>
      </c>
      <c r="E4543" s="73">
        <v>5.73399880046815E7</v>
      </c>
      <c r="F4543" s="73"/>
      <c r="G4543" s="73"/>
      <c r="H4543" s="73"/>
      <c r="I4543" s="73"/>
      <c r="J4543" s="73"/>
      <c r="K4543" s="73"/>
      <c r="L4543" s="73"/>
      <c r="M4543" s="73"/>
      <c r="N4543" s="73"/>
      <c r="O4543" s="73"/>
      <c r="P4543" s="73"/>
      <c r="Q4543" s="73"/>
      <c r="R4543" s="73"/>
      <c r="S4543" s="73"/>
      <c r="T4543" s="73"/>
      <c r="U4543" s="73"/>
      <c r="V4543" s="73"/>
      <c r="W4543" s="73"/>
      <c r="X4543" s="73"/>
      <c r="Y4543" s="73"/>
      <c r="Z4543" s="73"/>
      <c r="AA4543" s="73"/>
      <c r="AB4543" s="73"/>
    </row>
    <row r="4544">
      <c r="A4544" s="73"/>
      <c r="B4544" s="73">
        <v>1.74042478E7</v>
      </c>
      <c r="C4544" s="73">
        <v>7.02739876800049E8</v>
      </c>
      <c r="D4544" s="73">
        <v>3.85767984867993E8</v>
      </c>
      <c r="E4544" s="73">
        <v>5.73845449530283E7</v>
      </c>
      <c r="F4544" s="73"/>
      <c r="G4544" s="73"/>
      <c r="H4544" s="73"/>
      <c r="I4544" s="73"/>
      <c r="J4544" s="73"/>
      <c r="K4544" s="73"/>
      <c r="L4544" s="73"/>
      <c r="M4544" s="73"/>
      <c r="N4544" s="73"/>
      <c r="O4544" s="73"/>
      <c r="P4544" s="73"/>
      <c r="Q4544" s="73"/>
      <c r="R4544" s="73"/>
      <c r="S4544" s="73"/>
      <c r="T4544" s="73"/>
      <c r="U4544" s="73"/>
      <c r="V4544" s="73"/>
      <c r="W4544" s="73"/>
      <c r="X4544" s="73"/>
      <c r="Y4544" s="73"/>
      <c r="Z4544" s="73"/>
      <c r="AA4544" s="73"/>
      <c r="AB4544" s="73"/>
    </row>
    <row r="4545">
      <c r="A4545" s="73"/>
      <c r="B4545" s="73">
        <v>1.74249866E7</v>
      </c>
      <c r="C4545" s="73">
        <v>7.03160907828354E8</v>
      </c>
      <c r="D4545" s="73">
        <v>3.86039017360001E8</v>
      </c>
      <c r="E4545" s="73">
        <v>5.74291246311658E7</v>
      </c>
      <c r="F4545" s="73"/>
      <c r="G4545" s="73"/>
      <c r="H4545" s="73"/>
      <c r="I4545" s="73"/>
      <c r="J4545" s="73"/>
      <c r="K4545" s="73"/>
      <c r="L4545" s="73"/>
      <c r="M4545" s="73"/>
      <c r="N4545" s="73"/>
      <c r="O4545" s="73"/>
      <c r="P4545" s="73"/>
      <c r="Q4545" s="73"/>
      <c r="R4545" s="73"/>
      <c r="S4545" s="73"/>
      <c r="T4545" s="73"/>
      <c r="U4545" s="73"/>
      <c r="V4545" s="73"/>
      <c r="W4545" s="73"/>
      <c r="X4545" s="73"/>
      <c r="Y4545" s="73"/>
      <c r="Z4545" s="73"/>
      <c r="AA4545" s="73"/>
      <c r="AB4545" s="73"/>
    </row>
    <row r="4546">
      <c r="A4546" s="73"/>
      <c r="B4546" s="73">
        <v>1.744574464E7</v>
      </c>
      <c r="C4546" s="73">
        <v>7.03582004776657E8</v>
      </c>
      <c r="D4546" s="73">
        <v>3.86310132987994E8</v>
      </c>
      <c r="E4546" s="73">
        <v>5.74737262487581E7</v>
      </c>
      <c r="F4546" s="73"/>
      <c r="G4546" s="73"/>
      <c r="H4546" s="73"/>
      <c r="I4546" s="73"/>
      <c r="J4546" s="73"/>
      <c r="K4546" s="73"/>
      <c r="L4546" s="73"/>
      <c r="M4546" s="73"/>
      <c r="N4546" s="73"/>
      <c r="O4546" s="73"/>
      <c r="P4546" s="73"/>
      <c r="Q4546" s="73"/>
      <c r="R4546" s="73"/>
      <c r="S4546" s="73"/>
      <c r="T4546" s="73"/>
      <c r="U4546" s="73"/>
      <c r="V4546" s="73"/>
      <c r="W4546" s="73"/>
      <c r="X4546" s="73"/>
      <c r="Y4546" s="73"/>
      <c r="Z4546" s="73"/>
      <c r="AA4546" s="73"/>
      <c r="AB4546" s="73"/>
    </row>
    <row r="4547">
      <c r="A4547" s="73"/>
      <c r="B4547" s="73">
        <v>1.746652233E7</v>
      </c>
      <c r="C4547" s="73">
        <v>7.04003299484955E8</v>
      </c>
      <c r="D4547" s="73">
        <v>3.86581413064003E8</v>
      </c>
      <c r="E4547" s="73">
        <v>5.75183512745412E7</v>
      </c>
      <c r="F4547" s="73"/>
      <c r="G4547" s="73"/>
      <c r="H4547" s="73"/>
      <c r="I4547" s="73"/>
      <c r="J4547" s="73"/>
      <c r="K4547" s="73"/>
      <c r="L4547" s="73"/>
      <c r="M4547" s="73"/>
      <c r="N4547" s="73"/>
      <c r="O4547" s="73"/>
      <c r="P4547" s="73"/>
      <c r="Q4547" s="73"/>
      <c r="R4547" s="73"/>
      <c r="S4547" s="73"/>
      <c r="T4547" s="73"/>
      <c r="U4547" s="73"/>
      <c r="V4547" s="73"/>
      <c r="W4547" s="73"/>
      <c r="X4547" s="73"/>
      <c r="Y4547" s="73"/>
      <c r="Z4547" s="73"/>
      <c r="AA4547" s="73"/>
      <c r="AB4547" s="73"/>
    </row>
    <row r="4548">
      <c r="A4548" s="73"/>
      <c r="B4548" s="73">
        <v>1.748731987E7</v>
      </c>
      <c r="C4548" s="73">
        <v>7.04424791953247E8</v>
      </c>
      <c r="D4548" s="73">
        <v>3.86852775987996E8</v>
      </c>
      <c r="E4548" s="73">
        <v>5.75629983517151E7</v>
      </c>
      <c r="F4548" s="73"/>
      <c r="G4548" s="73"/>
      <c r="H4548" s="73"/>
      <c r="I4548" s="73"/>
      <c r="J4548" s="73"/>
      <c r="K4548" s="73"/>
      <c r="L4548" s="73"/>
      <c r="M4548" s="73"/>
      <c r="N4548" s="73"/>
      <c r="O4548" s="73"/>
      <c r="P4548" s="73"/>
      <c r="Q4548" s="73"/>
      <c r="R4548" s="73"/>
      <c r="S4548" s="73"/>
      <c r="T4548" s="73"/>
      <c r="U4548" s="73"/>
      <c r="V4548" s="73"/>
      <c r="W4548" s="73"/>
      <c r="X4548" s="73"/>
      <c r="Y4548" s="73"/>
      <c r="Z4548" s="73"/>
      <c r="AA4548" s="73"/>
      <c r="AB4548" s="73"/>
    </row>
    <row r="4549">
      <c r="A4549" s="73"/>
      <c r="B4549" s="73">
        <v>1.750813711E7</v>
      </c>
      <c r="C4549" s="73">
        <v>7.04846482181534E8</v>
      </c>
      <c r="D4549" s="73">
        <v>3.8712430364799E8</v>
      </c>
      <c r="E4549" s="73">
        <v>5.76076680467437E7</v>
      </c>
      <c r="F4549" s="73"/>
      <c r="G4549" s="73"/>
      <c r="H4549" s="73"/>
      <c r="I4549" s="73"/>
      <c r="J4549" s="73"/>
      <c r="K4549" s="73"/>
      <c r="L4549" s="73"/>
      <c r="M4549" s="73"/>
      <c r="N4549" s="73"/>
      <c r="O4549" s="73"/>
      <c r="P4549" s="73"/>
      <c r="Q4549" s="73"/>
      <c r="R4549" s="73"/>
      <c r="S4549" s="73"/>
      <c r="T4549" s="73"/>
      <c r="U4549" s="73"/>
      <c r="V4549" s="73"/>
      <c r="W4549" s="73"/>
      <c r="X4549" s="73"/>
      <c r="Y4549" s="73"/>
      <c r="Z4549" s="73"/>
      <c r="AA4549" s="73"/>
      <c r="AB4549" s="73"/>
    </row>
    <row r="4550">
      <c r="A4550" s="73"/>
      <c r="B4550" s="73">
        <v>1.752897414E7</v>
      </c>
      <c r="C4550" s="73">
        <v>7.05268238329819E8</v>
      </c>
      <c r="D4550" s="73">
        <v>3.87395955115998E8</v>
      </c>
      <c r="E4550" s="73">
        <v>5.76523593691632E7</v>
      </c>
      <c r="F4550" s="73"/>
      <c r="G4550" s="73"/>
      <c r="H4550" s="73"/>
      <c r="I4550" s="73"/>
      <c r="J4550" s="73"/>
      <c r="K4550" s="73"/>
      <c r="L4550" s="73"/>
      <c r="M4550" s="73"/>
      <c r="N4550" s="73"/>
      <c r="O4550" s="73"/>
      <c r="P4550" s="73"/>
      <c r="Q4550" s="73"/>
      <c r="R4550" s="73"/>
      <c r="S4550" s="73"/>
      <c r="T4550" s="73"/>
      <c r="U4550" s="73"/>
      <c r="V4550" s="73"/>
      <c r="W4550" s="73"/>
      <c r="X4550" s="73"/>
      <c r="Y4550" s="73"/>
      <c r="Z4550" s="73"/>
      <c r="AA4550" s="73"/>
      <c r="AB4550" s="73"/>
    </row>
    <row r="4551">
      <c r="A4551" s="73"/>
      <c r="B4551" s="73">
        <v>1.754983034E7</v>
      </c>
      <c r="C4551" s="73">
        <v>7.05690192238098E8</v>
      </c>
      <c r="D4551" s="73">
        <v>3.87667689111992E8</v>
      </c>
      <c r="E4551" s="73">
        <v>5.76970738453735E7</v>
      </c>
      <c r="F4551" s="73"/>
      <c r="G4551" s="73"/>
      <c r="H4551" s="73"/>
      <c r="I4551" s="73"/>
      <c r="J4551" s="73"/>
      <c r="K4551" s="73"/>
      <c r="L4551" s="73"/>
      <c r="M4551" s="73"/>
      <c r="N4551" s="73"/>
      <c r="O4551" s="73"/>
      <c r="P4551" s="73"/>
      <c r="Q4551" s="73"/>
      <c r="R4551" s="73"/>
      <c r="S4551" s="73"/>
      <c r="T4551" s="73"/>
      <c r="U4551" s="73"/>
      <c r="V4551" s="73"/>
      <c r="W4551" s="73"/>
      <c r="X4551" s="73"/>
      <c r="Y4551" s="73"/>
      <c r="Z4551" s="73"/>
      <c r="AA4551" s="73"/>
      <c r="AB4551" s="73"/>
    </row>
    <row r="4552">
      <c r="A4552" s="73"/>
      <c r="B4552" s="73">
        <v>1.757070674E7</v>
      </c>
      <c r="C4552" s="73">
        <v>7.06112277986374E8</v>
      </c>
      <c r="D4552" s="73">
        <v>3.87939587844E8</v>
      </c>
      <c r="E4552" s="73">
        <v>5.77418109394385E7</v>
      </c>
      <c r="F4552" s="73"/>
      <c r="G4552" s="73"/>
      <c r="H4552" s="73"/>
      <c r="I4552" s="73"/>
      <c r="J4552" s="73"/>
      <c r="K4552" s="73"/>
      <c r="L4552" s="73"/>
      <c r="M4552" s="73"/>
      <c r="N4552" s="73"/>
      <c r="O4552" s="73"/>
      <c r="P4552" s="73"/>
      <c r="Q4552" s="73"/>
      <c r="R4552" s="73"/>
      <c r="S4552" s="73"/>
      <c r="T4552" s="73"/>
      <c r="U4552" s="73"/>
      <c r="V4552" s="73"/>
      <c r="W4552" s="73"/>
      <c r="X4552" s="73"/>
      <c r="Y4552" s="73"/>
      <c r="Z4552" s="73"/>
      <c r="AA4552" s="73"/>
      <c r="AB4552" s="73"/>
    </row>
    <row r="4553">
      <c r="A4553" s="73"/>
      <c r="B4553" s="73">
        <v>1.759160218E7</v>
      </c>
      <c r="C4553" s="73">
        <v>7.06534561494644E8</v>
      </c>
      <c r="D4553" s="73">
        <v>3.88211569423993E8</v>
      </c>
      <c r="E4553" s="73">
        <v>5.77865719504942E7</v>
      </c>
      <c r="F4553" s="73"/>
      <c r="G4553" s="73"/>
      <c r="H4553" s="73"/>
      <c r="I4553" s="73"/>
      <c r="J4553" s="73"/>
      <c r="K4553" s="73"/>
      <c r="L4553" s="73"/>
      <c r="M4553" s="73"/>
      <c r="N4553" s="73"/>
      <c r="O4553" s="73"/>
      <c r="P4553" s="73"/>
      <c r="Q4553" s="73"/>
      <c r="R4553" s="73"/>
      <c r="S4553" s="73"/>
      <c r="T4553" s="73"/>
      <c r="U4553" s="73"/>
      <c r="V4553" s="73"/>
      <c r="W4553" s="73"/>
      <c r="X4553" s="73"/>
      <c r="Y4553" s="73"/>
      <c r="Z4553" s="73"/>
      <c r="AA4553" s="73"/>
      <c r="AB4553" s="73"/>
    </row>
    <row r="4554">
      <c r="A4554" s="73"/>
      <c r="B4554" s="73">
        <v>1.761251788E7</v>
      </c>
      <c r="C4554" s="73">
        <v>7.06957108682907E8</v>
      </c>
      <c r="D4554" s="73">
        <v>3.88483715740002E8</v>
      </c>
      <c r="E4554" s="73">
        <v>5.78313539682048E7</v>
      </c>
      <c r="F4554" s="73"/>
      <c r="G4554" s="73"/>
      <c r="H4554" s="73"/>
      <c r="I4554" s="73"/>
      <c r="J4554" s="73"/>
      <c r="K4554" s="73"/>
      <c r="L4554" s="73"/>
      <c r="M4554" s="73"/>
      <c r="N4554" s="73"/>
      <c r="O4554" s="73"/>
      <c r="P4554" s="73"/>
      <c r="Q4554" s="73"/>
      <c r="R4554" s="73"/>
      <c r="S4554" s="73"/>
      <c r="T4554" s="73"/>
      <c r="U4554" s="73"/>
      <c r="V4554" s="73"/>
      <c r="W4554" s="73"/>
      <c r="X4554" s="73"/>
      <c r="Y4554" s="73"/>
      <c r="Z4554" s="73"/>
      <c r="AA4554" s="73"/>
      <c r="AB4554" s="73"/>
    </row>
    <row r="4555">
      <c r="A4555" s="73"/>
      <c r="B4555" s="73">
        <v>1.763345324E7</v>
      </c>
      <c r="C4555" s="73">
        <v>7.0737965587117E8</v>
      </c>
      <c r="D4555" s="73">
        <v>3.88755985863995E8</v>
      </c>
      <c r="E4555" s="73">
        <v>5.78761589701062E7</v>
      </c>
      <c r="F4555" s="73"/>
      <c r="G4555" s="73"/>
      <c r="H4555" s="73"/>
      <c r="I4555" s="73"/>
      <c r="J4555" s="73"/>
      <c r="K4555" s="73"/>
      <c r="L4555" s="73"/>
      <c r="M4555" s="73"/>
      <c r="N4555" s="73"/>
      <c r="O4555" s="73"/>
      <c r="P4555" s="73"/>
      <c r="Q4555" s="73"/>
      <c r="R4555" s="73"/>
      <c r="S4555" s="73"/>
      <c r="T4555" s="73"/>
      <c r="U4555" s="73"/>
      <c r="V4555" s="73"/>
      <c r="W4555" s="73"/>
      <c r="X4555" s="73"/>
      <c r="Y4555" s="73"/>
      <c r="Z4555" s="73"/>
      <c r="AA4555" s="73"/>
      <c r="AB4555" s="73"/>
    </row>
    <row r="4556">
      <c r="A4556" s="73"/>
      <c r="B4556" s="73">
        <v>1.765440768E7</v>
      </c>
      <c r="C4556" s="73">
        <v>7.07802400819427E8</v>
      </c>
      <c r="D4556" s="73">
        <v>3.89028338515988E8</v>
      </c>
      <c r="E4556" s="73">
        <v>5.79209861929983E7</v>
      </c>
      <c r="F4556" s="73"/>
      <c r="G4556" s="73"/>
      <c r="H4556" s="73"/>
      <c r="I4556" s="73"/>
      <c r="J4556" s="73"/>
      <c r="K4556" s="73"/>
      <c r="L4556" s="73"/>
      <c r="M4556" s="73"/>
      <c r="N4556" s="73"/>
      <c r="O4556" s="73"/>
      <c r="P4556" s="73"/>
      <c r="Q4556" s="73"/>
      <c r="R4556" s="73"/>
      <c r="S4556" s="73"/>
      <c r="T4556" s="73"/>
      <c r="U4556" s="73"/>
      <c r="V4556" s="73"/>
      <c r="W4556" s="73"/>
      <c r="X4556" s="73"/>
      <c r="Y4556" s="73"/>
      <c r="Z4556" s="73"/>
      <c r="AA4556" s="73"/>
      <c r="AB4556" s="73"/>
    </row>
    <row r="4557">
      <c r="A4557" s="73"/>
      <c r="B4557" s="73">
        <v>1.767538209E7</v>
      </c>
      <c r="C4557" s="73">
        <v>7.08225343527679E8</v>
      </c>
      <c r="D4557" s="73">
        <v>3.89300855903997E8</v>
      </c>
      <c r="E4557" s="73">
        <v>5.79658361185453E7</v>
      </c>
      <c r="F4557" s="73"/>
      <c r="G4557" s="73"/>
      <c r="H4557" s="73"/>
      <c r="I4557" s="73"/>
      <c r="J4557" s="73"/>
      <c r="K4557" s="73"/>
      <c r="L4557" s="73"/>
      <c r="M4557" s="73"/>
      <c r="N4557" s="73"/>
      <c r="O4557" s="73"/>
      <c r="P4557" s="73"/>
      <c r="Q4557" s="73"/>
      <c r="R4557" s="73"/>
      <c r="S4557" s="73"/>
      <c r="T4557" s="73"/>
      <c r="U4557" s="73"/>
      <c r="V4557" s="73"/>
      <c r="W4557" s="73"/>
      <c r="X4557" s="73"/>
      <c r="Y4557" s="73"/>
      <c r="Z4557" s="73"/>
      <c r="AA4557" s="73"/>
      <c r="AB4557" s="73"/>
    </row>
    <row r="4558">
      <c r="A4558" s="73"/>
      <c r="B4558" s="73">
        <v>1.76963764E7</v>
      </c>
      <c r="C4558" s="73">
        <v>7.08648418075928E8</v>
      </c>
      <c r="D4558" s="73">
        <v>3.8957345613999E8</v>
      </c>
      <c r="E4558" s="73">
        <v>5.8010708265083E7</v>
      </c>
      <c r="F4558" s="73"/>
      <c r="G4558" s="73"/>
      <c r="H4558" s="73"/>
      <c r="I4558" s="73"/>
      <c r="J4558" s="73"/>
      <c r="K4558" s="73"/>
      <c r="L4558" s="73"/>
      <c r="M4558" s="73"/>
      <c r="N4558" s="73"/>
      <c r="O4558" s="73"/>
      <c r="P4558" s="73"/>
      <c r="Q4558" s="73"/>
      <c r="R4558" s="73"/>
      <c r="S4558" s="73"/>
      <c r="T4558" s="73"/>
      <c r="U4558" s="73"/>
      <c r="V4558" s="73"/>
      <c r="W4558" s="73"/>
      <c r="X4558" s="73"/>
      <c r="Y4558" s="73"/>
      <c r="Z4558" s="73"/>
      <c r="AA4558" s="73"/>
      <c r="AB4558" s="73"/>
    </row>
    <row r="4559">
      <c r="A4559" s="73"/>
      <c r="B4559" s="73">
        <v>1.771739058E7</v>
      </c>
      <c r="C4559" s="73">
        <v>7.09071690384171E8</v>
      </c>
      <c r="D4559" s="73">
        <v>3.89846220823999E8</v>
      </c>
      <c r="E4559" s="73">
        <v>5.80556033958115E7</v>
      </c>
      <c r="F4559" s="73"/>
      <c r="G4559" s="73"/>
      <c r="H4559" s="73"/>
      <c r="I4559" s="73"/>
      <c r="J4559" s="73"/>
      <c r="K4559" s="73"/>
      <c r="L4559" s="73"/>
      <c r="M4559" s="73"/>
      <c r="N4559" s="73"/>
      <c r="O4559" s="73"/>
      <c r="P4559" s="73"/>
      <c r="Q4559" s="73"/>
      <c r="R4559" s="73"/>
      <c r="S4559" s="73"/>
      <c r="T4559" s="73"/>
      <c r="U4559" s="73"/>
      <c r="V4559" s="73"/>
      <c r="W4559" s="73"/>
      <c r="X4559" s="73"/>
      <c r="Y4559" s="73"/>
      <c r="Z4559" s="73"/>
      <c r="AA4559" s="73"/>
      <c r="AB4559" s="73"/>
    </row>
    <row r="4560">
      <c r="A4560" s="73"/>
      <c r="B4560" s="73">
        <v>1.773842381E7</v>
      </c>
      <c r="C4560" s="73">
        <v>7.09495028612412E8</v>
      </c>
      <c r="D4560" s="73">
        <v>3.90119109603992E8</v>
      </c>
      <c r="E4560" s="73">
        <v>5.81005202115948E7</v>
      </c>
      <c r="F4560" s="73"/>
      <c r="G4560" s="73"/>
      <c r="H4560" s="73"/>
      <c r="I4560" s="73"/>
      <c r="J4560" s="73"/>
      <c r="K4560" s="73"/>
      <c r="L4560" s="73"/>
      <c r="M4560" s="73"/>
      <c r="N4560" s="73"/>
      <c r="O4560" s="73"/>
      <c r="P4560" s="73"/>
      <c r="Q4560" s="73"/>
      <c r="R4560" s="73"/>
      <c r="S4560" s="73"/>
      <c r="T4560" s="73"/>
      <c r="U4560" s="73"/>
      <c r="V4560" s="73"/>
      <c r="W4560" s="73"/>
      <c r="X4560" s="73"/>
      <c r="Y4560" s="73"/>
      <c r="Z4560" s="73"/>
      <c r="AA4560" s="73"/>
      <c r="AB4560" s="73"/>
    </row>
    <row r="4561">
      <c r="A4561" s="73"/>
      <c r="B4561" s="73">
        <v>1.775947712E7</v>
      </c>
      <c r="C4561" s="73">
        <v>7.09918564600647E8</v>
      </c>
      <c r="D4561" s="73">
        <v>3.90392081200001E8</v>
      </c>
      <c r="E4561" s="73">
        <v>5.81454606899689E7</v>
      </c>
      <c r="F4561" s="73"/>
      <c r="G4561" s="73"/>
      <c r="H4561" s="73"/>
      <c r="I4561" s="73"/>
      <c r="J4561" s="73"/>
      <c r="K4561" s="73"/>
      <c r="L4561" s="73"/>
      <c r="M4561" s="73"/>
      <c r="N4561" s="73"/>
      <c r="O4561" s="73"/>
      <c r="P4561" s="73"/>
      <c r="Q4561" s="73"/>
      <c r="R4561" s="73"/>
      <c r="S4561" s="73"/>
      <c r="T4561" s="73"/>
      <c r="U4561" s="73"/>
      <c r="V4561" s="73"/>
      <c r="W4561" s="73"/>
      <c r="X4561" s="73"/>
      <c r="Y4561" s="73"/>
      <c r="Z4561" s="73"/>
      <c r="AA4561" s="73"/>
      <c r="AB4561" s="73"/>
    </row>
    <row r="4562">
      <c r="A4562" s="73"/>
      <c r="B4562" s="73">
        <v>1.778055002E7</v>
      </c>
      <c r="C4562" s="73">
        <v>7.10342364268875E8</v>
      </c>
      <c r="D4562" s="73">
        <v>3.90665217275994E8</v>
      </c>
      <c r="E4562" s="73">
        <v>5.81904229381977E7</v>
      </c>
      <c r="F4562" s="73"/>
      <c r="G4562" s="73"/>
      <c r="H4562" s="73"/>
      <c r="I4562" s="73"/>
      <c r="J4562" s="73"/>
      <c r="K4562" s="73"/>
      <c r="L4562" s="73"/>
      <c r="M4562" s="73"/>
      <c r="N4562" s="73"/>
      <c r="O4562" s="73"/>
      <c r="P4562" s="73"/>
      <c r="Q4562" s="73"/>
      <c r="R4562" s="73"/>
      <c r="S4562" s="73"/>
      <c r="T4562" s="73"/>
      <c r="U4562" s="73"/>
      <c r="V4562" s="73"/>
      <c r="W4562" s="73"/>
      <c r="X4562" s="73"/>
      <c r="Y4562" s="73"/>
      <c r="Z4562" s="73"/>
      <c r="AA4562" s="73"/>
      <c r="AB4562" s="73"/>
    </row>
    <row r="4563">
      <c r="A4563" s="73"/>
      <c r="B4563" s="73">
        <v>1.780164297E7</v>
      </c>
      <c r="C4563" s="73">
        <v>7.10766163937103E8</v>
      </c>
      <c r="D4563" s="73">
        <v>3.90938436168002E8</v>
      </c>
      <c r="E4563" s="73">
        <v>5.82354092730173E7</v>
      </c>
      <c r="F4563" s="73"/>
      <c r="G4563" s="73"/>
      <c r="H4563" s="73"/>
      <c r="I4563" s="73"/>
      <c r="J4563" s="73"/>
      <c r="K4563" s="73"/>
      <c r="L4563" s="73"/>
      <c r="M4563" s="73"/>
      <c r="N4563" s="73"/>
      <c r="O4563" s="73"/>
      <c r="P4563" s="73"/>
      <c r="Q4563" s="73"/>
      <c r="R4563" s="73"/>
      <c r="S4563" s="73"/>
      <c r="T4563" s="73"/>
      <c r="U4563" s="73"/>
      <c r="V4563" s="73"/>
      <c r="W4563" s="73"/>
      <c r="X4563" s="73"/>
      <c r="Y4563" s="73"/>
      <c r="Z4563" s="73"/>
      <c r="AA4563" s="73"/>
      <c r="AB4563" s="73"/>
    </row>
    <row r="4564">
      <c r="A4564" s="73"/>
      <c r="B4564" s="73">
        <v>1.78227557E7</v>
      </c>
      <c r="C4564" s="73">
        <v>7.11190227285324E8</v>
      </c>
      <c r="D4564" s="73">
        <v>3.91211819795996E8</v>
      </c>
      <c r="E4564" s="73">
        <v>5.82804162176277E7</v>
      </c>
      <c r="F4564" s="73"/>
      <c r="G4564" s="73"/>
      <c r="H4564" s="73"/>
      <c r="I4564" s="73"/>
      <c r="J4564" s="73"/>
      <c r="K4564" s="73"/>
      <c r="L4564" s="73"/>
      <c r="M4564" s="73"/>
      <c r="N4564" s="73"/>
      <c r="O4564" s="73"/>
      <c r="P4564" s="73"/>
      <c r="Q4564" s="73"/>
      <c r="R4564" s="73"/>
      <c r="S4564" s="73"/>
      <c r="T4564" s="73"/>
      <c r="U4564" s="73"/>
      <c r="V4564" s="73"/>
      <c r="W4564" s="73"/>
      <c r="X4564" s="73"/>
      <c r="Y4564" s="73"/>
      <c r="Z4564" s="73"/>
      <c r="AA4564" s="73"/>
      <c r="AB4564" s="73"/>
    </row>
    <row r="4565">
      <c r="A4565" s="73"/>
      <c r="B4565" s="73">
        <v>1.784388774E7</v>
      </c>
      <c r="C4565" s="73">
        <v>7.11614356553543E8</v>
      </c>
      <c r="D4565" s="73">
        <v>3.91485327231989E8</v>
      </c>
      <c r="E4565" s="73">
        <v>5.83254469672929E7</v>
      </c>
      <c r="F4565" s="73"/>
      <c r="G4565" s="73"/>
      <c r="H4565" s="73"/>
      <c r="I4565" s="73"/>
      <c r="J4565" s="73"/>
      <c r="K4565" s="73"/>
      <c r="L4565" s="73"/>
      <c r="M4565" s="73"/>
      <c r="N4565" s="73"/>
      <c r="O4565" s="73"/>
      <c r="P4565" s="73"/>
      <c r="Q4565" s="73"/>
      <c r="R4565" s="73"/>
      <c r="S4565" s="73"/>
      <c r="T4565" s="73"/>
      <c r="U4565" s="73"/>
      <c r="V4565" s="73"/>
      <c r="W4565" s="73"/>
      <c r="X4565" s="73"/>
      <c r="Y4565" s="73"/>
      <c r="Z4565" s="73"/>
      <c r="AA4565" s="73"/>
      <c r="AB4565" s="73"/>
    </row>
    <row r="4566">
      <c r="A4566" s="73"/>
      <c r="B4566" s="73">
        <v>1.786503985E7</v>
      </c>
      <c r="C4566" s="73">
        <v>7.12038749501755E8</v>
      </c>
      <c r="D4566" s="73">
        <v>3.91758917195998E8</v>
      </c>
      <c r="E4566" s="73">
        <v>5.83705002771489E7</v>
      </c>
      <c r="F4566" s="73"/>
      <c r="G4566" s="73"/>
      <c r="H4566" s="73"/>
      <c r="I4566" s="73"/>
      <c r="J4566" s="73"/>
      <c r="K4566" s="73"/>
      <c r="L4566" s="73"/>
      <c r="M4566" s="73"/>
      <c r="N4566" s="73"/>
      <c r="O4566" s="73"/>
      <c r="P4566" s="73"/>
      <c r="Q4566" s="73"/>
      <c r="R4566" s="73"/>
      <c r="S4566" s="73"/>
      <c r="T4566" s="73"/>
      <c r="U4566" s="73"/>
      <c r="V4566" s="73"/>
      <c r="W4566" s="73"/>
      <c r="X4566" s="73"/>
      <c r="Y4566" s="73"/>
      <c r="Z4566" s="73"/>
      <c r="AA4566" s="73"/>
      <c r="AB4566" s="73"/>
    </row>
    <row r="4567">
      <c r="A4567" s="73"/>
      <c r="B4567" s="73">
        <v>1.788621145E7</v>
      </c>
      <c r="C4567" s="73">
        <v>7.12463274289963E8</v>
      </c>
      <c r="D4567" s="73">
        <v>3.92032671927991E8</v>
      </c>
      <c r="E4567" s="73">
        <v>5.84155755535956E7</v>
      </c>
      <c r="F4567" s="73"/>
      <c r="G4567" s="73"/>
      <c r="H4567" s="73"/>
      <c r="I4567" s="73"/>
      <c r="J4567" s="73"/>
      <c r="K4567" s="73"/>
      <c r="L4567" s="73"/>
      <c r="M4567" s="73"/>
      <c r="N4567" s="73"/>
      <c r="O4567" s="73"/>
      <c r="P4567" s="73"/>
      <c r="Q4567" s="73"/>
      <c r="R4567" s="73"/>
      <c r="S4567" s="73"/>
      <c r="T4567" s="73"/>
      <c r="U4567" s="73"/>
      <c r="V4567" s="73"/>
      <c r="W4567" s="73"/>
      <c r="X4567" s="73"/>
      <c r="Y4567" s="73"/>
      <c r="Z4567" s="73"/>
      <c r="AA4567" s="73"/>
      <c r="AB4567" s="73"/>
    </row>
    <row r="4568">
      <c r="A4568" s="73"/>
      <c r="B4568" s="73">
        <v>1.790740301E7</v>
      </c>
      <c r="C4568" s="73">
        <v>7.12887930918167E8</v>
      </c>
      <c r="D4568" s="73">
        <v>3.92306550435999E8</v>
      </c>
      <c r="E4568" s="73">
        <v>5.84606742110971E7</v>
      </c>
      <c r="F4568" s="73"/>
      <c r="G4568" s="73"/>
      <c r="H4568" s="73"/>
      <c r="I4568" s="73"/>
      <c r="J4568" s="73"/>
      <c r="K4568" s="73"/>
      <c r="L4568" s="73"/>
      <c r="M4568" s="73"/>
      <c r="N4568" s="73"/>
      <c r="O4568" s="73"/>
      <c r="P4568" s="73"/>
      <c r="Q4568" s="73"/>
      <c r="R4568" s="73"/>
      <c r="S4568" s="73"/>
      <c r="T4568" s="73"/>
      <c r="U4568" s="73"/>
      <c r="V4568" s="73"/>
      <c r="W4568" s="73"/>
      <c r="X4568" s="73"/>
      <c r="Y4568" s="73"/>
      <c r="Z4568" s="73"/>
      <c r="AA4568" s="73"/>
      <c r="AB4568" s="73"/>
    </row>
    <row r="4569">
      <c r="A4569" s="73"/>
      <c r="B4569" s="73">
        <v>1.792861411E7</v>
      </c>
      <c r="C4569" s="73">
        <v>7.13312851226364E8</v>
      </c>
      <c r="D4569" s="73">
        <v>3.92580512079993E8</v>
      </c>
      <c r="E4569" s="73">
        <v>5.85057950624534E7</v>
      </c>
      <c r="F4569" s="73"/>
      <c r="G4569" s="73"/>
      <c r="H4569" s="73"/>
      <c r="I4569" s="73"/>
      <c r="J4569" s="73"/>
      <c r="K4569" s="73"/>
      <c r="L4569" s="73"/>
      <c r="M4569" s="73"/>
      <c r="N4569" s="73"/>
      <c r="O4569" s="73"/>
      <c r="P4569" s="73"/>
      <c r="Q4569" s="73"/>
      <c r="R4569" s="73"/>
      <c r="S4569" s="73"/>
      <c r="T4569" s="73"/>
      <c r="U4569" s="73"/>
      <c r="V4569" s="73"/>
      <c r="W4569" s="73"/>
      <c r="X4569" s="73"/>
      <c r="Y4569" s="73"/>
      <c r="Z4569" s="73"/>
      <c r="AA4569" s="73"/>
      <c r="AB4569" s="73"/>
    </row>
    <row r="4570">
      <c r="A4570" s="73"/>
      <c r="B4570" s="73">
        <v>1.794984541E7</v>
      </c>
      <c r="C4570" s="73">
        <v>7.13737837454559E8</v>
      </c>
      <c r="D4570" s="73">
        <v>3.92854638172001E8</v>
      </c>
      <c r="E4570" s="73">
        <v>5.85509391795365E7</v>
      </c>
      <c r="F4570" s="73"/>
      <c r="G4570" s="73"/>
      <c r="H4570" s="73"/>
      <c r="I4570" s="73"/>
      <c r="J4570" s="73"/>
      <c r="K4570" s="73"/>
      <c r="L4570" s="73"/>
      <c r="M4570" s="73"/>
      <c r="N4570" s="73"/>
      <c r="O4570" s="73"/>
      <c r="P4570" s="73"/>
      <c r="Q4570" s="73"/>
      <c r="R4570" s="73"/>
      <c r="S4570" s="73"/>
      <c r="T4570" s="73"/>
      <c r="U4570" s="73"/>
      <c r="V4570" s="73"/>
      <c r="W4570" s="73"/>
      <c r="X4570" s="73"/>
      <c r="Y4570" s="73"/>
      <c r="Z4570" s="73"/>
      <c r="AA4570" s="73"/>
      <c r="AB4570" s="73"/>
    </row>
    <row r="4571">
      <c r="A4571" s="73"/>
      <c r="B4571" s="73">
        <v>1.797109619E7</v>
      </c>
      <c r="C4571" s="73">
        <v>7.14163021442749E8</v>
      </c>
      <c r="D4571" s="73">
        <v>3.93128887751995E8</v>
      </c>
      <c r="E4571" s="73">
        <v>5.85961040488744E7</v>
      </c>
      <c r="F4571" s="73"/>
      <c r="G4571" s="73"/>
      <c r="H4571" s="73"/>
      <c r="I4571" s="73"/>
      <c r="J4571" s="73"/>
      <c r="K4571" s="73"/>
      <c r="L4571" s="73"/>
      <c r="M4571" s="73"/>
      <c r="N4571" s="73"/>
      <c r="O4571" s="73"/>
      <c r="P4571" s="73"/>
      <c r="Q4571" s="73"/>
      <c r="R4571" s="73"/>
      <c r="S4571" s="73"/>
      <c r="T4571" s="73"/>
      <c r="U4571" s="73"/>
      <c r="V4571" s="73"/>
      <c r="W4571" s="73"/>
      <c r="X4571" s="73"/>
      <c r="Y4571" s="73"/>
      <c r="Z4571" s="73"/>
      <c r="AA4571" s="73"/>
      <c r="AB4571" s="73"/>
    </row>
    <row r="4572">
      <c r="A4572" s="73"/>
      <c r="B4572" s="73">
        <v>1.799236693E7</v>
      </c>
      <c r="C4572" s="73">
        <v>7.14588271350937E8</v>
      </c>
      <c r="D4572" s="73">
        <v>3.93403220180003E8</v>
      </c>
      <c r="E4572" s="73">
        <v>5.8641293486467E7</v>
      </c>
      <c r="F4572" s="73"/>
      <c r="G4572" s="73"/>
      <c r="H4572" s="73"/>
      <c r="I4572" s="73"/>
      <c r="J4572" s="73"/>
      <c r="K4572" s="73"/>
      <c r="L4572" s="73"/>
      <c r="M4572" s="73"/>
      <c r="N4572" s="73"/>
      <c r="O4572" s="73"/>
      <c r="P4572" s="73"/>
      <c r="Q4572" s="73"/>
      <c r="R4572" s="73"/>
      <c r="S4572" s="73"/>
      <c r="T4572" s="73"/>
      <c r="U4572" s="73"/>
      <c r="V4572" s="73"/>
      <c r="W4572" s="73"/>
      <c r="X4572" s="73"/>
      <c r="Y4572" s="73"/>
      <c r="Z4572" s="73"/>
      <c r="AA4572" s="73"/>
      <c r="AB4572" s="73"/>
    </row>
    <row r="4573">
      <c r="A4573" s="73"/>
      <c r="B4573" s="73">
        <v>1.801365721E7</v>
      </c>
      <c r="C4573" s="73">
        <v>7.15013719019119E8</v>
      </c>
      <c r="D4573" s="73">
        <v>3.93677717343996E8</v>
      </c>
      <c r="E4573" s="73">
        <v>5.86865038153865E7</v>
      </c>
      <c r="F4573" s="73"/>
      <c r="G4573" s="73"/>
      <c r="H4573" s="73"/>
      <c r="I4573" s="73"/>
      <c r="J4573" s="73"/>
      <c r="K4573" s="73"/>
      <c r="L4573" s="73"/>
      <c r="M4573" s="73"/>
      <c r="N4573" s="73"/>
      <c r="O4573" s="73"/>
      <c r="P4573" s="73"/>
      <c r="Q4573" s="73"/>
      <c r="R4573" s="73"/>
      <c r="S4573" s="73"/>
      <c r="T4573" s="73"/>
      <c r="U4573" s="73"/>
      <c r="V4573" s="73"/>
      <c r="W4573" s="73"/>
      <c r="X4573" s="73"/>
      <c r="Y4573" s="73"/>
      <c r="Z4573" s="73"/>
      <c r="AA4573" s="73"/>
      <c r="AB4573" s="73"/>
    </row>
    <row r="4574">
      <c r="A4574" s="73"/>
      <c r="B4574" s="73">
        <v>1.803496717E7</v>
      </c>
      <c r="C4574" s="73">
        <v>7.15439364447296E8</v>
      </c>
      <c r="D4574" s="73">
        <v>3.9395233860399E8</v>
      </c>
      <c r="E4574" s="73">
        <v>5.87317397878246E7</v>
      </c>
      <c r="F4574" s="73"/>
      <c r="G4574" s="73"/>
      <c r="H4574" s="73"/>
      <c r="I4574" s="73"/>
      <c r="J4574" s="73"/>
      <c r="K4574" s="73"/>
      <c r="L4574" s="73"/>
      <c r="M4574" s="73"/>
      <c r="N4574" s="73"/>
      <c r="O4574" s="73"/>
      <c r="P4574" s="73"/>
      <c r="Q4574" s="73"/>
      <c r="R4574" s="73"/>
      <c r="S4574" s="73"/>
      <c r="T4574" s="73"/>
      <c r="U4574" s="73"/>
      <c r="V4574" s="73"/>
      <c r="W4574" s="73"/>
      <c r="X4574" s="73"/>
      <c r="Y4574" s="73"/>
      <c r="Z4574" s="73"/>
      <c r="AA4574" s="73"/>
      <c r="AB4574" s="73"/>
    </row>
    <row r="4575">
      <c r="A4575" s="73"/>
      <c r="B4575" s="73">
        <v>1.805629734E7</v>
      </c>
      <c r="C4575" s="73">
        <v>7.15865141715469E8</v>
      </c>
      <c r="D4575" s="73">
        <v>3.94227042103998E8</v>
      </c>
      <c r="E4575" s="73">
        <v>5.87769952947896E7</v>
      </c>
      <c r="F4575" s="73"/>
      <c r="G4575" s="73"/>
      <c r="H4575" s="73"/>
      <c r="I4575" s="73"/>
      <c r="J4575" s="73"/>
      <c r="K4575" s="73"/>
      <c r="L4575" s="73"/>
      <c r="M4575" s="73"/>
      <c r="N4575" s="73"/>
      <c r="O4575" s="73"/>
      <c r="P4575" s="73"/>
      <c r="Q4575" s="73"/>
      <c r="R4575" s="73"/>
      <c r="S4575" s="73"/>
      <c r="T4575" s="73"/>
      <c r="U4575" s="73"/>
      <c r="V4575" s="73"/>
      <c r="W4575" s="73"/>
      <c r="X4575" s="73"/>
      <c r="Y4575" s="73"/>
      <c r="Z4575" s="73"/>
      <c r="AA4575" s="73"/>
      <c r="AB4575" s="73"/>
    </row>
    <row r="4576">
      <c r="A4576" s="73"/>
      <c r="B4576" s="73">
        <v>1.807764713E7</v>
      </c>
      <c r="C4576" s="73">
        <v>7.16291116743637E8</v>
      </c>
      <c r="D4576" s="73">
        <v>3.94501910659992E8</v>
      </c>
      <c r="E4576" s="73">
        <v>5.88222740980094E7</v>
      </c>
      <c r="F4576" s="73"/>
      <c r="G4576" s="73"/>
      <c r="H4576" s="73"/>
      <c r="I4576" s="73"/>
      <c r="J4576" s="73"/>
      <c r="K4576" s="73"/>
      <c r="L4576" s="73"/>
      <c r="M4576" s="73"/>
      <c r="N4576" s="73"/>
      <c r="O4576" s="73"/>
      <c r="P4576" s="73"/>
      <c r="Q4576" s="73"/>
      <c r="R4576" s="73"/>
      <c r="S4576" s="73"/>
      <c r="T4576" s="73"/>
      <c r="U4576" s="73"/>
      <c r="V4576" s="73"/>
      <c r="W4576" s="73"/>
      <c r="X4576" s="73"/>
      <c r="Y4576" s="73"/>
      <c r="Z4576" s="73"/>
      <c r="AA4576" s="73"/>
      <c r="AB4576" s="73"/>
    </row>
    <row r="4577">
      <c r="A4577" s="73"/>
      <c r="B4577" s="73">
        <v>1.80990168E7</v>
      </c>
      <c r="C4577" s="73">
        <v>7.16717223611801E8</v>
      </c>
      <c r="D4577" s="73">
        <v>3.94776902992E8</v>
      </c>
      <c r="E4577" s="73">
        <v>5.886757571582E7</v>
      </c>
      <c r="F4577" s="73"/>
      <c r="G4577" s="73"/>
      <c r="H4577" s="73"/>
      <c r="I4577" s="73"/>
      <c r="J4577" s="73"/>
      <c r="K4577" s="73"/>
      <c r="L4577" s="73"/>
      <c r="M4577" s="73"/>
      <c r="N4577" s="73"/>
      <c r="O4577" s="73"/>
      <c r="P4577" s="73"/>
      <c r="Q4577" s="73"/>
      <c r="R4577" s="73"/>
      <c r="S4577" s="73"/>
      <c r="T4577" s="73"/>
      <c r="U4577" s="73"/>
      <c r="V4577" s="73"/>
      <c r="W4577" s="73"/>
      <c r="X4577" s="73"/>
      <c r="Y4577" s="73"/>
      <c r="Z4577" s="73"/>
      <c r="AA4577" s="73"/>
      <c r="AB4577" s="73"/>
    </row>
    <row r="4578">
      <c r="A4578" s="73"/>
      <c r="B4578" s="73">
        <v>1.812040616E7</v>
      </c>
      <c r="C4578" s="73">
        <v>7.1714352823996E8</v>
      </c>
      <c r="D4578" s="73">
        <v>3.95052018811993E8</v>
      </c>
      <c r="E4578" s="73">
        <v>5.89129006298853E7</v>
      </c>
      <c r="F4578" s="73"/>
      <c r="G4578" s="73"/>
      <c r="H4578" s="73"/>
      <c r="I4578" s="73"/>
      <c r="J4578" s="73"/>
      <c r="K4578" s="73"/>
      <c r="L4578" s="73"/>
      <c r="M4578" s="73"/>
      <c r="N4578" s="73"/>
      <c r="O4578" s="73"/>
      <c r="P4578" s="73"/>
      <c r="Q4578" s="73"/>
      <c r="R4578" s="73"/>
      <c r="S4578" s="73"/>
      <c r="T4578" s="73"/>
      <c r="U4578" s="73"/>
      <c r="V4578" s="73"/>
      <c r="W4578" s="73"/>
      <c r="X4578" s="73"/>
      <c r="Y4578" s="73"/>
      <c r="Z4578" s="73"/>
      <c r="AA4578" s="73"/>
      <c r="AB4578" s="73"/>
    </row>
    <row r="4579">
      <c r="A4579" s="73"/>
      <c r="B4579" s="73">
        <v>1.814181542E7</v>
      </c>
      <c r="C4579" s="73">
        <v>7.17569898788116E8</v>
      </c>
      <c r="D4579" s="73">
        <v>3.95327258440002E8</v>
      </c>
      <c r="E4579" s="73">
        <v>5.89582468321414E7</v>
      </c>
      <c r="F4579" s="73"/>
      <c r="G4579" s="73"/>
      <c r="H4579" s="73"/>
      <c r="I4579" s="73"/>
      <c r="J4579" s="73"/>
      <c r="K4579" s="73"/>
      <c r="L4579" s="73"/>
      <c r="M4579" s="73"/>
      <c r="N4579" s="73"/>
      <c r="O4579" s="73"/>
      <c r="P4579" s="73"/>
      <c r="Q4579" s="73"/>
      <c r="R4579" s="73"/>
      <c r="S4579" s="73"/>
      <c r="T4579" s="73"/>
      <c r="U4579" s="73"/>
      <c r="V4579" s="73"/>
      <c r="W4579" s="73"/>
      <c r="X4579" s="73"/>
      <c r="Y4579" s="73"/>
      <c r="Z4579" s="73"/>
      <c r="AA4579" s="73"/>
      <c r="AB4579" s="73"/>
    </row>
    <row r="4580">
      <c r="A4580" s="73"/>
      <c r="B4580" s="73">
        <v>1.816324457E7</v>
      </c>
      <c r="C4580" s="73">
        <v>7.17996598936264E8</v>
      </c>
      <c r="D4580" s="73">
        <v>3.95602621843995E8</v>
      </c>
      <c r="E4580" s="73">
        <v>5.90036169242522E7</v>
      </c>
      <c r="F4580" s="73"/>
      <c r="G4580" s="73"/>
      <c r="H4580" s="73"/>
      <c r="I4580" s="73"/>
      <c r="J4580" s="73"/>
      <c r="K4580" s="73"/>
      <c r="L4580" s="73"/>
      <c r="M4580" s="73"/>
      <c r="N4580" s="73"/>
      <c r="O4580" s="73"/>
      <c r="P4580" s="73"/>
      <c r="Q4580" s="73"/>
      <c r="R4580" s="73"/>
      <c r="S4580" s="73"/>
      <c r="T4580" s="73"/>
      <c r="U4580" s="73"/>
      <c r="V4580" s="73"/>
      <c r="W4580" s="73"/>
      <c r="X4580" s="73"/>
      <c r="Y4580" s="73"/>
      <c r="Z4580" s="73"/>
      <c r="AA4580" s="73"/>
      <c r="AB4580" s="73"/>
    </row>
    <row r="4581">
      <c r="A4581" s="73"/>
      <c r="B4581" s="73">
        <v>1.818469357E7</v>
      </c>
      <c r="C4581" s="73">
        <v>7.1842336500441E8</v>
      </c>
      <c r="D4581" s="73">
        <v>3.95878068095988E8</v>
      </c>
      <c r="E4581" s="73">
        <v>5.90490099157539E7</v>
      </c>
      <c r="F4581" s="73"/>
      <c r="G4581" s="73"/>
      <c r="H4581" s="73"/>
      <c r="I4581" s="73"/>
      <c r="J4581" s="73"/>
      <c r="K4581" s="73"/>
      <c r="L4581" s="73"/>
      <c r="M4581" s="73"/>
      <c r="N4581" s="73"/>
      <c r="O4581" s="73"/>
      <c r="P4581" s="73"/>
      <c r="Q4581" s="73"/>
      <c r="R4581" s="73"/>
      <c r="S4581" s="73"/>
      <c r="T4581" s="73"/>
      <c r="U4581" s="73"/>
      <c r="V4581" s="73"/>
      <c r="W4581" s="73"/>
      <c r="X4581" s="73"/>
      <c r="Y4581" s="73"/>
      <c r="Z4581" s="73"/>
      <c r="AA4581" s="73"/>
      <c r="AB4581" s="73"/>
    </row>
    <row r="4582">
      <c r="A4582" s="73"/>
      <c r="B4582" s="73">
        <v>1.820616201E7</v>
      </c>
      <c r="C4582" s="73">
        <v>7.1885032883255E8</v>
      </c>
      <c r="D4582" s="73">
        <v>3.96153678795997E8</v>
      </c>
      <c r="E4582" s="73">
        <v>5.90944247890463E7</v>
      </c>
      <c r="F4582" s="73"/>
      <c r="G4582" s="73"/>
      <c r="H4582" s="73"/>
      <c r="I4582" s="73"/>
      <c r="J4582" s="73"/>
      <c r="K4582" s="73"/>
      <c r="L4582" s="73"/>
      <c r="M4582" s="73"/>
      <c r="N4582" s="73"/>
      <c r="O4582" s="73"/>
      <c r="P4582" s="73"/>
      <c r="Q4582" s="73"/>
      <c r="R4582" s="73"/>
      <c r="S4582" s="73"/>
      <c r="T4582" s="73"/>
      <c r="U4582" s="73"/>
      <c r="V4582" s="73"/>
      <c r="W4582" s="73"/>
      <c r="X4582" s="73"/>
      <c r="Y4582" s="73"/>
      <c r="Z4582" s="73"/>
      <c r="AA4582" s="73"/>
      <c r="AB4582" s="73"/>
    </row>
    <row r="4583">
      <c r="A4583" s="73"/>
      <c r="B4583" s="73">
        <v>1.82276506E7</v>
      </c>
      <c r="C4583" s="73">
        <v>7.19277358580688E8</v>
      </c>
      <c r="D4583" s="73">
        <v>3.9642941327199E8</v>
      </c>
      <c r="E4583" s="73">
        <v>5.91398604417296E7</v>
      </c>
      <c r="F4583" s="73"/>
      <c r="G4583" s="73"/>
      <c r="H4583" s="73"/>
      <c r="I4583" s="73"/>
      <c r="J4583" s="73"/>
      <c r="K4583" s="73"/>
      <c r="L4583" s="73"/>
      <c r="M4583" s="73"/>
      <c r="N4583" s="73"/>
      <c r="O4583" s="73"/>
      <c r="P4583" s="73"/>
      <c r="Q4583" s="73"/>
      <c r="R4583" s="73"/>
      <c r="S4583" s="73"/>
      <c r="T4583" s="73"/>
      <c r="U4583" s="73"/>
      <c r="V4583" s="73"/>
      <c r="W4583" s="73"/>
      <c r="X4583" s="73"/>
      <c r="Y4583" s="73"/>
      <c r="Z4583" s="73"/>
      <c r="AA4583" s="73"/>
      <c r="AB4583" s="73"/>
    </row>
    <row r="4584">
      <c r="A4584" s="73"/>
      <c r="B4584" s="73">
        <v>1.824915888E7</v>
      </c>
      <c r="C4584" s="73">
        <v>7.19704586088821E8</v>
      </c>
      <c r="D4584" s="73">
        <v>3.96705271555999E8</v>
      </c>
      <c r="E4584" s="73">
        <v>5.91853219923315E7</v>
      </c>
      <c r="F4584" s="73"/>
      <c r="G4584" s="73"/>
      <c r="H4584" s="73"/>
      <c r="I4584" s="73"/>
      <c r="J4584" s="73"/>
      <c r="K4584" s="73"/>
      <c r="L4584" s="73"/>
      <c r="M4584" s="73"/>
      <c r="N4584" s="73"/>
      <c r="O4584" s="73"/>
      <c r="P4584" s="73"/>
      <c r="Q4584" s="73"/>
      <c r="R4584" s="73"/>
      <c r="S4584" s="73"/>
      <c r="T4584" s="73"/>
      <c r="U4584" s="73"/>
      <c r="V4584" s="73"/>
      <c r="W4584" s="73"/>
      <c r="X4584" s="73"/>
      <c r="Y4584" s="73"/>
      <c r="Z4584" s="73"/>
      <c r="AA4584" s="73"/>
      <c r="AB4584" s="73"/>
    </row>
    <row r="4585">
      <c r="A4585" s="73"/>
      <c r="B4585" s="73">
        <v>1.827068722E7</v>
      </c>
      <c r="C4585" s="73">
        <v>7.20132011356949E8</v>
      </c>
      <c r="D4585" s="73">
        <v>3.96981253935992E8</v>
      </c>
      <c r="E4585" s="73">
        <v>5.92308037558603E7</v>
      </c>
      <c r="F4585" s="73"/>
      <c r="G4585" s="73"/>
      <c r="H4585" s="73"/>
      <c r="I4585" s="73"/>
      <c r="J4585" s="73"/>
      <c r="K4585" s="73"/>
      <c r="L4585" s="73"/>
      <c r="M4585" s="73"/>
      <c r="N4585" s="73"/>
      <c r="O4585" s="73"/>
      <c r="P4585" s="73"/>
      <c r="Q4585" s="73"/>
      <c r="R4585" s="73"/>
      <c r="S4585" s="73"/>
      <c r="T4585" s="73"/>
      <c r="U4585" s="73"/>
      <c r="V4585" s="73"/>
      <c r="W4585" s="73"/>
      <c r="X4585" s="73"/>
      <c r="Y4585" s="73"/>
      <c r="Z4585" s="73"/>
      <c r="AA4585" s="73"/>
      <c r="AB4585" s="73"/>
    </row>
    <row r="4586">
      <c r="A4586" s="73"/>
      <c r="B4586" s="73">
        <v>1.829223579E7</v>
      </c>
      <c r="C4586" s="73">
        <v>7.20559502545074E8</v>
      </c>
      <c r="D4586" s="73">
        <v>3.97257359484001E8</v>
      </c>
      <c r="E4586" s="73">
        <v>5.92763105116438E7</v>
      </c>
      <c r="F4586" s="73"/>
      <c r="G4586" s="73"/>
      <c r="H4586" s="73"/>
      <c r="I4586" s="73"/>
      <c r="J4586" s="73"/>
      <c r="K4586" s="73"/>
      <c r="L4586" s="73"/>
      <c r="M4586" s="73"/>
      <c r="N4586" s="73"/>
      <c r="O4586" s="73"/>
      <c r="P4586" s="73"/>
      <c r="Q4586" s="73"/>
      <c r="R4586" s="73"/>
      <c r="S4586" s="73"/>
      <c r="T4586" s="73"/>
      <c r="U4586" s="73"/>
      <c r="V4586" s="73"/>
      <c r="W4586" s="73"/>
      <c r="X4586" s="73"/>
      <c r="Y4586" s="73"/>
      <c r="Z4586" s="73"/>
      <c r="AA4586" s="73"/>
      <c r="AB4586" s="73"/>
    </row>
    <row r="4587">
      <c r="A4587" s="73"/>
      <c r="B4587" s="73">
        <v>1.831380364E7</v>
      </c>
      <c r="C4587" s="73">
        <v>7.20987257413193E8</v>
      </c>
      <c r="D4587" s="73">
        <v>3.97533589159994E8</v>
      </c>
      <c r="E4587" s="73">
        <v>5.93218376228182E7</v>
      </c>
      <c r="F4587" s="73"/>
      <c r="G4587" s="73"/>
      <c r="H4587" s="73"/>
      <c r="I4587" s="73"/>
      <c r="J4587" s="73"/>
      <c r="K4587" s="73"/>
      <c r="L4587" s="73"/>
      <c r="M4587" s="73"/>
      <c r="N4587" s="73"/>
      <c r="O4587" s="73"/>
      <c r="P4587" s="73"/>
      <c r="Q4587" s="73"/>
      <c r="R4587" s="73"/>
      <c r="S4587" s="73"/>
      <c r="T4587" s="73"/>
      <c r="U4587" s="73"/>
      <c r="V4587" s="73"/>
      <c r="W4587" s="73"/>
      <c r="X4587" s="73"/>
      <c r="Y4587" s="73"/>
      <c r="Z4587" s="73"/>
      <c r="AA4587" s="73"/>
      <c r="AB4587" s="73"/>
    </row>
    <row r="4588">
      <c r="A4588" s="73"/>
      <c r="B4588" s="73">
        <v>1.833539178E7</v>
      </c>
      <c r="C4588" s="73">
        <v>7.21415144121307E8</v>
      </c>
      <c r="D4588" s="73">
        <v>3.97809942292002E8</v>
      </c>
      <c r="E4588" s="73">
        <v>5.93673902350472E7</v>
      </c>
      <c r="F4588" s="73"/>
      <c r="G4588" s="73"/>
      <c r="H4588" s="73"/>
      <c r="I4588" s="73"/>
      <c r="J4588" s="73"/>
      <c r="K4588" s="73"/>
      <c r="L4588" s="73"/>
      <c r="M4588" s="73"/>
      <c r="N4588" s="73"/>
      <c r="O4588" s="73"/>
      <c r="P4588" s="73"/>
      <c r="Q4588" s="73"/>
      <c r="R4588" s="73"/>
      <c r="S4588" s="73"/>
      <c r="T4588" s="73"/>
      <c r="U4588" s="73"/>
      <c r="V4588" s="73"/>
      <c r="W4588" s="73"/>
      <c r="X4588" s="73"/>
      <c r="Y4588" s="73"/>
      <c r="Z4588" s="73"/>
      <c r="AA4588" s="73"/>
      <c r="AB4588" s="73"/>
    </row>
    <row r="4589">
      <c r="A4589" s="73"/>
      <c r="B4589" s="73">
        <v>1.835699957E7</v>
      </c>
      <c r="C4589" s="73">
        <v>7.21843162669418E8</v>
      </c>
      <c r="D4589" s="73">
        <v>3.98086419231996E8</v>
      </c>
      <c r="E4589" s="73">
        <v>5.94129632026671E7</v>
      </c>
      <c r="F4589" s="73"/>
      <c r="G4589" s="73"/>
      <c r="H4589" s="73"/>
      <c r="I4589" s="73"/>
      <c r="J4589" s="73"/>
      <c r="K4589" s="73"/>
      <c r="L4589" s="73"/>
      <c r="M4589" s="73"/>
      <c r="N4589" s="73"/>
      <c r="O4589" s="73"/>
      <c r="P4589" s="73"/>
      <c r="Q4589" s="73"/>
      <c r="R4589" s="73"/>
      <c r="S4589" s="73"/>
      <c r="T4589" s="73"/>
      <c r="U4589" s="73"/>
      <c r="V4589" s="73"/>
      <c r="W4589" s="73"/>
      <c r="X4589" s="73"/>
      <c r="Y4589" s="73"/>
      <c r="Z4589" s="73"/>
      <c r="AA4589" s="73"/>
      <c r="AB4589" s="73"/>
    </row>
    <row r="4590">
      <c r="A4590" s="73"/>
      <c r="B4590" s="73">
        <v>1.837862751E7</v>
      </c>
      <c r="C4590" s="73">
        <v>7.22271378977524E8</v>
      </c>
      <c r="D4590" s="73">
        <v>3.98363020267989E8</v>
      </c>
      <c r="E4590" s="73">
        <v>5.94585589000778E7</v>
      </c>
      <c r="F4590" s="73"/>
      <c r="G4590" s="73"/>
      <c r="H4590" s="73"/>
      <c r="I4590" s="73"/>
      <c r="J4590" s="73"/>
      <c r="K4590" s="73"/>
      <c r="L4590" s="73"/>
      <c r="M4590" s="73"/>
      <c r="N4590" s="73"/>
      <c r="O4590" s="73"/>
      <c r="P4590" s="73"/>
      <c r="Q4590" s="73"/>
      <c r="R4590" s="73"/>
      <c r="S4590" s="73"/>
      <c r="T4590" s="73"/>
      <c r="U4590" s="73"/>
      <c r="V4590" s="73"/>
      <c r="W4590" s="73"/>
      <c r="X4590" s="73"/>
      <c r="Y4590" s="73"/>
      <c r="Z4590" s="73"/>
      <c r="AA4590" s="73"/>
      <c r="AB4590" s="73"/>
    </row>
    <row r="4591">
      <c r="A4591" s="73"/>
      <c r="B4591" s="73">
        <v>1.840027518E7</v>
      </c>
      <c r="C4591" s="73">
        <v>7.22699727125626E8</v>
      </c>
      <c r="D4591" s="73">
        <v>3.98639744791998E8</v>
      </c>
      <c r="E4591" s="73">
        <v>5.95041779785432E7</v>
      </c>
      <c r="F4591" s="73"/>
      <c r="G4591" s="73"/>
      <c r="H4591" s="73"/>
      <c r="I4591" s="73"/>
      <c r="J4591" s="73"/>
      <c r="K4591" s="73"/>
      <c r="L4591" s="73"/>
      <c r="M4591" s="73"/>
      <c r="N4591" s="73"/>
      <c r="O4591" s="73"/>
      <c r="P4591" s="73"/>
      <c r="Q4591" s="73"/>
      <c r="R4591" s="73"/>
      <c r="S4591" s="73"/>
      <c r="T4591" s="73"/>
      <c r="U4591" s="73"/>
      <c r="V4591" s="73"/>
      <c r="W4591" s="73"/>
      <c r="X4591" s="73"/>
      <c r="Y4591" s="73"/>
      <c r="Z4591" s="73"/>
      <c r="AA4591" s="73"/>
      <c r="AB4591" s="73"/>
    </row>
    <row r="4592">
      <c r="A4592" s="73"/>
      <c r="B4592" s="73">
        <v>1.842194256E7</v>
      </c>
      <c r="C4592" s="73">
        <v>7.23128273033722E8</v>
      </c>
      <c r="D4592" s="73">
        <v>3.98916592803991E8</v>
      </c>
      <c r="E4592" s="73">
        <v>5.95498188539994E7</v>
      </c>
      <c r="F4592" s="73"/>
      <c r="G4592" s="73"/>
      <c r="H4592" s="73"/>
      <c r="I4592" s="73"/>
      <c r="J4592" s="73"/>
      <c r="K4592" s="73"/>
      <c r="L4592" s="73"/>
      <c r="M4592" s="73"/>
      <c r="N4592" s="73"/>
      <c r="O4592" s="73"/>
      <c r="P4592" s="73"/>
      <c r="Q4592" s="73"/>
      <c r="R4592" s="73"/>
      <c r="S4592" s="73"/>
      <c r="T4592" s="73"/>
      <c r="U4592" s="73"/>
      <c r="V4592" s="73"/>
      <c r="W4592" s="73"/>
      <c r="X4592" s="73"/>
      <c r="Y4592" s="73"/>
      <c r="Z4592" s="73"/>
      <c r="AA4592" s="73"/>
      <c r="AB4592" s="73"/>
    </row>
    <row r="4593">
      <c r="A4593" s="73"/>
      <c r="B4593" s="73">
        <v>1.844363036E7</v>
      </c>
      <c r="C4593" s="73">
        <v>7.23557016701813E8</v>
      </c>
      <c r="D4593" s="73">
        <v>3.99193564911999E8</v>
      </c>
      <c r="E4593" s="73">
        <v>5.95954837889103E7</v>
      </c>
      <c r="F4593" s="73"/>
      <c r="G4593" s="73"/>
      <c r="H4593" s="73"/>
      <c r="I4593" s="73"/>
      <c r="J4593" s="73"/>
      <c r="K4593" s="73"/>
      <c r="L4593" s="73"/>
      <c r="M4593" s="73"/>
      <c r="N4593" s="73"/>
      <c r="O4593" s="73"/>
      <c r="P4593" s="73"/>
      <c r="Q4593" s="73"/>
      <c r="R4593" s="73"/>
      <c r="S4593" s="73"/>
      <c r="T4593" s="73"/>
      <c r="U4593" s="73"/>
      <c r="V4593" s="73"/>
      <c r="W4593" s="73"/>
      <c r="X4593" s="73"/>
      <c r="Y4593" s="73"/>
      <c r="Z4593" s="73"/>
      <c r="AA4593" s="73"/>
      <c r="AB4593" s="73"/>
    </row>
    <row r="4594">
      <c r="A4594" s="73"/>
      <c r="B4594" s="73">
        <v>1.846533743E7</v>
      </c>
      <c r="C4594" s="73">
        <v>7.23985826289902E8</v>
      </c>
      <c r="D4594" s="73">
        <v>3.99470660507993E8</v>
      </c>
      <c r="E4594" s="73">
        <v>5.9641171453612E7</v>
      </c>
      <c r="F4594" s="73"/>
      <c r="G4594" s="73"/>
      <c r="H4594" s="73"/>
      <c r="I4594" s="73"/>
      <c r="J4594" s="73"/>
      <c r="K4594" s="73"/>
      <c r="L4594" s="73"/>
      <c r="M4594" s="73"/>
      <c r="N4594" s="73"/>
      <c r="O4594" s="73"/>
      <c r="P4594" s="73"/>
      <c r="Q4594" s="73"/>
      <c r="R4594" s="73"/>
      <c r="S4594" s="73"/>
      <c r="T4594" s="73"/>
      <c r="U4594" s="73"/>
      <c r="V4594" s="73"/>
      <c r="W4594" s="73"/>
      <c r="X4594" s="73"/>
      <c r="Y4594" s="73"/>
      <c r="Z4594" s="73"/>
      <c r="AA4594" s="73"/>
      <c r="AB4594" s="73"/>
    </row>
    <row r="4595">
      <c r="A4595" s="73"/>
      <c r="B4595" s="73">
        <v>1.8487065E7</v>
      </c>
      <c r="C4595" s="73">
        <v>7.24414899557983E8</v>
      </c>
      <c r="D4595" s="73">
        <v>3.99747880200001E8</v>
      </c>
      <c r="E4595" s="73">
        <v>5.96868804065046E7</v>
      </c>
      <c r="F4595" s="73"/>
      <c r="G4595" s="73"/>
      <c r="H4595" s="73"/>
      <c r="I4595" s="73"/>
      <c r="J4595" s="73"/>
      <c r="K4595" s="73"/>
      <c r="L4595" s="73"/>
      <c r="M4595" s="73"/>
      <c r="N4595" s="73"/>
      <c r="O4595" s="73"/>
      <c r="P4595" s="73"/>
      <c r="Q4595" s="73"/>
      <c r="R4595" s="73"/>
      <c r="S4595" s="73"/>
      <c r="T4595" s="73"/>
      <c r="U4595" s="73"/>
      <c r="V4595" s="73"/>
      <c r="W4595" s="73"/>
      <c r="X4595" s="73"/>
      <c r="Y4595" s="73"/>
      <c r="Z4595" s="73"/>
      <c r="AA4595" s="73"/>
      <c r="AB4595" s="73"/>
    </row>
    <row r="4596">
      <c r="A4596" s="73"/>
      <c r="B4596" s="73">
        <v>1.850881192E7</v>
      </c>
      <c r="C4596" s="73">
        <v>7.24844038746063E8</v>
      </c>
      <c r="D4596" s="73">
        <v>4.00025223379995E8</v>
      </c>
      <c r="E4596" s="73">
        <v>5.97326127404519E7</v>
      </c>
      <c r="F4596" s="73"/>
      <c r="G4596" s="73"/>
      <c r="H4596" s="73"/>
      <c r="I4596" s="73"/>
      <c r="J4596" s="73"/>
      <c r="K4596" s="73"/>
      <c r="L4596" s="73"/>
      <c r="M4596" s="73"/>
      <c r="N4596" s="73"/>
      <c r="O4596" s="73"/>
      <c r="P4596" s="73"/>
      <c r="Q4596" s="73"/>
      <c r="R4596" s="73"/>
      <c r="S4596" s="73"/>
      <c r="T4596" s="73"/>
      <c r="U4596" s="73"/>
      <c r="V4596" s="73"/>
      <c r="W4596" s="73"/>
      <c r="X4596" s="73"/>
      <c r="Y4596" s="73"/>
      <c r="Z4596" s="73"/>
      <c r="AA4596" s="73"/>
      <c r="AB4596" s="73"/>
    </row>
    <row r="4597">
      <c r="A4597" s="73"/>
      <c r="B4597" s="73">
        <v>1.853057923E7</v>
      </c>
      <c r="C4597" s="73">
        <v>7.25273309774139E8</v>
      </c>
      <c r="D4597" s="73">
        <v>4.00302690048003E8</v>
      </c>
      <c r="E4597" s="73">
        <v>5.977836754979E7</v>
      </c>
      <c r="F4597" s="73"/>
      <c r="G4597" s="73"/>
      <c r="H4597" s="73"/>
      <c r="I4597" s="73"/>
      <c r="J4597" s="73"/>
      <c r="K4597" s="73"/>
      <c r="L4597" s="73"/>
      <c r="M4597" s="73"/>
      <c r="N4597" s="73"/>
      <c r="O4597" s="73"/>
      <c r="P4597" s="73"/>
      <c r="Q4597" s="73"/>
      <c r="R4597" s="73"/>
      <c r="S4597" s="73"/>
      <c r="T4597" s="73"/>
      <c r="U4597" s="73"/>
      <c r="V4597" s="73"/>
      <c r="W4597" s="73"/>
      <c r="X4597" s="73"/>
      <c r="Y4597" s="73"/>
      <c r="Z4597" s="73"/>
      <c r="AA4597" s="73"/>
      <c r="AB4597" s="73"/>
    </row>
    <row r="4598">
      <c r="A4598" s="73"/>
      <c r="B4598" s="73">
        <v>1.855236638E7</v>
      </c>
      <c r="C4598" s="73">
        <v>7.25702844482208E8</v>
      </c>
      <c r="D4598" s="73">
        <v>4.00580321771996E8</v>
      </c>
      <c r="E4598" s="73">
        <v>5.98241459945828E7</v>
      </c>
      <c r="F4598" s="73"/>
      <c r="G4598" s="73"/>
      <c r="H4598" s="73"/>
      <c r="I4598" s="73"/>
      <c r="J4598" s="73"/>
      <c r="K4598" s="73"/>
      <c r="L4598" s="73"/>
      <c r="M4598" s="73"/>
      <c r="N4598" s="73"/>
      <c r="O4598" s="73"/>
      <c r="P4598" s="73"/>
      <c r="Q4598" s="73"/>
      <c r="R4598" s="73"/>
      <c r="S4598" s="73"/>
      <c r="T4598" s="73"/>
      <c r="U4598" s="73"/>
      <c r="V4598" s="73"/>
      <c r="W4598" s="73"/>
      <c r="X4598" s="73"/>
      <c r="Y4598" s="73"/>
      <c r="Z4598" s="73"/>
      <c r="AA4598" s="73"/>
      <c r="AB4598" s="73"/>
    </row>
    <row r="4599">
      <c r="A4599" s="73"/>
      <c r="B4599" s="73">
        <v>1.857417366E7</v>
      </c>
      <c r="C4599" s="73">
        <v>7.26132445110275E8</v>
      </c>
      <c r="D4599" s="73">
        <v>4.0085803634399E8</v>
      </c>
      <c r="E4599" s="73">
        <v>5.98699469147664E7</v>
      </c>
      <c r="F4599" s="73"/>
      <c r="G4599" s="73"/>
      <c r="H4599" s="73"/>
      <c r="I4599" s="73"/>
      <c r="J4599" s="73"/>
      <c r="K4599" s="73"/>
      <c r="L4599" s="73"/>
      <c r="M4599" s="73"/>
      <c r="N4599" s="73"/>
      <c r="O4599" s="73"/>
      <c r="P4599" s="73"/>
      <c r="Q4599" s="73"/>
      <c r="R4599" s="73"/>
      <c r="S4599" s="73"/>
      <c r="T4599" s="73"/>
      <c r="U4599" s="73"/>
      <c r="V4599" s="73"/>
      <c r="W4599" s="73"/>
      <c r="X4599" s="73"/>
      <c r="Y4599" s="73"/>
      <c r="Z4599" s="73"/>
      <c r="AA4599" s="73"/>
      <c r="AB4599" s="73"/>
    </row>
    <row r="4600">
      <c r="A4600" s="73"/>
      <c r="B4600" s="73">
        <v>1.85960007E7</v>
      </c>
      <c r="C4600" s="73">
        <v>7.26562243498337E8</v>
      </c>
      <c r="D4600" s="73">
        <v>4.01135874083998E8</v>
      </c>
      <c r="E4600" s="73">
        <v>5.99157691231408E7</v>
      </c>
      <c r="F4600" s="73"/>
      <c r="G4600" s="73"/>
      <c r="H4600" s="73"/>
      <c r="I4600" s="73"/>
      <c r="J4600" s="73"/>
      <c r="K4600" s="73"/>
      <c r="L4600" s="73"/>
      <c r="M4600" s="73"/>
      <c r="N4600" s="73"/>
      <c r="O4600" s="73"/>
      <c r="P4600" s="73"/>
      <c r="Q4600" s="73"/>
      <c r="R4600" s="73"/>
      <c r="S4600" s="73"/>
      <c r="T4600" s="73"/>
      <c r="U4600" s="73"/>
      <c r="V4600" s="73"/>
      <c r="W4600" s="73"/>
      <c r="X4600" s="73"/>
      <c r="Y4600" s="73"/>
      <c r="Z4600" s="73"/>
      <c r="AA4600" s="73"/>
      <c r="AB4600" s="73"/>
    </row>
    <row r="4601">
      <c r="A4601" s="73"/>
      <c r="B4601" s="73">
        <v>1.861784753E7</v>
      </c>
      <c r="C4601" s="73">
        <v>7.26992239646393E8</v>
      </c>
      <c r="D4601" s="73">
        <v>4.01413877199991E8</v>
      </c>
      <c r="E4601" s="73">
        <v>5.996161420377E7</v>
      </c>
      <c r="F4601" s="73"/>
      <c r="G4601" s="73"/>
      <c r="H4601" s="73"/>
      <c r="I4601" s="73"/>
      <c r="J4601" s="73"/>
      <c r="K4601" s="73"/>
      <c r="L4601" s="73"/>
      <c r="M4601" s="73"/>
      <c r="N4601" s="73"/>
      <c r="O4601" s="73"/>
      <c r="P4601" s="73"/>
      <c r="Q4601" s="73"/>
      <c r="R4601" s="73"/>
      <c r="S4601" s="73"/>
      <c r="T4601" s="73"/>
      <c r="U4601" s="73"/>
      <c r="V4601" s="73"/>
      <c r="W4601" s="73"/>
      <c r="X4601" s="73"/>
      <c r="Y4601" s="73"/>
      <c r="Z4601" s="73"/>
      <c r="AA4601" s="73"/>
      <c r="AB4601" s="73"/>
    </row>
    <row r="4602">
      <c r="A4602" s="73"/>
      <c r="B4602" s="73">
        <v>1.863971475E7</v>
      </c>
      <c r="C4602" s="73">
        <v>7.27422367634445E8</v>
      </c>
      <c r="D4602" s="73">
        <v>4.01691962524E8</v>
      </c>
      <c r="E4602" s="73">
        <v>6.00074837101899E7</v>
      </c>
      <c r="F4602" s="73"/>
      <c r="G4602" s="73"/>
      <c r="H4602" s="73"/>
      <c r="I4602" s="73"/>
      <c r="J4602" s="73"/>
      <c r="K4602" s="73"/>
      <c r="L4602" s="73"/>
      <c r="M4602" s="73"/>
      <c r="N4602" s="73"/>
      <c r="O4602" s="73"/>
      <c r="P4602" s="73"/>
      <c r="Q4602" s="73"/>
      <c r="R4602" s="73"/>
      <c r="S4602" s="73"/>
      <c r="T4602" s="73"/>
      <c r="U4602" s="73"/>
      <c r="V4602" s="73"/>
      <c r="W4602" s="73"/>
      <c r="X4602" s="73"/>
      <c r="Y4602" s="73"/>
      <c r="Z4602" s="73"/>
      <c r="AA4602" s="73"/>
      <c r="AB4602" s="73"/>
    </row>
    <row r="4603">
      <c r="A4603" s="73"/>
      <c r="B4603" s="73">
        <v>1.866160172E7</v>
      </c>
      <c r="C4603" s="73">
        <v>7.27852627462494E8</v>
      </c>
      <c r="D4603" s="73">
        <v>4.01970171943993E8</v>
      </c>
      <c r="E4603" s="73">
        <v>6.00533735720007E7</v>
      </c>
      <c r="F4603" s="73"/>
      <c r="G4603" s="73"/>
      <c r="H4603" s="73"/>
      <c r="I4603" s="73"/>
      <c r="J4603" s="73"/>
      <c r="K4603" s="73"/>
      <c r="L4603" s="73"/>
      <c r="M4603" s="73"/>
      <c r="N4603" s="73"/>
      <c r="O4603" s="73"/>
      <c r="P4603" s="73"/>
      <c r="Q4603" s="73"/>
      <c r="R4603" s="73"/>
      <c r="S4603" s="73"/>
      <c r="T4603" s="73"/>
      <c r="U4603" s="73"/>
      <c r="V4603" s="73"/>
      <c r="W4603" s="73"/>
      <c r="X4603" s="73"/>
      <c r="Y4603" s="73"/>
      <c r="Z4603" s="73"/>
      <c r="AA4603" s="73"/>
      <c r="AB4603" s="73"/>
    </row>
    <row r="4604">
      <c r="A4604" s="73"/>
      <c r="B4604" s="73">
        <v>1.868350843E7</v>
      </c>
      <c r="C4604" s="73">
        <v>7.28283085050537E8</v>
      </c>
      <c r="D4604" s="73">
        <v>4.02248546132002E8</v>
      </c>
      <c r="E4604" s="73">
        <v>6.00992877476662E7</v>
      </c>
      <c r="F4604" s="73"/>
      <c r="G4604" s="73"/>
      <c r="H4604" s="73"/>
      <c r="I4604" s="73"/>
      <c r="J4604" s="73"/>
      <c r="K4604" s="73"/>
      <c r="L4604" s="73"/>
      <c r="M4604" s="73"/>
      <c r="N4604" s="73"/>
      <c r="O4604" s="73"/>
      <c r="P4604" s="73"/>
      <c r="Q4604" s="73"/>
      <c r="R4604" s="73"/>
      <c r="S4604" s="73"/>
      <c r="T4604" s="73"/>
      <c r="U4604" s="73"/>
      <c r="V4604" s="73"/>
      <c r="W4604" s="73"/>
      <c r="X4604" s="73"/>
      <c r="Y4604" s="73"/>
      <c r="Z4604" s="73"/>
      <c r="AA4604" s="73"/>
      <c r="AB4604" s="73"/>
    </row>
    <row r="4605">
      <c r="A4605" s="73"/>
      <c r="B4605" s="73">
        <v>1.870543538E7</v>
      </c>
      <c r="C4605" s="73">
        <v>7.28713740398575E8</v>
      </c>
      <c r="D4605" s="73">
        <v>4.02527002847995E8</v>
      </c>
      <c r="E4605" s="73">
        <v>6.01452259827864E7</v>
      </c>
      <c r="F4605" s="73"/>
      <c r="G4605" s="73"/>
      <c r="H4605" s="73"/>
      <c r="I4605" s="73"/>
      <c r="J4605" s="73"/>
      <c r="K4605" s="73"/>
      <c r="L4605" s="73"/>
      <c r="M4605" s="73"/>
      <c r="N4605" s="73"/>
      <c r="O4605" s="73"/>
      <c r="P4605" s="73"/>
      <c r="Q4605" s="73"/>
      <c r="R4605" s="73"/>
      <c r="S4605" s="73"/>
      <c r="T4605" s="73"/>
      <c r="U4605" s="73"/>
      <c r="V4605" s="73"/>
      <c r="W4605" s="73"/>
      <c r="X4605" s="73"/>
      <c r="Y4605" s="73"/>
      <c r="Z4605" s="73"/>
      <c r="AA4605" s="73"/>
      <c r="AB4605" s="73"/>
    </row>
    <row r="4606">
      <c r="A4606" s="73"/>
      <c r="B4606" s="73">
        <v>1.872738231E7</v>
      </c>
      <c r="C4606" s="73">
        <v>7.29144593506607E8</v>
      </c>
      <c r="D4606" s="73">
        <v>4.02805624299988E8</v>
      </c>
      <c r="E4606" s="73">
        <v>6.01911837524335E7</v>
      </c>
      <c r="F4606" s="73"/>
      <c r="G4606" s="73"/>
      <c r="H4606" s="73"/>
      <c r="I4606" s="73"/>
      <c r="J4606" s="73"/>
      <c r="K4606" s="73"/>
      <c r="L4606" s="73"/>
      <c r="M4606" s="73"/>
      <c r="N4606" s="73"/>
      <c r="O4606" s="73"/>
      <c r="P4606" s="73"/>
      <c r="Q4606" s="73"/>
      <c r="R4606" s="73"/>
      <c r="S4606" s="73"/>
      <c r="T4606" s="73"/>
      <c r="U4606" s="73"/>
      <c r="V4606" s="73"/>
      <c r="W4606" s="73"/>
      <c r="X4606" s="73"/>
      <c r="Y4606" s="73"/>
      <c r="Z4606" s="73"/>
      <c r="AA4606" s="73"/>
      <c r="AB4606" s="73"/>
    </row>
    <row r="4607">
      <c r="A4607" s="73"/>
      <c r="B4607" s="73">
        <v>1.874934905E7</v>
      </c>
      <c r="C4607" s="73">
        <v>7.29575512534637E8</v>
      </c>
      <c r="D4607" s="73">
        <v>4.03084328887997E8</v>
      </c>
      <c r="E4607" s="73">
        <v>6.02371669383353E7</v>
      </c>
      <c r="F4607" s="73"/>
      <c r="G4607" s="73"/>
      <c r="H4607" s="73"/>
      <c r="I4607" s="73"/>
      <c r="J4607" s="73"/>
      <c r="K4607" s="73"/>
      <c r="L4607" s="73"/>
      <c r="M4607" s="73"/>
      <c r="N4607" s="73"/>
      <c r="O4607" s="73"/>
      <c r="P4607" s="73"/>
      <c r="Q4607" s="73"/>
      <c r="R4607" s="73"/>
      <c r="S4607" s="73"/>
      <c r="T4607" s="73"/>
      <c r="U4607" s="73"/>
      <c r="V4607" s="73"/>
      <c r="W4607" s="73"/>
      <c r="X4607" s="73"/>
      <c r="Y4607" s="73"/>
      <c r="Z4607" s="73"/>
      <c r="AA4607" s="73"/>
      <c r="AB4607" s="73"/>
    </row>
    <row r="4608">
      <c r="A4608" s="73"/>
      <c r="B4608" s="73">
        <v>1.877133641E7</v>
      </c>
      <c r="C4608" s="73">
        <v>7.30006563402664E8</v>
      </c>
      <c r="D4608" s="73">
        <v>4.0336319763599E8</v>
      </c>
      <c r="E4608" s="73">
        <v>6.02831720636918E7</v>
      </c>
      <c r="F4608" s="73"/>
      <c r="G4608" s="73"/>
      <c r="H4608" s="73"/>
      <c r="I4608" s="73"/>
      <c r="J4608" s="73"/>
      <c r="K4608" s="73"/>
      <c r="L4608" s="73"/>
      <c r="M4608" s="73"/>
      <c r="N4608" s="73"/>
      <c r="O4608" s="73"/>
      <c r="P4608" s="73"/>
      <c r="Q4608" s="73"/>
      <c r="R4608" s="73"/>
      <c r="S4608" s="73"/>
      <c r="T4608" s="73"/>
      <c r="U4608" s="73"/>
      <c r="V4608" s="73"/>
      <c r="W4608" s="73"/>
      <c r="X4608" s="73"/>
      <c r="Y4608" s="73"/>
      <c r="Z4608" s="73"/>
      <c r="AA4608" s="73"/>
      <c r="AB4608" s="73"/>
    </row>
    <row r="4609">
      <c r="A4609" s="73"/>
      <c r="B4609" s="73">
        <v>1.879334332E7</v>
      </c>
      <c r="C4609" s="73">
        <v>7.30437812030685E8</v>
      </c>
      <c r="D4609" s="73">
        <v>4.03642149519999E8</v>
      </c>
      <c r="E4609" s="73">
        <v>6.03292010789031E7</v>
      </c>
      <c r="F4609" s="73"/>
      <c r="G4609" s="73"/>
      <c r="H4609" s="73"/>
      <c r="I4609" s="73"/>
      <c r="J4609" s="73"/>
      <c r="K4609" s="73"/>
      <c r="L4609" s="73"/>
      <c r="M4609" s="73"/>
      <c r="N4609" s="73"/>
      <c r="O4609" s="73"/>
      <c r="P4609" s="73"/>
      <c r="Q4609" s="73"/>
      <c r="R4609" s="73"/>
      <c r="S4609" s="73"/>
      <c r="T4609" s="73"/>
      <c r="U4609" s="73"/>
      <c r="V4609" s="73"/>
      <c r="W4609" s="73"/>
      <c r="X4609" s="73"/>
      <c r="Y4609" s="73"/>
      <c r="Z4609" s="73"/>
      <c r="AA4609" s="73"/>
      <c r="AB4609" s="73"/>
    </row>
    <row r="4610">
      <c r="A4610" s="73"/>
      <c r="B4610" s="73">
        <v>1.881537001E7</v>
      </c>
      <c r="C4610" s="73">
        <v>7.30869192498703E8</v>
      </c>
      <c r="D4610" s="73">
        <v>4.03921266139992E8</v>
      </c>
      <c r="E4610" s="73">
        <v>6.03752512398413E7</v>
      </c>
      <c r="F4610" s="73"/>
      <c r="G4610" s="73"/>
      <c r="H4610" s="73"/>
      <c r="I4610" s="73"/>
      <c r="J4610" s="73"/>
      <c r="K4610" s="73"/>
      <c r="L4610" s="73"/>
      <c r="M4610" s="73"/>
      <c r="N4610" s="73"/>
      <c r="O4610" s="73"/>
      <c r="P4610" s="73"/>
      <c r="Q4610" s="73"/>
      <c r="R4610" s="73"/>
      <c r="S4610" s="73"/>
      <c r="T4610" s="73"/>
      <c r="U4610" s="73"/>
      <c r="V4610" s="73"/>
      <c r="W4610" s="73"/>
      <c r="X4610" s="73"/>
      <c r="Y4610" s="73"/>
      <c r="Z4610" s="73"/>
      <c r="AA4610" s="73"/>
      <c r="AB4610" s="73"/>
    </row>
    <row r="4611">
      <c r="A4611" s="73"/>
      <c r="B4611" s="73">
        <v>1.883741738E7</v>
      </c>
      <c r="C4611" s="73">
        <v>7.31300770726715E8</v>
      </c>
      <c r="D4611" s="73">
        <v>4.04200505960001E8</v>
      </c>
      <c r="E4611" s="73">
        <v>6.04213235946342E7</v>
      </c>
      <c r="F4611" s="73"/>
      <c r="G4611" s="73"/>
      <c r="H4611" s="73"/>
      <c r="I4611" s="73"/>
      <c r="J4611" s="73"/>
      <c r="K4611" s="73"/>
      <c r="L4611" s="73"/>
      <c r="M4611" s="73"/>
      <c r="N4611" s="73"/>
      <c r="O4611" s="73"/>
      <c r="P4611" s="73"/>
      <c r="Q4611" s="73"/>
      <c r="R4611" s="73"/>
      <c r="S4611" s="73"/>
      <c r="T4611" s="73"/>
      <c r="U4611" s="73"/>
      <c r="V4611" s="73"/>
      <c r="W4611" s="73"/>
      <c r="X4611" s="73"/>
      <c r="Y4611" s="73"/>
      <c r="Z4611" s="73"/>
      <c r="AA4611" s="73"/>
      <c r="AB4611" s="73"/>
    </row>
    <row r="4612">
      <c r="A4612" s="73"/>
      <c r="B4612" s="73">
        <v>1.885948425E7</v>
      </c>
      <c r="C4612" s="73">
        <v>7.31732546714722E8</v>
      </c>
      <c r="D4612" s="73">
        <v>4.04479829203994E8</v>
      </c>
      <c r="E4612" s="73">
        <v>6.04674189607539E7</v>
      </c>
      <c r="F4612" s="73"/>
      <c r="G4612" s="73"/>
      <c r="H4612" s="73"/>
      <c r="I4612" s="73"/>
      <c r="J4612" s="73"/>
      <c r="K4612" s="73"/>
      <c r="L4612" s="73"/>
      <c r="M4612" s="73"/>
      <c r="N4612" s="73"/>
      <c r="O4612" s="73"/>
      <c r="P4612" s="73"/>
      <c r="Q4612" s="73"/>
      <c r="R4612" s="73"/>
      <c r="S4612" s="73"/>
      <c r="T4612" s="73"/>
      <c r="U4612" s="73"/>
      <c r="V4612" s="73"/>
      <c r="W4612" s="73"/>
      <c r="X4612" s="73"/>
      <c r="Y4612" s="73"/>
      <c r="Z4612" s="73"/>
      <c r="AA4612" s="73"/>
      <c r="AB4612" s="73"/>
    </row>
    <row r="4613">
      <c r="A4613" s="73"/>
      <c r="B4613" s="73">
        <v>1.888157096E7</v>
      </c>
      <c r="C4613" s="73">
        <v>7.32164388622726E8</v>
      </c>
      <c r="D4613" s="73">
        <v>4.04759316608002E8</v>
      </c>
      <c r="E4613" s="73">
        <v>6.05135394344563E7</v>
      </c>
      <c r="F4613" s="73"/>
      <c r="G4613" s="73"/>
      <c r="H4613" s="73"/>
      <c r="I4613" s="73"/>
      <c r="J4613" s="73"/>
      <c r="K4613" s="73"/>
      <c r="L4613" s="73"/>
      <c r="M4613" s="73"/>
      <c r="N4613" s="73"/>
      <c r="O4613" s="73"/>
      <c r="P4613" s="73"/>
      <c r="Q4613" s="73"/>
      <c r="R4613" s="73"/>
      <c r="S4613" s="73"/>
      <c r="T4613" s="73"/>
      <c r="U4613" s="73"/>
      <c r="V4613" s="73"/>
      <c r="W4613" s="73"/>
      <c r="X4613" s="73"/>
      <c r="Y4613" s="73"/>
      <c r="Z4613" s="73"/>
      <c r="AA4613" s="73"/>
      <c r="AB4613" s="73"/>
    </row>
    <row r="4614">
      <c r="A4614" s="73"/>
      <c r="B4614" s="73">
        <v>1.890367835E7</v>
      </c>
      <c r="C4614" s="73">
        <v>7.32596494210724E8</v>
      </c>
      <c r="D4614" s="73">
        <v>4.05038928107996E8</v>
      </c>
      <c r="E4614" s="73">
        <v>6.05596803754855E7</v>
      </c>
      <c r="F4614" s="73"/>
      <c r="G4614" s="73"/>
      <c r="H4614" s="73"/>
      <c r="I4614" s="73"/>
      <c r="J4614" s="73"/>
      <c r="K4614" s="73"/>
      <c r="L4614" s="73"/>
      <c r="M4614" s="73"/>
      <c r="N4614" s="73"/>
      <c r="O4614" s="73"/>
      <c r="P4614" s="73"/>
      <c r="Q4614" s="73"/>
      <c r="R4614" s="73"/>
      <c r="S4614" s="73"/>
      <c r="T4614" s="73"/>
      <c r="U4614" s="73"/>
      <c r="V4614" s="73"/>
      <c r="W4614" s="73"/>
      <c r="X4614" s="73"/>
      <c r="Y4614" s="73"/>
      <c r="Z4614" s="73"/>
      <c r="AA4614" s="73"/>
      <c r="AB4614" s="73"/>
    </row>
    <row r="4615">
      <c r="A4615" s="73"/>
      <c r="B4615" s="73">
        <v>1.892580548E7</v>
      </c>
      <c r="C4615" s="73">
        <v>7.33028797558716E8</v>
      </c>
      <c r="D4615" s="73">
        <v>4.05318663383989E8</v>
      </c>
      <c r="E4615" s="73">
        <v>6.06058426318416E7</v>
      </c>
      <c r="F4615" s="73"/>
      <c r="G4615" s="73"/>
      <c r="H4615" s="73"/>
      <c r="I4615" s="73"/>
      <c r="J4615" s="73"/>
      <c r="K4615" s="73"/>
      <c r="L4615" s="73"/>
      <c r="M4615" s="73"/>
      <c r="N4615" s="73"/>
      <c r="O4615" s="73"/>
      <c r="P4615" s="73"/>
      <c r="Q4615" s="73"/>
      <c r="R4615" s="73"/>
      <c r="S4615" s="73"/>
      <c r="T4615" s="73"/>
      <c r="U4615" s="73"/>
      <c r="V4615" s="73"/>
      <c r="W4615" s="73"/>
      <c r="X4615" s="73"/>
      <c r="Y4615" s="73"/>
      <c r="Z4615" s="73"/>
      <c r="AA4615" s="73"/>
      <c r="AB4615" s="73"/>
    </row>
    <row r="4616">
      <c r="A4616" s="73"/>
      <c r="B4616" s="73">
        <v>1.894795265E7</v>
      </c>
      <c r="C4616" s="73">
        <v>7.33461166826706E8</v>
      </c>
      <c r="D4616" s="73">
        <v>4.05598522179998E8</v>
      </c>
      <c r="E4616" s="73">
        <v>6.06520331333802E7</v>
      </c>
      <c r="F4616" s="73"/>
      <c r="G4616" s="73"/>
      <c r="H4616" s="73"/>
      <c r="I4616" s="73"/>
      <c r="J4616" s="73"/>
      <c r="K4616" s="73"/>
      <c r="L4616" s="73"/>
      <c r="M4616" s="73"/>
      <c r="N4616" s="73"/>
      <c r="O4616" s="73"/>
      <c r="P4616" s="73"/>
      <c r="Q4616" s="73"/>
      <c r="R4616" s="73"/>
      <c r="S4616" s="73"/>
      <c r="T4616" s="73"/>
      <c r="U4616" s="73"/>
      <c r="V4616" s="73"/>
      <c r="W4616" s="73"/>
      <c r="X4616" s="73"/>
      <c r="Y4616" s="73"/>
      <c r="Z4616" s="73"/>
      <c r="AA4616" s="73"/>
      <c r="AB4616" s="73"/>
    </row>
    <row r="4617">
      <c r="A4617" s="73"/>
      <c r="B4617" s="73">
        <v>1.897011987E7</v>
      </c>
      <c r="C4617" s="73">
        <v>7.33893667934692E8</v>
      </c>
      <c r="D4617" s="73">
        <v>4.05878463791991E8</v>
      </c>
      <c r="E4617" s="73">
        <v>6.06982409646458E7</v>
      </c>
      <c r="F4617" s="73"/>
      <c r="G4617" s="73"/>
      <c r="H4617" s="73"/>
      <c r="I4617" s="73"/>
      <c r="J4617" s="73"/>
      <c r="K4617" s="73"/>
      <c r="L4617" s="73"/>
      <c r="M4617" s="73"/>
      <c r="N4617" s="73"/>
      <c r="O4617" s="73"/>
      <c r="P4617" s="73"/>
      <c r="Q4617" s="73"/>
      <c r="R4617" s="73"/>
      <c r="S4617" s="73"/>
      <c r="T4617" s="73"/>
      <c r="U4617" s="73"/>
      <c r="V4617" s="73"/>
      <c r="W4617" s="73"/>
      <c r="X4617" s="73"/>
      <c r="Y4617" s="73"/>
      <c r="Z4617" s="73"/>
      <c r="AA4617" s="73"/>
      <c r="AB4617" s="73"/>
    </row>
    <row r="4618">
      <c r="A4618" s="73"/>
      <c r="B4618" s="73">
        <v>1.899230716E7</v>
      </c>
      <c r="C4618" s="73">
        <v>7.34326432722672E8</v>
      </c>
      <c r="D4618" s="73">
        <v>4.06158570459999E8</v>
      </c>
      <c r="E4618" s="73">
        <v>6.07444733641661E7</v>
      </c>
      <c r="F4618" s="73"/>
      <c r="G4618" s="73"/>
      <c r="H4618" s="73"/>
      <c r="I4618" s="73"/>
      <c r="J4618" s="73"/>
      <c r="K4618" s="73"/>
      <c r="L4618" s="73"/>
      <c r="M4618" s="73"/>
      <c r="N4618" s="73"/>
      <c r="O4618" s="73"/>
      <c r="P4618" s="73"/>
      <c r="Q4618" s="73"/>
      <c r="R4618" s="73"/>
      <c r="S4618" s="73"/>
      <c r="T4618" s="73"/>
      <c r="U4618" s="73"/>
      <c r="V4618" s="73"/>
      <c r="W4618" s="73"/>
      <c r="X4618" s="73"/>
      <c r="Y4618" s="73"/>
      <c r="Z4618" s="73"/>
      <c r="AA4618" s="73"/>
      <c r="AB4618" s="73"/>
    </row>
    <row r="4619">
      <c r="A4619" s="73"/>
      <c r="B4619" s="73">
        <v>1.901451483E7</v>
      </c>
      <c r="C4619" s="73">
        <v>7.34759329350647E8</v>
      </c>
      <c r="D4619" s="73">
        <v>4.06438800295993E8</v>
      </c>
      <c r="E4619" s="73">
        <v>6.07907280966132E7</v>
      </c>
      <c r="F4619" s="73"/>
      <c r="G4619" s="73"/>
      <c r="H4619" s="73"/>
      <c r="I4619" s="73"/>
      <c r="J4619" s="73"/>
      <c r="K4619" s="73"/>
      <c r="L4619" s="73"/>
      <c r="M4619" s="73"/>
      <c r="N4619" s="73"/>
      <c r="O4619" s="73"/>
      <c r="P4619" s="73"/>
      <c r="Q4619" s="73"/>
      <c r="R4619" s="73"/>
      <c r="S4619" s="73"/>
      <c r="T4619" s="73"/>
      <c r="U4619" s="73"/>
      <c r="V4619" s="73"/>
      <c r="W4619" s="73"/>
      <c r="X4619" s="73"/>
      <c r="Y4619" s="73"/>
      <c r="Z4619" s="73"/>
      <c r="AA4619" s="73"/>
      <c r="AB4619" s="73"/>
    </row>
    <row r="4620">
      <c r="A4620" s="73"/>
      <c r="B4620" s="73">
        <v>1.903674216E7</v>
      </c>
      <c r="C4620" s="73">
        <v>7.35192291898621E8</v>
      </c>
      <c r="D4620" s="73">
        <v>4.06719154260001E8</v>
      </c>
      <c r="E4620" s="73">
        <v>6.0837005955715E7</v>
      </c>
      <c r="F4620" s="73"/>
      <c r="G4620" s="73"/>
      <c r="H4620" s="73"/>
      <c r="I4620" s="73"/>
      <c r="J4620" s="73"/>
      <c r="K4620" s="73"/>
      <c r="L4620" s="73"/>
      <c r="M4620" s="73"/>
      <c r="N4620" s="73"/>
      <c r="O4620" s="73"/>
      <c r="P4620" s="73"/>
      <c r="Q4620" s="73"/>
      <c r="R4620" s="73"/>
      <c r="S4620" s="73"/>
      <c r="T4620" s="73"/>
      <c r="U4620" s="73"/>
      <c r="V4620" s="73"/>
      <c r="W4620" s="73"/>
      <c r="X4620" s="73"/>
      <c r="Y4620" s="73"/>
      <c r="Z4620" s="73"/>
      <c r="AA4620" s="73"/>
      <c r="AB4620" s="73"/>
    </row>
    <row r="4621">
      <c r="A4621" s="73"/>
      <c r="B4621" s="73">
        <v>1.905898966E7</v>
      </c>
      <c r="C4621" s="73">
        <v>7.35625452206589E8</v>
      </c>
      <c r="D4621" s="73">
        <v>4.06999631679994E8</v>
      </c>
      <c r="E4621" s="73">
        <v>6.08833064326717E7</v>
      </c>
      <c r="F4621" s="73"/>
      <c r="G4621" s="73"/>
      <c r="H4621" s="73"/>
      <c r="I4621" s="73"/>
      <c r="J4621" s="73"/>
      <c r="K4621" s="73"/>
      <c r="L4621" s="73"/>
      <c r="M4621" s="73"/>
      <c r="N4621" s="73"/>
      <c r="O4621" s="73"/>
      <c r="P4621" s="73"/>
      <c r="Q4621" s="73"/>
      <c r="R4621" s="73"/>
      <c r="S4621" s="73"/>
      <c r="T4621" s="73"/>
      <c r="U4621" s="73"/>
      <c r="V4621" s="73"/>
      <c r="W4621" s="73"/>
      <c r="X4621" s="73"/>
      <c r="Y4621" s="73"/>
      <c r="Z4621" s="73"/>
      <c r="AA4621" s="73"/>
      <c r="AB4621" s="73"/>
    </row>
    <row r="4622">
      <c r="A4622" s="73"/>
      <c r="B4622" s="73">
        <v>1.908125754E7</v>
      </c>
      <c r="C4622" s="73">
        <v>7.36058810274551E8</v>
      </c>
      <c r="D4622" s="73">
        <v>4.07280233228003E8</v>
      </c>
      <c r="E4622" s="73">
        <v>6.09296324106829E7</v>
      </c>
      <c r="F4622" s="73"/>
      <c r="G4622" s="73"/>
      <c r="H4622" s="73"/>
      <c r="I4622" s="73"/>
      <c r="J4622" s="73"/>
      <c r="K4622" s="73"/>
      <c r="L4622" s="73"/>
      <c r="M4622" s="73"/>
      <c r="N4622" s="73"/>
      <c r="O4622" s="73"/>
      <c r="P4622" s="73"/>
      <c r="Q4622" s="73"/>
      <c r="R4622" s="73"/>
      <c r="S4622" s="73"/>
      <c r="T4622" s="73"/>
      <c r="U4622" s="73"/>
      <c r="V4622" s="73"/>
      <c r="W4622" s="73"/>
      <c r="X4622" s="73"/>
      <c r="Y4622" s="73"/>
      <c r="Z4622" s="73"/>
      <c r="AA4622" s="73"/>
      <c r="AB4622" s="73"/>
    </row>
    <row r="4623">
      <c r="A4623" s="73"/>
      <c r="B4623" s="73">
        <v>1.910354526E7</v>
      </c>
      <c r="C4623" s="73">
        <v>7.36492366102509E8</v>
      </c>
      <c r="D4623" s="73">
        <v>4.07560999191996E8</v>
      </c>
      <c r="E4623" s="73">
        <v>6.09759779232211E7</v>
      </c>
      <c r="F4623" s="73"/>
      <c r="G4623" s="73"/>
      <c r="H4623" s="73"/>
      <c r="I4623" s="73"/>
      <c r="J4623" s="73"/>
      <c r="K4623" s="73"/>
      <c r="L4623" s="73"/>
      <c r="M4623" s="73"/>
      <c r="N4623" s="73"/>
      <c r="O4623" s="73"/>
      <c r="P4623" s="73"/>
      <c r="Q4623" s="73"/>
      <c r="R4623" s="73"/>
      <c r="S4623" s="73"/>
      <c r="T4623" s="73"/>
      <c r="U4623" s="73"/>
      <c r="V4623" s="73"/>
      <c r="W4623" s="73"/>
      <c r="X4623" s="73"/>
      <c r="Y4623" s="73"/>
      <c r="Z4623" s="73"/>
      <c r="AA4623" s="73"/>
      <c r="AB4623" s="73"/>
    </row>
    <row r="4624">
      <c r="A4624" s="73"/>
      <c r="B4624" s="73">
        <v>1.912585282E7</v>
      </c>
      <c r="C4624" s="73">
        <v>7.36926053770462E8</v>
      </c>
      <c r="D4624" s="73">
        <v>4.0784184800399E8</v>
      </c>
      <c r="E4624" s="73">
        <v>6.10223460536141E7</v>
      </c>
      <c r="F4624" s="73"/>
      <c r="G4624" s="73"/>
      <c r="H4624" s="73"/>
      <c r="I4624" s="73"/>
      <c r="J4624" s="73"/>
      <c r="K4624" s="73"/>
      <c r="L4624" s="73"/>
      <c r="M4624" s="73"/>
      <c r="N4624" s="73"/>
      <c r="O4624" s="73"/>
      <c r="P4624" s="73"/>
      <c r="Q4624" s="73"/>
      <c r="R4624" s="73"/>
      <c r="S4624" s="73"/>
      <c r="T4624" s="73"/>
      <c r="U4624" s="73"/>
      <c r="V4624" s="73"/>
      <c r="W4624" s="73"/>
      <c r="X4624" s="73"/>
      <c r="Y4624" s="73"/>
      <c r="Z4624" s="73"/>
      <c r="AA4624" s="73"/>
      <c r="AB4624" s="73"/>
    </row>
    <row r="4625">
      <c r="A4625" s="73"/>
      <c r="B4625" s="73">
        <v>1.914818059E7</v>
      </c>
      <c r="C4625" s="73">
        <v>7.37359873278412E8</v>
      </c>
      <c r="D4625" s="73">
        <v>4.08122820623998E8</v>
      </c>
      <c r="E4625" s="73">
        <v>6.10687390066617E7</v>
      </c>
      <c r="F4625" s="73"/>
      <c r="G4625" s="73"/>
      <c r="H4625" s="73"/>
      <c r="I4625" s="73"/>
      <c r="J4625" s="73"/>
      <c r="K4625" s="73"/>
      <c r="L4625" s="73"/>
      <c r="M4625" s="73"/>
      <c r="N4625" s="73"/>
      <c r="O4625" s="73"/>
      <c r="P4625" s="73"/>
      <c r="Q4625" s="73"/>
      <c r="R4625" s="73"/>
      <c r="S4625" s="73"/>
      <c r="T4625" s="73"/>
      <c r="U4625" s="73"/>
      <c r="V4625" s="73"/>
      <c r="W4625" s="73"/>
      <c r="X4625" s="73"/>
      <c r="Y4625" s="73"/>
      <c r="Z4625" s="73"/>
      <c r="AA4625" s="73"/>
      <c r="AB4625" s="73"/>
    </row>
    <row r="4626">
      <c r="A4626" s="73"/>
      <c r="B4626" s="73">
        <v>1.917052882E7</v>
      </c>
      <c r="C4626" s="73">
        <v>7.37793890546356E8</v>
      </c>
      <c r="D4626" s="73">
        <v>4.08403917019991E8</v>
      </c>
      <c r="E4626" s="73">
        <v>6.11151523422362E7</v>
      </c>
      <c r="F4626" s="73"/>
      <c r="G4626" s="73"/>
      <c r="H4626" s="73"/>
      <c r="I4626" s="73"/>
      <c r="J4626" s="73"/>
      <c r="K4626" s="73"/>
      <c r="L4626" s="73"/>
      <c r="M4626" s="73"/>
      <c r="N4626" s="73"/>
      <c r="O4626" s="73"/>
      <c r="P4626" s="73"/>
      <c r="Q4626" s="73"/>
      <c r="R4626" s="73"/>
      <c r="S4626" s="73"/>
      <c r="T4626" s="73"/>
      <c r="U4626" s="73"/>
      <c r="V4626" s="73"/>
      <c r="W4626" s="73"/>
      <c r="X4626" s="73"/>
      <c r="Y4626" s="73"/>
      <c r="Z4626" s="73"/>
      <c r="AA4626" s="73"/>
      <c r="AB4626" s="73"/>
    </row>
    <row r="4627">
      <c r="A4627" s="73"/>
      <c r="B4627" s="73">
        <v>1.919289712E7</v>
      </c>
      <c r="C4627" s="73">
        <v>7.38228039654297E8</v>
      </c>
      <c r="D4627" s="73">
        <v>4.08685177864E8</v>
      </c>
      <c r="E4627" s="73">
        <v>6.11615905004654E7</v>
      </c>
      <c r="F4627" s="73"/>
      <c r="G4627" s="73"/>
      <c r="H4627" s="73"/>
      <c r="I4627" s="73"/>
      <c r="J4627" s="73"/>
      <c r="K4627" s="73"/>
      <c r="L4627" s="73"/>
      <c r="M4627" s="73"/>
      <c r="N4627" s="73"/>
      <c r="O4627" s="73"/>
      <c r="P4627" s="73"/>
      <c r="Q4627" s="73"/>
      <c r="R4627" s="73"/>
      <c r="S4627" s="73"/>
      <c r="T4627" s="73"/>
      <c r="U4627" s="73"/>
      <c r="V4627" s="73"/>
      <c r="W4627" s="73"/>
      <c r="X4627" s="73"/>
      <c r="Y4627" s="73"/>
      <c r="Z4627" s="73"/>
      <c r="AA4627" s="73"/>
      <c r="AB4627" s="73"/>
    </row>
    <row r="4628">
      <c r="A4628" s="73"/>
      <c r="B4628" s="73">
        <v>1.921528565E7</v>
      </c>
      <c r="C4628" s="73">
        <v>7.38662386522232E8</v>
      </c>
      <c r="D4628" s="73">
        <v>4.08966521555993E8</v>
      </c>
      <c r="E4628" s="73">
        <v>6.12080500893495E7</v>
      </c>
      <c r="F4628" s="73"/>
      <c r="G4628" s="73"/>
      <c r="H4628" s="73"/>
      <c r="I4628" s="73"/>
      <c r="J4628" s="73"/>
      <c r="K4628" s="73"/>
      <c r="L4628" s="73"/>
      <c r="M4628" s="73"/>
      <c r="N4628" s="73"/>
      <c r="O4628" s="73"/>
      <c r="P4628" s="73"/>
      <c r="Q4628" s="73"/>
      <c r="R4628" s="73"/>
      <c r="S4628" s="73"/>
      <c r="T4628" s="73"/>
      <c r="U4628" s="73"/>
      <c r="V4628" s="73"/>
      <c r="W4628" s="73"/>
      <c r="X4628" s="73"/>
      <c r="Y4628" s="73"/>
      <c r="Z4628" s="73"/>
      <c r="AA4628" s="73"/>
      <c r="AB4628" s="73"/>
    </row>
    <row r="4629">
      <c r="A4629" s="73"/>
      <c r="B4629" s="73">
        <v>1.923769384E7</v>
      </c>
      <c r="C4629" s="73">
        <v>7.39096865230164E8</v>
      </c>
      <c r="D4629" s="73">
        <v>4.09247989024002E8</v>
      </c>
      <c r="E4629" s="73">
        <v>6.12545353488881E7</v>
      </c>
      <c r="F4629" s="73"/>
      <c r="G4629" s="73"/>
      <c r="H4629" s="73"/>
      <c r="I4629" s="73"/>
      <c r="J4629" s="73"/>
      <c r="K4629" s="73"/>
      <c r="L4629" s="73"/>
      <c r="M4629" s="73"/>
      <c r="N4629" s="73"/>
      <c r="O4629" s="73"/>
      <c r="P4629" s="73"/>
      <c r="Q4629" s="73"/>
      <c r="R4629" s="73"/>
      <c r="S4629" s="73"/>
      <c r="T4629" s="73"/>
      <c r="U4629" s="73"/>
      <c r="V4629" s="73"/>
      <c r="W4629" s="73"/>
      <c r="X4629" s="73"/>
      <c r="Y4629" s="73"/>
      <c r="Z4629" s="73"/>
      <c r="AA4629" s="73"/>
      <c r="AB4629" s="73"/>
    </row>
    <row r="4630">
      <c r="A4630" s="73"/>
      <c r="B4630" s="73">
        <v>1.926012279E7</v>
      </c>
      <c r="C4630" s="73">
        <v>7.39531409858093E8</v>
      </c>
      <c r="D4630" s="73">
        <v>4.09529621259995E8</v>
      </c>
      <c r="E4630" s="73">
        <v>6.13010407365537E7</v>
      </c>
      <c r="F4630" s="73"/>
      <c r="G4630" s="73"/>
      <c r="H4630" s="73"/>
      <c r="I4630" s="73"/>
      <c r="J4630" s="73"/>
      <c r="K4630" s="73"/>
      <c r="L4630" s="73"/>
      <c r="M4630" s="73"/>
      <c r="N4630" s="73"/>
      <c r="O4630" s="73"/>
      <c r="P4630" s="73"/>
      <c r="Q4630" s="73"/>
      <c r="R4630" s="73"/>
      <c r="S4630" s="73"/>
      <c r="T4630" s="73"/>
      <c r="U4630" s="73"/>
      <c r="V4630" s="73"/>
      <c r="W4630" s="73"/>
      <c r="X4630" s="73"/>
      <c r="Y4630" s="73"/>
      <c r="Z4630" s="73"/>
      <c r="AA4630" s="73"/>
      <c r="AB4630" s="73"/>
    </row>
    <row r="4631">
      <c r="A4631" s="73"/>
      <c r="B4631" s="73">
        <v>1.928257102E7</v>
      </c>
      <c r="C4631" s="73">
        <v>7.39966284086014E8</v>
      </c>
      <c r="D4631" s="73">
        <v>4.09811336311988E8</v>
      </c>
      <c r="E4631" s="73">
        <v>6.1347569590074E7</v>
      </c>
      <c r="F4631" s="73"/>
      <c r="G4631" s="73"/>
      <c r="H4631" s="73"/>
      <c r="I4631" s="73"/>
      <c r="J4631" s="73"/>
      <c r="K4631" s="73"/>
      <c r="L4631" s="73"/>
      <c r="M4631" s="73"/>
      <c r="N4631" s="73"/>
      <c r="O4631" s="73"/>
      <c r="P4631" s="73"/>
      <c r="Q4631" s="73"/>
      <c r="R4631" s="73"/>
      <c r="S4631" s="73"/>
      <c r="T4631" s="73"/>
      <c r="U4631" s="73"/>
      <c r="V4631" s="73"/>
      <c r="W4631" s="73"/>
      <c r="X4631" s="73"/>
      <c r="Y4631" s="73"/>
      <c r="Z4631" s="73"/>
      <c r="AA4631" s="73"/>
      <c r="AB4631" s="73"/>
    </row>
    <row r="4632">
      <c r="A4632" s="73"/>
      <c r="B4632" s="73">
        <v>1.930503997E7</v>
      </c>
      <c r="C4632" s="73">
        <v>7.40401290153931E8</v>
      </c>
      <c r="D4632" s="73">
        <v>4.10093215811997E8</v>
      </c>
      <c r="E4632" s="73">
        <v>6.1394122163849E7</v>
      </c>
      <c r="F4632" s="73"/>
      <c r="G4632" s="73"/>
      <c r="H4632" s="73"/>
      <c r="I4632" s="73"/>
      <c r="J4632" s="73"/>
      <c r="K4632" s="73"/>
      <c r="L4632" s="73"/>
      <c r="M4632" s="73"/>
      <c r="N4632" s="73"/>
      <c r="O4632" s="73"/>
      <c r="P4632" s="73"/>
      <c r="Q4632" s="73"/>
      <c r="R4632" s="73"/>
      <c r="S4632" s="73"/>
      <c r="T4632" s="73"/>
      <c r="U4632" s="73"/>
      <c r="V4632" s="73"/>
      <c r="W4632" s="73"/>
      <c r="X4632" s="73"/>
      <c r="Y4632" s="73"/>
      <c r="Z4632" s="73"/>
      <c r="AA4632" s="73"/>
      <c r="AB4632" s="73"/>
    </row>
    <row r="4633">
      <c r="A4633" s="73"/>
      <c r="B4633" s="73">
        <v>1.932752888E7</v>
      </c>
      <c r="C4633" s="73">
        <v>7.40836428061844E8</v>
      </c>
      <c r="D4633" s="73">
        <v>4.1037521940799E8</v>
      </c>
      <c r="E4633" s="73">
        <v>6.14406950353509E7</v>
      </c>
      <c r="F4633" s="73"/>
      <c r="G4633" s="73"/>
      <c r="H4633" s="73"/>
      <c r="I4633" s="73"/>
      <c r="J4633" s="73"/>
      <c r="K4633" s="73"/>
      <c r="L4633" s="73"/>
      <c r="M4633" s="73"/>
      <c r="N4633" s="73"/>
      <c r="O4633" s="73"/>
      <c r="P4633" s="73"/>
      <c r="Q4633" s="73"/>
      <c r="R4633" s="73"/>
      <c r="S4633" s="73"/>
      <c r="T4633" s="73"/>
      <c r="U4633" s="73"/>
      <c r="V4633" s="73"/>
      <c r="W4633" s="73"/>
      <c r="X4633" s="73"/>
      <c r="Y4633" s="73"/>
      <c r="Z4633" s="73"/>
      <c r="AA4633" s="73"/>
      <c r="AB4633" s="73"/>
    </row>
    <row r="4634">
      <c r="A4634" s="73"/>
      <c r="B4634" s="73">
        <v>1.935003821E7</v>
      </c>
      <c r="C4634" s="73">
        <v>7.41271763729752E8</v>
      </c>
      <c r="D4634" s="73">
        <v>4.10657305851999E8</v>
      </c>
      <c r="E4634" s="73">
        <v>6.14872934927075E7</v>
      </c>
      <c r="F4634" s="73"/>
      <c r="G4634" s="73"/>
      <c r="H4634" s="73"/>
      <c r="I4634" s="73"/>
      <c r="J4634" s="73"/>
      <c r="K4634" s="73"/>
      <c r="L4634" s="73"/>
      <c r="M4634" s="73"/>
      <c r="N4634" s="73"/>
      <c r="O4634" s="73"/>
      <c r="P4634" s="73"/>
      <c r="Q4634" s="73"/>
      <c r="R4634" s="73"/>
      <c r="S4634" s="73"/>
      <c r="T4634" s="73"/>
      <c r="U4634" s="73"/>
      <c r="V4634" s="73"/>
      <c r="W4634" s="73"/>
      <c r="X4634" s="73"/>
      <c r="Y4634" s="73"/>
      <c r="Z4634" s="73"/>
      <c r="AA4634" s="73"/>
      <c r="AB4634" s="73"/>
    </row>
    <row r="4635">
      <c r="A4635" s="73"/>
      <c r="B4635" s="73">
        <v>1.937256747E7</v>
      </c>
      <c r="C4635" s="73">
        <v>7.41707099397659E8</v>
      </c>
      <c r="D4635" s="73">
        <v>4.10939556423992E8</v>
      </c>
      <c r="E4635" s="73">
        <v>6.15339129567189E7</v>
      </c>
      <c r="F4635" s="73"/>
      <c r="G4635" s="73"/>
      <c r="H4635" s="73"/>
      <c r="I4635" s="73"/>
      <c r="J4635" s="73"/>
      <c r="K4635" s="73"/>
      <c r="L4635" s="73"/>
      <c r="M4635" s="73"/>
      <c r="N4635" s="73"/>
      <c r="O4635" s="73"/>
      <c r="P4635" s="73"/>
      <c r="Q4635" s="73"/>
      <c r="R4635" s="73"/>
      <c r="S4635" s="73"/>
      <c r="T4635" s="73"/>
      <c r="U4635" s="73"/>
      <c r="V4635" s="73"/>
      <c r="W4635" s="73"/>
      <c r="X4635" s="73"/>
      <c r="Y4635" s="73"/>
      <c r="Z4635" s="73"/>
      <c r="AA4635" s="73"/>
      <c r="AB4635" s="73"/>
    </row>
    <row r="4636">
      <c r="A4636" s="73"/>
      <c r="B4636" s="73">
        <v>1.939511719E7</v>
      </c>
      <c r="C4636" s="73">
        <v>7.42142764665558E8</v>
      </c>
      <c r="D4636" s="73">
        <v>4.11221930804001E8</v>
      </c>
      <c r="E4636" s="73">
        <v>6.15805554320571E7</v>
      </c>
      <c r="F4636" s="73"/>
      <c r="G4636" s="73"/>
      <c r="H4636" s="73"/>
      <c r="I4636" s="73"/>
      <c r="J4636" s="73"/>
      <c r="K4636" s="73"/>
      <c r="L4636" s="73"/>
      <c r="M4636" s="73"/>
      <c r="N4636" s="73"/>
      <c r="O4636" s="73"/>
      <c r="P4636" s="73"/>
      <c r="Q4636" s="73"/>
      <c r="R4636" s="73"/>
      <c r="S4636" s="73"/>
      <c r="T4636" s="73"/>
      <c r="U4636" s="73"/>
      <c r="V4636" s="73"/>
      <c r="W4636" s="73"/>
      <c r="X4636" s="73"/>
      <c r="Y4636" s="73"/>
      <c r="Z4636" s="73"/>
      <c r="AA4636" s="73"/>
      <c r="AB4636" s="73"/>
    </row>
    <row r="4637">
      <c r="A4637" s="73"/>
      <c r="B4637" s="73">
        <v>1.941768695E7</v>
      </c>
      <c r="C4637" s="73">
        <v>7.42578561773453E8</v>
      </c>
      <c r="D4637" s="73">
        <v>4.11504388607994E8</v>
      </c>
      <c r="E4637" s="73">
        <v>6.16272239477778E7</v>
      </c>
      <c r="F4637" s="73"/>
      <c r="G4637" s="73"/>
      <c r="H4637" s="73"/>
      <c r="I4637" s="73"/>
      <c r="J4637" s="73"/>
      <c r="K4637" s="73"/>
      <c r="L4637" s="73"/>
      <c r="M4637" s="73"/>
      <c r="N4637" s="73"/>
      <c r="O4637" s="73"/>
      <c r="P4637" s="73"/>
      <c r="Q4637" s="73"/>
      <c r="R4637" s="73"/>
      <c r="S4637" s="73"/>
      <c r="T4637" s="73"/>
      <c r="U4637" s="73"/>
      <c r="V4637" s="73"/>
      <c r="W4637" s="73"/>
      <c r="X4637" s="73"/>
      <c r="Y4637" s="73"/>
      <c r="Z4637" s="73"/>
      <c r="AA4637" s="73"/>
      <c r="AB4637" s="73"/>
    </row>
    <row r="4638">
      <c r="A4638" s="73"/>
      <c r="B4638" s="73">
        <v>1.944027661E7</v>
      </c>
      <c r="C4638" s="73">
        <v>7.43014490721344E8</v>
      </c>
      <c r="D4638" s="73">
        <v>4.11787010572002E8</v>
      </c>
      <c r="E4638" s="73">
        <v>6.16739126764255E7</v>
      </c>
      <c r="F4638" s="73"/>
      <c r="G4638" s="73"/>
      <c r="H4638" s="73"/>
      <c r="I4638" s="73"/>
      <c r="J4638" s="73"/>
      <c r="K4638" s="73"/>
      <c r="L4638" s="73"/>
      <c r="M4638" s="73"/>
      <c r="N4638" s="73"/>
      <c r="O4638" s="73"/>
      <c r="P4638" s="73"/>
      <c r="Q4638" s="73"/>
      <c r="R4638" s="73"/>
      <c r="S4638" s="73"/>
      <c r="T4638" s="73"/>
      <c r="U4638" s="73"/>
      <c r="V4638" s="73"/>
      <c r="W4638" s="73"/>
      <c r="X4638" s="73"/>
      <c r="Y4638" s="73"/>
      <c r="Z4638" s="73"/>
      <c r="AA4638" s="73"/>
      <c r="AB4638" s="73"/>
    </row>
    <row r="4639">
      <c r="A4639" s="73"/>
      <c r="B4639" s="73">
        <v>1.946288704E7</v>
      </c>
      <c r="C4639" s="73">
        <v>7.4345061742923E8</v>
      </c>
      <c r="D4639" s="73">
        <v>4.12069756631996E8</v>
      </c>
      <c r="E4639" s="73">
        <v>6.17206225508E7</v>
      </c>
      <c r="F4639" s="73"/>
      <c r="G4639" s="73"/>
      <c r="H4639" s="73"/>
      <c r="I4639" s="73"/>
      <c r="J4639" s="73"/>
      <c r="K4639" s="73"/>
      <c r="L4639" s="73"/>
      <c r="M4639" s="73"/>
      <c r="N4639" s="73"/>
      <c r="O4639" s="73"/>
      <c r="P4639" s="73"/>
      <c r="Q4639" s="73"/>
      <c r="R4639" s="73"/>
      <c r="S4639" s="73"/>
      <c r="T4639" s="73"/>
      <c r="U4639" s="73"/>
      <c r="V4639" s="73"/>
      <c r="W4639" s="73"/>
      <c r="X4639" s="73"/>
      <c r="Y4639" s="73"/>
      <c r="Z4639" s="73"/>
      <c r="AA4639" s="73"/>
      <c r="AB4639" s="73"/>
    </row>
    <row r="4640">
      <c r="A4640" s="73"/>
      <c r="B4640" s="73">
        <v>1.948551752E7</v>
      </c>
      <c r="C4640" s="73">
        <v>7.43886810057114E8</v>
      </c>
      <c r="D4640" s="73">
        <v>4.12352626179989E8</v>
      </c>
      <c r="E4640" s="73">
        <v>6.17673572783572E7</v>
      </c>
      <c r="F4640" s="73"/>
      <c r="G4640" s="73"/>
      <c r="H4640" s="73"/>
      <c r="I4640" s="73"/>
      <c r="J4640" s="73"/>
      <c r="K4640" s="73"/>
      <c r="L4640" s="73"/>
      <c r="M4640" s="73"/>
      <c r="N4640" s="73"/>
      <c r="O4640" s="73"/>
      <c r="P4640" s="73"/>
      <c r="Q4640" s="73"/>
      <c r="R4640" s="73"/>
      <c r="S4640" s="73"/>
      <c r="T4640" s="73"/>
      <c r="U4640" s="73"/>
      <c r="V4640" s="73"/>
      <c r="W4640" s="73"/>
      <c r="X4640" s="73"/>
      <c r="Y4640" s="73"/>
      <c r="Z4640" s="73"/>
      <c r="AA4640" s="73"/>
      <c r="AB4640" s="73"/>
    </row>
    <row r="4641">
      <c r="A4641" s="73"/>
      <c r="B4641" s="73">
        <v>1.950816768E7</v>
      </c>
      <c r="C4641" s="73">
        <v>7.4432326636499E8</v>
      </c>
      <c r="D4641" s="73">
        <v>4.12635619503998E8</v>
      </c>
      <c r="E4641" s="73">
        <v>6.18141156108411E7</v>
      </c>
      <c r="F4641" s="73"/>
      <c r="G4641" s="73"/>
      <c r="H4641" s="73"/>
      <c r="I4641" s="73"/>
      <c r="J4641" s="73"/>
      <c r="K4641" s="73"/>
      <c r="L4641" s="73"/>
      <c r="M4641" s="73"/>
      <c r="N4641" s="73"/>
      <c r="O4641" s="73"/>
      <c r="P4641" s="73"/>
      <c r="Q4641" s="73"/>
      <c r="R4641" s="73"/>
      <c r="S4641" s="73"/>
      <c r="T4641" s="73"/>
      <c r="U4641" s="73"/>
      <c r="V4641" s="73"/>
      <c r="W4641" s="73"/>
      <c r="X4641" s="73"/>
      <c r="Y4641" s="73"/>
      <c r="Z4641" s="73"/>
      <c r="AA4641" s="73"/>
      <c r="AB4641" s="73"/>
    </row>
    <row r="4642">
      <c r="A4642" s="73"/>
      <c r="B4642" s="73">
        <v>1.953083815E7</v>
      </c>
      <c r="C4642" s="73">
        <v>7.44759854512863E8</v>
      </c>
      <c r="D4642" s="73">
        <v>4.12918736635991E8</v>
      </c>
      <c r="E4642" s="73">
        <v>6.1860893562652E7</v>
      </c>
      <c r="F4642" s="73"/>
      <c r="G4642" s="73"/>
      <c r="H4642" s="73"/>
      <c r="I4642" s="73"/>
      <c r="J4642" s="73"/>
      <c r="K4642" s="73"/>
      <c r="L4642" s="73"/>
      <c r="M4642" s="73"/>
      <c r="N4642" s="73"/>
      <c r="O4642" s="73"/>
      <c r="P4642" s="73"/>
      <c r="Q4642" s="73"/>
      <c r="R4642" s="73"/>
      <c r="S4642" s="73"/>
      <c r="T4642" s="73"/>
      <c r="U4642" s="73"/>
      <c r="V4642" s="73"/>
      <c r="W4642" s="73"/>
      <c r="X4642" s="73"/>
      <c r="Y4642" s="73"/>
      <c r="Z4642" s="73"/>
      <c r="AA4642" s="73"/>
      <c r="AB4642" s="73"/>
    </row>
    <row r="4643">
      <c r="A4643" s="73"/>
      <c r="B4643" s="73">
        <v>1.955352918E7</v>
      </c>
      <c r="C4643" s="73">
        <v>7.45196706340729E8</v>
      </c>
      <c r="D4643" s="73">
        <v>4.13202018215999E8</v>
      </c>
      <c r="E4643" s="73">
        <v>6.19076975548454E7</v>
      </c>
      <c r="F4643" s="73"/>
      <c r="G4643" s="73"/>
      <c r="H4643" s="73"/>
      <c r="I4643" s="73"/>
      <c r="J4643" s="73"/>
      <c r="K4643" s="73"/>
      <c r="L4643" s="73"/>
      <c r="M4643" s="73"/>
      <c r="N4643" s="73"/>
      <c r="O4643" s="73"/>
      <c r="P4643" s="73"/>
      <c r="Q4643" s="73"/>
      <c r="R4643" s="73"/>
      <c r="S4643" s="73"/>
      <c r="T4643" s="73"/>
      <c r="U4643" s="73"/>
      <c r="V4643" s="73"/>
      <c r="W4643" s="73"/>
      <c r="X4643" s="73"/>
      <c r="Y4643" s="73"/>
      <c r="Z4643" s="73"/>
      <c r="AA4643" s="73"/>
      <c r="AB4643" s="73"/>
    </row>
    <row r="4644">
      <c r="A4644" s="73"/>
      <c r="B4644" s="73">
        <v>1.95762408E7</v>
      </c>
      <c r="C4644" s="73">
        <v>7.45633558168594E8</v>
      </c>
      <c r="D4644" s="73">
        <v>4.13485382931993E8</v>
      </c>
      <c r="E4644" s="73">
        <v>6.19545239647657E7</v>
      </c>
      <c r="F4644" s="73"/>
      <c r="G4644" s="73"/>
      <c r="H4644" s="73"/>
      <c r="I4644" s="73"/>
      <c r="J4644" s="73"/>
      <c r="K4644" s="73"/>
      <c r="L4644" s="73"/>
      <c r="M4644" s="73"/>
      <c r="N4644" s="73"/>
      <c r="O4644" s="73"/>
      <c r="P4644" s="73"/>
      <c r="Q4644" s="73"/>
      <c r="R4644" s="73"/>
      <c r="S4644" s="73"/>
      <c r="T4644" s="73"/>
      <c r="U4644" s="73"/>
      <c r="V4644" s="73"/>
      <c r="W4644" s="73"/>
      <c r="X4644" s="73"/>
      <c r="Y4644" s="73"/>
      <c r="Z4644" s="73"/>
      <c r="AA4644" s="73"/>
      <c r="AB4644" s="73"/>
    </row>
    <row r="4645">
      <c r="A4645" s="73"/>
      <c r="B4645" s="73">
        <v>1.959897182E7</v>
      </c>
      <c r="C4645" s="73">
        <v>7.46070607756454E8</v>
      </c>
      <c r="D4645" s="73">
        <v>4.13768871136001E8</v>
      </c>
      <c r="E4645" s="73">
        <v>6.20013735013406E7</v>
      </c>
      <c r="F4645" s="73"/>
      <c r="G4645" s="73"/>
      <c r="H4645" s="73"/>
      <c r="I4645" s="73"/>
      <c r="J4645" s="73"/>
      <c r="K4645" s="73"/>
      <c r="L4645" s="73"/>
      <c r="M4645" s="73"/>
      <c r="N4645" s="73"/>
      <c r="O4645" s="73"/>
      <c r="P4645" s="73"/>
      <c r="Q4645" s="73"/>
      <c r="R4645" s="73"/>
      <c r="S4645" s="73"/>
      <c r="T4645" s="73"/>
      <c r="U4645" s="73"/>
      <c r="V4645" s="73"/>
      <c r="W4645" s="73"/>
      <c r="X4645" s="73"/>
      <c r="Y4645" s="73"/>
      <c r="Z4645" s="73"/>
      <c r="AA4645" s="73"/>
      <c r="AB4645" s="73"/>
    </row>
    <row r="4646">
      <c r="A4646" s="73"/>
      <c r="B4646" s="73">
        <v>1.962172347E7</v>
      </c>
      <c r="C4646" s="73">
        <v>7.46507855104309E8</v>
      </c>
      <c r="D4646" s="73">
        <v>4.14052524075994E8</v>
      </c>
      <c r="E4646" s="73">
        <v>6.20482433356425E7</v>
      </c>
      <c r="F4646" s="73"/>
      <c r="G4646" s="73"/>
      <c r="H4646" s="73"/>
      <c r="I4646" s="73"/>
      <c r="J4646" s="73"/>
      <c r="K4646" s="73"/>
      <c r="L4646" s="73"/>
      <c r="M4646" s="73"/>
      <c r="N4646" s="73"/>
      <c r="O4646" s="73"/>
      <c r="P4646" s="73"/>
      <c r="Q4646" s="73"/>
      <c r="R4646" s="73"/>
      <c r="S4646" s="73"/>
      <c r="T4646" s="73"/>
      <c r="U4646" s="73"/>
      <c r="V4646" s="73"/>
      <c r="W4646" s="73"/>
      <c r="X4646" s="73"/>
      <c r="Y4646" s="73"/>
      <c r="Z4646" s="73"/>
      <c r="AA4646" s="73"/>
      <c r="AB4646" s="73"/>
    </row>
    <row r="4647">
      <c r="A4647" s="73"/>
      <c r="B4647" s="73">
        <v>1.964449519E7</v>
      </c>
      <c r="C4647" s="73">
        <v>7.4694523429216E8</v>
      </c>
      <c r="D4647" s="73">
        <v>4.14336259864003E8</v>
      </c>
      <c r="E4647" s="73">
        <v>6.2095139803927E7</v>
      </c>
      <c r="F4647" s="73"/>
      <c r="G4647" s="73"/>
      <c r="H4647" s="73"/>
      <c r="I4647" s="73"/>
      <c r="J4647" s="73"/>
      <c r="K4647" s="73"/>
      <c r="L4647" s="73"/>
      <c r="M4647" s="73"/>
      <c r="N4647" s="73"/>
      <c r="O4647" s="73"/>
      <c r="P4647" s="73"/>
      <c r="Q4647" s="73"/>
      <c r="R4647" s="73"/>
      <c r="S4647" s="73"/>
      <c r="T4647" s="73"/>
      <c r="U4647" s="73"/>
      <c r="V4647" s="73"/>
      <c r="W4647" s="73"/>
      <c r="X4647" s="73"/>
      <c r="Y4647" s="73"/>
      <c r="Z4647" s="73"/>
      <c r="AA4647" s="73"/>
      <c r="AB4647" s="73"/>
    </row>
    <row r="4648">
      <c r="A4648" s="73"/>
      <c r="B4648" s="73">
        <v>1.96672874E7</v>
      </c>
      <c r="C4648" s="73">
        <v>7.47382811240005E8</v>
      </c>
      <c r="D4648" s="73">
        <v>4.14620119459996E8</v>
      </c>
      <c r="E4648" s="73">
        <v>6.21420574179383E7</v>
      </c>
      <c r="F4648" s="73"/>
      <c r="G4648" s="73"/>
      <c r="H4648" s="73"/>
      <c r="I4648" s="73"/>
      <c r="J4648" s="73"/>
      <c r="K4648" s="73"/>
      <c r="L4648" s="73"/>
      <c r="M4648" s="73"/>
      <c r="N4648" s="73"/>
      <c r="O4648" s="73"/>
      <c r="P4648" s="73"/>
      <c r="Q4648" s="73"/>
      <c r="R4648" s="73"/>
      <c r="S4648" s="73"/>
      <c r="T4648" s="73"/>
      <c r="U4648" s="73"/>
      <c r="V4648" s="73"/>
      <c r="W4648" s="73"/>
      <c r="X4648" s="73"/>
      <c r="Y4648" s="73"/>
      <c r="Z4648" s="73"/>
      <c r="AA4648" s="73"/>
      <c r="AB4648" s="73"/>
    </row>
    <row r="4649">
      <c r="A4649" s="73"/>
      <c r="B4649" s="73">
        <v>1.969009977E7</v>
      </c>
      <c r="C4649" s="73">
        <v>7.47820520027847E8</v>
      </c>
      <c r="D4649" s="73">
        <v>4.1490414347199E8</v>
      </c>
      <c r="E4649" s="73">
        <v>6.21889957536765E7</v>
      </c>
      <c r="F4649" s="73"/>
      <c r="G4649" s="73"/>
      <c r="H4649" s="73"/>
      <c r="I4649" s="73"/>
      <c r="J4649" s="73"/>
      <c r="K4649" s="73"/>
      <c r="L4649" s="73"/>
      <c r="M4649" s="73"/>
      <c r="N4649" s="73"/>
      <c r="O4649" s="73"/>
      <c r="P4649" s="73"/>
      <c r="Q4649" s="73"/>
      <c r="R4649" s="73"/>
      <c r="S4649" s="73"/>
      <c r="T4649" s="73"/>
      <c r="U4649" s="73"/>
      <c r="V4649" s="73"/>
      <c r="W4649" s="73"/>
      <c r="X4649" s="73"/>
      <c r="Y4649" s="73"/>
      <c r="Z4649" s="73"/>
      <c r="AA4649" s="73"/>
      <c r="AB4649" s="73"/>
    </row>
    <row r="4650">
      <c r="A4650" s="73"/>
      <c r="B4650" s="73">
        <v>1.971293213E7</v>
      </c>
      <c r="C4650" s="73">
        <v>7.48258426575684E8</v>
      </c>
      <c r="D4650" s="73">
        <v>4.15188250651998E8</v>
      </c>
      <c r="E4650" s="73">
        <v>6.22359596209973E7</v>
      </c>
      <c r="F4650" s="73"/>
      <c r="G4650" s="73"/>
      <c r="H4650" s="73"/>
      <c r="I4650" s="73"/>
      <c r="J4650" s="73"/>
      <c r="K4650" s="73"/>
      <c r="L4650" s="73"/>
      <c r="M4650" s="73"/>
      <c r="N4650" s="73"/>
      <c r="O4650" s="73"/>
      <c r="P4650" s="73"/>
      <c r="Q4650" s="73"/>
      <c r="R4650" s="73"/>
      <c r="S4650" s="73"/>
      <c r="T4650" s="73"/>
      <c r="U4650" s="73"/>
      <c r="V4650" s="73"/>
      <c r="W4650" s="73"/>
      <c r="X4650" s="73"/>
      <c r="Y4650" s="73"/>
      <c r="Z4650" s="73"/>
      <c r="AA4650" s="73"/>
      <c r="AB4650" s="73"/>
    </row>
    <row r="4651">
      <c r="A4651" s="73"/>
      <c r="B4651" s="73">
        <v>1.973578495E7</v>
      </c>
      <c r="C4651" s="73">
        <v>7.48696399043518E8</v>
      </c>
      <c r="D4651" s="73">
        <v>4.15472522247991E8</v>
      </c>
      <c r="E4651" s="73">
        <v>6.2282945312445E7</v>
      </c>
      <c r="F4651" s="73"/>
      <c r="G4651" s="73"/>
      <c r="H4651" s="73"/>
      <c r="I4651" s="73"/>
      <c r="J4651" s="73"/>
      <c r="K4651" s="73"/>
      <c r="L4651" s="73"/>
      <c r="M4651" s="73"/>
      <c r="N4651" s="73"/>
      <c r="O4651" s="73"/>
      <c r="P4651" s="73"/>
      <c r="Q4651" s="73"/>
      <c r="R4651" s="73"/>
      <c r="S4651" s="73"/>
      <c r="T4651" s="73"/>
      <c r="U4651" s="73"/>
      <c r="V4651" s="73"/>
      <c r="W4651" s="73"/>
      <c r="X4651" s="73"/>
      <c r="Y4651" s="73"/>
      <c r="Z4651" s="73"/>
      <c r="AA4651" s="73"/>
      <c r="AB4651" s="73"/>
    </row>
    <row r="4652">
      <c r="A4652" s="73"/>
      <c r="B4652" s="73">
        <v>1.975865835E7</v>
      </c>
      <c r="C4652" s="73">
        <v>7.49134635191345E8</v>
      </c>
      <c r="D4652" s="73">
        <v>4.15756917652E8</v>
      </c>
      <c r="E4652" s="73">
        <v>6.23299543849473E7</v>
      </c>
      <c r="F4652" s="73"/>
      <c r="G4652" s="73"/>
      <c r="H4652" s="73"/>
      <c r="I4652" s="73"/>
      <c r="J4652" s="73"/>
      <c r="K4652" s="73"/>
      <c r="L4652" s="73"/>
      <c r="M4652" s="73"/>
      <c r="N4652" s="73"/>
      <c r="O4652" s="73"/>
      <c r="P4652" s="73"/>
      <c r="Q4652" s="73"/>
      <c r="R4652" s="73"/>
      <c r="S4652" s="73"/>
      <c r="T4652" s="73"/>
      <c r="U4652" s="73"/>
      <c r="V4652" s="73"/>
      <c r="W4652" s="73"/>
      <c r="X4652" s="73"/>
      <c r="Y4652" s="73"/>
      <c r="Z4652" s="73"/>
      <c r="AA4652" s="73"/>
      <c r="AB4652" s="73"/>
    </row>
    <row r="4653">
      <c r="A4653" s="73"/>
      <c r="B4653" s="73">
        <v>1.978155157E7</v>
      </c>
      <c r="C4653" s="73">
        <v>7.49573003179169E8</v>
      </c>
      <c r="D4653" s="73">
        <v>4.16041396191993E8</v>
      </c>
      <c r="E4653" s="73">
        <v>6.23769856207765E7</v>
      </c>
      <c r="F4653" s="73"/>
      <c r="G4653" s="73"/>
      <c r="H4653" s="73"/>
      <c r="I4653" s="73"/>
      <c r="J4653" s="73"/>
      <c r="K4653" s="73"/>
      <c r="L4653" s="73"/>
      <c r="M4653" s="73"/>
      <c r="N4653" s="73"/>
      <c r="O4653" s="73"/>
      <c r="P4653" s="73"/>
      <c r="Q4653" s="73"/>
      <c r="R4653" s="73"/>
      <c r="S4653" s="73"/>
      <c r="T4653" s="73"/>
      <c r="U4653" s="73"/>
      <c r="V4653" s="73"/>
      <c r="W4653" s="73"/>
      <c r="X4653" s="73"/>
      <c r="Y4653" s="73"/>
      <c r="Z4653" s="73"/>
      <c r="AA4653" s="73"/>
      <c r="AB4653" s="73"/>
    </row>
    <row r="4654">
      <c r="A4654" s="73"/>
      <c r="B4654" s="73">
        <v>1.980446537E7</v>
      </c>
      <c r="C4654" s="73">
        <v>7.50011503006989E8</v>
      </c>
      <c r="D4654" s="73">
        <v>4.16326038892002E8</v>
      </c>
      <c r="E4654" s="73">
        <v>6.24240420489883E7</v>
      </c>
      <c r="F4654" s="73"/>
      <c r="G4654" s="73"/>
      <c r="H4654" s="73"/>
      <c r="I4654" s="73"/>
      <c r="J4654" s="73"/>
      <c r="K4654" s="73"/>
      <c r="L4654" s="73"/>
      <c r="M4654" s="73"/>
      <c r="N4654" s="73"/>
      <c r="O4654" s="73"/>
      <c r="P4654" s="73"/>
      <c r="Q4654" s="73"/>
      <c r="R4654" s="73"/>
      <c r="S4654" s="73"/>
      <c r="T4654" s="73"/>
      <c r="U4654" s="73"/>
      <c r="V4654" s="73"/>
      <c r="W4654" s="73"/>
      <c r="X4654" s="73"/>
      <c r="Y4654" s="73"/>
      <c r="Z4654" s="73"/>
      <c r="AA4654" s="73"/>
      <c r="AB4654" s="73"/>
    </row>
    <row r="4655">
      <c r="A4655" s="73"/>
      <c r="B4655" s="73">
        <v>1.982739913E7</v>
      </c>
      <c r="C4655" s="73">
        <v>7.50450200594803E8</v>
      </c>
      <c r="D4655" s="73">
        <v>4.16610805687995E8</v>
      </c>
      <c r="E4655" s="73">
        <v>6.2471120725327E7</v>
      </c>
      <c r="F4655" s="73"/>
      <c r="G4655" s="73"/>
      <c r="H4655" s="73"/>
      <c r="I4655" s="73"/>
      <c r="J4655" s="73"/>
      <c r="K4655" s="73"/>
      <c r="L4655" s="73"/>
      <c r="M4655" s="73"/>
      <c r="N4655" s="73"/>
      <c r="O4655" s="73"/>
      <c r="P4655" s="73"/>
      <c r="Q4655" s="73"/>
      <c r="R4655" s="73"/>
      <c r="S4655" s="73"/>
      <c r="T4655" s="73"/>
      <c r="U4655" s="73"/>
      <c r="V4655" s="73"/>
      <c r="W4655" s="73"/>
      <c r="X4655" s="73"/>
      <c r="Y4655" s="73"/>
      <c r="Z4655" s="73"/>
      <c r="AA4655" s="73"/>
      <c r="AB4655" s="73"/>
    </row>
    <row r="4656">
      <c r="A4656" s="73"/>
      <c r="B4656" s="73">
        <v>1.985035373E7</v>
      </c>
      <c r="C4656" s="73">
        <v>7.5088916186261E8</v>
      </c>
      <c r="D4656" s="73">
        <v>4.16895695939988E8</v>
      </c>
      <c r="E4656" s="73">
        <v>6.25182174097926E7</v>
      </c>
      <c r="F4656" s="73"/>
      <c r="G4656" s="73"/>
      <c r="H4656" s="73"/>
      <c r="I4656" s="73"/>
      <c r="J4656" s="73"/>
      <c r="K4656" s="73"/>
      <c r="L4656" s="73"/>
      <c r="M4656" s="73"/>
      <c r="N4656" s="73"/>
      <c r="O4656" s="73"/>
      <c r="P4656" s="73"/>
      <c r="Q4656" s="73"/>
      <c r="R4656" s="73"/>
      <c r="S4656" s="73"/>
      <c r="T4656" s="73"/>
      <c r="U4656" s="73"/>
      <c r="V4656" s="73"/>
      <c r="W4656" s="73"/>
      <c r="X4656" s="73"/>
      <c r="Y4656" s="73"/>
      <c r="Z4656" s="73"/>
      <c r="AA4656" s="73"/>
      <c r="AB4656" s="73"/>
    </row>
    <row r="4657">
      <c r="A4657" s="73"/>
      <c r="B4657" s="73">
        <v>1.987332823E7</v>
      </c>
      <c r="C4657" s="73">
        <v>7.51328123130417E8</v>
      </c>
      <c r="D4657" s="73">
        <v>4.17180710319997E8</v>
      </c>
      <c r="E4657" s="73">
        <v>6.25653427634407E7</v>
      </c>
      <c r="F4657" s="73"/>
      <c r="G4657" s="73"/>
      <c r="H4657" s="73"/>
      <c r="I4657" s="73"/>
      <c r="J4657" s="73"/>
      <c r="K4657" s="73"/>
      <c r="L4657" s="73"/>
      <c r="M4657" s="73"/>
      <c r="N4657" s="73"/>
      <c r="O4657" s="73"/>
      <c r="P4657" s="73"/>
      <c r="Q4657" s="73"/>
      <c r="R4657" s="73"/>
      <c r="S4657" s="73"/>
      <c r="T4657" s="73"/>
      <c r="U4657" s="73"/>
      <c r="V4657" s="73"/>
      <c r="W4657" s="73"/>
      <c r="X4657" s="73"/>
      <c r="Y4657" s="73"/>
      <c r="Z4657" s="73"/>
      <c r="AA4657" s="73"/>
      <c r="AB4657" s="73"/>
    </row>
    <row r="4658">
      <c r="A4658" s="73"/>
      <c r="B4658" s="73">
        <v>1.989632283E7</v>
      </c>
      <c r="C4658" s="73">
        <v>7.51767348078217E8</v>
      </c>
      <c r="D4658" s="73">
        <v>4.1746584815599E8</v>
      </c>
      <c r="E4658" s="73">
        <v>6.26124899412156E7</v>
      </c>
      <c r="F4658" s="73"/>
      <c r="G4658" s="73"/>
      <c r="H4658" s="73"/>
      <c r="I4658" s="73"/>
      <c r="J4658" s="73"/>
      <c r="K4658" s="73"/>
      <c r="L4658" s="73"/>
      <c r="M4658" s="73"/>
      <c r="N4658" s="73"/>
      <c r="O4658" s="73"/>
      <c r="P4658" s="73"/>
      <c r="Q4658" s="73"/>
      <c r="R4658" s="73"/>
      <c r="S4658" s="73"/>
      <c r="T4658" s="73"/>
      <c r="U4658" s="73"/>
      <c r="V4658" s="73"/>
      <c r="W4658" s="73"/>
      <c r="X4658" s="73"/>
      <c r="Y4658" s="73"/>
      <c r="Z4658" s="73"/>
      <c r="AA4658" s="73"/>
      <c r="AB4658" s="73"/>
    </row>
    <row r="4659">
      <c r="A4659" s="73"/>
      <c r="B4659" s="73">
        <v>1.991933796E7</v>
      </c>
      <c r="C4659" s="73">
        <v>7.52206704866013E8</v>
      </c>
      <c r="D4659" s="73">
        <v>4.17751109511999E8</v>
      </c>
      <c r="E4659" s="73">
        <v>6.26596600760453E7</v>
      </c>
      <c r="F4659" s="73"/>
      <c r="G4659" s="73"/>
      <c r="H4659" s="73"/>
      <c r="I4659" s="73"/>
      <c r="J4659" s="73"/>
      <c r="K4659" s="73"/>
      <c r="L4659" s="73"/>
      <c r="M4659" s="73"/>
      <c r="N4659" s="73"/>
      <c r="O4659" s="73"/>
      <c r="P4659" s="73"/>
      <c r="Q4659" s="73"/>
      <c r="R4659" s="73"/>
      <c r="S4659" s="73"/>
      <c r="T4659" s="73"/>
      <c r="U4659" s="73"/>
      <c r="V4659" s="73"/>
      <c r="W4659" s="73"/>
      <c r="X4659" s="73"/>
      <c r="Y4659" s="73"/>
      <c r="Z4659" s="73"/>
      <c r="AA4659" s="73"/>
      <c r="AB4659" s="73"/>
    </row>
    <row r="4660">
      <c r="A4660" s="73"/>
      <c r="B4660" s="73">
        <v>1.994237357E7</v>
      </c>
      <c r="C4660" s="73">
        <v>7.52646127573807E8</v>
      </c>
      <c r="D4660" s="73">
        <v>4.18036536211992E8</v>
      </c>
      <c r="E4660" s="73">
        <v>6.27068508478019E7</v>
      </c>
      <c r="F4660" s="73"/>
      <c r="G4660" s="73"/>
      <c r="H4660" s="73"/>
      <c r="I4660" s="73"/>
      <c r="J4660" s="73"/>
      <c r="K4660" s="73"/>
      <c r="L4660" s="73"/>
      <c r="M4660" s="73"/>
      <c r="N4660" s="73"/>
      <c r="O4660" s="73"/>
      <c r="P4660" s="73"/>
      <c r="Q4660" s="73"/>
      <c r="R4660" s="73"/>
      <c r="S4660" s="73"/>
      <c r="T4660" s="73"/>
      <c r="U4660" s="73"/>
      <c r="V4660" s="73"/>
      <c r="W4660" s="73"/>
      <c r="X4660" s="73"/>
      <c r="Y4660" s="73"/>
      <c r="Z4660" s="73"/>
      <c r="AA4660" s="73"/>
      <c r="AB4660" s="73"/>
    </row>
    <row r="4661">
      <c r="A4661" s="73"/>
      <c r="B4661" s="73">
        <v>1.996542928E7</v>
      </c>
      <c r="C4661" s="73">
        <v>7.53085813961594E8</v>
      </c>
      <c r="D4661" s="73">
        <v>4.18322045152001E8</v>
      </c>
      <c r="E4661" s="73">
        <v>6.27540654246132E7</v>
      </c>
      <c r="F4661" s="73"/>
      <c r="G4661" s="73"/>
      <c r="H4661" s="73"/>
      <c r="I4661" s="73"/>
      <c r="J4661" s="73"/>
      <c r="K4661" s="73"/>
      <c r="L4661" s="73"/>
      <c r="M4661" s="73"/>
      <c r="N4661" s="73"/>
      <c r="O4661" s="73"/>
      <c r="P4661" s="73"/>
      <c r="Q4661" s="73"/>
      <c r="R4661" s="73"/>
      <c r="S4661" s="73"/>
      <c r="T4661" s="73"/>
      <c r="U4661" s="73"/>
      <c r="V4661" s="73"/>
      <c r="W4661" s="73"/>
      <c r="X4661" s="73"/>
      <c r="Y4661" s="73"/>
      <c r="Z4661" s="73"/>
      <c r="AA4661" s="73"/>
      <c r="AB4661" s="73"/>
    </row>
    <row r="4662">
      <c r="A4662" s="73"/>
      <c r="B4662" s="73">
        <v>1.998850559E7</v>
      </c>
      <c r="C4662" s="73">
        <v>7.53525698109375E8</v>
      </c>
      <c r="D4662" s="73">
        <v>4.18607677867994E8</v>
      </c>
      <c r="E4662" s="73">
        <v>6.28013029584792E7</v>
      </c>
      <c r="F4662" s="73"/>
      <c r="G4662" s="73"/>
      <c r="H4662" s="73"/>
      <c r="I4662" s="73"/>
      <c r="J4662" s="73"/>
      <c r="K4662" s="73"/>
      <c r="L4662" s="73"/>
      <c r="M4662" s="73"/>
      <c r="N4662" s="73"/>
      <c r="O4662" s="73"/>
      <c r="P4662" s="73"/>
      <c r="Q4662" s="73"/>
      <c r="R4662" s="73"/>
      <c r="S4662" s="73"/>
      <c r="T4662" s="73"/>
      <c r="U4662" s="73"/>
      <c r="V4662" s="73"/>
      <c r="W4662" s="73"/>
      <c r="X4662" s="73"/>
      <c r="Y4662" s="73"/>
      <c r="Z4662" s="73"/>
      <c r="AA4662" s="73"/>
      <c r="AB4662" s="73"/>
    </row>
    <row r="4663">
      <c r="A4663" s="73"/>
      <c r="B4663" s="73">
        <v>2.001160229E7</v>
      </c>
      <c r="C4663" s="73">
        <v>7.53965582257156E8</v>
      </c>
      <c r="D4663" s="73">
        <v>4.18893475640002E8</v>
      </c>
      <c r="E4663" s="73">
        <v>6.28485637886E7</v>
      </c>
      <c r="F4663" s="73"/>
      <c r="G4663" s="73"/>
      <c r="H4663" s="73"/>
      <c r="I4663" s="73"/>
      <c r="J4663" s="73"/>
      <c r="K4663" s="73"/>
      <c r="L4663" s="73"/>
      <c r="M4663" s="73"/>
      <c r="N4663" s="73"/>
      <c r="O4663" s="73"/>
      <c r="P4663" s="73"/>
      <c r="Q4663" s="73"/>
      <c r="R4663" s="73"/>
      <c r="S4663" s="73"/>
      <c r="T4663" s="73"/>
      <c r="U4663" s="73"/>
      <c r="V4663" s="73"/>
      <c r="W4663" s="73"/>
      <c r="X4663" s="73"/>
      <c r="Y4663" s="73"/>
      <c r="Z4663" s="73"/>
      <c r="AA4663" s="73"/>
      <c r="AB4663" s="73"/>
    </row>
    <row r="4664">
      <c r="A4664" s="73"/>
      <c r="B4664" s="73">
        <v>2.003471892E7</v>
      </c>
      <c r="C4664" s="73">
        <v>7.54405796004929E8</v>
      </c>
      <c r="D4664" s="73">
        <v>4.19179355971996E8</v>
      </c>
      <c r="E4664" s="73">
        <v>6.28958502893754E7</v>
      </c>
      <c r="F4664" s="73"/>
      <c r="G4664" s="73"/>
      <c r="H4664" s="73"/>
      <c r="I4664" s="73"/>
      <c r="J4664" s="73"/>
      <c r="K4664" s="73"/>
      <c r="L4664" s="73"/>
      <c r="M4664" s="73"/>
      <c r="N4664" s="73"/>
      <c r="O4664" s="73"/>
      <c r="P4664" s="73"/>
      <c r="Q4664" s="73"/>
      <c r="R4664" s="73"/>
      <c r="S4664" s="73"/>
      <c r="T4664" s="73"/>
      <c r="U4664" s="73"/>
      <c r="V4664" s="73"/>
      <c r="W4664" s="73"/>
      <c r="X4664" s="73"/>
      <c r="Y4664" s="73"/>
      <c r="Z4664" s="73"/>
      <c r="AA4664" s="73"/>
      <c r="AB4664" s="73"/>
    </row>
    <row r="4665">
      <c r="A4665" s="73"/>
      <c r="B4665" s="73">
        <v>2.005785594E7</v>
      </c>
      <c r="C4665" s="73">
        <v>7.54846141592697E8</v>
      </c>
      <c r="D4665" s="73">
        <v>4.19465401007989E8</v>
      </c>
      <c r="E4665" s="73">
        <v>6.29431569182777E7</v>
      </c>
      <c r="F4665" s="73"/>
      <c r="G4665" s="73"/>
      <c r="H4665" s="73"/>
      <c r="I4665" s="73"/>
      <c r="J4665" s="73"/>
      <c r="K4665" s="73"/>
      <c r="L4665" s="73"/>
      <c r="M4665" s="73"/>
      <c r="N4665" s="73"/>
      <c r="O4665" s="73"/>
      <c r="P4665" s="73"/>
      <c r="Q4665" s="73"/>
      <c r="R4665" s="73"/>
      <c r="S4665" s="73"/>
      <c r="T4665" s="73"/>
      <c r="U4665" s="73"/>
      <c r="V4665" s="73"/>
      <c r="W4665" s="73"/>
      <c r="X4665" s="73"/>
      <c r="Y4665" s="73"/>
      <c r="Z4665" s="73"/>
      <c r="AA4665" s="73"/>
      <c r="AB4665" s="73"/>
    </row>
    <row r="4666">
      <c r="A4666" s="73"/>
      <c r="B4666" s="73">
        <v>2.008101373E7</v>
      </c>
      <c r="C4666" s="73">
        <v>7.55286553100464E8</v>
      </c>
      <c r="D4666" s="73">
        <v>4.19751528603998E8</v>
      </c>
      <c r="E4666" s="73">
        <v>6.29904836753069E7</v>
      </c>
      <c r="F4666" s="73"/>
      <c r="G4666" s="73"/>
      <c r="H4666" s="73"/>
      <c r="I4666" s="73"/>
      <c r="J4666" s="73"/>
      <c r="K4666" s="73"/>
      <c r="L4666" s="73"/>
      <c r="M4666" s="73"/>
      <c r="N4666" s="73"/>
      <c r="O4666" s="73"/>
      <c r="P4666" s="73"/>
      <c r="Q4666" s="73"/>
      <c r="R4666" s="73"/>
      <c r="S4666" s="73"/>
      <c r="T4666" s="73"/>
      <c r="U4666" s="73"/>
      <c r="V4666" s="73"/>
      <c r="W4666" s="73"/>
      <c r="X4666" s="73"/>
      <c r="Y4666" s="73"/>
      <c r="Z4666" s="73"/>
      <c r="AA4666" s="73"/>
      <c r="AB4666" s="73"/>
    </row>
    <row r="4667">
      <c r="A4667" s="73"/>
      <c r="B4667" s="73">
        <v>2.010419112E7</v>
      </c>
      <c r="C4667" s="73">
        <v>7.55727228288223E8</v>
      </c>
      <c r="D4667" s="73">
        <v>4.20037821255991E8</v>
      </c>
      <c r="E4667" s="73">
        <v>6.30378385927186E7</v>
      </c>
      <c r="F4667" s="73"/>
      <c r="G4667" s="73"/>
      <c r="H4667" s="73"/>
      <c r="I4667" s="73"/>
      <c r="J4667" s="73"/>
      <c r="K4667" s="73"/>
      <c r="L4667" s="73"/>
      <c r="M4667" s="73"/>
      <c r="N4667" s="73"/>
      <c r="O4667" s="73"/>
      <c r="P4667" s="73"/>
      <c r="Q4667" s="73"/>
      <c r="R4667" s="73"/>
      <c r="S4667" s="73"/>
      <c r="T4667" s="73"/>
      <c r="U4667" s="73"/>
      <c r="V4667" s="73"/>
      <c r="W4667" s="73"/>
      <c r="X4667" s="73"/>
      <c r="Y4667" s="73"/>
      <c r="Z4667" s="73"/>
      <c r="AA4667" s="73"/>
      <c r="AB4667" s="73"/>
    </row>
    <row r="4668">
      <c r="A4668" s="73"/>
      <c r="B4668" s="73">
        <v>2.012738975E7</v>
      </c>
      <c r="C4668" s="73">
        <v>7.56168035315979E8</v>
      </c>
      <c r="D4668" s="73">
        <v>4.20324237683999E8</v>
      </c>
      <c r="E4668" s="73">
        <v>6.30852127902573E7</v>
      </c>
      <c r="F4668" s="73"/>
      <c r="G4668" s="73"/>
      <c r="H4668" s="73"/>
      <c r="I4668" s="73"/>
      <c r="J4668" s="73"/>
      <c r="K4668" s="73"/>
      <c r="L4668" s="73"/>
      <c r="M4668" s="73"/>
      <c r="N4668" s="73"/>
      <c r="O4668" s="73"/>
      <c r="P4668" s="73"/>
      <c r="Q4668" s="73"/>
      <c r="R4668" s="73"/>
      <c r="S4668" s="73"/>
      <c r="T4668" s="73"/>
      <c r="U4668" s="73"/>
      <c r="V4668" s="73"/>
      <c r="W4668" s="73"/>
      <c r="X4668" s="73"/>
      <c r="Y4668" s="73"/>
      <c r="Z4668" s="73"/>
      <c r="AA4668" s="73"/>
      <c r="AB4668" s="73"/>
    </row>
    <row r="4669">
      <c r="A4669" s="73"/>
      <c r="B4669" s="73">
        <v>2.01506079E7</v>
      </c>
      <c r="C4669" s="73">
        <v>7.56609040103729E8</v>
      </c>
      <c r="D4669" s="73">
        <v>4.20610736671993E8</v>
      </c>
      <c r="E4669" s="73">
        <v>6.31326124888506E7</v>
      </c>
      <c r="F4669" s="73"/>
      <c r="G4669" s="73"/>
      <c r="H4669" s="73"/>
      <c r="I4669" s="73"/>
      <c r="J4669" s="73"/>
      <c r="K4669" s="73"/>
      <c r="L4669" s="73"/>
      <c r="M4669" s="73"/>
      <c r="N4669" s="73"/>
      <c r="O4669" s="73"/>
      <c r="P4669" s="73"/>
      <c r="Q4669" s="73"/>
      <c r="R4669" s="73"/>
      <c r="S4669" s="73"/>
      <c r="T4669" s="73"/>
      <c r="U4669" s="73"/>
      <c r="V4669" s="73"/>
      <c r="W4669" s="73"/>
      <c r="X4669" s="73"/>
      <c r="Y4669" s="73"/>
      <c r="Z4669" s="73"/>
      <c r="AA4669" s="73"/>
      <c r="AB4669" s="73"/>
    </row>
    <row r="4670">
      <c r="A4670" s="73"/>
      <c r="B4670" s="73">
        <v>2.017384693E7</v>
      </c>
      <c r="C4670" s="73">
        <v>7.57050176731476E8</v>
      </c>
      <c r="D4670" s="73">
        <v>4.20897400684001E8</v>
      </c>
      <c r="E4670" s="73">
        <v>6.31800348052987E7</v>
      </c>
      <c r="F4670" s="73"/>
      <c r="G4670" s="73"/>
      <c r="H4670" s="73"/>
      <c r="I4670" s="73"/>
      <c r="J4670" s="73"/>
      <c r="K4670" s="73"/>
      <c r="L4670" s="73"/>
      <c r="M4670" s="73"/>
      <c r="N4670" s="73"/>
      <c r="O4670" s="73"/>
      <c r="P4670" s="73"/>
      <c r="Q4670" s="73"/>
      <c r="R4670" s="73"/>
      <c r="S4670" s="73"/>
      <c r="T4670" s="73"/>
      <c r="U4670" s="73"/>
      <c r="V4670" s="73"/>
      <c r="W4670" s="73"/>
      <c r="X4670" s="73"/>
      <c r="Y4670" s="73"/>
      <c r="Z4670" s="73"/>
      <c r="AA4670" s="73"/>
      <c r="AB4670" s="73"/>
    </row>
    <row r="4671">
      <c r="A4671" s="73"/>
      <c r="B4671" s="73">
        <v>2.019710647E7</v>
      </c>
      <c r="C4671" s="73">
        <v>7.57491445199219E8</v>
      </c>
      <c r="D4671" s="73">
        <v>4.21184187895995E8</v>
      </c>
      <c r="E4671" s="73">
        <v>6.32274780978736E7</v>
      </c>
      <c r="F4671" s="73"/>
      <c r="G4671" s="73"/>
      <c r="H4671" s="73"/>
      <c r="I4671" s="73"/>
      <c r="J4671" s="73"/>
      <c r="K4671" s="73"/>
      <c r="L4671" s="73"/>
      <c r="M4671" s="73"/>
      <c r="N4671" s="73"/>
      <c r="O4671" s="73"/>
      <c r="P4671" s="73"/>
      <c r="Q4671" s="73"/>
      <c r="R4671" s="73"/>
      <c r="S4671" s="73"/>
      <c r="T4671" s="73"/>
      <c r="U4671" s="73"/>
      <c r="V4671" s="73"/>
      <c r="W4671" s="73"/>
      <c r="X4671" s="73"/>
      <c r="Y4671" s="73"/>
      <c r="Z4671" s="73"/>
      <c r="AA4671" s="73"/>
      <c r="AB4671" s="73"/>
    </row>
    <row r="4672">
      <c r="A4672" s="73"/>
      <c r="B4672" s="73">
        <v>2.022038627E7</v>
      </c>
      <c r="C4672" s="73">
        <v>7.57932845506958E8</v>
      </c>
      <c r="D4672" s="73">
        <v>4.21471140164003E8</v>
      </c>
      <c r="E4672" s="73">
        <v>6.32749456195032E7</v>
      </c>
      <c r="F4672" s="73"/>
      <c r="G4672" s="73"/>
      <c r="H4672" s="73"/>
      <c r="I4672" s="73"/>
      <c r="J4672" s="73"/>
      <c r="K4672" s="73"/>
      <c r="L4672" s="73"/>
      <c r="M4672" s="73"/>
      <c r="N4672" s="73"/>
      <c r="O4672" s="73"/>
      <c r="P4672" s="73"/>
      <c r="Q4672" s="73"/>
      <c r="R4672" s="73"/>
      <c r="S4672" s="73"/>
      <c r="T4672" s="73"/>
      <c r="U4672" s="73"/>
      <c r="V4672" s="73"/>
      <c r="W4672" s="73"/>
      <c r="X4672" s="73"/>
      <c r="Y4672" s="73"/>
      <c r="Z4672" s="73"/>
      <c r="AA4672" s="73"/>
      <c r="AB4672" s="73"/>
    </row>
    <row r="4673">
      <c r="A4673" s="73"/>
      <c r="B4673" s="73">
        <v>2.024368625E7</v>
      </c>
      <c r="C4673" s="73">
        <v>7.5837450949469E8</v>
      </c>
      <c r="D4673" s="73">
        <v>4.21758175247996E8</v>
      </c>
      <c r="E4673" s="73">
        <v>6.33224360981876E7</v>
      </c>
      <c r="F4673" s="73"/>
      <c r="G4673" s="73"/>
      <c r="H4673" s="73"/>
      <c r="I4673" s="73"/>
      <c r="J4673" s="73"/>
      <c r="K4673" s="73"/>
      <c r="L4673" s="73"/>
      <c r="M4673" s="73"/>
      <c r="N4673" s="73"/>
      <c r="O4673" s="73"/>
      <c r="P4673" s="73"/>
      <c r="Q4673" s="73"/>
      <c r="R4673" s="73"/>
      <c r="S4673" s="73"/>
      <c r="T4673" s="73"/>
      <c r="U4673" s="73"/>
      <c r="V4673" s="73"/>
      <c r="W4673" s="73"/>
      <c r="X4673" s="73"/>
      <c r="Y4673" s="73"/>
      <c r="Z4673" s="73"/>
      <c r="AA4673" s="73"/>
      <c r="AB4673" s="73"/>
    </row>
    <row r="4674">
      <c r="A4674" s="73"/>
      <c r="B4674" s="73">
        <v>2.026700684E7</v>
      </c>
      <c r="C4674" s="73">
        <v>7.58816305322418E8</v>
      </c>
      <c r="D4674" s="73">
        <v>4.2204533353199E8</v>
      </c>
      <c r="E4674" s="73">
        <v>6.33699510603267E7</v>
      </c>
      <c r="F4674" s="73"/>
      <c r="G4674" s="73"/>
      <c r="H4674" s="73"/>
      <c r="I4674" s="73"/>
      <c r="J4674" s="73"/>
      <c r="K4674" s="73"/>
      <c r="L4674" s="73"/>
      <c r="M4674" s="73"/>
      <c r="N4674" s="73"/>
      <c r="O4674" s="73"/>
      <c r="P4674" s="73"/>
      <c r="Q4674" s="73"/>
      <c r="R4674" s="73"/>
      <c r="S4674" s="73"/>
      <c r="T4674" s="73"/>
      <c r="U4674" s="73"/>
      <c r="V4674" s="73"/>
      <c r="W4674" s="73"/>
      <c r="X4674" s="73"/>
      <c r="Y4674" s="73"/>
      <c r="Z4674" s="73"/>
      <c r="AA4674" s="73"/>
      <c r="AB4674" s="73"/>
    </row>
    <row r="4675">
      <c r="A4675" s="73"/>
      <c r="B4675" s="73">
        <v>2.029034789E7</v>
      </c>
      <c r="C4675" s="73">
        <v>7.59258298910141E8</v>
      </c>
      <c r="D4675" s="73">
        <v>4.22332616199998E8</v>
      </c>
      <c r="E4675" s="73">
        <v>6.34174872529926E7</v>
      </c>
      <c r="F4675" s="73"/>
      <c r="G4675" s="73"/>
      <c r="H4675" s="73"/>
      <c r="I4675" s="73"/>
      <c r="J4675" s="73"/>
      <c r="K4675" s="73"/>
      <c r="L4675" s="73"/>
      <c r="M4675" s="73"/>
      <c r="N4675" s="73"/>
      <c r="O4675" s="73"/>
      <c r="P4675" s="73"/>
      <c r="Q4675" s="73"/>
      <c r="R4675" s="73"/>
      <c r="S4675" s="73"/>
      <c r="T4675" s="73"/>
      <c r="U4675" s="73"/>
      <c r="V4675" s="73"/>
      <c r="W4675" s="73"/>
      <c r="X4675" s="73"/>
      <c r="Y4675" s="73"/>
      <c r="Z4675" s="73"/>
      <c r="AA4675" s="73"/>
      <c r="AB4675" s="73"/>
    </row>
    <row r="4676">
      <c r="A4676" s="73"/>
      <c r="B4676" s="73">
        <v>2.031370906E7</v>
      </c>
      <c r="C4676" s="73">
        <v>7.59700292497864E8</v>
      </c>
      <c r="D4676" s="73">
        <v>4.22620022387991E8</v>
      </c>
      <c r="E4676" s="73">
        <v>6.34650462331133E7</v>
      </c>
      <c r="F4676" s="73"/>
      <c r="G4676" s="73"/>
      <c r="H4676" s="73"/>
      <c r="I4676" s="73"/>
      <c r="J4676" s="73"/>
      <c r="K4676" s="73"/>
      <c r="L4676" s="73"/>
      <c r="M4676" s="73"/>
      <c r="N4676" s="73"/>
      <c r="O4676" s="73"/>
      <c r="P4676" s="73"/>
      <c r="Q4676" s="73"/>
      <c r="R4676" s="73"/>
      <c r="S4676" s="73"/>
      <c r="T4676" s="73"/>
      <c r="U4676" s="73"/>
      <c r="V4676" s="73"/>
      <c r="W4676" s="73"/>
      <c r="X4676" s="73"/>
      <c r="Y4676" s="73"/>
      <c r="Z4676" s="73"/>
      <c r="AA4676" s="73"/>
      <c r="AB4676" s="73"/>
    </row>
    <row r="4677">
      <c r="A4677" s="73"/>
      <c r="B4677" s="73">
        <v>2.033709066E7</v>
      </c>
      <c r="C4677" s="73">
        <v>7.60142615685577E8</v>
      </c>
      <c r="D4677" s="73">
        <v>4.22907593312E8</v>
      </c>
      <c r="E4677" s="73">
        <v>6.35126307990886E7</v>
      </c>
      <c r="F4677" s="73"/>
      <c r="G4677" s="73"/>
      <c r="H4677" s="73"/>
      <c r="I4677" s="73"/>
      <c r="J4677" s="73"/>
      <c r="K4677" s="73"/>
      <c r="L4677" s="73"/>
      <c r="M4677" s="73"/>
      <c r="N4677" s="73"/>
      <c r="O4677" s="73"/>
      <c r="P4677" s="73"/>
      <c r="Q4677" s="73"/>
      <c r="R4677" s="73"/>
      <c r="S4677" s="73"/>
      <c r="T4677" s="73"/>
      <c r="U4677" s="73"/>
      <c r="V4677" s="73"/>
      <c r="W4677" s="73"/>
      <c r="X4677" s="73"/>
      <c r="Y4677" s="73"/>
      <c r="Z4677" s="73"/>
      <c r="AA4677" s="73"/>
      <c r="AB4677" s="73"/>
    </row>
    <row r="4678">
      <c r="A4678" s="73"/>
      <c r="B4678" s="73">
        <v>2.036049259E7</v>
      </c>
      <c r="C4678" s="73">
        <v>7.60585070713287E8</v>
      </c>
      <c r="D4678" s="73">
        <v>4.23195247051993E8</v>
      </c>
      <c r="E4678" s="73">
        <v>6.35602333731909E7</v>
      </c>
      <c r="F4678" s="73"/>
      <c r="G4678" s="73"/>
      <c r="H4678" s="73"/>
      <c r="I4678" s="73"/>
      <c r="J4678" s="73"/>
      <c r="K4678" s="73"/>
      <c r="L4678" s="73"/>
      <c r="M4678" s="73"/>
      <c r="N4678" s="73"/>
      <c r="O4678" s="73"/>
      <c r="P4678" s="73"/>
      <c r="Q4678" s="73"/>
      <c r="R4678" s="73"/>
      <c r="S4678" s="73"/>
      <c r="T4678" s="73"/>
      <c r="U4678" s="73"/>
      <c r="V4678" s="73"/>
      <c r="W4678" s="73"/>
      <c r="X4678" s="73"/>
      <c r="Y4678" s="73"/>
      <c r="Z4678" s="73"/>
      <c r="AA4678" s="73"/>
      <c r="AB4678" s="73"/>
    </row>
    <row r="4679">
      <c r="A4679" s="73"/>
      <c r="B4679" s="73">
        <v>2.038391546E7</v>
      </c>
      <c r="C4679" s="73">
        <v>7.61027591660995E8</v>
      </c>
      <c r="D4679" s="73">
        <v>4.23483065272002E8</v>
      </c>
      <c r="E4679" s="73">
        <v>6.36078619571479E7</v>
      </c>
      <c r="F4679" s="73"/>
      <c r="G4679" s="73"/>
      <c r="H4679" s="73"/>
      <c r="I4679" s="73"/>
      <c r="J4679" s="73"/>
      <c r="K4679" s="73"/>
      <c r="L4679" s="73"/>
      <c r="M4679" s="73"/>
      <c r="N4679" s="73"/>
      <c r="O4679" s="73"/>
      <c r="P4679" s="73"/>
      <c r="Q4679" s="73"/>
      <c r="R4679" s="73"/>
      <c r="S4679" s="73"/>
      <c r="T4679" s="73"/>
      <c r="U4679" s="73"/>
      <c r="V4679" s="73"/>
      <c r="W4679" s="73"/>
      <c r="X4679" s="73"/>
      <c r="Y4679" s="73"/>
      <c r="Z4679" s="73"/>
      <c r="AA4679" s="73"/>
      <c r="AB4679" s="73"/>
    </row>
    <row r="4680">
      <c r="A4680" s="73"/>
      <c r="B4680" s="73">
        <v>2.040735817E7</v>
      </c>
      <c r="C4680" s="73">
        <v>7.61470376288696E8</v>
      </c>
      <c r="D4680" s="73">
        <v>4.23771007555995E8</v>
      </c>
      <c r="E4680" s="73">
        <v>6.36555141765595E7</v>
      </c>
      <c r="F4680" s="73"/>
      <c r="G4680" s="73"/>
      <c r="H4680" s="73"/>
      <c r="I4680" s="73"/>
      <c r="J4680" s="73"/>
      <c r="K4680" s="73"/>
      <c r="L4680" s="73"/>
      <c r="M4680" s="73"/>
      <c r="N4680" s="73"/>
      <c r="O4680" s="73"/>
      <c r="P4680" s="73"/>
      <c r="Q4680" s="73"/>
      <c r="R4680" s="73"/>
      <c r="S4680" s="73"/>
      <c r="T4680" s="73"/>
      <c r="U4680" s="73"/>
      <c r="V4680" s="73"/>
      <c r="W4680" s="73"/>
      <c r="X4680" s="73"/>
      <c r="Y4680" s="73"/>
      <c r="Z4680" s="73"/>
      <c r="AA4680" s="73"/>
      <c r="AB4680" s="73"/>
    </row>
    <row r="4681">
      <c r="A4681" s="73"/>
      <c r="B4681" s="73">
        <v>2.043082162E7</v>
      </c>
      <c r="C4681" s="73">
        <v>7.61913292756393E8</v>
      </c>
      <c r="D4681" s="73">
        <v>4.24059032399988E8</v>
      </c>
      <c r="E4681" s="73">
        <v>6.37031894378259E7</v>
      </c>
      <c r="F4681" s="73"/>
      <c r="G4681" s="73"/>
      <c r="H4681" s="73"/>
      <c r="I4681" s="73"/>
      <c r="J4681" s="73"/>
      <c r="K4681" s="73"/>
      <c r="L4681" s="73"/>
      <c r="M4681" s="73"/>
      <c r="N4681" s="73"/>
      <c r="O4681" s="73"/>
      <c r="P4681" s="73"/>
      <c r="Q4681" s="73"/>
      <c r="R4681" s="73"/>
      <c r="S4681" s="73"/>
      <c r="T4681" s="73"/>
      <c r="U4681" s="73"/>
      <c r="V4681" s="73"/>
      <c r="W4681" s="73"/>
      <c r="X4681" s="73"/>
      <c r="Y4681" s="73"/>
      <c r="Z4681" s="73"/>
      <c r="AA4681" s="73"/>
      <c r="AB4681" s="73"/>
    </row>
    <row r="4682">
      <c r="A4682" s="73"/>
      <c r="B4682" s="73">
        <v>2.045430552E7</v>
      </c>
      <c r="C4682" s="73">
        <v>7.62356472904083E8</v>
      </c>
      <c r="D4682" s="73">
        <v>4.24347221979997E8</v>
      </c>
      <c r="E4682" s="73">
        <v>6.37508868624192E7</v>
      </c>
      <c r="F4682" s="73"/>
      <c r="G4682" s="73"/>
      <c r="H4682" s="73"/>
      <c r="I4682" s="73"/>
      <c r="J4682" s="73"/>
      <c r="K4682" s="73"/>
      <c r="L4682" s="73"/>
      <c r="M4682" s="73"/>
      <c r="N4682" s="73"/>
      <c r="O4682" s="73"/>
      <c r="P4682" s="73"/>
      <c r="Q4682" s="73"/>
      <c r="R4682" s="73"/>
      <c r="S4682" s="73"/>
      <c r="T4682" s="73"/>
      <c r="U4682" s="73"/>
      <c r="V4682" s="73"/>
      <c r="W4682" s="73"/>
      <c r="X4682" s="73"/>
      <c r="Y4682" s="73"/>
      <c r="Z4682" s="73"/>
      <c r="AA4682" s="73"/>
      <c r="AB4682" s="73"/>
    </row>
    <row r="4683">
      <c r="A4683" s="73"/>
      <c r="B4683" s="73">
        <v>2.047781012E7</v>
      </c>
      <c r="C4683" s="73">
        <v>7.62799653051773E8</v>
      </c>
      <c r="D4683" s="73">
        <v>4.2463553533599E8</v>
      </c>
      <c r="E4683" s="73">
        <v>6.37986073288671E7</v>
      </c>
      <c r="F4683" s="73"/>
      <c r="G4683" s="73"/>
      <c r="H4683" s="73"/>
      <c r="I4683" s="73"/>
      <c r="J4683" s="73"/>
      <c r="K4683" s="73"/>
      <c r="L4683" s="73"/>
      <c r="M4683" s="73"/>
      <c r="N4683" s="73"/>
      <c r="O4683" s="73"/>
      <c r="P4683" s="73"/>
      <c r="Q4683" s="73"/>
      <c r="R4683" s="73"/>
      <c r="S4683" s="73"/>
      <c r="T4683" s="73"/>
      <c r="U4683" s="73"/>
      <c r="V4683" s="73"/>
      <c r="W4683" s="73"/>
      <c r="X4683" s="73"/>
      <c r="Y4683" s="73"/>
      <c r="Z4683" s="73"/>
      <c r="AA4683" s="73"/>
      <c r="AB4683" s="73"/>
    </row>
    <row r="4684">
      <c r="A4684" s="73"/>
      <c r="B4684" s="73">
        <v>2.050133499E7</v>
      </c>
      <c r="C4684" s="73">
        <v>7.63243096879456E8</v>
      </c>
      <c r="D4684" s="73">
        <v>4.24923972211999E8</v>
      </c>
      <c r="E4684" s="73">
        <v>6.38463514307698E7</v>
      </c>
      <c r="F4684" s="73"/>
      <c r="G4684" s="73"/>
      <c r="H4684" s="73"/>
      <c r="I4684" s="73"/>
      <c r="J4684" s="73"/>
      <c r="K4684" s="73"/>
      <c r="L4684" s="73"/>
      <c r="M4684" s="73"/>
      <c r="N4684" s="73"/>
      <c r="O4684" s="73"/>
      <c r="P4684" s="73"/>
      <c r="Q4684" s="73"/>
      <c r="R4684" s="73"/>
      <c r="S4684" s="73"/>
      <c r="T4684" s="73"/>
      <c r="U4684" s="73"/>
      <c r="V4684" s="73"/>
      <c r="W4684" s="73"/>
      <c r="X4684" s="73"/>
      <c r="Y4684" s="73"/>
      <c r="Z4684" s="73"/>
      <c r="AA4684" s="73"/>
      <c r="AB4684" s="73"/>
    </row>
    <row r="4685">
      <c r="A4685" s="73"/>
      <c r="B4685" s="73">
        <v>2.052488028E7</v>
      </c>
      <c r="C4685" s="73">
        <v>7.63686672547134E8</v>
      </c>
      <c r="D4685" s="73">
        <v>4.25212533471992E8</v>
      </c>
      <c r="E4685" s="73">
        <v>6.38941166783994E7</v>
      </c>
      <c r="F4685" s="73"/>
      <c r="G4685" s="73"/>
      <c r="H4685" s="73"/>
      <c r="I4685" s="73"/>
      <c r="J4685" s="73"/>
      <c r="K4685" s="73"/>
      <c r="L4685" s="73"/>
      <c r="M4685" s="73"/>
      <c r="N4685" s="73"/>
      <c r="O4685" s="73"/>
      <c r="P4685" s="73"/>
      <c r="Q4685" s="73"/>
      <c r="R4685" s="73"/>
      <c r="S4685" s="73"/>
      <c r="T4685" s="73"/>
      <c r="U4685" s="73"/>
      <c r="V4685" s="73"/>
      <c r="W4685" s="73"/>
      <c r="X4685" s="73"/>
      <c r="Y4685" s="73"/>
      <c r="Z4685" s="73"/>
      <c r="AA4685" s="73"/>
      <c r="AB4685" s="73"/>
    </row>
    <row r="4686">
      <c r="A4686" s="73"/>
      <c r="B4686" s="73">
        <v>2.054844603E7</v>
      </c>
      <c r="C4686" s="73">
        <v>7.64130314134811E8</v>
      </c>
      <c r="D4686" s="73">
        <v>4.25501258892001E8</v>
      </c>
      <c r="E4686" s="73">
        <v>6.39419048830837E7</v>
      </c>
      <c r="F4686" s="73"/>
      <c r="G4686" s="73"/>
      <c r="H4686" s="73"/>
      <c r="I4686" s="73"/>
      <c r="J4686" s="73"/>
      <c r="K4686" s="73"/>
      <c r="L4686" s="73"/>
      <c r="M4686" s="73"/>
      <c r="N4686" s="73"/>
      <c r="O4686" s="73"/>
      <c r="P4686" s="73"/>
      <c r="Q4686" s="73"/>
      <c r="R4686" s="73"/>
      <c r="S4686" s="73"/>
      <c r="T4686" s="73"/>
      <c r="U4686" s="73"/>
      <c r="V4686" s="73"/>
      <c r="W4686" s="73"/>
      <c r="X4686" s="73"/>
      <c r="Y4686" s="73"/>
      <c r="Z4686" s="73"/>
      <c r="AA4686" s="73"/>
      <c r="AB4686" s="73"/>
    </row>
    <row r="4687">
      <c r="A4687" s="73"/>
      <c r="B4687" s="73">
        <v>2.057203191E7</v>
      </c>
      <c r="C4687" s="73">
        <v>7.64574219402481E8</v>
      </c>
      <c r="D4687" s="73">
        <v>4.25790067127994E8</v>
      </c>
      <c r="E4687" s="73">
        <v>6.39897178256227E7</v>
      </c>
      <c r="F4687" s="73"/>
      <c r="G4687" s="73"/>
      <c r="H4687" s="73"/>
      <c r="I4687" s="73"/>
      <c r="J4687" s="73"/>
      <c r="K4687" s="73"/>
      <c r="L4687" s="73"/>
      <c r="M4687" s="73"/>
      <c r="N4687" s="73"/>
      <c r="O4687" s="73"/>
      <c r="P4687" s="73"/>
      <c r="Q4687" s="73"/>
      <c r="R4687" s="73"/>
      <c r="S4687" s="73"/>
      <c r="T4687" s="73"/>
      <c r="U4687" s="73"/>
      <c r="V4687" s="73"/>
      <c r="W4687" s="73"/>
      <c r="X4687" s="73"/>
      <c r="Y4687" s="73"/>
      <c r="Z4687" s="73"/>
      <c r="AA4687" s="73"/>
      <c r="AB4687" s="73"/>
    </row>
    <row r="4688">
      <c r="A4688" s="73"/>
      <c r="B4688" s="73">
        <v>2.059563843E7</v>
      </c>
      <c r="C4688" s="73">
        <v>7.65018322430145E8</v>
      </c>
      <c r="D4688" s="73">
        <v>4.26078999460002E8</v>
      </c>
      <c r="E4688" s="73">
        <v>6.40375553364164E7</v>
      </c>
      <c r="F4688" s="73"/>
      <c r="G4688" s="73"/>
      <c r="H4688" s="73"/>
      <c r="I4688" s="73"/>
      <c r="J4688" s="73"/>
      <c r="K4688" s="73"/>
      <c r="L4688" s="73"/>
      <c r="M4688" s="73"/>
      <c r="N4688" s="73"/>
      <c r="O4688" s="73"/>
      <c r="P4688" s="73"/>
      <c r="Q4688" s="73"/>
      <c r="R4688" s="73"/>
      <c r="S4688" s="73"/>
      <c r="T4688" s="73"/>
      <c r="U4688" s="73"/>
      <c r="V4688" s="73"/>
      <c r="W4688" s="73"/>
      <c r="X4688" s="73"/>
      <c r="Y4688" s="73"/>
      <c r="Z4688" s="73"/>
      <c r="AA4688" s="73"/>
      <c r="AB4688" s="73"/>
    </row>
    <row r="4689">
      <c r="A4689" s="73"/>
      <c r="B4689" s="73">
        <v>2.061926566E7</v>
      </c>
      <c r="C4689" s="73">
        <v>7.65462557297806E8</v>
      </c>
      <c r="D4689" s="73">
        <v>4.26368095951996E8</v>
      </c>
      <c r="E4689" s="73">
        <v>6.4085412042537E7</v>
      </c>
      <c r="F4689" s="73"/>
      <c r="G4689" s="73"/>
      <c r="H4689" s="73"/>
      <c r="I4689" s="73"/>
      <c r="J4689" s="73"/>
      <c r="K4689" s="73"/>
      <c r="L4689" s="73"/>
      <c r="M4689" s="73"/>
      <c r="N4689" s="73"/>
      <c r="O4689" s="73"/>
      <c r="P4689" s="73"/>
      <c r="Q4689" s="73"/>
      <c r="R4689" s="73"/>
      <c r="S4689" s="73"/>
      <c r="T4689" s="73"/>
      <c r="U4689" s="73"/>
      <c r="V4689" s="73"/>
      <c r="W4689" s="73"/>
      <c r="X4689" s="73"/>
      <c r="Y4689" s="73"/>
      <c r="Z4689" s="73"/>
      <c r="AA4689" s="73"/>
      <c r="AB4689" s="73"/>
    </row>
    <row r="4690">
      <c r="A4690" s="73"/>
      <c r="B4690" s="73">
        <v>2.064291353E7</v>
      </c>
      <c r="C4690" s="73">
        <v>7.65906989925461E8</v>
      </c>
      <c r="D4690" s="73">
        <v>4.26657275547989E8</v>
      </c>
      <c r="E4690" s="73">
        <v>6.41332931473123E7</v>
      </c>
      <c r="F4690" s="73"/>
      <c r="G4690" s="73"/>
      <c r="H4690" s="73"/>
      <c r="I4690" s="73"/>
      <c r="J4690" s="73"/>
      <c r="K4690" s="73"/>
      <c r="L4690" s="73"/>
      <c r="M4690" s="73"/>
      <c r="N4690" s="73"/>
      <c r="O4690" s="73"/>
      <c r="P4690" s="73"/>
      <c r="Q4690" s="73"/>
      <c r="R4690" s="73"/>
      <c r="S4690" s="73"/>
      <c r="T4690" s="73"/>
      <c r="U4690" s="73"/>
      <c r="V4690" s="73"/>
      <c r="W4690" s="73"/>
      <c r="X4690" s="73"/>
      <c r="Y4690" s="73"/>
      <c r="Z4690" s="73"/>
      <c r="AA4690" s="73"/>
      <c r="AB4690" s="73"/>
    </row>
    <row r="4691">
      <c r="A4691" s="73"/>
      <c r="B4691" s="73">
        <v>2.066658138E7</v>
      </c>
      <c r="C4691" s="73">
        <v>7.66351422553116E8</v>
      </c>
      <c r="D4691" s="73">
        <v>4.26946619623998E8</v>
      </c>
      <c r="E4691" s="73">
        <v>6.41811987355423E7</v>
      </c>
      <c r="F4691" s="73"/>
      <c r="G4691" s="73"/>
      <c r="H4691" s="73"/>
      <c r="I4691" s="73"/>
      <c r="J4691" s="73"/>
      <c r="K4691" s="73"/>
      <c r="L4691" s="73"/>
      <c r="M4691" s="73"/>
      <c r="N4691" s="73"/>
      <c r="O4691" s="73"/>
      <c r="P4691" s="73"/>
      <c r="Q4691" s="73"/>
      <c r="R4691" s="73"/>
      <c r="S4691" s="73"/>
      <c r="T4691" s="73"/>
      <c r="U4691" s="73"/>
      <c r="V4691" s="73"/>
      <c r="W4691" s="73"/>
      <c r="X4691" s="73"/>
      <c r="Y4691" s="73"/>
      <c r="Z4691" s="73"/>
      <c r="AA4691" s="73"/>
      <c r="AB4691" s="73"/>
    </row>
    <row r="4692">
      <c r="A4692" s="73"/>
      <c r="B4692" s="73">
        <v>2.069027024E7</v>
      </c>
      <c r="C4692" s="73">
        <v>7.66796184780762E8</v>
      </c>
      <c r="D4692" s="73">
        <v>4.27236046835991E8</v>
      </c>
      <c r="E4692" s="73">
        <v>6.42291254694991E7</v>
      </c>
      <c r="F4692" s="73"/>
      <c r="G4692" s="73"/>
      <c r="H4692" s="73"/>
      <c r="I4692" s="73"/>
      <c r="J4692" s="73"/>
      <c r="K4692" s="73"/>
      <c r="L4692" s="73"/>
      <c r="M4692" s="73"/>
      <c r="N4692" s="73"/>
      <c r="O4692" s="73"/>
      <c r="P4692" s="73"/>
      <c r="Q4692" s="73"/>
      <c r="R4692" s="73"/>
      <c r="S4692" s="73"/>
      <c r="T4692" s="73"/>
      <c r="U4692" s="73"/>
      <c r="V4692" s="73"/>
      <c r="W4692" s="73"/>
      <c r="X4692" s="73"/>
      <c r="Y4692" s="73"/>
      <c r="Z4692" s="73"/>
      <c r="AA4692" s="73"/>
      <c r="AB4692" s="73"/>
    </row>
    <row r="4693">
      <c r="A4693" s="73"/>
      <c r="B4693" s="73">
        <v>2.071397892E7</v>
      </c>
      <c r="C4693" s="73">
        <v>7.67241078848404E8</v>
      </c>
      <c r="D4693" s="73">
        <v>4.27525638783999E8</v>
      </c>
      <c r="E4693" s="73">
        <v>6.42770784982385E7</v>
      </c>
      <c r="F4693" s="73"/>
      <c r="G4693" s="73"/>
      <c r="H4693" s="73"/>
      <c r="I4693" s="73"/>
      <c r="J4693" s="73"/>
      <c r="K4693" s="73"/>
      <c r="L4693" s="73"/>
      <c r="M4693" s="73"/>
      <c r="N4693" s="73"/>
      <c r="O4693" s="73"/>
      <c r="P4693" s="73"/>
      <c r="Q4693" s="73"/>
      <c r="R4693" s="73"/>
      <c r="S4693" s="73"/>
      <c r="T4693" s="73"/>
      <c r="U4693" s="73"/>
      <c r="V4693" s="73"/>
      <c r="W4693" s="73"/>
      <c r="X4693" s="73"/>
      <c r="Y4693" s="73"/>
      <c r="Z4693" s="73"/>
      <c r="AA4693" s="73"/>
      <c r="AB4693" s="73"/>
    </row>
    <row r="4694">
      <c r="A4694" s="73"/>
      <c r="B4694" s="73">
        <v>2.073770891E7</v>
      </c>
      <c r="C4694" s="73">
        <v>7.67686104756042E8</v>
      </c>
      <c r="D4694" s="73">
        <v>4.27815354219993E8</v>
      </c>
      <c r="E4694" s="73">
        <v>6.43250500133769E7</v>
      </c>
      <c r="F4694" s="73"/>
      <c r="G4694" s="73"/>
      <c r="H4694" s="73"/>
      <c r="I4694" s="73"/>
      <c r="J4694" s="73"/>
      <c r="K4694" s="73"/>
      <c r="L4694" s="73"/>
      <c r="M4694" s="73"/>
      <c r="N4694" s="73"/>
      <c r="O4694" s="73"/>
      <c r="P4694" s="73"/>
      <c r="Q4694" s="73"/>
      <c r="R4694" s="73"/>
      <c r="S4694" s="73"/>
      <c r="T4694" s="73"/>
      <c r="U4694" s="73"/>
      <c r="V4694" s="73"/>
      <c r="W4694" s="73"/>
      <c r="X4694" s="73"/>
      <c r="Y4694" s="73"/>
      <c r="Z4694" s="73"/>
      <c r="AA4694" s="73"/>
      <c r="AB4694" s="73"/>
    </row>
    <row r="4695">
      <c r="A4695" s="73"/>
      <c r="B4695" s="73">
        <v>2.076145908E7</v>
      </c>
      <c r="C4695" s="73">
        <v>7.68131394343674E8</v>
      </c>
      <c r="D4695" s="73">
        <v>4.28105193464001E8</v>
      </c>
      <c r="E4695" s="73">
        <v>6.4373047060098E7</v>
      </c>
      <c r="F4695" s="73"/>
      <c r="G4695" s="73"/>
      <c r="H4695" s="73"/>
      <c r="I4695" s="73"/>
      <c r="J4695" s="73"/>
      <c r="K4695" s="73"/>
      <c r="L4695" s="73"/>
      <c r="M4695" s="73"/>
      <c r="N4695" s="73"/>
      <c r="O4695" s="73"/>
      <c r="P4695" s="73"/>
      <c r="Q4695" s="73"/>
      <c r="R4695" s="73"/>
      <c r="S4695" s="73"/>
      <c r="T4695" s="73"/>
      <c r="U4695" s="73"/>
      <c r="V4695" s="73"/>
      <c r="W4695" s="73"/>
      <c r="X4695" s="73"/>
      <c r="Y4695" s="73"/>
      <c r="Z4695" s="73"/>
      <c r="AA4695" s="73"/>
      <c r="AB4695" s="73"/>
    </row>
    <row r="4696">
      <c r="A4696" s="73"/>
      <c r="B4696" s="73">
        <v>2.078522991E7</v>
      </c>
      <c r="C4696" s="73">
        <v>7.68576683931305E8</v>
      </c>
      <c r="D4696" s="73">
        <v>4.28395156483994E8</v>
      </c>
      <c r="E4696" s="73">
        <v>6.44210662701458E7</v>
      </c>
      <c r="F4696" s="73"/>
      <c r="G4696" s="73"/>
      <c r="H4696" s="73"/>
      <c r="I4696" s="73"/>
      <c r="J4696" s="73"/>
      <c r="K4696" s="73"/>
      <c r="L4696" s="73"/>
      <c r="M4696" s="73"/>
      <c r="N4696" s="73"/>
      <c r="O4696" s="73"/>
      <c r="P4696" s="73"/>
      <c r="Q4696" s="73"/>
      <c r="R4696" s="73"/>
      <c r="S4696" s="73"/>
      <c r="T4696" s="73"/>
      <c r="U4696" s="73"/>
      <c r="V4696" s="73"/>
      <c r="W4696" s="73"/>
      <c r="X4696" s="73"/>
      <c r="Y4696" s="73"/>
      <c r="Z4696" s="73"/>
      <c r="AA4696" s="73"/>
      <c r="AB4696" s="73"/>
    </row>
    <row r="4697">
      <c r="A4697" s="73"/>
      <c r="B4697" s="73">
        <v>2.080902085E7</v>
      </c>
      <c r="C4697" s="73">
        <v>7.69022237198929E8</v>
      </c>
      <c r="D4697" s="73">
        <v>4.28685243312003E8</v>
      </c>
      <c r="E4697" s="73">
        <v>6.44691116901763E7</v>
      </c>
      <c r="F4697" s="73"/>
      <c r="G4697" s="73"/>
      <c r="H4697" s="73"/>
      <c r="I4697" s="73"/>
      <c r="J4697" s="73"/>
      <c r="K4697" s="73"/>
      <c r="L4697" s="73"/>
      <c r="M4697" s="73"/>
      <c r="N4697" s="73"/>
      <c r="O4697" s="73"/>
      <c r="P4697" s="73"/>
      <c r="Q4697" s="73"/>
      <c r="R4697" s="73"/>
      <c r="S4697" s="73"/>
      <c r="T4697" s="73"/>
      <c r="U4697" s="73"/>
      <c r="V4697" s="73"/>
      <c r="W4697" s="73"/>
      <c r="X4697" s="73"/>
      <c r="Y4697" s="73"/>
      <c r="Z4697" s="73"/>
      <c r="AA4697" s="73"/>
      <c r="AB4697" s="73"/>
    </row>
    <row r="4698">
      <c r="A4698" s="73"/>
      <c r="B4698" s="73">
        <v>2.083283263E7</v>
      </c>
      <c r="C4698" s="73">
        <v>7.69467922306549E8</v>
      </c>
      <c r="D4698" s="73">
        <v>4.28975453627996E8</v>
      </c>
      <c r="E4698" s="73">
        <v>6.45171756814057E7</v>
      </c>
      <c r="F4698" s="73"/>
      <c r="G4698" s="73"/>
      <c r="H4698" s="73"/>
      <c r="I4698" s="73"/>
      <c r="J4698" s="73"/>
      <c r="K4698" s="73"/>
      <c r="L4698" s="73"/>
      <c r="M4698" s="73"/>
      <c r="N4698" s="73"/>
      <c r="O4698" s="73"/>
      <c r="P4698" s="73"/>
      <c r="Q4698" s="73"/>
      <c r="R4698" s="73"/>
      <c r="S4698" s="73"/>
      <c r="T4698" s="73"/>
      <c r="U4698" s="73"/>
      <c r="V4698" s="73"/>
      <c r="W4698" s="73"/>
      <c r="X4698" s="73"/>
      <c r="Y4698" s="73"/>
      <c r="Z4698" s="73"/>
      <c r="AA4698" s="73"/>
      <c r="AB4698" s="73"/>
    </row>
    <row r="4699">
      <c r="A4699" s="73"/>
      <c r="B4699" s="73">
        <v>2.085666482E7</v>
      </c>
      <c r="C4699" s="73">
        <v>7.69913739254166E8</v>
      </c>
      <c r="D4699" s="73">
        <v>4.2926582867999E8</v>
      </c>
      <c r="E4699" s="73">
        <v>6.45652651194178E7</v>
      </c>
      <c r="F4699" s="73"/>
      <c r="G4699" s="73"/>
      <c r="H4699" s="73"/>
      <c r="I4699" s="73"/>
      <c r="J4699" s="73"/>
      <c r="K4699" s="73"/>
      <c r="L4699" s="73"/>
      <c r="M4699" s="73"/>
      <c r="N4699" s="73"/>
      <c r="O4699" s="73"/>
      <c r="P4699" s="73"/>
      <c r="Q4699" s="73"/>
      <c r="R4699" s="73"/>
      <c r="S4699" s="73"/>
      <c r="T4699" s="73"/>
      <c r="U4699" s="73"/>
      <c r="V4699" s="73"/>
      <c r="W4699" s="73"/>
      <c r="X4699" s="73"/>
      <c r="Y4699" s="73"/>
      <c r="Z4699" s="73"/>
      <c r="AA4699" s="73"/>
      <c r="AB4699" s="73"/>
    </row>
    <row r="4700">
      <c r="A4700" s="73"/>
      <c r="B4700" s="73">
        <v>2.088051797E7</v>
      </c>
      <c r="C4700" s="73">
        <v>7.70359819881775E8</v>
      </c>
      <c r="D4700" s="73">
        <v>4.29556286579998E8</v>
      </c>
      <c r="E4700" s="73">
        <v>6.46133769751566E7</v>
      </c>
      <c r="F4700" s="73"/>
      <c r="G4700" s="73"/>
      <c r="H4700" s="73"/>
      <c r="I4700" s="73"/>
      <c r="J4700" s="73"/>
      <c r="K4700" s="73"/>
      <c r="L4700" s="73"/>
      <c r="M4700" s="73"/>
      <c r="N4700" s="73"/>
      <c r="O4700" s="73"/>
      <c r="P4700" s="73"/>
      <c r="Q4700" s="73"/>
      <c r="R4700" s="73"/>
      <c r="S4700" s="73"/>
      <c r="T4700" s="73"/>
      <c r="U4700" s="73"/>
      <c r="V4700" s="73"/>
      <c r="W4700" s="73"/>
      <c r="X4700" s="73"/>
      <c r="Y4700" s="73"/>
      <c r="Z4700" s="73"/>
      <c r="AA4700" s="73"/>
      <c r="AB4700" s="73"/>
    </row>
    <row r="4701">
      <c r="A4701" s="73"/>
      <c r="B4701" s="73">
        <v>2.090439134E7</v>
      </c>
      <c r="C4701" s="73">
        <v>7.70805966429382E8</v>
      </c>
      <c r="D4701" s="73">
        <v>4.29846909535991E8</v>
      </c>
      <c r="E4701" s="73">
        <v>6.46615110247502E7</v>
      </c>
      <c r="F4701" s="73"/>
      <c r="G4701" s="73"/>
      <c r="H4701" s="73"/>
      <c r="I4701" s="73"/>
      <c r="J4701" s="73"/>
      <c r="K4701" s="73"/>
      <c r="L4701" s="73"/>
      <c r="M4701" s="73"/>
      <c r="N4701" s="73"/>
      <c r="O4701" s="73"/>
      <c r="P4701" s="73"/>
      <c r="Q4701" s="73"/>
      <c r="R4701" s="73"/>
      <c r="S4701" s="73"/>
      <c r="T4701" s="73"/>
      <c r="U4701" s="73"/>
      <c r="V4701" s="73"/>
      <c r="W4701" s="73"/>
      <c r="X4701" s="73"/>
      <c r="Y4701" s="73"/>
      <c r="Z4701" s="73"/>
      <c r="AA4701" s="73"/>
      <c r="AB4701" s="73"/>
    </row>
    <row r="4702">
      <c r="A4702" s="73"/>
      <c r="B4702" s="73">
        <v>2.092828538E7</v>
      </c>
      <c r="C4702" s="73">
        <v>7.71252310736984E8</v>
      </c>
      <c r="D4702" s="73">
        <v>4.301376147E8</v>
      </c>
      <c r="E4702" s="73">
        <v>6.47096707449985E7</v>
      </c>
      <c r="F4702" s="73"/>
      <c r="G4702" s="73"/>
      <c r="H4702" s="73"/>
      <c r="I4702" s="73"/>
      <c r="J4702" s="73"/>
      <c r="K4702" s="73"/>
      <c r="L4702" s="73"/>
      <c r="M4702" s="73"/>
      <c r="N4702" s="73"/>
      <c r="O4702" s="73"/>
      <c r="P4702" s="73"/>
      <c r="Q4702" s="73"/>
      <c r="R4702" s="73"/>
      <c r="S4702" s="73"/>
      <c r="T4702" s="73"/>
      <c r="U4702" s="73"/>
      <c r="V4702" s="73"/>
      <c r="W4702" s="73"/>
      <c r="X4702" s="73"/>
      <c r="Y4702" s="73"/>
      <c r="Z4702" s="73"/>
      <c r="AA4702" s="73"/>
      <c r="AB4702" s="73"/>
    </row>
    <row r="4703">
      <c r="A4703" s="73"/>
      <c r="B4703" s="73">
        <v>2.095219944E7</v>
      </c>
      <c r="C4703" s="73">
        <v>7.71698852804581E8</v>
      </c>
      <c r="D4703" s="73">
        <v>4.30428484631993E8</v>
      </c>
      <c r="E4703" s="73">
        <v>6.47578499997737E7</v>
      </c>
      <c r="F4703" s="73"/>
      <c r="G4703" s="73"/>
      <c r="H4703" s="73"/>
      <c r="I4703" s="73"/>
      <c r="J4703" s="73"/>
      <c r="K4703" s="73"/>
      <c r="L4703" s="73"/>
      <c r="M4703" s="73"/>
      <c r="N4703" s="73"/>
      <c r="O4703" s="73"/>
      <c r="P4703" s="73"/>
      <c r="Q4703" s="73"/>
      <c r="R4703" s="73"/>
      <c r="S4703" s="73"/>
      <c r="T4703" s="73"/>
      <c r="U4703" s="73"/>
      <c r="V4703" s="73"/>
      <c r="W4703" s="73"/>
      <c r="X4703" s="73"/>
      <c r="Y4703" s="73"/>
      <c r="Z4703" s="73"/>
      <c r="AA4703" s="73"/>
      <c r="AB4703" s="73"/>
    </row>
    <row r="4704">
      <c r="A4704" s="73"/>
      <c r="B4704" s="73">
        <v>2.097613443E7</v>
      </c>
      <c r="C4704" s="73">
        <v>7.72145526712173E8</v>
      </c>
      <c r="D4704" s="73">
        <v>4.30719478660002E8</v>
      </c>
      <c r="E4704" s="73">
        <v>6.48060545012036E7</v>
      </c>
      <c r="F4704" s="73"/>
      <c r="G4704" s="73"/>
      <c r="H4704" s="73"/>
      <c r="I4704" s="73"/>
      <c r="J4704" s="73"/>
      <c r="K4704" s="73"/>
      <c r="L4704" s="73"/>
      <c r="M4704" s="73"/>
      <c r="N4704" s="73"/>
      <c r="O4704" s="73"/>
      <c r="P4704" s="73"/>
      <c r="Q4704" s="73"/>
      <c r="R4704" s="73"/>
      <c r="S4704" s="73"/>
      <c r="T4704" s="73"/>
      <c r="U4704" s="73"/>
      <c r="V4704" s="73"/>
      <c r="W4704" s="73"/>
      <c r="X4704" s="73"/>
      <c r="Y4704" s="73"/>
      <c r="Z4704" s="73"/>
      <c r="AA4704" s="73"/>
      <c r="AB4704" s="73"/>
    </row>
    <row r="4705">
      <c r="A4705" s="73"/>
      <c r="B4705" s="73">
        <v>2.100009026E7</v>
      </c>
      <c r="C4705" s="73">
        <v>7.72592266539764E8</v>
      </c>
      <c r="D4705" s="73">
        <v>4.31010596175995E8</v>
      </c>
      <c r="E4705" s="73">
        <v>6.48542816204882E7</v>
      </c>
      <c r="F4705" s="73"/>
      <c r="G4705" s="73"/>
      <c r="H4705" s="73"/>
      <c r="I4705" s="73"/>
      <c r="J4705" s="73"/>
      <c r="K4705" s="73"/>
      <c r="L4705" s="73"/>
      <c r="M4705" s="73"/>
      <c r="N4705" s="73"/>
      <c r="O4705" s="73"/>
      <c r="P4705" s="73"/>
      <c r="Q4705" s="73"/>
      <c r="R4705" s="73"/>
      <c r="S4705" s="73"/>
      <c r="T4705" s="73"/>
      <c r="U4705" s="73"/>
      <c r="V4705" s="73"/>
      <c r="W4705" s="73"/>
      <c r="X4705" s="73"/>
      <c r="Y4705" s="73"/>
      <c r="Z4705" s="73"/>
      <c r="AA4705" s="73"/>
      <c r="AB4705" s="73"/>
    </row>
    <row r="4706">
      <c r="A4706" s="73"/>
      <c r="B4706" s="73">
        <v>2.102406613E7</v>
      </c>
      <c r="C4706" s="73">
        <v>7.73039270047348E8</v>
      </c>
      <c r="D4706" s="73">
        <v>4.31301837787988E8</v>
      </c>
      <c r="E4706" s="73">
        <v>6.49025350040274E7</v>
      </c>
      <c r="F4706" s="73"/>
      <c r="G4706" s="73"/>
      <c r="H4706" s="73"/>
      <c r="I4706" s="73"/>
      <c r="J4706" s="73"/>
      <c r="K4706" s="73"/>
      <c r="L4706" s="73"/>
      <c r="M4706" s="73"/>
      <c r="N4706" s="73"/>
      <c r="O4706" s="73"/>
      <c r="P4706" s="73"/>
      <c r="Q4706" s="73"/>
      <c r="R4706" s="73"/>
      <c r="S4706" s="73"/>
      <c r="T4706" s="73"/>
      <c r="U4706" s="73"/>
      <c r="V4706" s="73"/>
      <c r="W4706" s="73"/>
      <c r="X4706" s="73"/>
      <c r="Y4706" s="73"/>
      <c r="Z4706" s="73"/>
      <c r="AA4706" s="73"/>
      <c r="AB4706" s="73"/>
    </row>
    <row r="4707">
      <c r="A4707" s="73"/>
      <c r="B4707" s="73">
        <v>2.104806295E7</v>
      </c>
      <c r="C4707" s="73">
        <v>7.73486405394928E8</v>
      </c>
      <c r="D4707" s="73">
        <v>4.31593202887997E8</v>
      </c>
      <c r="E4707" s="73">
        <v>6.49508073284936E7</v>
      </c>
      <c r="F4707" s="73"/>
      <c r="G4707" s="73"/>
      <c r="H4707" s="73"/>
      <c r="I4707" s="73"/>
      <c r="J4707" s="73"/>
      <c r="K4707" s="73"/>
      <c r="L4707" s="73"/>
      <c r="M4707" s="73"/>
      <c r="N4707" s="73"/>
      <c r="O4707" s="73"/>
      <c r="P4707" s="73"/>
      <c r="Q4707" s="73"/>
      <c r="R4707" s="73"/>
      <c r="S4707" s="73"/>
      <c r="T4707" s="73"/>
      <c r="U4707" s="73"/>
      <c r="V4707" s="73"/>
      <c r="W4707" s="73"/>
      <c r="X4707" s="73"/>
      <c r="Y4707" s="73"/>
      <c r="Z4707" s="73"/>
      <c r="AA4707" s="73"/>
      <c r="AB4707" s="73"/>
    </row>
    <row r="4708">
      <c r="A4708" s="73"/>
      <c r="B4708" s="73">
        <v>2.107208095E7</v>
      </c>
      <c r="C4708" s="73">
        <v>7.73933804422501E8</v>
      </c>
      <c r="D4708" s="73">
        <v>4.3188469176399E8</v>
      </c>
      <c r="E4708" s="73">
        <v>6.49991028644145E7</v>
      </c>
      <c r="F4708" s="73"/>
      <c r="G4708" s="73"/>
      <c r="H4708" s="73"/>
      <c r="I4708" s="73"/>
      <c r="J4708" s="73"/>
      <c r="K4708" s="73"/>
      <c r="L4708" s="73"/>
      <c r="M4708" s="73"/>
      <c r="N4708" s="73"/>
      <c r="O4708" s="73"/>
      <c r="P4708" s="73"/>
      <c r="Q4708" s="73"/>
      <c r="R4708" s="73"/>
      <c r="S4708" s="73"/>
      <c r="T4708" s="73"/>
      <c r="U4708" s="73"/>
      <c r="V4708" s="73"/>
      <c r="W4708" s="73"/>
      <c r="X4708" s="73"/>
      <c r="Y4708" s="73"/>
      <c r="Z4708" s="73"/>
      <c r="AA4708" s="73"/>
      <c r="AB4708" s="73"/>
    </row>
    <row r="4709">
      <c r="A4709" s="73"/>
      <c r="B4709" s="73">
        <v>2.109611852E7</v>
      </c>
      <c r="C4709" s="73">
        <v>7.7438133529007E8</v>
      </c>
      <c r="D4709" s="73">
        <v>4.32176304447999E8</v>
      </c>
      <c r="E4709" s="73">
        <v>6.50474226293901E7</v>
      </c>
      <c r="F4709" s="73"/>
      <c r="G4709" s="73"/>
      <c r="H4709" s="73"/>
      <c r="I4709" s="73"/>
      <c r="J4709" s="73"/>
      <c r="K4709" s="73"/>
      <c r="L4709" s="73"/>
      <c r="M4709" s="73"/>
      <c r="N4709" s="73"/>
      <c r="O4709" s="73"/>
      <c r="P4709" s="73"/>
      <c r="Q4709" s="73"/>
      <c r="R4709" s="73"/>
      <c r="S4709" s="73"/>
      <c r="T4709" s="73"/>
      <c r="U4709" s="73"/>
      <c r="V4709" s="73"/>
      <c r="W4709" s="73"/>
      <c r="X4709" s="73"/>
      <c r="Y4709" s="73"/>
      <c r="Z4709" s="73"/>
      <c r="AA4709" s="73"/>
      <c r="AB4709" s="73"/>
    </row>
    <row r="4710">
      <c r="A4710" s="73"/>
      <c r="B4710" s="73">
        <v>2.112017715E7</v>
      </c>
      <c r="C4710" s="73">
        <v>7.74828932077637E8</v>
      </c>
      <c r="D4710" s="73">
        <v>4.32468040619992E8</v>
      </c>
      <c r="E4710" s="73">
        <v>6.50957641336926E7</v>
      </c>
      <c r="F4710" s="73"/>
      <c r="G4710" s="73"/>
      <c r="H4710" s="73"/>
      <c r="I4710" s="73"/>
      <c r="J4710" s="73"/>
      <c r="K4710" s="73"/>
      <c r="L4710" s="73"/>
      <c r="M4710" s="73"/>
      <c r="N4710" s="73"/>
      <c r="O4710" s="73"/>
      <c r="P4710" s="73"/>
      <c r="Q4710" s="73"/>
      <c r="R4710" s="73"/>
      <c r="S4710" s="73"/>
      <c r="T4710" s="73"/>
      <c r="U4710" s="73"/>
      <c r="V4710" s="73"/>
      <c r="W4710" s="73"/>
      <c r="X4710" s="73"/>
      <c r="Y4710" s="73"/>
      <c r="Z4710" s="73"/>
      <c r="AA4710" s="73"/>
      <c r="AB4710" s="73"/>
    </row>
    <row r="4711">
      <c r="A4711" s="73"/>
      <c r="B4711" s="73">
        <v>2.114425648E7</v>
      </c>
      <c r="C4711" s="73">
        <v>7.75276792545197E8</v>
      </c>
      <c r="D4711" s="73">
        <v>4.32759941848001E8</v>
      </c>
      <c r="E4711" s="73">
        <v>6.51441327807776E7</v>
      </c>
      <c r="F4711" s="73"/>
      <c r="G4711" s="73"/>
      <c r="H4711" s="73"/>
      <c r="I4711" s="73"/>
      <c r="J4711" s="73"/>
      <c r="K4711" s="73"/>
      <c r="L4711" s="73"/>
      <c r="M4711" s="73"/>
      <c r="N4711" s="73"/>
      <c r="O4711" s="73"/>
      <c r="P4711" s="73"/>
      <c r="Q4711" s="73"/>
      <c r="R4711" s="73"/>
      <c r="S4711" s="73"/>
      <c r="T4711" s="73"/>
      <c r="U4711" s="73"/>
      <c r="V4711" s="73"/>
      <c r="W4711" s="73"/>
      <c r="X4711" s="73"/>
      <c r="Y4711" s="73"/>
      <c r="Z4711" s="73"/>
      <c r="AA4711" s="73"/>
      <c r="AB4711" s="73"/>
    </row>
    <row r="4712">
      <c r="A4712" s="73"/>
      <c r="B4712" s="73">
        <v>2.116835626E7</v>
      </c>
      <c r="C4712" s="73">
        <v>7.75724718932755E8</v>
      </c>
      <c r="D4712" s="73">
        <v>4.33051925603994E8</v>
      </c>
      <c r="E4712" s="73">
        <v>6.51925205926615E7</v>
      </c>
      <c r="F4712" s="73"/>
      <c r="G4712" s="73"/>
      <c r="H4712" s="73"/>
      <c r="I4712" s="73"/>
      <c r="J4712" s="73"/>
      <c r="K4712" s="73"/>
      <c r="L4712" s="73"/>
      <c r="M4712" s="73"/>
      <c r="N4712" s="73"/>
      <c r="O4712" s="73"/>
      <c r="P4712" s="73"/>
      <c r="Q4712" s="73"/>
      <c r="R4712" s="73"/>
      <c r="S4712" s="73"/>
      <c r="T4712" s="73"/>
      <c r="U4712" s="73"/>
      <c r="V4712" s="73"/>
      <c r="W4712" s="73"/>
      <c r="X4712" s="73"/>
      <c r="Y4712" s="73"/>
      <c r="Z4712" s="73"/>
      <c r="AA4712" s="73"/>
      <c r="AB4712" s="73"/>
    </row>
    <row r="4713">
      <c r="A4713" s="73"/>
      <c r="B4713" s="73">
        <v>2.119247658E7</v>
      </c>
      <c r="C4713" s="73">
        <v>7.76172909000305E8</v>
      </c>
      <c r="D4713" s="73">
        <v>4.33344074128002E8</v>
      </c>
      <c r="E4713" s="73">
        <v>6.52409321553282E7</v>
      </c>
      <c r="F4713" s="73"/>
      <c r="G4713" s="73"/>
      <c r="H4713" s="73"/>
      <c r="I4713" s="73"/>
      <c r="J4713" s="73"/>
      <c r="K4713" s="73"/>
      <c r="L4713" s="73"/>
      <c r="M4713" s="73"/>
      <c r="N4713" s="73"/>
      <c r="O4713" s="73"/>
      <c r="P4713" s="73"/>
      <c r="Q4713" s="73"/>
      <c r="R4713" s="73"/>
      <c r="S4713" s="73"/>
      <c r="T4713" s="73"/>
      <c r="U4713" s="73"/>
      <c r="V4713" s="73"/>
      <c r="W4713" s="73"/>
      <c r="X4713" s="73"/>
      <c r="Y4713" s="73"/>
      <c r="Z4713" s="73"/>
      <c r="AA4713" s="73"/>
      <c r="AB4713" s="73"/>
    </row>
    <row r="4714">
      <c r="A4714" s="73"/>
      <c r="B4714" s="73">
        <v>2.121661795E7</v>
      </c>
      <c r="C4714" s="73">
        <v>7.76621230907852E8</v>
      </c>
      <c r="D4714" s="73">
        <v>4.33636346427996E8</v>
      </c>
      <c r="E4714" s="73">
        <v>6.52893693886495E7</v>
      </c>
      <c r="F4714" s="73"/>
      <c r="G4714" s="73"/>
      <c r="H4714" s="73"/>
      <c r="I4714" s="73"/>
      <c r="J4714" s="73"/>
      <c r="K4714" s="73"/>
      <c r="L4714" s="73"/>
      <c r="M4714" s="73"/>
      <c r="N4714" s="73"/>
      <c r="O4714" s="73"/>
      <c r="P4714" s="73"/>
      <c r="Q4714" s="73"/>
      <c r="R4714" s="73"/>
      <c r="S4714" s="73"/>
      <c r="T4714" s="73"/>
      <c r="U4714" s="73"/>
      <c r="V4714" s="73"/>
      <c r="W4714" s="73"/>
      <c r="X4714" s="73"/>
      <c r="Y4714" s="73"/>
      <c r="Z4714" s="73"/>
      <c r="AA4714" s="73"/>
      <c r="AB4714" s="73"/>
    </row>
    <row r="4715">
      <c r="A4715" s="73"/>
      <c r="B4715" s="73">
        <v>2.124077936E7</v>
      </c>
      <c r="C4715" s="73">
        <v>7.77069684655396E8</v>
      </c>
      <c r="D4715" s="73">
        <v>4.33928742215989E8</v>
      </c>
      <c r="E4715" s="73">
        <v>6.53378282764976E7</v>
      </c>
      <c r="F4715" s="73"/>
      <c r="G4715" s="73"/>
      <c r="H4715" s="73"/>
      <c r="I4715" s="73"/>
      <c r="J4715" s="73"/>
      <c r="K4715" s="73"/>
      <c r="L4715" s="73"/>
      <c r="M4715" s="73"/>
      <c r="N4715" s="73"/>
      <c r="O4715" s="73"/>
      <c r="P4715" s="73"/>
      <c r="Q4715" s="73"/>
      <c r="R4715" s="73"/>
      <c r="S4715" s="73"/>
      <c r="T4715" s="73"/>
      <c r="U4715" s="73"/>
      <c r="V4715" s="73"/>
      <c r="W4715" s="73"/>
      <c r="X4715" s="73"/>
      <c r="Y4715" s="73"/>
      <c r="Z4715" s="73"/>
      <c r="AA4715" s="73"/>
      <c r="AB4715" s="73"/>
    </row>
    <row r="4716">
      <c r="A4716" s="73"/>
      <c r="B4716" s="73">
        <v>2.126496175E7</v>
      </c>
      <c r="C4716" s="73">
        <v>7.77518336162933E8</v>
      </c>
      <c r="D4716" s="73">
        <v>4.34221262099998E8</v>
      </c>
      <c r="E4716" s="73">
        <v>6.53863068684726E7</v>
      </c>
      <c r="F4716" s="73"/>
      <c r="G4716" s="73"/>
      <c r="H4716" s="73"/>
      <c r="I4716" s="73"/>
      <c r="J4716" s="73"/>
      <c r="K4716" s="73"/>
      <c r="L4716" s="73"/>
      <c r="M4716" s="73"/>
      <c r="N4716" s="73"/>
      <c r="O4716" s="73"/>
      <c r="P4716" s="73"/>
      <c r="Q4716" s="73"/>
      <c r="R4716" s="73"/>
      <c r="S4716" s="73"/>
      <c r="T4716" s="73"/>
      <c r="U4716" s="73"/>
      <c r="V4716" s="73"/>
      <c r="W4716" s="73"/>
      <c r="X4716" s="73"/>
      <c r="Y4716" s="73"/>
      <c r="Z4716" s="73"/>
      <c r="AA4716" s="73"/>
      <c r="AB4716" s="73"/>
    </row>
    <row r="4717">
      <c r="A4717" s="73"/>
      <c r="B4717" s="73">
        <v>2.128916445E7</v>
      </c>
      <c r="C4717" s="73">
        <v>7.77967119510468E8</v>
      </c>
      <c r="D4717" s="73">
        <v>4.34513905471991E8</v>
      </c>
      <c r="E4717" s="73">
        <v>6.54348131968302E7</v>
      </c>
      <c r="F4717" s="73"/>
      <c r="G4717" s="73"/>
      <c r="H4717" s="73"/>
      <c r="I4717" s="73"/>
      <c r="J4717" s="73"/>
      <c r="K4717" s="73"/>
      <c r="L4717" s="73"/>
      <c r="M4717" s="73"/>
      <c r="N4717" s="73"/>
      <c r="O4717" s="73"/>
      <c r="P4717" s="73"/>
      <c r="Q4717" s="73"/>
      <c r="R4717" s="73"/>
      <c r="S4717" s="73"/>
      <c r="T4717" s="73"/>
      <c r="U4717" s="73"/>
      <c r="V4717" s="73"/>
      <c r="W4717" s="73"/>
      <c r="X4717" s="73"/>
      <c r="Y4717" s="73"/>
      <c r="Z4717" s="73"/>
      <c r="AA4717" s="73"/>
      <c r="AB4717" s="73"/>
    </row>
    <row r="4718">
      <c r="A4718" s="73"/>
      <c r="B4718" s="73">
        <v>2.131338803E7</v>
      </c>
      <c r="C4718" s="73">
        <v>7.78416100617996E8</v>
      </c>
      <c r="D4718" s="73">
        <v>4.34806672939999E8</v>
      </c>
      <c r="E4718" s="73">
        <v>6.54833392293147E7</v>
      </c>
      <c r="F4718" s="73"/>
      <c r="G4718" s="73"/>
      <c r="H4718" s="73"/>
      <c r="I4718" s="73"/>
      <c r="J4718" s="73"/>
      <c r="K4718" s="73"/>
      <c r="L4718" s="73"/>
      <c r="M4718" s="73"/>
      <c r="N4718" s="73"/>
      <c r="O4718" s="73"/>
      <c r="P4718" s="73"/>
      <c r="Q4718" s="73"/>
      <c r="R4718" s="73"/>
      <c r="S4718" s="73"/>
      <c r="T4718" s="73"/>
      <c r="U4718" s="73"/>
      <c r="V4718" s="73"/>
      <c r="W4718" s="73"/>
      <c r="X4718" s="73"/>
      <c r="Y4718" s="73"/>
      <c r="Z4718" s="73"/>
      <c r="AA4718" s="73"/>
      <c r="AB4718" s="73"/>
    </row>
    <row r="4719">
      <c r="A4719" s="73"/>
      <c r="B4719" s="73">
        <v>2.133763246E7</v>
      </c>
      <c r="C4719" s="73">
        <v>7.78865213565521E8</v>
      </c>
      <c r="D4719" s="73">
        <v>4.35099564215993E8</v>
      </c>
      <c r="E4719" s="73">
        <v>6.55318907628538E7</v>
      </c>
      <c r="F4719" s="73"/>
      <c r="G4719" s="73"/>
      <c r="H4719" s="73"/>
      <c r="I4719" s="73"/>
      <c r="J4719" s="73"/>
      <c r="K4719" s="73"/>
      <c r="L4719" s="73"/>
      <c r="M4719" s="73"/>
      <c r="N4719" s="73"/>
      <c r="O4719" s="73"/>
      <c r="P4719" s="73"/>
      <c r="Q4719" s="73"/>
      <c r="R4719" s="73"/>
      <c r="S4719" s="73"/>
      <c r="T4719" s="73"/>
      <c r="U4719" s="73"/>
      <c r="V4719" s="73"/>
      <c r="W4719" s="73"/>
      <c r="X4719" s="73"/>
      <c r="Y4719" s="73"/>
      <c r="Z4719" s="73"/>
      <c r="AA4719" s="73"/>
      <c r="AB4719" s="73"/>
    </row>
    <row r="4720">
      <c r="A4720" s="73"/>
      <c r="B4720" s="73">
        <v>2.136189753E7</v>
      </c>
      <c r="C4720" s="73">
        <v>7.79314524273041E8</v>
      </c>
      <c r="D4720" s="73">
        <v>4.35392619620001E8</v>
      </c>
      <c r="E4720" s="73">
        <v>6.55804649990477E7</v>
      </c>
      <c r="F4720" s="73"/>
      <c r="G4720" s="73"/>
      <c r="H4720" s="73"/>
      <c r="I4720" s="73"/>
      <c r="J4720" s="73"/>
      <c r="K4720" s="73"/>
      <c r="L4720" s="73"/>
      <c r="M4720" s="73"/>
      <c r="N4720" s="73"/>
      <c r="O4720" s="73"/>
      <c r="P4720" s="73"/>
      <c r="Q4720" s="73"/>
      <c r="R4720" s="73"/>
      <c r="S4720" s="73"/>
      <c r="T4720" s="73"/>
      <c r="U4720" s="73"/>
      <c r="V4720" s="73"/>
      <c r="W4720" s="73"/>
      <c r="X4720" s="73"/>
      <c r="Y4720" s="73"/>
      <c r="Z4720" s="73"/>
      <c r="AA4720" s="73"/>
      <c r="AB4720" s="73"/>
    </row>
    <row r="4721">
      <c r="A4721" s="73"/>
      <c r="B4721" s="73">
        <v>2.138618284E7</v>
      </c>
      <c r="C4721" s="73">
        <v>7.79763966820557E8</v>
      </c>
      <c r="D4721" s="73">
        <v>4.35685758159994E8</v>
      </c>
      <c r="E4721" s="73">
        <v>6.56290617377683E7</v>
      </c>
      <c r="F4721" s="73"/>
      <c r="G4721" s="73"/>
      <c r="H4721" s="73"/>
      <c r="I4721" s="73"/>
      <c r="J4721" s="73"/>
      <c r="K4721" s="73"/>
      <c r="L4721" s="73"/>
      <c r="M4721" s="73"/>
      <c r="N4721" s="73"/>
      <c r="O4721" s="73"/>
      <c r="P4721" s="73"/>
      <c r="Q4721" s="73"/>
      <c r="R4721" s="73"/>
      <c r="S4721" s="73"/>
      <c r="T4721" s="73"/>
      <c r="U4721" s="73"/>
      <c r="V4721" s="73"/>
      <c r="W4721" s="73"/>
      <c r="X4721" s="73"/>
      <c r="Y4721" s="73"/>
      <c r="Z4721" s="73"/>
      <c r="AA4721" s="73"/>
      <c r="AB4721" s="73"/>
    </row>
    <row r="4722">
      <c r="A4722" s="73"/>
      <c r="B4722" s="73">
        <v>2.14104892E7</v>
      </c>
      <c r="C4722" s="73">
        <v>7.80213607128067E8</v>
      </c>
      <c r="D4722" s="73">
        <v>4.35979061468003E8</v>
      </c>
      <c r="E4722" s="73">
        <v>6.56776845168716E7</v>
      </c>
      <c r="F4722" s="73"/>
      <c r="G4722" s="73"/>
      <c r="H4722" s="73"/>
      <c r="I4722" s="73"/>
      <c r="J4722" s="73"/>
      <c r="K4722" s="73"/>
      <c r="L4722" s="73"/>
      <c r="M4722" s="73"/>
      <c r="N4722" s="73"/>
      <c r="O4722" s="73"/>
      <c r="P4722" s="73"/>
      <c r="Q4722" s="73"/>
      <c r="R4722" s="73"/>
      <c r="S4722" s="73"/>
      <c r="T4722" s="73"/>
      <c r="U4722" s="73"/>
      <c r="V4722" s="73"/>
      <c r="W4722" s="73"/>
      <c r="X4722" s="73"/>
      <c r="Y4722" s="73"/>
      <c r="Z4722" s="73"/>
      <c r="AA4722" s="73"/>
      <c r="AB4722" s="73"/>
    </row>
    <row r="4723">
      <c r="A4723" s="73"/>
      <c r="B4723" s="73">
        <v>2.14348157E7</v>
      </c>
      <c r="C4723" s="73">
        <v>7.80663379275574E8</v>
      </c>
      <c r="D4723" s="73">
        <v>4.36272447591996E8</v>
      </c>
      <c r="E4723" s="73">
        <v>6.57263280177018E7</v>
      </c>
      <c r="F4723" s="73"/>
      <c r="G4723" s="73"/>
      <c r="H4723" s="73"/>
      <c r="I4723" s="73"/>
      <c r="J4723" s="73"/>
      <c r="K4723" s="73"/>
      <c r="L4723" s="73"/>
      <c r="M4723" s="73"/>
      <c r="N4723" s="73"/>
      <c r="O4723" s="73"/>
      <c r="P4723" s="73"/>
      <c r="Q4723" s="73"/>
      <c r="R4723" s="73"/>
      <c r="S4723" s="73"/>
      <c r="T4723" s="73"/>
      <c r="U4723" s="73"/>
      <c r="V4723" s="73"/>
      <c r="W4723" s="73"/>
      <c r="X4723" s="73"/>
      <c r="Y4723" s="73"/>
      <c r="Z4723" s="73"/>
      <c r="AA4723" s="73"/>
      <c r="AB4723" s="73"/>
    </row>
    <row r="4724">
      <c r="A4724" s="73"/>
      <c r="B4724" s="73">
        <v>2.145916369E7</v>
      </c>
      <c r="C4724" s="73">
        <v>7.81113349183075E8</v>
      </c>
      <c r="D4724" s="73">
        <v>4.3656599816399E8</v>
      </c>
      <c r="E4724" s="73">
        <v>6.57749921554588E7</v>
      </c>
      <c r="F4724" s="73"/>
      <c r="G4724" s="73"/>
      <c r="H4724" s="73"/>
      <c r="I4724" s="73"/>
      <c r="J4724" s="73"/>
      <c r="K4724" s="73"/>
      <c r="L4724" s="73"/>
      <c r="M4724" s="73"/>
      <c r="N4724" s="73"/>
      <c r="O4724" s="73"/>
      <c r="P4724" s="73"/>
      <c r="Q4724" s="73"/>
      <c r="R4724" s="73"/>
      <c r="S4724" s="73"/>
      <c r="T4724" s="73"/>
      <c r="U4724" s="73"/>
      <c r="V4724" s="73"/>
      <c r="W4724" s="73"/>
      <c r="X4724" s="73"/>
      <c r="Y4724" s="73"/>
      <c r="Z4724" s="73"/>
      <c r="AA4724" s="73"/>
      <c r="AB4724" s="73"/>
    </row>
    <row r="4725">
      <c r="A4725" s="73"/>
      <c r="B4725" s="73">
        <v>2.148353184E7</v>
      </c>
      <c r="C4725" s="73">
        <v>7.81563385010574E8</v>
      </c>
      <c r="D4725" s="73">
        <v>4.36859672543998E8</v>
      </c>
      <c r="E4725" s="73">
        <v>6.58236845383983E7</v>
      </c>
      <c r="F4725" s="73"/>
      <c r="G4725" s="73"/>
      <c r="H4725" s="73"/>
      <c r="I4725" s="73"/>
      <c r="J4725" s="73"/>
      <c r="K4725" s="73"/>
      <c r="L4725" s="73"/>
      <c r="M4725" s="73"/>
      <c r="N4725" s="73"/>
      <c r="O4725" s="73"/>
      <c r="P4725" s="73"/>
      <c r="Q4725" s="73"/>
      <c r="R4725" s="73"/>
      <c r="S4725" s="73"/>
      <c r="T4725" s="73"/>
      <c r="U4725" s="73"/>
      <c r="V4725" s="73"/>
      <c r="W4725" s="73"/>
      <c r="X4725" s="73"/>
      <c r="Y4725" s="73"/>
      <c r="Z4725" s="73"/>
      <c r="AA4725" s="73"/>
      <c r="AB4725" s="73"/>
    </row>
    <row r="4726">
      <c r="A4726" s="73"/>
      <c r="B4726" s="73">
        <v>2.150792125E7</v>
      </c>
      <c r="C4726" s="73">
        <v>7.82013750438065E8</v>
      </c>
      <c r="D4726" s="73">
        <v>4.37153470699991E8</v>
      </c>
      <c r="E4726" s="73">
        <v>6.58723961166648E7</v>
      </c>
      <c r="F4726" s="73"/>
      <c r="G4726" s="73"/>
      <c r="H4726" s="73"/>
      <c r="I4726" s="73"/>
      <c r="J4726" s="73"/>
      <c r="K4726" s="73"/>
      <c r="L4726" s="73"/>
      <c r="M4726" s="73"/>
      <c r="N4726" s="73"/>
      <c r="O4726" s="73"/>
      <c r="P4726" s="73"/>
      <c r="Q4726" s="73"/>
      <c r="R4726" s="73"/>
      <c r="S4726" s="73"/>
      <c r="T4726" s="73"/>
      <c r="U4726" s="73"/>
      <c r="V4726" s="73"/>
      <c r="W4726" s="73"/>
      <c r="X4726" s="73"/>
      <c r="Y4726" s="73"/>
      <c r="Z4726" s="73"/>
      <c r="AA4726" s="73"/>
      <c r="AB4726" s="73"/>
    </row>
    <row r="4727">
      <c r="A4727" s="73"/>
      <c r="B4727" s="73">
        <v>2.153233057E7</v>
      </c>
      <c r="C4727" s="73">
        <v>7.82464115865555E8</v>
      </c>
      <c r="D4727" s="73">
        <v>4.37447392664E8</v>
      </c>
      <c r="E4727" s="73">
        <v>6.59211337047858E7</v>
      </c>
      <c r="F4727" s="73"/>
      <c r="G4727" s="73"/>
      <c r="H4727" s="73"/>
      <c r="I4727" s="73"/>
      <c r="J4727" s="73"/>
      <c r="K4727" s="73"/>
      <c r="L4727" s="73"/>
      <c r="M4727" s="73"/>
      <c r="N4727" s="73"/>
      <c r="O4727" s="73"/>
      <c r="P4727" s="73"/>
      <c r="Q4727" s="73"/>
      <c r="R4727" s="73"/>
      <c r="S4727" s="73"/>
      <c r="T4727" s="73"/>
      <c r="U4727" s="73"/>
      <c r="V4727" s="73"/>
      <c r="W4727" s="73"/>
      <c r="X4727" s="73"/>
      <c r="Y4727" s="73"/>
      <c r="Z4727" s="73"/>
      <c r="AA4727" s="73"/>
      <c r="AB4727" s="73"/>
    </row>
    <row r="4728">
      <c r="A4728" s="73"/>
      <c r="B4728" s="73">
        <v>2.155676113E7</v>
      </c>
      <c r="C4728" s="73">
        <v>7.82914744973038E8</v>
      </c>
      <c r="D4728" s="73">
        <v>4.37741479075993E8</v>
      </c>
      <c r="E4728" s="73">
        <v>6.59698908274339E7</v>
      </c>
      <c r="F4728" s="73"/>
      <c r="G4728" s="73"/>
      <c r="H4728" s="73"/>
      <c r="I4728" s="73"/>
      <c r="J4728" s="73"/>
      <c r="K4728" s="73"/>
      <c r="L4728" s="73"/>
      <c r="M4728" s="73"/>
      <c r="N4728" s="73"/>
      <c r="O4728" s="73"/>
      <c r="P4728" s="73"/>
      <c r="Q4728" s="73"/>
      <c r="R4728" s="73"/>
      <c r="S4728" s="73"/>
      <c r="T4728" s="73"/>
      <c r="U4728" s="73"/>
      <c r="V4728" s="73"/>
      <c r="W4728" s="73"/>
      <c r="X4728" s="73"/>
      <c r="Y4728" s="73"/>
      <c r="Z4728" s="73"/>
      <c r="AA4728" s="73"/>
      <c r="AB4728" s="73"/>
    </row>
    <row r="4729">
      <c r="A4729" s="73"/>
      <c r="B4729" s="73">
        <v>2.158121204E7</v>
      </c>
      <c r="C4729" s="73">
        <v>7.83365440000519E8</v>
      </c>
      <c r="D4729" s="73">
        <v>4.38035648624002E8</v>
      </c>
      <c r="E4729" s="73">
        <v>6.60186721791366E7</v>
      </c>
      <c r="F4729" s="73"/>
      <c r="G4729" s="73"/>
      <c r="H4729" s="73"/>
      <c r="I4729" s="73"/>
      <c r="J4729" s="73"/>
      <c r="K4729" s="73"/>
      <c r="L4729" s="73"/>
      <c r="M4729" s="73"/>
      <c r="N4729" s="73"/>
      <c r="O4729" s="73"/>
      <c r="P4729" s="73"/>
      <c r="Q4729" s="73"/>
      <c r="R4729" s="73"/>
      <c r="S4729" s="73"/>
      <c r="T4729" s="73"/>
      <c r="U4729" s="73"/>
      <c r="V4729" s="73"/>
      <c r="W4729" s="73"/>
      <c r="X4729" s="73"/>
      <c r="Y4729" s="73"/>
      <c r="Z4729" s="73"/>
      <c r="AA4729" s="73"/>
      <c r="AB4729" s="73"/>
    </row>
    <row r="4730">
      <c r="A4730" s="73"/>
      <c r="B4730" s="73">
        <v>2.160568359E7</v>
      </c>
      <c r="C4730" s="73">
        <v>7.83816398707993E8</v>
      </c>
      <c r="D4730" s="73">
        <v>4.38329982907995E8</v>
      </c>
      <c r="E4730" s="73">
        <v>6.6067477844694E7</v>
      </c>
      <c r="F4730" s="73"/>
      <c r="G4730" s="73"/>
      <c r="H4730" s="73"/>
      <c r="I4730" s="73"/>
      <c r="J4730" s="73"/>
      <c r="K4730" s="73"/>
      <c r="L4730" s="73"/>
      <c r="M4730" s="73"/>
      <c r="N4730" s="73"/>
      <c r="O4730" s="73"/>
      <c r="P4730" s="73"/>
      <c r="Q4730" s="73"/>
      <c r="R4730" s="73"/>
      <c r="S4730" s="73"/>
      <c r="T4730" s="73"/>
      <c r="U4730" s="73"/>
      <c r="V4730" s="73"/>
      <c r="W4730" s="73"/>
      <c r="X4730" s="73"/>
      <c r="Y4730" s="73"/>
      <c r="Z4730" s="73"/>
      <c r="AA4730" s="73"/>
      <c r="AB4730" s="73"/>
    </row>
    <row r="4731">
      <c r="A4731" s="73"/>
      <c r="B4731" s="73">
        <v>2.163017632E7</v>
      </c>
      <c r="C4731" s="73">
        <v>7.84267489255463E8</v>
      </c>
      <c r="D4731" s="73">
        <v>4.38624399719988E8</v>
      </c>
      <c r="E4731" s="73">
        <v>6.61163068913061E7</v>
      </c>
      <c r="F4731" s="73"/>
      <c r="G4731" s="73"/>
      <c r="H4731" s="73"/>
      <c r="I4731" s="73"/>
      <c r="J4731" s="73"/>
      <c r="K4731" s="73"/>
      <c r="L4731" s="73"/>
      <c r="M4731" s="73"/>
      <c r="N4731" s="73"/>
      <c r="O4731" s="73"/>
      <c r="P4731" s="73"/>
      <c r="Q4731" s="73"/>
      <c r="R4731" s="73"/>
      <c r="S4731" s="73"/>
      <c r="T4731" s="73"/>
      <c r="U4731" s="73"/>
      <c r="V4731" s="73"/>
      <c r="W4731" s="73"/>
      <c r="X4731" s="73"/>
      <c r="Y4731" s="73"/>
      <c r="Z4731" s="73"/>
      <c r="AA4731" s="73"/>
      <c r="AB4731" s="73"/>
    </row>
    <row r="4732">
      <c r="A4732" s="73"/>
      <c r="B4732" s="73">
        <v>2.165468936E7</v>
      </c>
      <c r="C4732" s="73">
        <v>7.84718777562927E8</v>
      </c>
      <c r="D4732" s="73">
        <v>4.38918981299997E8</v>
      </c>
      <c r="E4732" s="73">
        <v>6.61651604213729E7</v>
      </c>
      <c r="F4732" s="73"/>
      <c r="G4732" s="73"/>
      <c r="H4732" s="73"/>
      <c r="I4732" s="73"/>
      <c r="J4732" s="73"/>
      <c r="K4732" s="73"/>
      <c r="L4732" s="73"/>
      <c r="M4732" s="73"/>
      <c r="N4732" s="73"/>
      <c r="O4732" s="73"/>
      <c r="P4732" s="73"/>
      <c r="Q4732" s="73"/>
      <c r="R4732" s="73"/>
      <c r="S4732" s="73"/>
      <c r="T4732" s="73"/>
      <c r="U4732" s="73"/>
      <c r="V4732" s="73"/>
      <c r="W4732" s="73"/>
      <c r="X4732" s="73"/>
      <c r="Y4732" s="73"/>
      <c r="Z4732" s="73"/>
      <c r="AA4732" s="73"/>
      <c r="AB4732" s="73"/>
    </row>
    <row r="4733">
      <c r="A4733" s="73"/>
      <c r="B4733" s="73">
        <v>2.16792233E7</v>
      </c>
      <c r="C4733" s="73">
        <v>7.85170263630386E8</v>
      </c>
      <c r="D4733" s="73">
        <v>4.3921364572799E8</v>
      </c>
      <c r="E4733" s="73">
        <v>6.62140352667666E7</v>
      </c>
      <c r="F4733" s="73"/>
      <c r="G4733" s="73"/>
      <c r="H4733" s="73"/>
      <c r="I4733" s="73"/>
      <c r="J4733" s="73"/>
      <c r="K4733" s="73"/>
      <c r="L4733" s="73"/>
      <c r="M4733" s="73"/>
      <c r="N4733" s="73"/>
      <c r="O4733" s="73"/>
      <c r="P4733" s="73"/>
      <c r="Q4733" s="73"/>
      <c r="R4733" s="73"/>
      <c r="S4733" s="73"/>
      <c r="T4733" s="73"/>
      <c r="U4733" s="73"/>
      <c r="V4733" s="73"/>
      <c r="W4733" s="73"/>
      <c r="X4733" s="73"/>
      <c r="Y4733" s="73"/>
      <c r="Z4733" s="73"/>
      <c r="AA4733" s="73"/>
      <c r="AB4733" s="73"/>
    </row>
    <row r="4734">
      <c r="A4734" s="73"/>
      <c r="B4734" s="73">
        <v>2.170377819E7</v>
      </c>
      <c r="C4734" s="73">
        <v>7.85621815617844E8</v>
      </c>
      <c r="D4734" s="73">
        <v>4.39508474571999E8</v>
      </c>
      <c r="E4734" s="73">
        <v>6.6262933323615E7</v>
      </c>
      <c r="F4734" s="73"/>
      <c r="G4734" s="73"/>
      <c r="H4734" s="73"/>
      <c r="I4734" s="73"/>
      <c r="J4734" s="73"/>
      <c r="K4734" s="73"/>
      <c r="L4734" s="73"/>
      <c r="M4734" s="73"/>
      <c r="N4734" s="73"/>
      <c r="O4734" s="73"/>
      <c r="P4734" s="73"/>
      <c r="Q4734" s="73"/>
      <c r="R4734" s="73"/>
      <c r="S4734" s="73"/>
      <c r="T4734" s="73"/>
      <c r="U4734" s="73"/>
      <c r="V4734" s="73"/>
      <c r="W4734" s="73"/>
      <c r="X4734" s="73"/>
      <c r="Y4734" s="73"/>
      <c r="Z4734" s="73"/>
      <c r="AA4734" s="73"/>
      <c r="AB4734" s="73"/>
    </row>
    <row r="4735">
      <c r="A4735" s="73"/>
      <c r="B4735" s="73">
        <v>2.172835322E7</v>
      </c>
      <c r="C4735" s="73">
        <v>7.86073565365295E8</v>
      </c>
      <c r="D4735" s="73">
        <v>4.39803468471992E8</v>
      </c>
      <c r="E4735" s="73">
        <v>6.63118533741902E7</v>
      </c>
      <c r="F4735" s="73"/>
      <c r="G4735" s="73"/>
      <c r="H4735" s="73"/>
      <c r="I4735" s="73"/>
      <c r="J4735" s="73"/>
      <c r="K4735" s="73"/>
      <c r="L4735" s="73"/>
      <c r="M4735" s="73"/>
      <c r="N4735" s="73"/>
      <c r="O4735" s="73"/>
      <c r="P4735" s="73"/>
      <c r="Q4735" s="73"/>
      <c r="R4735" s="73"/>
      <c r="S4735" s="73"/>
      <c r="T4735" s="73"/>
      <c r="U4735" s="73"/>
      <c r="V4735" s="73"/>
      <c r="W4735" s="73"/>
      <c r="X4735" s="73"/>
      <c r="Y4735" s="73"/>
      <c r="Z4735" s="73"/>
      <c r="AA4735" s="73"/>
      <c r="AB4735" s="73"/>
    </row>
    <row r="4736">
      <c r="A4736" s="73"/>
      <c r="B4736" s="73">
        <v>2.175295005E7</v>
      </c>
      <c r="C4736" s="73">
        <v>7.86525512872742E8</v>
      </c>
      <c r="D4736" s="73">
        <v>4.40098545220001E8</v>
      </c>
      <c r="E4736" s="73">
        <v>6.6360798871548E7</v>
      </c>
      <c r="F4736" s="73"/>
      <c r="G4736" s="73"/>
      <c r="H4736" s="73"/>
      <c r="I4736" s="73"/>
      <c r="J4736" s="73"/>
      <c r="K4736" s="73"/>
      <c r="L4736" s="73"/>
      <c r="M4736" s="73"/>
      <c r="N4736" s="73"/>
      <c r="O4736" s="73"/>
      <c r="P4736" s="73"/>
      <c r="Q4736" s="73"/>
      <c r="R4736" s="73"/>
      <c r="S4736" s="73"/>
      <c r="T4736" s="73"/>
      <c r="U4736" s="73"/>
      <c r="V4736" s="73"/>
      <c r="W4736" s="73"/>
      <c r="X4736" s="73"/>
      <c r="Y4736" s="73"/>
      <c r="Z4736" s="73"/>
      <c r="AA4736" s="73"/>
      <c r="AB4736" s="73"/>
    </row>
    <row r="4737">
      <c r="A4737" s="73"/>
      <c r="B4737" s="73">
        <v>2.177756647E7</v>
      </c>
      <c r="C4737" s="73">
        <v>7.86977592220184E8</v>
      </c>
      <c r="D4737" s="73">
        <v>4.40393745455994E8</v>
      </c>
      <c r="E4737" s="73">
        <v>6.64097672106326E7</v>
      </c>
      <c r="F4737" s="73"/>
      <c r="G4737" s="73"/>
      <c r="H4737" s="73"/>
      <c r="I4737" s="73"/>
      <c r="J4737" s="73"/>
      <c r="K4737" s="73"/>
      <c r="L4737" s="73"/>
      <c r="M4737" s="73"/>
      <c r="N4737" s="73"/>
      <c r="O4737" s="73"/>
      <c r="P4737" s="73"/>
      <c r="Q4737" s="73"/>
      <c r="R4737" s="73"/>
      <c r="S4737" s="73"/>
      <c r="T4737" s="73"/>
      <c r="U4737" s="73"/>
      <c r="V4737" s="73"/>
      <c r="W4737" s="73"/>
      <c r="X4737" s="73"/>
      <c r="Y4737" s="73"/>
      <c r="Z4737" s="73"/>
      <c r="AA4737" s="73"/>
      <c r="AB4737" s="73"/>
    </row>
    <row r="4738">
      <c r="A4738" s="73"/>
      <c r="B4738" s="73">
        <v>2.180220425E7</v>
      </c>
      <c r="C4738" s="73">
        <v>7.87429737487625E8</v>
      </c>
      <c r="D4738" s="73">
        <v>4.40689069788002E8</v>
      </c>
      <c r="E4738" s="73">
        <v>6.6458758506772E7</v>
      </c>
      <c r="F4738" s="73"/>
      <c r="G4738" s="73"/>
      <c r="H4738" s="73"/>
      <c r="I4738" s="73"/>
      <c r="J4738" s="73"/>
      <c r="K4738" s="73"/>
      <c r="L4738" s="73"/>
      <c r="M4738" s="73"/>
      <c r="N4738" s="73"/>
      <c r="O4738" s="73"/>
      <c r="P4738" s="73"/>
      <c r="Q4738" s="73"/>
      <c r="R4738" s="73"/>
      <c r="S4738" s="73"/>
      <c r="T4738" s="73"/>
      <c r="U4738" s="73"/>
      <c r="V4738" s="73"/>
      <c r="W4738" s="73"/>
      <c r="X4738" s="73"/>
      <c r="Y4738" s="73"/>
      <c r="Z4738" s="73"/>
      <c r="AA4738" s="73"/>
      <c r="AB4738" s="73"/>
    </row>
    <row r="4739">
      <c r="A4739" s="73"/>
      <c r="B4739" s="73">
        <v>2.182686294E7</v>
      </c>
      <c r="C4739" s="73">
        <v>7.87882212355057E8</v>
      </c>
      <c r="D4739" s="73">
        <v>4.40984558567996E8</v>
      </c>
      <c r="E4739" s="73">
        <v>6.65077709486382E7</v>
      </c>
      <c r="F4739" s="73"/>
      <c r="G4739" s="73"/>
      <c r="H4739" s="73"/>
      <c r="I4739" s="73"/>
      <c r="J4739" s="73"/>
      <c r="K4739" s="73"/>
      <c r="L4739" s="73"/>
      <c r="M4739" s="73"/>
      <c r="N4739" s="73"/>
      <c r="O4739" s="73"/>
      <c r="P4739" s="73"/>
      <c r="Q4739" s="73"/>
      <c r="R4739" s="73"/>
      <c r="S4739" s="73"/>
      <c r="T4739" s="73"/>
      <c r="U4739" s="73"/>
      <c r="V4739" s="73"/>
      <c r="W4739" s="73"/>
      <c r="X4739" s="73"/>
      <c r="Y4739" s="73"/>
      <c r="Z4739" s="73"/>
      <c r="AA4739" s="73"/>
      <c r="AB4739" s="73"/>
    </row>
    <row r="4740">
      <c r="A4740" s="73"/>
      <c r="B4740" s="73">
        <v>2.185154215E7</v>
      </c>
      <c r="C4740" s="73">
        <v>7.88334819062485E8</v>
      </c>
      <c r="D4740" s="73">
        <v>4.41280129875989E8</v>
      </c>
      <c r="E4740" s="73">
        <v>6.6556811211687E7</v>
      </c>
      <c r="F4740" s="73"/>
      <c r="G4740" s="73"/>
      <c r="H4740" s="73"/>
      <c r="I4740" s="73"/>
      <c r="J4740" s="73"/>
      <c r="K4740" s="73"/>
      <c r="L4740" s="73"/>
      <c r="M4740" s="73"/>
      <c r="N4740" s="73"/>
      <c r="O4740" s="73"/>
      <c r="P4740" s="73"/>
      <c r="Q4740" s="73"/>
      <c r="R4740" s="73"/>
      <c r="S4740" s="73"/>
      <c r="T4740" s="73"/>
      <c r="U4740" s="73"/>
      <c r="V4740" s="73"/>
      <c r="W4740" s="73"/>
      <c r="X4740" s="73"/>
      <c r="Y4740" s="73"/>
      <c r="Z4740" s="73"/>
      <c r="AA4740" s="73"/>
      <c r="AB4740" s="73"/>
    </row>
    <row r="4741">
      <c r="A4741" s="73"/>
      <c r="B4741" s="73">
        <v>2.187624208E7</v>
      </c>
      <c r="C4741" s="73">
        <v>7.88787491689911E8</v>
      </c>
      <c r="D4741" s="73">
        <v>4.41575866239998E8</v>
      </c>
      <c r="E4741" s="73">
        <v>6.66058710940626E7</v>
      </c>
      <c r="F4741" s="73"/>
      <c r="G4741" s="73"/>
      <c r="H4741" s="73"/>
      <c r="I4741" s="73"/>
      <c r="J4741" s="73"/>
      <c r="K4741" s="73"/>
      <c r="L4741" s="73"/>
      <c r="M4741" s="73"/>
      <c r="N4741" s="73"/>
      <c r="O4741" s="73"/>
      <c r="P4741" s="73"/>
      <c r="Q4741" s="73"/>
      <c r="R4741" s="73"/>
      <c r="S4741" s="73"/>
      <c r="T4741" s="73"/>
      <c r="U4741" s="73"/>
      <c r="V4741" s="73"/>
      <c r="W4741" s="73"/>
      <c r="X4741" s="73"/>
      <c r="Y4741" s="73"/>
      <c r="Z4741" s="73"/>
      <c r="AA4741" s="73"/>
      <c r="AB4741" s="73"/>
    </row>
    <row r="4742">
      <c r="A4742" s="73"/>
      <c r="B4742" s="73">
        <v>2.190096272E7</v>
      </c>
      <c r="C4742" s="73">
        <v>7.8924042799733E8</v>
      </c>
      <c r="D4742" s="73">
        <v>4.41871726379991E8</v>
      </c>
      <c r="E4742" s="73">
        <v>6.6654954696693E7</v>
      </c>
      <c r="F4742" s="73"/>
      <c r="G4742" s="73"/>
      <c r="H4742" s="73"/>
      <c r="I4742" s="73"/>
      <c r="J4742" s="73"/>
      <c r="K4742" s="73"/>
      <c r="L4742" s="73"/>
      <c r="M4742" s="73"/>
      <c r="N4742" s="73"/>
      <c r="O4742" s="73"/>
      <c r="P4742" s="73"/>
      <c r="Q4742" s="73"/>
      <c r="R4742" s="73"/>
      <c r="S4742" s="73"/>
      <c r="T4742" s="73"/>
      <c r="U4742" s="73"/>
      <c r="V4742" s="73"/>
      <c r="W4742" s="73"/>
      <c r="X4742" s="73"/>
      <c r="Y4742" s="73"/>
      <c r="Z4742" s="73"/>
      <c r="AA4742" s="73"/>
      <c r="AB4742" s="73"/>
    </row>
    <row r="4743">
      <c r="A4743" s="73"/>
      <c r="B4743" s="73">
        <v>2.192570434E7</v>
      </c>
      <c r="C4743" s="73">
        <v>7.89693496144745E8</v>
      </c>
      <c r="D4743" s="73">
        <v>4.42167710039999E8</v>
      </c>
      <c r="E4743" s="73">
        <v>6.67040597842503E7</v>
      </c>
      <c r="F4743" s="73"/>
      <c r="G4743" s="73"/>
      <c r="H4743" s="73"/>
      <c r="I4743" s="73"/>
      <c r="J4743" s="73"/>
      <c r="K4743" s="73"/>
      <c r="L4743" s="73"/>
      <c r="M4743" s="73"/>
      <c r="N4743" s="73"/>
      <c r="O4743" s="73"/>
      <c r="P4743" s="73"/>
      <c r="Q4743" s="73"/>
      <c r="R4743" s="73"/>
      <c r="S4743" s="73"/>
      <c r="T4743" s="73"/>
      <c r="U4743" s="73"/>
      <c r="V4743" s="73"/>
      <c r="W4743" s="73"/>
      <c r="X4743" s="73"/>
      <c r="Y4743" s="73"/>
      <c r="Z4743" s="73"/>
      <c r="AA4743" s="73"/>
      <c r="AB4743" s="73"/>
    </row>
    <row r="4744">
      <c r="A4744" s="73"/>
      <c r="B4744" s="73">
        <v>2.195046677E7</v>
      </c>
      <c r="C4744" s="73">
        <v>7.90146696132156E8</v>
      </c>
      <c r="D4744" s="73">
        <v>4.42463817475993E8</v>
      </c>
      <c r="E4744" s="73">
        <v>6.67531903728621E7</v>
      </c>
      <c r="F4744" s="73"/>
      <c r="G4744" s="73"/>
      <c r="H4744" s="73"/>
      <c r="I4744" s="73"/>
      <c r="J4744" s="73"/>
      <c r="K4744" s="73"/>
      <c r="L4744" s="73"/>
      <c r="M4744" s="73"/>
      <c r="N4744" s="73"/>
      <c r="O4744" s="73"/>
      <c r="P4744" s="73"/>
      <c r="Q4744" s="73"/>
      <c r="R4744" s="73"/>
      <c r="S4744" s="73"/>
      <c r="T4744" s="73"/>
      <c r="U4744" s="73"/>
      <c r="V4744" s="73"/>
      <c r="W4744" s="73"/>
      <c r="X4744" s="73"/>
      <c r="Y4744" s="73"/>
      <c r="Z4744" s="73"/>
      <c r="AA4744" s="73"/>
      <c r="AB4744" s="73"/>
    </row>
    <row r="4745">
      <c r="A4745" s="73"/>
      <c r="B4745" s="73">
        <v>2.197524988E7</v>
      </c>
      <c r="C4745" s="73">
        <v>7.90600093879562E8</v>
      </c>
      <c r="D4745" s="73">
        <v>4.42760049008001E8</v>
      </c>
      <c r="E4745" s="73">
        <v>6.68023450209287E7</v>
      </c>
      <c r="F4745" s="73"/>
      <c r="G4745" s="73"/>
      <c r="H4745" s="73"/>
      <c r="I4745" s="73"/>
      <c r="J4745" s="73"/>
      <c r="K4745" s="73"/>
      <c r="L4745" s="73"/>
      <c r="M4745" s="73"/>
      <c r="N4745" s="73"/>
      <c r="O4745" s="73"/>
      <c r="P4745" s="73"/>
      <c r="Q4745" s="73"/>
      <c r="R4745" s="73"/>
      <c r="S4745" s="73"/>
      <c r="T4745" s="73"/>
      <c r="U4745" s="73"/>
      <c r="V4745" s="73"/>
      <c r="W4745" s="73"/>
      <c r="X4745" s="73"/>
      <c r="Y4745" s="73"/>
      <c r="Z4745" s="73"/>
      <c r="AA4745" s="73"/>
      <c r="AB4745" s="73"/>
    </row>
    <row r="4746">
      <c r="A4746" s="73"/>
      <c r="B4746" s="73">
        <v>2.200005379E7</v>
      </c>
      <c r="C4746" s="73">
        <v>7.91053755306961E8</v>
      </c>
      <c r="D4746" s="73">
        <v>4.43056404027995E8</v>
      </c>
      <c r="E4746" s="73">
        <v>6.68515212692501E7</v>
      </c>
      <c r="F4746" s="73"/>
      <c r="G4746" s="73"/>
      <c r="H4746" s="73"/>
      <c r="I4746" s="73"/>
      <c r="J4746" s="73"/>
      <c r="K4746" s="73"/>
      <c r="L4746" s="73"/>
      <c r="M4746" s="73"/>
      <c r="N4746" s="73"/>
      <c r="O4746" s="73"/>
      <c r="P4746" s="73"/>
      <c r="Q4746" s="73"/>
      <c r="R4746" s="73"/>
      <c r="S4746" s="73"/>
      <c r="T4746" s="73"/>
      <c r="U4746" s="73"/>
      <c r="V4746" s="73"/>
      <c r="W4746" s="73"/>
      <c r="X4746" s="73"/>
      <c r="Y4746" s="73"/>
      <c r="Z4746" s="73"/>
      <c r="AA4746" s="73"/>
      <c r="AB4746" s="73"/>
    </row>
    <row r="4747">
      <c r="A4747" s="73"/>
      <c r="B4747" s="73">
        <v>2.202487833E7</v>
      </c>
      <c r="C4747" s="73">
        <v>7.9150741673436E8</v>
      </c>
      <c r="D4747" s="73">
        <v>4.43352923496003E8</v>
      </c>
      <c r="E4747" s="73">
        <v>6.69007231034261E7</v>
      </c>
      <c r="F4747" s="73"/>
      <c r="G4747" s="73"/>
      <c r="H4747" s="73"/>
      <c r="I4747" s="73"/>
      <c r="J4747" s="73"/>
      <c r="K4747" s="73"/>
      <c r="L4747" s="73"/>
      <c r="M4747" s="73"/>
      <c r="N4747" s="73"/>
      <c r="O4747" s="73"/>
      <c r="P4747" s="73"/>
      <c r="Q4747" s="73"/>
      <c r="R4747" s="73"/>
      <c r="S4747" s="73"/>
      <c r="T4747" s="73"/>
      <c r="U4747" s="73"/>
      <c r="V4747" s="73"/>
      <c r="W4747" s="73"/>
      <c r="X4747" s="73"/>
      <c r="Y4747" s="73"/>
      <c r="Z4747" s="73"/>
      <c r="AA4747" s="73"/>
      <c r="AB4747" s="73"/>
    </row>
    <row r="4748">
      <c r="A4748" s="73"/>
      <c r="B4748" s="73">
        <v>2.204972403E7</v>
      </c>
      <c r="C4748" s="73">
        <v>7.91961275921753E8</v>
      </c>
      <c r="D4748" s="73">
        <v>4.43649526099996E8</v>
      </c>
      <c r="E4748" s="73">
        <v>6.6949945150529E7</v>
      </c>
      <c r="F4748" s="73"/>
      <c r="G4748" s="73"/>
      <c r="H4748" s="73"/>
      <c r="I4748" s="73"/>
      <c r="J4748" s="73"/>
      <c r="K4748" s="73"/>
      <c r="L4748" s="73"/>
      <c r="M4748" s="73"/>
      <c r="N4748" s="73"/>
      <c r="O4748" s="73"/>
      <c r="P4748" s="73"/>
      <c r="Q4748" s="73"/>
      <c r="R4748" s="73"/>
      <c r="S4748" s="73"/>
      <c r="T4748" s="73"/>
      <c r="U4748" s="73"/>
      <c r="V4748" s="73"/>
      <c r="W4748" s="73"/>
      <c r="X4748" s="73"/>
      <c r="Y4748" s="73"/>
      <c r="Z4748" s="73"/>
      <c r="AA4748" s="73"/>
      <c r="AB4748" s="73"/>
    </row>
    <row r="4749">
      <c r="A4749" s="73"/>
      <c r="B4749" s="73">
        <v>2.207459046E7</v>
      </c>
      <c r="C4749" s="73">
        <v>7.92415332869141E8</v>
      </c>
      <c r="D4749" s="73">
        <v>4.4394629347199E8</v>
      </c>
      <c r="E4749" s="73">
        <v>6.69991921898866E7</v>
      </c>
      <c r="F4749" s="73"/>
      <c r="G4749" s="73"/>
      <c r="H4749" s="73"/>
      <c r="I4749" s="73"/>
      <c r="J4749" s="73"/>
      <c r="K4749" s="73"/>
      <c r="L4749" s="73"/>
      <c r="M4749" s="73"/>
      <c r="N4749" s="73"/>
      <c r="O4749" s="73"/>
      <c r="P4749" s="73"/>
      <c r="Q4749" s="73"/>
      <c r="R4749" s="73"/>
      <c r="S4749" s="73"/>
      <c r="T4749" s="73"/>
      <c r="U4749" s="73"/>
      <c r="V4749" s="73"/>
      <c r="W4749" s="73"/>
      <c r="X4749" s="73"/>
      <c r="Y4749" s="73"/>
      <c r="Z4749" s="73"/>
      <c r="AA4749" s="73"/>
      <c r="AB4749" s="73"/>
    </row>
    <row r="4750">
      <c r="A4750" s="73"/>
      <c r="B4750" s="73">
        <v>2.209947769E7</v>
      </c>
      <c r="C4750" s="73">
        <v>7.92869587576523E8</v>
      </c>
      <c r="D4750" s="73">
        <v>4.44243184299998E8</v>
      </c>
      <c r="E4750" s="73">
        <v>6.7048459442171E7</v>
      </c>
      <c r="F4750" s="73"/>
      <c r="G4750" s="73"/>
      <c r="H4750" s="73"/>
      <c r="I4750" s="73"/>
      <c r="J4750" s="73"/>
      <c r="K4750" s="73"/>
      <c r="L4750" s="73"/>
      <c r="M4750" s="73"/>
      <c r="N4750" s="73"/>
      <c r="O4750" s="73"/>
      <c r="P4750" s="73"/>
      <c r="Q4750" s="73"/>
      <c r="R4750" s="73"/>
      <c r="S4750" s="73"/>
      <c r="T4750" s="73"/>
      <c r="U4750" s="73"/>
      <c r="V4750" s="73"/>
      <c r="W4750" s="73"/>
      <c r="X4750" s="73"/>
      <c r="Y4750" s="73"/>
      <c r="Z4750" s="73"/>
      <c r="AA4750" s="73"/>
      <c r="AB4750" s="73"/>
    </row>
    <row r="4751">
      <c r="A4751" s="73"/>
      <c r="B4751" s="73">
        <v>2.21243854E7</v>
      </c>
      <c r="C4751" s="73">
        <v>7.93323974123901E8</v>
      </c>
      <c r="D4751" s="73">
        <v>4.44540199255991E8</v>
      </c>
      <c r="E4751" s="73">
        <v>6.7097754939638E7</v>
      </c>
      <c r="F4751" s="73"/>
      <c r="G4751" s="73"/>
      <c r="H4751" s="73"/>
      <c r="I4751" s="73"/>
      <c r="J4751" s="73"/>
      <c r="K4751" s="73"/>
      <c r="L4751" s="73"/>
      <c r="M4751" s="73"/>
      <c r="N4751" s="73"/>
      <c r="O4751" s="73"/>
      <c r="P4751" s="73"/>
      <c r="Q4751" s="73"/>
      <c r="R4751" s="73"/>
      <c r="S4751" s="73"/>
      <c r="T4751" s="73"/>
      <c r="U4751" s="73"/>
      <c r="V4751" s="73"/>
      <c r="W4751" s="73"/>
      <c r="X4751" s="73"/>
      <c r="Y4751" s="73"/>
      <c r="Z4751" s="73"/>
      <c r="AA4751" s="73"/>
      <c r="AB4751" s="73"/>
    </row>
    <row r="4752">
      <c r="A4752" s="73"/>
      <c r="B4752" s="73">
        <v>2.214931432E7</v>
      </c>
      <c r="C4752" s="73">
        <v>7.93778426591278E8</v>
      </c>
      <c r="D4752" s="73">
        <v>4.4483733738E8</v>
      </c>
      <c r="E4752" s="73">
        <v>6.71470705652318E7</v>
      </c>
      <c r="F4752" s="73"/>
      <c r="G4752" s="73"/>
      <c r="H4752" s="73"/>
      <c r="I4752" s="73"/>
      <c r="J4752" s="73"/>
      <c r="K4752" s="73"/>
      <c r="L4752" s="73"/>
      <c r="M4752" s="73"/>
      <c r="N4752" s="73"/>
      <c r="O4752" s="73"/>
      <c r="P4752" s="73"/>
      <c r="Q4752" s="73"/>
      <c r="R4752" s="73"/>
      <c r="S4752" s="73"/>
      <c r="T4752" s="73"/>
      <c r="U4752" s="73"/>
      <c r="V4752" s="73"/>
      <c r="W4752" s="73"/>
      <c r="X4752" s="73"/>
      <c r="Y4752" s="73"/>
      <c r="Z4752" s="73"/>
      <c r="AA4752" s="73"/>
      <c r="AB4752" s="73"/>
    </row>
    <row r="4753">
      <c r="A4753" s="73"/>
      <c r="B4753" s="73">
        <v>2.217426402E7</v>
      </c>
      <c r="C4753" s="73">
        <v>7.94233208658646E8</v>
      </c>
      <c r="D4753" s="73">
        <v>4.45134599599993E8</v>
      </c>
      <c r="E4753" s="73">
        <v>6.71964097414805E7</v>
      </c>
      <c r="F4753" s="73"/>
      <c r="G4753" s="73"/>
      <c r="H4753" s="73"/>
      <c r="I4753" s="73"/>
      <c r="J4753" s="73"/>
      <c r="K4753" s="73"/>
      <c r="L4753" s="73"/>
      <c r="M4753" s="73"/>
      <c r="N4753" s="73"/>
      <c r="O4753" s="73"/>
      <c r="P4753" s="73"/>
      <c r="Q4753" s="73"/>
      <c r="R4753" s="73"/>
      <c r="S4753" s="73"/>
      <c r="T4753" s="73"/>
      <c r="U4753" s="73"/>
      <c r="V4753" s="73"/>
      <c r="W4753" s="73"/>
      <c r="X4753" s="73"/>
      <c r="Y4753" s="73"/>
      <c r="Z4753" s="73"/>
      <c r="AA4753" s="73"/>
      <c r="AB4753" s="73"/>
    </row>
    <row r="4754">
      <c r="A4754" s="73"/>
      <c r="B4754" s="73">
        <v>2.219923511E7</v>
      </c>
      <c r="C4754" s="73">
        <v>7.94688056646011E8</v>
      </c>
      <c r="D4754" s="73">
        <v>4.45432026588002E8</v>
      </c>
      <c r="E4754" s="73">
        <v>6.72457715898558E7</v>
      </c>
      <c r="F4754" s="73"/>
      <c r="G4754" s="73"/>
      <c r="H4754" s="73"/>
      <c r="I4754" s="73"/>
      <c r="J4754" s="73"/>
      <c r="K4754" s="73"/>
      <c r="L4754" s="73"/>
      <c r="M4754" s="73"/>
      <c r="N4754" s="73"/>
      <c r="O4754" s="73"/>
      <c r="P4754" s="73"/>
      <c r="Q4754" s="73"/>
      <c r="R4754" s="73"/>
      <c r="S4754" s="73"/>
      <c r="T4754" s="73"/>
      <c r="U4754" s="73"/>
      <c r="V4754" s="73"/>
      <c r="W4754" s="73"/>
      <c r="X4754" s="73"/>
      <c r="Y4754" s="73"/>
      <c r="Z4754" s="73"/>
      <c r="AA4754" s="73"/>
      <c r="AB4754" s="73"/>
    </row>
    <row r="4755">
      <c r="A4755" s="73"/>
      <c r="B4755" s="73">
        <v>2.222422644E7</v>
      </c>
      <c r="C4755" s="73">
        <v>7.95143102393372E8</v>
      </c>
      <c r="D4755" s="73">
        <v>4.45729536391995E8</v>
      </c>
      <c r="E4755" s="73">
        <v>6.72951589698138E7</v>
      </c>
      <c r="F4755" s="73"/>
      <c r="G4755" s="73"/>
      <c r="H4755" s="73"/>
      <c r="I4755" s="73"/>
      <c r="J4755" s="73"/>
      <c r="K4755" s="73"/>
      <c r="L4755" s="73"/>
      <c r="M4755" s="73"/>
      <c r="N4755" s="73"/>
      <c r="O4755" s="73"/>
      <c r="P4755" s="73"/>
      <c r="Q4755" s="73"/>
      <c r="R4755" s="73"/>
      <c r="S4755" s="73"/>
      <c r="T4755" s="73"/>
      <c r="U4755" s="73"/>
      <c r="V4755" s="73"/>
      <c r="W4755" s="73"/>
      <c r="X4755" s="73"/>
      <c r="Y4755" s="73"/>
      <c r="Z4755" s="73"/>
      <c r="AA4755" s="73"/>
      <c r="AB4755" s="73"/>
    </row>
    <row r="4756">
      <c r="A4756" s="73"/>
      <c r="B4756" s="73">
        <v>2.224923823E7</v>
      </c>
      <c r="C4756" s="73">
        <v>7.95598279980728E8</v>
      </c>
      <c r="D4756" s="73">
        <v>4.46027210643988E8</v>
      </c>
      <c r="E4756" s="73">
        <v>6.73445689370986E7</v>
      </c>
      <c r="F4756" s="73"/>
      <c r="G4756" s="73"/>
      <c r="H4756" s="73"/>
      <c r="I4756" s="73"/>
      <c r="J4756" s="73"/>
      <c r="K4756" s="73"/>
      <c r="L4756" s="73"/>
      <c r="M4756" s="73"/>
      <c r="N4756" s="73"/>
      <c r="O4756" s="73"/>
      <c r="P4756" s="73"/>
      <c r="Q4756" s="73"/>
      <c r="R4756" s="73"/>
      <c r="S4756" s="73"/>
      <c r="T4756" s="73"/>
      <c r="U4756" s="73"/>
      <c r="V4756" s="73"/>
      <c r="W4756" s="73"/>
      <c r="X4756" s="73"/>
      <c r="Y4756" s="73"/>
      <c r="Z4756" s="73"/>
      <c r="AA4756" s="73"/>
      <c r="AB4756" s="73"/>
    </row>
    <row r="4757">
      <c r="A4757" s="73"/>
      <c r="B4757" s="73">
        <v>2.227427155E7</v>
      </c>
      <c r="C4757" s="73">
        <v>7.96053655328079E8</v>
      </c>
      <c r="D4757" s="73">
        <v>4.46324967743997E8</v>
      </c>
      <c r="E4757" s="73">
        <v>6.73939977605103E7</v>
      </c>
      <c r="F4757" s="73"/>
      <c r="G4757" s="73"/>
      <c r="H4757" s="73"/>
      <c r="I4757" s="73"/>
      <c r="J4757" s="73"/>
      <c r="K4757" s="73"/>
      <c r="L4757" s="73"/>
      <c r="M4757" s="73"/>
      <c r="N4757" s="73"/>
      <c r="O4757" s="73"/>
      <c r="P4757" s="73"/>
      <c r="Q4757" s="73"/>
      <c r="R4757" s="73"/>
      <c r="S4757" s="73"/>
      <c r="T4757" s="73"/>
      <c r="U4757" s="73"/>
      <c r="V4757" s="73"/>
      <c r="W4757" s="73"/>
      <c r="X4757" s="73"/>
      <c r="Y4757" s="73"/>
      <c r="Z4757" s="73"/>
      <c r="AA4757" s="73"/>
      <c r="AB4757" s="73"/>
    </row>
    <row r="4758">
      <c r="A4758" s="73"/>
      <c r="B4758" s="73">
        <v>2.229932579E7</v>
      </c>
      <c r="C4758" s="73">
        <v>7.96509162515427E8</v>
      </c>
      <c r="D4758" s="73">
        <v>4.4662288989999E8</v>
      </c>
      <c r="E4758" s="73">
        <v>6.74434560163045E7</v>
      </c>
      <c r="F4758" s="73"/>
      <c r="G4758" s="73"/>
      <c r="H4758" s="73"/>
      <c r="I4758" s="73"/>
      <c r="J4758" s="73"/>
      <c r="K4758" s="73"/>
      <c r="L4758" s="73"/>
      <c r="M4758" s="73"/>
      <c r="N4758" s="73"/>
      <c r="O4758" s="73"/>
      <c r="P4758" s="73"/>
      <c r="Q4758" s="73"/>
      <c r="R4758" s="73"/>
      <c r="S4758" s="73"/>
      <c r="T4758" s="73"/>
      <c r="U4758" s="73"/>
      <c r="V4758" s="73"/>
      <c r="W4758" s="73"/>
      <c r="X4758" s="73"/>
      <c r="Y4758" s="73"/>
      <c r="Z4758" s="73"/>
      <c r="AA4758" s="73"/>
      <c r="AB4758" s="73"/>
    </row>
    <row r="4759">
      <c r="A4759" s="73"/>
      <c r="B4759" s="73">
        <v>2.232440068E7</v>
      </c>
      <c r="C4759" s="73">
        <v>7.96964999302765E8</v>
      </c>
      <c r="D4759" s="73">
        <v>4.46920935543999E8</v>
      </c>
      <c r="E4759" s="73">
        <v>6.74929327042257E7</v>
      </c>
      <c r="F4759" s="73"/>
      <c r="G4759" s="73"/>
      <c r="H4759" s="73"/>
      <c r="I4759" s="73"/>
      <c r="J4759" s="73"/>
      <c r="K4759" s="73"/>
      <c r="L4759" s="73"/>
      <c r="M4759" s="73"/>
      <c r="N4759" s="73"/>
      <c r="O4759" s="73"/>
      <c r="P4759" s="73"/>
      <c r="Q4759" s="73"/>
      <c r="R4759" s="73"/>
      <c r="S4759" s="73"/>
      <c r="T4759" s="73"/>
      <c r="U4759" s="73"/>
      <c r="V4759" s="73"/>
      <c r="W4759" s="73"/>
      <c r="X4759" s="73"/>
      <c r="Y4759" s="73"/>
      <c r="Z4759" s="73"/>
      <c r="AA4759" s="73"/>
      <c r="AB4759" s="73"/>
    </row>
    <row r="4760">
      <c r="A4760" s="73"/>
      <c r="B4760" s="73">
        <v>2.234949649E7</v>
      </c>
      <c r="C4760" s="73">
        <v>7.97420836090103E8</v>
      </c>
      <c r="D4760" s="73">
        <v>4.47219104963992E8</v>
      </c>
      <c r="E4760" s="73">
        <v>6.75424367588014E7</v>
      </c>
      <c r="F4760" s="73"/>
      <c r="G4760" s="73"/>
      <c r="H4760" s="73"/>
      <c r="I4760" s="73"/>
      <c r="J4760" s="73"/>
      <c r="K4760" s="73"/>
      <c r="L4760" s="73"/>
      <c r="M4760" s="73"/>
      <c r="N4760" s="73"/>
      <c r="O4760" s="73"/>
      <c r="P4760" s="73"/>
      <c r="Q4760" s="73"/>
      <c r="R4760" s="73"/>
      <c r="S4760" s="73"/>
      <c r="T4760" s="73"/>
      <c r="U4760" s="73"/>
      <c r="V4760" s="73"/>
      <c r="W4760" s="73"/>
      <c r="X4760" s="73"/>
      <c r="Y4760" s="73"/>
      <c r="Z4760" s="73"/>
      <c r="AA4760" s="73"/>
      <c r="AB4760" s="73"/>
    </row>
    <row r="4761">
      <c r="A4761" s="73"/>
      <c r="B4761" s="73">
        <v>2.237461246E7</v>
      </c>
      <c r="C4761" s="73">
        <v>7.97876870637436E8</v>
      </c>
      <c r="D4761" s="73">
        <v>4.47517438832001E8</v>
      </c>
      <c r="E4761" s="73">
        <v>6.75919613112319E7</v>
      </c>
      <c r="F4761" s="73"/>
      <c r="G4761" s="73"/>
      <c r="H4761" s="73"/>
      <c r="I4761" s="73"/>
      <c r="J4761" s="73"/>
      <c r="K4761" s="73"/>
      <c r="L4761" s="73"/>
      <c r="M4761" s="73"/>
      <c r="N4761" s="73"/>
      <c r="O4761" s="73"/>
      <c r="P4761" s="73"/>
      <c r="Q4761" s="73"/>
      <c r="R4761" s="73"/>
      <c r="S4761" s="73"/>
      <c r="T4761" s="73"/>
      <c r="U4761" s="73"/>
      <c r="V4761" s="73"/>
      <c r="W4761" s="73"/>
      <c r="X4761" s="73"/>
      <c r="Y4761" s="73"/>
      <c r="Z4761" s="73"/>
      <c r="AA4761" s="73"/>
      <c r="AB4761" s="73"/>
    </row>
    <row r="4762">
      <c r="A4762" s="73"/>
      <c r="B4762" s="73">
        <v>2.239975042E7</v>
      </c>
      <c r="C4762" s="73">
        <v>7.98333037024765E8</v>
      </c>
      <c r="D4762" s="73">
        <v>4.47815855835994E8</v>
      </c>
      <c r="E4762" s="73">
        <v>6.76415101469892E7</v>
      </c>
      <c r="F4762" s="73"/>
      <c r="G4762" s="73"/>
      <c r="H4762" s="73"/>
      <c r="I4762" s="73"/>
      <c r="J4762" s="73"/>
      <c r="K4762" s="73"/>
      <c r="L4762" s="73"/>
      <c r="M4762" s="73"/>
      <c r="N4762" s="73"/>
      <c r="O4762" s="73"/>
      <c r="P4762" s="73"/>
      <c r="Q4762" s="73"/>
      <c r="R4762" s="73"/>
      <c r="S4762" s="73"/>
      <c r="T4762" s="73"/>
      <c r="U4762" s="73"/>
      <c r="V4762" s="73"/>
      <c r="W4762" s="73"/>
      <c r="X4762" s="73"/>
      <c r="Y4762" s="73"/>
      <c r="Z4762" s="73"/>
      <c r="AA4762" s="73"/>
      <c r="AB4762" s="73"/>
    </row>
    <row r="4763">
      <c r="A4763" s="73"/>
      <c r="B4763" s="73">
        <v>2.24249085E7</v>
      </c>
      <c r="C4763" s="73">
        <v>7.98789401172089E8</v>
      </c>
      <c r="D4763" s="73">
        <v>4.48114396360002E8</v>
      </c>
      <c r="E4763" s="73">
        <v>6.76910825639292E7</v>
      </c>
      <c r="F4763" s="73"/>
      <c r="G4763" s="73"/>
      <c r="H4763" s="73"/>
      <c r="I4763" s="73"/>
      <c r="J4763" s="73"/>
      <c r="K4763" s="73"/>
      <c r="L4763" s="73"/>
      <c r="M4763" s="73"/>
      <c r="N4763" s="73"/>
      <c r="O4763" s="73"/>
      <c r="P4763" s="73"/>
      <c r="Q4763" s="73"/>
      <c r="R4763" s="73"/>
      <c r="S4763" s="73"/>
      <c r="T4763" s="73"/>
      <c r="U4763" s="73"/>
      <c r="V4763" s="73"/>
      <c r="W4763" s="73"/>
      <c r="X4763" s="73"/>
      <c r="Y4763" s="73"/>
      <c r="Z4763" s="73"/>
      <c r="AA4763" s="73"/>
      <c r="AB4763" s="73"/>
    </row>
    <row r="4764">
      <c r="A4764" s="73"/>
      <c r="B4764" s="73">
        <v>2.245008823E7</v>
      </c>
      <c r="C4764" s="73">
        <v>7.99245897159409E8</v>
      </c>
      <c r="D4764" s="73">
        <v>4.48413101907996E8</v>
      </c>
      <c r="E4764" s="73">
        <v>6.77406792641959E7</v>
      </c>
      <c r="F4764" s="73"/>
      <c r="G4764" s="73"/>
      <c r="H4764" s="73"/>
      <c r="I4764" s="73"/>
      <c r="J4764" s="73"/>
      <c r="K4764" s="73"/>
      <c r="L4764" s="73"/>
      <c r="M4764" s="73"/>
      <c r="N4764" s="73"/>
      <c r="O4764" s="73"/>
      <c r="P4764" s="73"/>
      <c r="Q4764" s="73"/>
      <c r="R4764" s="73"/>
      <c r="S4764" s="73"/>
      <c r="T4764" s="73"/>
      <c r="U4764" s="73"/>
      <c r="V4764" s="73"/>
      <c r="W4764" s="73"/>
      <c r="X4764" s="73"/>
      <c r="Y4764" s="73"/>
      <c r="Z4764" s="73"/>
      <c r="AA4764" s="73"/>
      <c r="AB4764" s="73"/>
    </row>
    <row r="4765">
      <c r="A4765" s="73"/>
      <c r="B4765" s="73">
        <v>2.247528844E7</v>
      </c>
      <c r="C4765" s="73">
        <v>7.99702590906723E8</v>
      </c>
      <c r="D4765" s="73">
        <v>4.48711930655989E8</v>
      </c>
      <c r="E4765" s="73">
        <v>6.77902952445896E7</v>
      </c>
      <c r="F4765" s="73"/>
      <c r="G4765" s="73"/>
      <c r="H4765" s="73"/>
      <c r="I4765" s="73"/>
      <c r="J4765" s="73"/>
      <c r="K4765" s="73"/>
      <c r="L4765" s="73"/>
      <c r="M4765" s="73"/>
      <c r="N4765" s="73"/>
      <c r="O4765" s="73"/>
      <c r="P4765" s="73"/>
      <c r="Q4765" s="73"/>
      <c r="R4765" s="73"/>
      <c r="S4765" s="73"/>
      <c r="T4765" s="73"/>
      <c r="U4765" s="73"/>
      <c r="V4765" s="73"/>
      <c r="W4765" s="73"/>
      <c r="X4765" s="73"/>
      <c r="Y4765" s="73"/>
      <c r="Z4765" s="73"/>
      <c r="AA4765" s="73"/>
      <c r="AB4765" s="73"/>
    </row>
    <row r="4766">
      <c r="A4766" s="73"/>
      <c r="B4766" s="73">
        <v>2.250050949E7</v>
      </c>
      <c r="C4766" s="73">
        <v>8.00159416494034E8</v>
      </c>
      <c r="D4766" s="73">
        <v>4.49010883787998E8</v>
      </c>
      <c r="E4766" s="73">
        <v>6.78399391309657E7</v>
      </c>
      <c r="F4766" s="73"/>
      <c r="G4766" s="73"/>
      <c r="H4766" s="73"/>
      <c r="I4766" s="73"/>
      <c r="J4766" s="73"/>
      <c r="K4766" s="73"/>
      <c r="L4766" s="73"/>
      <c r="M4766" s="73"/>
      <c r="N4766" s="73"/>
      <c r="O4766" s="73"/>
      <c r="P4766" s="73"/>
      <c r="Q4766" s="73"/>
      <c r="R4766" s="73"/>
      <c r="S4766" s="73"/>
      <c r="T4766" s="73"/>
      <c r="U4766" s="73"/>
      <c r="V4766" s="73"/>
      <c r="W4766" s="73"/>
      <c r="X4766" s="73"/>
      <c r="Y4766" s="73"/>
      <c r="Z4766" s="73"/>
      <c r="AA4766" s="73"/>
      <c r="AB4766" s="73"/>
    </row>
    <row r="4767">
      <c r="A4767" s="73"/>
      <c r="B4767" s="73">
        <v>2.252575125E7</v>
      </c>
      <c r="C4767" s="73">
        <v>8.00616439841339E8</v>
      </c>
      <c r="D4767" s="73">
        <v>4.49309919159991E8</v>
      </c>
      <c r="E4767" s="73">
        <v>6.78896044174687E7</v>
      </c>
      <c r="F4767" s="73"/>
      <c r="G4767" s="73"/>
      <c r="H4767" s="73"/>
      <c r="I4767" s="73"/>
      <c r="J4767" s="73"/>
      <c r="K4767" s="73"/>
      <c r="L4767" s="73"/>
      <c r="M4767" s="73"/>
      <c r="N4767" s="73"/>
      <c r="O4767" s="73"/>
      <c r="P4767" s="73"/>
      <c r="Q4767" s="73"/>
      <c r="R4767" s="73"/>
      <c r="S4767" s="73"/>
      <c r="T4767" s="73"/>
      <c r="U4767" s="73"/>
      <c r="V4767" s="73"/>
      <c r="W4767" s="73"/>
      <c r="X4767" s="73"/>
      <c r="Y4767" s="73"/>
      <c r="Z4767" s="73"/>
      <c r="AA4767" s="73"/>
      <c r="AB4767" s="73"/>
    </row>
    <row r="4768">
      <c r="A4768" s="73"/>
      <c r="B4768" s="73">
        <v>2.255101455E7</v>
      </c>
      <c r="C4768" s="73">
        <v>8.01073660948639E8</v>
      </c>
      <c r="D4768" s="73">
        <v>4.49609119587999E8</v>
      </c>
      <c r="E4768" s="73">
        <v>6.79392916434265E7</v>
      </c>
      <c r="F4768" s="73"/>
      <c r="G4768" s="73"/>
      <c r="H4768" s="73"/>
      <c r="I4768" s="73"/>
      <c r="J4768" s="73"/>
      <c r="K4768" s="73"/>
      <c r="L4768" s="73"/>
      <c r="M4768" s="73"/>
      <c r="N4768" s="73"/>
      <c r="O4768" s="73"/>
      <c r="P4768" s="73"/>
      <c r="Q4768" s="73"/>
      <c r="R4768" s="73"/>
      <c r="S4768" s="73"/>
      <c r="T4768" s="73"/>
      <c r="U4768" s="73"/>
      <c r="V4768" s="73"/>
      <c r="W4768" s="73"/>
      <c r="X4768" s="73"/>
      <c r="Y4768" s="73"/>
      <c r="Z4768" s="73"/>
      <c r="AA4768" s="73"/>
      <c r="AB4768" s="73"/>
    </row>
    <row r="4769">
      <c r="A4769" s="73"/>
      <c r="B4769" s="73">
        <v>2.257629772E7</v>
      </c>
      <c r="C4769" s="73">
        <v>8.01530947975937E8</v>
      </c>
      <c r="D4769" s="73">
        <v>4.49908484751993E8</v>
      </c>
      <c r="E4769" s="73">
        <v>6.7989003152711E7</v>
      </c>
      <c r="F4769" s="73"/>
      <c r="G4769" s="73"/>
      <c r="H4769" s="73"/>
      <c r="I4769" s="73"/>
      <c r="J4769" s="73"/>
      <c r="K4769" s="73"/>
      <c r="L4769" s="73"/>
      <c r="M4769" s="73"/>
      <c r="N4769" s="73"/>
      <c r="O4769" s="73"/>
      <c r="P4769" s="73"/>
      <c r="Q4769" s="73"/>
      <c r="R4769" s="73"/>
      <c r="S4769" s="73"/>
      <c r="T4769" s="73"/>
      <c r="U4769" s="73"/>
      <c r="V4769" s="73"/>
      <c r="W4769" s="73"/>
      <c r="X4769" s="73"/>
      <c r="Y4769" s="73"/>
      <c r="Z4769" s="73"/>
      <c r="AA4769" s="73"/>
      <c r="AB4769" s="73"/>
    </row>
    <row r="4770">
      <c r="A4770" s="73"/>
      <c r="B4770" s="73">
        <v>2.260160291E7</v>
      </c>
      <c r="C4770" s="73">
        <v>8.01988432763229E8</v>
      </c>
      <c r="D4770" s="73">
        <v>4.50207932476001E8</v>
      </c>
      <c r="E4770" s="73">
        <v>6.80387396847781E7</v>
      </c>
      <c r="F4770" s="73"/>
      <c r="G4770" s="73"/>
      <c r="H4770" s="73"/>
      <c r="I4770" s="73"/>
      <c r="J4770" s="73"/>
      <c r="K4770" s="73"/>
      <c r="L4770" s="73"/>
      <c r="M4770" s="73"/>
      <c r="N4770" s="73"/>
      <c r="O4770" s="73"/>
      <c r="P4770" s="73"/>
      <c r="Q4770" s="73"/>
      <c r="R4770" s="73"/>
      <c r="S4770" s="73"/>
      <c r="T4770" s="73"/>
      <c r="U4770" s="73"/>
      <c r="V4770" s="73"/>
      <c r="W4770" s="73"/>
      <c r="X4770" s="73"/>
      <c r="Y4770" s="73"/>
      <c r="Z4770" s="73"/>
      <c r="AA4770" s="73"/>
      <c r="AB4770" s="73"/>
    </row>
    <row r="4771">
      <c r="A4771" s="73"/>
      <c r="B4771" s="73">
        <v>2.262692852E7</v>
      </c>
      <c r="C4771" s="73">
        <v>8.02446247150513E8</v>
      </c>
      <c r="D4771" s="73">
        <v>4.50507544935995E8</v>
      </c>
      <c r="E4771" s="73">
        <v>6.80884971929722E7</v>
      </c>
      <c r="F4771" s="73"/>
      <c r="G4771" s="73"/>
      <c r="H4771" s="73"/>
      <c r="I4771" s="73"/>
      <c r="J4771" s="73"/>
      <c r="K4771" s="73"/>
      <c r="L4771" s="73"/>
      <c r="M4771" s="73"/>
      <c r="N4771" s="73"/>
      <c r="O4771" s="73"/>
      <c r="P4771" s="73"/>
      <c r="Q4771" s="73"/>
      <c r="R4771" s="73"/>
      <c r="S4771" s="73"/>
      <c r="T4771" s="73"/>
      <c r="U4771" s="73"/>
      <c r="V4771" s="73"/>
      <c r="W4771" s="73"/>
      <c r="X4771" s="73"/>
      <c r="Y4771" s="73"/>
      <c r="Z4771" s="73"/>
      <c r="AA4771" s="73"/>
      <c r="AB4771" s="73"/>
    </row>
    <row r="4772">
      <c r="A4772" s="73"/>
      <c r="B4772" s="73">
        <v>2.265227584E7</v>
      </c>
      <c r="C4772" s="73">
        <v>8.02904061537796E8</v>
      </c>
      <c r="D4772" s="73">
        <v>4.50807240532003E8</v>
      </c>
      <c r="E4772" s="73">
        <v>6.81382799478208E7</v>
      </c>
      <c r="F4772" s="73"/>
      <c r="G4772" s="73"/>
      <c r="H4772" s="73"/>
      <c r="I4772" s="73"/>
      <c r="J4772" s="73"/>
      <c r="K4772" s="73"/>
      <c r="L4772" s="73"/>
      <c r="M4772" s="73"/>
      <c r="N4772" s="73"/>
      <c r="O4772" s="73"/>
      <c r="P4772" s="73"/>
      <c r="Q4772" s="73"/>
      <c r="R4772" s="73"/>
      <c r="S4772" s="73"/>
      <c r="T4772" s="73"/>
      <c r="U4772" s="73"/>
      <c r="V4772" s="73"/>
      <c r="W4772" s="73"/>
      <c r="X4772" s="73"/>
      <c r="Y4772" s="73"/>
      <c r="Z4772" s="73"/>
      <c r="AA4772" s="73"/>
      <c r="AB4772" s="73"/>
    </row>
    <row r="4773">
      <c r="A4773" s="73"/>
      <c r="B4773" s="73">
        <v>2.267764324E7</v>
      </c>
      <c r="C4773" s="73">
        <v>8.03362073685074E8</v>
      </c>
      <c r="D4773" s="73">
        <v>4.51107100255996E8</v>
      </c>
      <c r="E4773" s="73">
        <v>6.81880838483963E7</v>
      </c>
      <c r="F4773" s="73"/>
      <c r="G4773" s="73"/>
      <c r="H4773" s="73"/>
      <c r="I4773" s="73"/>
      <c r="J4773" s="73"/>
      <c r="K4773" s="73"/>
      <c r="L4773" s="73"/>
      <c r="M4773" s="73"/>
      <c r="N4773" s="73"/>
      <c r="O4773" s="73"/>
      <c r="P4773" s="73"/>
      <c r="Q4773" s="73"/>
      <c r="R4773" s="73"/>
      <c r="S4773" s="73"/>
      <c r="T4773" s="73"/>
      <c r="U4773" s="73"/>
      <c r="V4773" s="73"/>
      <c r="W4773" s="73"/>
      <c r="X4773" s="73"/>
      <c r="Y4773" s="73"/>
      <c r="Z4773" s="73"/>
      <c r="AA4773" s="73"/>
      <c r="AB4773" s="73"/>
    </row>
    <row r="4774">
      <c r="A4774" s="73"/>
      <c r="B4774" s="73">
        <v>2.270303179E7</v>
      </c>
      <c r="C4774" s="73">
        <v>8.03820217672348E8</v>
      </c>
      <c r="D4774" s="73">
        <v>4.5140712535599E8</v>
      </c>
      <c r="E4774" s="73">
        <v>6.82379118084265E7</v>
      </c>
      <c r="F4774" s="73"/>
      <c r="G4774" s="73"/>
      <c r="H4774" s="73"/>
      <c r="I4774" s="73"/>
      <c r="J4774" s="73"/>
      <c r="K4774" s="73"/>
      <c r="L4774" s="73"/>
      <c r="M4774" s="73"/>
      <c r="N4774" s="73"/>
      <c r="O4774" s="73"/>
      <c r="P4774" s="73"/>
      <c r="Q4774" s="73"/>
      <c r="R4774" s="73"/>
      <c r="S4774" s="73"/>
      <c r="T4774" s="73"/>
      <c r="U4774" s="73"/>
      <c r="V4774" s="73"/>
      <c r="W4774" s="73"/>
      <c r="X4774" s="73"/>
      <c r="Y4774" s="73"/>
      <c r="Z4774" s="73"/>
      <c r="AA4774" s="73"/>
      <c r="AB4774" s="73"/>
    </row>
    <row r="4775">
      <c r="A4775" s="73"/>
      <c r="B4775" s="73">
        <v>2.272844124E7</v>
      </c>
      <c r="C4775" s="73">
        <v>8.04278559419617E8</v>
      </c>
      <c r="D4775" s="73">
        <v>4.51707232695998E8</v>
      </c>
      <c r="E4775" s="73">
        <v>6.82877646216394E7</v>
      </c>
      <c r="F4775" s="73"/>
      <c r="G4775" s="73"/>
      <c r="H4775" s="73"/>
      <c r="I4775" s="73"/>
      <c r="J4775" s="73"/>
      <c r="K4775" s="73"/>
      <c r="L4775" s="73"/>
      <c r="M4775" s="73"/>
      <c r="N4775" s="73"/>
      <c r="O4775" s="73"/>
      <c r="P4775" s="73"/>
      <c r="Q4775" s="73"/>
      <c r="R4775" s="73"/>
      <c r="S4775" s="73"/>
      <c r="T4775" s="73"/>
      <c r="U4775" s="73"/>
      <c r="V4775" s="73"/>
      <c r="W4775" s="73"/>
      <c r="X4775" s="73"/>
      <c r="Y4775" s="73"/>
      <c r="Z4775" s="73"/>
      <c r="AA4775" s="73"/>
      <c r="AB4775" s="73"/>
    </row>
    <row r="4776">
      <c r="A4776" s="73"/>
      <c r="B4776" s="73">
        <v>2.275387213E7</v>
      </c>
      <c r="C4776" s="73">
        <v>8.0473709892688E8</v>
      </c>
      <c r="D4776" s="73">
        <v>4.52007464099991E8</v>
      </c>
      <c r="E4776" s="73">
        <v>6.83376371084512E7</v>
      </c>
      <c r="F4776" s="73"/>
      <c r="G4776" s="73"/>
      <c r="H4776" s="73"/>
      <c r="I4776" s="73"/>
      <c r="J4776" s="73"/>
      <c r="K4776" s="73"/>
      <c r="L4776" s="73"/>
      <c r="M4776" s="73"/>
      <c r="N4776" s="73"/>
      <c r="O4776" s="73"/>
      <c r="P4776" s="73"/>
      <c r="Q4776" s="73"/>
      <c r="R4776" s="73"/>
      <c r="S4776" s="73"/>
      <c r="T4776" s="73"/>
      <c r="U4776" s="73"/>
      <c r="V4776" s="73"/>
      <c r="W4776" s="73"/>
      <c r="X4776" s="73"/>
      <c r="Y4776" s="73"/>
      <c r="Z4776" s="73"/>
      <c r="AA4776" s="73"/>
      <c r="AB4776" s="73"/>
    </row>
    <row r="4777">
      <c r="A4777" s="73"/>
      <c r="B4777" s="73">
        <v>2.277932319E7</v>
      </c>
      <c r="C4777" s="73">
        <v>8.05195704354141E8</v>
      </c>
      <c r="D4777" s="73">
        <v>4.52307819024E8</v>
      </c>
      <c r="E4777" s="73">
        <v>6.83875375860455E7</v>
      </c>
      <c r="F4777" s="73"/>
      <c r="G4777" s="73"/>
      <c r="H4777" s="73"/>
      <c r="I4777" s="73"/>
      <c r="J4777" s="73"/>
      <c r="K4777" s="73"/>
      <c r="L4777" s="73"/>
      <c r="M4777" s="73"/>
      <c r="N4777" s="73"/>
      <c r="O4777" s="73"/>
      <c r="P4777" s="73"/>
      <c r="Q4777" s="73"/>
      <c r="R4777" s="73"/>
      <c r="S4777" s="73"/>
      <c r="T4777" s="73"/>
      <c r="U4777" s="73"/>
      <c r="V4777" s="73"/>
      <c r="W4777" s="73"/>
      <c r="X4777" s="73"/>
      <c r="Y4777" s="73"/>
      <c r="Z4777" s="73"/>
      <c r="AA4777" s="73"/>
      <c r="AB4777" s="73"/>
    </row>
    <row r="4778">
      <c r="A4778" s="73"/>
      <c r="B4778" s="73">
        <v>2.280479591E7</v>
      </c>
      <c r="C4778" s="73">
        <v>8.05654573461395E8</v>
      </c>
      <c r="D4778" s="73">
        <v>4.52608338683993E8</v>
      </c>
      <c r="E4778" s="73">
        <v>6.84374579373667E7</v>
      </c>
      <c r="F4778" s="73"/>
      <c r="G4778" s="73"/>
      <c r="H4778" s="73"/>
      <c r="I4778" s="73"/>
      <c r="J4778" s="73"/>
      <c r="K4778" s="73"/>
      <c r="L4778" s="73"/>
      <c r="M4778" s="73"/>
      <c r="N4778" s="73"/>
      <c r="O4778" s="73"/>
      <c r="P4778" s="73"/>
      <c r="Q4778" s="73"/>
      <c r="R4778" s="73"/>
      <c r="S4778" s="73"/>
      <c r="T4778" s="73"/>
      <c r="U4778" s="73"/>
      <c r="V4778" s="73"/>
      <c r="W4778" s="73"/>
      <c r="X4778" s="73"/>
      <c r="Y4778" s="73"/>
      <c r="Z4778" s="73"/>
      <c r="AA4778" s="73"/>
      <c r="AB4778" s="73"/>
    </row>
    <row r="4779">
      <c r="A4779" s="73"/>
      <c r="B4779" s="73">
        <v>2.283028898E7</v>
      </c>
      <c r="C4779" s="73">
        <v>8.06113574408646E8</v>
      </c>
      <c r="D4779" s="73">
        <v>4.52908982120002E8</v>
      </c>
      <c r="E4779" s="73">
        <v>6.84874033657426E7</v>
      </c>
      <c r="F4779" s="73"/>
      <c r="G4779" s="73"/>
      <c r="H4779" s="73"/>
      <c r="I4779" s="73"/>
      <c r="J4779" s="73"/>
      <c r="K4779" s="73"/>
      <c r="L4779" s="73"/>
      <c r="M4779" s="73"/>
      <c r="N4779" s="73"/>
      <c r="O4779" s="73"/>
      <c r="P4779" s="73"/>
      <c r="Q4779" s="73"/>
      <c r="R4779" s="73"/>
      <c r="S4779" s="73"/>
      <c r="T4779" s="73"/>
      <c r="U4779" s="73"/>
      <c r="V4779" s="73"/>
      <c r="W4779" s="73"/>
      <c r="X4779" s="73"/>
      <c r="Y4779" s="73"/>
      <c r="Z4779" s="73"/>
      <c r="AA4779" s="73"/>
      <c r="AB4779" s="73"/>
    </row>
    <row r="4780">
      <c r="A4780" s="73"/>
      <c r="B4780" s="73">
        <v>2.285580329E7</v>
      </c>
      <c r="C4780" s="73">
        <v>8.06572773115891E8</v>
      </c>
      <c r="D4780" s="73">
        <v>4.53209708403995E8</v>
      </c>
      <c r="E4780" s="73">
        <v>6.85373728535732E7</v>
      </c>
      <c r="F4780" s="73"/>
      <c r="G4780" s="73"/>
      <c r="H4780" s="73"/>
      <c r="I4780" s="73"/>
      <c r="J4780" s="73"/>
      <c r="K4780" s="73"/>
      <c r="L4780" s="73"/>
      <c r="M4780" s="73"/>
      <c r="N4780" s="73"/>
      <c r="O4780" s="73"/>
      <c r="P4780" s="73"/>
      <c r="Q4780" s="73"/>
      <c r="R4780" s="73"/>
      <c r="S4780" s="73"/>
      <c r="T4780" s="73"/>
      <c r="U4780" s="73"/>
      <c r="V4780" s="73"/>
      <c r="W4780" s="73"/>
      <c r="X4780" s="73"/>
      <c r="Y4780" s="73"/>
      <c r="Z4780" s="73"/>
      <c r="AA4780" s="73"/>
      <c r="AB4780" s="73"/>
    </row>
    <row r="4781">
      <c r="A4781" s="73"/>
      <c r="B4781" s="73">
        <v>2.288133868E7</v>
      </c>
      <c r="C4781" s="73">
        <v>8.07032037743134E8</v>
      </c>
      <c r="D4781" s="73">
        <v>4.53510599455988E8</v>
      </c>
      <c r="E4781" s="73">
        <v>6.85873630631306E7</v>
      </c>
      <c r="F4781" s="73"/>
      <c r="G4781" s="73"/>
      <c r="H4781" s="73"/>
      <c r="I4781" s="73"/>
      <c r="J4781" s="73"/>
      <c r="K4781" s="73"/>
      <c r="L4781" s="73"/>
      <c r="M4781" s="73"/>
      <c r="N4781" s="73"/>
      <c r="O4781" s="73"/>
      <c r="P4781" s="73"/>
      <c r="Q4781" s="73"/>
      <c r="R4781" s="73"/>
      <c r="S4781" s="73"/>
      <c r="T4781" s="73"/>
      <c r="U4781" s="73"/>
      <c r="V4781" s="73"/>
      <c r="W4781" s="73"/>
      <c r="X4781" s="73"/>
      <c r="Y4781" s="73"/>
      <c r="Z4781" s="73"/>
      <c r="AA4781" s="73"/>
      <c r="AB4781" s="73"/>
    </row>
    <row r="4782">
      <c r="A4782" s="73"/>
      <c r="B4782" s="73">
        <v>2.290689548E7</v>
      </c>
      <c r="C4782" s="73">
        <v>8.07491566050369E8</v>
      </c>
      <c r="D4782" s="73">
        <v>4.53811614283997E8</v>
      </c>
      <c r="E4782" s="73">
        <v>6.86373797370706E7</v>
      </c>
      <c r="F4782" s="73"/>
      <c r="G4782" s="73"/>
      <c r="H4782" s="73"/>
      <c r="I4782" s="73"/>
      <c r="J4782" s="73"/>
      <c r="K4782" s="73"/>
      <c r="L4782" s="73"/>
      <c r="M4782" s="73"/>
      <c r="N4782" s="73"/>
      <c r="O4782" s="73"/>
      <c r="P4782" s="73"/>
      <c r="Q4782" s="73"/>
      <c r="R4782" s="73"/>
      <c r="S4782" s="73"/>
      <c r="T4782" s="73"/>
      <c r="U4782" s="73"/>
      <c r="V4782" s="73"/>
      <c r="W4782" s="73"/>
      <c r="X4782" s="73"/>
      <c r="Y4782" s="73"/>
      <c r="Z4782" s="73"/>
      <c r="AA4782" s="73"/>
      <c r="AB4782" s="73"/>
    </row>
    <row r="4783">
      <c r="A4783" s="73"/>
      <c r="B4783" s="73">
        <v>2.293247274E7</v>
      </c>
      <c r="C4783" s="73">
        <v>8.07951226197601E8</v>
      </c>
      <c r="D4783" s="73">
        <v>4.5411279355999E8</v>
      </c>
      <c r="E4783" s="73">
        <v>6.86874189983374E7</v>
      </c>
      <c r="F4783" s="73"/>
      <c r="G4783" s="73"/>
      <c r="H4783" s="73"/>
      <c r="I4783" s="73"/>
      <c r="J4783" s="73"/>
      <c r="K4783" s="73"/>
      <c r="L4783" s="73"/>
      <c r="M4783" s="73"/>
      <c r="N4783" s="73"/>
      <c r="O4783" s="73"/>
      <c r="P4783" s="73"/>
      <c r="Q4783" s="73"/>
      <c r="R4783" s="73"/>
      <c r="S4783" s="73"/>
      <c r="T4783" s="73"/>
      <c r="U4783" s="73"/>
      <c r="V4783" s="73"/>
      <c r="W4783" s="73"/>
      <c r="X4783" s="73"/>
      <c r="Y4783" s="73"/>
      <c r="Z4783" s="73"/>
      <c r="AA4783" s="73"/>
      <c r="AB4783" s="73"/>
    </row>
    <row r="4784">
      <c r="A4784" s="73"/>
      <c r="B4784" s="73">
        <v>2.295807163E7</v>
      </c>
      <c r="C4784" s="73">
        <v>8.08411084104828E8</v>
      </c>
      <c r="D4784" s="73">
        <v>4.54414055971999E8</v>
      </c>
      <c r="E4784" s="73">
        <v>6.87374782181312E7</v>
      </c>
      <c r="F4784" s="73"/>
      <c r="G4784" s="73"/>
      <c r="H4784" s="73"/>
      <c r="I4784" s="73"/>
      <c r="J4784" s="73"/>
      <c r="K4784" s="73"/>
      <c r="L4784" s="73"/>
      <c r="M4784" s="73"/>
      <c r="N4784" s="73"/>
      <c r="O4784" s="73"/>
      <c r="P4784" s="73"/>
      <c r="Q4784" s="73"/>
      <c r="R4784" s="73"/>
      <c r="S4784" s="73"/>
      <c r="T4784" s="73"/>
      <c r="U4784" s="73"/>
      <c r="V4784" s="73"/>
      <c r="W4784" s="73"/>
      <c r="X4784" s="73"/>
      <c r="Y4784" s="73"/>
      <c r="Z4784" s="73"/>
      <c r="AA4784" s="73"/>
      <c r="AB4784" s="73"/>
    </row>
    <row r="4785">
      <c r="A4785" s="73"/>
      <c r="B4785" s="73">
        <v>2.298369074E7</v>
      </c>
      <c r="C4785" s="73">
        <v>8.08871073852051E8</v>
      </c>
      <c r="D4785" s="73">
        <v>4.54715482831992E8</v>
      </c>
      <c r="E4785" s="73">
        <v>6.87875641567074E7</v>
      </c>
      <c r="F4785" s="73"/>
      <c r="G4785" s="73"/>
      <c r="H4785" s="73"/>
      <c r="I4785" s="73"/>
      <c r="J4785" s="73"/>
      <c r="K4785" s="73"/>
      <c r="L4785" s="73"/>
      <c r="M4785" s="73"/>
      <c r="N4785" s="73"/>
      <c r="O4785" s="73"/>
      <c r="P4785" s="73"/>
      <c r="Q4785" s="73"/>
      <c r="R4785" s="73"/>
      <c r="S4785" s="73"/>
      <c r="T4785" s="73"/>
      <c r="U4785" s="73"/>
      <c r="V4785" s="73"/>
      <c r="W4785" s="73"/>
      <c r="X4785" s="73"/>
      <c r="Y4785" s="73"/>
      <c r="Z4785" s="73"/>
      <c r="AA4785" s="73"/>
      <c r="AB4785" s="73"/>
    </row>
    <row r="4786">
      <c r="A4786" s="73"/>
      <c r="B4786" s="73">
        <v>2.300933141E7</v>
      </c>
      <c r="C4786" s="73">
        <v>8.09331261359268E8</v>
      </c>
      <c r="D4786" s="73">
        <v>4.55016992540001E8</v>
      </c>
      <c r="E4786" s="73">
        <v>6.88376730218105E7</v>
      </c>
      <c r="F4786" s="73"/>
      <c r="G4786" s="73"/>
      <c r="H4786" s="73"/>
      <c r="I4786" s="73"/>
      <c r="J4786" s="73"/>
      <c r="K4786" s="73"/>
      <c r="L4786" s="73"/>
      <c r="M4786" s="73"/>
      <c r="N4786" s="73"/>
      <c r="O4786" s="73"/>
      <c r="P4786" s="73"/>
      <c r="Q4786" s="73"/>
      <c r="R4786" s="73"/>
      <c r="S4786" s="73"/>
      <c r="T4786" s="73"/>
      <c r="U4786" s="73"/>
      <c r="V4786" s="73"/>
      <c r="W4786" s="73"/>
      <c r="X4786" s="73"/>
      <c r="Y4786" s="73"/>
      <c r="Z4786" s="73"/>
      <c r="AA4786" s="73"/>
      <c r="AB4786" s="73"/>
    </row>
    <row r="4787">
      <c r="A4787" s="73"/>
      <c r="B4787" s="73">
        <v>2.303499289E7</v>
      </c>
      <c r="C4787" s="73">
        <v>8.09791580706482E8</v>
      </c>
      <c r="D4787" s="73">
        <v>4.55318666983994E8</v>
      </c>
      <c r="E4787" s="73">
        <v>6.88878051831683E7</v>
      </c>
      <c r="F4787" s="73"/>
      <c r="G4787" s="73"/>
      <c r="H4787" s="73"/>
      <c r="I4787" s="73"/>
      <c r="J4787" s="73"/>
      <c r="K4787" s="73"/>
      <c r="L4787" s="73"/>
      <c r="M4787" s="73"/>
      <c r="N4787" s="73"/>
      <c r="O4787" s="73"/>
      <c r="P4787" s="73"/>
      <c r="Q4787" s="73"/>
      <c r="R4787" s="73"/>
      <c r="S4787" s="73"/>
      <c r="T4787" s="73"/>
      <c r="U4787" s="73"/>
      <c r="V4787" s="73"/>
      <c r="W4787" s="73"/>
      <c r="X4787" s="73"/>
      <c r="Y4787" s="73"/>
      <c r="Z4787" s="73"/>
      <c r="AA4787" s="73"/>
      <c r="AB4787" s="73"/>
    </row>
    <row r="4788">
      <c r="A4788" s="73"/>
      <c r="B4788" s="73">
        <v>2.306067531E7</v>
      </c>
      <c r="C4788" s="73">
        <v>8.10252031893692E8</v>
      </c>
      <c r="D4788" s="73">
        <v>4.55620465236002E8</v>
      </c>
      <c r="E4788" s="73">
        <v>6.89379608951808E7</v>
      </c>
      <c r="F4788" s="73"/>
      <c r="G4788" s="73"/>
      <c r="H4788" s="73"/>
      <c r="I4788" s="73"/>
      <c r="J4788" s="73"/>
      <c r="K4788" s="73"/>
      <c r="L4788" s="73"/>
      <c r="M4788" s="73"/>
      <c r="N4788" s="73"/>
      <c r="O4788" s="73"/>
      <c r="P4788" s="73"/>
      <c r="Q4788" s="73"/>
      <c r="R4788" s="73"/>
      <c r="S4788" s="73"/>
      <c r="T4788" s="73"/>
      <c r="U4788" s="73"/>
      <c r="V4788" s="73"/>
      <c r="W4788" s="73"/>
      <c r="X4788" s="73"/>
      <c r="Y4788" s="73"/>
      <c r="Z4788" s="73"/>
      <c r="AA4788" s="73"/>
      <c r="AB4788" s="73"/>
    </row>
    <row r="4789">
      <c r="A4789" s="73"/>
      <c r="B4789" s="73">
        <v>2.308637888E7</v>
      </c>
      <c r="C4789" s="73">
        <v>8.10712680840897E8</v>
      </c>
      <c r="D4789" s="73">
        <v>4.55922386943996E8</v>
      </c>
      <c r="E4789" s="73">
        <v>6.89881382617201E7</v>
      </c>
      <c r="F4789" s="73"/>
      <c r="G4789" s="73"/>
      <c r="H4789" s="73"/>
      <c r="I4789" s="73"/>
      <c r="J4789" s="73"/>
      <c r="K4789" s="73"/>
      <c r="L4789" s="73"/>
      <c r="M4789" s="73"/>
      <c r="N4789" s="73"/>
      <c r="O4789" s="73"/>
      <c r="P4789" s="73"/>
      <c r="Q4789" s="73"/>
      <c r="R4789" s="73"/>
      <c r="S4789" s="73"/>
      <c r="T4789" s="73"/>
      <c r="U4789" s="73"/>
      <c r="V4789" s="73"/>
      <c r="W4789" s="73"/>
      <c r="X4789" s="73"/>
      <c r="Y4789" s="73"/>
      <c r="Z4789" s="73"/>
      <c r="AA4789" s="73"/>
      <c r="AB4789" s="73"/>
    </row>
    <row r="4790">
      <c r="A4790" s="73"/>
      <c r="B4790" s="73">
        <v>2.311210377E7</v>
      </c>
      <c r="C4790" s="73">
        <v>8.11173527548096E8</v>
      </c>
      <c r="D4790" s="73">
        <v>4.56224432779989E8</v>
      </c>
      <c r="E4790" s="73">
        <v>6.90383397725142E7</v>
      </c>
      <c r="F4790" s="73"/>
      <c r="G4790" s="73"/>
      <c r="H4790" s="73"/>
      <c r="I4790" s="73"/>
      <c r="J4790" s="73"/>
      <c r="K4790" s="73"/>
      <c r="L4790" s="73"/>
      <c r="M4790" s="73"/>
      <c r="N4790" s="73"/>
      <c r="O4790" s="73"/>
      <c r="P4790" s="73"/>
      <c r="Q4790" s="73"/>
      <c r="R4790" s="73"/>
      <c r="S4790" s="73"/>
      <c r="T4790" s="73"/>
      <c r="U4790" s="73"/>
      <c r="V4790" s="73"/>
      <c r="W4790" s="73"/>
      <c r="X4790" s="73"/>
      <c r="Y4790" s="73"/>
      <c r="Z4790" s="73"/>
      <c r="AA4790" s="73"/>
      <c r="AB4790" s="73"/>
    </row>
    <row r="4791">
      <c r="A4791" s="73"/>
      <c r="B4791" s="73">
        <v>2.313784844E7</v>
      </c>
      <c r="C4791" s="73">
        <v>8.11634440175293E8</v>
      </c>
      <c r="D4791" s="73">
        <v>4.56526643063998E8</v>
      </c>
      <c r="E4791" s="73">
        <v>6.9088564325163E7</v>
      </c>
      <c r="F4791" s="73"/>
      <c r="G4791" s="73"/>
      <c r="H4791" s="73"/>
      <c r="I4791" s="73"/>
      <c r="J4791" s="73"/>
      <c r="K4791" s="73"/>
      <c r="L4791" s="73"/>
      <c r="M4791" s="73"/>
      <c r="N4791" s="73"/>
      <c r="O4791" s="73"/>
      <c r="P4791" s="73"/>
      <c r="Q4791" s="73"/>
      <c r="R4791" s="73"/>
      <c r="S4791" s="73"/>
      <c r="T4791" s="73"/>
      <c r="U4791" s="73"/>
      <c r="V4791" s="73"/>
      <c r="W4791" s="73"/>
      <c r="X4791" s="73"/>
      <c r="Y4791" s="73"/>
      <c r="Z4791" s="73"/>
      <c r="AA4791" s="73"/>
      <c r="AB4791" s="73"/>
    </row>
    <row r="4792">
      <c r="A4792" s="73"/>
      <c r="B4792" s="73">
        <v>2.316361502E7</v>
      </c>
      <c r="C4792" s="73">
        <v>8.12095682402481E8</v>
      </c>
      <c r="D4792" s="73">
        <v>4.56828936163991E8</v>
      </c>
      <c r="E4792" s="73">
        <v>6.91388147180664E7</v>
      </c>
      <c r="F4792" s="73"/>
      <c r="G4792" s="73"/>
      <c r="H4792" s="73"/>
      <c r="I4792" s="73"/>
      <c r="J4792" s="73"/>
      <c r="K4792" s="73"/>
      <c r="L4792" s="73"/>
      <c r="M4792" s="73"/>
      <c r="N4792" s="73"/>
      <c r="O4792" s="73"/>
      <c r="P4792" s="73"/>
      <c r="Q4792" s="73"/>
      <c r="R4792" s="73"/>
      <c r="S4792" s="73"/>
      <c r="T4792" s="73"/>
      <c r="U4792" s="73"/>
      <c r="V4792" s="73"/>
      <c r="W4792" s="73"/>
      <c r="X4792" s="73"/>
      <c r="Y4792" s="73"/>
      <c r="Z4792" s="73"/>
      <c r="AA4792" s="73"/>
      <c r="AB4792" s="73"/>
    </row>
    <row r="4793">
      <c r="A4793" s="73"/>
      <c r="B4793" s="73">
        <v>2.3189403E7</v>
      </c>
      <c r="C4793" s="73">
        <v>8.12556990549667E8</v>
      </c>
      <c r="D4793" s="73">
        <v>4.57131394031999E8</v>
      </c>
      <c r="E4793" s="73">
        <v>6.91890847302967E7</v>
      </c>
      <c r="F4793" s="73"/>
      <c r="G4793" s="73"/>
      <c r="H4793" s="73"/>
      <c r="I4793" s="73"/>
      <c r="J4793" s="73"/>
      <c r="K4793" s="73"/>
      <c r="L4793" s="73"/>
      <c r="M4793" s="73"/>
      <c r="N4793" s="73"/>
      <c r="O4793" s="73"/>
      <c r="P4793" s="73"/>
      <c r="Q4793" s="73"/>
      <c r="R4793" s="73"/>
      <c r="S4793" s="73"/>
      <c r="T4793" s="73"/>
      <c r="U4793" s="73"/>
      <c r="V4793" s="73"/>
      <c r="W4793" s="73"/>
      <c r="X4793" s="73"/>
      <c r="Y4793" s="73"/>
      <c r="Z4793" s="73"/>
      <c r="AA4793" s="73"/>
      <c r="AB4793" s="73"/>
    </row>
    <row r="4794">
      <c r="A4794" s="73"/>
      <c r="B4794" s="73">
        <v>2.321521207E7</v>
      </c>
      <c r="C4794" s="73">
        <v>8.1301843053685E8</v>
      </c>
      <c r="D4794" s="73">
        <v>4.57433975675993E8</v>
      </c>
      <c r="E4794" s="73">
        <v>6.92393807523817E7</v>
      </c>
      <c r="F4794" s="73"/>
      <c r="G4794" s="73"/>
      <c r="H4794" s="73"/>
      <c r="I4794" s="73"/>
      <c r="J4794" s="73"/>
      <c r="K4794" s="73"/>
      <c r="L4794" s="73"/>
      <c r="M4794" s="73"/>
      <c r="N4794" s="73"/>
      <c r="O4794" s="73"/>
      <c r="P4794" s="73"/>
      <c r="Q4794" s="73"/>
      <c r="R4794" s="73"/>
      <c r="S4794" s="73"/>
      <c r="T4794" s="73"/>
      <c r="U4794" s="73"/>
      <c r="V4794" s="73"/>
      <c r="W4794" s="73"/>
      <c r="X4794" s="73"/>
      <c r="Y4794" s="73"/>
      <c r="Z4794" s="73"/>
      <c r="AA4794" s="73"/>
      <c r="AB4794" s="73"/>
    </row>
    <row r="4795">
      <c r="A4795" s="73"/>
      <c r="B4795" s="73">
        <v>2.324104204E7</v>
      </c>
      <c r="C4795" s="73">
        <v>8.13480068284027E8</v>
      </c>
      <c r="D4795" s="73">
        <v>4.57736681128001E8</v>
      </c>
      <c r="E4795" s="73">
        <v>6.92896999011214E7</v>
      </c>
      <c r="F4795" s="73"/>
      <c r="G4795" s="73"/>
      <c r="H4795" s="73"/>
      <c r="I4795" s="73"/>
      <c r="J4795" s="73"/>
      <c r="K4795" s="73"/>
      <c r="L4795" s="73"/>
      <c r="M4795" s="73"/>
      <c r="N4795" s="73"/>
      <c r="O4795" s="73"/>
      <c r="P4795" s="73"/>
      <c r="Q4795" s="73"/>
      <c r="R4795" s="73"/>
      <c r="S4795" s="73"/>
      <c r="T4795" s="73"/>
      <c r="U4795" s="73"/>
      <c r="V4795" s="73"/>
      <c r="W4795" s="73"/>
      <c r="X4795" s="73"/>
      <c r="Y4795" s="73"/>
      <c r="Z4795" s="73"/>
      <c r="AA4795" s="73"/>
      <c r="AB4795" s="73"/>
    </row>
    <row r="4796">
      <c r="A4796" s="73"/>
      <c r="B4796" s="73">
        <v>2.326689305E7</v>
      </c>
      <c r="C4796" s="73">
        <v>8.13941903791199E8</v>
      </c>
      <c r="D4796" s="73">
        <v>4.58039510355995E8</v>
      </c>
      <c r="E4796" s="73">
        <v>6.93400433637157E7</v>
      </c>
      <c r="F4796" s="73"/>
      <c r="G4796" s="73"/>
      <c r="H4796" s="73"/>
      <c r="I4796" s="73"/>
      <c r="J4796" s="73"/>
      <c r="K4796" s="73"/>
      <c r="L4796" s="73"/>
      <c r="M4796" s="73"/>
      <c r="N4796" s="73"/>
      <c r="O4796" s="73"/>
      <c r="P4796" s="73"/>
      <c r="Q4796" s="73"/>
      <c r="R4796" s="73"/>
      <c r="S4796" s="73"/>
      <c r="T4796" s="73"/>
      <c r="U4796" s="73"/>
      <c r="V4796" s="73"/>
      <c r="W4796" s="73"/>
      <c r="X4796" s="73"/>
      <c r="Y4796" s="73"/>
      <c r="Z4796" s="73"/>
      <c r="AA4796" s="73"/>
      <c r="AB4796" s="73"/>
    </row>
    <row r="4797">
      <c r="A4797" s="73"/>
      <c r="B4797" s="73">
        <v>2.329276461E7</v>
      </c>
      <c r="C4797" s="73">
        <v>8.14403937058365E8</v>
      </c>
      <c r="D4797" s="73">
        <v>4.58342504032003E8</v>
      </c>
      <c r="E4797" s="73">
        <v>6.9390406784837E7</v>
      </c>
      <c r="F4797" s="73"/>
      <c r="G4797" s="73"/>
      <c r="H4797" s="73"/>
      <c r="I4797" s="73"/>
      <c r="J4797" s="73"/>
      <c r="K4797" s="73"/>
      <c r="L4797" s="73"/>
      <c r="M4797" s="73"/>
      <c r="N4797" s="73"/>
      <c r="O4797" s="73"/>
      <c r="P4797" s="73"/>
      <c r="Q4797" s="73"/>
      <c r="R4797" s="73"/>
      <c r="S4797" s="73"/>
      <c r="T4797" s="73"/>
      <c r="U4797" s="73"/>
      <c r="V4797" s="73"/>
      <c r="W4797" s="73"/>
      <c r="X4797" s="73"/>
      <c r="Y4797" s="73"/>
      <c r="Z4797" s="73"/>
      <c r="AA4797" s="73"/>
      <c r="AB4797" s="73"/>
    </row>
    <row r="4798">
      <c r="A4798" s="73"/>
      <c r="B4798" s="73">
        <v>2.331865799E7</v>
      </c>
      <c r="C4798" s="73">
        <v>8.14866102165527E8</v>
      </c>
      <c r="D4798" s="73">
        <v>4.58645580555996E8</v>
      </c>
      <c r="E4798" s="73">
        <v>6.94408004863407E7</v>
      </c>
      <c r="F4798" s="73"/>
      <c r="G4798" s="73"/>
      <c r="H4798" s="73"/>
      <c r="I4798" s="73"/>
      <c r="J4798" s="73"/>
      <c r="K4798" s="73"/>
      <c r="L4798" s="73"/>
      <c r="M4798" s="73"/>
      <c r="N4798" s="73"/>
      <c r="O4798" s="73"/>
      <c r="P4798" s="73"/>
      <c r="Q4798" s="73"/>
      <c r="R4798" s="73"/>
      <c r="S4798" s="73"/>
      <c r="T4798" s="73"/>
      <c r="U4798" s="73"/>
      <c r="V4798" s="73"/>
      <c r="W4798" s="73"/>
      <c r="X4798" s="73"/>
      <c r="Y4798" s="73"/>
      <c r="Z4798" s="73"/>
      <c r="AA4798" s="73"/>
      <c r="AB4798" s="73"/>
    </row>
    <row r="4799">
      <c r="A4799" s="73"/>
      <c r="B4799" s="73">
        <v>2.33445723E7</v>
      </c>
      <c r="C4799" s="73">
        <v>8.15328399112686E8</v>
      </c>
      <c r="D4799" s="73">
        <v>4.5894882213599E8</v>
      </c>
      <c r="E4799" s="73">
        <v>6.94912086886436E7</v>
      </c>
      <c r="F4799" s="73"/>
      <c r="G4799" s="73"/>
      <c r="H4799" s="73"/>
      <c r="I4799" s="73"/>
      <c r="J4799" s="73"/>
      <c r="K4799" s="73"/>
      <c r="L4799" s="73"/>
      <c r="M4799" s="73"/>
      <c r="N4799" s="73"/>
      <c r="O4799" s="73"/>
      <c r="P4799" s="73"/>
      <c r="Q4799" s="73"/>
      <c r="R4799" s="73"/>
      <c r="S4799" s="73"/>
      <c r="T4799" s="73"/>
      <c r="U4799" s="73"/>
      <c r="V4799" s="73"/>
      <c r="W4799" s="73"/>
      <c r="X4799" s="73"/>
      <c r="Y4799" s="73"/>
      <c r="Z4799" s="73"/>
      <c r="AA4799" s="73"/>
      <c r="AB4799" s="73"/>
    </row>
    <row r="4800">
      <c r="A4800" s="73"/>
      <c r="B4800" s="73">
        <v>2.337050747E7</v>
      </c>
      <c r="C4800" s="73">
        <v>8.15790893819839E8</v>
      </c>
      <c r="D4800" s="73">
        <v>4.59252146243998E8</v>
      </c>
      <c r="E4800" s="73">
        <v>6.95416458145289E7</v>
      </c>
      <c r="F4800" s="73"/>
      <c r="G4800" s="73"/>
      <c r="H4800" s="73"/>
      <c r="I4800" s="73"/>
      <c r="J4800" s="73"/>
      <c r="K4800" s="73"/>
      <c r="L4800" s="73"/>
      <c r="M4800" s="73"/>
      <c r="N4800" s="73"/>
      <c r="O4800" s="73"/>
      <c r="P4800" s="73"/>
      <c r="Q4800" s="73"/>
      <c r="R4800" s="73"/>
      <c r="S4800" s="73"/>
      <c r="T4800" s="73"/>
      <c r="U4800" s="73"/>
      <c r="V4800" s="73"/>
      <c r="W4800" s="73"/>
      <c r="X4800" s="73"/>
      <c r="Y4800" s="73"/>
      <c r="Z4800" s="73"/>
      <c r="AA4800" s="73"/>
      <c r="AB4800" s="73"/>
    </row>
    <row r="4801">
      <c r="A4801" s="73"/>
      <c r="B4801" s="73">
        <v>2.33964634E7</v>
      </c>
      <c r="C4801" s="73">
        <v>8.16253454446991E8</v>
      </c>
      <c r="D4801" s="73">
        <v>4.59555634799991E8</v>
      </c>
      <c r="E4801" s="73">
        <v>6.95921042557411E7</v>
      </c>
      <c r="F4801" s="73"/>
      <c r="G4801" s="73"/>
      <c r="H4801" s="73"/>
      <c r="I4801" s="73"/>
      <c r="J4801" s="73"/>
      <c r="K4801" s="73"/>
      <c r="L4801" s="73"/>
      <c r="M4801" s="73"/>
      <c r="N4801" s="73"/>
      <c r="O4801" s="73"/>
      <c r="P4801" s="73"/>
      <c r="Q4801" s="73"/>
      <c r="R4801" s="73"/>
      <c r="S4801" s="73"/>
      <c r="T4801" s="73"/>
      <c r="U4801" s="73"/>
      <c r="V4801" s="73"/>
      <c r="W4801" s="73"/>
      <c r="X4801" s="73"/>
      <c r="Y4801" s="73"/>
      <c r="Z4801" s="73"/>
      <c r="AA4801" s="73"/>
      <c r="AB4801" s="73"/>
    </row>
    <row r="4802">
      <c r="A4802" s="73"/>
      <c r="B4802" s="73">
        <v>2.3422441E7</v>
      </c>
      <c r="C4802" s="73">
        <v>8.16716278754135E8</v>
      </c>
      <c r="D4802" s="73">
        <v>4.598592887E8</v>
      </c>
      <c r="E4802" s="73">
        <v>6.96425896701358E7</v>
      </c>
      <c r="F4802" s="73"/>
      <c r="G4802" s="73"/>
      <c r="H4802" s="73"/>
      <c r="I4802" s="73"/>
      <c r="J4802" s="73"/>
      <c r="K4802" s="73"/>
      <c r="L4802" s="73"/>
      <c r="M4802" s="73"/>
      <c r="N4802" s="73"/>
      <c r="O4802" s="73"/>
      <c r="P4802" s="73"/>
      <c r="Q4802" s="73"/>
      <c r="R4802" s="73"/>
      <c r="S4802" s="73"/>
      <c r="T4802" s="73"/>
      <c r="U4802" s="73"/>
      <c r="V4802" s="73"/>
      <c r="W4802" s="73"/>
      <c r="X4802" s="73"/>
      <c r="Y4802" s="73"/>
      <c r="Z4802" s="73"/>
      <c r="AA4802" s="73"/>
      <c r="AB4802" s="73"/>
    </row>
    <row r="4803">
      <c r="A4803" s="73"/>
      <c r="B4803" s="73">
        <v>2.344843978E7</v>
      </c>
      <c r="C4803" s="73">
        <v>8.17179300821274E8</v>
      </c>
      <c r="D4803" s="73">
        <v>4.60163024839993E8</v>
      </c>
      <c r="E4803" s="73">
        <v>6.96930928925296E7</v>
      </c>
      <c r="F4803" s="73"/>
      <c r="G4803" s="73"/>
      <c r="H4803" s="73"/>
      <c r="I4803" s="73"/>
      <c r="J4803" s="73"/>
      <c r="K4803" s="73"/>
      <c r="L4803" s="73"/>
      <c r="M4803" s="73"/>
      <c r="N4803" s="73"/>
      <c r="O4803" s="73"/>
      <c r="P4803" s="73"/>
      <c r="Q4803" s="73"/>
      <c r="R4803" s="73"/>
      <c r="S4803" s="73"/>
      <c r="T4803" s="73"/>
      <c r="U4803" s="73"/>
      <c r="V4803" s="73"/>
      <c r="W4803" s="73"/>
      <c r="X4803" s="73"/>
      <c r="Y4803" s="73"/>
      <c r="Z4803" s="73"/>
      <c r="AA4803" s="73"/>
      <c r="AB4803" s="73"/>
    </row>
    <row r="4804">
      <c r="A4804" s="73"/>
      <c r="B4804" s="73">
        <v>2.347445967E7</v>
      </c>
      <c r="C4804" s="73">
        <v>8.17642388808411E8</v>
      </c>
      <c r="D4804" s="73">
        <v>4.60466885076002E8</v>
      </c>
      <c r="E4804" s="73">
        <v>6.97436247841058E7</v>
      </c>
      <c r="F4804" s="73"/>
      <c r="G4804" s="73"/>
      <c r="H4804" s="73"/>
      <c r="I4804" s="73"/>
      <c r="J4804" s="73"/>
      <c r="K4804" s="73"/>
      <c r="L4804" s="73"/>
      <c r="M4804" s="73"/>
      <c r="N4804" s="73"/>
      <c r="O4804" s="73"/>
      <c r="P4804" s="73"/>
      <c r="Q4804" s="73"/>
      <c r="R4804" s="73"/>
      <c r="S4804" s="73"/>
      <c r="T4804" s="73"/>
      <c r="U4804" s="73"/>
      <c r="V4804" s="73"/>
      <c r="W4804" s="73"/>
      <c r="X4804" s="73"/>
      <c r="Y4804" s="73"/>
      <c r="Z4804" s="73"/>
      <c r="AA4804" s="73"/>
      <c r="AB4804" s="73"/>
    </row>
    <row r="4805">
      <c r="A4805" s="73"/>
      <c r="B4805" s="73">
        <v>2.350050002E7</v>
      </c>
      <c r="C4805" s="73">
        <v>8.18105674555542E8</v>
      </c>
      <c r="D4805" s="73">
        <v>4.60770909759995E8</v>
      </c>
      <c r="E4805" s="73">
        <v>6.97941773126089E7</v>
      </c>
      <c r="F4805" s="73"/>
      <c r="G4805" s="73"/>
      <c r="H4805" s="73"/>
      <c r="I4805" s="73"/>
      <c r="J4805" s="73"/>
      <c r="K4805" s="73"/>
      <c r="L4805" s="73"/>
      <c r="M4805" s="73"/>
      <c r="N4805" s="73"/>
      <c r="O4805" s="73"/>
      <c r="P4805" s="73"/>
      <c r="Q4805" s="73"/>
      <c r="R4805" s="73"/>
      <c r="S4805" s="73"/>
      <c r="T4805" s="73"/>
      <c r="U4805" s="73"/>
      <c r="V4805" s="73"/>
      <c r="W4805" s="73"/>
      <c r="X4805" s="73"/>
      <c r="Y4805" s="73"/>
      <c r="Z4805" s="73"/>
      <c r="AA4805" s="73"/>
      <c r="AB4805" s="73"/>
    </row>
    <row r="4806">
      <c r="A4806" s="73"/>
      <c r="B4806" s="73">
        <v>2.352656211E7</v>
      </c>
      <c r="C4806" s="73">
        <v>8.18569158062668E8</v>
      </c>
      <c r="D4806" s="73">
        <v>4.61075058219988E8</v>
      </c>
      <c r="E4806" s="73">
        <v>6.98447527133667E7</v>
      </c>
      <c r="F4806" s="73"/>
      <c r="G4806" s="73"/>
      <c r="H4806" s="73"/>
      <c r="I4806" s="73"/>
      <c r="J4806" s="73"/>
      <c r="K4806" s="73"/>
      <c r="L4806" s="73"/>
      <c r="M4806" s="73"/>
      <c r="N4806" s="73"/>
      <c r="O4806" s="73"/>
      <c r="P4806" s="73"/>
      <c r="Q4806" s="73"/>
      <c r="R4806" s="73"/>
      <c r="S4806" s="73"/>
      <c r="T4806" s="73"/>
      <c r="U4806" s="73"/>
      <c r="V4806" s="73"/>
      <c r="W4806" s="73"/>
      <c r="X4806" s="73"/>
      <c r="Y4806" s="73"/>
      <c r="Z4806" s="73"/>
      <c r="AA4806" s="73"/>
      <c r="AB4806" s="73"/>
    </row>
    <row r="4807">
      <c r="A4807" s="73"/>
      <c r="B4807" s="73">
        <v>2.355264493E7</v>
      </c>
      <c r="C4807" s="73">
        <v>8.19032839329788E8</v>
      </c>
      <c r="D4807" s="73">
        <v>4.61379289847997E8</v>
      </c>
      <c r="E4807" s="73">
        <v>6.98953520039793E7</v>
      </c>
      <c r="F4807" s="73"/>
      <c r="G4807" s="73"/>
      <c r="H4807" s="73"/>
      <c r="I4807" s="73"/>
      <c r="J4807" s="73"/>
      <c r="K4807" s="73"/>
      <c r="L4807" s="73"/>
      <c r="M4807" s="73"/>
      <c r="N4807" s="73"/>
      <c r="O4807" s="73"/>
      <c r="P4807" s="73"/>
      <c r="Q4807" s="73"/>
      <c r="R4807" s="73"/>
      <c r="S4807" s="73"/>
      <c r="T4807" s="73"/>
      <c r="U4807" s="73"/>
      <c r="V4807" s="73"/>
      <c r="W4807" s="73"/>
      <c r="X4807" s="73"/>
      <c r="Y4807" s="73"/>
      <c r="Z4807" s="73"/>
      <c r="AA4807" s="73"/>
      <c r="AB4807" s="73"/>
    </row>
    <row r="4808">
      <c r="A4808" s="73"/>
      <c r="B4808" s="73">
        <v>2.357874925E7</v>
      </c>
      <c r="C4808" s="73">
        <v>8.19496652436905E8</v>
      </c>
      <c r="D4808" s="73">
        <v>4.6168368560399E8</v>
      </c>
      <c r="E4808" s="73">
        <v>6.99459786612464E7</v>
      </c>
      <c r="F4808" s="73"/>
      <c r="G4808" s="73"/>
      <c r="H4808" s="73"/>
      <c r="I4808" s="73"/>
      <c r="J4808" s="73"/>
      <c r="K4808" s="73"/>
      <c r="L4808" s="73"/>
      <c r="M4808" s="73"/>
      <c r="N4808" s="73"/>
      <c r="O4808" s="73"/>
      <c r="P4808" s="73"/>
      <c r="Q4808" s="73"/>
      <c r="R4808" s="73"/>
      <c r="S4808" s="73"/>
      <c r="T4808" s="73"/>
      <c r="U4808" s="73"/>
      <c r="V4808" s="73"/>
      <c r="W4808" s="73"/>
      <c r="X4808" s="73"/>
      <c r="Y4808" s="73"/>
      <c r="Z4808" s="73"/>
      <c r="AA4808" s="73"/>
      <c r="AB4808" s="73"/>
    </row>
    <row r="4809">
      <c r="A4809" s="73"/>
      <c r="B4809" s="73">
        <v>2.360487462E7</v>
      </c>
      <c r="C4809" s="73">
        <v>8.19960597384018E8</v>
      </c>
      <c r="D4809" s="73">
        <v>4.61988246415999E8</v>
      </c>
      <c r="E4809" s="73">
        <v>6.99966238354405E7</v>
      </c>
      <c r="F4809" s="73"/>
      <c r="G4809" s="73"/>
      <c r="H4809" s="73"/>
      <c r="I4809" s="73"/>
      <c r="J4809" s="73"/>
      <c r="K4809" s="73"/>
      <c r="L4809" s="73"/>
      <c r="M4809" s="73"/>
      <c r="N4809" s="73"/>
      <c r="O4809" s="73"/>
      <c r="P4809" s="73"/>
      <c r="Q4809" s="73"/>
      <c r="R4809" s="73"/>
      <c r="S4809" s="73"/>
      <c r="T4809" s="73"/>
      <c r="U4809" s="73"/>
      <c r="V4809" s="73"/>
      <c r="W4809" s="73"/>
      <c r="X4809" s="73"/>
      <c r="Y4809" s="73"/>
      <c r="Z4809" s="73"/>
      <c r="AA4809" s="73"/>
      <c r="AB4809" s="73"/>
    </row>
    <row r="4810">
      <c r="A4810" s="73"/>
      <c r="B4810" s="73">
        <v>2.363102107E7</v>
      </c>
      <c r="C4810" s="73">
        <v>8.20424806011124E8</v>
      </c>
      <c r="D4810" s="73">
        <v>4.62292889755992E8</v>
      </c>
      <c r="E4810" s="73">
        <v>7.00472922210893E7</v>
      </c>
      <c r="F4810" s="73"/>
      <c r="G4810" s="73"/>
      <c r="H4810" s="73"/>
      <c r="I4810" s="73"/>
      <c r="J4810" s="73"/>
      <c r="K4810" s="73"/>
      <c r="L4810" s="73"/>
      <c r="M4810" s="73"/>
      <c r="N4810" s="73"/>
      <c r="O4810" s="73"/>
      <c r="P4810" s="73"/>
      <c r="Q4810" s="73"/>
      <c r="R4810" s="73"/>
      <c r="S4810" s="73"/>
      <c r="T4810" s="73"/>
      <c r="U4810" s="73"/>
      <c r="V4810" s="73"/>
      <c r="W4810" s="73"/>
      <c r="X4810" s="73"/>
      <c r="Y4810" s="73"/>
      <c r="Z4810" s="73"/>
      <c r="AA4810" s="73"/>
      <c r="AB4810" s="73"/>
    </row>
    <row r="4811">
      <c r="A4811" s="73"/>
      <c r="B4811" s="73">
        <v>2.365718872E7</v>
      </c>
      <c r="C4811" s="73">
        <v>8.20889146478226E8</v>
      </c>
      <c r="D4811" s="73">
        <v>4.62597698152001E8</v>
      </c>
      <c r="E4811" s="73">
        <v>7.00979886517927E7</v>
      </c>
      <c r="F4811" s="73"/>
      <c r="G4811" s="73"/>
      <c r="H4811" s="73"/>
      <c r="I4811" s="73"/>
      <c r="J4811" s="73"/>
      <c r="K4811" s="73"/>
      <c r="L4811" s="73"/>
      <c r="M4811" s="73"/>
      <c r="N4811" s="73"/>
      <c r="O4811" s="73"/>
      <c r="P4811" s="73"/>
      <c r="Q4811" s="73"/>
      <c r="R4811" s="73"/>
      <c r="S4811" s="73"/>
      <c r="T4811" s="73"/>
      <c r="U4811" s="73"/>
      <c r="V4811" s="73"/>
      <c r="W4811" s="73"/>
      <c r="X4811" s="73"/>
      <c r="Y4811" s="73"/>
      <c r="Z4811" s="73"/>
      <c r="AA4811" s="73"/>
      <c r="AB4811" s="73"/>
    </row>
    <row r="4812">
      <c r="A4812" s="73"/>
      <c r="B4812" s="73">
        <v>2.368337692E7</v>
      </c>
      <c r="C4812" s="73">
        <v>8.21353552865326E8</v>
      </c>
      <c r="D4812" s="73">
        <v>4.62902589363994E8</v>
      </c>
      <c r="E4812" s="73">
        <v>7.01487049019509E7</v>
      </c>
      <c r="F4812" s="73"/>
      <c r="G4812" s="73"/>
      <c r="H4812" s="73"/>
      <c r="I4812" s="73"/>
      <c r="J4812" s="73"/>
      <c r="K4812" s="73"/>
      <c r="L4812" s="73"/>
      <c r="M4812" s="73"/>
      <c r="N4812" s="73"/>
      <c r="O4812" s="73"/>
      <c r="P4812" s="73"/>
      <c r="Q4812" s="73"/>
      <c r="R4812" s="73"/>
      <c r="S4812" s="73"/>
      <c r="T4812" s="73"/>
      <c r="U4812" s="73"/>
      <c r="V4812" s="73"/>
      <c r="W4812" s="73"/>
      <c r="X4812" s="73"/>
      <c r="Y4812" s="73"/>
      <c r="Z4812" s="73"/>
      <c r="AA4812" s="73"/>
      <c r="AB4812" s="73"/>
    </row>
    <row r="4813">
      <c r="A4813" s="73"/>
      <c r="B4813" s="73">
        <v>2.370958716E7</v>
      </c>
      <c r="C4813" s="73">
        <v>8.21818222932419E8</v>
      </c>
      <c r="D4813" s="73">
        <v>4.63207645056002E8</v>
      </c>
      <c r="E4813" s="73">
        <v>7.01994461138358E7</v>
      </c>
      <c r="F4813" s="73"/>
      <c r="G4813" s="73"/>
      <c r="H4813" s="73"/>
      <c r="I4813" s="73"/>
      <c r="J4813" s="73"/>
      <c r="K4813" s="73"/>
      <c r="L4813" s="73"/>
      <c r="M4813" s="73"/>
      <c r="N4813" s="73"/>
      <c r="O4813" s="73"/>
      <c r="P4813" s="73"/>
      <c r="Q4813" s="73"/>
      <c r="R4813" s="73"/>
      <c r="S4813" s="73"/>
      <c r="T4813" s="73"/>
      <c r="U4813" s="73"/>
      <c r="V4813" s="73"/>
      <c r="W4813" s="73"/>
      <c r="X4813" s="73"/>
      <c r="Y4813" s="73"/>
      <c r="Z4813" s="73"/>
      <c r="AA4813" s="73"/>
      <c r="AB4813" s="73"/>
    </row>
    <row r="4814">
      <c r="A4814" s="73"/>
      <c r="B4814" s="73">
        <v>2.373581881E7</v>
      </c>
      <c r="C4814" s="73">
        <v>8.2228295891951E8</v>
      </c>
      <c r="D4814" s="73">
        <v>4.63512824523996E8</v>
      </c>
      <c r="E4814" s="73">
        <v>7.02502099435755E7</v>
      </c>
      <c r="F4814" s="73"/>
      <c r="G4814" s="73"/>
      <c r="H4814" s="73"/>
      <c r="I4814" s="73"/>
      <c r="J4814" s="73"/>
      <c r="K4814" s="73"/>
      <c r="L4814" s="73"/>
      <c r="M4814" s="73"/>
      <c r="N4814" s="73"/>
      <c r="O4814" s="73"/>
      <c r="P4814" s="73"/>
      <c r="Q4814" s="73"/>
      <c r="R4814" s="73"/>
      <c r="S4814" s="73"/>
      <c r="T4814" s="73"/>
      <c r="U4814" s="73"/>
      <c r="V4814" s="73"/>
      <c r="W4814" s="73"/>
      <c r="X4814" s="73"/>
      <c r="Y4814" s="73"/>
      <c r="Z4814" s="73"/>
      <c r="AA4814" s="73"/>
      <c r="AB4814" s="73"/>
    </row>
    <row r="4815">
      <c r="A4815" s="73"/>
      <c r="B4815" s="73">
        <v>2.37620705E7</v>
      </c>
      <c r="C4815" s="73">
        <v>8.22747958586594E8</v>
      </c>
      <c r="D4815" s="73">
        <v>4.63818127799989E8</v>
      </c>
      <c r="E4815" s="73">
        <v>7.030099596717E7</v>
      </c>
      <c r="F4815" s="73"/>
      <c r="G4815" s="73"/>
      <c r="H4815" s="73"/>
      <c r="I4815" s="73"/>
      <c r="J4815" s="73"/>
      <c r="K4815" s="73"/>
      <c r="L4815" s="73"/>
      <c r="M4815" s="73"/>
      <c r="N4815" s="73"/>
      <c r="O4815" s="73"/>
      <c r="P4815" s="73"/>
      <c r="Q4815" s="73"/>
      <c r="R4815" s="73"/>
      <c r="S4815" s="73"/>
      <c r="T4815" s="73"/>
      <c r="U4815" s="73"/>
      <c r="V4815" s="73"/>
      <c r="W4815" s="73"/>
      <c r="X4815" s="73"/>
      <c r="Y4815" s="73"/>
      <c r="Z4815" s="73"/>
      <c r="AA4815" s="73"/>
      <c r="AB4815" s="73"/>
    </row>
    <row r="4816">
      <c r="A4816" s="73"/>
      <c r="B4816" s="73">
        <v>2.378834445E7</v>
      </c>
      <c r="C4816" s="73">
        <v>8.23213090093674E8</v>
      </c>
      <c r="D4816" s="73">
        <v>4.64123554531998E8</v>
      </c>
      <c r="E4816" s="73">
        <v>7.03518083398191E7</v>
      </c>
      <c r="F4816" s="73"/>
      <c r="G4816" s="73"/>
      <c r="H4816" s="73"/>
      <c r="I4816" s="73"/>
      <c r="J4816" s="73"/>
      <c r="K4816" s="73"/>
      <c r="L4816" s="73"/>
      <c r="M4816" s="73"/>
      <c r="N4816" s="73"/>
      <c r="O4816" s="73"/>
      <c r="P4816" s="73"/>
      <c r="Q4816" s="73"/>
      <c r="R4816" s="73"/>
      <c r="S4816" s="73"/>
      <c r="T4816" s="73"/>
      <c r="U4816" s="73"/>
      <c r="V4816" s="73"/>
      <c r="W4816" s="73"/>
      <c r="X4816" s="73"/>
      <c r="Y4816" s="73"/>
      <c r="Z4816" s="73"/>
      <c r="AA4816" s="73"/>
      <c r="AB4816" s="73"/>
    </row>
    <row r="4817">
      <c r="A4817" s="73"/>
      <c r="B4817" s="73">
        <v>2.381463861E7</v>
      </c>
      <c r="C4817" s="73">
        <v>8.23678419360748E8</v>
      </c>
      <c r="D4817" s="73">
        <v>4.64429146639991E8</v>
      </c>
      <c r="E4817" s="73">
        <v>7.0402642960595E7</v>
      </c>
      <c r="F4817" s="73"/>
      <c r="G4817" s="73"/>
      <c r="H4817" s="73"/>
      <c r="I4817" s="73"/>
      <c r="J4817" s="73"/>
      <c r="K4817" s="73"/>
      <c r="L4817" s="73"/>
      <c r="M4817" s="73"/>
      <c r="N4817" s="73"/>
      <c r="O4817" s="73"/>
      <c r="P4817" s="73"/>
      <c r="Q4817" s="73"/>
      <c r="R4817" s="73"/>
      <c r="S4817" s="73"/>
      <c r="T4817" s="73"/>
      <c r="U4817" s="73"/>
      <c r="V4817" s="73"/>
      <c r="W4817" s="73"/>
      <c r="X4817" s="73"/>
      <c r="Y4817" s="73"/>
      <c r="Z4817" s="73"/>
      <c r="AA4817" s="73"/>
      <c r="AB4817" s="73"/>
    </row>
    <row r="4818">
      <c r="A4818" s="73"/>
      <c r="B4818" s="73">
        <v>2.384095441E7</v>
      </c>
      <c r="C4818" s="73">
        <v>8.24143814547821E8</v>
      </c>
      <c r="D4818" s="73">
        <v>4.64734861947999E8</v>
      </c>
      <c r="E4818" s="73">
        <v>7.04535004536256E7</v>
      </c>
      <c r="F4818" s="73"/>
      <c r="G4818" s="73"/>
      <c r="H4818" s="73"/>
      <c r="I4818" s="73"/>
      <c r="J4818" s="73"/>
      <c r="K4818" s="73"/>
      <c r="L4818" s="73"/>
      <c r="M4818" s="73"/>
      <c r="N4818" s="73"/>
      <c r="O4818" s="73"/>
      <c r="P4818" s="73"/>
      <c r="Q4818" s="73"/>
      <c r="R4818" s="73"/>
      <c r="S4818" s="73"/>
      <c r="T4818" s="73"/>
      <c r="U4818" s="73"/>
      <c r="V4818" s="73"/>
      <c r="W4818" s="73"/>
      <c r="X4818" s="73"/>
      <c r="Y4818" s="73"/>
      <c r="Z4818" s="73"/>
      <c r="AA4818" s="73"/>
      <c r="AB4818" s="73"/>
    </row>
    <row r="4819">
      <c r="A4819" s="73"/>
      <c r="B4819" s="73">
        <v>2.386729186E7</v>
      </c>
      <c r="C4819" s="73">
        <v>8.24609473414886E8</v>
      </c>
      <c r="D4819" s="73">
        <v>4.65040701031993E8</v>
      </c>
      <c r="E4819" s="73">
        <v>7.05043836173108E7</v>
      </c>
      <c r="F4819" s="73"/>
      <c r="G4819" s="73"/>
      <c r="H4819" s="73"/>
      <c r="I4819" s="73"/>
      <c r="J4819" s="73"/>
      <c r="K4819" s="73"/>
      <c r="L4819" s="73"/>
      <c r="M4819" s="73"/>
      <c r="N4819" s="73"/>
      <c r="O4819" s="73"/>
      <c r="P4819" s="73"/>
      <c r="Q4819" s="73"/>
      <c r="R4819" s="73"/>
      <c r="S4819" s="73"/>
      <c r="T4819" s="73"/>
      <c r="U4819" s="73"/>
      <c r="V4819" s="73"/>
      <c r="W4819" s="73"/>
      <c r="X4819" s="73"/>
      <c r="Y4819" s="73"/>
      <c r="Z4819" s="73"/>
      <c r="AA4819" s="73"/>
      <c r="AB4819" s="73"/>
    </row>
    <row r="4820">
      <c r="A4820" s="73"/>
      <c r="B4820" s="73">
        <v>2.389364993E7</v>
      </c>
      <c r="C4820" s="73">
        <v>8.25075264121948E8</v>
      </c>
      <c r="D4820" s="73">
        <v>4.65346664212001E8</v>
      </c>
      <c r="E4820" s="73">
        <v>7.0555285637123E7</v>
      </c>
      <c r="F4820" s="73"/>
      <c r="G4820" s="73"/>
      <c r="H4820" s="73"/>
      <c r="I4820" s="73"/>
      <c r="J4820" s="73"/>
      <c r="K4820" s="73"/>
      <c r="L4820" s="73"/>
      <c r="M4820" s="73"/>
      <c r="N4820" s="73"/>
      <c r="O4820" s="73"/>
      <c r="P4820" s="73"/>
      <c r="Q4820" s="73"/>
      <c r="R4820" s="73"/>
      <c r="S4820" s="73"/>
      <c r="T4820" s="73"/>
      <c r="U4820" s="73"/>
      <c r="V4820" s="73"/>
      <c r="W4820" s="73"/>
      <c r="X4820" s="73"/>
      <c r="Y4820" s="73"/>
      <c r="Z4820" s="73"/>
      <c r="AA4820" s="73"/>
      <c r="AB4820" s="73"/>
    </row>
    <row r="4821">
      <c r="A4821" s="73"/>
      <c r="B4821" s="73">
        <v>2.392002876E7</v>
      </c>
      <c r="C4821" s="73">
        <v>8.25541186669006E8</v>
      </c>
      <c r="D4821" s="73">
        <v>4.65652750879995E8</v>
      </c>
      <c r="E4821" s="73">
        <v>7.06062166653177E7</v>
      </c>
      <c r="F4821" s="73"/>
      <c r="G4821" s="73"/>
      <c r="H4821" s="73"/>
      <c r="I4821" s="73"/>
      <c r="J4821" s="73"/>
      <c r="K4821" s="73"/>
      <c r="L4821" s="73"/>
      <c r="M4821" s="73"/>
      <c r="N4821" s="73"/>
      <c r="O4821" s="73"/>
      <c r="P4821" s="73"/>
      <c r="Q4821" s="73"/>
      <c r="R4821" s="73"/>
      <c r="S4821" s="73"/>
      <c r="T4821" s="73"/>
      <c r="U4821" s="73"/>
      <c r="V4821" s="73"/>
      <c r="W4821" s="73"/>
      <c r="X4821" s="73"/>
      <c r="Y4821" s="73"/>
      <c r="Z4821" s="73"/>
      <c r="AA4821" s="73"/>
      <c r="AB4821" s="73"/>
    </row>
    <row r="4822">
      <c r="A4822" s="73"/>
      <c r="B4822" s="73">
        <v>2.394643002E7</v>
      </c>
      <c r="C4822" s="73">
        <v>8.26007372896057E8</v>
      </c>
      <c r="D4822" s="73">
        <v>4.65958961356003E8</v>
      </c>
      <c r="E4822" s="73">
        <v>7.06571672280393E7</v>
      </c>
      <c r="F4822" s="73"/>
      <c r="G4822" s="73"/>
      <c r="H4822" s="73"/>
      <c r="I4822" s="73"/>
      <c r="J4822" s="73"/>
      <c r="K4822" s="73"/>
      <c r="L4822" s="73"/>
      <c r="M4822" s="73"/>
      <c r="N4822" s="73"/>
      <c r="O4822" s="73"/>
      <c r="P4822" s="73"/>
      <c r="Q4822" s="73"/>
      <c r="R4822" s="73"/>
      <c r="S4822" s="73"/>
      <c r="T4822" s="73"/>
      <c r="U4822" s="73"/>
      <c r="V4822" s="73"/>
      <c r="W4822" s="73"/>
      <c r="X4822" s="73"/>
      <c r="Y4822" s="73"/>
      <c r="Z4822" s="73"/>
      <c r="AA4822" s="73"/>
      <c r="AB4822" s="73"/>
    </row>
    <row r="4823">
      <c r="A4823" s="73"/>
      <c r="B4823" s="73">
        <v>2.397285158E7</v>
      </c>
      <c r="C4823" s="73">
        <v>8.26473756883102E8</v>
      </c>
      <c r="D4823" s="73">
        <v>4.66265336567996E8</v>
      </c>
      <c r="E4823" s="73">
        <v>7.07081423590156E7</v>
      </c>
      <c r="F4823" s="73"/>
      <c r="G4823" s="73"/>
      <c r="H4823" s="73"/>
      <c r="I4823" s="73"/>
      <c r="J4823" s="73"/>
      <c r="K4823" s="73"/>
      <c r="L4823" s="73"/>
      <c r="M4823" s="73"/>
      <c r="N4823" s="73"/>
      <c r="O4823" s="73"/>
      <c r="P4823" s="73"/>
      <c r="Q4823" s="73"/>
      <c r="R4823" s="73"/>
      <c r="S4823" s="73"/>
      <c r="T4823" s="73"/>
      <c r="U4823" s="73"/>
      <c r="V4823" s="73"/>
      <c r="W4823" s="73"/>
      <c r="X4823" s="73"/>
      <c r="Y4823" s="73"/>
      <c r="Z4823" s="73"/>
      <c r="AA4823" s="73"/>
      <c r="AB4823" s="73"/>
    </row>
    <row r="4824">
      <c r="A4824" s="73"/>
      <c r="B4824" s="73">
        <v>2.399929499E7</v>
      </c>
      <c r="C4824" s="73">
        <v>8.26940140870148E8</v>
      </c>
      <c r="D4824" s="73">
        <v>4.6657183526799E8</v>
      </c>
      <c r="E4824" s="73">
        <v>7.07591415189186E7</v>
      </c>
      <c r="F4824" s="73"/>
      <c r="G4824" s="73"/>
      <c r="H4824" s="73"/>
      <c r="I4824" s="73"/>
      <c r="J4824" s="73"/>
      <c r="K4824" s="73"/>
      <c r="L4824" s="73"/>
      <c r="M4824" s="73"/>
      <c r="N4824" s="73"/>
      <c r="O4824" s="73"/>
      <c r="P4824" s="73"/>
      <c r="Q4824" s="73"/>
      <c r="R4824" s="73"/>
      <c r="S4824" s="73"/>
      <c r="T4824" s="73"/>
      <c r="U4824" s="73"/>
      <c r="V4824" s="73"/>
      <c r="W4824" s="73"/>
      <c r="X4824" s="73"/>
      <c r="Y4824" s="73"/>
      <c r="Z4824" s="73"/>
      <c r="AA4824" s="73"/>
      <c r="AB4824" s="73"/>
    </row>
    <row r="4825">
      <c r="A4825" s="73"/>
      <c r="B4825" s="73">
        <v>2.402575904E7</v>
      </c>
      <c r="C4825" s="73">
        <v>8.27406788537186E8</v>
      </c>
      <c r="D4825" s="73">
        <v>4.66878417103998E8</v>
      </c>
      <c r="E4825" s="73">
        <v>7.08101618550764E7</v>
      </c>
      <c r="F4825" s="73"/>
      <c r="G4825" s="73"/>
      <c r="H4825" s="73"/>
      <c r="I4825" s="73"/>
      <c r="J4825" s="73"/>
      <c r="K4825" s="73"/>
      <c r="L4825" s="73"/>
      <c r="M4825" s="73"/>
      <c r="N4825" s="73"/>
      <c r="O4825" s="73"/>
      <c r="P4825" s="73"/>
      <c r="Q4825" s="73"/>
      <c r="R4825" s="73"/>
      <c r="S4825" s="73"/>
      <c r="T4825" s="73"/>
      <c r="U4825" s="73"/>
      <c r="V4825" s="73"/>
      <c r="W4825" s="73"/>
      <c r="X4825" s="73"/>
      <c r="Y4825" s="73"/>
      <c r="Z4825" s="73"/>
      <c r="AA4825" s="73"/>
      <c r="AB4825" s="73"/>
    </row>
    <row r="4826">
      <c r="A4826" s="73"/>
      <c r="B4826" s="73">
        <v>2.405224455E7</v>
      </c>
      <c r="C4826" s="73">
        <v>8.27873633964218E8</v>
      </c>
      <c r="D4826" s="73">
        <v>4.67185163707991E8</v>
      </c>
      <c r="E4826" s="73">
        <v>7.08612087404168E7</v>
      </c>
      <c r="F4826" s="73"/>
      <c r="G4826" s="73"/>
      <c r="H4826" s="73"/>
      <c r="I4826" s="73"/>
      <c r="J4826" s="73"/>
      <c r="K4826" s="73"/>
      <c r="L4826" s="73"/>
      <c r="M4826" s="73"/>
      <c r="N4826" s="73"/>
      <c r="O4826" s="73"/>
      <c r="P4826" s="73"/>
      <c r="Q4826" s="73"/>
      <c r="R4826" s="73"/>
      <c r="S4826" s="73"/>
      <c r="T4826" s="73"/>
      <c r="U4826" s="73"/>
      <c r="V4826" s="73"/>
      <c r="W4826" s="73"/>
      <c r="X4826" s="73"/>
      <c r="Y4826" s="73"/>
      <c r="Z4826" s="73"/>
      <c r="AA4826" s="73"/>
      <c r="AB4826" s="73"/>
    </row>
    <row r="4827">
      <c r="A4827" s="73"/>
      <c r="B4827" s="73">
        <v>2.407875145E7</v>
      </c>
      <c r="C4827" s="73">
        <v>8.28340545311249E8</v>
      </c>
      <c r="D4827" s="73">
        <v>4.6749203348E8</v>
      </c>
      <c r="E4827" s="73">
        <v>7.09122752993562E7</v>
      </c>
      <c r="F4827" s="73"/>
      <c r="G4827" s="73"/>
      <c r="H4827" s="73"/>
      <c r="I4827" s="73"/>
      <c r="J4827" s="73"/>
      <c r="K4827" s="73"/>
      <c r="L4827" s="73"/>
      <c r="M4827" s="73"/>
      <c r="N4827" s="73"/>
      <c r="O4827" s="73"/>
      <c r="P4827" s="73"/>
      <c r="Q4827" s="73"/>
      <c r="R4827" s="73"/>
      <c r="S4827" s="73"/>
      <c r="T4827" s="73"/>
      <c r="U4827" s="73"/>
      <c r="V4827" s="73"/>
      <c r="W4827" s="73"/>
      <c r="X4827" s="73"/>
      <c r="Y4827" s="73"/>
      <c r="Z4827" s="73"/>
      <c r="AA4827" s="73"/>
      <c r="AB4827" s="73"/>
    </row>
    <row r="4828">
      <c r="A4828" s="73"/>
      <c r="B4828" s="73">
        <v>2.410527937E7</v>
      </c>
      <c r="C4828" s="73">
        <v>8.28807654418274E8</v>
      </c>
      <c r="D4828" s="73">
        <v>4.67799068627993E8</v>
      </c>
      <c r="E4828" s="73">
        <v>7.0963369764278E7</v>
      </c>
      <c r="F4828" s="73"/>
      <c r="G4828" s="73"/>
      <c r="H4828" s="73"/>
      <c r="I4828" s="73"/>
      <c r="J4828" s="73"/>
      <c r="K4828" s="73"/>
      <c r="L4828" s="73"/>
      <c r="M4828" s="73"/>
      <c r="N4828" s="73"/>
      <c r="O4828" s="73"/>
      <c r="P4828" s="73"/>
      <c r="Q4828" s="73"/>
      <c r="R4828" s="73"/>
      <c r="S4828" s="73"/>
      <c r="T4828" s="73"/>
      <c r="U4828" s="73"/>
      <c r="V4828" s="73"/>
      <c r="W4828" s="73"/>
      <c r="X4828" s="73"/>
      <c r="Y4828" s="73"/>
      <c r="Z4828" s="73"/>
      <c r="AA4828" s="73"/>
      <c r="AB4828" s="73"/>
    </row>
    <row r="4829">
      <c r="A4829" s="73"/>
      <c r="B4829" s="73">
        <v>2.413182814E7</v>
      </c>
      <c r="C4829" s="73">
        <v>8.29274961285294E8</v>
      </c>
      <c r="D4829" s="73">
        <v>4.68106186304002E8</v>
      </c>
      <c r="E4829" s="73">
        <v>7.10144865621267E7</v>
      </c>
      <c r="F4829" s="73"/>
      <c r="G4829" s="73"/>
      <c r="H4829" s="73"/>
      <c r="I4829" s="73"/>
      <c r="J4829" s="73"/>
      <c r="K4829" s="73"/>
      <c r="L4829" s="73"/>
      <c r="M4829" s="73"/>
      <c r="N4829" s="73"/>
      <c r="O4829" s="73"/>
      <c r="P4829" s="73"/>
      <c r="Q4829" s="73"/>
      <c r="R4829" s="73"/>
      <c r="S4829" s="73"/>
      <c r="T4829" s="73"/>
      <c r="U4829" s="73"/>
      <c r="V4829" s="73"/>
      <c r="W4829" s="73"/>
      <c r="X4829" s="73"/>
      <c r="Y4829" s="73"/>
      <c r="Z4829" s="73"/>
      <c r="AA4829" s="73"/>
      <c r="AB4829" s="73"/>
    </row>
    <row r="4830">
      <c r="A4830" s="73"/>
      <c r="B4830" s="73">
        <v>2.415839869E7</v>
      </c>
      <c r="C4830" s="73">
        <v>8.2974239999231E8</v>
      </c>
      <c r="D4830" s="73">
        <v>4.68413468715995E8</v>
      </c>
      <c r="E4830" s="73">
        <v>7.106562657143E7</v>
      </c>
      <c r="F4830" s="73"/>
      <c r="G4830" s="73"/>
      <c r="H4830" s="73"/>
      <c r="I4830" s="73"/>
      <c r="J4830" s="73"/>
      <c r="K4830" s="73"/>
      <c r="L4830" s="73"/>
      <c r="M4830" s="73"/>
      <c r="N4830" s="73"/>
      <c r="O4830" s="73"/>
      <c r="P4830" s="73"/>
      <c r="Q4830" s="73"/>
      <c r="R4830" s="73"/>
      <c r="S4830" s="73"/>
      <c r="T4830" s="73"/>
      <c r="U4830" s="73"/>
      <c r="V4830" s="73"/>
      <c r="W4830" s="73"/>
      <c r="X4830" s="73"/>
      <c r="Y4830" s="73"/>
      <c r="Z4830" s="73"/>
      <c r="AA4830" s="73"/>
      <c r="AB4830" s="73"/>
    </row>
    <row r="4831">
      <c r="A4831" s="73"/>
      <c r="B4831" s="73">
        <v>2.418499074E7</v>
      </c>
      <c r="C4831" s="73">
        <v>8.3021003645932E8</v>
      </c>
      <c r="D4831" s="73">
        <v>4.68720874615988E8</v>
      </c>
      <c r="E4831" s="73">
        <v>7.11167884353883E7</v>
      </c>
      <c r="F4831" s="73"/>
      <c r="G4831" s="73"/>
      <c r="H4831" s="73"/>
      <c r="I4831" s="73"/>
      <c r="J4831" s="73"/>
      <c r="K4831" s="73"/>
      <c r="L4831" s="73"/>
      <c r="M4831" s="73"/>
      <c r="N4831" s="73"/>
      <c r="O4831" s="73"/>
      <c r="P4831" s="73"/>
      <c r="Q4831" s="73"/>
      <c r="R4831" s="73"/>
      <c r="S4831" s="73"/>
      <c r="T4831" s="73"/>
      <c r="U4831" s="73"/>
      <c r="V4831" s="73"/>
      <c r="W4831" s="73"/>
      <c r="X4831" s="73"/>
      <c r="Y4831" s="73"/>
      <c r="Z4831" s="73"/>
      <c r="AA4831" s="73"/>
      <c r="AB4831" s="73"/>
    </row>
    <row r="4832">
      <c r="A4832" s="73"/>
      <c r="B4832" s="73">
        <v>2.421160318E7</v>
      </c>
      <c r="C4832" s="73">
        <v>8.30677804766327E8</v>
      </c>
      <c r="D4832" s="73">
        <v>4.69028404931997E8</v>
      </c>
      <c r="E4832" s="73">
        <v>7.1167976987601E7</v>
      </c>
      <c r="F4832" s="73"/>
      <c r="G4832" s="73"/>
      <c r="H4832" s="73"/>
      <c r="I4832" s="73"/>
      <c r="J4832" s="73"/>
      <c r="K4832" s="73"/>
      <c r="L4832" s="73"/>
      <c r="M4832" s="73"/>
      <c r="N4832" s="73"/>
      <c r="O4832" s="73"/>
      <c r="P4832" s="73"/>
      <c r="Q4832" s="73"/>
      <c r="R4832" s="73"/>
      <c r="S4832" s="73"/>
      <c r="T4832" s="73"/>
      <c r="U4832" s="73"/>
      <c r="V4832" s="73"/>
      <c r="W4832" s="73"/>
      <c r="X4832" s="73"/>
      <c r="Y4832" s="73"/>
      <c r="Z4832" s="73"/>
      <c r="AA4832" s="73"/>
      <c r="AB4832" s="73"/>
    </row>
    <row r="4833">
      <c r="A4833" s="73"/>
      <c r="B4833" s="73">
        <v>2.423823778E7</v>
      </c>
      <c r="C4833" s="73">
        <v>8.31145770833328E8</v>
      </c>
      <c r="D4833" s="73">
        <v>4.6933605841599E8</v>
      </c>
      <c r="E4833" s="73">
        <v>7.12191864311406E7</v>
      </c>
      <c r="F4833" s="73"/>
      <c r="G4833" s="73"/>
      <c r="H4833" s="73"/>
      <c r="I4833" s="73"/>
      <c r="J4833" s="73"/>
      <c r="K4833" s="73"/>
      <c r="L4833" s="73"/>
      <c r="M4833" s="73"/>
      <c r="N4833" s="73"/>
      <c r="O4833" s="73"/>
      <c r="P4833" s="73"/>
      <c r="Q4833" s="73"/>
      <c r="R4833" s="73"/>
      <c r="S4833" s="73"/>
      <c r="T4833" s="73"/>
      <c r="U4833" s="73"/>
      <c r="V4833" s="73"/>
      <c r="W4833" s="73"/>
      <c r="X4833" s="73"/>
      <c r="Y4833" s="73"/>
      <c r="Z4833" s="73"/>
      <c r="AA4833" s="73"/>
      <c r="AB4833" s="73"/>
    </row>
    <row r="4834">
      <c r="A4834" s="73"/>
      <c r="B4834" s="73">
        <v>2.426489339E7</v>
      </c>
      <c r="C4834" s="73">
        <v>8.31613934660324E8</v>
      </c>
      <c r="D4834" s="73">
        <v>4.69643876667999E8</v>
      </c>
      <c r="E4834" s="73">
        <v>7.1270419086135E7</v>
      </c>
      <c r="F4834" s="73"/>
      <c r="G4834" s="73"/>
      <c r="H4834" s="73"/>
      <c r="I4834" s="73"/>
      <c r="J4834" s="73"/>
      <c r="K4834" s="73"/>
      <c r="L4834" s="73"/>
      <c r="M4834" s="73"/>
      <c r="N4834" s="73"/>
      <c r="O4834" s="73"/>
      <c r="P4834" s="73"/>
      <c r="Q4834" s="73"/>
      <c r="R4834" s="73"/>
      <c r="S4834" s="73"/>
      <c r="T4834" s="73"/>
      <c r="U4834" s="73"/>
      <c r="V4834" s="73"/>
      <c r="W4834" s="73"/>
      <c r="X4834" s="73"/>
      <c r="Y4834" s="73"/>
      <c r="Z4834" s="73"/>
      <c r="AA4834" s="73"/>
      <c r="AB4834" s="73"/>
    </row>
    <row r="4835">
      <c r="A4835" s="73"/>
      <c r="B4835" s="73">
        <v>2.429156988E7</v>
      </c>
      <c r="C4835" s="73">
        <v>8.32082296247314E8</v>
      </c>
      <c r="D4835" s="73">
        <v>4.69951778055992E8</v>
      </c>
      <c r="E4835" s="73">
        <v>7.1321677411784E7</v>
      </c>
      <c r="F4835" s="73"/>
      <c r="G4835" s="73"/>
      <c r="H4835" s="73"/>
      <c r="I4835" s="73"/>
      <c r="J4835" s="73"/>
      <c r="K4835" s="73"/>
      <c r="L4835" s="73"/>
      <c r="M4835" s="73"/>
      <c r="N4835" s="73"/>
      <c r="O4835" s="73"/>
      <c r="P4835" s="73"/>
      <c r="Q4835" s="73"/>
      <c r="R4835" s="73"/>
      <c r="S4835" s="73"/>
      <c r="T4835" s="73"/>
      <c r="U4835" s="73"/>
      <c r="V4835" s="73"/>
      <c r="W4835" s="73"/>
      <c r="X4835" s="73"/>
      <c r="Y4835" s="73"/>
      <c r="Z4835" s="73"/>
      <c r="AA4835" s="73"/>
      <c r="AB4835" s="73"/>
    </row>
    <row r="4836">
      <c r="A4836" s="73"/>
      <c r="B4836" s="73">
        <v>2.431826833E7</v>
      </c>
      <c r="C4836" s="73">
        <v>8.32550789674301E8</v>
      </c>
      <c r="D4836" s="73">
        <v>4.70259843892001E8</v>
      </c>
      <c r="E4836" s="73">
        <v>7.13729589488878E7</v>
      </c>
      <c r="F4836" s="73"/>
      <c r="G4836" s="73"/>
      <c r="H4836" s="73"/>
      <c r="I4836" s="73"/>
      <c r="J4836" s="73"/>
      <c r="K4836" s="73"/>
      <c r="L4836" s="73"/>
      <c r="M4836" s="73"/>
      <c r="N4836" s="73"/>
      <c r="O4836" s="73"/>
      <c r="P4836" s="73"/>
      <c r="Q4836" s="73"/>
      <c r="R4836" s="73"/>
      <c r="S4836" s="73"/>
      <c r="T4836" s="73"/>
      <c r="U4836" s="73"/>
      <c r="V4836" s="73"/>
      <c r="W4836" s="73"/>
      <c r="X4836" s="73"/>
      <c r="Y4836" s="73"/>
      <c r="Z4836" s="73"/>
      <c r="AA4836" s="73"/>
      <c r="AB4836" s="73"/>
    </row>
    <row r="4837">
      <c r="A4837" s="73"/>
      <c r="B4837" s="73">
        <v>2.434498819E7</v>
      </c>
      <c r="C4837" s="73">
        <v>8.33019349021286E8</v>
      </c>
      <c r="D4837" s="73">
        <v>4.70568033215994E8</v>
      </c>
      <c r="E4837" s="73">
        <v>7.14242624797183E7</v>
      </c>
      <c r="F4837" s="73"/>
      <c r="G4837" s="73"/>
      <c r="H4837" s="73"/>
      <c r="I4837" s="73"/>
      <c r="J4837" s="73"/>
      <c r="K4837" s="73"/>
      <c r="L4837" s="73"/>
      <c r="M4837" s="73"/>
      <c r="N4837" s="73"/>
      <c r="O4837" s="73"/>
      <c r="P4837" s="73"/>
      <c r="Q4837" s="73"/>
      <c r="R4837" s="73"/>
      <c r="S4837" s="73"/>
      <c r="T4837" s="73"/>
      <c r="U4837" s="73"/>
      <c r="V4837" s="73"/>
      <c r="W4837" s="73"/>
      <c r="X4837" s="73"/>
      <c r="Y4837" s="73"/>
      <c r="Z4837" s="73"/>
      <c r="AA4837" s="73"/>
      <c r="AB4837" s="73"/>
    </row>
    <row r="4838">
      <c r="A4838" s="73"/>
      <c r="B4838" s="73">
        <v>2.437172823E7</v>
      </c>
      <c r="C4838" s="73">
        <v>8.33488237968262E8</v>
      </c>
      <c r="D4838" s="73">
        <v>4.70876346924002E8</v>
      </c>
      <c r="E4838" s="73">
        <v>7.14755912572035E7</v>
      </c>
      <c r="F4838" s="73"/>
      <c r="G4838" s="73"/>
      <c r="H4838" s="73"/>
      <c r="I4838" s="73"/>
      <c r="J4838" s="73"/>
      <c r="K4838" s="73"/>
      <c r="L4838" s="73"/>
      <c r="M4838" s="73"/>
      <c r="N4838" s="73"/>
      <c r="O4838" s="73"/>
      <c r="P4838" s="73"/>
      <c r="Q4838" s="73"/>
      <c r="R4838" s="73"/>
      <c r="S4838" s="73"/>
      <c r="T4838" s="73"/>
      <c r="U4838" s="73"/>
      <c r="V4838" s="73"/>
      <c r="W4838" s="73"/>
      <c r="X4838" s="73"/>
      <c r="Y4838" s="73"/>
      <c r="Z4838" s="73"/>
      <c r="AA4838" s="73"/>
      <c r="AB4838" s="73"/>
    </row>
    <row r="4839">
      <c r="A4839" s="73"/>
      <c r="B4839" s="73">
        <v>2.439849002E7</v>
      </c>
      <c r="C4839" s="73">
        <v>8.33957126915237E8</v>
      </c>
      <c r="D4839" s="73">
        <v>4.71184783831996E8</v>
      </c>
      <c r="E4839" s="73">
        <v>7.15269425677435E7</v>
      </c>
      <c r="F4839" s="73"/>
      <c r="G4839" s="73"/>
      <c r="H4839" s="73"/>
      <c r="I4839" s="73"/>
      <c r="J4839" s="73"/>
      <c r="K4839" s="73"/>
      <c r="L4839" s="73"/>
      <c r="M4839" s="73"/>
      <c r="N4839" s="73"/>
      <c r="O4839" s="73"/>
      <c r="P4839" s="73"/>
      <c r="Q4839" s="73"/>
      <c r="R4839" s="73"/>
      <c r="S4839" s="73"/>
      <c r="T4839" s="73"/>
      <c r="U4839" s="73"/>
      <c r="V4839" s="73"/>
      <c r="W4839" s="73"/>
      <c r="X4839" s="73"/>
      <c r="Y4839" s="73"/>
      <c r="Z4839" s="73"/>
      <c r="AA4839" s="73"/>
      <c r="AB4839" s="73"/>
    </row>
    <row r="4840">
      <c r="A4840" s="73"/>
      <c r="B4840" s="73">
        <v>2.442527351E7</v>
      </c>
      <c r="C4840" s="73">
        <v>8.34426213622208E8</v>
      </c>
      <c r="D4840" s="73">
        <v>4.71493385795989E8</v>
      </c>
      <c r="E4840" s="73">
        <v>7.15783195489381E7</v>
      </c>
      <c r="F4840" s="73"/>
      <c r="G4840" s="73"/>
      <c r="H4840" s="73"/>
      <c r="I4840" s="73"/>
      <c r="J4840" s="73"/>
      <c r="K4840" s="73"/>
      <c r="L4840" s="73"/>
      <c r="M4840" s="73"/>
      <c r="N4840" s="73"/>
      <c r="O4840" s="73"/>
      <c r="P4840" s="73"/>
      <c r="Q4840" s="73"/>
      <c r="R4840" s="73"/>
      <c r="S4840" s="73"/>
      <c r="T4840" s="73"/>
      <c r="U4840" s="73"/>
      <c r="V4840" s="73"/>
      <c r="W4840" s="73"/>
      <c r="X4840" s="73"/>
      <c r="Y4840" s="73"/>
      <c r="Z4840" s="73"/>
      <c r="AA4840" s="73"/>
      <c r="AB4840" s="73"/>
    </row>
    <row r="4841">
      <c r="A4841" s="73"/>
      <c r="B4841" s="73">
        <v>2.445207764E7</v>
      </c>
      <c r="C4841" s="73">
        <v>8.34895564009171E8</v>
      </c>
      <c r="D4841" s="73">
        <v>4.71802111247998E8</v>
      </c>
      <c r="E4841" s="73">
        <v>7.16297157254596E7</v>
      </c>
      <c r="F4841" s="73"/>
      <c r="G4841" s="73"/>
      <c r="H4841" s="73"/>
      <c r="I4841" s="73"/>
      <c r="J4841" s="73"/>
      <c r="K4841" s="73"/>
      <c r="L4841" s="73"/>
      <c r="M4841" s="73"/>
      <c r="N4841" s="73"/>
      <c r="O4841" s="73"/>
      <c r="P4841" s="73"/>
      <c r="Q4841" s="73"/>
      <c r="R4841" s="73"/>
      <c r="S4841" s="73"/>
      <c r="T4841" s="73"/>
      <c r="U4841" s="73"/>
      <c r="V4841" s="73"/>
      <c r="W4841" s="73"/>
      <c r="X4841" s="73"/>
      <c r="Y4841" s="73"/>
      <c r="Z4841" s="73"/>
      <c r="AA4841" s="73"/>
      <c r="AB4841" s="73"/>
    </row>
    <row r="4842">
      <c r="A4842" s="73"/>
      <c r="B4842" s="73">
        <v>2.447890414E7</v>
      </c>
      <c r="C4842" s="73">
        <v>8.3536504623613E8</v>
      </c>
      <c r="D4842" s="73">
        <v>4.72110919515991E8</v>
      </c>
      <c r="E4842" s="73">
        <v>7.16811379118358E7</v>
      </c>
      <c r="F4842" s="73"/>
      <c r="G4842" s="73"/>
      <c r="H4842" s="73"/>
      <c r="I4842" s="73"/>
      <c r="J4842" s="73"/>
      <c r="K4842" s="73"/>
      <c r="L4842" s="73"/>
      <c r="M4842" s="73"/>
      <c r="N4842" s="73"/>
      <c r="O4842" s="73"/>
      <c r="P4842" s="73"/>
      <c r="Q4842" s="73"/>
      <c r="R4842" s="73"/>
      <c r="S4842" s="73"/>
      <c r="T4842" s="73"/>
      <c r="U4842" s="73"/>
      <c r="V4842" s="73"/>
      <c r="W4842" s="73"/>
      <c r="X4842" s="73"/>
      <c r="Y4842" s="73"/>
      <c r="Z4842" s="73"/>
      <c r="AA4842" s="73"/>
      <c r="AB4842" s="73"/>
    </row>
    <row r="4843">
      <c r="A4843" s="73"/>
      <c r="B4843" s="73">
        <v>2.4505751E7</v>
      </c>
      <c r="C4843" s="73">
        <v>8.35834660303085E8</v>
      </c>
      <c r="D4843" s="73">
        <v>4.72419933831999E8</v>
      </c>
      <c r="E4843" s="73">
        <v>7.17325853448666E7</v>
      </c>
      <c r="F4843" s="73"/>
      <c r="G4843" s="73"/>
      <c r="H4843" s="73"/>
      <c r="I4843" s="73"/>
      <c r="J4843" s="73"/>
      <c r="K4843" s="73"/>
      <c r="L4843" s="73"/>
      <c r="M4843" s="73"/>
      <c r="N4843" s="73"/>
      <c r="O4843" s="73"/>
      <c r="P4843" s="73"/>
      <c r="Q4843" s="73"/>
      <c r="R4843" s="73"/>
      <c r="S4843" s="73"/>
      <c r="T4843" s="73"/>
      <c r="U4843" s="73"/>
      <c r="V4843" s="73"/>
      <c r="W4843" s="73"/>
      <c r="X4843" s="73"/>
      <c r="Y4843" s="73"/>
      <c r="Z4843" s="73"/>
      <c r="AA4843" s="73"/>
      <c r="AB4843" s="73"/>
    </row>
    <row r="4844">
      <c r="A4844" s="73"/>
      <c r="B4844" s="73">
        <v>2.453261935E7</v>
      </c>
      <c r="C4844" s="73">
        <v>8.36304472130035E8</v>
      </c>
      <c r="D4844" s="73">
        <v>4.72729030643993E8</v>
      </c>
      <c r="E4844" s="73">
        <v>7.17840559893521E7</v>
      </c>
      <c r="F4844" s="73"/>
      <c r="G4844" s="73"/>
      <c r="H4844" s="73"/>
      <c r="I4844" s="73"/>
      <c r="J4844" s="73"/>
      <c r="K4844" s="73"/>
      <c r="L4844" s="73"/>
      <c r="M4844" s="73"/>
      <c r="N4844" s="73"/>
      <c r="O4844" s="73"/>
      <c r="P4844" s="73"/>
      <c r="Q4844" s="73"/>
      <c r="R4844" s="73"/>
      <c r="S4844" s="73"/>
      <c r="T4844" s="73"/>
      <c r="U4844" s="73"/>
      <c r="V4844" s="73"/>
      <c r="W4844" s="73"/>
      <c r="X4844" s="73"/>
      <c r="Y4844" s="73"/>
      <c r="Z4844" s="73"/>
      <c r="AA4844" s="73"/>
      <c r="AB4844" s="73"/>
    </row>
    <row r="4845">
      <c r="A4845" s="73"/>
      <c r="B4845" s="73">
        <v>2.455950936E7</v>
      </c>
      <c r="C4845" s="73">
        <v>8.36774415796982E8</v>
      </c>
      <c r="D4845" s="73">
        <v>4.73038251264001E8</v>
      </c>
      <c r="E4845" s="73">
        <v>7.18355451507646E7</v>
      </c>
      <c r="F4845" s="73"/>
      <c r="G4845" s="73"/>
      <c r="H4845" s="73"/>
      <c r="I4845" s="73"/>
      <c r="J4845" s="73"/>
      <c r="K4845" s="73"/>
      <c r="L4845" s="73"/>
      <c r="M4845" s="73"/>
      <c r="N4845" s="73"/>
      <c r="O4845" s="73"/>
      <c r="P4845" s="73"/>
      <c r="Q4845" s="73"/>
      <c r="R4845" s="73"/>
      <c r="S4845" s="73"/>
      <c r="T4845" s="73"/>
      <c r="U4845" s="73"/>
      <c r="V4845" s="73"/>
      <c r="W4845" s="73"/>
      <c r="X4845" s="73"/>
      <c r="Y4845" s="73"/>
      <c r="Z4845" s="73"/>
      <c r="AA4845" s="73"/>
      <c r="AB4845" s="73"/>
    </row>
    <row r="4846">
      <c r="A4846" s="73"/>
      <c r="B4846" s="73">
        <v>2.458642043E7</v>
      </c>
      <c r="C4846" s="73">
        <v>8.37244491303925E8</v>
      </c>
      <c r="D4846" s="73">
        <v>4.73347636331995E8</v>
      </c>
      <c r="E4846" s="73">
        <v>7.18870637988316E7</v>
      </c>
      <c r="F4846" s="73"/>
      <c r="G4846" s="73"/>
      <c r="H4846" s="73"/>
      <c r="I4846" s="73"/>
      <c r="J4846" s="73"/>
      <c r="K4846" s="73"/>
      <c r="L4846" s="73"/>
      <c r="M4846" s="73"/>
      <c r="N4846" s="73"/>
      <c r="O4846" s="73"/>
      <c r="P4846" s="73"/>
      <c r="Q4846" s="73"/>
      <c r="R4846" s="73"/>
      <c r="S4846" s="73"/>
      <c r="T4846" s="73"/>
      <c r="U4846" s="73"/>
      <c r="V4846" s="73"/>
      <c r="W4846" s="73"/>
      <c r="X4846" s="73"/>
      <c r="Y4846" s="73"/>
      <c r="Z4846" s="73"/>
      <c r="AA4846" s="73"/>
      <c r="AB4846" s="73"/>
    </row>
    <row r="4847">
      <c r="A4847" s="73"/>
      <c r="B4847" s="73">
        <v>2.461335247E7</v>
      </c>
      <c r="C4847" s="73">
        <v>8.3771483049086E8</v>
      </c>
      <c r="D4847" s="73">
        <v>4.73657145496003E8</v>
      </c>
      <c r="E4847" s="73">
        <v>7.19386025207534E7</v>
      </c>
      <c r="F4847" s="73"/>
      <c r="G4847" s="73"/>
      <c r="H4847" s="73"/>
      <c r="I4847" s="73"/>
      <c r="J4847" s="73"/>
      <c r="K4847" s="73"/>
      <c r="L4847" s="73"/>
      <c r="M4847" s="73"/>
      <c r="N4847" s="73"/>
      <c r="O4847" s="73"/>
      <c r="P4847" s="73"/>
      <c r="Q4847" s="73"/>
      <c r="R4847" s="73"/>
      <c r="S4847" s="73"/>
      <c r="T4847" s="73"/>
      <c r="U4847" s="73"/>
      <c r="V4847" s="73"/>
      <c r="W4847" s="73"/>
      <c r="X4847" s="73"/>
      <c r="Y4847" s="73"/>
      <c r="Z4847" s="73"/>
      <c r="AA4847" s="73"/>
      <c r="AB4847" s="73"/>
    </row>
    <row r="4848">
      <c r="A4848" s="73"/>
      <c r="B4848" s="73">
        <v>2.464030709E7</v>
      </c>
      <c r="C4848" s="73">
        <v>8.3818536743779E8</v>
      </c>
      <c r="D4848" s="73">
        <v>4.73966737187996E8</v>
      </c>
      <c r="E4848" s="73">
        <v>7.19901675917299E7</v>
      </c>
      <c r="F4848" s="73"/>
      <c r="G4848" s="73"/>
      <c r="H4848" s="73"/>
      <c r="I4848" s="73"/>
      <c r="J4848" s="73"/>
      <c r="K4848" s="73"/>
      <c r="L4848" s="73"/>
      <c r="M4848" s="73"/>
      <c r="N4848" s="73"/>
      <c r="O4848" s="73"/>
      <c r="P4848" s="73"/>
      <c r="Q4848" s="73"/>
      <c r="R4848" s="73"/>
      <c r="S4848" s="73"/>
      <c r="T4848" s="73"/>
      <c r="U4848" s="73"/>
      <c r="V4848" s="73"/>
      <c r="W4848" s="73"/>
      <c r="X4848" s="73"/>
      <c r="Y4848" s="73"/>
      <c r="Z4848" s="73"/>
      <c r="AA4848" s="73"/>
      <c r="AB4848" s="73"/>
    </row>
    <row r="4849">
      <c r="A4849" s="73"/>
      <c r="B4849" s="73">
        <v>2.466728196E7</v>
      </c>
      <c r="C4849" s="73">
        <v>8.38655970304718E8</v>
      </c>
      <c r="D4849" s="73">
        <v>4.7427653489599E8</v>
      </c>
      <c r="E4849" s="73">
        <v>7.20417542324331E7</v>
      </c>
      <c r="F4849" s="73"/>
      <c r="G4849" s="73"/>
      <c r="H4849" s="73"/>
      <c r="I4849" s="73"/>
      <c r="J4849" s="73"/>
      <c r="K4849" s="73"/>
      <c r="L4849" s="73"/>
      <c r="M4849" s="73"/>
      <c r="N4849" s="73"/>
      <c r="O4849" s="73"/>
      <c r="P4849" s="73"/>
      <c r="Q4849" s="73"/>
      <c r="R4849" s="73"/>
      <c r="S4849" s="73"/>
      <c r="T4849" s="73"/>
      <c r="U4849" s="73"/>
      <c r="V4849" s="73"/>
      <c r="W4849" s="73"/>
      <c r="X4849" s="73"/>
      <c r="Y4849" s="73"/>
      <c r="Z4849" s="73"/>
      <c r="AA4849" s="73"/>
      <c r="AB4849" s="73"/>
    </row>
    <row r="4850">
      <c r="A4850" s="73"/>
      <c r="B4850" s="73">
        <v>2.469427821E7</v>
      </c>
      <c r="C4850" s="73">
        <v>8.39126770931641E8</v>
      </c>
      <c r="D4850" s="73">
        <v>4.74586415131998E8</v>
      </c>
      <c r="E4850" s="73">
        <v>7.20933655261911E7</v>
      </c>
      <c r="F4850" s="73"/>
      <c r="G4850" s="73"/>
      <c r="H4850" s="73"/>
      <c r="I4850" s="73"/>
      <c r="J4850" s="73"/>
      <c r="K4850" s="73"/>
      <c r="L4850" s="73"/>
      <c r="M4850" s="73"/>
      <c r="N4850" s="73"/>
      <c r="O4850" s="73"/>
      <c r="P4850" s="73"/>
      <c r="Q4850" s="73"/>
      <c r="R4850" s="73"/>
      <c r="S4850" s="73"/>
      <c r="T4850" s="73"/>
      <c r="U4850" s="73"/>
      <c r="V4850" s="73"/>
      <c r="W4850" s="73"/>
      <c r="X4850" s="73"/>
      <c r="Y4850" s="73"/>
      <c r="Z4850" s="73"/>
      <c r="AA4850" s="73"/>
      <c r="AB4850" s="73"/>
    </row>
    <row r="4851">
      <c r="A4851" s="73"/>
      <c r="B4851" s="73">
        <v>2.472129632E7</v>
      </c>
      <c r="C4851" s="73">
        <v>8.3959770339856E8</v>
      </c>
      <c r="D4851" s="73">
        <v>4.74896419175991E8</v>
      </c>
      <c r="E4851" s="73">
        <v>7.21449990138038E7</v>
      </c>
      <c r="F4851" s="73"/>
      <c r="G4851" s="73"/>
      <c r="H4851" s="73"/>
      <c r="I4851" s="73"/>
      <c r="J4851" s="73"/>
      <c r="K4851" s="73"/>
      <c r="L4851" s="73"/>
      <c r="M4851" s="73"/>
      <c r="N4851" s="73"/>
      <c r="O4851" s="73"/>
      <c r="P4851" s="73"/>
      <c r="Q4851" s="73"/>
      <c r="R4851" s="73"/>
      <c r="S4851" s="73"/>
      <c r="T4851" s="73"/>
      <c r="U4851" s="73"/>
      <c r="V4851" s="73"/>
      <c r="W4851" s="73"/>
      <c r="X4851" s="73"/>
      <c r="Y4851" s="73"/>
      <c r="Z4851" s="73"/>
      <c r="AA4851" s="73"/>
      <c r="AB4851" s="73"/>
    </row>
    <row r="4852">
      <c r="A4852" s="73"/>
      <c r="B4852" s="73">
        <v>2.47483353E7</v>
      </c>
      <c r="C4852" s="73">
        <v>8.40068833625473E8</v>
      </c>
      <c r="D4852" s="73">
        <v>4.75206587956E8</v>
      </c>
      <c r="E4852" s="73">
        <v>7.21966577480712E7</v>
      </c>
      <c r="F4852" s="73"/>
      <c r="G4852" s="73"/>
      <c r="H4852" s="73"/>
      <c r="I4852" s="73"/>
      <c r="J4852" s="73"/>
      <c r="K4852" s="73"/>
      <c r="L4852" s="73"/>
      <c r="M4852" s="73"/>
      <c r="N4852" s="73"/>
      <c r="O4852" s="73"/>
      <c r="P4852" s="73"/>
      <c r="Q4852" s="73"/>
      <c r="R4852" s="73"/>
      <c r="S4852" s="73"/>
      <c r="T4852" s="73"/>
      <c r="U4852" s="73"/>
      <c r="V4852" s="73"/>
      <c r="W4852" s="73"/>
      <c r="X4852" s="73"/>
      <c r="Y4852" s="73"/>
      <c r="Z4852" s="73"/>
      <c r="AA4852" s="73"/>
      <c r="AB4852" s="73"/>
    </row>
    <row r="4853">
      <c r="A4853" s="73"/>
      <c r="B4853" s="73">
        <v>2.477539654E7</v>
      </c>
      <c r="C4853" s="73">
        <v>8.40540227532379E8</v>
      </c>
      <c r="D4853" s="73">
        <v>4.75516880831993E8</v>
      </c>
      <c r="E4853" s="73">
        <v>7.22483374584655E7</v>
      </c>
      <c r="F4853" s="73"/>
      <c r="G4853" s="73"/>
      <c r="H4853" s="73"/>
      <c r="I4853" s="73"/>
      <c r="J4853" s="73"/>
      <c r="K4853" s="73"/>
      <c r="L4853" s="73"/>
      <c r="M4853" s="73"/>
      <c r="N4853" s="73"/>
      <c r="O4853" s="73"/>
      <c r="P4853" s="73"/>
      <c r="Q4853" s="73"/>
      <c r="R4853" s="73"/>
      <c r="S4853" s="73"/>
      <c r="T4853" s="73"/>
      <c r="U4853" s="73"/>
      <c r="V4853" s="73"/>
      <c r="W4853" s="73"/>
      <c r="X4853" s="73"/>
      <c r="Y4853" s="73"/>
      <c r="Z4853" s="73"/>
      <c r="AA4853" s="73"/>
      <c r="AB4853" s="73"/>
    </row>
    <row r="4854">
      <c r="A4854" s="73"/>
      <c r="B4854" s="73">
        <v>2.480247815E7</v>
      </c>
      <c r="C4854" s="73">
        <v>8.41011621439285E8</v>
      </c>
      <c r="D4854" s="73">
        <v>4.75827296876002E8</v>
      </c>
      <c r="E4854" s="73">
        <v>7.23000450748422E7</v>
      </c>
      <c r="F4854" s="73"/>
      <c r="G4854" s="73"/>
      <c r="H4854" s="73"/>
      <c r="I4854" s="73"/>
      <c r="J4854" s="73"/>
      <c r="K4854" s="73"/>
      <c r="L4854" s="73"/>
      <c r="M4854" s="73"/>
      <c r="N4854" s="73"/>
      <c r="O4854" s="73"/>
      <c r="P4854" s="73"/>
      <c r="Q4854" s="73"/>
      <c r="R4854" s="73"/>
      <c r="S4854" s="73"/>
      <c r="T4854" s="73"/>
      <c r="U4854" s="73"/>
      <c r="V4854" s="73"/>
      <c r="W4854" s="73"/>
      <c r="X4854" s="73"/>
      <c r="Y4854" s="73"/>
      <c r="Z4854" s="73"/>
      <c r="AA4854" s="73"/>
      <c r="AB4854" s="73"/>
    </row>
    <row r="4855">
      <c r="A4855" s="73"/>
      <c r="B4855" s="73">
        <v>2.482958164E7</v>
      </c>
      <c r="C4855" s="73">
        <v>8.41483279026184E8</v>
      </c>
      <c r="D4855" s="73">
        <v>4.76137837047995E8</v>
      </c>
      <c r="E4855" s="73">
        <v>7.23517746001458E7</v>
      </c>
      <c r="F4855" s="73"/>
      <c r="G4855" s="73"/>
      <c r="H4855" s="73"/>
      <c r="I4855" s="73"/>
      <c r="J4855" s="73"/>
      <c r="K4855" s="73"/>
      <c r="L4855" s="73"/>
      <c r="M4855" s="73"/>
      <c r="N4855" s="73"/>
      <c r="O4855" s="73"/>
      <c r="P4855" s="73"/>
      <c r="Q4855" s="73"/>
      <c r="R4855" s="73"/>
      <c r="S4855" s="73"/>
      <c r="T4855" s="73"/>
      <c r="U4855" s="73"/>
      <c r="V4855" s="73"/>
      <c r="W4855" s="73"/>
      <c r="X4855" s="73"/>
      <c r="Y4855" s="73"/>
      <c r="Z4855" s="73"/>
      <c r="AA4855" s="73"/>
      <c r="AB4855" s="73"/>
    </row>
    <row r="4856">
      <c r="A4856" s="73"/>
      <c r="B4856" s="73">
        <v>2.485670651E7</v>
      </c>
      <c r="C4856" s="73">
        <v>8.41955134373077E8</v>
      </c>
      <c r="D4856" s="73">
        <v>4.76448541347988E8</v>
      </c>
      <c r="E4856" s="73">
        <v>7.24035230663763E7</v>
      </c>
      <c r="F4856" s="73"/>
      <c r="G4856" s="73"/>
      <c r="H4856" s="73"/>
      <c r="I4856" s="73"/>
      <c r="J4856" s="73"/>
      <c r="K4856" s="73"/>
      <c r="L4856" s="73"/>
      <c r="M4856" s="73"/>
      <c r="N4856" s="73"/>
      <c r="O4856" s="73"/>
      <c r="P4856" s="73"/>
      <c r="Q4856" s="73"/>
      <c r="R4856" s="73"/>
      <c r="S4856" s="73"/>
      <c r="T4856" s="73"/>
      <c r="U4856" s="73"/>
      <c r="V4856" s="73"/>
      <c r="W4856" s="73"/>
      <c r="X4856" s="73"/>
      <c r="Y4856" s="73"/>
      <c r="Z4856" s="73"/>
      <c r="AA4856" s="73"/>
      <c r="AB4856" s="73"/>
    </row>
    <row r="4857">
      <c r="A4857" s="73"/>
      <c r="B4857" s="73">
        <v>2.488385231E7</v>
      </c>
      <c r="C4857" s="73">
        <v>8.42427055639969E8</v>
      </c>
      <c r="D4857" s="73">
        <v>4.76759329103997E8</v>
      </c>
      <c r="E4857" s="73">
        <v>7.24553025761891E7</v>
      </c>
      <c r="F4857" s="73"/>
      <c r="G4857" s="73"/>
      <c r="H4857" s="73"/>
      <c r="I4857" s="73"/>
      <c r="J4857" s="73"/>
      <c r="K4857" s="73"/>
      <c r="L4857" s="73"/>
      <c r="M4857" s="73"/>
      <c r="N4857" s="73"/>
      <c r="O4857" s="73"/>
      <c r="P4857" s="73"/>
      <c r="Q4857" s="73"/>
      <c r="R4857" s="73"/>
      <c r="S4857" s="73"/>
      <c r="T4857" s="73"/>
      <c r="U4857" s="73"/>
      <c r="V4857" s="73"/>
      <c r="W4857" s="73"/>
      <c r="X4857" s="73"/>
      <c r="Y4857" s="73"/>
      <c r="Z4857" s="73"/>
      <c r="AA4857" s="73"/>
      <c r="AB4857" s="73"/>
    </row>
    <row r="4858">
      <c r="A4858" s="73"/>
      <c r="B4858" s="73">
        <v>2.491102029E7</v>
      </c>
      <c r="C4858" s="73">
        <v>8.42899240586853E8</v>
      </c>
      <c r="D4858" s="73">
        <v>4.7707028159599E8</v>
      </c>
      <c r="E4858" s="73">
        <v>7.25070995005291E7</v>
      </c>
      <c r="F4858" s="73"/>
      <c r="G4858" s="73"/>
      <c r="H4858" s="73"/>
      <c r="I4858" s="73"/>
      <c r="J4858" s="73"/>
      <c r="K4858" s="73"/>
      <c r="L4858" s="73"/>
      <c r="M4858" s="73"/>
      <c r="N4858" s="73"/>
      <c r="O4858" s="73"/>
      <c r="P4858" s="73"/>
      <c r="Q4858" s="73"/>
      <c r="R4858" s="73"/>
      <c r="S4858" s="73"/>
      <c r="T4858" s="73"/>
      <c r="U4858" s="73"/>
      <c r="V4858" s="73"/>
      <c r="W4858" s="73"/>
      <c r="X4858" s="73"/>
      <c r="Y4858" s="73"/>
      <c r="Z4858" s="73"/>
      <c r="AA4858" s="73"/>
      <c r="AB4858" s="73"/>
    </row>
    <row r="4859">
      <c r="A4859" s="73"/>
      <c r="B4859" s="73">
        <v>2.493820914E7</v>
      </c>
      <c r="C4859" s="73">
        <v>8.43371491453735E8</v>
      </c>
      <c r="D4859" s="73">
        <v>4.77381357575999E8</v>
      </c>
      <c r="E4859" s="73">
        <v>7.25589220955236E7</v>
      </c>
      <c r="F4859" s="73"/>
      <c r="G4859" s="73"/>
      <c r="H4859" s="73"/>
      <c r="I4859" s="73"/>
      <c r="J4859" s="73"/>
      <c r="K4859" s="73"/>
      <c r="L4859" s="73"/>
      <c r="M4859" s="73"/>
      <c r="N4859" s="73"/>
      <c r="O4859" s="73"/>
      <c r="P4859" s="73"/>
      <c r="Q4859" s="73"/>
      <c r="R4859" s="73"/>
      <c r="S4859" s="73"/>
      <c r="T4859" s="73"/>
      <c r="U4859" s="73"/>
      <c r="V4859" s="73"/>
      <c r="W4859" s="73"/>
      <c r="X4859" s="73"/>
      <c r="Y4859" s="73"/>
      <c r="Z4859" s="73"/>
      <c r="AA4859" s="73"/>
      <c r="AB4859" s="73"/>
    </row>
    <row r="4860">
      <c r="A4860" s="73"/>
      <c r="B4860" s="73">
        <v>2.496541937E7</v>
      </c>
      <c r="C4860" s="73">
        <v>8.43843940080612E8</v>
      </c>
      <c r="D4860" s="73">
        <v>4.77692557043992E8</v>
      </c>
      <c r="E4860" s="73">
        <v>7.26107713787727E7</v>
      </c>
      <c r="F4860" s="73"/>
      <c r="G4860" s="73"/>
      <c r="H4860" s="73"/>
      <c r="I4860" s="73"/>
      <c r="J4860" s="73"/>
      <c r="K4860" s="73"/>
      <c r="L4860" s="73"/>
      <c r="M4860" s="73"/>
      <c r="N4860" s="73"/>
      <c r="O4860" s="73"/>
      <c r="P4860" s="73"/>
      <c r="Q4860" s="73"/>
      <c r="R4860" s="73"/>
      <c r="S4860" s="73"/>
      <c r="T4860" s="73"/>
      <c r="U4860" s="73"/>
      <c r="V4860" s="73"/>
      <c r="W4860" s="73"/>
      <c r="X4860" s="73"/>
      <c r="Y4860" s="73"/>
      <c r="Z4860" s="73"/>
      <c r="AA4860" s="73"/>
      <c r="AB4860" s="73"/>
    </row>
    <row r="4861">
      <c r="A4861" s="73"/>
      <c r="B4861" s="73">
        <v>2.499265076E7</v>
      </c>
      <c r="C4861" s="73">
        <v>8.4431671830748E8</v>
      </c>
      <c r="D4861" s="73">
        <v>4.78003921888001E8</v>
      </c>
      <c r="E4861" s="73">
        <v>7.26626401965487E7</v>
      </c>
      <c r="F4861" s="73"/>
      <c r="G4861" s="73"/>
      <c r="H4861" s="73"/>
      <c r="I4861" s="73"/>
      <c r="J4861" s="73"/>
      <c r="K4861" s="73"/>
      <c r="L4861" s="73"/>
      <c r="M4861" s="73"/>
      <c r="N4861" s="73"/>
      <c r="O4861" s="73"/>
      <c r="P4861" s="73"/>
      <c r="Q4861" s="73"/>
      <c r="R4861" s="73"/>
      <c r="S4861" s="73"/>
      <c r="T4861" s="73"/>
      <c r="U4861" s="73"/>
      <c r="V4861" s="73"/>
      <c r="W4861" s="73"/>
      <c r="X4861" s="73"/>
      <c r="Y4861" s="73"/>
      <c r="Z4861" s="73"/>
      <c r="AA4861" s="73"/>
      <c r="AB4861" s="73"/>
    </row>
    <row r="4862">
      <c r="A4862" s="73"/>
      <c r="B4862" s="73">
        <v>2.501990432E7</v>
      </c>
      <c r="C4862" s="73">
        <v>8.44789430614349E8</v>
      </c>
      <c r="D4862" s="73">
        <v>4.78315368939994E8</v>
      </c>
      <c r="E4862" s="73">
        <v>7.27145335825795E7</v>
      </c>
      <c r="F4862" s="73"/>
      <c r="G4862" s="73"/>
      <c r="H4862" s="73"/>
      <c r="I4862" s="73"/>
      <c r="J4862" s="73"/>
      <c r="K4862" s="73"/>
      <c r="L4862" s="73"/>
      <c r="M4862" s="73"/>
      <c r="N4862" s="73"/>
      <c r="O4862" s="73"/>
      <c r="P4862" s="73"/>
      <c r="Q4862" s="73"/>
      <c r="R4862" s="73"/>
      <c r="S4862" s="73"/>
      <c r="T4862" s="73"/>
      <c r="U4862" s="73"/>
      <c r="V4862" s="73"/>
      <c r="W4862" s="73"/>
      <c r="X4862" s="73"/>
      <c r="Y4862" s="73"/>
      <c r="Z4862" s="73"/>
      <c r="AA4862" s="73"/>
      <c r="AB4862" s="73"/>
    </row>
    <row r="4863">
      <c r="A4863" s="73"/>
      <c r="B4863" s="73">
        <v>2.504717874E7</v>
      </c>
      <c r="C4863" s="73">
        <v>8.45262406601212E8</v>
      </c>
      <c r="D4863" s="73">
        <v>4.78627021720002E8</v>
      </c>
      <c r="E4863" s="73">
        <v>7.27664498408649E7</v>
      </c>
      <c r="F4863" s="73"/>
      <c r="G4863" s="73"/>
      <c r="H4863" s="73"/>
      <c r="I4863" s="73"/>
      <c r="J4863" s="73"/>
      <c r="K4863" s="73"/>
      <c r="L4863" s="73"/>
      <c r="M4863" s="73"/>
      <c r="N4863" s="73"/>
      <c r="O4863" s="73"/>
      <c r="P4863" s="73"/>
      <c r="Q4863" s="73"/>
      <c r="R4863" s="73"/>
      <c r="S4863" s="73"/>
      <c r="T4863" s="73"/>
      <c r="U4863" s="73"/>
      <c r="V4863" s="73"/>
      <c r="W4863" s="73"/>
      <c r="X4863" s="73"/>
      <c r="Y4863" s="73"/>
      <c r="Z4863" s="73"/>
      <c r="AA4863" s="73"/>
      <c r="AB4863" s="73"/>
    </row>
    <row r="4864">
      <c r="A4864" s="73"/>
      <c r="B4864" s="73">
        <v>2.507447453E7</v>
      </c>
      <c r="C4864" s="73">
        <v>8.45735580348068E8</v>
      </c>
      <c r="D4864" s="73">
        <v>4.78938757635996E8</v>
      </c>
      <c r="E4864" s="73">
        <v>7.28183915154051E7</v>
      </c>
      <c r="F4864" s="73"/>
      <c r="G4864" s="73"/>
      <c r="H4864" s="73"/>
      <c r="I4864" s="73"/>
      <c r="J4864" s="73"/>
      <c r="K4864" s="73"/>
      <c r="L4864" s="73"/>
      <c r="M4864" s="73"/>
      <c r="N4864" s="73"/>
      <c r="O4864" s="73"/>
      <c r="P4864" s="73"/>
      <c r="Q4864" s="73"/>
      <c r="R4864" s="73"/>
      <c r="S4864" s="73"/>
      <c r="T4864" s="73"/>
      <c r="U4864" s="73"/>
      <c r="V4864" s="73"/>
      <c r="W4864" s="73"/>
      <c r="X4864" s="73"/>
      <c r="Y4864" s="73"/>
      <c r="Z4864" s="73"/>
      <c r="AA4864" s="73"/>
      <c r="AB4864" s="73"/>
    </row>
    <row r="4865">
      <c r="A4865" s="73"/>
      <c r="B4865" s="73">
        <v>2.510179268E7</v>
      </c>
      <c r="C4865" s="73">
        <v>8.46208885934921E8</v>
      </c>
      <c r="D4865" s="73">
        <v>4.79250576047989E8</v>
      </c>
      <c r="E4865" s="73">
        <v>7.28703580125998E7</v>
      </c>
      <c r="F4865" s="73"/>
      <c r="G4865" s="73"/>
      <c r="H4865" s="73"/>
      <c r="I4865" s="73"/>
      <c r="J4865" s="73"/>
      <c r="K4865" s="73"/>
      <c r="L4865" s="73"/>
      <c r="M4865" s="73"/>
      <c r="N4865" s="73"/>
      <c r="O4865" s="73"/>
      <c r="P4865" s="73"/>
      <c r="Q4865" s="73"/>
      <c r="R4865" s="73"/>
      <c r="S4865" s="73"/>
      <c r="T4865" s="73"/>
      <c r="U4865" s="73"/>
      <c r="V4865" s="73"/>
      <c r="W4865" s="73"/>
      <c r="X4865" s="73"/>
      <c r="Y4865" s="73"/>
      <c r="Z4865" s="73"/>
      <c r="AA4865" s="73"/>
      <c r="AB4865" s="73"/>
    </row>
    <row r="4866">
      <c r="A4866" s="73"/>
      <c r="B4866" s="73">
        <v>2.512913111E7</v>
      </c>
      <c r="C4866" s="73">
        <v>8.46682389281769E8</v>
      </c>
      <c r="D4866" s="73">
        <v>4.79562600507998E8</v>
      </c>
      <c r="E4866" s="73">
        <v>7.29223461643214E7</v>
      </c>
      <c r="F4866" s="73"/>
      <c r="G4866" s="73"/>
      <c r="H4866" s="73"/>
      <c r="I4866" s="73"/>
      <c r="J4866" s="73"/>
      <c r="K4866" s="73"/>
      <c r="L4866" s="73"/>
      <c r="M4866" s="73"/>
      <c r="N4866" s="73"/>
      <c r="O4866" s="73"/>
      <c r="P4866" s="73"/>
      <c r="Q4866" s="73"/>
      <c r="R4866" s="73"/>
      <c r="S4866" s="73"/>
      <c r="T4866" s="73"/>
      <c r="U4866" s="73"/>
      <c r="V4866" s="73"/>
      <c r="W4866" s="73"/>
      <c r="X4866" s="73"/>
      <c r="Y4866" s="73"/>
      <c r="Z4866" s="73"/>
      <c r="AA4866" s="73"/>
      <c r="AB4866" s="73"/>
    </row>
    <row r="4867">
      <c r="A4867" s="73"/>
      <c r="B4867" s="73">
        <v>2.515649109E7</v>
      </c>
      <c r="C4867" s="73">
        <v>8.47156024468613E8</v>
      </c>
      <c r="D4867" s="73">
        <v>4.79874707175991E8</v>
      </c>
      <c r="E4867" s="73">
        <v>7.29743571882978E7</v>
      </c>
      <c r="F4867" s="73"/>
      <c r="G4867" s="73"/>
      <c r="H4867" s="73"/>
      <c r="I4867" s="73"/>
      <c r="J4867" s="73"/>
      <c r="K4867" s="73"/>
      <c r="L4867" s="73"/>
      <c r="M4867" s="73"/>
      <c r="N4867" s="73"/>
      <c r="O4867" s="73"/>
      <c r="P4867" s="73"/>
      <c r="Q4867" s="73"/>
      <c r="R4867" s="73"/>
      <c r="S4867" s="73"/>
      <c r="T4867" s="73"/>
      <c r="U4867" s="73"/>
      <c r="V4867" s="73"/>
      <c r="W4867" s="73"/>
      <c r="X4867" s="73"/>
      <c r="Y4867" s="73"/>
      <c r="Z4867" s="73"/>
      <c r="AA4867" s="73"/>
      <c r="AB4867" s="73"/>
    </row>
    <row r="4868">
      <c r="A4868" s="73"/>
      <c r="B4868" s="73">
        <v>2.518387295E7</v>
      </c>
      <c r="C4868" s="73">
        <v>8.47629791495453E8</v>
      </c>
      <c r="D4868" s="73">
        <v>4.80186979219999E8</v>
      </c>
      <c r="E4868" s="73">
        <v>7.30263944765287E7</v>
      </c>
      <c r="F4868" s="73"/>
      <c r="G4868" s="73"/>
      <c r="H4868" s="73"/>
      <c r="I4868" s="73"/>
      <c r="J4868" s="73"/>
      <c r="K4868" s="73"/>
      <c r="L4868" s="73"/>
      <c r="M4868" s="73"/>
      <c r="N4868" s="73"/>
      <c r="O4868" s="73"/>
      <c r="P4868" s="73"/>
      <c r="Q4868" s="73"/>
      <c r="R4868" s="73"/>
      <c r="S4868" s="73"/>
      <c r="T4868" s="73"/>
      <c r="U4868" s="73"/>
      <c r="V4868" s="73"/>
      <c r="W4868" s="73"/>
      <c r="X4868" s="73"/>
      <c r="Y4868" s="73"/>
      <c r="Z4868" s="73"/>
      <c r="AA4868" s="73"/>
      <c r="AB4868" s="73"/>
    </row>
    <row r="4869">
      <c r="A4869" s="73"/>
      <c r="B4869" s="73">
        <v>2.521127648E7</v>
      </c>
      <c r="C4869" s="73">
        <v>8.48103756282288E8</v>
      </c>
      <c r="D4869" s="73">
        <v>4.80499374431993E8</v>
      </c>
      <c r="E4869" s="73">
        <v>7.30784550610144E7</v>
      </c>
      <c r="F4869" s="73"/>
      <c r="G4869" s="73"/>
      <c r="H4869" s="73"/>
      <c r="I4869" s="73"/>
      <c r="J4869" s="73"/>
      <c r="K4869" s="73"/>
      <c r="L4869" s="73"/>
      <c r="M4869" s="73"/>
      <c r="N4869" s="73"/>
      <c r="O4869" s="73"/>
      <c r="P4869" s="73"/>
      <c r="Q4869" s="73"/>
      <c r="R4869" s="73"/>
      <c r="S4869" s="73"/>
      <c r="T4869" s="73"/>
      <c r="U4869" s="73"/>
      <c r="V4869" s="73"/>
      <c r="W4869" s="73"/>
      <c r="X4869" s="73"/>
      <c r="Y4869" s="73"/>
      <c r="Z4869" s="73"/>
      <c r="AA4869" s="73"/>
      <c r="AB4869" s="73"/>
    </row>
    <row r="4870">
      <c r="A4870" s="73"/>
      <c r="B4870" s="73">
        <v>2.523870077E7</v>
      </c>
      <c r="C4870" s="73">
        <v>8.48577852909119E8</v>
      </c>
      <c r="D4870" s="73">
        <v>4.80811893452001E8</v>
      </c>
      <c r="E4870" s="73">
        <v>7.3130535604027E7</v>
      </c>
      <c r="F4870" s="73"/>
      <c r="G4870" s="73"/>
      <c r="H4870" s="73"/>
      <c r="I4870" s="73"/>
      <c r="J4870" s="73"/>
      <c r="K4870" s="73"/>
      <c r="L4870" s="73"/>
      <c r="M4870" s="73"/>
      <c r="N4870" s="73"/>
      <c r="O4870" s="73"/>
      <c r="P4870" s="73"/>
      <c r="Q4870" s="73"/>
      <c r="R4870" s="73"/>
      <c r="S4870" s="73"/>
      <c r="T4870" s="73"/>
      <c r="U4870" s="73"/>
      <c r="V4870" s="73"/>
      <c r="W4870" s="73"/>
      <c r="X4870" s="73"/>
      <c r="Y4870" s="73"/>
      <c r="Z4870" s="73"/>
      <c r="AA4870" s="73"/>
      <c r="AB4870" s="73"/>
    </row>
    <row r="4871">
      <c r="A4871" s="73"/>
      <c r="B4871" s="73">
        <v>2.526614704E7</v>
      </c>
      <c r="C4871" s="73">
        <v>8.49052279135941E8</v>
      </c>
      <c r="D4871" s="73">
        <v>4.81124577527995E8</v>
      </c>
      <c r="E4871" s="73">
        <v>7.31826433440942E7</v>
      </c>
      <c r="F4871" s="73"/>
      <c r="G4871" s="73"/>
      <c r="H4871" s="73"/>
      <c r="I4871" s="73"/>
      <c r="J4871" s="73"/>
      <c r="K4871" s="73"/>
      <c r="L4871" s="73"/>
      <c r="M4871" s="73"/>
      <c r="N4871" s="73"/>
      <c r="O4871" s="73"/>
      <c r="P4871" s="73"/>
      <c r="Q4871" s="73"/>
      <c r="R4871" s="73"/>
      <c r="S4871" s="73"/>
      <c r="T4871" s="73"/>
      <c r="U4871" s="73"/>
      <c r="V4871" s="73"/>
      <c r="W4871" s="73"/>
      <c r="X4871" s="73"/>
      <c r="Y4871" s="73"/>
      <c r="Z4871" s="73"/>
      <c r="AA4871" s="73"/>
      <c r="AB4871" s="73"/>
    </row>
    <row r="4872">
      <c r="A4872" s="73"/>
      <c r="B4872" s="73">
        <v>2.529361506E7</v>
      </c>
      <c r="C4872" s="73">
        <v>8.49526705362762E8</v>
      </c>
      <c r="D4872" s="73">
        <v>4.81437344132003E8</v>
      </c>
      <c r="E4872" s="73">
        <v>7.3234775143616E7</v>
      </c>
      <c r="F4872" s="73"/>
      <c r="G4872" s="73"/>
      <c r="H4872" s="73"/>
      <c r="I4872" s="73"/>
      <c r="J4872" s="73"/>
      <c r="K4872" s="73"/>
      <c r="L4872" s="73"/>
      <c r="M4872" s="73"/>
      <c r="N4872" s="73"/>
      <c r="O4872" s="73"/>
      <c r="P4872" s="73"/>
      <c r="Q4872" s="73"/>
      <c r="R4872" s="73"/>
      <c r="S4872" s="73"/>
      <c r="T4872" s="73"/>
      <c r="U4872" s="73"/>
      <c r="V4872" s="73"/>
      <c r="W4872" s="73"/>
      <c r="X4872" s="73"/>
      <c r="Y4872" s="73"/>
      <c r="Z4872" s="73"/>
      <c r="AA4872" s="73"/>
      <c r="AB4872" s="73"/>
    </row>
    <row r="4873">
      <c r="A4873" s="73"/>
      <c r="B4873" s="73">
        <v>2.532110396E7</v>
      </c>
      <c r="C4873" s="73">
        <v>8.50001329349579E8</v>
      </c>
      <c r="D4873" s="73">
        <v>4.81750275791996E8</v>
      </c>
      <c r="E4873" s="73">
        <v>7.32869276953927E7</v>
      </c>
      <c r="F4873" s="73"/>
      <c r="G4873" s="73"/>
      <c r="H4873" s="73"/>
      <c r="I4873" s="73"/>
      <c r="J4873" s="73"/>
      <c r="K4873" s="73"/>
      <c r="L4873" s="73"/>
      <c r="M4873" s="73"/>
      <c r="N4873" s="73"/>
      <c r="O4873" s="73"/>
      <c r="P4873" s="73"/>
      <c r="Q4873" s="73"/>
      <c r="R4873" s="73"/>
      <c r="S4873" s="73"/>
      <c r="T4873" s="73"/>
      <c r="U4873" s="73"/>
      <c r="V4873" s="73"/>
      <c r="W4873" s="73"/>
      <c r="X4873" s="73"/>
      <c r="Y4873" s="73"/>
      <c r="Z4873" s="73"/>
      <c r="AA4873" s="73"/>
      <c r="AB4873" s="73"/>
    </row>
    <row r="4874">
      <c r="A4874" s="73"/>
      <c r="B4874" s="73">
        <v>2.534861403E7</v>
      </c>
      <c r="C4874" s="73">
        <v>8.50476217016388E8</v>
      </c>
      <c r="D4874" s="73">
        <v>4.8206333122799E8</v>
      </c>
      <c r="E4874" s="73">
        <v>7.33391042760962E7</v>
      </c>
      <c r="F4874" s="73"/>
      <c r="G4874" s="73"/>
      <c r="H4874" s="73"/>
      <c r="I4874" s="73"/>
      <c r="J4874" s="73"/>
      <c r="K4874" s="73"/>
      <c r="L4874" s="73"/>
      <c r="M4874" s="73"/>
      <c r="N4874" s="73"/>
      <c r="O4874" s="73"/>
      <c r="P4874" s="73"/>
      <c r="Q4874" s="73"/>
      <c r="R4874" s="73"/>
      <c r="S4874" s="73"/>
      <c r="T4874" s="73"/>
      <c r="U4874" s="73"/>
      <c r="V4874" s="73"/>
      <c r="W4874" s="73"/>
      <c r="X4874" s="73"/>
      <c r="Y4874" s="73"/>
      <c r="Z4874" s="73"/>
      <c r="AA4874" s="73"/>
      <c r="AB4874" s="73"/>
    </row>
    <row r="4875">
      <c r="A4875" s="73"/>
      <c r="B4875" s="73">
        <v>2.537614696E7</v>
      </c>
      <c r="C4875" s="73">
        <v>8.50951236523193E8</v>
      </c>
      <c r="D4875" s="73">
        <v>4.82376509863998E8</v>
      </c>
      <c r="E4875" s="73">
        <v>7.33913061034542E7</v>
      </c>
      <c r="F4875" s="73"/>
      <c r="G4875" s="73"/>
      <c r="H4875" s="73"/>
      <c r="I4875" s="73"/>
      <c r="J4875" s="73"/>
      <c r="K4875" s="73"/>
      <c r="L4875" s="73"/>
      <c r="M4875" s="73"/>
      <c r="N4875" s="73"/>
      <c r="O4875" s="73"/>
      <c r="P4875" s="73"/>
      <c r="Q4875" s="73"/>
      <c r="R4875" s="73"/>
      <c r="S4875" s="73"/>
      <c r="T4875" s="73"/>
      <c r="U4875" s="73"/>
      <c r="V4875" s="73"/>
      <c r="W4875" s="73"/>
      <c r="X4875" s="73"/>
      <c r="Y4875" s="73"/>
      <c r="Z4875" s="73"/>
      <c r="AA4875" s="73"/>
      <c r="AB4875" s="73"/>
    </row>
    <row r="4876">
      <c r="A4876" s="73"/>
      <c r="B4876" s="73">
        <v>2.540370005E7</v>
      </c>
      <c r="C4876" s="73">
        <v>8.51426321949997E8</v>
      </c>
      <c r="D4876" s="73">
        <v>4.82689853555991E8</v>
      </c>
      <c r="E4876" s="73">
        <v>7.34435329230669E7</v>
      </c>
      <c r="F4876" s="73"/>
      <c r="G4876" s="73"/>
      <c r="H4876" s="73"/>
      <c r="I4876" s="73"/>
      <c r="J4876" s="73"/>
      <c r="K4876" s="73"/>
      <c r="L4876" s="73"/>
      <c r="M4876" s="73"/>
      <c r="N4876" s="73"/>
      <c r="O4876" s="73"/>
      <c r="P4876" s="73"/>
      <c r="Q4876" s="73"/>
      <c r="R4876" s="73"/>
      <c r="S4876" s="73"/>
      <c r="T4876" s="73"/>
      <c r="U4876" s="73"/>
      <c r="V4876" s="73"/>
      <c r="W4876" s="73"/>
      <c r="X4876" s="73"/>
      <c r="Y4876" s="73"/>
      <c r="Z4876" s="73"/>
      <c r="AA4876" s="73"/>
      <c r="AB4876" s="73"/>
    </row>
    <row r="4877">
      <c r="A4877" s="73"/>
      <c r="B4877" s="73">
        <v>2.543127463E7</v>
      </c>
      <c r="C4877" s="73">
        <v>8.51901671056793E8</v>
      </c>
      <c r="D4877" s="73">
        <v>4.83003280064E8</v>
      </c>
      <c r="E4877" s="73">
        <v>7.34957819365344E7</v>
      </c>
      <c r="F4877" s="73"/>
      <c r="G4877" s="73"/>
      <c r="H4877" s="73"/>
      <c r="I4877" s="73"/>
      <c r="J4877" s="73"/>
      <c r="K4877" s="73"/>
      <c r="L4877" s="73"/>
      <c r="M4877" s="73"/>
      <c r="N4877" s="73"/>
      <c r="O4877" s="73"/>
      <c r="P4877" s="73"/>
      <c r="Q4877" s="73"/>
      <c r="R4877" s="73"/>
      <c r="S4877" s="73"/>
      <c r="T4877" s="73"/>
      <c r="U4877" s="73"/>
      <c r="V4877" s="73"/>
      <c r="W4877" s="73"/>
      <c r="X4877" s="73"/>
      <c r="Y4877" s="73"/>
      <c r="Z4877" s="73"/>
      <c r="AA4877" s="73"/>
      <c r="AB4877" s="73"/>
    </row>
    <row r="4878">
      <c r="A4878" s="73"/>
      <c r="B4878" s="73">
        <v>2.545887167E7</v>
      </c>
      <c r="C4878" s="73">
        <v>8.52377217923584E8</v>
      </c>
      <c r="D4878" s="73">
        <v>4.83316871339993E8</v>
      </c>
      <c r="E4878" s="73">
        <v>7.35480511629289E7</v>
      </c>
      <c r="F4878" s="73"/>
      <c r="G4878" s="73"/>
      <c r="H4878" s="73"/>
      <c r="I4878" s="73"/>
      <c r="J4878" s="73"/>
      <c r="K4878" s="73"/>
      <c r="L4878" s="73"/>
      <c r="M4878" s="73"/>
      <c r="N4878" s="73"/>
      <c r="O4878" s="73"/>
      <c r="P4878" s="73"/>
      <c r="Q4878" s="73"/>
      <c r="R4878" s="73"/>
      <c r="S4878" s="73"/>
      <c r="T4878" s="73"/>
      <c r="U4878" s="73"/>
      <c r="V4878" s="73"/>
      <c r="W4878" s="73"/>
      <c r="X4878" s="73"/>
      <c r="Y4878" s="73"/>
      <c r="Z4878" s="73"/>
      <c r="AA4878" s="73"/>
      <c r="AB4878" s="73"/>
    </row>
    <row r="4879">
      <c r="A4879" s="73"/>
      <c r="B4879" s="73">
        <v>2.548648946E7</v>
      </c>
      <c r="C4879" s="73">
        <v>8.52852764790375E8</v>
      </c>
      <c r="D4879" s="73">
        <v>4.83630586104002E8</v>
      </c>
      <c r="E4879" s="73">
        <v>7.36003477559778E7</v>
      </c>
      <c r="F4879" s="73"/>
      <c r="G4879" s="73"/>
      <c r="H4879" s="73"/>
      <c r="I4879" s="73"/>
      <c r="J4879" s="73"/>
      <c r="K4879" s="73"/>
      <c r="L4879" s="73"/>
      <c r="M4879" s="73"/>
      <c r="N4879" s="73"/>
      <c r="O4879" s="73"/>
      <c r="P4879" s="73"/>
      <c r="Q4879" s="73"/>
      <c r="R4879" s="73"/>
      <c r="S4879" s="73"/>
      <c r="T4879" s="73"/>
      <c r="U4879" s="73"/>
      <c r="V4879" s="73"/>
      <c r="W4879" s="73"/>
      <c r="X4879" s="73"/>
      <c r="Y4879" s="73"/>
      <c r="Z4879" s="73"/>
      <c r="AA4879" s="73"/>
      <c r="AB4879" s="73"/>
    </row>
    <row r="4880">
      <c r="A4880" s="73"/>
      <c r="B4880" s="73">
        <v>2.551412863E7</v>
      </c>
      <c r="C4880" s="73">
        <v>8.53328641257156E8</v>
      </c>
      <c r="D4880" s="73">
        <v>4.83944424963995E8</v>
      </c>
      <c r="E4880" s="73">
        <v>7.36526658644816E7</v>
      </c>
      <c r="F4880" s="73"/>
      <c r="G4880" s="73"/>
      <c r="H4880" s="73"/>
      <c r="I4880" s="73"/>
      <c r="J4880" s="73"/>
      <c r="K4880" s="73"/>
      <c r="L4880" s="73"/>
      <c r="M4880" s="73"/>
      <c r="N4880" s="73"/>
      <c r="O4880" s="73"/>
      <c r="P4880" s="73"/>
      <c r="Q4880" s="73"/>
      <c r="R4880" s="73"/>
      <c r="S4880" s="73"/>
      <c r="T4880" s="73"/>
      <c r="U4880" s="73"/>
      <c r="V4880" s="73"/>
      <c r="W4880" s="73"/>
      <c r="X4880" s="73"/>
      <c r="Y4880" s="73"/>
      <c r="Z4880" s="73"/>
      <c r="AA4880" s="73"/>
      <c r="AB4880" s="73"/>
    </row>
    <row r="4881">
      <c r="A4881" s="73"/>
      <c r="B4881" s="73">
        <v>2.554178986E7</v>
      </c>
      <c r="C4881" s="73">
        <v>8.53804583643936E8</v>
      </c>
      <c r="D4881" s="73">
        <v>4.84258387311988E8</v>
      </c>
      <c r="E4881" s="73">
        <v>7.37050120180399E7</v>
      </c>
      <c r="F4881" s="73"/>
      <c r="G4881" s="73"/>
      <c r="H4881" s="73"/>
      <c r="I4881" s="73"/>
      <c r="J4881" s="73"/>
      <c r="K4881" s="73"/>
      <c r="L4881" s="73"/>
      <c r="M4881" s="73"/>
      <c r="N4881" s="73"/>
      <c r="O4881" s="73"/>
      <c r="P4881" s="73"/>
      <c r="Q4881" s="73"/>
      <c r="R4881" s="73"/>
      <c r="S4881" s="73"/>
      <c r="T4881" s="73"/>
      <c r="U4881" s="73"/>
      <c r="V4881" s="73"/>
      <c r="W4881" s="73"/>
      <c r="X4881" s="73"/>
      <c r="Y4881" s="73"/>
      <c r="Z4881" s="73"/>
      <c r="AA4881" s="73"/>
      <c r="AB4881" s="73"/>
    </row>
    <row r="4882">
      <c r="A4882" s="73"/>
      <c r="B4882" s="73">
        <v>2.556947226E7</v>
      </c>
      <c r="C4882" s="73">
        <v>8.5428072379071E8</v>
      </c>
      <c r="D4882" s="73">
        <v>4.84572514107997E8</v>
      </c>
      <c r="E4882" s="73">
        <v>7.3757379687053E7</v>
      </c>
      <c r="F4882" s="73"/>
      <c r="G4882" s="73"/>
      <c r="H4882" s="73"/>
      <c r="I4882" s="73"/>
      <c r="J4882" s="73"/>
      <c r="K4882" s="73"/>
      <c r="L4882" s="73"/>
      <c r="M4882" s="73"/>
      <c r="N4882" s="73"/>
      <c r="O4882" s="73"/>
      <c r="P4882" s="73"/>
      <c r="Q4882" s="73"/>
      <c r="R4882" s="73"/>
      <c r="S4882" s="73"/>
      <c r="T4882" s="73"/>
      <c r="U4882" s="73"/>
      <c r="V4882" s="73"/>
      <c r="W4882" s="73"/>
      <c r="X4882" s="73"/>
      <c r="Y4882" s="73"/>
      <c r="Z4882" s="73"/>
      <c r="AA4882" s="73"/>
      <c r="AB4882" s="73"/>
    </row>
    <row r="4883">
      <c r="A4883" s="73"/>
      <c r="B4883" s="73">
        <v>2.559717634E7</v>
      </c>
      <c r="C4883" s="73">
        <v>8.54757061697479E8</v>
      </c>
      <c r="D4883" s="73">
        <v>4.8488676528799E8</v>
      </c>
      <c r="E4883" s="73">
        <v>7.38097699433929E7</v>
      </c>
      <c r="F4883" s="73"/>
      <c r="G4883" s="73"/>
      <c r="H4883" s="73"/>
      <c r="I4883" s="73"/>
      <c r="J4883" s="73"/>
      <c r="K4883" s="73"/>
      <c r="L4883" s="73"/>
      <c r="M4883" s="73"/>
      <c r="N4883" s="73"/>
      <c r="O4883" s="73"/>
      <c r="P4883" s="73"/>
      <c r="Q4883" s="73"/>
      <c r="R4883" s="73"/>
      <c r="S4883" s="73"/>
      <c r="T4883" s="73"/>
      <c r="U4883" s="73"/>
      <c r="V4883" s="73"/>
      <c r="W4883" s="73"/>
      <c r="X4883" s="73"/>
      <c r="Y4883" s="73"/>
      <c r="Z4883" s="73"/>
      <c r="AA4883" s="73"/>
      <c r="AB4883" s="73"/>
    </row>
    <row r="4884">
      <c r="A4884" s="73"/>
      <c r="B4884" s="73">
        <v>2.562490219E7</v>
      </c>
      <c r="C4884" s="73">
        <v>8.55233663284241E8</v>
      </c>
      <c r="D4884" s="73">
        <v>4.85201139667999E8</v>
      </c>
      <c r="E4884" s="73">
        <v>7.38621834959875E7</v>
      </c>
      <c r="F4884" s="73"/>
      <c r="G4884" s="73"/>
      <c r="H4884" s="73"/>
      <c r="I4884" s="73"/>
      <c r="J4884" s="73"/>
      <c r="K4884" s="73"/>
      <c r="L4884" s="73"/>
      <c r="M4884" s="73"/>
      <c r="N4884" s="73"/>
      <c r="O4884" s="73"/>
      <c r="P4884" s="73"/>
      <c r="Q4884" s="73"/>
      <c r="R4884" s="73"/>
      <c r="S4884" s="73"/>
      <c r="T4884" s="73"/>
      <c r="U4884" s="73"/>
      <c r="V4884" s="73"/>
      <c r="W4884" s="73"/>
      <c r="X4884" s="73"/>
      <c r="Y4884" s="73"/>
      <c r="Z4884" s="73"/>
      <c r="AA4884" s="73"/>
      <c r="AB4884" s="73"/>
    </row>
    <row r="4885">
      <c r="A4885" s="73"/>
      <c r="B4885" s="73">
        <v>2.5652649E7</v>
      </c>
      <c r="C4885" s="73">
        <v>8.55710264871002E8</v>
      </c>
      <c r="D4885" s="73">
        <v>4.85515638143992E8</v>
      </c>
      <c r="E4885" s="73">
        <v>7.39146216168368E7</v>
      </c>
      <c r="F4885" s="73"/>
      <c r="G4885" s="73"/>
      <c r="H4885" s="73"/>
      <c r="I4885" s="73"/>
      <c r="J4885" s="73"/>
      <c r="K4885" s="73"/>
      <c r="L4885" s="73"/>
      <c r="M4885" s="73"/>
      <c r="N4885" s="73"/>
      <c r="O4885" s="73"/>
      <c r="P4885" s="73"/>
      <c r="Q4885" s="73"/>
      <c r="R4885" s="73"/>
      <c r="S4885" s="73"/>
      <c r="T4885" s="73"/>
      <c r="U4885" s="73"/>
      <c r="V4885" s="73"/>
      <c r="W4885" s="73"/>
      <c r="X4885" s="73"/>
      <c r="Y4885" s="73"/>
      <c r="Z4885" s="73"/>
      <c r="AA4885" s="73"/>
      <c r="AB4885" s="73"/>
    </row>
    <row r="4886">
      <c r="A4886" s="73"/>
      <c r="B4886" s="73">
        <v>2.568041685E7</v>
      </c>
      <c r="C4886" s="73">
        <v>8.56187064217758E8</v>
      </c>
      <c r="D4886" s="73">
        <v>4.85830301388001E8</v>
      </c>
      <c r="E4886" s="73">
        <v>7.39670830882129E7</v>
      </c>
      <c r="F4886" s="73"/>
      <c r="G4886" s="73"/>
      <c r="H4886" s="73"/>
      <c r="I4886" s="73"/>
      <c r="J4886" s="73"/>
      <c r="K4886" s="73"/>
      <c r="L4886" s="73"/>
      <c r="M4886" s="73"/>
      <c r="N4886" s="73"/>
      <c r="O4886" s="73"/>
      <c r="P4886" s="73"/>
      <c r="Q4886" s="73"/>
      <c r="R4886" s="73"/>
      <c r="S4886" s="73"/>
      <c r="T4886" s="73"/>
      <c r="U4886" s="73"/>
      <c r="V4886" s="73"/>
      <c r="W4886" s="73"/>
      <c r="X4886" s="73"/>
      <c r="Y4886" s="73"/>
      <c r="Z4886" s="73"/>
      <c r="AA4886" s="73"/>
      <c r="AB4886" s="73"/>
    </row>
    <row r="4887">
      <c r="A4887" s="73"/>
      <c r="B4887" s="73">
        <v>2.570820761E7</v>
      </c>
      <c r="C4887" s="73">
        <v>8.56664193164505E8</v>
      </c>
      <c r="D4887" s="73">
        <v>4.86145047127994E8</v>
      </c>
      <c r="E4887" s="73">
        <v>7.40195707695715E7</v>
      </c>
      <c r="F4887" s="73"/>
      <c r="G4887" s="73"/>
      <c r="H4887" s="73"/>
      <c r="I4887" s="73"/>
      <c r="J4887" s="73"/>
      <c r="K4887" s="73"/>
      <c r="L4887" s="73"/>
      <c r="M4887" s="73"/>
      <c r="N4887" s="73"/>
      <c r="O4887" s="73"/>
      <c r="P4887" s="73"/>
      <c r="Q4887" s="73"/>
      <c r="R4887" s="73"/>
      <c r="S4887" s="73"/>
      <c r="T4887" s="73"/>
      <c r="U4887" s="73"/>
      <c r="V4887" s="73"/>
      <c r="W4887" s="73"/>
      <c r="X4887" s="73"/>
      <c r="Y4887" s="73"/>
      <c r="Z4887" s="73"/>
      <c r="AA4887" s="73"/>
      <c r="AB4887" s="73"/>
    </row>
    <row r="4888">
      <c r="A4888" s="73"/>
      <c r="B4888" s="73">
        <v>2.573601941E7</v>
      </c>
      <c r="C4888" s="73">
        <v>8.57141322111252E8</v>
      </c>
      <c r="D4888" s="73">
        <v>4.86459957956002E8</v>
      </c>
      <c r="E4888" s="73">
        <v>7.40720786638571E7</v>
      </c>
      <c r="F4888" s="73"/>
      <c r="G4888" s="73"/>
      <c r="H4888" s="73"/>
      <c r="I4888" s="73"/>
      <c r="J4888" s="73"/>
      <c r="K4888" s="73"/>
      <c r="L4888" s="73"/>
      <c r="M4888" s="73"/>
      <c r="N4888" s="73"/>
      <c r="O4888" s="73"/>
      <c r="P4888" s="73"/>
      <c r="Q4888" s="73"/>
      <c r="R4888" s="73"/>
      <c r="S4888" s="73"/>
      <c r="T4888" s="73"/>
      <c r="U4888" s="73"/>
      <c r="V4888" s="73"/>
      <c r="W4888" s="73"/>
      <c r="X4888" s="73"/>
      <c r="Y4888" s="73"/>
      <c r="Z4888" s="73"/>
      <c r="AA4888" s="73"/>
      <c r="AB4888" s="73"/>
    </row>
    <row r="4889">
      <c r="A4889" s="73"/>
      <c r="B4889" s="73">
        <v>2.576385198E7</v>
      </c>
      <c r="C4889" s="73">
        <v>8.57618582897995E8</v>
      </c>
      <c r="D4889" s="73">
        <v>4.86774992239996E8</v>
      </c>
      <c r="E4889" s="73">
        <v>7.41246132463971E7</v>
      </c>
      <c r="F4889" s="73"/>
      <c r="G4889" s="73"/>
      <c r="H4889" s="73"/>
      <c r="I4889" s="73"/>
      <c r="J4889" s="73"/>
      <c r="K4889" s="73"/>
      <c r="L4889" s="73"/>
      <c r="M4889" s="73"/>
      <c r="N4889" s="73"/>
      <c r="O4889" s="73"/>
      <c r="P4889" s="73"/>
      <c r="Q4889" s="73"/>
      <c r="R4889" s="73"/>
      <c r="S4889" s="73"/>
      <c r="T4889" s="73"/>
      <c r="U4889" s="73"/>
      <c r="V4889" s="73"/>
      <c r="W4889" s="73"/>
      <c r="X4889" s="73"/>
      <c r="Y4889" s="73"/>
      <c r="Z4889" s="73"/>
      <c r="AA4889" s="73"/>
      <c r="AB4889" s="73"/>
    </row>
    <row r="4890">
      <c r="A4890" s="73"/>
      <c r="B4890" s="73">
        <v>2.579170773E7</v>
      </c>
      <c r="C4890" s="73">
        <v>8.58096173284729E8</v>
      </c>
      <c r="D4890" s="73">
        <v>4.87090150651989E8</v>
      </c>
      <c r="E4890" s="73">
        <v>7.41771680418642E7</v>
      </c>
      <c r="F4890" s="73"/>
      <c r="G4890" s="73"/>
      <c r="H4890" s="73"/>
      <c r="I4890" s="73"/>
      <c r="J4890" s="73"/>
      <c r="K4890" s="73"/>
      <c r="L4890" s="73"/>
      <c r="M4890" s="73"/>
      <c r="N4890" s="73"/>
      <c r="O4890" s="73"/>
      <c r="P4890" s="73"/>
      <c r="Q4890" s="73"/>
      <c r="R4890" s="73"/>
      <c r="S4890" s="73"/>
      <c r="T4890" s="73"/>
      <c r="U4890" s="73"/>
      <c r="V4890" s="73"/>
      <c r="W4890" s="73"/>
      <c r="X4890" s="73"/>
      <c r="Y4890" s="73"/>
      <c r="Z4890" s="73"/>
      <c r="AA4890" s="73"/>
      <c r="AB4890" s="73"/>
    </row>
    <row r="4891">
      <c r="A4891" s="73"/>
      <c r="B4891" s="73">
        <v>2.581958344E7</v>
      </c>
      <c r="C4891" s="73">
        <v>8.58573829591461E8</v>
      </c>
      <c r="D4891" s="73">
        <v>4.87405473191998E8</v>
      </c>
      <c r="E4891" s="73">
        <v>7.42297481687858E7</v>
      </c>
      <c r="F4891" s="73"/>
      <c r="G4891" s="73"/>
      <c r="H4891" s="73"/>
      <c r="I4891" s="73"/>
      <c r="J4891" s="73"/>
      <c r="K4891" s="73"/>
      <c r="L4891" s="73"/>
      <c r="M4891" s="73"/>
      <c r="N4891" s="73"/>
      <c r="O4891" s="73"/>
      <c r="P4891" s="73"/>
      <c r="Q4891" s="73"/>
      <c r="R4891" s="73"/>
      <c r="S4891" s="73"/>
      <c r="T4891" s="73"/>
      <c r="U4891" s="73"/>
      <c r="V4891" s="73"/>
      <c r="W4891" s="73"/>
      <c r="X4891" s="73"/>
      <c r="Y4891" s="73"/>
      <c r="Z4891" s="73"/>
      <c r="AA4891" s="73"/>
      <c r="AB4891" s="73"/>
    </row>
    <row r="4892">
      <c r="A4892" s="73"/>
      <c r="B4892" s="73">
        <v>2.584748172E7</v>
      </c>
      <c r="C4892" s="73">
        <v>8.5905161773819E8</v>
      </c>
      <c r="D4892" s="73">
        <v>4.87720878867991E8</v>
      </c>
      <c r="E4892" s="73">
        <v>7.42823534880901E7</v>
      </c>
      <c r="F4892" s="73"/>
      <c r="G4892" s="73"/>
      <c r="H4892" s="73"/>
      <c r="I4892" s="73"/>
      <c r="J4892" s="73"/>
      <c r="K4892" s="73"/>
      <c r="L4892" s="73"/>
      <c r="M4892" s="73"/>
      <c r="N4892" s="73"/>
      <c r="O4892" s="73"/>
      <c r="P4892" s="73"/>
      <c r="Q4892" s="73"/>
      <c r="R4892" s="73"/>
      <c r="S4892" s="73"/>
      <c r="T4892" s="73"/>
      <c r="U4892" s="73"/>
      <c r="V4892" s="73"/>
      <c r="W4892" s="73"/>
      <c r="X4892" s="73"/>
      <c r="Y4892" s="73"/>
      <c r="Z4892" s="73"/>
      <c r="AA4892" s="73"/>
      <c r="AB4892" s="73"/>
    </row>
    <row r="4893">
      <c r="A4893" s="73"/>
      <c r="B4893" s="73">
        <v>2.587540156E7</v>
      </c>
      <c r="C4893" s="73">
        <v>8.59529669564911E8</v>
      </c>
      <c r="D4893" s="73">
        <v>4.88036490271999E8</v>
      </c>
      <c r="E4893" s="73">
        <v>7.43349817339211E7</v>
      </c>
      <c r="F4893" s="73"/>
      <c r="G4893" s="73"/>
      <c r="H4893" s="73"/>
      <c r="I4893" s="73"/>
      <c r="J4893" s="73"/>
      <c r="K4893" s="73"/>
      <c r="L4893" s="73"/>
      <c r="M4893" s="73"/>
      <c r="N4893" s="73"/>
      <c r="O4893" s="73"/>
      <c r="P4893" s="73"/>
      <c r="Q4893" s="73"/>
      <c r="R4893" s="73"/>
      <c r="S4893" s="73"/>
      <c r="T4893" s="73"/>
      <c r="U4893" s="73"/>
      <c r="V4893" s="73"/>
      <c r="W4893" s="73"/>
      <c r="X4893" s="73"/>
      <c r="Y4893" s="73"/>
      <c r="Z4893" s="73"/>
      <c r="AA4893" s="73"/>
      <c r="AB4893" s="73"/>
    </row>
    <row r="4894">
      <c r="A4894" s="73"/>
      <c r="B4894" s="73">
        <v>2.590334267E7</v>
      </c>
      <c r="C4894" s="73">
        <v>8.60007853231628E8</v>
      </c>
      <c r="D4894" s="73">
        <v>4.88352184171993E8</v>
      </c>
      <c r="E4894" s="73">
        <v>7.4387631295079E7</v>
      </c>
      <c r="F4894" s="73"/>
      <c r="G4894" s="73"/>
      <c r="H4894" s="73"/>
      <c r="I4894" s="73"/>
      <c r="J4894" s="73"/>
      <c r="K4894" s="73"/>
      <c r="L4894" s="73"/>
      <c r="M4894" s="73"/>
      <c r="N4894" s="73"/>
      <c r="O4894" s="73"/>
      <c r="P4894" s="73"/>
      <c r="Q4894" s="73"/>
      <c r="R4894" s="73"/>
      <c r="S4894" s="73"/>
      <c r="T4894" s="73"/>
      <c r="U4894" s="73"/>
      <c r="V4894" s="73"/>
      <c r="W4894" s="73"/>
      <c r="X4894" s="73"/>
      <c r="Y4894" s="73"/>
      <c r="Z4894" s="73"/>
      <c r="AA4894" s="73"/>
      <c r="AB4894" s="73"/>
    </row>
    <row r="4895">
      <c r="A4895" s="73"/>
      <c r="B4895" s="73">
        <v>2.593130516E7</v>
      </c>
      <c r="C4895" s="73">
        <v>8.60486168738342E8</v>
      </c>
      <c r="D4895" s="73">
        <v>4.88668002200001E8</v>
      </c>
      <c r="E4895" s="73">
        <v>7.44403074054195E7</v>
      </c>
      <c r="F4895" s="73"/>
      <c r="G4895" s="73"/>
      <c r="H4895" s="73"/>
      <c r="I4895" s="73"/>
      <c r="J4895" s="73"/>
      <c r="K4895" s="73"/>
      <c r="L4895" s="73"/>
      <c r="M4895" s="73"/>
      <c r="N4895" s="73"/>
      <c r="O4895" s="73"/>
      <c r="P4895" s="73"/>
      <c r="Q4895" s="73"/>
      <c r="R4895" s="73"/>
      <c r="S4895" s="73"/>
      <c r="T4895" s="73"/>
      <c r="U4895" s="73"/>
      <c r="V4895" s="73"/>
      <c r="W4895" s="73"/>
      <c r="X4895" s="73"/>
      <c r="Y4895" s="73"/>
      <c r="Z4895" s="73"/>
      <c r="AA4895" s="73"/>
      <c r="AB4895" s="73"/>
    </row>
    <row r="4896">
      <c r="A4896" s="73"/>
      <c r="B4896" s="73">
        <v>2.595928939E7</v>
      </c>
      <c r="C4896" s="73">
        <v>8.60964682005051E8</v>
      </c>
      <c r="D4896" s="73">
        <v>4.88983984963995E8</v>
      </c>
      <c r="E4896" s="73">
        <v>7.44930061030867E7</v>
      </c>
      <c r="F4896" s="73"/>
      <c r="G4896" s="73"/>
      <c r="H4896" s="73"/>
      <c r="I4896" s="73"/>
      <c r="J4896" s="73"/>
      <c r="K4896" s="73"/>
      <c r="L4896" s="73"/>
      <c r="M4896" s="73"/>
      <c r="N4896" s="73"/>
      <c r="O4896" s="73"/>
      <c r="P4896" s="73"/>
      <c r="Q4896" s="73"/>
      <c r="R4896" s="73"/>
      <c r="S4896" s="73"/>
      <c r="T4896" s="73"/>
      <c r="U4896" s="73"/>
      <c r="V4896" s="73"/>
      <c r="W4896" s="73"/>
      <c r="X4896" s="73"/>
      <c r="Y4896" s="73"/>
      <c r="Z4896" s="73"/>
      <c r="AA4896" s="73"/>
      <c r="AB4896" s="73"/>
    </row>
    <row r="4897">
      <c r="A4897" s="73"/>
      <c r="B4897" s="73">
        <v>2.598729491E7</v>
      </c>
      <c r="C4897" s="73">
        <v>8.61443393031754E8</v>
      </c>
      <c r="D4897" s="73">
        <v>4.89300091216003E8</v>
      </c>
      <c r="E4897" s="73">
        <v>7.45457301322086E7</v>
      </c>
      <c r="F4897" s="73"/>
      <c r="G4897" s="73"/>
      <c r="H4897" s="73"/>
      <c r="I4897" s="73"/>
      <c r="J4897" s="73"/>
      <c r="K4897" s="73"/>
      <c r="L4897" s="73"/>
      <c r="M4897" s="73"/>
      <c r="N4897" s="73"/>
      <c r="O4897" s="73"/>
      <c r="P4897" s="73"/>
      <c r="Q4897" s="73"/>
      <c r="R4897" s="73"/>
      <c r="S4897" s="73"/>
      <c r="T4897" s="73"/>
      <c r="U4897" s="73"/>
      <c r="V4897" s="73"/>
      <c r="W4897" s="73"/>
      <c r="X4897" s="73"/>
      <c r="Y4897" s="73"/>
      <c r="Z4897" s="73"/>
      <c r="AA4897" s="73"/>
      <c r="AB4897" s="73"/>
    </row>
    <row r="4898">
      <c r="A4898" s="73"/>
      <c r="B4898" s="73">
        <v>2.601532231E7</v>
      </c>
      <c r="C4898" s="73">
        <v>8.61922169978455E8</v>
      </c>
      <c r="D4898" s="73">
        <v>4.89616280315996E8</v>
      </c>
      <c r="E4898" s="73">
        <v>7.45984764399853E7</v>
      </c>
      <c r="F4898" s="73"/>
      <c r="G4898" s="73"/>
      <c r="H4898" s="73"/>
      <c r="I4898" s="73"/>
      <c r="J4898" s="73"/>
      <c r="K4898" s="73"/>
      <c r="L4898" s="73"/>
      <c r="M4898" s="73"/>
      <c r="N4898" s="73"/>
      <c r="O4898" s="73"/>
      <c r="P4898" s="73"/>
      <c r="Q4898" s="73"/>
      <c r="R4898" s="73"/>
      <c r="S4898" s="73"/>
      <c r="T4898" s="73"/>
      <c r="U4898" s="73"/>
      <c r="V4898" s="73"/>
      <c r="W4898" s="73"/>
      <c r="X4898" s="73"/>
      <c r="Y4898" s="73"/>
      <c r="Z4898" s="73"/>
      <c r="AA4898" s="73"/>
      <c r="AB4898" s="73"/>
    </row>
    <row r="4899">
      <c r="A4899" s="73"/>
      <c r="B4899" s="73">
        <v>2.604337204E7</v>
      </c>
      <c r="C4899" s="73">
        <v>8.62401276525146E8</v>
      </c>
      <c r="D4899" s="73">
        <v>4.8993263415199E8</v>
      </c>
      <c r="E4899" s="73">
        <v>7.46512459286887E7</v>
      </c>
      <c r="F4899" s="73"/>
      <c r="G4899" s="73"/>
      <c r="H4899" s="73"/>
      <c r="I4899" s="73"/>
      <c r="J4899" s="73"/>
      <c r="K4899" s="73"/>
      <c r="L4899" s="73"/>
      <c r="M4899" s="73"/>
      <c r="N4899" s="73"/>
      <c r="O4899" s="73"/>
      <c r="P4899" s="73"/>
      <c r="Q4899" s="73"/>
      <c r="R4899" s="73"/>
      <c r="S4899" s="73"/>
      <c r="T4899" s="73"/>
      <c r="U4899" s="73"/>
      <c r="V4899" s="73"/>
      <c r="W4899" s="73"/>
      <c r="X4899" s="73"/>
      <c r="Y4899" s="73"/>
      <c r="Z4899" s="73"/>
      <c r="AA4899" s="73"/>
      <c r="AB4899" s="73"/>
    </row>
    <row r="4900">
      <c r="A4900" s="73"/>
      <c r="B4900" s="73">
        <v>2.607144207E7</v>
      </c>
      <c r="C4900" s="73">
        <v>8.62880514911835E8</v>
      </c>
      <c r="D4900" s="73">
        <v>4.90249152435998E8</v>
      </c>
      <c r="E4900" s="73">
        <v>7.47040393920468E7</v>
      </c>
      <c r="F4900" s="73"/>
      <c r="G4900" s="73"/>
      <c r="H4900" s="73"/>
      <c r="I4900" s="73"/>
      <c r="J4900" s="73"/>
      <c r="K4900" s="73"/>
      <c r="L4900" s="73"/>
      <c r="M4900" s="73"/>
      <c r="N4900" s="73"/>
      <c r="O4900" s="73"/>
      <c r="P4900" s="73"/>
      <c r="Q4900" s="73"/>
      <c r="R4900" s="73"/>
      <c r="S4900" s="73"/>
      <c r="T4900" s="73"/>
      <c r="U4900" s="73"/>
      <c r="V4900" s="73"/>
      <c r="W4900" s="73"/>
      <c r="X4900" s="73"/>
      <c r="Y4900" s="73"/>
      <c r="Z4900" s="73"/>
      <c r="AA4900" s="73"/>
      <c r="AB4900" s="73"/>
    </row>
    <row r="4901">
      <c r="A4901" s="73"/>
      <c r="B4901" s="73">
        <v>2.609953414E7</v>
      </c>
      <c r="C4901" s="73">
        <v>8.63359819218521E8</v>
      </c>
      <c r="D4901" s="73">
        <v>4.90565754175991E8</v>
      </c>
      <c r="E4901" s="73">
        <v>7.47568591501875E7</v>
      </c>
      <c r="F4901" s="73"/>
      <c r="G4901" s="73"/>
      <c r="H4901" s="73"/>
      <c r="I4901" s="73"/>
      <c r="J4901" s="73"/>
      <c r="K4901" s="73"/>
      <c r="L4901" s="73"/>
      <c r="M4901" s="73"/>
      <c r="N4901" s="73"/>
      <c r="O4901" s="73"/>
      <c r="P4901" s="73"/>
      <c r="Q4901" s="73"/>
      <c r="R4901" s="73"/>
      <c r="S4901" s="73"/>
      <c r="T4901" s="73"/>
      <c r="U4901" s="73"/>
      <c r="V4901" s="73"/>
      <c r="W4901" s="73"/>
      <c r="X4901" s="73"/>
      <c r="Y4901" s="73"/>
      <c r="Z4901" s="73"/>
      <c r="AA4901" s="73"/>
      <c r="AB4901" s="73"/>
    </row>
    <row r="4902">
      <c r="A4902" s="73"/>
      <c r="B4902" s="73">
        <v>2.61276485E7</v>
      </c>
      <c r="C4902" s="73">
        <v>8.63839321285202E8</v>
      </c>
      <c r="D4902" s="73">
        <v>4.90882520044E8</v>
      </c>
      <c r="E4902" s="73">
        <v>7.48096995147271E7</v>
      </c>
      <c r="F4902" s="73"/>
      <c r="G4902" s="73"/>
      <c r="H4902" s="73"/>
      <c r="I4902" s="73"/>
      <c r="J4902" s="73"/>
      <c r="K4902" s="73"/>
      <c r="L4902" s="73"/>
      <c r="M4902" s="73"/>
      <c r="N4902" s="73"/>
      <c r="O4902" s="73"/>
      <c r="P4902" s="73"/>
      <c r="Q4902" s="73"/>
      <c r="R4902" s="73"/>
      <c r="S4902" s="73"/>
      <c r="T4902" s="73"/>
      <c r="U4902" s="73"/>
      <c r="V4902" s="73"/>
      <c r="W4902" s="73"/>
      <c r="X4902" s="73"/>
      <c r="Y4902" s="73"/>
      <c r="Z4902" s="73"/>
      <c r="AA4902" s="73"/>
      <c r="AB4902" s="73"/>
    </row>
    <row r="4903">
      <c r="A4903" s="73"/>
      <c r="B4903" s="73">
        <v>2.615578422E7</v>
      </c>
      <c r="C4903" s="73">
        <v>8.64319021111877E8</v>
      </c>
      <c r="D4903" s="73">
        <v>4.91199450967993E8</v>
      </c>
      <c r="E4903" s="73">
        <v>7.48625640540494E7</v>
      </c>
      <c r="F4903" s="73"/>
      <c r="G4903" s="73"/>
      <c r="H4903" s="73"/>
      <c r="I4903" s="73"/>
      <c r="J4903" s="73"/>
      <c r="K4903" s="73"/>
      <c r="L4903" s="73"/>
      <c r="M4903" s="73"/>
      <c r="N4903" s="73"/>
      <c r="O4903" s="73"/>
      <c r="P4903" s="73"/>
      <c r="Q4903" s="73"/>
      <c r="R4903" s="73"/>
      <c r="S4903" s="73"/>
      <c r="T4903" s="73"/>
      <c r="U4903" s="73"/>
      <c r="V4903" s="73"/>
      <c r="W4903" s="73"/>
      <c r="X4903" s="73"/>
      <c r="Y4903" s="73"/>
      <c r="Z4903" s="73"/>
      <c r="AA4903" s="73"/>
      <c r="AB4903" s="73"/>
    </row>
    <row r="4904">
      <c r="A4904" s="73"/>
      <c r="B4904" s="73">
        <v>2.618394051E7</v>
      </c>
      <c r="C4904" s="73">
        <v>8.64798852778549E8</v>
      </c>
      <c r="D4904" s="73">
        <v>4.91516464740002E8</v>
      </c>
      <c r="E4904" s="73">
        <v>7.49154526222984E7</v>
      </c>
      <c r="F4904" s="73"/>
      <c r="G4904" s="73"/>
      <c r="H4904" s="73"/>
      <c r="I4904" s="73"/>
      <c r="J4904" s="73"/>
      <c r="K4904" s="73"/>
      <c r="L4904" s="73"/>
      <c r="M4904" s="73"/>
      <c r="N4904" s="73"/>
      <c r="O4904" s="73"/>
      <c r="P4904" s="73"/>
      <c r="Q4904" s="73"/>
      <c r="R4904" s="73"/>
      <c r="S4904" s="73"/>
      <c r="T4904" s="73"/>
      <c r="U4904" s="73"/>
      <c r="V4904" s="73"/>
      <c r="W4904" s="73"/>
      <c r="X4904" s="73"/>
      <c r="Y4904" s="73"/>
      <c r="Z4904" s="73"/>
      <c r="AA4904" s="73"/>
      <c r="AB4904" s="73"/>
    </row>
    <row r="4905">
      <c r="A4905" s="73"/>
      <c r="B4905" s="73">
        <v>2.621211958E7</v>
      </c>
      <c r="C4905" s="73">
        <v>8.65278882205215E8</v>
      </c>
      <c r="D4905" s="73">
        <v>4.91833601679995E8</v>
      </c>
      <c r="E4905" s="73">
        <v>7.49683680789299E7</v>
      </c>
      <c r="F4905" s="73"/>
      <c r="G4905" s="73"/>
      <c r="H4905" s="73"/>
      <c r="I4905" s="73"/>
      <c r="J4905" s="73"/>
      <c r="K4905" s="73"/>
      <c r="L4905" s="73"/>
      <c r="M4905" s="73"/>
      <c r="N4905" s="73"/>
      <c r="O4905" s="73"/>
      <c r="P4905" s="73"/>
      <c r="Q4905" s="73"/>
      <c r="R4905" s="73"/>
      <c r="S4905" s="73"/>
      <c r="T4905" s="73"/>
      <c r="U4905" s="73"/>
      <c r="V4905" s="73"/>
      <c r="W4905" s="73"/>
      <c r="X4905" s="73"/>
      <c r="Y4905" s="73"/>
      <c r="Z4905" s="73"/>
      <c r="AA4905" s="73"/>
      <c r="AB4905" s="73"/>
    </row>
    <row r="4906">
      <c r="A4906" s="73"/>
      <c r="B4906" s="73">
        <v>2.624031997E7</v>
      </c>
      <c r="C4906" s="73">
        <v>8.65759109391876E8</v>
      </c>
      <c r="D4906" s="73">
        <v>4.92150903995988E8</v>
      </c>
      <c r="E4906" s="73">
        <v>7.50213031243604E7</v>
      </c>
      <c r="F4906" s="73"/>
      <c r="G4906" s="73"/>
      <c r="H4906" s="73"/>
      <c r="I4906" s="73"/>
      <c r="J4906" s="73"/>
      <c r="K4906" s="73"/>
      <c r="L4906" s="73"/>
      <c r="M4906" s="73"/>
      <c r="N4906" s="73"/>
      <c r="O4906" s="73"/>
      <c r="P4906" s="73"/>
      <c r="Q4906" s="73"/>
      <c r="R4906" s="73"/>
      <c r="S4906" s="73"/>
      <c r="T4906" s="73"/>
      <c r="U4906" s="73"/>
      <c r="V4906" s="73"/>
      <c r="W4906" s="73"/>
      <c r="X4906" s="73"/>
      <c r="Y4906" s="73"/>
      <c r="Z4906" s="73"/>
      <c r="AA4906" s="73"/>
      <c r="AB4906" s="73"/>
    </row>
    <row r="4907">
      <c r="A4907" s="73"/>
      <c r="B4907" s="73">
        <v>2.626854169E7</v>
      </c>
      <c r="C4907" s="73">
        <v>8.66239468418533E8</v>
      </c>
      <c r="D4907" s="73">
        <v>4.92468329799997E8</v>
      </c>
      <c r="E4907" s="73">
        <v>7.50742637861735E7</v>
      </c>
      <c r="F4907" s="73"/>
      <c r="G4907" s="73"/>
      <c r="H4907" s="73"/>
      <c r="I4907" s="73"/>
      <c r="J4907" s="73"/>
      <c r="K4907" s="73"/>
      <c r="L4907" s="73"/>
      <c r="M4907" s="73"/>
      <c r="N4907" s="73"/>
      <c r="O4907" s="73"/>
      <c r="P4907" s="73"/>
      <c r="Q4907" s="73"/>
      <c r="R4907" s="73"/>
      <c r="S4907" s="73"/>
      <c r="T4907" s="73"/>
      <c r="U4907" s="73"/>
      <c r="V4907" s="73"/>
      <c r="W4907" s="73"/>
      <c r="X4907" s="73"/>
      <c r="Y4907" s="73"/>
      <c r="Z4907" s="73"/>
      <c r="AA4907" s="73"/>
      <c r="AB4907" s="73"/>
    </row>
    <row r="4908">
      <c r="A4908" s="73"/>
      <c r="B4908" s="73">
        <v>2.629678603E7</v>
      </c>
      <c r="C4908" s="73">
        <v>8.66719959285187E8</v>
      </c>
      <c r="D4908" s="73">
        <v>4.9278587937999E8</v>
      </c>
      <c r="E4908" s="73">
        <v>7.51272473745134E7</v>
      </c>
      <c r="F4908" s="73"/>
      <c r="G4908" s="73"/>
      <c r="H4908" s="73"/>
      <c r="I4908" s="73"/>
      <c r="J4908" s="73"/>
      <c r="K4908" s="73"/>
      <c r="L4908" s="73"/>
      <c r="M4908" s="73"/>
      <c r="N4908" s="73"/>
      <c r="O4908" s="73"/>
      <c r="P4908" s="73"/>
      <c r="Q4908" s="73"/>
      <c r="R4908" s="73"/>
      <c r="S4908" s="73"/>
      <c r="T4908" s="73"/>
      <c r="U4908" s="73"/>
      <c r="V4908" s="73"/>
      <c r="W4908" s="73"/>
      <c r="X4908" s="73"/>
      <c r="Y4908" s="73"/>
      <c r="Z4908" s="73"/>
      <c r="AA4908" s="73"/>
      <c r="AB4908" s="73"/>
    </row>
    <row r="4909">
      <c r="A4909" s="73"/>
      <c r="B4909" s="73">
        <v>2.632505056E7</v>
      </c>
      <c r="C4909" s="73">
        <v>8.67200647911835E8</v>
      </c>
      <c r="D4909" s="73">
        <v>4.93103593407999E8</v>
      </c>
      <c r="E4909" s="73">
        <v>7.51802562400359E7</v>
      </c>
      <c r="F4909" s="73"/>
      <c r="G4909" s="73"/>
      <c r="H4909" s="73"/>
      <c r="I4909" s="73"/>
      <c r="J4909" s="73"/>
      <c r="K4909" s="73"/>
      <c r="L4909" s="73"/>
      <c r="M4909" s="73"/>
      <c r="N4909" s="73"/>
      <c r="O4909" s="73"/>
      <c r="P4909" s="73"/>
      <c r="Q4909" s="73"/>
      <c r="R4909" s="73"/>
      <c r="S4909" s="73"/>
      <c r="T4909" s="73"/>
      <c r="U4909" s="73"/>
      <c r="V4909" s="73"/>
      <c r="W4909" s="73"/>
      <c r="X4909" s="73"/>
      <c r="Y4909" s="73"/>
      <c r="Z4909" s="73"/>
      <c r="AA4909" s="73"/>
      <c r="AB4909" s="73"/>
    </row>
    <row r="4910">
      <c r="A4910" s="73"/>
      <c r="B4910" s="73">
        <v>2.635333795E7</v>
      </c>
      <c r="C4910" s="73">
        <v>8.67681534298477E8</v>
      </c>
      <c r="D4910" s="73">
        <v>4.93421390603992E8</v>
      </c>
      <c r="E4910" s="73">
        <v>7.52332887104851E7</v>
      </c>
      <c r="F4910" s="73"/>
      <c r="G4910" s="73"/>
      <c r="H4910" s="73"/>
      <c r="I4910" s="73"/>
      <c r="J4910" s="73"/>
      <c r="K4910" s="73"/>
      <c r="L4910" s="73"/>
      <c r="M4910" s="73"/>
      <c r="N4910" s="73"/>
      <c r="O4910" s="73"/>
      <c r="P4910" s="73"/>
      <c r="Q4910" s="73"/>
      <c r="R4910" s="73"/>
      <c r="S4910" s="73"/>
      <c r="T4910" s="73"/>
      <c r="U4910" s="73"/>
      <c r="V4910" s="73"/>
      <c r="W4910" s="73"/>
      <c r="X4910" s="73"/>
      <c r="Y4910" s="73"/>
      <c r="Z4910" s="73"/>
      <c r="AA4910" s="73"/>
      <c r="AB4910" s="73"/>
    </row>
    <row r="4911">
      <c r="A4911" s="73"/>
      <c r="B4911" s="73">
        <v>2.63816464E7</v>
      </c>
      <c r="C4911" s="73">
        <v>8.68162618445114E8</v>
      </c>
      <c r="D4911" s="73">
        <v>4.93739352216001E8</v>
      </c>
      <c r="E4911" s="73">
        <v>7.52863447315891E7</v>
      </c>
      <c r="F4911" s="73"/>
      <c r="G4911" s="73"/>
      <c r="H4911" s="73"/>
      <c r="I4911" s="73"/>
      <c r="J4911" s="73"/>
      <c r="K4911" s="73"/>
      <c r="L4911" s="73"/>
      <c r="M4911" s="73"/>
      <c r="N4911" s="73"/>
      <c r="O4911" s="73"/>
      <c r="P4911" s="73"/>
      <c r="Q4911" s="73"/>
      <c r="R4911" s="73"/>
      <c r="S4911" s="73"/>
      <c r="T4911" s="73"/>
      <c r="U4911" s="73"/>
      <c r="V4911" s="73"/>
      <c r="W4911" s="73"/>
      <c r="X4911" s="73"/>
      <c r="Y4911" s="73"/>
      <c r="Z4911" s="73"/>
      <c r="AA4911" s="73"/>
      <c r="AB4911" s="73"/>
    </row>
    <row r="4912">
      <c r="A4912" s="73"/>
      <c r="B4912" s="73">
        <v>2.640997622E7</v>
      </c>
      <c r="C4912" s="73">
        <v>8.68643768511749E8</v>
      </c>
      <c r="D4912" s="73">
        <v>4.94057438243994E8</v>
      </c>
      <c r="E4912" s="73">
        <v>7.53394228312198E7</v>
      </c>
      <c r="F4912" s="73"/>
      <c r="G4912" s="73"/>
      <c r="H4912" s="73"/>
      <c r="I4912" s="73"/>
      <c r="J4912" s="73"/>
      <c r="K4912" s="73"/>
      <c r="L4912" s="73"/>
      <c r="M4912" s="73"/>
      <c r="N4912" s="73"/>
      <c r="O4912" s="73"/>
      <c r="P4912" s="73"/>
      <c r="Q4912" s="73"/>
      <c r="R4912" s="73"/>
      <c r="S4912" s="73"/>
      <c r="T4912" s="73"/>
      <c r="U4912" s="73"/>
      <c r="V4912" s="73"/>
      <c r="W4912" s="73"/>
      <c r="X4912" s="73"/>
      <c r="Y4912" s="73"/>
      <c r="Z4912" s="73"/>
      <c r="AA4912" s="73"/>
      <c r="AB4912" s="73"/>
    </row>
    <row r="4913">
      <c r="A4913" s="73"/>
      <c r="B4913" s="73">
        <v>2.643832872E7</v>
      </c>
      <c r="C4913" s="73">
        <v>8.69125248178375E8</v>
      </c>
      <c r="D4913" s="73">
        <v>4.94375688400002E8</v>
      </c>
      <c r="E4913" s="73">
        <v>7.53925236335054E7</v>
      </c>
      <c r="F4913" s="73"/>
      <c r="G4913" s="73"/>
      <c r="H4913" s="73"/>
      <c r="I4913" s="73"/>
      <c r="J4913" s="73"/>
      <c r="K4913" s="73"/>
      <c r="L4913" s="73"/>
      <c r="M4913" s="73"/>
      <c r="N4913" s="73"/>
      <c r="O4913" s="73"/>
      <c r="P4913" s="73"/>
      <c r="Q4913" s="73"/>
      <c r="R4913" s="73"/>
      <c r="S4913" s="73"/>
      <c r="T4913" s="73"/>
      <c r="U4913" s="73"/>
      <c r="V4913" s="73"/>
      <c r="W4913" s="73"/>
      <c r="X4913" s="73"/>
      <c r="Y4913" s="73"/>
      <c r="Z4913" s="73"/>
      <c r="AA4913" s="73"/>
      <c r="AB4913" s="73"/>
    </row>
    <row r="4914">
      <c r="A4914" s="73"/>
      <c r="B4914" s="73">
        <v>2.646670229E7</v>
      </c>
      <c r="C4914" s="73">
        <v>8.69606727845001E8</v>
      </c>
      <c r="D4914" s="73">
        <v>4.94694021403996E8</v>
      </c>
      <c r="E4914" s="73">
        <v>7.54456519720454E7</v>
      </c>
      <c r="F4914" s="73"/>
      <c r="G4914" s="73"/>
      <c r="H4914" s="73"/>
      <c r="I4914" s="73"/>
      <c r="J4914" s="73"/>
      <c r="K4914" s="73"/>
      <c r="L4914" s="73"/>
      <c r="M4914" s="73"/>
      <c r="N4914" s="73"/>
      <c r="O4914" s="73"/>
      <c r="P4914" s="73"/>
      <c r="Q4914" s="73"/>
      <c r="R4914" s="73"/>
      <c r="S4914" s="73"/>
      <c r="T4914" s="73"/>
      <c r="U4914" s="73"/>
      <c r="V4914" s="73"/>
      <c r="W4914" s="73"/>
      <c r="X4914" s="73"/>
      <c r="Y4914" s="73"/>
      <c r="Z4914" s="73"/>
      <c r="AA4914" s="73"/>
      <c r="AB4914" s="73"/>
    </row>
    <row r="4915">
      <c r="A4915" s="73"/>
      <c r="B4915" s="73">
        <v>2.64950974E7</v>
      </c>
      <c r="C4915" s="73">
        <v>8.70088405271622E8</v>
      </c>
      <c r="D4915" s="73">
        <v>4.95012519463989E8</v>
      </c>
      <c r="E4915" s="73">
        <v>7.54988030980402E7</v>
      </c>
      <c r="F4915" s="73"/>
      <c r="G4915" s="73"/>
      <c r="H4915" s="73"/>
      <c r="I4915" s="73"/>
      <c r="J4915" s="73"/>
      <c r="K4915" s="73"/>
      <c r="L4915" s="73"/>
      <c r="M4915" s="73"/>
      <c r="N4915" s="73"/>
      <c r="O4915" s="73"/>
      <c r="P4915" s="73"/>
      <c r="Q4915" s="73"/>
      <c r="R4915" s="73"/>
      <c r="S4915" s="73"/>
      <c r="T4915" s="73"/>
      <c r="U4915" s="73"/>
      <c r="V4915" s="73"/>
      <c r="W4915" s="73"/>
      <c r="X4915" s="73"/>
      <c r="Y4915" s="73"/>
      <c r="Z4915" s="73"/>
      <c r="AA4915" s="73"/>
      <c r="AB4915" s="73"/>
    </row>
    <row r="4916">
      <c r="A4916" s="73"/>
      <c r="B4916" s="73">
        <v>2.652351499E7</v>
      </c>
      <c r="C4916" s="73">
        <v>8.70570346378235E8</v>
      </c>
      <c r="D4916" s="73">
        <v>4.95331099731998E8</v>
      </c>
      <c r="E4916" s="73">
        <v>7.55519773506898E7</v>
      </c>
      <c r="F4916" s="73"/>
      <c r="G4916" s="73"/>
      <c r="H4916" s="73"/>
      <c r="I4916" s="73"/>
      <c r="J4916" s="73"/>
      <c r="K4916" s="73"/>
      <c r="L4916" s="73"/>
      <c r="M4916" s="73"/>
      <c r="N4916" s="73"/>
      <c r="O4916" s="73"/>
      <c r="P4916" s="73"/>
      <c r="Q4916" s="73"/>
      <c r="R4916" s="73"/>
      <c r="S4916" s="73"/>
      <c r="T4916" s="73"/>
      <c r="U4916" s="73"/>
      <c r="V4916" s="73"/>
      <c r="W4916" s="73"/>
      <c r="X4916" s="73"/>
      <c r="Y4916" s="73"/>
      <c r="Z4916" s="73"/>
      <c r="AA4916" s="73"/>
      <c r="AB4916" s="73"/>
    </row>
    <row r="4917">
      <c r="A4917" s="73"/>
      <c r="B4917" s="73">
        <v>2.655195337E7</v>
      </c>
      <c r="C4917" s="73">
        <v>8.71052419324844E8</v>
      </c>
      <c r="D4917" s="73">
        <v>4.95649844767991E8</v>
      </c>
      <c r="E4917" s="73">
        <v>7.56051761410661E7</v>
      </c>
      <c r="F4917" s="73"/>
      <c r="G4917" s="73"/>
      <c r="H4917" s="73"/>
      <c r="I4917" s="73"/>
      <c r="J4917" s="73"/>
      <c r="K4917" s="73"/>
      <c r="L4917" s="73"/>
      <c r="M4917" s="73"/>
      <c r="N4917" s="73"/>
      <c r="O4917" s="73"/>
      <c r="P4917" s="73"/>
      <c r="Q4917" s="73"/>
      <c r="R4917" s="73"/>
      <c r="S4917" s="73"/>
      <c r="T4917" s="73"/>
      <c r="U4917" s="73"/>
      <c r="V4917" s="73"/>
      <c r="W4917" s="73"/>
      <c r="X4917" s="73"/>
      <c r="Y4917" s="73"/>
      <c r="Z4917" s="73"/>
      <c r="AA4917" s="73"/>
      <c r="AB4917" s="73"/>
    </row>
    <row r="4918">
      <c r="A4918" s="73"/>
      <c r="B4918" s="73">
        <v>2.658041351E7</v>
      </c>
      <c r="C4918" s="73">
        <v>8.71534558191452E8</v>
      </c>
      <c r="D4918" s="73">
        <v>4.95968754859999E8</v>
      </c>
      <c r="E4918" s="73">
        <v>7.56583970404971E7</v>
      </c>
      <c r="F4918" s="73"/>
      <c r="G4918" s="73"/>
      <c r="H4918" s="73"/>
      <c r="I4918" s="73"/>
      <c r="J4918" s="73"/>
      <c r="K4918" s="73"/>
      <c r="L4918" s="73"/>
      <c r="M4918" s="73"/>
      <c r="N4918" s="73"/>
      <c r="O4918" s="73"/>
      <c r="P4918" s="73"/>
      <c r="Q4918" s="73"/>
      <c r="R4918" s="73"/>
      <c r="S4918" s="73"/>
      <c r="T4918" s="73"/>
      <c r="U4918" s="73"/>
      <c r="V4918" s="73"/>
      <c r="W4918" s="73"/>
      <c r="X4918" s="73"/>
      <c r="Y4918" s="73"/>
      <c r="Z4918" s="73"/>
      <c r="AA4918" s="73"/>
      <c r="AB4918" s="73"/>
    </row>
    <row r="4919">
      <c r="A4919" s="73"/>
      <c r="B4919" s="73">
        <v>2.66088959E7</v>
      </c>
      <c r="C4919" s="73">
        <v>8.72017026658051E8</v>
      </c>
      <c r="D4919" s="73">
        <v>4.96287789047993E8</v>
      </c>
      <c r="E4919" s="73">
        <v>7.57116425929828E7</v>
      </c>
      <c r="F4919" s="73"/>
      <c r="G4919" s="73"/>
      <c r="H4919" s="73"/>
      <c r="I4919" s="73"/>
      <c r="J4919" s="73"/>
      <c r="K4919" s="73"/>
      <c r="L4919" s="73"/>
      <c r="M4919" s="73"/>
      <c r="N4919" s="73"/>
      <c r="O4919" s="73"/>
      <c r="P4919" s="73"/>
      <c r="Q4919" s="73"/>
      <c r="R4919" s="73"/>
      <c r="S4919" s="73"/>
      <c r="T4919" s="73"/>
      <c r="U4919" s="73"/>
      <c r="V4919" s="73"/>
      <c r="W4919" s="73"/>
      <c r="X4919" s="73"/>
      <c r="Y4919" s="73"/>
      <c r="Z4919" s="73"/>
      <c r="AA4919" s="73"/>
      <c r="AB4919" s="73"/>
    </row>
    <row r="4920">
      <c r="A4920" s="73"/>
      <c r="B4920" s="73">
        <v>2.663739907E7</v>
      </c>
      <c r="C4920" s="73">
        <v>8.72499561044647E8</v>
      </c>
      <c r="D4920" s="73">
        <v>4.96606905156001E8</v>
      </c>
      <c r="E4920" s="73">
        <v>7.57649139857231E7</v>
      </c>
      <c r="F4920" s="73"/>
      <c r="G4920" s="73"/>
      <c r="H4920" s="73"/>
      <c r="I4920" s="73"/>
      <c r="J4920" s="73"/>
      <c r="K4920" s="73"/>
      <c r="L4920" s="73"/>
      <c r="M4920" s="73"/>
      <c r="N4920" s="73"/>
      <c r="O4920" s="73"/>
      <c r="P4920" s="73"/>
      <c r="Q4920" s="73"/>
      <c r="R4920" s="73"/>
      <c r="S4920" s="73"/>
      <c r="T4920" s="73"/>
      <c r="U4920" s="73"/>
      <c r="V4920" s="73"/>
      <c r="W4920" s="73"/>
      <c r="X4920" s="73"/>
      <c r="Y4920" s="73"/>
      <c r="Z4920" s="73"/>
      <c r="AA4920" s="73"/>
      <c r="AB4920" s="73"/>
    </row>
    <row r="4921">
      <c r="A4921" s="73"/>
      <c r="B4921" s="73">
        <v>2.66659252E7</v>
      </c>
      <c r="C4921" s="73">
        <v>8.7298222727124E8</v>
      </c>
      <c r="D4921" s="73">
        <v>4.96926227567995E8</v>
      </c>
      <c r="E4921" s="73">
        <v>7.58182046585904E7</v>
      </c>
      <c r="F4921" s="73"/>
      <c r="G4921" s="73"/>
      <c r="H4921" s="73"/>
      <c r="I4921" s="73"/>
      <c r="J4921" s="73"/>
      <c r="K4921" s="73"/>
      <c r="L4921" s="73"/>
      <c r="M4921" s="73"/>
      <c r="N4921" s="73"/>
      <c r="O4921" s="73"/>
      <c r="P4921" s="73"/>
      <c r="Q4921" s="73"/>
      <c r="R4921" s="73"/>
      <c r="S4921" s="73"/>
      <c r="T4921" s="73"/>
      <c r="U4921" s="73"/>
      <c r="V4921" s="73"/>
      <c r="W4921" s="73"/>
      <c r="X4921" s="73"/>
      <c r="Y4921" s="73"/>
      <c r="Z4921" s="73"/>
      <c r="AA4921" s="73"/>
      <c r="AB4921" s="73"/>
    </row>
    <row r="4922">
      <c r="A4922" s="73"/>
      <c r="B4922" s="73">
        <v>2.66944727E7</v>
      </c>
      <c r="C4922" s="73">
        <v>8.73465091257828E8</v>
      </c>
      <c r="D4922" s="73">
        <v>4.97245632540003E8</v>
      </c>
      <c r="E4922" s="73">
        <v>7.58715253574401E7</v>
      </c>
      <c r="F4922" s="73"/>
      <c r="G4922" s="73"/>
      <c r="H4922" s="73"/>
      <c r="I4922" s="73"/>
      <c r="J4922" s="73"/>
      <c r="K4922" s="73"/>
      <c r="L4922" s="73"/>
      <c r="M4922" s="73"/>
      <c r="N4922" s="73"/>
      <c r="O4922" s="73"/>
      <c r="P4922" s="73"/>
      <c r="Q4922" s="73"/>
      <c r="R4922" s="73"/>
      <c r="S4922" s="73"/>
      <c r="T4922" s="73"/>
      <c r="U4922" s="73"/>
      <c r="V4922" s="73"/>
      <c r="W4922" s="73"/>
      <c r="X4922" s="73"/>
      <c r="Y4922" s="73"/>
      <c r="Z4922" s="73"/>
      <c r="AA4922" s="73"/>
      <c r="AB4922" s="73"/>
    </row>
    <row r="4923">
      <c r="A4923" s="73"/>
      <c r="B4923" s="73">
        <v>2.672304106E7</v>
      </c>
      <c r="C4923" s="73">
        <v>8.7394815300441E8</v>
      </c>
      <c r="D4923" s="73">
        <v>4.97565202247996E8</v>
      </c>
      <c r="E4923" s="73">
        <v>7.59248673716166E7</v>
      </c>
      <c r="F4923" s="73"/>
      <c r="G4923" s="73"/>
      <c r="H4923" s="73"/>
      <c r="I4923" s="73"/>
      <c r="J4923" s="73"/>
      <c r="K4923" s="73"/>
      <c r="L4923" s="73"/>
      <c r="M4923" s="73"/>
      <c r="N4923" s="73"/>
      <c r="O4923" s="73"/>
      <c r="P4923" s="73"/>
      <c r="Q4923" s="73"/>
      <c r="R4923" s="73"/>
      <c r="S4923" s="73"/>
      <c r="T4923" s="73"/>
      <c r="U4923" s="73"/>
      <c r="V4923" s="73"/>
      <c r="W4923" s="73"/>
      <c r="X4923" s="73"/>
      <c r="Y4923" s="73"/>
      <c r="Z4923" s="73"/>
      <c r="AA4923" s="73"/>
      <c r="AB4923" s="73"/>
    </row>
    <row r="4924">
      <c r="A4924" s="73"/>
      <c r="B4924" s="73">
        <v>2.675163159E7</v>
      </c>
      <c r="C4924" s="73">
        <v>8.74431478430985E8</v>
      </c>
      <c r="D4924" s="73">
        <v>4.9788485509199E8</v>
      </c>
      <c r="E4924" s="73">
        <v>7.597822951392E7</v>
      </c>
      <c r="F4924" s="73"/>
      <c r="G4924" s="73"/>
      <c r="H4924" s="73"/>
      <c r="I4924" s="73"/>
      <c r="J4924" s="73"/>
      <c r="K4924" s="73"/>
      <c r="L4924" s="73"/>
      <c r="M4924" s="73"/>
      <c r="N4924" s="73"/>
      <c r="O4924" s="73"/>
      <c r="P4924" s="73"/>
      <c r="Q4924" s="73"/>
      <c r="R4924" s="73"/>
      <c r="S4924" s="73"/>
      <c r="T4924" s="73"/>
      <c r="U4924" s="73"/>
      <c r="V4924" s="73"/>
      <c r="W4924" s="73"/>
      <c r="X4924" s="73"/>
      <c r="Y4924" s="73"/>
      <c r="Z4924" s="73"/>
      <c r="AA4924" s="73"/>
      <c r="AB4924" s="73"/>
    </row>
    <row r="4925">
      <c r="A4925" s="73"/>
      <c r="B4925" s="73">
        <v>2.67802437E7</v>
      </c>
      <c r="C4925" s="73">
        <v>8.74914935697556E8</v>
      </c>
      <c r="D4925" s="73">
        <v>4.98204672383998E8</v>
      </c>
      <c r="E4925" s="73">
        <v>7.6031618968606E7</v>
      </c>
      <c r="F4925" s="73"/>
      <c r="G4925" s="73"/>
      <c r="H4925" s="73"/>
      <c r="I4925" s="73"/>
      <c r="J4925" s="73"/>
      <c r="K4925" s="73"/>
      <c r="L4925" s="73"/>
      <c r="M4925" s="73"/>
      <c r="N4925" s="73"/>
      <c r="O4925" s="73"/>
      <c r="P4925" s="73"/>
      <c r="Q4925" s="73"/>
      <c r="R4925" s="73"/>
      <c r="S4925" s="73"/>
      <c r="T4925" s="73"/>
      <c r="U4925" s="73"/>
      <c r="V4925" s="73"/>
      <c r="W4925" s="73"/>
      <c r="X4925" s="73"/>
      <c r="Y4925" s="73"/>
      <c r="Z4925" s="73"/>
      <c r="AA4925" s="73"/>
      <c r="AB4925" s="73"/>
    </row>
    <row r="4926">
      <c r="A4926" s="73"/>
      <c r="B4926" s="73">
        <v>2.680887827E7</v>
      </c>
      <c r="C4926" s="73">
        <v>8.75398458884125E8</v>
      </c>
      <c r="D4926" s="73">
        <v>4.98524654123991E8</v>
      </c>
      <c r="E4926" s="73">
        <v>7.60850324522187E7</v>
      </c>
      <c r="F4926" s="73"/>
      <c r="G4926" s="73"/>
      <c r="H4926" s="73"/>
      <c r="I4926" s="73"/>
      <c r="J4926" s="73"/>
      <c r="K4926" s="73"/>
      <c r="L4926" s="73"/>
      <c r="M4926" s="73"/>
      <c r="N4926" s="73"/>
      <c r="O4926" s="73"/>
      <c r="P4926" s="73"/>
      <c r="Q4926" s="73"/>
      <c r="R4926" s="73"/>
      <c r="S4926" s="73"/>
      <c r="T4926" s="73"/>
      <c r="U4926" s="73"/>
      <c r="V4926" s="73"/>
      <c r="W4926" s="73"/>
      <c r="X4926" s="73"/>
      <c r="Y4926" s="73"/>
      <c r="Z4926" s="73"/>
      <c r="AA4926" s="73"/>
      <c r="AB4926" s="73"/>
    </row>
    <row r="4927">
      <c r="A4927" s="73"/>
      <c r="B4927" s="73">
        <v>2.683753401E7</v>
      </c>
      <c r="C4927" s="73">
        <v>8.75882245750687E8</v>
      </c>
      <c r="D4927" s="73">
        <v>4.98844719E8</v>
      </c>
      <c r="E4927" s="73">
        <v>7.61384677056861E7</v>
      </c>
      <c r="F4927" s="73"/>
      <c r="G4927" s="73"/>
      <c r="H4927" s="73"/>
      <c r="I4927" s="73"/>
      <c r="J4927" s="73"/>
      <c r="K4927" s="73"/>
      <c r="L4927" s="73"/>
      <c r="M4927" s="73"/>
      <c r="N4927" s="73"/>
      <c r="O4927" s="73"/>
      <c r="P4927" s="73"/>
      <c r="Q4927" s="73"/>
      <c r="R4927" s="73"/>
      <c r="S4927" s="73"/>
      <c r="T4927" s="73"/>
      <c r="U4927" s="73"/>
      <c r="V4927" s="73"/>
      <c r="W4927" s="73"/>
      <c r="X4927" s="73"/>
      <c r="Y4927" s="73"/>
      <c r="Z4927" s="73"/>
      <c r="AA4927" s="73"/>
      <c r="AB4927" s="73"/>
    </row>
    <row r="4928">
      <c r="A4928" s="73"/>
      <c r="B4928" s="73">
        <v>2.686621121E7</v>
      </c>
      <c r="C4928" s="73">
        <v>8.76366098537247E8</v>
      </c>
      <c r="D4928" s="73">
        <v>4.99164948323993E8</v>
      </c>
      <c r="E4928" s="73">
        <v>7.61919272730083E7</v>
      </c>
      <c r="F4928" s="73"/>
      <c r="G4928" s="73"/>
      <c r="H4928" s="73"/>
      <c r="I4928" s="73"/>
      <c r="J4928" s="73"/>
      <c r="K4928" s="73"/>
      <c r="L4928" s="73"/>
      <c r="M4928" s="73"/>
      <c r="N4928" s="73"/>
      <c r="O4928" s="73"/>
      <c r="P4928" s="73"/>
      <c r="Q4928" s="73"/>
      <c r="R4928" s="73"/>
      <c r="S4928" s="73"/>
      <c r="T4928" s="73"/>
      <c r="U4928" s="73"/>
      <c r="V4928" s="73"/>
      <c r="W4928" s="73"/>
      <c r="X4928" s="73"/>
      <c r="Y4928" s="73"/>
      <c r="Z4928" s="73"/>
      <c r="AA4928" s="73"/>
      <c r="AB4928" s="73"/>
    </row>
    <row r="4929">
      <c r="A4929" s="73"/>
      <c r="B4929" s="73">
        <v>2.689491108E7</v>
      </c>
      <c r="C4929" s="73">
        <v>8.76850149083801E8</v>
      </c>
      <c r="D4929" s="73">
        <v>4.99485301744002E8</v>
      </c>
      <c r="E4929" s="73">
        <v>7.62454131893851E7</v>
      </c>
      <c r="F4929" s="73"/>
      <c r="G4929" s="73"/>
      <c r="H4929" s="73"/>
      <c r="I4929" s="73"/>
      <c r="J4929" s="73"/>
      <c r="K4929" s="73"/>
      <c r="L4929" s="73"/>
      <c r="M4929" s="73"/>
      <c r="N4929" s="73"/>
      <c r="O4929" s="73"/>
      <c r="P4929" s="73"/>
      <c r="Q4929" s="73"/>
      <c r="R4929" s="73"/>
      <c r="S4929" s="73"/>
      <c r="T4929" s="73"/>
      <c r="U4929" s="73"/>
      <c r="V4929" s="73"/>
      <c r="W4929" s="73"/>
      <c r="X4929" s="73"/>
      <c r="Y4929" s="73"/>
      <c r="Z4929" s="73"/>
      <c r="AA4929" s="73"/>
      <c r="AB4929" s="73"/>
    </row>
    <row r="4930">
      <c r="A4930" s="73"/>
      <c r="B4930" s="73">
        <v>2.692363223E7</v>
      </c>
      <c r="C4930" s="73">
        <v>8.7733439739035E8</v>
      </c>
      <c r="D4930" s="73">
        <v>4.99805819611995E8</v>
      </c>
      <c r="E4930" s="73">
        <v>7.62989207602886E7</v>
      </c>
      <c r="F4930" s="73"/>
      <c r="G4930" s="73"/>
      <c r="H4930" s="73"/>
      <c r="I4930" s="73"/>
      <c r="J4930" s="73"/>
      <c r="K4930" s="73"/>
      <c r="L4930" s="73"/>
      <c r="M4930" s="73"/>
      <c r="N4930" s="73"/>
      <c r="O4930" s="73"/>
      <c r="P4930" s="73"/>
      <c r="Q4930" s="73"/>
      <c r="R4930" s="73"/>
      <c r="S4930" s="73"/>
      <c r="T4930" s="73"/>
      <c r="U4930" s="73"/>
      <c r="V4930" s="73"/>
      <c r="W4930" s="73"/>
      <c r="X4930" s="73"/>
      <c r="Y4930" s="73"/>
      <c r="Z4930" s="73"/>
      <c r="AA4930" s="73"/>
      <c r="AB4930" s="73"/>
    </row>
    <row r="4931">
      <c r="A4931" s="73"/>
      <c r="B4931" s="73">
        <v>2.695237484E7</v>
      </c>
      <c r="C4931" s="73">
        <v>8.77818843456894E8</v>
      </c>
      <c r="D4931" s="73">
        <v>5.00126379655988E8</v>
      </c>
      <c r="E4931" s="73">
        <v>7.63524544563748E7</v>
      </c>
      <c r="F4931" s="73"/>
      <c r="G4931" s="73"/>
      <c r="H4931" s="73"/>
      <c r="I4931" s="73"/>
      <c r="J4931" s="73"/>
      <c r="K4931" s="73"/>
      <c r="L4931" s="73"/>
      <c r="M4931" s="73"/>
      <c r="N4931" s="73"/>
      <c r="O4931" s="73"/>
      <c r="P4931" s="73"/>
      <c r="Q4931" s="73"/>
      <c r="R4931" s="73"/>
      <c r="S4931" s="73"/>
      <c r="T4931" s="73"/>
      <c r="U4931" s="73"/>
      <c r="V4931" s="73"/>
      <c r="W4931" s="73"/>
      <c r="X4931" s="73"/>
      <c r="Y4931" s="73"/>
      <c r="Z4931" s="73"/>
      <c r="AA4931" s="73"/>
      <c r="AB4931" s="73"/>
    </row>
    <row r="4932">
      <c r="A4932" s="73"/>
      <c r="B4932" s="73">
        <v>2.69811396E7</v>
      </c>
      <c r="C4932" s="73">
        <v>8.78303355443436E8</v>
      </c>
      <c r="D4932" s="73">
        <v>5.00447186067997E8</v>
      </c>
      <c r="E4932" s="73">
        <v>7.64060111637877E7</v>
      </c>
      <c r="F4932" s="73"/>
      <c r="G4932" s="73"/>
      <c r="H4932" s="73"/>
      <c r="I4932" s="73"/>
      <c r="J4932" s="73"/>
      <c r="K4932" s="73"/>
      <c r="L4932" s="73"/>
      <c r="M4932" s="73"/>
      <c r="N4932" s="73"/>
      <c r="O4932" s="73"/>
      <c r="P4932" s="73"/>
      <c r="Q4932" s="73"/>
      <c r="R4932" s="73"/>
      <c r="S4932" s="73"/>
      <c r="T4932" s="73"/>
      <c r="U4932" s="73"/>
      <c r="V4932" s="73"/>
      <c r="W4932" s="73"/>
      <c r="X4932" s="73"/>
      <c r="Y4932" s="73"/>
      <c r="Z4932" s="73"/>
      <c r="AA4932" s="73"/>
      <c r="AB4932" s="73"/>
    </row>
    <row r="4933">
      <c r="A4933" s="73"/>
      <c r="B4933" s="73">
        <v>2.700992524E7</v>
      </c>
      <c r="C4933" s="73">
        <v>8.7878813110997E8</v>
      </c>
      <c r="D4933" s="73">
        <v>5.0076807500799E8</v>
      </c>
      <c r="E4933" s="73">
        <v>7.64595869817276E7</v>
      </c>
      <c r="F4933" s="73"/>
      <c r="G4933" s="73"/>
      <c r="H4933" s="73"/>
      <c r="I4933" s="73"/>
      <c r="J4933" s="73"/>
      <c r="K4933" s="73"/>
      <c r="L4933" s="73"/>
      <c r="M4933" s="73"/>
      <c r="N4933" s="73"/>
      <c r="O4933" s="73"/>
      <c r="P4933" s="73"/>
      <c r="Q4933" s="73"/>
      <c r="R4933" s="73"/>
      <c r="S4933" s="73"/>
      <c r="T4933" s="73"/>
      <c r="U4933" s="73"/>
      <c r="V4933" s="73"/>
      <c r="W4933" s="73"/>
      <c r="X4933" s="73"/>
      <c r="Y4933" s="73"/>
      <c r="Z4933" s="73"/>
      <c r="AA4933" s="73"/>
      <c r="AB4933" s="73"/>
    </row>
    <row r="4934">
      <c r="A4934" s="73"/>
      <c r="B4934" s="73">
        <v>2.703873375E7</v>
      </c>
      <c r="C4934" s="73">
        <v>8.79273104536499E8</v>
      </c>
      <c r="D4934" s="73">
        <v>5.01089047083999E8</v>
      </c>
      <c r="E4934" s="73">
        <v>7.65131926560499E7</v>
      </c>
      <c r="F4934" s="73"/>
      <c r="G4934" s="73"/>
      <c r="H4934" s="73"/>
      <c r="I4934" s="73"/>
      <c r="J4934" s="73"/>
      <c r="K4934" s="73"/>
      <c r="L4934" s="73"/>
      <c r="M4934" s="73"/>
      <c r="N4934" s="73"/>
      <c r="O4934" s="73"/>
      <c r="P4934" s="73"/>
      <c r="Q4934" s="73"/>
      <c r="R4934" s="73"/>
      <c r="S4934" s="73"/>
      <c r="T4934" s="73"/>
      <c r="U4934" s="73"/>
      <c r="V4934" s="73"/>
      <c r="W4934" s="73"/>
      <c r="X4934" s="73"/>
      <c r="Y4934" s="73"/>
      <c r="Z4934" s="73"/>
      <c r="AA4934" s="73"/>
      <c r="AB4934" s="73"/>
    </row>
    <row r="4935">
      <c r="A4935" s="73"/>
      <c r="B4935" s="73">
        <v>2.706756372E7</v>
      </c>
      <c r="C4935" s="73">
        <v>8.79758143883026E8</v>
      </c>
      <c r="D4935" s="73">
        <v>5.01410224887992E8</v>
      </c>
      <c r="E4935" s="73">
        <v>7.65668191368991E7</v>
      </c>
      <c r="F4935" s="73"/>
      <c r="G4935" s="73"/>
      <c r="H4935" s="73"/>
      <c r="I4935" s="73"/>
      <c r="J4935" s="73"/>
      <c r="K4935" s="73"/>
      <c r="L4935" s="73"/>
      <c r="M4935" s="73"/>
      <c r="N4935" s="73"/>
      <c r="O4935" s="73"/>
      <c r="P4935" s="73"/>
      <c r="Q4935" s="73"/>
      <c r="R4935" s="73"/>
      <c r="S4935" s="73"/>
      <c r="T4935" s="73"/>
      <c r="U4935" s="73"/>
      <c r="V4935" s="73"/>
      <c r="W4935" s="73"/>
      <c r="X4935" s="73"/>
      <c r="Y4935" s="73"/>
      <c r="Z4935" s="73"/>
      <c r="AA4935" s="73"/>
      <c r="AB4935" s="73"/>
    </row>
    <row r="4936">
      <c r="A4936" s="73"/>
      <c r="B4936" s="73">
        <v>2.709641617E7</v>
      </c>
      <c r="C4936" s="73">
        <v>8.80243380989548E8</v>
      </c>
      <c r="D4936" s="73">
        <v>5.01731485508001E8</v>
      </c>
      <c r="E4936" s="73">
        <v>7.66204697620029E7</v>
      </c>
      <c r="F4936" s="73"/>
      <c r="G4936" s="73"/>
      <c r="H4936" s="73"/>
      <c r="I4936" s="73"/>
      <c r="J4936" s="73"/>
      <c r="K4936" s="73"/>
      <c r="L4936" s="73"/>
      <c r="M4936" s="73"/>
      <c r="N4936" s="73"/>
      <c r="O4936" s="73"/>
      <c r="P4936" s="73"/>
      <c r="Q4936" s="73"/>
      <c r="R4936" s="73"/>
      <c r="S4936" s="73"/>
      <c r="T4936" s="73"/>
      <c r="U4936" s="73"/>
      <c r="V4936" s="73"/>
      <c r="W4936" s="73"/>
      <c r="X4936" s="73"/>
      <c r="Y4936" s="73"/>
      <c r="Z4936" s="73"/>
      <c r="AA4936" s="73"/>
      <c r="AB4936" s="73"/>
    </row>
    <row r="4937">
      <c r="A4937" s="73"/>
      <c r="B4937" s="73">
        <v>2.712528909E7</v>
      </c>
      <c r="C4937" s="73">
        <v>8.80728881776062E8</v>
      </c>
      <c r="D4937" s="73">
        <v>5.02052951535994E8</v>
      </c>
      <c r="E4937" s="73">
        <v>7.66741455489614E7</v>
      </c>
      <c r="F4937" s="73"/>
      <c r="G4937" s="73"/>
      <c r="H4937" s="73"/>
      <c r="I4937" s="73"/>
      <c r="J4937" s="73"/>
      <c r="K4937" s="73"/>
      <c r="L4937" s="73"/>
      <c r="M4937" s="73"/>
      <c r="N4937" s="73"/>
      <c r="O4937" s="73"/>
      <c r="P4937" s="73"/>
      <c r="Q4937" s="73"/>
      <c r="R4937" s="73"/>
      <c r="S4937" s="73"/>
      <c r="T4937" s="73"/>
      <c r="U4937" s="73"/>
      <c r="V4937" s="73"/>
      <c r="W4937" s="73"/>
      <c r="X4937" s="73"/>
      <c r="Y4937" s="73"/>
      <c r="Z4937" s="73"/>
      <c r="AA4937" s="73"/>
      <c r="AB4937" s="73"/>
    </row>
    <row r="4938">
      <c r="A4938" s="73"/>
      <c r="B4938" s="73">
        <v>2.715418475E7</v>
      </c>
      <c r="C4938" s="73">
        <v>8.81214580322571E8</v>
      </c>
      <c r="D4938" s="73">
        <v>5.02374500700002E8</v>
      </c>
      <c r="E4938" s="73">
        <v>7.67278451409746E7</v>
      </c>
      <c r="F4938" s="73"/>
      <c r="G4938" s="73"/>
      <c r="H4938" s="73"/>
      <c r="I4938" s="73"/>
      <c r="J4938" s="73"/>
      <c r="K4938" s="73"/>
      <c r="L4938" s="73"/>
      <c r="M4938" s="73"/>
      <c r="N4938" s="73"/>
      <c r="O4938" s="73"/>
      <c r="P4938" s="73"/>
      <c r="Q4938" s="73"/>
      <c r="R4938" s="73"/>
      <c r="S4938" s="73"/>
      <c r="T4938" s="73"/>
      <c r="U4938" s="73"/>
      <c r="V4938" s="73"/>
      <c r="W4938" s="73"/>
      <c r="X4938" s="73"/>
      <c r="Y4938" s="73"/>
      <c r="Z4938" s="73"/>
      <c r="AA4938" s="73"/>
      <c r="AB4938" s="73"/>
    </row>
    <row r="4939">
      <c r="A4939" s="73"/>
      <c r="B4939" s="73">
        <v>2.71831011E7</v>
      </c>
      <c r="C4939" s="73">
        <v>8.8170027886908E8</v>
      </c>
      <c r="D4939" s="73">
        <v>5.02696173351996E8</v>
      </c>
      <c r="E4939" s="73">
        <v>7.67815657091147E7</v>
      </c>
      <c r="F4939" s="73"/>
      <c r="G4939" s="73"/>
      <c r="H4939" s="73"/>
      <c r="I4939" s="73"/>
      <c r="J4939" s="73"/>
      <c r="K4939" s="73"/>
      <c r="L4939" s="73"/>
      <c r="M4939" s="73"/>
      <c r="N4939" s="73"/>
      <c r="O4939" s="73"/>
      <c r="P4939" s="73"/>
      <c r="Q4939" s="73"/>
      <c r="R4939" s="73"/>
      <c r="S4939" s="73"/>
      <c r="T4939" s="73"/>
      <c r="U4939" s="73"/>
      <c r="V4939" s="73"/>
      <c r="W4939" s="73"/>
      <c r="X4939" s="73"/>
      <c r="Y4939" s="73"/>
      <c r="Z4939" s="73"/>
      <c r="AA4939" s="73"/>
      <c r="AB4939" s="73"/>
    </row>
    <row r="4940">
      <c r="A4940" s="73"/>
      <c r="B4940" s="73">
        <v>2.721204051E7</v>
      </c>
      <c r="C4940" s="73">
        <v>8.82186241095581E8</v>
      </c>
      <c r="D4940" s="73">
        <v>5.03018010771989E8</v>
      </c>
      <c r="E4940" s="73">
        <v>7.68353110999094E7</v>
      </c>
      <c r="F4940" s="73"/>
      <c r="G4940" s="73"/>
      <c r="H4940" s="73"/>
      <c r="I4940" s="73"/>
      <c r="J4940" s="73"/>
      <c r="K4940" s="73"/>
      <c r="L4940" s="73"/>
      <c r="M4940" s="73"/>
      <c r="N4940" s="73"/>
      <c r="O4940" s="73"/>
      <c r="P4940" s="73"/>
      <c r="Q4940" s="73"/>
      <c r="R4940" s="73"/>
      <c r="S4940" s="73"/>
      <c r="T4940" s="73"/>
      <c r="U4940" s="73"/>
      <c r="V4940" s="73"/>
      <c r="W4940" s="73"/>
      <c r="X4940" s="73"/>
      <c r="Y4940" s="73"/>
      <c r="Z4940" s="73"/>
      <c r="AA4940" s="73"/>
      <c r="AB4940" s="73"/>
    </row>
    <row r="4941">
      <c r="A4941" s="73"/>
      <c r="B4941" s="73">
        <v>2.72410008E7</v>
      </c>
      <c r="C4941" s="73">
        <v>8.82672335162079E8</v>
      </c>
      <c r="D4941" s="73">
        <v>5.03339971967998E8</v>
      </c>
      <c r="E4941" s="73">
        <v>7.68890825005588E7</v>
      </c>
      <c r="F4941" s="73"/>
      <c r="G4941" s="73"/>
      <c r="H4941" s="73"/>
      <c r="I4941" s="73"/>
      <c r="J4941" s="73"/>
      <c r="K4941" s="73"/>
      <c r="L4941" s="73"/>
      <c r="M4941" s="73"/>
      <c r="N4941" s="73"/>
      <c r="O4941" s="73"/>
      <c r="P4941" s="73"/>
      <c r="Q4941" s="73"/>
      <c r="R4941" s="73"/>
      <c r="S4941" s="73"/>
      <c r="T4941" s="73"/>
      <c r="U4941" s="73"/>
      <c r="V4941" s="73"/>
      <c r="W4941" s="73"/>
      <c r="X4941" s="73"/>
      <c r="Y4941" s="73"/>
      <c r="Z4941" s="73"/>
      <c r="AA4941" s="73"/>
      <c r="AB4941" s="73"/>
    </row>
    <row r="4942">
      <c r="A4942" s="73"/>
      <c r="B4942" s="73">
        <v>2.726998356E7</v>
      </c>
      <c r="C4942" s="73">
        <v>8.83158561068573E8</v>
      </c>
      <c r="D4942" s="73">
        <v>5.03662016011991E8</v>
      </c>
      <c r="E4942" s="73">
        <v>7.69428785542628E7</v>
      </c>
      <c r="F4942" s="73"/>
      <c r="G4942" s="73"/>
      <c r="H4942" s="73"/>
      <c r="I4942" s="73"/>
      <c r="J4942" s="73"/>
      <c r="K4942" s="73"/>
      <c r="L4942" s="73"/>
      <c r="M4942" s="73"/>
      <c r="N4942" s="73"/>
      <c r="O4942" s="73"/>
      <c r="P4942" s="73"/>
      <c r="Q4942" s="73"/>
      <c r="R4942" s="73"/>
      <c r="S4942" s="73"/>
      <c r="T4942" s="73"/>
      <c r="U4942" s="73"/>
      <c r="V4942" s="73"/>
      <c r="W4942" s="73"/>
      <c r="X4942" s="73"/>
      <c r="Y4942" s="73"/>
      <c r="Z4942" s="73"/>
      <c r="AA4942" s="73"/>
      <c r="AB4942" s="73"/>
    </row>
    <row r="4943">
      <c r="A4943" s="73"/>
      <c r="B4943" s="73">
        <v>2.729898804E7</v>
      </c>
      <c r="C4943" s="73">
        <v>8.8364505065506E8</v>
      </c>
      <c r="D4943" s="73">
        <v>5.03984224791999E8</v>
      </c>
      <c r="E4943" s="73">
        <v>7.69966989218215E7</v>
      </c>
      <c r="F4943" s="73"/>
      <c r="G4943" s="73"/>
      <c r="H4943" s="73"/>
      <c r="I4943" s="73"/>
      <c r="J4943" s="73"/>
      <c r="K4943" s="73"/>
      <c r="L4943" s="73"/>
      <c r="M4943" s="73"/>
      <c r="N4943" s="73"/>
      <c r="O4943" s="73"/>
      <c r="P4943" s="73"/>
      <c r="Q4943" s="73"/>
      <c r="R4943" s="73"/>
      <c r="S4943" s="73"/>
      <c r="T4943" s="73"/>
      <c r="U4943" s="73"/>
      <c r="V4943" s="73"/>
      <c r="W4943" s="73"/>
      <c r="X4943" s="73"/>
      <c r="Y4943" s="73"/>
      <c r="Z4943" s="73"/>
      <c r="AA4943" s="73"/>
      <c r="AB4943" s="73"/>
    </row>
    <row r="4944">
      <c r="A4944" s="73"/>
      <c r="B4944" s="73">
        <v>2.732801423E7</v>
      </c>
      <c r="C4944" s="73">
        <v>8.84131672081543E8</v>
      </c>
      <c r="D4944" s="73">
        <v>5.04306598019993E8</v>
      </c>
      <c r="E4944" s="73">
        <v>7.7050540095907E7</v>
      </c>
      <c r="F4944" s="73"/>
      <c r="G4944" s="73"/>
      <c r="H4944" s="73"/>
      <c r="I4944" s="73"/>
      <c r="J4944" s="73"/>
      <c r="K4944" s="73"/>
      <c r="L4944" s="73"/>
      <c r="M4944" s="73"/>
      <c r="N4944" s="73"/>
      <c r="O4944" s="73"/>
      <c r="P4944" s="73"/>
      <c r="Q4944" s="73"/>
      <c r="R4944" s="73"/>
      <c r="S4944" s="73"/>
      <c r="T4944" s="73"/>
      <c r="U4944" s="73"/>
      <c r="V4944" s="73"/>
      <c r="W4944" s="73"/>
      <c r="X4944" s="73"/>
      <c r="Y4944" s="73"/>
      <c r="Z4944" s="73"/>
      <c r="AA4944" s="73"/>
      <c r="AB4944" s="73"/>
    </row>
    <row r="4945">
      <c r="A4945" s="73"/>
      <c r="B4945" s="73">
        <v>2.7357062E7</v>
      </c>
      <c r="C4945" s="73">
        <v>8.84618425348022E8</v>
      </c>
      <c r="D4945" s="73">
        <v>5.04629095664001E8</v>
      </c>
      <c r="E4945" s="73">
        <v>7.71044045662473E7</v>
      </c>
      <c r="F4945" s="73"/>
      <c r="G4945" s="73"/>
      <c r="H4945" s="73"/>
      <c r="I4945" s="73"/>
      <c r="J4945" s="73"/>
      <c r="K4945" s="73"/>
      <c r="L4945" s="73"/>
      <c r="M4945" s="73"/>
      <c r="N4945" s="73"/>
      <c r="O4945" s="73"/>
      <c r="P4945" s="73"/>
      <c r="Q4945" s="73"/>
      <c r="R4945" s="73"/>
      <c r="S4945" s="73"/>
      <c r="T4945" s="73"/>
      <c r="U4945" s="73"/>
      <c r="V4945" s="73"/>
      <c r="W4945" s="73"/>
      <c r="X4945" s="73"/>
      <c r="Y4945" s="73"/>
      <c r="Z4945" s="73"/>
      <c r="AA4945" s="73"/>
      <c r="AB4945" s="73"/>
    </row>
    <row r="4946">
      <c r="A4946" s="73"/>
      <c r="B4946" s="73">
        <v>2.738613159E7</v>
      </c>
      <c r="C4946" s="73">
        <v>8.85105376374496E8</v>
      </c>
      <c r="D4946" s="73">
        <v>5.04951757435995E8</v>
      </c>
      <c r="E4946" s="73">
        <v>7.71582947072423E7</v>
      </c>
      <c r="F4946" s="73"/>
      <c r="G4946" s="73"/>
      <c r="H4946" s="73"/>
      <c r="I4946" s="73"/>
      <c r="J4946" s="73"/>
      <c r="K4946" s="73"/>
      <c r="L4946" s="73"/>
      <c r="M4946" s="73"/>
      <c r="N4946" s="73"/>
      <c r="O4946" s="73"/>
      <c r="P4946" s="73"/>
      <c r="Q4946" s="73"/>
      <c r="R4946" s="73"/>
      <c r="S4946" s="73"/>
      <c r="T4946" s="73"/>
      <c r="U4946" s="73"/>
      <c r="V4946" s="73"/>
      <c r="W4946" s="73"/>
      <c r="X4946" s="73"/>
      <c r="Y4946" s="73"/>
      <c r="Z4946" s="73"/>
      <c r="AA4946" s="73"/>
      <c r="AB4946" s="73"/>
    </row>
    <row r="4947">
      <c r="A4947" s="73"/>
      <c r="B4947" s="73">
        <v>2.741522297E7</v>
      </c>
      <c r="C4947" s="73">
        <v>8.85592525160965E8</v>
      </c>
      <c r="D4947" s="73">
        <v>5.05274461096003E8</v>
      </c>
      <c r="E4947" s="73">
        <v>7.72122100100918E7</v>
      </c>
      <c r="F4947" s="73"/>
      <c r="G4947" s="73"/>
      <c r="H4947" s="73"/>
      <c r="I4947" s="73"/>
      <c r="J4947" s="73"/>
      <c r="K4947" s="73"/>
      <c r="L4947" s="73"/>
      <c r="M4947" s="73"/>
      <c r="N4947" s="73"/>
      <c r="O4947" s="73"/>
      <c r="P4947" s="73"/>
      <c r="Q4947" s="73"/>
      <c r="R4947" s="73"/>
      <c r="S4947" s="73"/>
      <c r="T4947" s="73"/>
      <c r="U4947" s="73"/>
      <c r="V4947" s="73"/>
      <c r="W4947" s="73"/>
      <c r="X4947" s="73"/>
      <c r="Y4947" s="73"/>
      <c r="Z4947" s="73"/>
      <c r="AA4947" s="73"/>
      <c r="AB4947" s="73"/>
    </row>
    <row r="4948">
      <c r="A4948" s="73"/>
      <c r="B4948" s="73">
        <v>2.744433665E7</v>
      </c>
      <c r="C4948" s="73">
        <v>8.8607980578743E8</v>
      </c>
      <c r="D4948" s="73">
        <v>5.05597370771996E8</v>
      </c>
      <c r="E4948" s="73">
        <v>7.72661473066682E7</v>
      </c>
      <c r="F4948" s="73"/>
      <c r="G4948" s="73"/>
      <c r="H4948" s="73"/>
      <c r="I4948" s="73"/>
      <c r="J4948" s="73"/>
      <c r="K4948" s="73"/>
      <c r="L4948" s="73"/>
      <c r="M4948" s="73"/>
      <c r="N4948" s="73"/>
      <c r="O4948" s="73"/>
      <c r="P4948" s="73"/>
      <c r="Q4948" s="73"/>
      <c r="R4948" s="73"/>
      <c r="S4948" s="73"/>
      <c r="T4948" s="73"/>
      <c r="U4948" s="73"/>
      <c r="V4948" s="73"/>
      <c r="W4948" s="73"/>
      <c r="X4948" s="73"/>
      <c r="Y4948" s="73"/>
      <c r="Z4948" s="73"/>
      <c r="AA4948" s="73"/>
      <c r="AB4948" s="73"/>
    </row>
    <row r="4949">
      <c r="A4949" s="73"/>
      <c r="B4949" s="73">
        <v>2.747347186E7</v>
      </c>
      <c r="C4949" s="73">
        <v>8.86567218253891E8</v>
      </c>
      <c r="D4949" s="73">
        <v>5.0592040361599E8</v>
      </c>
      <c r="E4949" s="73">
        <v>7.73201082386993E7</v>
      </c>
      <c r="F4949" s="73"/>
      <c r="G4949" s="73"/>
      <c r="H4949" s="73"/>
      <c r="I4949" s="73"/>
      <c r="J4949" s="73"/>
      <c r="K4949" s="73"/>
      <c r="L4949" s="73"/>
      <c r="M4949" s="73"/>
      <c r="N4949" s="73"/>
      <c r="O4949" s="73"/>
      <c r="P4949" s="73"/>
      <c r="Q4949" s="73"/>
      <c r="R4949" s="73"/>
      <c r="S4949" s="73"/>
      <c r="T4949" s="73"/>
      <c r="U4949" s="73"/>
      <c r="V4949" s="73"/>
      <c r="W4949" s="73"/>
      <c r="X4949" s="73"/>
      <c r="Y4949" s="73"/>
      <c r="Z4949" s="73"/>
      <c r="AA4949" s="73"/>
      <c r="AB4949" s="73"/>
    </row>
    <row r="4950">
      <c r="A4950" s="73"/>
      <c r="B4950" s="73">
        <v>2.750262913E7</v>
      </c>
      <c r="C4950" s="73">
        <v>8.87054828480347E8</v>
      </c>
      <c r="D4950" s="73">
        <v>5.06243560875998E8</v>
      </c>
      <c r="E4950" s="73">
        <v>7.73740948413851E7</v>
      </c>
      <c r="F4950" s="73"/>
      <c r="G4950" s="73"/>
      <c r="H4950" s="73"/>
      <c r="I4950" s="73"/>
      <c r="J4950" s="73"/>
      <c r="K4950" s="73"/>
      <c r="L4950" s="73"/>
      <c r="M4950" s="73"/>
      <c r="N4950" s="73"/>
      <c r="O4950" s="73"/>
      <c r="P4950" s="73"/>
      <c r="Q4950" s="73"/>
      <c r="R4950" s="73"/>
      <c r="S4950" s="73"/>
      <c r="T4950" s="73"/>
      <c r="U4950" s="73"/>
      <c r="V4950" s="73"/>
      <c r="W4950" s="73"/>
      <c r="X4950" s="73"/>
      <c r="Y4950" s="73"/>
      <c r="Z4950" s="73"/>
      <c r="AA4950" s="73"/>
      <c r="AB4950" s="73"/>
    </row>
    <row r="4951">
      <c r="A4951" s="73"/>
      <c r="B4951" s="73">
        <v>2.7531809E7</v>
      </c>
      <c r="C4951" s="73">
        <v>8.87542768306793E8</v>
      </c>
      <c r="D4951" s="73">
        <v>5.06566841303991E8</v>
      </c>
      <c r="E4951" s="73">
        <v>7.74281049099255E7</v>
      </c>
      <c r="F4951" s="73"/>
      <c r="G4951" s="73"/>
      <c r="H4951" s="73"/>
      <c r="I4951" s="73"/>
      <c r="J4951" s="73"/>
      <c r="K4951" s="73"/>
      <c r="L4951" s="73"/>
      <c r="M4951" s="73"/>
      <c r="N4951" s="73"/>
      <c r="O4951" s="73"/>
      <c r="P4951" s="73"/>
      <c r="Q4951" s="73"/>
      <c r="R4951" s="73"/>
      <c r="S4951" s="73"/>
      <c r="T4951" s="73"/>
      <c r="U4951" s="73"/>
      <c r="V4951" s="73"/>
      <c r="W4951" s="73"/>
      <c r="X4951" s="73"/>
      <c r="Y4951" s="73"/>
      <c r="Z4951" s="73"/>
      <c r="AA4951" s="73"/>
      <c r="AB4951" s="73"/>
    </row>
    <row r="4952">
      <c r="A4952" s="73"/>
      <c r="B4952" s="73">
        <v>2.75610097E7</v>
      </c>
      <c r="C4952" s="73">
        <v>8.88030774053238E8</v>
      </c>
      <c r="D4952" s="73">
        <v>5.06890287108E8</v>
      </c>
      <c r="E4952" s="73">
        <v>7.74821389531206E7</v>
      </c>
      <c r="F4952" s="73"/>
      <c r="G4952" s="73"/>
      <c r="H4952" s="73"/>
      <c r="I4952" s="73"/>
      <c r="J4952" s="73"/>
      <c r="K4952" s="73"/>
      <c r="L4952" s="73"/>
      <c r="M4952" s="73"/>
      <c r="N4952" s="73"/>
      <c r="O4952" s="73"/>
      <c r="P4952" s="73"/>
      <c r="Q4952" s="73"/>
      <c r="R4952" s="73"/>
      <c r="S4952" s="73"/>
      <c r="T4952" s="73"/>
      <c r="U4952" s="73"/>
      <c r="V4952" s="73"/>
      <c r="W4952" s="73"/>
      <c r="X4952" s="73"/>
      <c r="Y4952" s="73"/>
      <c r="Z4952" s="73"/>
      <c r="AA4952" s="73"/>
      <c r="AB4952" s="73"/>
    </row>
    <row r="4953">
      <c r="A4953" s="73"/>
      <c r="B4953" s="73">
        <v>2.7590232E7</v>
      </c>
      <c r="C4953" s="73">
        <v>8.88518845719681E8</v>
      </c>
      <c r="D4953" s="73">
        <v>5.07213815119993E8</v>
      </c>
      <c r="E4953" s="73">
        <v>7.75361963468425E7</v>
      </c>
      <c r="F4953" s="73"/>
      <c r="G4953" s="73"/>
      <c r="H4953" s="73"/>
      <c r="I4953" s="73"/>
      <c r="J4953" s="73"/>
      <c r="K4953" s="73"/>
      <c r="L4953" s="73"/>
      <c r="M4953" s="73"/>
      <c r="N4953" s="73"/>
      <c r="O4953" s="73"/>
      <c r="P4953" s="73"/>
      <c r="Q4953" s="73"/>
      <c r="R4953" s="73"/>
      <c r="S4953" s="73"/>
      <c r="T4953" s="73"/>
      <c r="U4953" s="73"/>
      <c r="V4953" s="73"/>
      <c r="W4953" s="73"/>
      <c r="X4953" s="73"/>
      <c r="Y4953" s="73"/>
      <c r="Z4953" s="73"/>
      <c r="AA4953" s="73"/>
      <c r="AB4953" s="73"/>
    </row>
    <row r="4954">
      <c r="A4954" s="73"/>
      <c r="B4954" s="73">
        <v>2.761947705E7</v>
      </c>
      <c r="C4954" s="73">
        <v>8.89007115146118E8</v>
      </c>
      <c r="D4954" s="73">
        <v>5.07537508188002E8</v>
      </c>
      <c r="E4954" s="73">
        <v>7.75902768672192E7</v>
      </c>
      <c r="F4954" s="73"/>
      <c r="G4954" s="73"/>
      <c r="H4954" s="73"/>
      <c r="I4954" s="73"/>
      <c r="J4954" s="73"/>
      <c r="K4954" s="73"/>
      <c r="L4954" s="73"/>
      <c r="M4954" s="73"/>
      <c r="N4954" s="73"/>
      <c r="O4954" s="73"/>
      <c r="P4954" s="73"/>
      <c r="Q4954" s="73"/>
      <c r="R4954" s="73"/>
      <c r="S4954" s="73"/>
      <c r="T4954" s="73"/>
      <c r="U4954" s="73"/>
      <c r="V4954" s="73"/>
      <c r="W4954" s="73"/>
      <c r="X4954" s="73"/>
      <c r="Y4954" s="73"/>
      <c r="Z4954" s="73"/>
      <c r="AA4954" s="73"/>
      <c r="AB4954" s="73"/>
    </row>
    <row r="4955">
      <c r="A4955" s="73"/>
      <c r="B4955" s="73">
        <v>2.764874288E7</v>
      </c>
      <c r="C4955" s="73">
        <v>8.89495648252548E8</v>
      </c>
      <c r="D4955" s="73">
        <v>5.07861365735995E8</v>
      </c>
      <c r="E4955" s="73">
        <v>7.76443823798505E7</v>
      </c>
      <c r="F4955" s="73"/>
      <c r="G4955" s="73"/>
      <c r="H4955" s="73"/>
      <c r="I4955" s="73"/>
      <c r="J4955" s="73"/>
      <c r="K4955" s="73"/>
      <c r="L4955" s="73"/>
      <c r="M4955" s="73"/>
      <c r="N4955" s="73"/>
      <c r="O4955" s="73"/>
      <c r="P4955" s="73"/>
      <c r="Q4955" s="73"/>
      <c r="R4955" s="73"/>
      <c r="S4955" s="73"/>
      <c r="T4955" s="73"/>
      <c r="U4955" s="73"/>
      <c r="V4955" s="73"/>
      <c r="W4955" s="73"/>
      <c r="X4955" s="73"/>
      <c r="Y4955" s="73"/>
      <c r="Z4955" s="73"/>
      <c r="AA4955" s="73"/>
      <c r="AB4955" s="73"/>
    </row>
    <row r="4956">
      <c r="A4956" s="73"/>
      <c r="B4956" s="73">
        <v>2.767803167E7</v>
      </c>
      <c r="C4956" s="73">
        <v>8.89984313198975E8</v>
      </c>
      <c r="D4956" s="73">
        <v>5.08185306387988E8</v>
      </c>
      <c r="E4956" s="73">
        <v>7.76985145807364E7</v>
      </c>
      <c r="F4956" s="73"/>
      <c r="G4956" s="73"/>
      <c r="H4956" s="73"/>
      <c r="I4956" s="73"/>
      <c r="J4956" s="73"/>
      <c r="K4956" s="73"/>
      <c r="L4956" s="73"/>
      <c r="M4956" s="73"/>
      <c r="N4956" s="73"/>
      <c r="O4956" s="73"/>
      <c r="P4956" s="73"/>
      <c r="Q4956" s="73"/>
      <c r="R4956" s="73"/>
      <c r="S4956" s="73"/>
      <c r="T4956" s="73"/>
      <c r="U4956" s="73"/>
      <c r="V4956" s="73"/>
      <c r="W4956" s="73"/>
      <c r="X4956" s="73"/>
      <c r="Y4956" s="73"/>
      <c r="Z4956" s="73"/>
      <c r="AA4956" s="73"/>
      <c r="AB4956" s="73"/>
    </row>
    <row r="4957">
      <c r="A4957" s="73"/>
      <c r="B4957" s="73">
        <v>2.770734193E7</v>
      </c>
      <c r="C4957" s="73">
        <v>8.90473109985397E8</v>
      </c>
      <c r="D4957" s="73">
        <v>5.08509411807997E8</v>
      </c>
      <c r="E4957" s="73">
        <v>7.77526641961493E7</v>
      </c>
      <c r="F4957" s="73"/>
      <c r="G4957" s="73"/>
      <c r="H4957" s="73"/>
      <c r="I4957" s="73"/>
      <c r="J4957" s="73"/>
      <c r="K4957" s="73"/>
      <c r="L4957" s="73"/>
      <c r="M4957" s="73"/>
      <c r="N4957" s="73"/>
      <c r="O4957" s="73"/>
      <c r="P4957" s="73"/>
      <c r="Q4957" s="73"/>
      <c r="R4957" s="73"/>
      <c r="S4957" s="73"/>
      <c r="T4957" s="73"/>
      <c r="U4957" s="73"/>
      <c r="V4957" s="73"/>
      <c r="W4957" s="73"/>
      <c r="X4957" s="73"/>
      <c r="Y4957" s="73"/>
      <c r="Z4957" s="73"/>
      <c r="AA4957" s="73"/>
      <c r="AB4957" s="73"/>
    </row>
    <row r="4958">
      <c r="A4958" s="73"/>
      <c r="B4958" s="73">
        <v>2.773667445E7</v>
      </c>
      <c r="C4958" s="73">
        <v>8.90962104531815E8</v>
      </c>
      <c r="D4958" s="73">
        <v>5.0883368167599E8</v>
      </c>
      <c r="E4958" s="73">
        <v>7.78068411782167E7</v>
      </c>
      <c r="F4958" s="73"/>
      <c r="G4958" s="73"/>
      <c r="H4958" s="73"/>
      <c r="I4958" s="73"/>
      <c r="J4958" s="73"/>
      <c r="K4958" s="73"/>
      <c r="L4958" s="73"/>
      <c r="M4958" s="73"/>
      <c r="N4958" s="73"/>
      <c r="O4958" s="73"/>
      <c r="P4958" s="73"/>
      <c r="Q4958" s="73"/>
      <c r="R4958" s="73"/>
      <c r="S4958" s="73"/>
      <c r="T4958" s="73"/>
      <c r="U4958" s="73"/>
      <c r="V4958" s="73"/>
      <c r="W4958" s="73"/>
      <c r="X4958" s="73"/>
      <c r="Y4958" s="73"/>
      <c r="Z4958" s="73"/>
      <c r="AA4958" s="73"/>
      <c r="AB4958" s="73"/>
    </row>
    <row r="4959">
      <c r="A4959" s="73"/>
      <c r="B4959" s="73">
        <v>2.776602886E7</v>
      </c>
      <c r="C4959" s="73">
        <v>8.91451230918228E8</v>
      </c>
      <c r="D4959" s="73">
        <v>5.09158034071999E8</v>
      </c>
      <c r="E4959" s="73">
        <v>7.78610424741388E7</v>
      </c>
      <c r="F4959" s="73"/>
      <c r="G4959" s="73"/>
      <c r="H4959" s="73"/>
      <c r="I4959" s="73"/>
      <c r="J4959" s="73"/>
      <c r="K4959" s="73"/>
      <c r="L4959" s="73"/>
      <c r="M4959" s="73"/>
      <c r="N4959" s="73"/>
      <c r="O4959" s="73"/>
      <c r="P4959" s="73"/>
      <c r="Q4959" s="73"/>
      <c r="R4959" s="73"/>
      <c r="S4959" s="73"/>
      <c r="T4959" s="73"/>
      <c r="U4959" s="73"/>
      <c r="V4959" s="73"/>
      <c r="W4959" s="73"/>
      <c r="X4959" s="73"/>
      <c r="Y4959" s="73"/>
      <c r="Z4959" s="73"/>
      <c r="AA4959" s="73"/>
      <c r="AB4959" s="73"/>
    </row>
    <row r="4960">
      <c r="A4960" s="73"/>
      <c r="B4960" s="73">
        <v>2.779540361E7</v>
      </c>
      <c r="C4960" s="73">
        <v>8.91940555064636E8</v>
      </c>
      <c r="D4960" s="73">
        <v>5.09482551523992E8</v>
      </c>
      <c r="E4960" s="73">
        <v>7.79152677447157E7</v>
      </c>
      <c r="F4960" s="73"/>
      <c r="G4960" s="73"/>
      <c r="H4960" s="73"/>
      <c r="I4960" s="73"/>
      <c r="J4960" s="73"/>
      <c r="K4960" s="73"/>
      <c r="L4960" s="73"/>
      <c r="M4960" s="73"/>
      <c r="N4960" s="73"/>
      <c r="O4960" s="73"/>
      <c r="P4960" s="73"/>
      <c r="Q4960" s="73"/>
      <c r="R4960" s="73"/>
      <c r="S4960" s="73"/>
      <c r="T4960" s="73"/>
      <c r="U4960" s="73"/>
      <c r="V4960" s="73"/>
      <c r="W4960" s="73"/>
      <c r="X4960" s="73"/>
      <c r="Y4960" s="73"/>
      <c r="Z4960" s="73"/>
      <c r="AA4960" s="73"/>
      <c r="AB4960" s="73"/>
    </row>
    <row r="4961">
      <c r="A4961" s="73"/>
      <c r="B4961" s="73">
        <v>2.782480242E7</v>
      </c>
      <c r="C4961" s="73">
        <v>8.92430076971039E8</v>
      </c>
      <c r="D4961" s="73">
        <v>5.09807151792001E8</v>
      </c>
      <c r="E4961" s="73">
        <v>7.79695188555471E7</v>
      </c>
      <c r="F4961" s="73"/>
      <c r="G4961" s="73"/>
      <c r="H4961" s="73"/>
      <c r="I4961" s="73"/>
      <c r="J4961" s="73"/>
      <c r="K4961" s="73"/>
      <c r="L4961" s="73"/>
      <c r="M4961" s="73"/>
      <c r="N4961" s="73"/>
      <c r="O4961" s="73"/>
      <c r="P4961" s="73"/>
      <c r="Q4961" s="73"/>
      <c r="R4961" s="73"/>
      <c r="S4961" s="73"/>
      <c r="T4961" s="73"/>
      <c r="U4961" s="73"/>
      <c r="V4961" s="73"/>
      <c r="W4961" s="73"/>
      <c r="X4961" s="73"/>
      <c r="Y4961" s="73"/>
      <c r="Z4961" s="73"/>
      <c r="AA4961" s="73"/>
      <c r="AB4961" s="73"/>
    </row>
    <row r="4962">
      <c r="A4962" s="73"/>
      <c r="B4962" s="73">
        <v>2.785422172E7</v>
      </c>
      <c r="C4962" s="73">
        <v>8.92919730717438E8</v>
      </c>
      <c r="D4962" s="73">
        <v>5.10131916827994E8</v>
      </c>
      <c r="E4962" s="73">
        <v>7.80237899249055E7</v>
      </c>
      <c r="F4962" s="73"/>
      <c r="G4962" s="73"/>
      <c r="H4962" s="73"/>
      <c r="I4962" s="73"/>
      <c r="J4962" s="73"/>
      <c r="K4962" s="73"/>
      <c r="L4962" s="73"/>
      <c r="M4962" s="73"/>
      <c r="N4962" s="73"/>
      <c r="O4962" s="73"/>
      <c r="P4962" s="73"/>
      <c r="Q4962" s="73"/>
      <c r="R4962" s="73"/>
      <c r="S4962" s="73"/>
      <c r="T4962" s="73"/>
      <c r="U4962" s="73"/>
      <c r="V4962" s="73"/>
      <c r="W4962" s="73"/>
      <c r="X4962" s="73"/>
      <c r="Y4962" s="73"/>
      <c r="Z4962" s="73"/>
      <c r="AA4962" s="73"/>
      <c r="AB4962" s="73"/>
    </row>
    <row r="4963">
      <c r="A4963" s="73"/>
      <c r="B4963" s="73">
        <v>2.788366288E7</v>
      </c>
      <c r="C4963" s="73">
        <v>8.93409516303833E8</v>
      </c>
      <c r="D4963" s="73">
        <v>5.10456846312002E8</v>
      </c>
      <c r="E4963" s="73">
        <v>7.80780858169185E7</v>
      </c>
      <c r="F4963" s="73"/>
      <c r="G4963" s="73"/>
      <c r="H4963" s="73"/>
      <c r="I4963" s="73"/>
      <c r="J4963" s="73"/>
      <c r="K4963" s="73"/>
      <c r="L4963" s="73"/>
      <c r="M4963" s="73"/>
      <c r="N4963" s="73"/>
      <c r="O4963" s="73"/>
      <c r="P4963" s="73"/>
      <c r="Q4963" s="73"/>
      <c r="R4963" s="73"/>
      <c r="S4963" s="73"/>
      <c r="T4963" s="73"/>
      <c r="U4963" s="73"/>
      <c r="V4963" s="73"/>
      <c r="W4963" s="73"/>
      <c r="X4963" s="73"/>
      <c r="Y4963" s="73"/>
      <c r="Z4963" s="73"/>
      <c r="AA4963" s="73"/>
      <c r="AB4963" s="73"/>
    </row>
    <row r="4964">
      <c r="A4964" s="73"/>
      <c r="B4964" s="73">
        <v>2.791312671E7</v>
      </c>
      <c r="C4964" s="73">
        <v>8.93899631490219E8</v>
      </c>
      <c r="D4964" s="73">
        <v>5.10781858931996E8</v>
      </c>
      <c r="E4964" s="73">
        <v>7.81324075491861E7</v>
      </c>
      <c r="F4964" s="73"/>
      <c r="G4964" s="73"/>
      <c r="H4964" s="73"/>
      <c r="I4964" s="73"/>
      <c r="J4964" s="73"/>
      <c r="K4964" s="73"/>
      <c r="L4964" s="73"/>
      <c r="M4964" s="73"/>
      <c r="N4964" s="73"/>
      <c r="O4964" s="73"/>
      <c r="P4964" s="73"/>
      <c r="Q4964" s="73"/>
      <c r="R4964" s="73"/>
      <c r="S4964" s="73"/>
      <c r="T4964" s="73"/>
      <c r="U4964" s="73"/>
      <c r="V4964" s="73"/>
      <c r="W4964" s="73"/>
      <c r="X4964" s="73"/>
      <c r="Y4964" s="73"/>
      <c r="Z4964" s="73"/>
      <c r="AA4964" s="73"/>
      <c r="AB4964" s="73"/>
    </row>
    <row r="4965">
      <c r="A4965" s="73"/>
      <c r="B4965" s="73">
        <v>2.794261202E7</v>
      </c>
      <c r="C4965" s="73">
        <v>8.94389878516602E8</v>
      </c>
      <c r="D4965" s="73">
        <v>5.11107035999989E8</v>
      </c>
      <c r="E4965" s="73">
        <v>7.81867551217084E7</v>
      </c>
      <c r="F4965" s="73"/>
      <c r="G4965" s="73"/>
      <c r="H4965" s="73"/>
      <c r="I4965" s="73"/>
      <c r="J4965" s="73"/>
      <c r="K4965" s="73"/>
      <c r="L4965" s="73"/>
      <c r="M4965" s="73"/>
      <c r="N4965" s="73"/>
      <c r="O4965" s="73"/>
      <c r="P4965" s="73"/>
      <c r="Q4965" s="73"/>
      <c r="R4965" s="73"/>
      <c r="S4965" s="73"/>
      <c r="T4965" s="73"/>
      <c r="U4965" s="73"/>
      <c r="V4965" s="73"/>
      <c r="W4965" s="73"/>
      <c r="X4965" s="73"/>
      <c r="Y4965" s="73"/>
      <c r="Z4965" s="73"/>
      <c r="AA4965" s="73"/>
      <c r="AB4965" s="73"/>
    </row>
    <row r="4966">
      <c r="A4966" s="73"/>
      <c r="B4966" s="73">
        <v>2.797211987E7</v>
      </c>
      <c r="C4966" s="73">
        <v>8.94880125542984E8</v>
      </c>
      <c r="D4966" s="73">
        <v>5.11432337163998E8</v>
      </c>
      <c r="E4966" s="73">
        <v>7.82411219743576E7</v>
      </c>
      <c r="F4966" s="73"/>
      <c r="G4966" s="73"/>
      <c r="H4966" s="73"/>
      <c r="I4966" s="73"/>
      <c r="J4966" s="73"/>
      <c r="K4966" s="73"/>
      <c r="L4966" s="73"/>
      <c r="M4966" s="73"/>
      <c r="N4966" s="73"/>
      <c r="O4966" s="73"/>
      <c r="P4966" s="73"/>
      <c r="Q4966" s="73"/>
      <c r="R4966" s="73"/>
      <c r="S4966" s="73"/>
      <c r="T4966" s="73"/>
      <c r="U4966" s="73"/>
      <c r="V4966" s="73"/>
      <c r="W4966" s="73"/>
      <c r="X4966" s="73"/>
      <c r="Y4966" s="73"/>
      <c r="Z4966" s="73"/>
      <c r="AA4966" s="73"/>
      <c r="AB4966" s="73"/>
    </row>
    <row r="4967">
      <c r="A4967" s="73"/>
      <c r="B4967" s="73">
        <v>2.800164899E7</v>
      </c>
      <c r="C4967" s="73">
        <v>8.95370702169357E8</v>
      </c>
      <c r="D4967" s="73">
        <v>5.11757802455991E8</v>
      </c>
      <c r="E4967" s="73">
        <v>7.82955133104614E7</v>
      </c>
      <c r="F4967" s="73"/>
      <c r="G4967" s="73"/>
      <c r="H4967" s="73"/>
      <c r="I4967" s="73"/>
      <c r="J4967" s="73"/>
      <c r="K4967" s="73"/>
      <c r="L4967" s="73"/>
      <c r="M4967" s="73"/>
      <c r="N4967" s="73"/>
      <c r="O4967" s="73"/>
      <c r="P4967" s="73"/>
      <c r="Q4967" s="73"/>
      <c r="R4967" s="73"/>
      <c r="S4967" s="73"/>
      <c r="T4967" s="73"/>
      <c r="U4967" s="73"/>
      <c r="V4967" s="73"/>
      <c r="W4967" s="73"/>
      <c r="X4967" s="73"/>
      <c r="Y4967" s="73"/>
      <c r="Z4967" s="73"/>
      <c r="AA4967" s="73"/>
      <c r="AB4967" s="73"/>
    </row>
    <row r="4968">
      <c r="A4968" s="73"/>
      <c r="B4968" s="73">
        <v>2.803120039E7</v>
      </c>
      <c r="C4968" s="73">
        <v>8.95861344715729E8</v>
      </c>
      <c r="D4968" s="73">
        <v>5.12083350915999E8</v>
      </c>
      <c r="E4968" s="73">
        <v>7.834992929962E7</v>
      </c>
      <c r="F4968" s="73"/>
      <c r="G4968" s="73"/>
      <c r="H4968" s="73"/>
      <c r="I4968" s="73"/>
      <c r="J4968" s="73"/>
      <c r="K4968" s="73"/>
      <c r="L4968" s="73"/>
      <c r="M4968" s="73"/>
      <c r="N4968" s="73"/>
      <c r="O4968" s="73"/>
      <c r="P4968" s="73"/>
      <c r="Q4968" s="73"/>
      <c r="R4968" s="73"/>
      <c r="S4968" s="73"/>
      <c r="T4968" s="73"/>
      <c r="U4968" s="73"/>
      <c r="V4968" s="73"/>
      <c r="W4968" s="73"/>
      <c r="X4968" s="73"/>
      <c r="Y4968" s="73"/>
      <c r="Z4968" s="73"/>
      <c r="AA4968" s="73"/>
      <c r="AB4968" s="73"/>
    </row>
    <row r="4969">
      <c r="A4969" s="73"/>
      <c r="B4969" s="73">
        <v>2.806077386E7</v>
      </c>
      <c r="C4969" s="73">
        <v>8.96352185022095E8</v>
      </c>
      <c r="D4969" s="73">
        <v>5.12409064111993E8</v>
      </c>
      <c r="E4969" s="73">
        <v>7.84043716378331E7</v>
      </c>
      <c r="F4969" s="73"/>
      <c r="G4969" s="73"/>
      <c r="H4969" s="73"/>
      <c r="I4969" s="73"/>
      <c r="J4969" s="73"/>
      <c r="K4969" s="73"/>
      <c r="L4969" s="73"/>
      <c r="M4969" s="73"/>
      <c r="N4969" s="73"/>
      <c r="O4969" s="73"/>
      <c r="P4969" s="73"/>
      <c r="Q4969" s="73"/>
      <c r="R4969" s="73"/>
      <c r="S4969" s="73"/>
      <c r="T4969" s="73"/>
      <c r="U4969" s="73"/>
      <c r="V4969" s="73"/>
      <c r="W4969" s="73"/>
      <c r="X4969" s="73"/>
      <c r="Y4969" s="73"/>
      <c r="Z4969" s="73"/>
      <c r="AA4969" s="73"/>
      <c r="AB4969" s="73"/>
    </row>
    <row r="4970">
      <c r="A4970" s="73"/>
      <c r="B4970" s="73">
        <v>2.809036921E7</v>
      </c>
      <c r="C4970" s="73">
        <v>8.96843223088455E8</v>
      </c>
      <c r="D4970" s="73">
        <v>5.12734901084001E8</v>
      </c>
      <c r="E4970" s="73">
        <v>7.84588379507009E7</v>
      </c>
      <c r="F4970" s="73"/>
      <c r="G4970" s="73"/>
      <c r="H4970" s="73"/>
      <c r="I4970" s="73"/>
      <c r="J4970" s="73"/>
      <c r="K4970" s="73"/>
      <c r="L4970" s="73"/>
      <c r="M4970" s="73"/>
      <c r="N4970" s="73"/>
      <c r="O4970" s="73"/>
      <c r="P4970" s="73"/>
      <c r="Q4970" s="73"/>
      <c r="R4970" s="73"/>
      <c r="S4970" s="73"/>
      <c r="T4970" s="73"/>
      <c r="U4970" s="73"/>
      <c r="V4970" s="73"/>
      <c r="W4970" s="73"/>
      <c r="X4970" s="73"/>
      <c r="Y4970" s="73"/>
      <c r="Z4970" s="73"/>
      <c r="AA4970" s="73"/>
      <c r="AB4970" s="73"/>
    </row>
    <row r="4971">
      <c r="A4971" s="73"/>
      <c r="B4971" s="73">
        <v>2.811998608E7</v>
      </c>
      <c r="C4971" s="73">
        <v>8.9733445891481E8</v>
      </c>
      <c r="D4971" s="73">
        <v>5.13060903143995E8</v>
      </c>
      <c r="E4971" s="73">
        <v>7.85133237132957E7</v>
      </c>
      <c r="F4971" s="73"/>
      <c r="G4971" s="73"/>
      <c r="H4971" s="73"/>
      <c r="I4971" s="73"/>
      <c r="J4971" s="73"/>
      <c r="K4971" s="73"/>
      <c r="L4971" s="73"/>
      <c r="M4971" s="73"/>
      <c r="N4971" s="73"/>
      <c r="O4971" s="73"/>
      <c r="P4971" s="73"/>
      <c r="Q4971" s="73"/>
      <c r="R4971" s="73"/>
      <c r="S4971" s="73"/>
      <c r="T4971" s="73"/>
      <c r="U4971" s="73"/>
      <c r="V4971" s="73"/>
      <c r="W4971" s="73"/>
      <c r="X4971" s="73"/>
      <c r="Y4971" s="73"/>
      <c r="Z4971" s="73"/>
      <c r="AA4971" s="73"/>
      <c r="AB4971" s="73"/>
    </row>
    <row r="4972">
      <c r="A4972" s="73"/>
      <c r="B4972" s="73">
        <v>2.814962506E7</v>
      </c>
      <c r="C4972" s="73">
        <v>8.97825826581162E8</v>
      </c>
      <c r="D4972" s="73">
        <v>5.13386987412003E8</v>
      </c>
      <c r="E4972" s="73">
        <v>7.85678375209449E7</v>
      </c>
      <c r="F4972" s="73"/>
      <c r="G4972" s="73"/>
      <c r="H4972" s="73"/>
      <c r="I4972" s="73"/>
      <c r="J4972" s="73"/>
      <c r="K4972" s="73"/>
      <c r="L4972" s="73"/>
      <c r="M4972" s="73"/>
      <c r="N4972" s="73"/>
      <c r="O4972" s="73"/>
      <c r="P4972" s="73"/>
      <c r="Q4972" s="73"/>
      <c r="R4972" s="73"/>
      <c r="S4972" s="73"/>
      <c r="T4972" s="73"/>
      <c r="U4972" s="73"/>
      <c r="V4972" s="73"/>
      <c r="W4972" s="73"/>
      <c r="X4972" s="73"/>
      <c r="Y4972" s="73"/>
      <c r="Z4972" s="73"/>
      <c r="AA4972" s="73"/>
      <c r="AB4972" s="73"/>
    </row>
    <row r="4973">
      <c r="A4973" s="73"/>
      <c r="B4973" s="73">
        <v>2.81792862E7</v>
      </c>
      <c r="C4973" s="73">
        <v>8.98317326087509E8</v>
      </c>
      <c r="D4973" s="73">
        <v>5.13713236735996E8</v>
      </c>
      <c r="E4973" s="73">
        <v>7.8622372928849E7</v>
      </c>
      <c r="F4973" s="73"/>
      <c r="G4973" s="73"/>
      <c r="H4973" s="73"/>
      <c r="I4973" s="73"/>
      <c r="J4973" s="73"/>
      <c r="K4973" s="73"/>
      <c r="L4973" s="73"/>
      <c r="M4973" s="73"/>
      <c r="N4973" s="73"/>
      <c r="O4973" s="73"/>
      <c r="P4973" s="73"/>
      <c r="Q4973" s="73"/>
      <c r="R4973" s="73"/>
      <c r="S4973" s="73"/>
      <c r="T4973" s="73"/>
      <c r="U4973" s="73"/>
      <c r="V4973" s="73"/>
      <c r="W4973" s="73"/>
      <c r="X4973" s="73"/>
      <c r="Y4973" s="73"/>
      <c r="Z4973" s="73"/>
      <c r="AA4973" s="73"/>
      <c r="AB4973" s="73"/>
    </row>
    <row r="4974">
      <c r="A4974" s="73"/>
      <c r="B4974" s="73">
        <v>2.820896931E7</v>
      </c>
      <c r="C4974" s="73">
        <v>8.98809023353851E8</v>
      </c>
      <c r="D4974" s="73">
        <v>5.1403960954799E8</v>
      </c>
      <c r="E4974" s="73">
        <v>7.86769341770077E7</v>
      </c>
      <c r="F4974" s="73"/>
      <c r="G4974" s="73"/>
      <c r="H4974" s="73"/>
      <c r="I4974" s="73"/>
      <c r="J4974" s="73"/>
      <c r="K4974" s="73"/>
      <c r="L4974" s="73"/>
      <c r="M4974" s="73"/>
      <c r="N4974" s="73"/>
      <c r="O4974" s="73"/>
      <c r="P4974" s="73"/>
      <c r="Q4974" s="73"/>
      <c r="R4974" s="73"/>
      <c r="S4974" s="73"/>
      <c r="T4974" s="73"/>
      <c r="U4974" s="73"/>
      <c r="V4974" s="73"/>
      <c r="W4974" s="73"/>
      <c r="X4974" s="73"/>
      <c r="Y4974" s="73"/>
      <c r="Z4974" s="73"/>
      <c r="AA4974" s="73"/>
      <c r="AB4974" s="73"/>
    </row>
    <row r="4975">
      <c r="A4975" s="73"/>
      <c r="B4975" s="73">
        <v>2.823867448E7</v>
      </c>
      <c r="C4975" s="73">
        <v>8.99300918380188E8</v>
      </c>
      <c r="D4975" s="73">
        <v>5.14366147127998E8</v>
      </c>
      <c r="E4975" s="73">
        <v>7.8731521435021E7</v>
      </c>
      <c r="F4975" s="73"/>
      <c r="G4975" s="73"/>
      <c r="H4975" s="73"/>
      <c r="I4975" s="73"/>
      <c r="J4975" s="73"/>
      <c r="K4975" s="73"/>
      <c r="L4975" s="73"/>
      <c r="M4975" s="73"/>
      <c r="N4975" s="73"/>
      <c r="O4975" s="73"/>
      <c r="P4975" s="73"/>
      <c r="Q4975" s="73"/>
      <c r="R4975" s="73"/>
      <c r="S4975" s="73"/>
      <c r="T4975" s="73"/>
      <c r="U4975" s="73"/>
      <c r="V4975" s="73"/>
      <c r="W4975" s="73"/>
      <c r="X4975" s="73"/>
      <c r="Y4975" s="73"/>
      <c r="Z4975" s="73"/>
      <c r="AA4975" s="73"/>
      <c r="AB4975" s="73"/>
    </row>
    <row r="4976">
      <c r="A4976" s="73"/>
      <c r="B4976" s="73">
        <v>2.826840141E7</v>
      </c>
      <c r="C4976" s="73">
        <v>8.99793077086517E8</v>
      </c>
      <c r="D4976" s="73">
        <v>5.14692808483991E8</v>
      </c>
      <c r="E4976" s="73">
        <v>7.87861283123613E7</v>
      </c>
      <c r="F4976" s="73"/>
      <c r="G4976" s="73"/>
      <c r="H4976" s="73"/>
      <c r="I4976" s="73"/>
      <c r="J4976" s="73"/>
      <c r="K4976" s="73"/>
      <c r="L4976" s="73"/>
      <c r="M4976" s="73"/>
      <c r="N4976" s="73"/>
      <c r="O4976" s="73"/>
      <c r="P4976" s="73"/>
      <c r="Q4976" s="73"/>
      <c r="R4976" s="73"/>
      <c r="S4976" s="73"/>
      <c r="T4976" s="73"/>
      <c r="U4976" s="73"/>
      <c r="V4976" s="73"/>
      <c r="W4976" s="73"/>
      <c r="X4976" s="73"/>
      <c r="Y4976" s="73"/>
      <c r="Z4976" s="73"/>
      <c r="AA4976" s="73"/>
      <c r="AB4976" s="73"/>
    </row>
    <row r="4977">
      <c r="A4977" s="73"/>
      <c r="B4977" s="73">
        <v>2.829815091E7</v>
      </c>
      <c r="C4977" s="73">
        <v>9.00285235792847E8</v>
      </c>
      <c r="D4977" s="73">
        <v>5.15019552656E8</v>
      </c>
      <c r="E4977" s="73">
        <v>7.88407610299561E7</v>
      </c>
      <c r="F4977" s="73"/>
      <c r="G4977" s="73"/>
      <c r="H4977" s="73"/>
      <c r="I4977" s="73"/>
      <c r="J4977" s="73"/>
      <c r="K4977" s="73"/>
      <c r="L4977" s="73"/>
      <c r="M4977" s="73"/>
      <c r="N4977" s="73"/>
      <c r="O4977" s="73"/>
      <c r="P4977" s="73"/>
      <c r="Q4977" s="73"/>
      <c r="R4977" s="73"/>
      <c r="S4977" s="73"/>
      <c r="T4977" s="73"/>
      <c r="U4977" s="73"/>
      <c r="V4977" s="73"/>
      <c r="W4977" s="73"/>
      <c r="X4977" s="73"/>
      <c r="Y4977" s="73"/>
      <c r="Z4977" s="73"/>
      <c r="AA4977" s="73"/>
      <c r="AB4977" s="73"/>
    </row>
    <row r="4978">
      <c r="A4978" s="73"/>
      <c r="B4978" s="73">
        <v>2.832792099E7</v>
      </c>
      <c r="C4978" s="73">
        <v>9.00777658179169E8</v>
      </c>
      <c r="D4978" s="73">
        <v>5.15346461595993E8</v>
      </c>
      <c r="E4978" s="73">
        <v>7.88954178918056E7</v>
      </c>
      <c r="F4978" s="73"/>
      <c r="G4978" s="73"/>
      <c r="H4978" s="73"/>
      <c r="I4978" s="73"/>
      <c r="J4978" s="73"/>
      <c r="K4978" s="73"/>
      <c r="L4978" s="73"/>
      <c r="M4978" s="73"/>
      <c r="N4978" s="73"/>
      <c r="O4978" s="73"/>
      <c r="P4978" s="73"/>
      <c r="Q4978" s="73"/>
      <c r="R4978" s="73"/>
      <c r="S4978" s="73"/>
      <c r="T4978" s="73"/>
      <c r="U4978" s="73"/>
      <c r="V4978" s="73"/>
      <c r="W4978" s="73"/>
      <c r="X4978" s="73"/>
      <c r="Y4978" s="73"/>
      <c r="Z4978" s="73"/>
      <c r="AA4978" s="73"/>
      <c r="AB4978" s="73"/>
    </row>
    <row r="4979">
      <c r="A4979" s="73"/>
      <c r="B4979" s="73">
        <v>2.835771372E7</v>
      </c>
      <c r="C4979" s="73">
        <v>9.01270146485489E8</v>
      </c>
      <c r="D4979" s="73">
        <v>5.15673535304002E8</v>
      </c>
      <c r="E4979" s="73">
        <v>7.89500982195099E7</v>
      </c>
      <c r="F4979" s="73"/>
      <c r="G4979" s="73"/>
      <c r="H4979" s="73"/>
      <c r="I4979" s="73"/>
      <c r="J4979" s="73"/>
      <c r="K4979" s="73"/>
      <c r="L4979" s="73"/>
      <c r="M4979" s="73"/>
      <c r="N4979" s="73"/>
      <c r="O4979" s="73"/>
      <c r="P4979" s="73"/>
      <c r="Q4979" s="73"/>
      <c r="R4979" s="73"/>
      <c r="S4979" s="73"/>
      <c r="T4979" s="73"/>
      <c r="U4979" s="73"/>
      <c r="V4979" s="73"/>
      <c r="W4979" s="73"/>
      <c r="X4979" s="73"/>
      <c r="Y4979" s="73"/>
      <c r="Z4979" s="73"/>
      <c r="AA4979" s="73"/>
      <c r="AB4979" s="73"/>
    </row>
    <row r="4980">
      <c r="A4980" s="73"/>
      <c r="B4980" s="73">
        <v>2.838752993E7</v>
      </c>
      <c r="C4980" s="73">
        <v>9.017629643918E8</v>
      </c>
      <c r="D4980" s="73">
        <v>5.16000732787995E8</v>
      </c>
      <c r="E4980" s="73">
        <v>7.90048017281409E7</v>
      </c>
      <c r="F4980" s="73"/>
      <c r="G4980" s="73"/>
      <c r="H4980" s="73"/>
      <c r="I4980" s="73"/>
      <c r="J4980" s="73"/>
      <c r="K4980" s="73"/>
      <c r="L4980" s="73"/>
      <c r="M4980" s="73"/>
      <c r="N4980" s="73"/>
      <c r="O4980" s="73"/>
      <c r="P4980" s="73"/>
      <c r="Q4980" s="73"/>
      <c r="R4980" s="73"/>
      <c r="S4980" s="73"/>
      <c r="T4980" s="73"/>
      <c r="U4980" s="73"/>
      <c r="V4980" s="73"/>
      <c r="W4980" s="73"/>
      <c r="X4980" s="73"/>
      <c r="Y4980" s="73"/>
      <c r="Z4980" s="73"/>
      <c r="AA4980" s="73"/>
      <c r="AB4980" s="73"/>
    </row>
    <row r="4981">
      <c r="A4981" s="73"/>
      <c r="B4981" s="73">
        <v>2.84173664E7</v>
      </c>
      <c r="C4981" s="73">
        <v>9.02255782298111E8</v>
      </c>
      <c r="D4981" s="73">
        <v>5.16328053759988E8</v>
      </c>
      <c r="E4981" s="73">
        <v>7.90595307378266E7</v>
      </c>
      <c r="F4981" s="73"/>
      <c r="G4981" s="73"/>
      <c r="H4981" s="73"/>
      <c r="I4981" s="73"/>
      <c r="J4981" s="73"/>
      <c r="K4981" s="73"/>
      <c r="L4981" s="73"/>
      <c r="M4981" s="73"/>
      <c r="N4981" s="73"/>
      <c r="O4981" s="73"/>
      <c r="P4981" s="73"/>
      <c r="Q4981" s="73"/>
      <c r="R4981" s="73"/>
      <c r="S4981" s="73"/>
      <c r="T4981" s="73"/>
      <c r="U4981" s="73"/>
      <c r="V4981" s="73"/>
      <c r="W4981" s="73"/>
      <c r="X4981" s="73"/>
      <c r="Y4981" s="73"/>
      <c r="Z4981" s="73"/>
      <c r="AA4981" s="73"/>
      <c r="AB4981" s="73"/>
    </row>
    <row r="4982">
      <c r="A4982" s="73"/>
      <c r="B4982" s="73">
        <v>2.844722504E7</v>
      </c>
      <c r="C4982" s="73">
        <v>9.02748863884415E8</v>
      </c>
      <c r="D4982" s="73">
        <v>5.16655498827997E8</v>
      </c>
      <c r="E4982" s="73">
        <v>7.91142842309669E7</v>
      </c>
      <c r="F4982" s="73"/>
      <c r="G4982" s="73"/>
      <c r="H4982" s="73"/>
      <c r="I4982" s="73"/>
      <c r="J4982" s="73"/>
      <c r="K4982" s="73"/>
      <c r="L4982" s="73"/>
      <c r="M4982" s="73"/>
      <c r="N4982" s="73"/>
      <c r="O4982" s="73"/>
      <c r="P4982" s="73"/>
      <c r="Q4982" s="73"/>
      <c r="R4982" s="73"/>
      <c r="S4982" s="73"/>
      <c r="T4982" s="73"/>
      <c r="U4982" s="73"/>
      <c r="V4982" s="73"/>
      <c r="W4982" s="73"/>
      <c r="X4982" s="73"/>
      <c r="Y4982" s="73"/>
      <c r="Z4982" s="73"/>
      <c r="AA4982" s="73"/>
      <c r="AB4982" s="73"/>
    </row>
    <row r="4983">
      <c r="A4983" s="73"/>
      <c r="B4983" s="73">
        <v>2.847710604E7</v>
      </c>
      <c r="C4983" s="73">
        <v>9.03242077310715E8</v>
      </c>
      <c r="D4983" s="73">
        <v>5.1698310866399E8</v>
      </c>
      <c r="E4983" s="73">
        <v>7.9169059154762E7</v>
      </c>
      <c r="F4983" s="73"/>
      <c r="G4983" s="73"/>
      <c r="H4983" s="73"/>
      <c r="I4983" s="73"/>
      <c r="J4983" s="73"/>
      <c r="K4983" s="73"/>
      <c r="L4983" s="73"/>
      <c r="M4983" s="73"/>
      <c r="N4983" s="73"/>
      <c r="O4983" s="73"/>
      <c r="P4983" s="73"/>
      <c r="Q4983" s="73"/>
      <c r="R4983" s="73"/>
      <c r="S4983" s="73"/>
      <c r="T4983" s="73"/>
      <c r="U4983" s="73"/>
      <c r="V4983" s="73"/>
      <c r="W4983" s="73"/>
      <c r="X4983" s="73"/>
      <c r="Y4983" s="73"/>
      <c r="Z4983" s="73"/>
      <c r="AA4983" s="73"/>
      <c r="AB4983" s="73"/>
    </row>
    <row r="4984">
      <c r="A4984" s="73"/>
      <c r="B4984" s="73">
        <v>2.850700871E7</v>
      </c>
      <c r="C4984" s="73">
        <v>9.03735554417007E8</v>
      </c>
      <c r="D4984" s="73">
        <v>5.17310841987999E8</v>
      </c>
      <c r="E4984" s="73">
        <v>7.92238616148117E7</v>
      </c>
      <c r="F4984" s="73"/>
      <c r="G4984" s="73"/>
      <c r="H4984" s="73"/>
      <c r="I4984" s="73"/>
      <c r="J4984" s="73"/>
      <c r="K4984" s="73"/>
      <c r="L4984" s="73"/>
      <c r="M4984" s="73"/>
      <c r="N4984" s="73"/>
      <c r="O4984" s="73"/>
      <c r="P4984" s="73"/>
      <c r="Q4984" s="73"/>
      <c r="R4984" s="73"/>
      <c r="S4984" s="73"/>
      <c r="T4984" s="73"/>
      <c r="U4984" s="73"/>
      <c r="V4984" s="73"/>
      <c r="W4984" s="73"/>
      <c r="X4984" s="73"/>
      <c r="Y4984" s="73"/>
      <c r="Z4984" s="73"/>
      <c r="AA4984" s="73"/>
      <c r="AB4984" s="73"/>
    </row>
    <row r="4985">
      <c r="A4985" s="73"/>
      <c r="B4985" s="73">
        <v>2.853693426E7</v>
      </c>
      <c r="C4985" s="73">
        <v>9.04229097443298E8</v>
      </c>
      <c r="D4985" s="73">
        <v>5.17638699087992E8</v>
      </c>
      <c r="E4985" s="73">
        <v>7.92786855597883E7</v>
      </c>
      <c r="F4985" s="73"/>
      <c r="G4985" s="73"/>
      <c r="H4985" s="73"/>
      <c r="I4985" s="73"/>
      <c r="J4985" s="73"/>
      <c r="K4985" s="73"/>
      <c r="L4985" s="73"/>
      <c r="M4985" s="73"/>
      <c r="N4985" s="73"/>
      <c r="O4985" s="73"/>
      <c r="P4985" s="73"/>
      <c r="Q4985" s="73"/>
      <c r="R4985" s="73"/>
      <c r="S4985" s="73"/>
      <c r="T4985" s="73"/>
      <c r="U4985" s="73"/>
      <c r="V4985" s="73"/>
      <c r="W4985" s="73"/>
      <c r="X4985" s="73"/>
      <c r="Y4985" s="73"/>
      <c r="Z4985" s="73"/>
      <c r="AA4985" s="73"/>
      <c r="AB4985" s="73"/>
    </row>
    <row r="4986">
      <c r="A4986" s="73"/>
      <c r="B4986" s="73">
        <v>2.856688125E7</v>
      </c>
      <c r="C4986" s="73">
        <v>9.04722838229584E8</v>
      </c>
      <c r="D4986" s="73">
        <v>5.17966680284001E8</v>
      </c>
      <c r="E4986" s="73">
        <v>7.93335361930193E7</v>
      </c>
      <c r="F4986" s="73"/>
      <c r="G4986" s="73"/>
      <c r="H4986" s="73"/>
      <c r="I4986" s="73"/>
      <c r="J4986" s="73"/>
      <c r="K4986" s="73"/>
      <c r="L4986" s="73"/>
      <c r="M4986" s="73"/>
      <c r="N4986" s="73"/>
      <c r="O4986" s="73"/>
      <c r="P4986" s="73"/>
      <c r="Q4986" s="73"/>
      <c r="R4986" s="73"/>
      <c r="S4986" s="73"/>
      <c r="T4986" s="73"/>
      <c r="U4986" s="73"/>
      <c r="V4986" s="73"/>
      <c r="W4986" s="73"/>
      <c r="X4986" s="73"/>
      <c r="Y4986" s="73"/>
      <c r="Z4986" s="73"/>
      <c r="AA4986" s="73"/>
      <c r="AB4986" s="73"/>
    </row>
    <row r="4987">
      <c r="A4987" s="73"/>
      <c r="B4987" s="73">
        <v>2.859685023E7</v>
      </c>
      <c r="C4987" s="73">
        <v>9.05216776775864E8</v>
      </c>
      <c r="D4987" s="73">
        <v>5.18294825927994E8</v>
      </c>
      <c r="E4987" s="73">
        <v>7.93884075785053E7</v>
      </c>
      <c r="F4987" s="73"/>
      <c r="G4987" s="73"/>
      <c r="H4987" s="73"/>
      <c r="I4987" s="73"/>
      <c r="J4987" s="73"/>
      <c r="K4987" s="73"/>
      <c r="L4987" s="73"/>
      <c r="M4987" s="73"/>
      <c r="N4987" s="73"/>
      <c r="O4987" s="73"/>
      <c r="P4987" s="73"/>
      <c r="Q4987" s="73"/>
      <c r="R4987" s="73"/>
      <c r="S4987" s="73"/>
      <c r="T4987" s="73"/>
      <c r="U4987" s="73"/>
      <c r="V4987" s="73"/>
      <c r="W4987" s="73"/>
      <c r="X4987" s="73"/>
      <c r="Y4987" s="73"/>
      <c r="Z4987" s="73"/>
      <c r="AA4987" s="73"/>
      <c r="AB4987" s="73"/>
    </row>
    <row r="4988">
      <c r="A4988" s="73"/>
      <c r="B4988" s="73">
        <v>2.862684057E7</v>
      </c>
      <c r="C4988" s="73">
        <v>9.05710913082138E8</v>
      </c>
      <c r="D4988" s="73">
        <v>5.18623095092002E8</v>
      </c>
      <c r="E4988" s="73">
        <v>7.94433058218458E7</v>
      </c>
      <c r="F4988" s="73"/>
      <c r="G4988" s="73"/>
      <c r="H4988" s="73"/>
      <c r="I4988" s="73"/>
      <c r="J4988" s="73"/>
      <c r="K4988" s="73"/>
      <c r="L4988" s="73"/>
      <c r="M4988" s="73"/>
      <c r="N4988" s="73"/>
      <c r="O4988" s="73"/>
      <c r="P4988" s="73"/>
      <c r="Q4988" s="73"/>
      <c r="R4988" s="73"/>
      <c r="S4988" s="73"/>
      <c r="T4988" s="73"/>
      <c r="U4988" s="73"/>
      <c r="V4988" s="73"/>
      <c r="W4988" s="73"/>
      <c r="X4988" s="73"/>
      <c r="Y4988" s="73"/>
      <c r="Z4988" s="73"/>
      <c r="AA4988" s="73"/>
      <c r="AB4988" s="73"/>
    </row>
    <row r="4989">
      <c r="A4989" s="73"/>
      <c r="B4989" s="73">
        <v>2.86568543E7</v>
      </c>
      <c r="C4989" s="73">
        <v>9.06205247148407E8</v>
      </c>
      <c r="D4989" s="73">
        <v>5.18951487999996E8</v>
      </c>
      <c r="E4989" s="73">
        <v>7.9498227870241E7</v>
      </c>
      <c r="F4989" s="73"/>
      <c r="G4989" s="73"/>
      <c r="H4989" s="73"/>
      <c r="I4989" s="73"/>
      <c r="J4989" s="73"/>
      <c r="K4989" s="73"/>
      <c r="L4989" s="73"/>
      <c r="M4989" s="73"/>
      <c r="N4989" s="73"/>
      <c r="O4989" s="73"/>
      <c r="P4989" s="73"/>
      <c r="Q4989" s="73"/>
      <c r="R4989" s="73"/>
      <c r="S4989" s="73"/>
      <c r="T4989" s="73"/>
      <c r="U4989" s="73"/>
      <c r="V4989" s="73"/>
      <c r="W4989" s="73"/>
      <c r="X4989" s="73"/>
      <c r="Y4989" s="73"/>
      <c r="Z4989" s="73"/>
      <c r="AA4989" s="73"/>
      <c r="AB4989" s="73"/>
    </row>
    <row r="4990">
      <c r="A4990" s="73"/>
      <c r="B4990" s="73">
        <v>2.868688997E7</v>
      </c>
      <c r="C4990" s="73">
        <v>9.06699647134674E8</v>
      </c>
      <c r="D4990" s="73">
        <v>5.19280005323989E8</v>
      </c>
      <c r="E4990" s="73">
        <v>7.95531700467631E7</v>
      </c>
      <c r="F4990" s="73"/>
      <c r="G4990" s="73"/>
      <c r="H4990" s="73"/>
      <c r="I4990" s="73"/>
      <c r="J4990" s="73"/>
      <c r="K4990" s="73"/>
      <c r="L4990" s="73"/>
      <c r="M4990" s="73"/>
      <c r="N4990" s="73"/>
      <c r="O4990" s="73"/>
      <c r="P4990" s="73"/>
      <c r="Q4990" s="73"/>
      <c r="R4990" s="73"/>
      <c r="S4990" s="73"/>
      <c r="T4990" s="73"/>
      <c r="U4990" s="73"/>
      <c r="V4990" s="73"/>
      <c r="W4990" s="73"/>
      <c r="X4990" s="73"/>
      <c r="Y4990" s="73"/>
      <c r="Z4990" s="73"/>
      <c r="AA4990" s="73"/>
      <c r="AB4990" s="73"/>
    </row>
    <row r="4991">
      <c r="A4991" s="73"/>
      <c r="B4991" s="73">
        <v>2.871694612E7</v>
      </c>
      <c r="C4991" s="73">
        <v>9.07194244880936E8</v>
      </c>
      <c r="D4991" s="73">
        <v>5.19608727767998E8</v>
      </c>
      <c r="E4991" s="73">
        <v>7.96081411163397E7</v>
      </c>
      <c r="F4991" s="73"/>
      <c r="G4991" s="73"/>
      <c r="H4991" s="73"/>
      <c r="I4991" s="73"/>
      <c r="J4991" s="73"/>
      <c r="K4991" s="73"/>
      <c r="L4991" s="73"/>
      <c r="M4991" s="73"/>
      <c r="N4991" s="73"/>
      <c r="O4991" s="73"/>
      <c r="P4991" s="73"/>
      <c r="Q4991" s="73"/>
      <c r="R4991" s="73"/>
      <c r="S4991" s="73"/>
      <c r="T4991" s="73"/>
      <c r="U4991" s="73"/>
      <c r="V4991" s="73"/>
      <c r="W4991" s="73"/>
      <c r="X4991" s="73"/>
      <c r="Y4991" s="73"/>
      <c r="Z4991" s="73"/>
      <c r="AA4991" s="73"/>
      <c r="AB4991" s="73"/>
    </row>
    <row r="4992">
      <c r="A4992" s="73"/>
      <c r="B4992" s="73">
        <v>2.874702594E7</v>
      </c>
      <c r="C4992" s="73">
        <v>9.07689040387192E8</v>
      </c>
      <c r="D4992" s="73">
        <v>5.19937533347991E8</v>
      </c>
      <c r="E4992" s="73">
        <v>7.96631332773712E7</v>
      </c>
      <c r="F4992" s="73"/>
      <c r="G4992" s="73"/>
      <c r="H4992" s="73"/>
      <c r="I4992" s="73"/>
      <c r="J4992" s="73"/>
      <c r="K4992" s="73"/>
      <c r="L4992" s="73"/>
      <c r="M4992" s="73"/>
      <c r="N4992" s="73"/>
      <c r="O4992" s="73"/>
      <c r="P4992" s="73"/>
      <c r="Q4992" s="73"/>
      <c r="R4992" s="73"/>
      <c r="S4992" s="73"/>
      <c r="T4992" s="73"/>
      <c r="U4992" s="73"/>
      <c r="V4992" s="73"/>
      <c r="W4992" s="73"/>
      <c r="X4992" s="73"/>
      <c r="Y4992" s="73"/>
      <c r="Z4992" s="73"/>
      <c r="AA4992" s="73"/>
      <c r="AB4992" s="73"/>
    </row>
    <row r="4993">
      <c r="A4993" s="73"/>
      <c r="B4993" s="73">
        <v>2.87771269E7</v>
      </c>
      <c r="C4993" s="73">
        <v>9.08183901813446E8</v>
      </c>
      <c r="D4993" s="73">
        <v>5.20266462415999E8</v>
      </c>
      <c r="E4993" s="73">
        <v>7.97181502610573E7</v>
      </c>
      <c r="F4993" s="73"/>
      <c r="G4993" s="73"/>
      <c r="H4993" s="73"/>
      <c r="I4993" s="73"/>
      <c r="J4993" s="73"/>
      <c r="K4993" s="73"/>
      <c r="L4993" s="73"/>
      <c r="M4993" s="73"/>
      <c r="N4993" s="73"/>
      <c r="O4993" s="73"/>
      <c r="P4993" s="73"/>
      <c r="Q4993" s="73"/>
      <c r="R4993" s="73"/>
      <c r="S4993" s="73"/>
      <c r="T4993" s="73"/>
      <c r="U4993" s="73"/>
      <c r="V4993" s="73"/>
      <c r="W4993" s="73"/>
      <c r="X4993" s="73"/>
      <c r="Y4993" s="73"/>
      <c r="Z4993" s="73"/>
      <c r="AA4993" s="73"/>
      <c r="AB4993" s="73"/>
    </row>
    <row r="4994">
      <c r="A4994" s="73"/>
      <c r="B4994" s="73">
        <v>2.880725127E7</v>
      </c>
      <c r="C4994" s="73">
        <v>9.08679092839691E8</v>
      </c>
      <c r="D4994" s="73">
        <v>5.20595556219993E8</v>
      </c>
      <c r="E4994" s="73">
        <v>7.97731897472702E7</v>
      </c>
      <c r="F4994" s="73"/>
      <c r="G4994" s="73"/>
      <c r="H4994" s="73"/>
      <c r="I4994" s="73"/>
      <c r="J4994" s="73"/>
      <c r="K4994" s="73"/>
      <c r="L4994" s="73"/>
      <c r="M4994" s="73"/>
      <c r="N4994" s="73"/>
      <c r="O4994" s="73"/>
      <c r="P4994" s="73"/>
      <c r="Q4994" s="73"/>
      <c r="R4994" s="73"/>
      <c r="S4994" s="73"/>
      <c r="T4994" s="73"/>
      <c r="U4994" s="73"/>
      <c r="V4994" s="73"/>
      <c r="W4994" s="73"/>
      <c r="X4994" s="73"/>
      <c r="Y4994" s="73"/>
      <c r="Z4994" s="73"/>
      <c r="AA4994" s="73"/>
      <c r="AB4994" s="73"/>
    </row>
    <row r="4995">
      <c r="A4995" s="73"/>
      <c r="B4995" s="73">
        <v>2.883739596E7</v>
      </c>
      <c r="C4995" s="73">
        <v>9.09174349785934E8</v>
      </c>
      <c r="D4995" s="73">
        <v>5.20924733160001E8</v>
      </c>
      <c r="E4995" s="73">
        <v>7.98282564305376E7</v>
      </c>
      <c r="F4995" s="73"/>
      <c r="G4995" s="73"/>
      <c r="H4995" s="73"/>
      <c r="I4995" s="73"/>
      <c r="J4995" s="73"/>
      <c r="K4995" s="73"/>
      <c r="L4995" s="73"/>
      <c r="M4995" s="73"/>
      <c r="N4995" s="73"/>
      <c r="O4995" s="73"/>
      <c r="P4995" s="73"/>
      <c r="Q4995" s="73"/>
      <c r="R4995" s="73"/>
      <c r="S4995" s="73"/>
      <c r="T4995" s="73"/>
      <c r="U4995" s="73"/>
      <c r="V4995" s="73"/>
      <c r="W4995" s="73"/>
      <c r="X4995" s="73"/>
      <c r="Y4995" s="73"/>
      <c r="Z4995" s="73"/>
      <c r="AA4995" s="73"/>
      <c r="AB4995" s="73"/>
    </row>
    <row r="4996">
      <c r="A4996" s="73"/>
      <c r="B4996" s="73">
        <v>2.886756315E7</v>
      </c>
      <c r="C4996" s="73">
        <v>9.09669804492172E8</v>
      </c>
      <c r="D4996" s="73">
        <v>5.21254074259995E8</v>
      </c>
      <c r="E4996" s="73">
        <v>7.98833440356598E7</v>
      </c>
      <c r="F4996" s="73"/>
      <c r="G4996" s="73"/>
      <c r="H4996" s="73"/>
      <c r="I4996" s="73"/>
      <c r="J4996" s="73"/>
      <c r="K4996" s="73"/>
      <c r="L4996" s="73"/>
      <c r="M4996" s="73"/>
      <c r="N4996" s="73"/>
      <c r="O4996" s="73"/>
      <c r="P4996" s="73"/>
      <c r="Q4996" s="73"/>
      <c r="R4996" s="73"/>
      <c r="S4996" s="73"/>
      <c r="T4996" s="73"/>
      <c r="U4996" s="73"/>
      <c r="V4996" s="73"/>
      <c r="W4996" s="73"/>
      <c r="X4996" s="73"/>
      <c r="Y4996" s="73"/>
      <c r="Z4996" s="73"/>
      <c r="AA4996" s="73"/>
      <c r="AB4996" s="73"/>
    </row>
    <row r="4997">
      <c r="A4997" s="73"/>
      <c r="B4997" s="73">
        <v>2.889775259E7</v>
      </c>
      <c r="C4997" s="73">
        <v>9.10165391038406E8</v>
      </c>
      <c r="D4997" s="73">
        <v>5.21583580416003E8</v>
      </c>
      <c r="E4997" s="73">
        <v>7.99384583290367E7</v>
      </c>
      <c r="F4997" s="73"/>
      <c r="G4997" s="73"/>
      <c r="H4997" s="73"/>
      <c r="I4997" s="73"/>
      <c r="J4997" s="73"/>
      <c r="K4997" s="73"/>
      <c r="L4997" s="73"/>
      <c r="M4997" s="73"/>
      <c r="N4997" s="73"/>
      <c r="O4997" s="73"/>
      <c r="P4997" s="73"/>
      <c r="Q4997" s="73"/>
      <c r="R4997" s="73"/>
      <c r="S4997" s="73"/>
      <c r="T4997" s="73"/>
      <c r="U4997" s="73"/>
      <c r="V4997" s="73"/>
      <c r="W4997" s="73"/>
      <c r="X4997" s="73"/>
      <c r="Y4997" s="73"/>
      <c r="Z4997" s="73"/>
      <c r="AA4997" s="73"/>
      <c r="AB4997" s="73"/>
    </row>
    <row r="4998">
      <c r="A4998" s="73"/>
      <c r="B4998" s="73">
        <v>2.892796491E7</v>
      </c>
      <c r="C4998" s="73">
        <v>9.10661241264633E8</v>
      </c>
      <c r="D4998" s="73">
        <v>5.21913169387996E8</v>
      </c>
      <c r="E4998" s="73">
        <v>7.99935974450682E7</v>
      </c>
      <c r="F4998" s="73"/>
      <c r="G4998" s="73"/>
      <c r="H4998" s="73"/>
      <c r="I4998" s="73"/>
      <c r="J4998" s="73"/>
      <c r="K4998" s="73"/>
      <c r="L4998" s="73"/>
      <c r="M4998" s="73"/>
      <c r="N4998" s="73"/>
      <c r="O4998" s="73"/>
      <c r="P4998" s="73"/>
      <c r="Q4998" s="73"/>
      <c r="R4998" s="73"/>
      <c r="S4998" s="73"/>
      <c r="T4998" s="73"/>
      <c r="U4998" s="73"/>
      <c r="V4998" s="73"/>
      <c r="W4998" s="73"/>
      <c r="X4998" s="73"/>
      <c r="Y4998" s="73"/>
      <c r="Z4998" s="73"/>
      <c r="AA4998" s="73"/>
      <c r="AB4998" s="73"/>
    </row>
    <row r="4999">
      <c r="A4999" s="73"/>
      <c r="B4999" s="73">
        <v>2.8958198E7</v>
      </c>
      <c r="C4999" s="73">
        <v>9.11157157410858E8</v>
      </c>
      <c r="D4999" s="73">
        <v>5.2224296408799E8</v>
      </c>
      <c r="E4999" s="73">
        <v>8.00487608749544E7</v>
      </c>
      <c r="F4999" s="73"/>
      <c r="G4999" s="73"/>
      <c r="H4999" s="73"/>
      <c r="I4999" s="73"/>
      <c r="J4999" s="73"/>
      <c r="K4999" s="73"/>
      <c r="L4999" s="73"/>
      <c r="M4999" s="73"/>
      <c r="N4999" s="73"/>
      <c r="O4999" s="73"/>
      <c r="P4999" s="73"/>
      <c r="Q4999" s="73"/>
      <c r="R4999" s="73"/>
      <c r="S4999" s="73"/>
      <c r="T4999" s="73"/>
      <c r="U4999" s="73"/>
      <c r="V4999" s="73"/>
      <c r="W4999" s="73"/>
      <c r="X4999" s="73"/>
      <c r="Y4999" s="73"/>
      <c r="Z4999" s="73"/>
      <c r="AA4999" s="73"/>
      <c r="AB4999" s="73"/>
    </row>
    <row r="5000">
      <c r="A5000" s="73"/>
      <c r="B5000" s="73">
        <v>2.898845413E7</v>
      </c>
      <c r="C5000" s="73">
        <v>9.11653337237076E8</v>
      </c>
      <c r="D5000" s="73">
        <v>5.22572841603998E8</v>
      </c>
      <c r="E5000" s="73">
        <v>8.01039442633675E7</v>
      </c>
      <c r="F5000" s="73"/>
      <c r="G5000" s="73"/>
      <c r="H5000" s="73"/>
      <c r="I5000" s="73"/>
      <c r="J5000" s="73"/>
      <c r="K5000" s="73"/>
      <c r="L5000" s="73"/>
      <c r="M5000" s="73"/>
      <c r="N5000" s="73"/>
      <c r="O5000" s="73"/>
      <c r="P5000" s="73"/>
      <c r="Q5000" s="73"/>
      <c r="R5000" s="73"/>
      <c r="S5000" s="73"/>
      <c r="T5000" s="73"/>
      <c r="U5000" s="73"/>
      <c r="V5000" s="73"/>
      <c r="W5000" s="73"/>
      <c r="X5000" s="73"/>
      <c r="Y5000" s="73"/>
      <c r="Z5000" s="73"/>
      <c r="AA5000" s="73"/>
      <c r="AB5000" s="73"/>
    </row>
    <row r="5001">
      <c r="A5001" s="73"/>
      <c r="B5001" s="73">
        <v>2.901873246E7</v>
      </c>
      <c r="C5001" s="73">
        <v>9.1214964890329E8</v>
      </c>
      <c r="D5001" s="73">
        <v>5.22902842927991E8</v>
      </c>
      <c r="E5001" s="73">
        <v>8.01591548488351E7</v>
      </c>
      <c r="F5001" s="73"/>
      <c r="G5001" s="73"/>
      <c r="H5001" s="73"/>
      <c r="I5001" s="73"/>
      <c r="J5001" s="73"/>
      <c r="K5001" s="73"/>
      <c r="L5001" s="73"/>
      <c r="M5001" s="73"/>
      <c r="N5001" s="73"/>
      <c r="O5001" s="73"/>
      <c r="P5001" s="73"/>
      <c r="Q5001" s="73"/>
      <c r="R5001" s="73"/>
      <c r="S5001" s="73"/>
      <c r="T5001" s="73"/>
      <c r="U5001" s="73"/>
      <c r="V5001" s="73"/>
      <c r="W5001" s="73"/>
      <c r="X5001" s="73"/>
      <c r="Y5001" s="73"/>
      <c r="Z5001" s="73"/>
      <c r="AA5001" s="73"/>
      <c r="AB5001" s="73"/>
    </row>
    <row r="5002">
      <c r="A5002" s="73"/>
      <c r="B5002" s="73">
        <v>2.904903256E7</v>
      </c>
      <c r="C5002" s="73">
        <v>9.12646158329498E8</v>
      </c>
      <c r="D5002" s="73">
        <v>5.232330087E8</v>
      </c>
      <c r="E5002" s="73">
        <v>8.02143880521576E7</v>
      </c>
      <c r="F5002" s="73"/>
      <c r="G5002" s="73"/>
      <c r="H5002" s="73"/>
      <c r="I5002" s="73"/>
      <c r="J5002" s="73"/>
      <c r="K5002" s="73"/>
      <c r="L5002" s="73"/>
      <c r="M5002" s="73"/>
      <c r="N5002" s="73"/>
      <c r="O5002" s="73"/>
      <c r="P5002" s="73"/>
      <c r="Q5002" s="73"/>
      <c r="R5002" s="73"/>
      <c r="S5002" s="73"/>
      <c r="T5002" s="73"/>
      <c r="U5002" s="73"/>
      <c r="V5002" s="73"/>
      <c r="W5002" s="73"/>
      <c r="X5002" s="73"/>
      <c r="Y5002" s="73"/>
      <c r="Z5002" s="73"/>
      <c r="AA5002" s="73"/>
      <c r="AB5002" s="73"/>
    </row>
    <row r="5003">
      <c r="A5003" s="73"/>
      <c r="B5003" s="73">
        <v>2.90793541E7</v>
      </c>
      <c r="C5003" s="73">
        <v>9.14512523374346E8</v>
      </c>
      <c r="D5003" s="73">
        <v>5.24819871755114E8</v>
      </c>
      <c r="E5003" s="73"/>
      <c r="F5003" s="73"/>
      <c r="G5003" s="73"/>
      <c r="H5003" s="73"/>
      <c r="I5003" s="73"/>
      <c r="J5003" s="73"/>
      <c r="K5003" s="73"/>
      <c r="L5003" s="73"/>
      <c r="M5003" s="73"/>
      <c r="N5003" s="73"/>
      <c r="O5003" s="73"/>
      <c r="P5003" s="73"/>
      <c r="Q5003" s="73"/>
      <c r="R5003" s="73"/>
      <c r="S5003" s="73"/>
      <c r="T5003" s="73"/>
      <c r="U5003" s="73"/>
      <c r="V5003" s="73"/>
      <c r="W5003" s="73"/>
      <c r="X5003" s="73"/>
      <c r="Y5003" s="73"/>
      <c r="Z5003" s="73"/>
      <c r="AA5003" s="73"/>
      <c r="AB5003" s="73"/>
    </row>
    <row r="5004">
      <c r="A5004" s="73"/>
      <c r="B5004" s="73">
        <v>2.910969863E7</v>
      </c>
      <c r="C5004" s="73">
        <v>9.16382646079003E8</v>
      </c>
      <c r="D5004" s="73">
        <v>5.26411482888373E8</v>
      </c>
      <c r="E5004" s="73"/>
      <c r="F5004" s="73"/>
      <c r="G5004" s="73"/>
      <c r="H5004" s="73"/>
      <c r="I5004" s="73"/>
      <c r="J5004" s="73"/>
      <c r="K5004" s="73"/>
      <c r="L5004" s="73"/>
      <c r="M5004" s="73"/>
      <c r="N5004" s="73"/>
      <c r="O5004" s="73"/>
      <c r="P5004" s="73"/>
      <c r="Q5004" s="73"/>
      <c r="R5004" s="73"/>
      <c r="S5004" s="73"/>
      <c r="T5004" s="73"/>
      <c r="U5004" s="73"/>
      <c r="V5004" s="73"/>
      <c r="W5004" s="73"/>
      <c r="X5004" s="73"/>
      <c r="Y5004" s="73"/>
      <c r="Z5004" s="73"/>
      <c r="AA5004" s="73"/>
      <c r="AB5004" s="73"/>
    </row>
    <row r="5005">
      <c r="A5005" s="73"/>
      <c r="B5005" s="73">
        <v>2.914006492E7</v>
      </c>
      <c r="C5005" s="73">
        <v>9.18256464493637E8</v>
      </c>
      <c r="D5005" s="73">
        <v>5.28007830195096E8</v>
      </c>
      <c r="E5005" s="73"/>
      <c r="F5005" s="73"/>
      <c r="G5005" s="73"/>
      <c r="H5005" s="73"/>
      <c r="I5005" s="73"/>
      <c r="J5005" s="73"/>
      <c r="K5005" s="73"/>
      <c r="L5005" s="73"/>
      <c r="M5005" s="73"/>
      <c r="N5005" s="73"/>
      <c r="O5005" s="73"/>
      <c r="P5005" s="73"/>
      <c r="Q5005" s="73"/>
      <c r="R5005" s="73"/>
      <c r="S5005" s="73"/>
      <c r="T5005" s="73"/>
      <c r="U5005" s="73"/>
      <c r="V5005" s="73"/>
      <c r="W5005" s="73"/>
      <c r="X5005" s="73"/>
      <c r="Y5005" s="73"/>
      <c r="Z5005" s="73"/>
      <c r="AA5005" s="73"/>
      <c r="AB5005" s="73"/>
    </row>
    <row r="5006">
      <c r="A5006" s="73"/>
      <c r="B5006" s="73">
        <v>2.917045337E7</v>
      </c>
      <c r="C5006" s="73">
        <v>9.20133939873781E8</v>
      </c>
      <c r="D5006" s="73">
        <v>5.29608939311866E8</v>
      </c>
      <c r="E5006" s="73"/>
      <c r="F5006" s="73"/>
      <c r="G5006" s="73"/>
      <c r="H5006" s="73"/>
      <c r="I5006" s="73"/>
      <c r="J5006" s="73"/>
      <c r="K5006" s="73"/>
      <c r="L5006" s="73"/>
      <c r="M5006" s="73"/>
      <c r="N5006" s="73"/>
      <c r="O5006" s="73"/>
      <c r="P5006" s="73"/>
      <c r="Q5006" s="73"/>
      <c r="R5006" s="73"/>
      <c r="S5006" s="73"/>
      <c r="T5006" s="73"/>
      <c r="U5006" s="73"/>
      <c r="V5006" s="73"/>
      <c r="W5006" s="73"/>
      <c r="X5006" s="73"/>
      <c r="Y5006" s="73"/>
      <c r="Z5006" s="73"/>
      <c r="AA5006" s="73"/>
      <c r="AB5006" s="73"/>
    </row>
    <row r="5007">
      <c r="A5007" s="73"/>
      <c r="B5007" s="73">
        <v>2.920086367E7</v>
      </c>
      <c r="C5007" s="73">
        <v>9.22015294498012E8</v>
      </c>
      <c r="D5007" s="73">
        <v>5.31214838516996E8</v>
      </c>
      <c r="E5007" s="73"/>
      <c r="F5007" s="73"/>
      <c r="G5007" s="73"/>
      <c r="H5007" s="73"/>
      <c r="I5007" s="73"/>
      <c r="J5007" s="73"/>
      <c r="K5007" s="73"/>
      <c r="L5007" s="73"/>
      <c r="M5007" s="73"/>
      <c r="N5007" s="73"/>
      <c r="O5007" s="73"/>
      <c r="P5007" s="73"/>
      <c r="Q5007" s="73"/>
      <c r="R5007" s="73"/>
      <c r="S5007" s="73"/>
      <c r="T5007" s="73"/>
      <c r="U5007" s="73"/>
      <c r="V5007" s="73"/>
      <c r="W5007" s="73"/>
      <c r="X5007" s="73"/>
      <c r="Y5007" s="73"/>
      <c r="Z5007" s="73"/>
      <c r="AA5007" s="73"/>
      <c r="AB5007" s="73"/>
    </row>
    <row r="5008">
      <c r="A5008" s="73"/>
      <c r="B5008" s="73">
        <v>2.923129647E7</v>
      </c>
      <c r="C5008" s="73">
        <v>9.23900357152112E8</v>
      </c>
      <c r="D5008" s="73">
        <v>5.32825576093405E8</v>
      </c>
      <c r="E5008" s="73"/>
      <c r="F5008" s="73"/>
      <c r="G5008" s="73"/>
      <c r="H5008" s="73"/>
      <c r="I5008" s="73"/>
      <c r="J5008" s="73"/>
      <c r="K5008" s="73"/>
      <c r="L5008" s="73"/>
      <c r="M5008" s="73"/>
      <c r="N5008" s="73"/>
      <c r="O5008" s="73"/>
      <c r="P5008" s="73"/>
      <c r="Q5008" s="73"/>
      <c r="R5008" s="73"/>
      <c r="S5008" s="73"/>
      <c r="T5008" s="73"/>
      <c r="U5008" s="73"/>
      <c r="V5008" s="73"/>
      <c r="W5008" s="73"/>
      <c r="X5008" s="73"/>
      <c r="Y5008" s="73"/>
      <c r="Z5008" s="73"/>
      <c r="AA5008" s="73"/>
      <c r="AB5008" s="73"/>
    </row>
    <row r="5009">
      <c r="A5009" s="73"/>
      <c r="B5009" s="73">
        <v>2.926175112E7</v>
      </c>
      <c r="C5009" s="73">
        <v>9.25789089218829E8</v>
      </c>
      <c r="D5009" s="73">
        <v>5.34441117063461E8</v>
      </c>
      <c r="E5009" s="73"/>
      <c r="F5009" s="73"/>
      <c r="G5009" s="73"/>
      <c r="H5009" s="73"/>
      <c r="I5009" s="73"/>
      <c r="J5009" s="73"/>
      <c r="K5009" s="73"/>
      <c r="L5009" s="73"/>
      <c r="M5009" s="73"/>
      <c r="N5009" s="73"/>
      <c r="O5009" s="73"/>
      <c r="P5009" s="73"/>
      <c r="Q5009" s="73"/>
      <c r="R5009" s="73"/>
      <c r="S5009" s="73"/>
      <c r="T5009" s="73"/>
      <c r="U5009" s="73"/>
      <c r="V5009" s="73"/>
      <c r="W5009" s="73"/>
      <c r="X5009" s="73"/>
      <c r="Y5009" s="73"/>
      <c r="Z5009" s="73"/>
      <c r="AA5009" s="73"/>
      <c r="AB5009" s="73"/>
    </row>
    <row r="5010">
      <c r="A5010" s="73"/>
      <c r="B5010" s="73">
        <v>2.929222775E7</v>
      </c>
      <c r="C5010" s="73">
        <v>9.2768164662494E8</v>
      </c>
      <c r="D5010" s="73">
        <v>5.36061406061612E8</v>
      </c>
      <c r="E5010" s="73"/>
      <c r="F5010" s="73"/>
      <c r="G5010" s="73"/>
      <c r="H5010" s="73"/>
      <c r="I5010" s="73"/>
      <c r="J5010" s="73"/>
      <c r="K5010" s="73"/>
      <c r="L5010" s="73"/>
      <c r="M5010" s="73"/>
      <c r="N5010" s="73"/>
      <c r="O5010" s="73"/>
      <c r="P5010" s="73"/>
      <c r="Q5010" s="73"/>
      <c r="R5010" s="73"/>
      <c r="S5010" s="73"/>
      <c r="T5010" s="73"/>
      <c r="U5010" s="73"/>
      <c r="V5010" s="73"/>
      <c r="W5010" s="73"/>
      <c r="X5010" s="73"/>
      <c r="Y5010" s="73"/>
      <c r="Z5010" s="73"/>
      <c r="AA5010" s="73"/>
      <c r="AB5010" s="73"/>
    </row>
    <row r="5011">
      <c r="A5011" s="73"/>
      <c r="B5011" s="73">
        <v>2.932272734E7</v>
      </c>
      <c r="C5011" s="73">
        <v>9.29577991016549E8</v>
      </c>
      <c r="D5011" s="73">
        <v>5.37686574519667E8</v>
      </c>
      <c r="E5011" s="73"/>
      <c r="F5011" s="73"/>
      <c r="G5011" s="73"/>
      <c r="H5011" s="73"/>
      <c r="I5011" s="73"/>
      <c r="J5011" s="73"/>
      <c r="K5011" s="73"/>
      <c r="L5011" s="73"/>
      <c r="M5011" s="73"/>
      <c r="N5011" s="73"/>
      <c r="O5011" s="73"/>
      <c r="P5011" s="73"/>
      <c r="Q5011" s="73"/>
      <c r="R5011" s="73"/>
      <c r="S5011" s="73"/>
      <c r="T5011" s="73"/>
      <c r="U5011" s="73"/>
      <c r="V5011" s="73"/>
      <c r="W5011" s="73"/>
      <c r="X5011" s="73"/>
      <c r="Y5011" s="73"/>
      <c r="Z5011" s="73"/>
      <c r="AA5011" s="73"/>
      <c r="AB5011" s="73"/>
    </row>
    <row r="5012">
      <c r="A5012" s="73"/>
      <c r="B5012" s="73">
        <v>2.93532485E7</v>
      </c>
      <c r="C5012" s="73">
        <v>9.31478059762871E8</v>
      </c>
      <c r="D5012" s="73">
        <v>5.39316609076945E8</v>
      </c>
      <c r="E5012" s="73"/>
      <c r="F5012" s="73"/>
      <c r="G5012" s="73"/>
      <c r="H5012" s="73"/>
      <c r="I5012" s="73"/>
      <c r="J5012" s="73"/>
      <c r="K5012" s="73"/>
      <c r="L5012" s="73"/>
      <c r="M5012" s="73"/>
      <c r="N5012" s="73"/>
      <c r="O5012" s="73"/>
      <c r="P5012" s="73"/>
      <c r="Q5012" s="73"/>
      <c r="R5012" s="73"/>
      <c r="S5012" s="73"/>
      <c r="T5012" s="73"/>
      <c r="U5012" s="73"/>
      <c r="V5012" s="73"/>
      <c r="W5012" s="73"/>
      <c r="X5012" s="73"/>
      <c r="Y5012" s="73"/>
      <c r="Z5012" s="73"/>
      <c r="AA5012" s="73"/>
      <c r="AB5012" s="73"/>
    </row>
    <row r="5013">
      <c r="A5013" s="73"/>
      <c r="B5013" s="73">
        <v>2.938379232E7</v>
      </c>
      <c r="C5013" s="73">
        <v>9.33381990881963E8</v>
      </c>
      <c r="D5013" s="73">
        <v>5.40951536886974E8</v>
      </c>
      <c r="E5013" s="73"/>
      <c r="F5013" s="73"/>
      <c r="G5013" s="73"/>
      <c r="H5013" s="73"/>
      <c r="I5013" s="73"/>
      <c r="J5013" s="73"/>
      <c r="K5013" s="73"/>
      <c r="L5013" s="73"/>
      <c r="M5013" s="73"/>
      <c r="N5013" s="73"/>
      <c r="O5013" s="73"/>
      <c r="P5013" s="73"/>
      <c r="Q5013" s="73"/>
      <c r="R5013" s="73"/>
      <c r="S5013" s="73"/>
      <c r="T5013" s="73"/>
      <c r="U5013" s="73"/>
      <c r="V5013" s="73"/>
      <c r="W5013" s="73"/>
      <c r="X5013" s="73"/>
      <c r="Y5013" s="73"/>
      <c r="Z5013" s="73"/>
      <c r="AA5013" s="73"/>
      <c r="AB5013" s="73"/>
    </row>
    <row r="5014">
      <c r="A5014" s="73"/>
      <c r="B5014" s="73">
        <v>2.941435761E7</v>
      </c>
      <c r="C5014" s="73">
        <v>9.35289587615831E8</v>
      </c>
      <c r="D5014" s="73">
        <v>5.42591302568764E8</v>
      </c>
      <c r="E5014" s="73"/>
      <c r="F5014" s="73"/>
      <c r="G5014" s="73"/>
      <c r="H5014" s="73"/>
      <c r="I5014" s="73"/>
      <c r="J5014" s="73"/>
      <c r="K5014" s="73"/>
      <c r="L5014" s="73"/>
      <c r="M5014" s="73"/>
      <c r="N5014" s="73"/>
      <c r="O5014" s="73"/>
      <c r="P5014" s="73"/>
      <c r="Q5014" s="73"/>
      <c r="R5014" s="73"/>
      <c r="S5014" s="73"/>
      <c r="T5014" s="73"/>
      <c r="U5014" s="73"/>
      <c r="V5014" s="73"/>
      <c r="W5014" s="73"/>
      <c r="X5014" s="73"/>
      <c r="Y5014" s="73"/>
      <c r="Z5014" s="73"/>
      <c r="AA5014" s="73"/>
      <c r="AB5014" s="73"/>
    </row>
    <row r="5015">
      <c r="A5015" s="73"/>
      <c r="B5015" s="73">
        <v>2.944494458E7</v>
      </c>
      <c r="C5015" s="73">
        <v>9.3720105530446E8</v>
      </c>
      <c r="D5015" s="73">
        <v>5.44235954482941E8</v>
      </c>
      <c r="E5015" s="73"/>
      <c r="F5015" s="73"/>
      <c r="G5015" s="73"/>
      <c r="H5015" s="73"/>
      <c r="I5015" s="73"/>
      <c r="J5015" s="73"/>
      <c r="K5015" s="73"/>
      <c r="L5015" s="73"/>
      <c r="M5015" s="73"/>
      <c r="N5015" s="73"/>
      <c r="O5015" s="73"/>
      <c r="P5015" s="73"/>
      <c r="Q5015" s="73"/>
      <c r="R5015" s="73"/>
      <c r="S5015" s="73"/>
      <c r="T5015" s="73"/>
      <c r="U5015" s="73"/>
      <c r="V5015" s="73"/>
      <c r="W5015" s="73"/>
      <c r="X5015" s="73"/>
      <c r="Y5015" s="73"/>
      <c r="Z5015" s="73"/>
      <c r="AA5015" s="73"/>
      <c r="AB5015" s="73"/>
    </row>
    <row r="5016">
      <c r="A5016" s="73"/>
      <c r="B5016" s="73">
        <v>2.947555489E7</v>
      </c>
      <c r="C5016" s="73">
        <v>9.39116440853641E8</v>
      </c>
      <c r="D5016" s="73">
        <v>5.45885540802884E8</v>
      </c>
      <c r="E5016" s="73"/>
      <c r="F5016" s="73"/>
      <c r="G5016" s="73"/>
      <c r="H5016" s="73"/>
      <c r="I5016" s="73"/>
      <c r="J5016" s="73"/>
      <c r="K5016" s="73"/>
      <c r="L5016" s="73"/>
      <c r="M5016" s="73"/>
      <c r="N5016" s="73"/>
      <c r="O5016" s="73"/>
      <c r="P5016" s="73"/>
      <c r="Q5016" s="73"/>
      <c r="R5016" s="73"/>
      <c r="S5016" s="73"/>
      <c r="T5016" s="73"/>
      <c r="U5016" s="73"/>
      <c r="V5016" s="73"/>
      <c r="W5016" s="73"/>
      <c r="X5016" s="73"/>
      <c r="Y5016" s="73"/>
      <c r="Z5016" s="73"/>
      <c r="AA5016" s="73"/>
      <c r="AB5016" s="73"/>
    </row>
    <row r="5017">
      <c r="A5017" s="73"/>
      <c r="B5017" s="73">
        <v>2.950618739E7</v>
      </c>
      <c r="C5017" s="73">
        <v>9.41035504215678E8</v>
      </c>
      <c r="D5017" s="73">
        <v>5.47540027813781E8</v>
      </c>
      <c r="E5017" s="73"/>
      <c r="F5017" s="73"/>
      <c r="G5017" s="73"/>
      <c r="H5017" s="73"/>
      <c r="I5017" s="73"/>
      <c r="J5017" s="73"/>
      <c r="K5017" s="73"/>
      <c r="L5017" s="73"/>
      <c r="M5017" s="73"/>
      <c r="N5017" s="73"/>
      <c r="O5017" s="73"/>
      <c r="P5017" s="73"/>
      <c r="Q5017" s="73"/>
      <c r="R5017" s="73"/>
      <c r="S5017" s="73"/>
      <c r="T5017" s="73"/>
      <c r="U5017" s="73"/>
      <c r="V5017" s="73"/>
      <c r="W5017" s="73"/>
      <c r="X5017" s="73"/>
      <c r="Y5017" s="73"/>
      <c r="Z5017" s="73"/>
      <c r="AA5017" s="73"/>
      <c r="AB5017" s="73"/>
    </row>
    <row r="5018">
      <c r="A5018" s="73"/>
      <c r="B5018" s="73">
        <v>2.953684145E7</v>
      </c>
      <c r="C5018" s="73">
        <v>9.42958316604289E8</v>
      </c>
      <c r="D5018" s="73">
        <v>5.49199485272692E8</v>
      </c>
      <c r="E5018" s="73"/>
      <c r="F5018" s="73"/>
      <c r="G5018" s="73"/>
      <c r="H5018" s="73"/>
      <c r="I5018" s="73"/>
      <c r="J5018" s="73"/>
      <c r="K5018" s="73"/>
      <c r="L5018" s="73"/>
      <c r="M5018" s="73"/>
      <c r="N5018" s="73"/>
      <c r="O5018" s="73"/>
      <c r="P5018" s="73"/>
      <c r="Q5018" s="73"/>
      <c r="R5018" s="73"/>
      <c r="S5018" s="73"/>
      <c r="T5018" s="73"/>
      <c r="U5018" s="73"/>
      <c r="V5018" s="73"/>
      <c r="W5018" s="73"/>
      <c r="X5018" s="73"/>
      <c r="Y5018" s="73"/>
      <c r="Z5018" s="73"/>
      <c r="AA5018" s="73"/>
      <c r="AB5018" s="73"/>
    </row>
    <row r="5019">
      <c r="A5019" s="73"/>
      <c r="B5019" s="73">
        <v>2.956751878E7</v>
      </c>
      <c r="C5019" s="73">
        <v>9.4488508488178E8</v>
      </c>
      <c r="D5019" s="73">
        <v>5.50863834991586E8</v>
      </c>
      <c r="E5019" s="73"/>
      <c r="F5019" s="73"/>
      <c r="G5019" s="73"/>
      <c r="H5019" s="73"/>
      <c r="I5019" s="73"/>
      <c r="J5019" s="73"/>
      <c r="K5019" s="73"/>
      <c r="L5019" s="73"/>
      <c r="M5019" s="73"/>
      <c r="N5019" s="73"/>
      <c r="O5019" s="73"/>
      <c r="P5019" s="73"/>
      <c r="Q5019" s="73"/>
      <c r="R5019" s="73"/>
      <c r="S5019" s="73"/>
      <c r="T5019" s="73"/>
      <c r="U5019" s="73"/>
      <c r="V5019" s="73"/>
      <c r="W5019" s="73"/>
      <c r="X5019" s="73"/>
      <c r="Y5019" s="73"/>
      <c r="Z5019" s="73"/>
      <c r="AA5019" s="73"/>
      <c r="AB5019" s="73"/>
    </row>
    <row r="5020">
      <c r="A5020" s="73"/>
      <c r="B5020" s="73">
        <v>2.959821679E7</v>
      </c>
      <c r="C5020" s="73">
        <v>9.46815652935071E8</v>
      </c>
      <c r="D5020" s="73">
        <v>5.52533169066597E8</v>
      </c>
      <c r="E5020" s="73"/>
      <c r="F5020" s="73"/>
      <c r="G5020" s="73"/>
      <c r="H5020" s="73"/>
      <c r="I5020" s="73"/>
      <c r="J5020" s="73"/>
      <c r="K5020" s="73"/>
      <c r="L5020" s="73"/>
      <c r="M5020" s="73"/>
      <c r="N5020" s="73"/>
      <c r="O5020" s="73"/>
      <c r="P5020" s="73"/>
      <c r="Q5020" s="73"/>
      <c r="R5020" s="73"/>
      <c r="S5020" s="73"/>
      <c r="T5020" s="73"/>
      <c r="U5020" s="73"/>
      <c r="V5020" s="73"/>
      <c r="W5020" s="73"/>
      <c r="X5020" s="73"/>
      <c r="Y5020" s="73"/>
      <c r="Z5020" s="73"/>
      <c r="AA5020" s="73"/>
      <c r="AB5020" s="73"/>
    </row>
    <row r="5021">
      <c r="A5021" s="73"/>
      <c r="B5021" s="73">
        <v>2.962893724E7</v>
      </c>
      <c r="C5021" s="73">
        <v>9.48749982541492E8</v>
      </c>
      <c r="D5021" s="73">
        <v>5.54207557537624E8</v>
      </c>
      <c r="E5021" s="73"/>
      <c r="F5021" s="73"/>
      <c r="G5021" s="73"/>
      <c r="H5021" s="73"/>
      <c r="I5021" s="73"/>
      <c r="J5021" s="73"/>
      <c r="K5021" s="73"/>
      <c r="L5021" s="73"/>
      <c r="M5021" s="73"/>
      <c r="N5021" s="73"/>
      <c r="O5021" s="73"/>
      <c r="P5021" s="73"/>
      <c r="Q5021" s="73"/>
      <c r="R5021" s="73"/>
      <c r="S5021" s="73"/>
      <c r="T5021" s="73"/>
      <c r="U5021" s="73"/>
      <c r="V5021" s="73"/>
      <c r="W5021" s="73"/>
      <c r="X5021" s="73"/>
      <c r="Y5021" s="73"/>
      <c r="Z5021" s="73"/>
      <c r="AA5021" s="73"/>
      <c r="AB5021" s="73"/>
    </row>
    <row r="5022">
      <c r="A5022" s="73"/>
      <c r="B5022" s="73">
        <v>2.965968028E7</v>
      </c>
      <c r="C5022" s="73">
        <v>9.50688391467821E8</v>
      </c>
      <c r="D5022" s="73">
        <v>5.55886858871078E8</v>
      </c>
      <c r="E5022" s="73"/>
      <c r="F5022" s="73"/>
      <c r="G5022" s="73"/>
      <c r="H5022" s="73"/>
      <c r="I5022" s="73"/>
      <c r="J5022" s="73"/>
      <c r="K5022" s="73"/>
      <c r="L5022" s="73"/>
      <c r="M5022" s="73"/>
      <c r="N5022" s="73"/>
      <c r="O5022" s="73"/>
      <c r="P5022" s="73"/>
      <c r="Q5022" s="73"/>
      <c r="R5022" s="73"/>
      <c r="S5022" s="73"/>
      <c r="T5022" s="73"/>
      <c r="U5022" s="73"/>
      <c r="V5022" s="73"/>
      <c r="W5022" s="73"/>
      <c r="X5022" s="73"/>
      <c r="Y5022" s="73"/>
      <c r="Z5022" s="73"/>
      <c r="AA5022" s="73"/>
      <c r="AB5022" s="73"/>
    </row>
    <row r="5023">
      <c r="A5023" s="73"/>
      <c r="B5023" s="73">
        <v>2.969044568E7</v>
      </c>
      <c r="C5023" s="73">
        <v>9.52630434633226E8</v>
      </c>
      <c r="D5023" s="73">
        <v>5.57571229333184E8</v>
      </c>
      <c r="E5023" s="73"/>
      <c r="F5023" s="73"/>
      <c r="G5023" s="73"/>
      <c r="H5023" s="73"/>
      <c r="I5023" s="73"/>
      <c r="J5023" s="73"/>
      <c r="K5023" s="73"/>
      <c r="L5023" s="73"/>
      <c r="M5023" s="73"/>
      <c r="N5023" s="73"/>
      <c r="O5023" s="73"/>
      <c r="P5023" s="73"/>
      <c r="Q5023" s="73"/>
      <c r="R5023" s="73"/>
      <c r="S5023" s="73"/>
      <c r="T5023" s="73"/>
      <c r="U5023" s="73"/>
      <c r="V5023" s="73"/>
      <c r="W5023" s="73"/>
      <c r="X5023" s="73"/>
      <c r="Y5023" s="73"/>
      <c r="Z5023" s="73"/>
      <c r="AA5023" s="73"/>
      <c r="AB5023" s="73"/>
    </row>
    <row r="5024">
      <c r="A5024" s="73"/>
      <c r="B5024" s="73">
        <v>2.972123273E7</v>
      </c>
      <c r="C5024" s="73">
        <v>9.54576319825137E8</v>
      </c>
      <c r="D5024" s="73">
        <v>5.59260632425519E8</v>
      </c>
      <c r="E5024" s="73"/>
      <c r="F5024" s="73"/>
      <c r="G5024" s="73"/>
      <c r="H5024" s="73"/>
      <c r="I5024" s="73"/>
      <c r="J5024" s="73"/>
      <c r="K5024" s="73"/>
      <c r="L5024" s="73"/>
      <c r="M5024" s="73"/>
      <c r="N5024" s="73"/>
      <c r="O5024" s="73"/>
      <c r="P5024" s="73"/>
      <c r="Q5024" s="73"/>
      <c r="R5024" s="73"/>
      <c r="S5024" s="73"/>
      <c r="T5024" s="73"/>
      <c r="U5024" s="73"/>
      <c r="V5024" s="73"/>
      <c r="W5024" s="73"/>
      <c r="X5024" s="73"/>
      <c r="Y5024" s="73"/>
      <c r="Z5024" s="73"/>
      <c r="AA5024" s="73"/>
      <c r="AB5024" s="73"/>
    </row>
    <row r="5025">
      <c r="A5025" s="73"/>
      <c r="B5025" s="73">
        <v>2.975204268E7</v>
      </c>
      <c r="C5025" s="73">
        <v>9.56526229755704E8</v>
      </c>
      <c r="D5025" s="73">
        <v>5.6095505579948E8</v>
      </c>
      <c r="E5025" s="73"/>
      <c r="F5025" s="73"/>
      <c r="G5025" s="73"/>
      <c r="H5025" s="73"/>
      <c r="I5025" s="73"/>
      <c r="J5025" s="73"/>
      <c r="K5025" s="73"/>
      <c r="L5025" s="73"/>
      <c r="M5025" s="73"/>
      <c r="N5025" s="73"/>
      <c r="O5025" s="73"/>
      <c r="P5025" s="73"/>
      <c r="Q5025" s="73"/>
      <c r="R5025" s="73"/>
      <c r="S5025" s="73"/>
      <c r="T5025" s="73"/>
      <c r="U5025" s="73"/>
      <c r="V5025" s="73"/>
      <c r="W5025" s="73"/>
      <c r="X5025" s="73"/>
      <c r="Y5025" s="73"/>
      <c r="Z5025" s="73"/>
      <c r="AA5025" s="73"/>
      <c r="AB5025" s="73"/>
    </row>
    <row r="5026">
      <c r="A5026" s="73"/>
      <c r="B5026" s="73">
        <v>2.978287445E7</v>
      </c>
      <c r="C5026" s="73">
        <v>9.58479922339359E8</v>
      </c>
      <c r="D5026" s="73">
        <v>5.62654482576102E8</v>
      </c>
      <c r="E5026" s="73"/>
      <c r="F5026" s="73"/>
      <c r="G5026" s="73"/>
      <c r="H5026" s="73"/>
      <c r="I5026" s="73"/>
      <c r="J5026" s="73"/>
      <c r="K5026" s="73"/>
      <c r="L5026" s="73"/>
      <c r="M5026" s="73"/>
      <c r="N5026" s="73"/>
      <c r="O5026" s="73"/>
      <c r="P5026" s="73"/>
      <c r="Q5026" s="73"/>
      <c r="R5026" s="73"/>
      <c r="S5026" s="73"/>
      <c r="T5026" s="73"/>
      <c r="U5026" s="73"/>
      <c r="V5026" s="73"/>
      <c r="W5026" s="73"/>
      <c r="X5026" s="73"/>
      <c r="Y5026" s="73"/>
      <c r="Z5026" s="73"/>
      <c r="AA5026" s="73"/>
      <c r="AB5026" s="73"/>
    </row>
    <row r="5027">
      <c r="A5027" s="73"/>
      <c r="B5027" s="73">
        <v>2.981372823E7</v>
      </c>
      <c r="C5027" s="73">
        <v>9.60437580310884E8</v>
      </c>
      <c r="D5027" s="73">
        <v>5.64359006443345E8</v>
      </c>
      <c r="E5027" s="73"/>
      <c r="F5027" s="73"/>
      <c r="G5027" s="73"/>
      <c r="H5027" s="73"/>
      <c r="I5027" s="73"/>
      <c r="J5027" s="73"/>
      <c r="K5027" s="73"/>
      <c r="L5027" s="73"/>
      <c r="M5027" s="73"/>
      <c r="N5027" s="73"/>
      <c r="O5027" s="73"/>
      <c r="P5027" s="73"/>
      <c r="Q5027" s="73"/>
      <c r="R5027" s="73"/>
      <c r="S5027" s="73"/>
      <c r="T5027" s="73"/>
      <c r="U5027" s="73"/>
      <c r="V5027" s="73"/>
      <c r="W5027" s="73"/>
      <c r="X5027" s="73"/>
      <c r="Y5027" s="73"/>
      <c r="Z5027" s="73"/>
      <c r="AA5027" s="73"/>
      <c r="AB5027" s="73"/>
    </row>
    <row r="5028">
      <c r="A5028" s="73"/>
      <c r="B5028" s="73">
        <v>2.984460455E7</v>
      </c>
      <c r="C5028" s="73">
        <v>9.62399029293198E8</v>
      </c>
      <c r="D5028" s="73">
        <v>5.66068655195078E8</v>
      </c>
      <c r="E5028" s="73"/>
      <c r="F5028" s="73"/>
      <c r="G5028" s="73"/>
      <c r="H5028" s="73"/>
      <c r="I5028" s="73"/>
      <c r="J5028" s="73"/>
      <c r="K5028" s="73"/>
      <c r="L5028" s="73"/>
      <c r="M5028" s="73"/>
      <c r="N5028" s="73"/>
      <c r="O5028" s="73"/>
      <c r="P5028" s="73"/>
      <c r="Q5028" s="73"/>
      <c r="R5028" s="73"/>
      <c r="S5028" s="73"/>
      <c r="T5028" s="73"/>
      <c r="U5028" s="73"/>
      <c r="V5028" s="73"/>
      <c r="W5028" s="73"/>
      <c r="X5028" s="73"/>
      <c r="Y5028" s="73"/>
      <c r="Z5028" s="73"/>
      <c r="AA5028" s="73"/>
      <c r="AB5028" s="73"/>
    </row>
    <row r="5029">
      <c r="A5029" s="73"/>
      <c r="B5029" s="73">
        <v>2.987550346E7</v>
      </c>
      <c r="C5029" s="73">
        <v>9.64364562751699E8</v>
      </c>
      <c r="D5029" s="73">
        <v>5.67783415933695E8</v>
      </c>
      <c r="E5029" s="73"/>
      <c r="F5029" s="73"/>
      <c r="G5029" s="73"/>
      <c r="H5029" s="73"/>
      <c r="I5029" s="73"/>
      <c r="J5029" s="73"/>
      <c r="K5029" s="73"/>
      <c r="L5029" s="73"/>
      <c r="M5029" s="73"/>
      <c r="N5029" s="73"/>
      <c r="O5029" s="73"/>
      <c r="P5029" s="73"/>
      <c r="Q5029" s="73"/>
      <c r="R5029" s="73"/>
      <c r="S5029" s="73"/>
      <c r="T5029" s="73"/>
      <c r="U5029" s="73"/>
      <c r="V5029" s="73"/>
      <c r="W5029" s="73"/>
      <c r="X5029" s="73"/>
      <c r="Y5029" s="73"/>
      <c r="Z5029" s="73"/>
      <c r="AA5029" s="73"/>
      <c r="AB5029" s="73"/>
    </row>
    <row r="5030">
      <c r="A5030" s="73"/>
      <c r="B5030" s="73">
        <v>2.990642393E7</v>
      </c>
      <c r="C5030" s="73">
        <v>9.66333716500215E8</v>
      </c>
      <c r="D5030" s="73">
        <v>5.69503252172801E8</v>
      </c>
      <c r="E5030" s="73"/>
      <c r="F5030" s="73"/>
      <c r="G5030" s="73"/>
      <c r="H5030" s="73"/>
      <c r="I5030" s="73"/>
      <c r="J5030" s="73"/>
      <c r="K5030" s="73"/>
      <c r="L5030" s="73"/>
      <c r="M5030" s="73"/>
      <c r="N5030" s="73"/>
      <c r="O5030" s="73"/>
      <c r="P5030" s="73"/>
      <c r="Q5030" s="73"/>
      <c r="R5030" s="73"/>
      <c r="S5030" s="73"/>
      <c r="T5030" s="73"/>
      <c r="U5030" s="73"/>
      <c r="V5030" s="73"/>
      <c r="W5030" s="73"/>
      <c r="X5030" s="73"/>
      <c r="Y5030" s="73"/>
      <c r="Z5030" s="73"/>
      <c r="AA5030" s="73"/>
      <c r="AB5030" s="73"/>
    </row>
    <row r="5031">
      <c r="A5031" s="73"/>
      <c r="B5031" s="73">
        <v>2.993736686E7</v>
      </c>
      <c r="C5031" s="73">
        <v>9.68307101031624E8</v>
      </c>
      <c r="D5031" s="73">
        <v>5.71228170988585E8</v>
      </c>
      <c r="E5031" s="73"/>
      <c r="F5031" s="73"/>
      <c r="G5031" s="73"/>
      <c r="H5031" s="73"/>
      <c r="I5031" s="73"/>
      <c r="J5031" s="73"/>
      <c r="K5031" s="73"/>
      <c r="L5031" s="73"/>
      <c r="M5031" s="73"/>
      <c r="N5031" s="73"/>
      <c r="O5031" s="73"/>
      <c r="P5031" s="73"/>
      <c r="Q5031" s="73"/>
      <c r="R5031" s="73"/>
      <c r="S5031" s="73"/>
      <c r="T5031" s="73"/>
      <c r="U5031" s="73"/>
      <c r="V5031" s="73"/>
      <c r="W5031" s="73"/>
      <c r="X5031" s="73"/>
      <c r="Y5031" s="73"/>
      <c r="Z5031" s="73"/>
      <c r="AA5031" s="73"/>
      <c r="AB5031" s="73"/>
    </row>
    <row r="5032">
      <c r="A5032" s="73"/>
      <c r="B5032" s="73">
        <v>2.996833216E7</v>
      </c>
      <c r="C5032" s="73">
        <v>9.70284293641769E8</v>
      </c>
      <c r="D5032" s="73">
        <v>5.72958350222938E8</v>
      </c>
      <c r="E5032" s="73"/>
      <c r="F5032" s="73"/>
      <c r="G5032" s="73"/>
      <c r="H5032" s="73"/>
      <c r="I5032" s="73"/>
      <c r="J5032" s="73"/>
      <c r="K5032" s="73"/>
      <c r="L5032" s="73"/>
      <c r="M5032" s="73"/>
      <c r="N5032" s="73"/>
      <c r="O5032" s="73"/>
      <c r="P5032" s="73"/>
      <c r="Q5032" s="73"/>
      <c r="R5032" s="73"/>
      <c r="S5032" s="73"/>
      <c r="T5032" s="73"/>
      <c r="U5032" s="73"/>
      <c r="V5032" s="73"/>
      <c r="W5032" s="73"/>
      <c r="X5032" s="73"/>
      <c r="Y5032" s="73"/>
      <c r="Z5032" s="73"/>
      <c r="AA5032" s="73"/>
      <c r="AB5032" s="73"/>
    </row>
    <row r="5033">
      <c r="A5033" s="73"/>
      <c r="B5033" s="73">
        <v>2.999931924E7</v>
      </c>
      <c r="C5033" s="73">
        <v>9.72265229303699E8</v>
      </c>
      <c r="D5033" s="73">
        <v>5.74693626466305E8</v>
      </c>
      <c r="E5033" s="73"/>
      <c r="F5033" s="73"/>
      <c r="G5033" s="73"/>
      <c r="H5033" s="73"/>
      <c r="I5033" s="73"/>
      <c r="J5033" s="73"/>
      <c r="K5033" s="73"/>
      <c r="L5033" s="73"/>
      <c r="M5033" s="73"/>
      <c r="N5033" s="73"/>
      <c r="O5033" s="73"/>
      <c r="P5033" s="73"/>
      <c r="Q5033" s="73"/>
      <c r="R5033" s="73"/>
      <c r="S5033" s="73"/>
      <c r="T5033" s="73"/>
      <c r="U5033" s="73"/>
      <c r="V5033" s="73"/>
      <c r="W5033" s="73"/>
      <c r="X5033" s="73"/>
      <c r="Y5033" s="73"/>
      <c r="Z5033" s="73"/>
      <c r="AA5033" s="73"/>
      <c r="AB5033" s="73"/>
    </row>
    <row r="5034">
      <c r="A5034" s="73"/>
      <c r="B5034" s="73">
        <v>3.003032827E7</v>
      </c>
      <c r="C5034" s="73">
        <v>9.74250340614574E8</v>
      </c>
      <c r="D5034" s="73">
        <v>5.76434070762697E8</v>
      </c>
      <c r="E5034" s="73"/>
      <c r="F5034" s="73"/>
      <c r="G5034" s="73"/>
      <c r="H5034" s="73"/>
      <c r="I5034" s="73"/>
      <c r="J5034" s="73"/>
      <c r="K5034" s="73"/>
      <c r="L5034" s="73"/>
      <c r="M5034" s="73"/>
      <c r="N5034" s="73"/>
      <c r="O5034" s="73"/>
      <c r="P5034" s="73"/>
      <c r="Q5034" s="73"/>
      <c r="R5034" s="73"/>
      <c r="S5034" s="73"/>
      <c r="T5034" s="73"/>
      <c r="U5034" s="73"/>
      <c r="V5034" s="73"/>
      <c r="W5034" s="73"/>
      <c r="X5034" s="73"/>
      <c r="Y5034" s="73"/>
      <c r="Z5034" s="73"/>
      <c r="AA5034" s="73"/>
      <c r="AB5034" s="73"/>
    </row>
    <row r="5035">
      <c r="A5035" s="73"/>
      <c r="B5035" s="73">
        <v>3.006136108E7</v>
      </c>
      <c r="C5035" s="73">
        <v>9.76239341803858E8</v>
      </c>
      <c r="D5035" s="73">
        <v>5.78179689636949E8</v>
      </c>
      <c r="E5035" s="73"/>
      <c r="F5035" s="73"/>
      <c r="G5035" s="73"/>
      <c r="H5035" s="73"/>
      <c r="I5035" s="73"/>
      <c r="J5035" s="73"/>
      <c r="K5035" s="73"/>
      <c r="L5035" s="73"/>
      <c r="M5035" s="73"/>
      <c r="N5035" s="73"/>
      <c r="O5035" s="73"/>
      <c r="P5035" s="73"/>
      <c r="Q5035" s="73"/>
      <c r="R5035" s="73"/>
      <c r="S5035" s="73"/>
      <c r="T5035" s="73"/>
      <c r="U5035" s="73"/>
      <c r="V5035" s="73"/>
      <c r="W5035" s="73"/>
      <c r="X5035" s="73"/>
      <c r="Y5035" s="73"/>
      <c r="Z5035" s="73"/>
      <c r="AA5035" s="73"/>
      <c r="AB5035" s="73"/>
    </row>
    <row r="5036">
      <c r="A5036" s="73"/>
      <c r="B5036" s="73">
        <v>3.009241473E7</v>
      </c>
      <c r="C5036" s="73">
        <v>9.78232278671314E8</v>
      </c>
      <c r="D5036" s="73">
        <v>5.79930598779288E8</v>
      </c>
      <c r="E5036" s="73"/>
      <c r="F5036" s="73"/>
      <c r="G5036" s="73"/>
      <c r="H5036" s="73"/>
      <c r="I5036" s="73"/>
      <c r="J5036" s="73"/>
      <c r="K5036" s="73"/>
      <c r="L5036" s="73"/>
      <c r="M5036" s="73"/>
      <c r="N5036" s="73"/>
      <c r="O5036" s="73"/>
      <c r="P5036" s="73"/>
      <c r="Q5036" s="73"/>
      <c r="R5036" s="73"/>
      <c r="S5036" s="73"/>
      <c r="T5036" s="73"/>
      <c r="U5036" s="73"/>
      <c r="V5036" s="73"/>
      <c r="W5036" s="73"/>
      <c r="X5036" s="73"/>
      <c r="Y5036" s="73"/>
      <c r="Z5036" s="73"/>
      <c r="AA5036" s="73"/>
      <c r="AB5036" s="73"/>
    </row>
    <row r="5037">
      <c r="A5037" s="73"/>
      <c r="B5037" s="73">
        <v>3.012349137E7</v>
      </c>
      <c r="C5037" s="73">
        <v>9.80229155433111E8</v>
      </c>
      <c r="D5037" s="73">
        <v>5.81686633715747E8</v>
      </c>
      <c r="E5037" s="73"/>
      <c r="F5037" s="73"/>
      <c r="G5037" s="73"/>
      <c r="H5037" s="73"/>
      <c r="I5037" s="73"/>
      <c r="J5037" s="73"/>
      <c r="K5037" s="73"/>
      <c r="L5037" s="73"/>
      <c r="M5037" s="73"/>
      <c r="N5037" s="73"/>
      <c r="O5037" s="73"/>
      <c r="P5037" s="73"/>
      <c r="Q5037" s="73"/>
      <c r="R5037" s="73"/>
      <c r="S5037" s="73"/>
      <c r="T5037" s="73"/>
      <c r="U5037" s="73"/>
      <c r="V5037" s="73"/>
      <c r="W5037" s="73"/>
      <c r="X5037" s="73"/>
      <c r="Y5037" s="73"/>
      <c r="Z5037" s="73"/>
      <c r="AA5037" s="73"/>
      <c r="AB5037" s="73"/>
    </row>
    <row r="5038">
      <c r="A5038" s="73"/>
      <c r="B5038" s="73">
        <v>3.015458989E7</v>
      </c>
      <c r="C5038" s="73">
        <v>9.82230045882062E8</v>
      </c>
      <c r="D5038" s="73">
        <v>5.83447929160241E8</v>
      </c>
      <c r="E5038" s="73"/>
      <c r="F5038" s="73"/>
      <c r="G5038" s="73"/>
      <c r="H5038" s="73"/>
      <c r="I5038" s="73"/>
      <c r="J5038" s="73"/>
      <c r="K5038" s="73"/>
      <c r="L5038" s="73"/>
      <c r="M5038" s="73"/>
      <c r="N5038" s="73"/>
      <c r="O5038" s="73"/>
      <c r="P5038" s="73"/>
      <c r="Q5038" s="73"/>
      <c r="R5038" s="73"/>
      <c r="S5038" s="73"/>
      <c r="T5038" s="73"/>
      <c r="U5038" s="73"/>
      <c r="V5038" s="73"/>
      <c r="W5038" s="73"/>
      <c r="X5038" s="73"/>
      <c r="Y5038" s="73"/>
      <c r="Z5038" s="73"/>
      <c r="AA5038" s="73"/>
      <c r="AB5038" s="73"/>
    </row>
    <row r="5039">
      <c r="A5039" s="73"/>
      <c r="B5039" s="73">
        <v>3.018571126E7</v>
      </c>
      <c r="C5039" s="73">
        <v>9.84234773871983E8</v>
      </c>
      <c r="D5039" s="73">
        <v>5.85214537156426E8</v>
      </c>
      <c r="E5039" s="73"/>
      <c r="F5039" s="73"/>
      <c r="G5039" s="73"/>
      <c r="H5039" s="73"/>
      <c r="I5039" s="73"/>
      <c r="J5039" s="73"/>
      <c r="K5039" s="73"/>
      <c r="L5039" s="73"/>
      <c r="M5039" s="73"/>
      <c r="N5039" s="73"/>
      <c r="O5039" s="73"/>
      <c r="P5039" s="73"/>
      <c r="Q5039" s="73"/>
      <c r="R5039" s="73"/>
      <c r="S5039" s="73"/>
      <c r="T5039" s="73"/>
      <c r="U5039" s="73"/>
      <c r="V5039" s="73"/>
      <c r="W5039" s="73"/>
      <c r="X5039" s="73"/>
      <c r="Y5039" s="73"/>
      <c r="Z5039" s="73"/>
      <c r="AA5039" s="73"/>
      <c r="AB5039" s="73"/>
    </row>
    <row r="5040">
      <c r="A5040" s="73"/>
      <c r="B5040" s="73">
        <v>3.021685421E7</v>
      </c>
      <c r="C5040" s="73">
        <v>9.86243774916334E8</v>
      </c>
      <c r="D5040" s="73">
        <v>5.86986356637632E8</v>
      </c>
      <c r="E5040" s="73"/>
      <c r="F5040" s="73"/>
      <c r="G5040" s="73"/>
      <c r="H5040" s="73"/>
      <c r="I5040" s="73"/>
      <c r="J5040" s="73"/>
      <c r="K5040" s="73"/>
      <c r="L5040" s="73"/>
      <c r="M5040" s="73"/>
      <c r="N5040" s="73"/>
      <c r="O5040" s="73"/>
      <c r="P5040" s="73"/>
      <c r="Q5040" s="73"/>
      <c r="R5040" s="73"/>
      <c r="S5040" s="73"/>
      <c r="T5040" s="73"/>
      <c r="U5040" s="73"/>
      <c r="V5040" s="73"/>
      <c r="W5040" s="73"/>
      <c r="X5040" s="73"/>
      <c r="Y5040" s="73"/>
      <c r="Z5040" s="73"/>
      <c r="AA5040" s="73"/>
      <c r="AB5040" s="73"/>
    </row>
    <row r="5041">
      <c r="A5041" s="73"/>
      <c r="B5041" s="73">
        <v>3.02480198E7</v>
      </c>
      <c r="C5041" s="73">
        <v>9.8825655256793E8</v>
      </c>
      <c r="D5041" s="73">
        <v>5.88763458032878E8</v>
      </c>
      <c r="E5041" s="73"/>
      <c r="F5041" s="73"/>
      <c r="G5041" s="73"/>
      <c r="H5041" s="73"/>
      <c r="I5041" s="73"/>
      <c r="J5041" s="73"/>
      <c r="K5041" s="73"/>
      <c r="L5041" s="73"/>
      <c r="M5041" s="73"/>
      <c r="N5041" s="73"/>
      <c r="O5041" s="73"/>
      <c r="P5041" s="73"/>
      <c r="Q5041" s="73"/>
      <c r="R5041" s="73"/>
      <c r="S5041" s="73"/>
      <c r="T5041" s="73"/>
      <c r="U5041" s="73"/>
      <c r="V5041" s="73"/>
      <c r="W5041" s="73"/>
      <c r="X5041" s="73"/>
      <c r="Y5041" s="73"/>
      <c r="Z5041" s="73"/>
      <c r="AA5041" s="73"/>
      <c r="AB5041" s="73"/>
    </row>
    <row r="5042">
      <c r="A5042" s="73"/>
      <c r="B5042" s="73">
        <v>3.027920748E7</v>
      </c>
      <c r="C5042" s="73">
        <v>9.90273402913014E8</v>
      </c>
      <c r="D5042" s="73">
        <v>5.90545895127171E8</v>
      </c>
      <c r="E5042" s="73"/>
      <c r="F5042" s="73"/>
      <c r="G5042" s="73"/>
      <c r="H5042" s="73"/>
      <c r="I5042" s="73"/>
      <c r="J5042" s="73"/>
      <c r="K5042" s="73"/>
      <c r="L5042" s="73"/>
      <c r="M5042" s="73"/>
      <c r="N5042" s="73"/>
      <c r="O5042" s="73"/>
      <c r="P5042" s="73"/>
      <c r="Q5042" s="73"/>
      <c r="R5042" s="73"/>
      <c r="S5042" s="73"/>
      <c r="T5042" s="73"/>
      <c r="U5042" s="73"/>
      <c r="V5042" s="73"/>
      <c r="W5042" s="73"/>
      <c r="X5042" s="73"/>
      <c r="Y5042" s="73"/>
      <c r="Z5042" s="73"/>
      <c r="AA5042" s="73"/>
      <c r="AB5042" s="73"/>
    </row>
    <row r="5043">
      <c r="A5043" s="73"/>
      <c r="B5043" s="73">
        <v>3.031041762E7</v>
      </c>
      <c r="C5043" s="73">
        <v>9.9229424807661E8</v>
      </c>
      <c r="D5043" s="73">
        <v>5.92333584184978E8</v>
      </c>
      <c r="E5043" s="73"/>
      <c r="F5043" s="73"/>
      <c r="G5043" s="73"/>
      <c r="H5043" s="73"/>
      <c r="I5043" s="73"/>
      <c r="J5043" s="73"/>
      <c r="K5043" s="73"/>
      <c r="L5043" s="73"/>
      <c r="M5043" s="73"/>
      <c r="N5043" s="73"/>
      <c r="O5043" s="73"/>
      <c r="P5043" s="73"/>
      <c r="Q5043" s="73"/>
      <c r="R5043" s="73"/>
      <c r="S5043" s="73"/>
      <c r="T5043" s="73"/>
      <c r="U5043" s="73"/>
      <c r="V5043" s="73"/>
      <c r="W5043" s="73"/>
      <c r="X5043" s="73"/>
      <c r="Y5043" s="73"/>
      <c r="Z5043" s="73"/>
      <c r="AA5043" s="73"/>
      <c r="AB5043" s="73"/>
    </row>
    <row r="5044">
      <c r="A5044" s="73"/>
      <c r="B5044" s="73">
        <v>3.034164953E7</v>
      </c>
      <c r="C5044" s="73">
        <v>9.94319034527381E8</v>
      </c>
      <c r="D5044" s="73">
        <v>5.94126687180681E8</v>
      </c>
      <c r="E5044" s="73"/>
      <c r="F5044" s="73"/>
      <c r="G5044" s="73"/>
      <c r="H5044" s="73"/>
      <c r="I5044" s="73"/>
      <c r="J5044" s="73"/>
      <c r="K5044" s="73"/>
      <c r="L5044" s="73"/>
      <c r="M5044" s="73"/>
      <c r="N5044" s="73"/>
      <c r="O5044" s="73"/>
      <c r="P5044" s="73"/>
      <c r="Q5044" s="73"/>
      <c r="R5044" s="73"/>
      <c r="S5044" s="73"/>
      <c r="T5044" s="73"/>
      <c r="U5044" s="73"/>
      <c r="V5044" s="73"/>
      <c r="W5044" s="73"/>
      <c r="X5044" s="73"/>
      <c r="Y5044" s="73"/>
      <c r="Z5044" s="73"/>
      <c r="AA5044" s="73"/>
      <c r="AB5044" s="73"/>
    </row>
    <row r="5045">
      <c r="A5045" s="73"/>
      <c r="B5045" s="73">
        <v>3.03729054E7</v>
      </c>
      <c r="C5045" s="73">
        <v>9.96348006230003E8</v>
      </c>
      <c r="D5045" s="73">
        <v>5.95925084099885E8</v>
      </c>
      <c r="E5045" s="73"/>
      <c r="F5045" s="73"/>
      <c r="G5045" s="73"/>
      <c r="H5045" s="73"/>
      <c r="I5045" s="73"/>
      <c r="J5045" s="73"/>
      <c r="K5045" s="73"/>
      <c r="L5045" s="73"/>
      <c r="M5045" s="73"/>
      <c r="N5045" s="73"/>
      <c r="O5045" s="73"/>
      <c r="P5045" s="73"/>
      <c r="Q5045" s="73"/>
      <c r="R5045" s="73"/>
      <c r="S5045" s="73"/>
      <c r="T5045" s="73"/>
      <c r="U5045" s="73"/>
      <c r="V5045" s="73"/>
      <c r="W5045" s="73"/>
      <c r="X5045" s="73"/>
      <c r="Y5045" s="73"/>
      <c r="Z5045" s="73"/>
      <c r="AA5045" s="73"/>
      <c r="AB5045" s="73"/>
    </row>
    <row r="5046">
      <c r="A5046" s="73"/>
      <c r="B5046" s="73">
        <v>3.040418165E7</v>
      </c>
      <c r="C5046" s="73">
        <v>9.98380916119834E8</v>
      </c>
      <c r="D5046" s="73">
        <v>5.97728819076937E8</v>
      </c>
      <c r="E5046" s="73"/>
      <c r="F5046" s="73"/>
      <c r="G5046" s="73"/>
      <c r="H5046" s="73"/>
      <c r="I5046" s="73"/>
      <c r="J5046" s="73"/>
      <c r="K5046" s="73"/>
      <c r="L5046" s="73"/>
      <c r="M5046" s="73"/>
      <c r="N5046" s="73"/>
      <c r="O5046" s="73"/>
      <c r="P5046" s="73"/>
      <c r="Q5046" s="73"/>
      <c r="R5046" s="73"/>
      <c r="S5046" s="73"/>
      <c r="T5046" s="73"/>
      <c r="U5046" s="73"/>
      <c r="V5046" s="73"/>
      <c r="W5046" s="73"/>
      <c r="X5046" s="73"/>
      <c r="Y5046" s="73"/>
      <c r="Z5046" s="73"/>
      <c r="AA5046" s="73"/>
      <c r="AB5046" s="73"/>
    </row>
    <row r="5047">
      <c r="A5047" s="73"/>
      <c r="B5047" s="73">
        <v>3.043548135E7</v>
      </c>
      <c r="C5047" s="73">
        <v>1.00041785049268E9</v>
      </c>
      <c r="D5047" s="73">
        <v>5.99538036744337E8</v>
      </c>
      <c r="E5047" s="73"/>
      <c r="F5047" s="73"/>
      <c r="G5047" s="73"/>
      <c r="H5047" s="73"/>
      <c r="I5047" s="73"/>
      <c r="J5047" s="73"/>
      <c r="K5047" s="73"/>
      <c r="L5047" s="73"/>
      <c r="M5047" s="73"/>
      <c r="N5047" s="73"/>
      <c r="O5047" s="73"/>
      <c r="P5047" s="73"/>
      <c r="Q5047" s="73"/>
      <c r="R5047" s="73"/>
      <c r="S5047" s="73"/>
      <c r="T5047" s="73"/>
      <c r="U5047" s="73"/>
      <c r="V5047" s="73"/>
      <c r="W5047" s="73"/>
      <c r="X5047" s="73"/>
      <c r="Y5047" s="73"/>
      <c r="Z5047" s="73"/>
      <c r="AA5047" s="73"/>
      <c r="AB5047" s="73"/>
    </row>
    <row r="5048">
      <c r="A5048" s="73"/>
      <c r="B5048" s="73">
        <v>3.046680273E7</v>
      </c>
      <c r="C5048" s="73">
        <v>1.00245884316216E9</v>
      </c>
      <c r="D5048" s="73">
        <v>6.01352542515481E8</v>
      </c>
      <c r="E5048" s="73"/>
      <c r="F5048" s="73"/>
      <c r="G5048" s="73"/>
      <c r="H5048" s="73"/>
      <c r="I5048" s="73"/>
      <c r="J5048" s="73"/>
      <c r="K5048" s="73"/>
      <c r="L5048" s="73"/>
      <c r="M5048" s="73"/>
      <c r="N5048" s="73"/>
      <c r="O5048" s="73"/>
      <c r="P5048" s="73"/>
      <c r="Q5048" s="73"/>
      <c r="R5048" s="73"/>
      <c r="S5048" s="73"/>
      <c r="T5048" s="73"/>
      <c r="U5048" s="73"/>
      <c r="V5048" s="73"/>
      <c r="W5048" s="73"/>
      <c r="X5048" s="73"/>
      <c r="Y5048" s="73"/>
      <c r="Z5048" s="73"/>
      <c r="AA5048" s="73"/>
      <c r="AB5048" s="73"/>
    </row>
    <row r="5049">
      <c r="A5049" s="73"/>
      <c r="B5049" s="73">
        <v>3.049814618E7</v>
      </c>
      <c r="C5049" s="73">
        <v>1.00450389868769E9</v>
      </c>
      <c r="D5049" s="73">
        <v>6.03172501755111E8</v>
      </c>
      <c r="E5049" s="73"/>
      <c r="F5049" s="73"/>
      <c r="G5049" s="73"/>
      <c r="H5049" s="73"/>
      <c r="I5049" s="73"/>
      <c r="J5049" s="73"/>
      <c r="K5049" s="73"/>
      <c r="L5049" s="73"/>
      <c r="M5049" s="73"/>
      <c r="N5049" s="73"/>
      <c r="O5049" s="73"/>
      <c r="P5049" s="73"/>
      <c r="Q5049" s="73"/>
      <c r="R5049" s="73"/>
      <c r="S5049" s="73"/>
      <c r="T5049" s="73"/>
      <c r="U5049" s="73"/>
      <c r="V5049" s="73"/>
      <c r="W5049" s="73"/>
      <c r="X5049" s="73"/>
      <c r="Y5049" s="73"/>
      <c r="Z5049" s="73"/>
      <c r="AA5049" s="73"/>
      <c r="AB5049" s="73"/>
    </row>
    <row r="5050">
      <c r="A5050" s="73"/>
      <c r="B5050" s="73">
        <v>3.052951277E7</v>
      </c>
      <c r="C5050" s="73">
        <v>1.00655306245489E9</v>
      </c>
      <c r="D5050" s="73">
        <v>6.04997873936899E8</v>
      </c>
      <c r="E5050" s="73"/>
      <c r="F5050" s="73"/>
      <c r="G5050" s="73"/>
      <c r="H5050" s="73"/>
      <c r="I5050" s="73"/>
      <c r="J5050" s="73"/>
      <c r="K5050" s="73"/>
      <c r="L5050" s="73"/>
      <c r="M5050" s="73"/>
      <c r="N5050" s="73"/>
      <c r="O5050" s="73"/>
      <c r="P5050" s="73"/>
      <c r="Q5050" s="73"/>
      <c r="R5050" s="73"/>
      <c r="S5050" s="73"/>
      <c r="T5050" s="73"/>
      <c r="U5050" s="73"/>
      <c r="V5050" s="73"/>
      <c r="W5050" s="73"/>
      <c r="X5050" s="73"/>
      <c r="Y5050" s="73"/>
      <c r="Z5050" s="73"/>
      <c r="AA5050" s="73"/>
      <c r="AB5050" s="73"/>
    </row>
    <row r="5051">
      <c r="A5051" s="73"/>
      <c r="B5051" s="73">
        <v>3.056090196E7</v>
      </c>
      <c r="C5051" s="73">
        <v>1.0086061863924E9</v>
      </c>
      <c r="D5051" s="73">
        <v>6.06828667920562E8</v>
      </c>
      <c r="E5051" s="73"/>
      <c r="F5051" s="73"/>
      <c r="G5051" s="73"/>
      <c r="H5051" s="73"/>
      <c r="I5051" s="73"/>
      <c r="J5051" s="73"/>
      <c r="K5051" s="73"/>
      <c r="L5051" s="73"/>
      <c r="M5051" s="73"/>
      <c r="N5051" s="73"/>
      <c r="O5051" s="73"/>
      <c r="P5051" s="73"/>
      <c r="Q5051" s="73"/>
      <c r="R5051" s="73"/>
      <c r="S5051" s="73"/>
      <c r="T5051" s="73"/>
      <c r="U5051" s="73"/>
      <c r="V5051" s="73"/>
      <c r="W5051" s="73"/>
      <c r="X5051" s="73"/>
      <c r="Y5051" s="73"/>
      <c r="Z5051" s="73"/>
      <c r="AA5051" s="73"/>
      <c r="AB5051" s="73"/>
    </row>
    <row r="5052">
      <c r="A5052" s="73"/>
      <c r="B5052" s="73">
        <v>3.05923123E7</v>
      </c>
      <c r="C5052" s="73">
        <v>1.01066349844952E9</v>
      </c>
      <c r="D5052" s="73">
        <v>6.08665001029898E8</v>
      </c>
      <c r="E5052" s="73"/>
      <c r="F5052" s="73"/>
      <c r="G5052" s="73"/>
      <c r="H5052" s="73"/>
      <c r="I5052" s="73"/>
      <c r="J5052" s="73"/>
      <c r="K5052" s="73"/>
      <c r="L5052" s="73"/>
      <c r="M5052" s="73"/>
      <c r="N5052" s="73"/>
      <c r="O5052" s="73"/>
      <c r="P5052" s="73"/>
      <c r="Q5052" s="73"/>
      <c r="R5052" s="73"/>
      <c r="S5052" s="73"/>
      <c r="T5052" s="73"/>
      <c r="U5052" s="73"/>
      <c r="V5052" s="73"/>
      <c r="W5052" s="73"/>
      <c r="X5052" s="73"/>
      <c r="Y5052" s="73"/>
      <c r="Z5052" s="73"/>
      <c r="AA5052" s="73"/>
      <c r="AB5052" s="73"/>
    </row>
    <row r="5053">
      <c r="A5053" s="73"/>
      <c r="B5053" s="73">
        <v>3.062374512E7</v>
      </c>
      <c r="C5053" s="73">
        <v>1.01272489153582E9</v>
      </c>
      <c r="D5053" s="73">
        <v>6.10506706565784E8</v>
      </c>
      <c r="E5053" s="73"/>
      <c r="F5053" s="73"/>
      <c r="G5053" s="73"/>
      <c r="H5053" s="73"/>
      <c r="I5053" s="73"/>
      <c r="J5053" s="73"/>
      <c r="K5053" s="73"/>
      <c r="L5053" s="73"/>
      <c r="M5053" s="73"/>
      <c r="N5053" s="73"/>
      <c r="O5053" s="73"/>
      <c r="P5053" s="73"/>
      <c r="Q5053" s="73"/>
      <c r="R5053" s="73"/>
      <c r="S5053" s="73"/>
      <c r="T5053" s="73"/>
      <c r="U5053" s="73"/>
      <c r="V5053" s="73"/>
      <c r="W5053" s="73"/>
      <c r="X5053" s="73"/>
      <c r="Y5053" s="73"/>
      <c r="Z5053" s="73"/>
      <c r="AA5053" s="73"/>
      <c r="AB5053" s="73"/>
    </row>
    <row r="5054">
      <c r="A5054" s="73"/>
      <c r="B5054" s="73">
        <v>3.065520081E7</v>
      </c>
      <c r="C5054" s="73">
        <v>1.01479041086269E9</v>
      </c>
      <c r="D5054" s="73">
        <v>6.12353920736546E8</v>
      </c>
      <c r="E5054" s="73"/>
      <c r="F5054" s="73"/>
      <c r="G5054" s="73"/>
      <c r="H5054" s="73"/>
      <c r="I5054" s="73"/>
      <c r="J5054" s="73"/>
      <c r="K5054" s="73"/>
      <c r="L5054" s="73"/>
      <c r="M5054" s="73"/>
      <c r="N5054" s="73"/>
      <c r="O5054" s="73"/>
      <c r="P5054" s="73"/>
      <c r="Q5054" s="73"/>
      <c r="R5054" s="73"/>
      <c r="S5054" s="73"/>
      <c r="T5054" s="73"/>
      <c r="U5054" s="73"/>
      <c r="V5054" s="73"/>
      <c r="W5054" s="73"/>
      <c r="X5054" s="73"/>
      <c r="Y5054" s="73"/>
      <c r="Z5054" s="73"/>
      <c r="AA5054" s="73"/>
      <c r="AB5054" s="73"/>
    </row>
    <row r="5055">
      <c r="A5055" s="73"/>
      <c r="B5055" s="73">
        <v>3.068667954E7</v>
      </c>
      <c r="C5055" s="73">
        <v>1.01685994890433E9</v>
      </c>
      <c r="D5055" s="73">
        <v>6.14206698054465E8</v>
      </c>
      <c r="E5055" s="73"/>
      <c r="F5055" s="73"/>
      <c r="G5055" s="73"/>
      <c r="H5055" s="73"/>
      <c r="I5055" s="73"/>
      <c r="J5055" s="73"/>
      <c r="K5055" s="73"/>
      <c r="L5055" s="73"/>
      <c r="M5055" s="73"/>
      <c r="N5055" s="73"/>
      <c r="O5055" s="73"/>
      <c r="P5055" s="73"/>
      <c r="Q5055" s="73"/>
      <c r="R5055" s="73"/>
      <c r="S5055" s="73"/>
      <c r="T5055" s="73"/>
      <c r="U5055" s="73"/>
      <c r="V5055" s="73"/>
      <c r="W5055" s="73"/>
      <c r="X5055" s="73"/>
      <c r="Y5055" s="73"/>
      <c r="Z5055" s="73"/>
      <c r="AA5055" s="73"/>
      <c r="AB5055" s="73"/>
    </row>
    <row r="5056">
      <c r="A5056" s="73"/>
      <c r="B5056" s="73">
        <v>3.071817945E7</v>
      </c>
      <c r="C5056" s="73">
        <v>1.01893369341769E9</v>
      </c>
      <c r="D5056" s="73">
        <v>6.16064952896425E8</v>
      </c>
      <c r="E5056" s="73"/>
      <c r="F5056" s="73"/>
      <c r="G5056" s="73"/>
      <c r="H5056" s="73"/>
      <c r="I5056" s="73"/>
      <c r="J5056" s="73"/>
      <c r="K5056" s="73"/>
      <c r="L5056" s="73"/>
      <c r="M5056" s="73"/>
      <c r="N5056" s="73"/>
      <c r="O5056" s="73"/>
      <c r="P5056" s="73"/>
      <c r="Q5056" s="73"/>
      <c r="R5056" s="73"/>
      <c r="S5056" s="73"/>
      <c r="T5056" s="73"/>
      <c r="U5056" s="73"/>
      <c r="V5056" s="73"/>
      <c r="W5056" s="73"/>
      <c r="X5056" s="73"/>
      <c r="Y5056" s="73"/>
      <c r="Z5056" s="73"/>
      <c r="AA5056" s="73"/>
      <c r="AB5056" s="73"/>
    </row>
    <row r="5057">
      <c r="A5057" s="73"/>
      <c r="B5057" s="73">
        <v>3.074970217E7</v>
      </c>
      <c r="C5057" s="73">
        <v>1.0210114249994E9</v>
      </c>
      <c r="D5057" s="73">
        <v>6.17928720821298E8</v>
      </c>
      <c r="E5057" s="73"/>
      <c r="F5057" s="73"/>
      <c r="G5057" s="73"/>
      <c r="H5057" s="73"/>
      <c r="I5057" s="73"/>
      <c r="J5057" s="73"/>
      <c r="K5057" s="73"/>
      <c r="L5057" s="73"/>
      <c r="M5057" s="73"/>
      <c r="N5057" s="73"/>
      <c r="O5057" s="73"/>
      <c r="P5057" s="73"/>
      <c r="Q5057" s="73"/>
      <c r="R5057" s="73"/>
      <c r="S5057" s="73"/>
      <c r="T5057" s="73"/>
      <c r="U5057" s="73"/>
      <c r="V5057" s="73"/>
      <c r="W5057" s="73"/>
      <c r="X5057" s="73"/>
      <c r="Y5057" s="73"/>
      <c r="Z5057" s="73"/>
      <c r="AA5057" s="73"/>
      <c r="AB5057" s="73"/>
    </row>
    <row r="5058">
      <c r="A5058" s="73"/>
      <c r="B5058" s="73">
        <v>3.078124739E7</v>
      </c>
      <c r="C5058" s="73">
        <v>1.0230934127888E9</v>
      </c>
      <c r="D5058" s="73">
        <v>6.19798075323414E8</v>
      </c>
      <c r="E5058" s="73"/>
      <c r="F5058" s="73"/>
      <c r="G5058" s="73"/>
      <c r="H5058" s="73"/>
      <c r="I5058" s="73"/>
      <c r="J5058" s="73"/>
      <c r="K5058" s="73"/>
      <c r="L5058" s="73"/>
      <c r="M5058" s="73"/>
      <c r="N5058" s="73"/>
      <c r="O5058" s="73"/>
      <c r="P5058" s="73"/>
      <c r="Q5058" s="73"/>
      <c r="R5058" s="73"/>
      <c r="S5058" s="73"/>
      <c r="T5058" s="73"/>
      <c r="U5058" s="73"/>
      <c r="V5058" s="73"/>
      <c r="W5058" s="73"/>
      <c r="X5058" s="73"/>
      <c r="Y5058" s="73"/>
      <c r="Z5058" s="73"/>
      <c r="AA5058" s="73"/>
      <c r="AB5058" s="73"/>
    </row>
    <row r="5059">
      <c r="A5059" s="73"/>
      <c r="B5059" s="73">
        <v>3.08128143E7</v>
      </c>
      <c r="C5059" s="73">
        <v>1.02517939660171E9</v>
      </c>
      <c r="D5059" s="73">
        <v>6.21673042090217E8</v>
      </c>
      <c r="E5059" s="73"/>
      <c r="F5059" s="73"/>
      <c r="G5059" s="73"/>
      <c r="H5059" s="73"/>
      <c r="I5059" s="73"/>
      <c r="J5059" s="73"/>
      <c r="K5059" s="73"/>
      <c r="L5059" s="73"/>
      <c r="M5059" s="73"/>
      <c r="N5059" s="73"/>
      <c r="O5059" s="73"/>
      <c r="P5059" s="73"/>
      <c r="Q5059" s="73"/>
      <c r="R5059" s="73"/>
      <c r="S5059" s="73"/>
      <c r="T5059" s="73"/>
      <c r="U5059" s="73"/>
      <c r="V5059" s="73"/>
      <c r="W5059" s="73"/>
      <c r="X5059" s="73"/>
      <c r="Y5059" s="73"/>
      <c r="Z5059" s="73"/>
      <c r="AA5059" s="73"/>
      <c r="AB5059" s="73"/>
    </row>
    <row r="5060">
      <c r="A5060" s="73"/>
      <c r="B5060" s="73">
        <v>3.084440451E7</v>
      </c>
      <c r="C5060" s="73">
        <v>1.02726971763679E9</v>
      </c>
      <c r="D5060" s="73">
        <v>6.23553563159979E8</v>
      </c>
      <c r="E5060" s="73"/>
      <c r="F5060" s="73"/>
      <c r="G5060" s="73"/>
      <c r="H5060" s="73"/>
      <c r="I5060" s="73"/>
      <c r="J5060" s="73"/>
      <c r="K5060" s="73"/>
      <c r="L5060" s="73"/>
      <c r="M5060" s="73"/>
      <c r="N5060" s="73"/>
      <c r="O5060" s="73"/>
      <c r="P5060" s="73"/>
      <c r="Q5060" s="73"/>
      <c r="R5060" s="73"/>
      <c r="S5060" s="73"/>
      <c r="T5060" s="73"/>
      <c r="U5060" s="73"/>
      <c r="V5060" s="73"/>
      <c r="W5060" s="73"/>
      <c r="X5060" s="73"/>
      <c r="Y5060" s="73"/>
      <c r="Z5060" s="73"/>
      <c r="AA5060" s="73"/>
      <c r="AB5060" s="73"/>
    </row>
    <row r="5061">
      <c r="A5061" s="73"/>
      <c r="B5061" s="73">
        <v>3.087601656E7</v>
      </c>
      <c r="C5061" s="73">
        <v>1.02936408418502E9</v>
      </c>
      <c r="D5061" s="73">
        <v>6.25439647304355E8</v>
      </c>
      <c r="E5061" s="73"/>
      <c r="F5061" s="73"/>
      <c r="G5061" s="73"/>
      <c r="H5061" s="73"/>
      <c r="I5061" s="73"/>
      <c r="J5061" s="73"/>
      <c r="K5061" s="73"/>
      <c r="L5061" s="73"/>
      <c r="M5061" s="73"/>
      <c r="N5061" s="73"/>
      <c r="O5061" s="73"/>
      <c r="P5061" s="73"/>
      <c r="Q5061" s="73"/>
      <c r="R5061" s="73"/>
      <c r="S5061" s="73"/>
      <c r="T5061" s="73"/>
      <c r="U5061" s="73"/>
      <c r="V5061" s="73"/>
      <c r="W5061" s="73"/>
      <c r="X5061" s="73"/>
      <c r="Y5061" s="73"/>
      <c r="Z5061" s="73"/>
      <c r="AA5061" s="73"/>
      <c r="AB5061" s="73"/>
    </row>
    <row r="5062">
      <c r="A5062" s="73"/>
      <c r="B5062" s="73">
        <v>3.090765076E7</v>
      </c>
      <c r="C5062" s="73">
        <v>1.03146257264016E9</v>
      </c>
      <c r="D5062" s="73">
        <v>6.27331348721943E8</v>
      </c>
      <c r="E5062" s="73"/>
      <c r="F5062" s="73"/>
      <c r="G5062" s="73"/>
      <c r="H5062" s="73"/>
      <c r="I5062" s="73"/>
      <c r="J5062" s="73"/>
      <c r="K5062" s="73"/>
      <c r="L5062" s="73"/>
      <c r="M5062" s="73"/>
      <c r="N5062" s="73"/>
      <c r="O5062" s="73"/>
      <c r="P5062" s="73"/>
      <c r="Q5062" s="73"/>
      <c r="R5062" s="73"/>
      <c r="S5062" s="73"/>
      <c r="T5062" s="73"/>
      <c r="U5062" s="73"/>
      <c r="V5062" s="73"/>
      <c r="W5062" s="73"/>
      <c r="X5062" s="73"/>
      <c r="Y5062" s="73"/>
      <c r="Z5062" s="73"/>
      <c r="AA5062" s="73"/>
      <c r="AB5062" s="73"/>
    </row>
    <row r="5063">
      <c r="A5063" s="73"/>
      <c r="B5063" s="73">
        <v>3.093930764E7</v>
      </c>
      <c r="C5063" s="73">
        <v>1.03356522781279E9</v>
      </c>
      <c r="D5063" s="73">
        <v>6.29228758410823E8</v>
      </c>
      <c r="E5063" s="73"/>
      <c r="F5063" s="73"/>
      <c r="G5063" s="73"/>
      <c r="H5063" s="73"/>
      <c r="I5063" s="73"/>
      <c r="J5063" s="73"/>
      <c r="K5063" s="73"/>
      <c r="L5063" s="73"/>
      <c r="M5063" s="73"/>
      <c r="N5063" s="73"/>
      <c r="O5063" s="73"/>
      <c r="P5063" s="73"/>
      <c r="Q5063" s="73"/>
      <c r="R5063" s="73"/>
      <c r="S5063" s="73"/>
      <c r="T5063" s="73"/>
      <c r="U5063" s="73"/>
      <c r="V5063" s="73"/>
      <c r="W5063" s="73"/>
      <c r="X5063" s="73"/>
      <c r="Y5063" s="73"/>
      <c r="Z5063" s="73"/>
      <c r="AA5063" s="73"/>
      <c r="AB5063" s="73"/>
    </row>
    <row r="5064">
      <c r="A5064" s="73"/>
      <c r="B5064" s="73">
        <v>3.097098659E7</v>
      </c>
      <c r="C5064" s="73">
        <v>1.03567212649878E9</v>
      </c>
      <c r="D5064" s="73">
        <v>6.31131753830515E8</v>
      </c>
      <c r="E5064" s="73"/>
      <c r="F5064" s="73"/>
      <c r="G5064" s="73"/>
      <c r="H5064" s="73"/>
      <c r="I5064" s="73"/>
      <c r="J5064" s="73"/>
      <c r="K5064" s="73"/>
      <c r="L5064" s="73"/>
      <c r="M5064" s="73"/>
      <c r="N5064" s="73"/>
      <c r="O5064" s="73"/>
      <c r="P5064" s="73"/>
      <c r="Q5064" s="73"/>
      <c r="R5064" s="73"/>
      <c r="S5064" s="73"/>
      <c r="T5064" s="73"/>
      <c r="U5064" s="73"/>
      <c r="V5064" s="73"/>
      <c r="W5064" s="73"/>
      <c r="X5064" s="73"/>
      <c r="Y5064" s="73"/>
      <c r="Z5064" s="73"/>
      <c r="AA5064" s="73"/>
      <c r="AB5064" s="73"/>
    </row>
    <row r="5065">
      <c r="A5065" s="73"/>
      <c r="B5065" s="73">
        <v>3.100268854E7</v>
      </c>
      <c r="C5065" s="73">
        <v>1.0377831609161E9</v>
      </c>
      <c r="D5065" s="73">
        <v>6.33040455974857E8</v>
      </c>
      <c r="E5065" s="73"/>
      <c r="F5065" s="73"/>
      <c r="G5065" s="73"/>
      <c r="H5065" s="73"/>
      <c r="I5065" s="73"/>
      <c r="J5065" s="73"/>
      <c r="K5065" s="73"/>
      <c r="L5065" s="73"/>
      <c r="M5065" s="73"/>
      <c r="N5065" s="73"/>
      <c r="O5065" s="73"/>
      <c r="P5065" s="73"/>
      <c r="Q5065" s="73"/>
      <c r="R5065" s="73"/>
      <c r="S5065" s="73"/>
      <c r="T5065" s="73"/>
      <c r="U5065" s="73"/>
      <c r="V5065" s="73"/>
      <c r="W5065" s="73"/>
      <c r="X5065" s="73"/>
      <c r="Y5065" s="73"/>
      <c r="Z5065" s="73"/>
      <c r="AA5065" s="73"/>
      <c r="AB5065" s="73"/>
    </row>
    <row r="5066">
      <c r="A5066" s="73"/>
      <c r="B5066" s="73">
        <v>3.103441251E7</v>
      </c>
      <c r="C5066" s="73">
        <v>1.03989837573936E9</v>
      </c>
      <c r="D5066" s="73">
        <v>6.34954824471894E8</v>
      </c>
      <c r="E5066" s="73"/>
      <c r="F5066" s="73"/>
      <c r="G5066" s="73"/>
      <c r="H5066" s="73"/>
      <c r="I5066" s="73"/>
      <c r="J5066" s="73"/>
      <c r="K5066" s="73"/>
      <c r="L5066" s="73"/>
      <c r="M5066" s="73"/>
      <c r="N5066" s="73"/>
      <c r="O5066" s="73"/>
      <c r="P5066" s="73"/>
      <c r="Q5066" s="73"/>
      <c r="R5066" s="73"/>
      <c r="S5066" s="73"/>
      <c r="T5066" s="73"/>
      <c r="U5066" s="73"/>
      <c r="V5066" s="73"/>
      <c r="W5066" s="73"/>
      <c r="X5066" s="73"/>
      <c r="Y5066" s="73"/>
      <c r="Z5066" s="73"/>
      <c r="AA5066" s="73"/>
      <c r="AB5066" s="73"/>
    </row>
    <row r="5067">
      <c r="A5067" s="73"/>
      <c r="B5067" s="73">
        <v>3.106615845E7</v>
      </c>
      <c r="C5067" s="73">
        <v>1.04201792076306E9</v>
      </c>
      <c r="D5067" s="73">
        <v>6.36874867927201E8</v>
      </c>
      <c r="E5067" s="73"/>
      <c r="F5067" s="73"/>
      <c r="G5067" s="73"/>
      <c r="H5067" s="73"/>
      <c r="I5067" s="73"/>
      <c r="J5067" s="73"/>
      <c r="K5067" s="73"/>
      <c r="L5067" s="73"/>
      <c r="M5067" s="73"/>
      <c r="N5067" s="73"/>
      <c r="O5067" s="73"/>
      <c r="P5067" s="73"/>
      <c r="Q5067" s="73"/>
      <c r="R5067" s="73"/>
      <c r="S5067" s="73"/>
      <c r="T5067" s="73"/>
      <c r="U5067" s="73"/>
      <c r="V5067" s="73"/>
      <c r="W5067" s="73"/>
      <c r="X5067" s="73"/>
      <c r="Y5067" s="73"/>
      <c r="Z5067" s="73"/>
      <c r="AA5067" s="73"/>
      <c r="AB5067" s="73"/>
    </row>
    <row r="5068">
      <c r="A5068" s="73"/>
      <c r="B5068" s="73">
        <v>3.109792797E7</v>
      </c>
      <c r="C5068" s="73">
        <v>1.04414158278218E9</v>
      </c>
      <c r="D5068" s="73">
        <v>6.3880075401717E8</v>
      </c>
      <c r="E5068" s="73"/>
      <c r="F5068" s="73"/>
      <c r="G5068" s="73"/>
      <c r="H5068" s="73"/>
      <c r="I5068" s="73"/>
      <c r="J5068" s="73"/>
      <c r="K5068" s="73"/>
      <c r="L5068" s="73"/>
      <c r="M5068" s="73"/>
      <c r="N5068" s="73"/>
      <c r="O5068" s="73"/>
      <c r="P5068" s="73"/>
      <c r="Q5068" s="73"/>
      <c r="R5068" s="73"/>
      <c r="S5068" s="73"/>
      <c r="T5068" s="73"/>
      <c r="U5068" s="73"/>
      <c r="V5068" s="73"/>
      <c r="W5068" s="73"/>
      <c r="X5068" s="73"/>
      <c r="Y5068" s="73"/>
      <c r="Z5068" s="73"/>
      <c r="AA5068" s="73"/>
      <c r="AB5068" s="73"/>
    </row>
    <row r="5069">
      <c r="A5069" s="73"/>
      <c r="B5069" s="73">
        <v>3.112971906E7</v>
      </c>
      <c r="C5069" s="73">
        <v>1.04626932601325E9</v>
      </c>
      <c r="D5069" s="73">
        <v>6.40732235038043E8</v>
      </c>
      <c r="E5069" s="73"/>
      <c r="F5069" s="73"/>
      <c r="G5069" s="73"/>
      <c r="H5069" s="73"/>
      <c r="I5069" s="73"/>
      <c r="J5069" s="73"/>
      <c r="K5069" s="73"/>
      <c r="L5069" s="73"/>
      <c r="M5069" s="73"/>
      <c r="N5069" s="73"/>
      <c r="O5069" s="73"/>
      <c r="P5069" s="73"/>
      <c r="Q5069" s="73"/>
      <c r="R5069" s="73"/>
      <c r="S5069" s="73"/>
      <c r="T5069" s="73"/>
      <c r="U5069" s="73"/>
      <c r="V5069" s="73"/>
      <c r="W5069" s="73"/>
      <c r="X5069" s="73"/>
      <c r="Y5069" s="73"/>
      <c r="Z5069" s="73"/>
      <c r="AA5069" s="73"/>
      <c r="AB5069" s="73"/>
    </row>
    <row r="5070">
      <c r="A5070" s="73"/>
      <c r="B5070" s="73">
        <v>3.116153273E7</v>
      </c>
      <c r="C5070" s="73">
        <v>1.04840152646736E9</v>
      </c>
      <c r="D5070" s="73">
        <v>6.42669576075154E8</v>
      </c>
      <c r="E5070" s="73"/>
      <c r="F5070" s="73"/>
      <c r="G5070" s="73"/>
      <c r="H5070" s="73"/>
      <c r="I5070" s="73"/>
      <c r="J5070" s="73"/>
      <c r="K5070" s="73"/>
      <c r="L5070" s="73"/>
      <c r="M5070" s="73"/>
      <c r="N5070" s="73"/>
      <c r="O5070" s="73"/>
      <c r="P5070" s="73"/>
      <c r="Q5070" s="73"/>
      <c r="R5070" s="73"/>
      <c r="S5070" s="73"/>
      <c r="T5070" s="73"/>
      <c r="U5070" s="73"/>
      <c r="V5070" s="73"/>
      <c r="W5070" s="73"/>
      <c r="X5070" s="73"/>
      <c r="Y5070" s="73"/>
      <c r="Z5070" s="73"/>
      <c r="AA5070" s="73"/>
      <c r="AB5070" s="73"/>
    </row>
    <row r="5071">
      <c r="A5071" s="73"/>
      <c r="B5071" s="73">
        <v>3.119336884E7</v>
      </c>
      <c r="C5071" s="73">
        <v>1.05053781739127E9</v>
      </c>
      <c r="D5071" s="73">
        <v>6.4461257424351E8</v>
      </c>
      <c r="E5071" s="73"/>
      <c r="F5071" s="73"/>
      <c r="G5071" s="73"/>
      <c r="H5071" s="73"/>
      <c r="I5071" s="73"/>
      <c r="J5071" s="73"/>
      <c r="K5071" s="73"/>
      <c r="L5071" s="73"/>
      <c r="M5071" s="73"/>
      <c r="N5071" s="73"/>
      <c r="O5071" s="73"/>
      <c r="P5071" s="73"/>
      <c r="Q5071" s="73"/>
      <c r="R5071" s="73"/>
      <c r="S5071" s="73"/>
      <c r="T5071" s="73"/>
      <c r="U5071" s="73"/>
      <c r="V5071" s="73"/>
      <c r="W5071" s="73"/>
      <c r="X5071" s="73"/>
      <c r="Y5071" s="73"/>
      <c r="Z5071" s="73"/>
      <c r="AA5071" s="73"/>
      <c r="AB5071" s="73"/>
    </row>
    <row r="5072">
      <c r="A5072" s="73"/>
      <c r="B5072" s="73">
        <v>3.122522714E7</v>
      </c>
      <c r="C5072" s="73">
        <v>1.05267846249194E9</v>
      </c>
      <c r="D5072" s="73">
        <v>6.46561401250804E8</v>
      </c>
      <c r="E5072" s="73"/>
      <c r="F5072" s="73"/>
      <c r="G5072" s="73"/>
      <c r="H5072" s="73"/>
      <c r="I5072" s="73"/>
      <c r="J5072" s="73"/>
      <c r="K5072" s="73"/>
      <c r="L5072" s="73"/>
      <c r="M5072" s="73"/>
      <c r="N5072" s="73"/>
      <c r="O5072" s="73"/>
      <c r="P5072" s="73"/>
      <c r="Q5072" s="73"/>
      <c r="R5072" s="73"/>
      <c r="S5072" s="73"/>
      <c r="T5072" s="73"/>
      <c r="U5072" s="73"/>
      <c r="V5072" s="73"/>
      <c r="W5072" s="73"/>
      <c r="X5072" s="73"/>
      <c r="Y5072" s="73"/>
      <c r="Z5072" s="73"/>
      <c r="AA5072" s="73"/>
      <c r="AB5072" s="73"/>
    </row>
    <row r="5073">
      <c r="A5073" s="73"/>
      <c r="B5073" s="73">
        <v>3.12571084E7</v>
      </c>
      <c r="C5073" s="73">
        <v>1.05482324693824E9</v>
      </c>
      <c r="D5073" s="73">
        <v>6.48516080637532E8</v>
      </c>
      <c r="E5073" s="73"/>
      <c r="F5073" s="73"/>
      <c r="G5073" s="73"/>
      <c r="H5073" s="73"/>
      <c r="I5073" s="73"/>
      <c r="J5073" s="73"/>
      <c r="K5073" s="73"/>
      <c r="L5073" s="73"/>
      <c r="M5073" s="73"/>
      <c r="N5073" s="73"/>
      <c r="O5073" s="73"/>
      <c r="P5073" s="73"/>
      <c r="Q5073" s="73"/>
      <c r="R5073" s="73"/>
      <c r="S5073" s="73"/>
      <c r="T5073" s="73"/>
      <c r="U5073" s="73"/>
      <c r="V5073" s="73"/>
      <c r="W5073" s="73"/>
      <c r="X5073" s="73"/>
      <c r="Y5073" s="73"/>
      <c r="Z5073" s="73"/>
      <c r="AA5073" s="73"/>
      <c r="AB5073" s="73"/>
    </row>
    <row r="5074">
      <c r="A5074" s="73"/>
      <c r="B5074" s="73">
        <v>3.128901161E7</v>
      </c>
      <c r="C5074" s="73">
        <v>1.05697224831173E9</v>
      </c>
      <c r="D5074" s="73">
        <v>6.50476538679012E8</v>
      </c>
      <c r="E5074" s="73"/>
      <c r="F5074" s="73"/>
      <c r="G5074" s="73"/>
      <c r="H5074" s="73"/>
      <c r="I5074" s="73"/>
      <c r="J5074" s="73"/>
      <c r="K5074" s="73"/>
      <c r="L5074" s="73"/>
      <c r="M5074" s="73"/>
      <c r="N5074" s="73"/>
      <c r="O5074" s="73"/>
      <c r="P5074" s="73"/>
      <c r="Q5074" s="73"/>
      <c r="R5074" s="73"/>
      <c r="S5074" s="73"/>
      <c r="T5074" s="73"/>
      <c r="U5074" s="73"/>
      <c r="V5074" s="73"/>
      <c r="W5074" s="73"/>
      <c r="X5074" s="73"/>
      <c r="Y5074" s="73"/>
      <c r="Z5074" s="73"/>
      <c r="AA5074" s="73"/>
      <c r="AB5074" s="73"/>
    </row>
    <row r="5075">
      <c r="A5075" s="73"/>
      <c r="B5075" s="73">
        <v>3.132093762E7</v>
      </c>
      <c r="C5075" s="73">
        <v>1.05912561817787E9</v>
      </c>
      <c r="D5075" s="73">
        <v>6.52442865758087E8</v>
      </c>
      <c r="E5075" s="73"/>
      <c r="F5075" s="73"/>
      <c r="G5075" s="73"/>
      <c r="H5075" s="73"/>
      <c r="I5075" s="73"/>
      <c r="J5075" s="73"/>
      <c r="K5075" s="73"/>
      <c r="L5075" s="73"/>
      <c r="M5075" s="73"/>
      <c r="N5075" s="73"/>
      <c r="O5075" s="73"/>
      <c r="P5075" s="73"/>
      <c r="Q5075" s="73"/>
      <c r="R5075" s="73"/>
      <c r="S5075" s="73"/>
      <c r="T5075" s="73"/>
      <c r="U5075" s="73"/>
      <c r="V5075" s="73"/>
      <c r="W5075" s="73"/>
      <c r="X5075" s="73"/>
      <c r="Y5075" s="73"/>
      <c r="Z5075" s="73"/>
      <c r="AA5075" s="73"/>
      <c r="AB5075" s="73"/>
    </row>
    <row r="5076">
      <c r="A5076" s="73"/>
      <c r="B5076" s="73">
        <v>3.135288525E7</v>
      </c>
      <c r="C5076" s="73">
        <v>1.06128328802878E9</v>
      </c>
      <c r="D5076" s="73">
        <v>6.54415004618741E8</v>
      </c>
      <c r="E5076" s="73"/>
      <c r="F5076" s="73"/>
      <c r="G5076" s="73"/>
      <c r="H5076" s="73"/>
      <c r="I5076" s="73"/>
      <c r="J5076" s="73"/>
      <c r="K5076" s="73"/>
      <c r="L5076" s="73"/>
      <c r="M5076" s="73"/>
      <c r="N5076" s="73"/>
      <c r="O5076" s="73"/>
      <c r="P5076" s="73"/>
      <c r="Q5076" s="73"/>
      <c r="R5076" s="73"/>
      <c r="S5076" s="73"/>
      <c r="T5076" s="73"/>
      <c r="U5076" s="73"/>
      <c r="V5076" s="73"/>
      <c r="W5076" s="73"/>
      <c r="X5076" s="73"/>
      <c r="Y5076" s="73"/>
      <c r="Z5076" s="73"/>
      <c r="AA5076" s="73"/>
      <c r="AB5076" s="73"/>
    </row>
    <row r="5077">
      <c r="A5077" s="73"/>
      <c r="B5077" s="73">
        <v>3.138485601E7</v>
      </c>
      <c r="C5077" s="73">
        <v>1.06344518891863E9</v>
      </c>
      <c r="D5077" s="73">
        <v>6.56393078040931E8</v>
      </c>
      <c r="E5077" s="73"/>
      <c r="F5077" s="73"/>
      <c r="G5077" s="73"/>
      <c r="H5077" s="73"/>
      <c r="I5077" s="73"/>
      <c r="J5077" s="73"/>
      <c r="K5077" s="73"/>
      <c r="L5077" s="73"/>
      <c r="M5077" s="73"/>
      <c r="N5077" s="73"/>
      <c r="O5077" s="73"/>
      <c r="P5077" s="73"/>
      <c r="Q5077" s="73"/>
      <c r="R5077" s="73"/>
      <c r="S5077" s="73"/>
      <c r="T5077" s="73"/>
      <c r="U5077" s="73"/>
      <c r="V5077" s="73"/>
      <c r="W5077" s="73"/>
      <c r="X5077" s="73"/>
      <c r="Y5077" s="73"/>
      <c r="Z5077" s="73"/>
      <c r="AA5077" s="73"/>
      <c r="AB5077" s="73"/>
    </row>
    <row r="5078">
      <c r="A5078" s="73"/>
      <c r="B5078" s="73">
        <v>3.141684939E7</v>
      </c>
      <c r="C5078" s="73">
        <v>1.06561139920946E9</v>
      </c>
      <c r="D5078" s="73">
        <v>6.58376979216636E8</v>
      </c>
      <c r="E5078" s="73"/>
      <c r="F5078" s="73"/>
      <c r="G5078" s="73"/>
      <c r="H5078" s="73"/>
      <c r="I5078" s="73"/>
      <c r="J5078" s="73"/>
      <c r="K5078" s="73"/>
      <c r="L5078" s="73"/>
      <c r="M5078" s="73"/>
      <c r="N5078" s="73"/>
      <c r="O5078" s="73"/>
      <c r="P5078" s="73"/>
      <c r="Q5078" s="73"/>
      <c r="R5078" s="73"/>
      <c r="S5078" s="73"/>
      <c r="T5078" s="73"/>
      <c r="U5078" s="73"/>
      <c r="V5078" s="73"/>
      <c r="W5078" s="73"/>
      <c r="X5078" s="73"/>
      <c r="Y5078" s="73"/>
      <c r="Z5078" s="73"/>
      <c r="AA5078" s="73"/>
      <c r="AB5078" s="73"/>
    </row>
    <row r="5079">
      <c r="A5079" s="73"/>
      <c r="B5079" s="73">
        <v>3.144886534E7</v>
      </c>
      <c r="C5079" s="73">
        <v>1.06778192372395E9</v>
      </c>
      <c r="D5079" s="73">
        <v>6.60366847789581E8</v>
      </c>
      <c r="E5079" s="73"/>
      <c r="F5079" s="73"/>
      <c r="G5079" s="73"/>
      <c r="H5079" s="73"/>
      <c r="I5079" s="73"/>
      <c r="J5079" s="73"/>
      <c r="K5079" s="73"/>
      <c r="L5079" s="73"/>
      <c r="M5079" s="73"/>
      <c r="N5079" s="73"/>
      <c r="O5079" s="73"/>
      <c r="P5079" s="73"/>
      <c r="Q5079" s="73"/>
      <c r="R5079" s="73"/>
      <c r="S5079" s="73"/>
      <c r="T5079" s="73"/>
      <c r="U5079" s="73"/>
      <c r="V5079" s="73"/>
      <c r="W5079" s="73"/>
      <c r="X5079" s="73"/>
      <c r="Y5079" s="73"/>
      <c r="Z5079" s="73"/>
      <c r="AA5079" s="73"/>
      <c r="AB5079" s="73"/>
    </row>
    <row r="5080">
      <c r="A5080" s="73"/>
      <c r="B5080" s="73">
        <v>3.148090267E7</v>
      </c>
      <c r="C5080" s="73">
        <v>1.06995661909677E9</v>
      </c>
      <c r="D5080" s="73">
        <v>6.623626096796E8</v>
      </c>
      <c r="E5080" s="73"/>
      <c r="F5080" s="73"/>
      <c r="G5080" s="73"/>
      <c r="H5080" s="73"/>
      <c r="I5080" s="73"/>
      <c r="J5080" s="73"/>
      <c r="K5080" s="73"/>
      <c r="L5080" s="73"/>
      <c r="M5080" s="73"/>
      <c r="N5080" s="73"/>
      <c r="O5080" s="73"/>
      <c r="P5080" s="73"/>
      <c r="Q5080" s="73"/>
      <c r="R5080" s="73"/>
      <c r="S5080" s="73"/>
      <c r="T5080" s="73"/>
      <c r="U5080" s="73"/>
      <c r="V5080" s="73"/>
      <c r="W5080" s="73"/>
      <c r="X5080" s="73"/>
      <c r="Y5080" s="73"/>
      <c r="Z5080" s="73"/>
      <c r="AA5080" s="73"/>
      <c r="AB5080" s="73"/>
    </row>
    <row r="5081">
      <c r="A5081" s="73"/>
      <c r="B5081" s="73">
        <v>3.151296384E7</v>
      </c>
      <c r="C5081" s="73">
        <v>1.07213582564583E9</v>
      </c>
      <c r="D5081" s="73">
        <v>6.64364354827426E8</v>
      </c>
      <c r="E5081" s="73"/>
      <c r="F5081" s="73"/>
      <c r="G5081" s="73"/>
      <c r="H5081" s="73"/>
      <c r="I5081" s="73"/>
      <c r="J5081" s="73"/>
      <c r="K5081" s="73"/>
      <c r="L5081" s="73"/>
      <c r="M5081" s="73"/>
      <c r="N5081" s="73"/>
      <c r="O5081" s="73"/>
      <c r="P5081" s="73"/>
      <c r="Q5081" s="73"/>
      <c r="R5081" s="73"/>
      <c r="S5081" s="73"/>
      <c r="T5081" s="73"/>
      <c r="U5081" s="73"/>
      <c r="V5081" s="73"/>
      <c r="W5081" s="73"/>
      <c r="X5081" s="73"/>
      <c r="Y5081" s="73"/>
      <c r="Z5081" s="73"/>
      <c r="AA5081" s="73"/>
      <c r="AB5081" s="73"/>
    </row>
    <row r="5082">
      <c r="A5082" s="73"/>
      <c r="B5082" s="73">
        <v>3.154504612E7</v>
      </c>
      <c r="C5082" s="73">
        <v>1.07431928648524E9</v>
      </c>
      <c r="D5082" s="73">
        <v>6.66371961472021E8</v>
      </c>
      <c r="E5082" s="73"/>
      <c r="F5082" s="73"/>
      <c r="G5082" s="73"/>
      <c r="H5082" s="73"/>
      <c r="I5082" s="73"/>
      <c r="J5082" s="73"/>
      <c r="K5082" s="73"/>
      <c r="L5082" s="73"/>
      <c r="M5082" s="73"/>
      <c r="N5082" s="73"/>
      <c r="O5082" s="73"/>
      <c r="P5082" s="73"/>
      <c r="Q5082" s="73"/>
      <c r="R5082" s="73"/>
      <c r="S5082" s="73"/>
      <c r="T5082" s="73"/>
      <c r="U5082" s="73"/>
      <c r="V5082" s="73"/>
      <c r="W5082" s="73"/>
      <c r="X5082" s="73"/>
      <c r="Y5082" s="73"/>
      <c r="Z5082" s="73"/>
      <c r="AA5082" s="73"/>
      <c r="AB5082" s="73"/>
    </row>
    <row r="5083">
      <c r="A5083" s="73"/>
      <c r="B5083" s="73">
        <v>3.157715164E7</v>
      </c>
      <c r="C5083" s="73">
        <v>1.07650708054418E9</v>
      </c>
      <c r="D5083" s="73">
        <v>6.68385567364781E8</v>
      </c>
      <c r="E5083" s="73"/>
      <c r="F5083" s="73"/>
      <c r="G5083" s="73"/>
      <c r="H5083" s="73"/>
      <c r="I5083" s="73"/>
      <c r="J5083" s="73"/>
      <c r="K5083" s="73"/>
      <c r="L5083" s="73"/>
      <c r="M5083" s="73"/>
      <c r="N5083" s="73"/>
      <c r="O5083" s="73"/>
      <c r="P5083" s="73"/>
      <c r="Q5083" s="73"/>
      <c r="R5083" s="73"/>
      <c r="S5083" s="73"/>
      <c r="T5083" s="73"/>
      <c r="U5083" s="73"/>
      <c r="V5083" s="73"/>
      <c r="W5083" s="73"/>
      <c r="X5083" s="73"/>
      <c r="Y5083" s="73"/>
      <c r="Z5083" s="73"/>
      <c r="AA5083" s="73"/>
      <c r="AB5083" s="73"/>
    </row>
    <row r="5084">
      <c r="A5084" s="73"/>
      <c r="B5084" s="73">
        <v>3.160927955E7</v>
      </c>
      <c r="C5084" s="73">
        <v>1.0786990635771E9</v>
      </c>
      <c r="D5084" s="73">
        <v>6.70405231765624E8</v>
      </c>
      <c r="E5084" s="73"/>
      <c r="F5084" s="73"/>
      <c r="G5084" s="73"/>
      <c r="H5084" s="73"/>
      <c r="I5084" s="73"/>
      <c r="J5084" s="73"/>
      <c r="K5084" s="73"/>
      <c r="L5084" s="73"/>
      <c r="M5084" s="73"/>
      <c r="N5084" s="73"/>
      <c r="O5084" s="73"/>
      <c r="P5084" s="73"/>
      <c r="Q5084" s="73"/>
      <c r="R5084" s="73"/>
      <c r="S5084" s="73"/>
      <c r="T5084" s="73"/>
      <c r="U5084" s="73"/>
      <c r="V5084" s="73"/>
      <c r="W5084" s="73"/>
      <c r="X5084" s="73"/>
      <c r="Y5084" s="73"/>
      <c r="Z5084" s="73"/>
      <c r="AA5084" s="73"/>
      <c r="AB5084" s="73"/>
    </row>
    <row r="5085">
      <c r="A5085" s="73"/>
      <c r="B5085" s="73">
        <v>3.164142998E7</v>
      </c>
      <c r="C5085" s="73">
        <v>1.08089572679685E9</v>
      </c>
      <c r="D5085" s="73">
        <v>6.7243089691966E8</v>
      </c>
      <c r="E5085" s="73"/>
      <c r="F5085" s="73"/>
      <c r="G5085" s="73"/>
      <c r="H5085" s="73"/>
      <c r="I5085" s="73"/>
      <c r="J5085" s="73"/>
      <c r="K5085" s="73"/>
      <c r="L5085" s="73"/>
      <c r="M5085" s="73"/>
      <c r="N5085" s="73"/>
      <c r="O5085" s="73"/>
      <c r="P5085" s="73"/>
      <c r="Q5085" s="73"/>
      <c r="R5085" s="73"/>
      <c r="S5085" s="73"/>
      <c r="T5085" s="73"/>
      <c r="U5085" s="73"/>
      <c r="V5085" s="73"/>
      <c r="W5085" s="73"/>
      <c r="X5085" s="73"/>
      <c r="Y5085" s="73"/>
      <c r="Z5085" s="73"/>
      <c r="AA5085" s="73"/>
      <c r="AB5085" s="73"/>
    </row>
    <row r="5086">
      <c r="A5086" s="73"/>
      <c r="B5086" s="73">
        <v>3.167360263E7</v>
      </c>
      <c r="C5086" s="73">
        <v>1.08309643904085E9</v>
      </c>
      <c r="D5086" s="73">
        <v>6.74462537170501E8</v>
      </c>
      <c r="E5086" s="73"/>
      <c r="F5086" s="73"/>
      <c r="G5086" s="73"/>
      <c r="H5086" s="73"/>
      <c r="I5086" s="73"/>
      <c r="J5086" s="73"/>
      <c r="K5086" s="73"/>
      <c r="L5086" s="73"/>
      <c r="M5086" s="73"/>
      <c r="N5086" s="73"/>
      <c r="O5086" s="73"/>
      <c r="P5086" s="73"/>
      <c r="Q5086" s="73"/>
      <c r="R5086" s="73"/>
      <c r="S5086" s="73"/>
      <c r="T5086" s="73"/>
      <c r="U5086" s="73"/>
      <c r="V5086" s="73"/>
      <c r="W5086" s="73"/>
      <c r="X5086" s="73"/>
      <c r="Y5086" s="73"/>
      <c r="Z5086" s="73"/>
      <c r="AA5086" s="73"/>
      <c r="AB5086" s="73"/>
    </row>
    <row r="5087">
      <c r="A5087" s="73"/>
      <c r="B5087" s="73">
        <v>3.170579825E7</v>
      </c>
      <c r="C5087" s="73">
        <v>1.08530165307169E9</v>
      </c>
      <c r="D5087" s="73">
        <v>6.76500261357782E8</v>
      </c>
      <c r="E5087" s="73"/>
      <c r="F5087" s="73"/>
      <c r="G5087" s="73"/>
      <c r="H5087" s="73"/>
      <c r="I5087" s="73"/>
      <c r="J5087" s="73"/>
      <c r="K5087" s="73"/>
      <c r="L5087" s="73"/>
      <c r="M5087" s="73"/>
      <c r="N5087" s="73"/>
      <c r="O5087" s="73"/>
      <c r="P5087" s="73"/>
      <c r="Q5087" s="73"/>
      <c r="R5087" s="73"/>
      <c r="S5087" s="73"/>
      <c r="T5087" s="73"/>
      <c r="U5087" s="73"/>
      <c r="V5087" s="73"/>
      <c r="W5087" s="73"/>
      <c r="X5087" s="73"/>
      <c r="Y5087" s="73"/>
      <c r="Z5087" s="73"/>
      <c r="AA5087" s="73"/>
      <c r="AB5087" s="73"/>
    </row>
    <row r="5088">
      <c r="A5088" s="73"/>
      <c r="B5088" s="73">
        <v>3.173801641E7</v>
      </c>
      <c r="C5088" s="73">
        <v>1.08751126340465E9</v>
      </c>
      <c r="D5088" s="73">
        <v>6.78544027022185E8</v>
      </c>
      <c r="E5088" s="73"/>
      <c r="F5088" s="73"/>
      <c r="G5088" s="73"/>
      <c r="H5088" s="73"/>
      <c r="I5088" s="73"/>
      <c r="J5088" s="73"/>
      <c r="K5088" s="73"/>
      <c r="L5088" s="73"/>
      <c r="M5088" s="73"/>
      <c r="N5088" s="73"/>
      <c r="O5088" s="73"/>
      <c r="P5088" s="73"/>
      <c r="Q5088" s="73"/>
      <c r="R5088" s="73"/>
      <c r="S5088" s="73"/>
      <c r="T5088" s="73"/>
      <c r="U5088" s="73"/>
      <c r="V5088" s="73"/>
      <c r="W5088" s="73"/>
      <c r="X5088" s="73"/>
      <c r="Y5088" s="73"/>
      <c r="Z5088" s="73"/>
      <c r="AA5088" s="73"/>
      <c r="AB5088" s="73"/>
    </row>
    <row r="5089">
      <c r="A5089" s="73"/>
      <c r="B5089" s="73">
        <v>3.17702565E7</v>
      </c>
      <c r="C5089" s="73">
        <v>1.0897250856111E9</v>
      </c>
      <c r="D5089" s="73">
        <v>6.80593959495718E8</v>
      </c>
      <c r="E5089" s="73"/>
      <c r="F5089" s="73"/>
      <c r="G5089" s="73"/>
      <c r="H5089" s="73"/>
      <c r="I5089" s="73"/>
      <c r="J5089" s="73"/>
      <c r="K5089" s="73"/>
      <c r="L5089" s="73"/>
      <c r="M5089" s="73"/>
      <c r="N5089" s="73"/>
      <c r="O5089" s="73"/>
      <c r="P5089" s="73"/>
      <c r="Q5089" s="73"/>
      <c r="R5089" s="73"/>
      <c r="S5089" s="73"/>
      <c r="T5089" s="73"/>
      <c r="U5089" s="73"/>
      <c r="V5089" s="73"/>
      <c r="W5089" s="73"/>
      <c r="X5089" s="73"/>
      <c r="Y5089" s="73"/>
      <c r="Z5089" s="73"/>
      <c r="AA5089" s="73"/>
      <c r="AB5089" s="73"/>
    </row>
    <row r="5090">
      <c r="A5090" s="73"/>
      <c r="B5090" s="73">
        <v>3.180251981E7</v>
      </c>
      <c r="C5090" s="73">
        <v>1.0919434247267E9</v>
      </c>
      <c r="D5090" s="73">
        <v>6.82649884524308E8</v>
      </c>
      <c r="E5090" s="73"/>
      <c r="F5090" s="73"/>
      <c r="G5090" s="73"/>
      <c r="H5090" s="73"/>
      <c r="I5090" s="73"/>
      <c r="J5090" s="73"/>
      <c r="K5090" s="73"/>
      <c r="L5090" s="73"/>
      <c r="M5090" s="73"/>
      <c r="N5090" s="73"/>
      <c r="O5090" s="73"/>
      <c r="P5090" s="73"/>
      <c r="Q5090" s="73"/>
      <c r="R5090" s="73"/>
      <c r="S5090" s="73"/>
      <c r="T5090" s="73"/>
      <c r="U5090" s="73"/>
      <c r="V5090" s="73"/>
      <c r="W5090" s="73"/>
      <c r="X5090" s="73"/>
      <c r="Y5090" s="73"/>
      <c r="Z5090" s="73"/>
      <c r="AA5090" s="73"/>
      <c r="AB5090" s="73"/>
    </row>
    <row r="5091">
      <c r="A5091" s="73"/>
      <c r="B5091" s="73">
        <v>3.183480488E7</v>
      </c>
      <c r="C5091" s="73">
        <v>1.09416628859268E9</v>
      </c>
      <c r="D5091" s="73">
        <v>6.84711942897862E8</v>
      </c>
      <c r="E5091" s="73"/>
      <c r="F5091" s="73"/>
      <c r="G5091" s="73"/>
      <c r="H5091" s="73"/>
      <c r="I5091" s="73"/>
      <c r="J5091" s="73"/>
      <c r="K5091" s="73"/>
      <c r="L5091" s="73"/>
      <c r="M5091" s="73"/>
      <c r="N5091" s="73"/>
      <c r="O5091" s="73"/>
      <c r="P5091" s="73"/>
      <c r="Q5091" s="73"/>
      <c r="R5091" s="73"/>
      <c r="S5091" s="73"/>
      <c r="T5091" s="73"/>
      <c r="U5091" s="73"/>
      <c r="V5091" s="73"/>
      <c r="W5091" s="73"/>
      <c r="X5091" s="73"/>
      <c r="Y5091" s="73"/>
      <c r="Z5091" s="73"/>
      <c r="AA5091" s="73"/>
      <c r="AB5091" s="73"/>
    </row>
    <row r="5092">
      <c r="A5092" s="73"/>
      <c r="B5092" s="73">
        <v>3.186711254E7</v>
      </c>
      <c r="C5092" s="73">
        <v>1.09639349035735E9</v>
      </c>
      <c r="D5092" s="73">
        <v>6.86780192735496E8</v>
      </c>
      <c r="E5092" s="73"/>
      <c r="F5092" s="73"/>
      <c r="G5092" s="73"/>
      <c r="H5092" s="73"/>
      <c r="I5092" s="73"/>
      <c r="J5092" s="73"/>
      <c r="K5092" s="73"/>
      <c r="L5092" s="73"/>
      <c r="M5092" s="73"/>
      <c r="N5092" s="73"/>
      <c r="O5092" s="73"/>
      <c r="P5092" s="73"/>
      <c r="Q5092" s="73"/>
      <c r="R5092" s="73"/>
      <c r="S5092" s="73"/>
      <c r="T5092" s="73"/>
      <c r="U5092" s="73"/>
      <c r="V5092" s="73"/>
      <c r="W5092" s="73"/>
      <c r="X5092" s="73"/>
      <c r="Y5092" s="73"/>
      <c r="Z5092" s="73"/>
      <c r="AA5092" s="73"/>
      <c r="AB5092" s="73"/>
    </row>
    <row r="5093">
      <c r="A5093" s="73"/>
      <c r="B5093" s="73">
        <v>3.189944332E7</v>
      </c>
      <c r="C5093" s="73">
        <v>1.09862515118107E9</v>
      </c>
      <c r="D5093" s="73">
        <v>6.88854593057887E8</v>
      </c>
      <c r="E5093" s="73"/>
      <c r="F5093" s="73"/>
      <c r="G5093" s="73"/>
      <c r="H5093" s="73"/>
      <c r="I5093" s="73"/>
      <c r="J5093" s="73"/>
      <c r="K5093" s="73"/>
      <c r="L5093" s="73"/>
      <c r="M5093" s="73"/>
      <c r="N5093" s="73"/>
      <c r="O5093" s="73"/>
      <c r="P5093" s="73"/>
      <c r="Q5093" s="73"/>
      <c r="R5093" s="73"/>
      <c r="S5093" s="73"/>
      <c r="T5093" s="73"/>
      <c r="U5093" s="73"/>
      <c r="V5093" s="73"/>
      <c r="W5093" s="73"/>
      <c r="X5093" s="73"/>
      <c r="Y5093" s="73"/>
      <c r="Z5093" s="73"/>
      <c r="AA5093" s="73"/>
      <c r="AB5093" s="73"/>
    </row>
    <row r="5094">
      <c r="A5094" s="73"/>
      <c r="B5094" s="73">
        <v>3.193179641E7</v>
      </c>
      <c r="C5094" s="73">
        <v>1.1008610082972E9</v>
      </c>
      <c r="D5094" s="73">
        <v>6.90935151965464E8</v>
      </c>
      <c r="E5094" s="73"/>
      <c r="F5094" s="73"/>
      <c r="G5094" s="73"/>
      <c r="H5094" s="73"/>
      <c r="I5094" s="73"/>
      <c r="J5094" s="73"/>
      <c r="K5094" s="73"/>
      <c r="L5094" s="73"/>
      <c r="M5094" s="73"/>
      <c r="N5094" s="73"/>
      <c r="O5094" s="73"/>
      <c r="P5094" s="73"/>
      <c r="Q5094" s="73"/>
      <c r="R5094" s="73"/>
      <c r="S5094" s="73"/>
      <c r="T5094" s="73"/>
      <c r="U5094" s="73"/>
      <c r="V5094" s="73"/>
      <c r="W5094" s="73"/>
      <c r="X5094" s="73"/>
      <c r="Y5094" s="73"/>
      <c r="Z5094" s="73"/>
      <c r="AA5094" s="73"/>
      <c r="AB5094" s="73"/>
    </row>
    <row r="5095">
      <c r="A5095" s="73"/>
      <c r="B5095" s="73">
        <v>3.196417214E7</v>
      </c>
      <c r="C5095" s="73">
        <v>1.1031014849987E9</v>
      </c>
      <c r="D5095" s="73">
        <v>6.93021877520619E8</v>
      </c>
      <c r="E5095" s="73"/>
      <c r="F5095" s="73"/>
      <c r="G5095" s="73"/>
      <c r="H5095" s="73"/>
      <c r="I5095" s="73"/>
      <c r="J5095" s="73"/>
      <c r="K5095" s="73"/>
      <c r="L5095" s="73"/>
      <c r="M5095" s="73"/>
      <c r="N5095" s="73"/>
      <c r="O5095" s="73"/>
      <c r="P5095" s="73"/>
      <c r="Q5095" s="73"/>
      <c r="R5095" s="73"/>
      <c r="S5095" s="73"/>
      <c r="T5095" s="73"/>
      <c r="U5095" s="73"/>
      <c r="V5095" s="73"/>
      <c r="W5095" s="73"/>
      <c r="X5095" s="73"/>
      <c r="Y5095" s="73"/>
      <c r="Z5095" s="73"/>
      <c r="AA5095" s="73"/>
      <c r="AB5095" s="73"/>
    </row>
    <row r="5096">
      <c r="A5096" s="73"/>
      <c r="B5096" s="73">
        <v>3.199656941E7</v>
      </c>
      <c r="C5096" s="73">
        <v>1.10534628172699E9</v>
      </c>
      <c r="D5096" s="73">
        <v>6.95114830261934E8</v>
      </c>
      <c r="E5096" s="73"/>
      <c r="F5096" s="73"/>
      <c r="G5096" s="73"/>
      <c r="H5096" s="73"/>
      <c r="I5096" s="73"/>
      <c r="J5096" s="73"/>
      <c r="K5096" s="73"/>
      <c r="L5096" s="73"/>
      <c r="M5096" s="73"/>
      <c r="N5096" s="73"/>
      <c r="O5096" s="73"/>
      <c r="P5096" s="73"/>
      <c r="Q5096" s="73"/>
      <c r="R5096" s="73"/>
      <c r="S5096" s="73"/>
      <c r="T5096" s="73"/>
      <c r="U5096" s="73"/>
      <c r="V5096" s="73"/>
      <c r="W5096" s="73"/>
      <c r="X5096" s="73"/>
      <c r="Y5096" s="73"/>
      <c r="Z5096" s="73"/>
      <c r="AA5096" s="73"/>
      <c r="AB5096" s="73"/>
    </row>
    <row r="5097">
      <c r="A5097" s="73"/>
      <c r="B5097" s="73">
        <v>3.202898937E7</v>
      </c>
      <c r="C5097" s="73">
        <v>1.10759559353338E9</v>
      </c>
      <c r="D5097" s="73">
        <v>6.97213967197144E8</v>
      </c>
      <c r="E5097" s="73"/>
      <c r="F5097" s="73"/>
      <c r="G5097" s="73"/>
      <c r="H5097" s="73"/>
      <c r="I5097" s="73"/>
      <c r="J5097" s="73"/>
      <c r="K5097" s="73"/>
      <c r="L5097" s="73"/>
      <c r="M5097" s="73"/>
      <c r="N5097" s="73"/>
      <c r="O5097" s="73"/>
      <c r="P5097" s="73"/>
      <c r="Q5097" s="73"/>
      <c r="R5097" s="73"/>
      <c r="S5097" s="73"/>
      <c r="T5097" s="73"/>
      <c r="U5097" s="73"/>
      <c r="V5097" s="73"/>
      <c r="W5097" s="73"/>
      <c r="X5097" s="73"/>
      <c r="Y5097" s="73"/>
      <c r="Z5097" s="73"/>
      <c r="AA5097" s="73"/>
      <c r="AB5097" s="73"/>
    </row>
    <row r="5098">
      <c r="A5098" s="73"/>
      <c r="B5098" s="73">
        <v>3.206143331E7</v>
      </c>
      <c r="C5098" s="73">
        <v>1.10984950159883E9</v>
      </c>
      <c r="D5098" s="73">
        <v>6.99319414229451E8</v>
      </c>
      <c r="E5098" s="73"/>
      <c r="F5098" s="73"/>
      <c r="G5098" s="73"/>
      <c r="H5098" s="73"/>
      <c r="I5098" s="73"/>
      <c r="J5098" s="73"/>
      <c r="K5098" s="73"/>
      <c r="L5098" s="73"/>
      <c r="M5098" s="73"/>
      <c r="N5098" s="73"/>
      <c r="O5098" s="73"/>
      <c r="P5098" s="73"/>
      <c r="Q5098" s="73"/>
      <c r="R5098" s="73"/>
      <c r="S5098" s="73"/>
      <c r="T5098" s="73"/>
      <c r="U5098" s="73"/>
      <c r="V5098" s="73"/>
      <c r="W5098" s="73"/>
      <c r="X5098" s="73"/>
      <c r="Y5098" s="73"/>
      <c r="Z5098" s="73"/>
      <c r="AA5098" s="73"/>
      <c r="AB5098" s="73"/>
    </row>
    <row r="5099">
      <c r="A5099" s="73"/>
      <c r="B5099" s="73">
        <v>3.209389822E7</v>
      </c>
      <c r="C5099" s="73">
        <v>1.11210774422196E9</v>
      </c>
      <c r="D5099" s="73">
        <v>7.01431129055582E8</v>
      </c>
      <c r="E5099" s="73"/>
      <c r="F5099" s="73"/>
      <c r="G5099" s="73"/>
      <c r="H5099" s="73"/>
      <c r="I5099" s="73"/>
      <c r="J5099" s="73"/>
      <c r="K5099" s="73"/>
      <c r="L5099" s="73"/>
      <c r="M5099" s="73"/>
      <c r="N5099" s="73"/>
      <c r="O5099" s="73"/>
      <c r="P5099" s="73"/>
      <c r="Q5099" s="73"/>
      <c r="R5099" s="73"/>
      <c r="S5099" s="73"/>
      <c r="T5099" s="73"/>
      <c r="U5099" s="73"/>
      <c r="V5099" s="73"/>
      <c r="W5099" s="73"/>
      <c r="X5099" s="73"/>
      <c r="Y5099" s="73"/>
      <c r="Z5099" s="73"/>
      <c r="AA5099" s="73"/>
      <c r="AB5099" s="73"/>
    </row>
    <row r="5100">
      <c r="A5100" s="73"/>
      <c r="B5100" s="73">
        <v>3.212638719E7</v>
      </c>
      <c r="C5100" s="73">
        <v>1.11437044063735E9</v>
      </c>
      <c r="D5100" s="73">
        <v>7.03549054343296E8</v>
      </c>
      <c r="E5100" s="73"/>
      <c r="F5100" s="73"/>
      <c r="G5100" s="73"/>
      <c r="H5100" s="73"/>
      <c r="I5100" s="73"/>
      <c r="J5100" s="73"/>
      <c r="K5100" s="73"/>
      <c r="L5100" s="73"/>
      <c r="M5100" s="73"/>
      <c r="N5100" s="73"/>
      <c r="O5100" s="73"/>
      <c r="P5100" s="73"/>
      <c r="Q5100" s="73"/>
      <c r="R5100" s="73"/>
      <c r="S5100" s="73"/>
      <c r="T5100" s="73"/>
      <c r="U5100" s="73"/>
      <c r="V5100" s="73"/>
      <c r="W5100" s="73"/>
      <c r="X5100" s="73"/>
      <c r="Y5100" s="73"/>
      <c r="Z5100" s="73"/>
      <c r="AA5100" s="73"/>
      <c r="AB5100" s="73"/>
    </row>
    <row r="5101">
      <c r="A5101" s="73"/>
      <c r="B5101" s="73">
        <v>3.215889752E7</v>
      </c>
      <c r="C5101" s="73">
        <v>1.11663767203469E9</v>
      </c>
      <c r="D5101" s="73">
        <v>7.05673316102258E8</v>
      </c>
      <c r="E5101" s="73"/>
      <c r="F5101" s="73"/>
      <c r="G5101" s="73"/>
      <c r="H5101" s="73"/>
      <c r="I5101" s="73"/>
      <c r="J5101" s="73"/>
      <c r="K5101" s="73"/>
      <c r="L5101" s="73"/>
      <c r="M5101" s="73"/>
      <c r="N5101" s="73"/>
      <c r="O5101" s="73"/>
      <c r="P5101" s="73"/>
      <c r="Q5101" s="73"/>
      <c r="R5101" s="73"/>
      <c r="S5101" s="73"/>
      <c r="T5101" s="73"/>
      <c r="U5101" s="73"/>
      <c r="V5101" s="73"/>
      <c r="W5101" s="73"/>
      <c r="X5101" s="73"/>
      <c r="Y5101" s="73"/>
      <c r="Z5101" s="73"/>
      <c r="AA5101" s="73"/>
      <c r="AB5101" s="73"/>
    </row>
    <row r="5102">
      <c r="A5102" s="73"/>
      <c r="B5102" s="73">
        <v>3.219143124E7</v>
      </c>
      <c r="C5102" s="73">
        <v>1.11890944348499E9</v>
      </c>
      <c r="D5102" s="73">
        <v>7.07803938030116E8</v>
      </c>
      <c r="E5102" s="73"/>
      <c r="F5102" s="73"/>
      <c r="G5102" s="73"/>
      <c r="H5102" s="73"/>
      <c r="I5102" s="73"/>
      <c r="J5102" s="73"/>
      <c r="K5102" s="73"/>
      <c r="L5102" s="73"/>
      <c r="M5102" s="73"/>
      <c r="N5102" s="73"/>
      <c r="O5102" s="73"/>
      <c r="P5102" s="73"/>
      <c r="Q5102" s="73"/>
      <c r="R5102" s="73"/>
      <c r="S5102" s="73"/>
      <c r="T5102" s="73"/>
      <c r="U5102" s="73"/>
      <c r="V5102" s="73"/>
      <c r="W5102" s="73"/>
      <c r="X5102" s="73"/>
      <c r="Y5102" s="73"/>
      <c r="Z5102" s="73"/>
      <c r="AA5102" s="73"/>
      <c r="AB5102" s="73"/>
    </row>
    <row r="5103">
      <c r="A5103" s="73"/>
      <c r="B5103" s="73">
        <v>3.222398648E7</v>
      </c>
      <c r="C5103" s="73">
        <v>1.12118560667342E9</v>
      </c>
      <c r="D5103" s="73">
        <v>7.09940862487879E8</v>
      </c>
      <c r="E5103" s="73"/>
      <c r="F5103" s="73"/>
      <c r="G5103" s="73"/>
      <c r="H5103" s="73"/>
      <c r="I5103" s="73"/>
      <c r="J5103" s="73"/>
      <c r="K5103" s="73"/>
      <c r="L5103" s="73"/>
      <c r="M5103" s="73"/>
      <c r="N5103" s="73"/>
      <c r="O5103" s="73"/>
      <c r="P5103" s="73"/>
      <c r="Q5103" s="73"/>
      <c r="R5103" s="73"/>
      <c r="S5103" s="73"/>
      <c r="T5103" s="73"/>
      <c r="U5103" s="73"/>
      <c r="V5103" s="73"/>
      <c r="W5103" s="73"/>
      <c r="X5103" s="73"/>
      <c r="Y5103" s="73"/>
      <c r="Z5103" s="73"/>
      <c r="AA5103" s="73"/>
      <c r="AB5103" s="73"/>
    </row>
    <row r="5104">
      <c r="A5104" s="73"/>
      <c r="B5104" s="73">
        <v>3.225656503E7</v>
      </c>
      <c r="C5104" s="73">
        <v>1.12346643509411E9</v>
      </c>
      <c r="D5104" s="73">
        <v>7.12084150376481E8</v>
      </c>
      <c r="E5104" s="73"/>
      <c r="F5104" s="73"/>
      <c r="G5104" s="73"/>
      <c r="H5104" s="73"/>
      <c r="I5104" s="73"/>
      <c r="J5104" s="73"/>
      <c r="K5104" s="73"/>
      <c r="L5104" s="73"/>
      <c r="M5104" s="73"/>
      <c r="N5104" s="73"/>
      <c r="O5104" s="73"/>
      <c r="P5104" s="73"/>
      <c r="Q5104" s="73"/>
      <c r="R5104" s="73"/>
      <c r="S5104" s="73"/>
      <c r="T5104" s="73"/>
      <c r="U5104" s="73"/>
      <c r="V5104" s="73"/>
      <c r="W5104" s="73"/>
      <c r="X5104" s="73"/>
      <c r="Y5104" s="73"/>
      <c r="Z5104" s="73"/>
      <c r="AA5104" s="73"/>
      <c r="AB5104" s="73"/>
    </row>
    <row r="5105">
      <c r="A5105" s="73"/>
      <c r="B5105" s="73">
        <v>3.228916674E7</v>
      </c>
      <c r="C5105" s="73">
        <v>1.12575170313437E9</v>
      </c>
      <c r="D5105" s="73">
        <v>7.14233824838245E8</v>
      </c>
      <c r="E5105" s="73"/>
      <c r="F5105" s="73"/>
      <c r="G5105" s="73"/>
      <c r="H5105" s="73"/>
      <c r="I5105" s="73"/>
      <c r="J5105" s="73"/>
      <c r="K5105" s="73"/>
      <c r="L5105" s="73"/>
      <c r="M5105" s="73"/>
      <c r="N5105" s="73"/>
      <c r="O5105" s="73"/>
      <c r="P5105" s="73"/>
      <c r="Q5105" s="73"/>
      <c r="R5105" s="73"/>
      <c r="S5105" s="73"/>
      <c r="T5105" s="73"/>
      <c r="U5105" s="73"/>
      <c r="V5105" s="73"/>
      <c r="W5105" s="73"/>
      <c r="X5105" s="73"/>
      <c r="Y5105" s="73"/>
      <c r="Z5105" s="73"/>
      <c r="AA5105" s="73"/>
      <c r="AB5105" s="73"/>
    </row>
    <row r="5106">
      <c r="A5106" s="73"/>
      <c r="B5106" s="73">
        <v>3.232178991E7</v>
      </c>
      <c r="C5106" s="73">
        <v>1.12804153108091E9</v>
      </c>
      <c r="D5106" s="73">
        <v>7.16389828087949E8</v>
      </c>
      <c r="E5106" s="73"/>
      <c r="F5106" s="73"/>
      <c r="G5106" s="73"/>
      <c r="H5106" s="73"/>
      <c r="I5106" s="73"/>
      <c r="J5106" s="73"/>
      <c r="K5106" s="73"/>
      <c r="L5106" s="73"/>
      <c r="M5106" s="73"/>
      <c r="N5106" s="73"/>
      <c r="O5106" s="73"/>
      <c r="P5106" s="73"/>
      <c r="Q5106" s="73"/>
      <c r="R5106" s="73"/>
      <c r="S5106" s="73"/>
      <c r="T5106" s="73"/>
      <c r="U5106" s="73"/>
      <c r="V5106" s="73"/>
      <c r="W5106" s="73"/>
      <c r="X5106" s="73"/>
      <c r="Y5106" s="73"/>
      <c r="Z5106" s="73"/>
      <c r="AA5106" s="73"/>
      <c r="AB5106" s="73"/>
    </row>
    <row r="5107">
      <c r="A5107" s="73"/>
      <c r="B5107" s="73">
        <v>3.235443525E7</v>
      </c>
      <c r="C5107" s="73">
        <v>1.13033573173929E9</v>
      </c>
      <c r="D5107" s="73">
        <v>7.1855235457398E8</v>
      </c>
      <c r="E5107" s="73"/>
      <c r="F5107" s="73"/>
      <c r="G5107" s="73"/>
      <c r="H5107" s="73"/>
      <c r="I5107" s="73"/>
      <c r="J5107" s="73"/>
      <c r="K5107" s="73"/>
      <c r="L5107" s="73"/>
      <c r="M5107" s="73"/>
      <c r="N5107" s="73"/>
      <c r="O5107" s="73"/>
      <c r="P5107" s="73"/>
      <c r="Q5107" s="73"/>
      <c r="R5107" s="73"/>
      <c r="S5107" s="73"/>
      <c r="T5107" s="73"/>
      <c r="U5107" s="73"/>
      <c r="V5107" s="73"/>
      <c r="W5107" s="73"/>
      <c r="X5107" s="73"/>
      <c r="Y5107" s="73"/>
      <c r="Z5107" s="73"/>
      <c r="AA5107" s="73"/>
      <c r="AB5107" s="73"/>
    </row>
    <row r="5108">
      <c r="A5108" s="73"/>
      <c r="B5108" s="73">
        <v>3.238710413E7</v>
      </c>
      <c r="C5108" s="73">
        <v>1.13263461730955E9</v>
      </c>
      <c r="D5108" s="73">
        <v>7.20721227205069E8</v>
      </c>
      <c r="E5108" s="73"/>
      <c r="F5108" s="73"/>
      <c r="G5108" s="73"/>
      <c r="H5108" s="73"/>
      <c r="I5108" s="73"/>
      <c r="J5108" s="73"/>
      <c r="K5108" s="73"/>
      <c r="L5108" s="73"/>
      <c r="M5108" s="73"/>
      <c r="N5108" s="73"/>
      <c r="O5108" s="73"/>
      <c r="P5108" s="73"/>
      <c r="Q5108" s="73"/>
      <c r="R5108" s="73"/>
      <c r="S5108" s="73"/>
      <c r="T5108" s="73"/>
      <c r="U5108" s="73"/>
      <c r="V5108" s="73"/>
      <c r="W5108" s="73"/>
      <c r="X5108" s="73"/>
      <c r="Y5108" s="73"/>
      <c r="Z5108" s="73"/>
      <c r="AA5108" s="73"/>
      <c r="AB5108" s="73"/>
    </row>
    <row r="5109">
      <c r="A5109" s="73"/>
      <c r="B5109" s="73">
        <v>3.241979562E7</v>
      </c>
      <c r="C5109" s="73">
        <v>1.13493807781995E9</v>
      </c>
      <c r="D5109" s="73">
        <v>7.22896522067233E8</v>
      </c>
      <c r="E5109" s="73"/>
      <c r="F5109" s="73"/>
      <c r="G5109" s="73"/>
      <c r="H5109" s="73"/>
      <c r="I5109" s="73"/>
      <c r="J5109" s="73"/>
      <c r="K5109" s="73"/>
      <c r="L5109" s="73"/>
      <c r="M5109" s="73"/>
      <c r="N5109" s="73"/>
      <c r="O5109" s="73"/>
      <c r="P5109" s="73"/>
      <c r="Q5109" s="73"/>
      <c r="R5109" s="73"/>
      <c r="S5109" s="73"/>
      <c r="T5109" s="73"/>
      <c r="U5109" s="73"/>
      <c r="V5109" s="73"/>
      <c r="W5109" s="73"/>
      <c r="X5109" s="73"/>
      <c r="Y5109" s="73"/>
      <c r="Z5109" s="73"/>
      <c r="AA5109" s="73"/>
      <c r="AB5109" s="73"/>
    </row>
    <row r="5110">
      <c r="A5110" s="73"/>
      <c r="B5110" s="73">
        <v>3.245250985E7</v>
      </c>
      <c r="C5110" s="73">
        <v>1.13724619586821E9</v>
      </c>
      <c r="D5110" s="73">
        <v>7.25078366953057E8</v>
      </c>
      <c r="E5110" s="73"/>
      <c r="F5110" s="73"/>
      <c r="G5110" s="73"/>
      <c r="H5110" s="73"/>
      <c r="I5110" s="73"/>
      <c r="J5110" s="73"/>
      <c r="K5110" s="73"/>
      <c r="L5110" s="73"/>
      <c r="M5110" s="73"/>
      <c r="N5110" s="73"/>
      <c r="O5110" s="73"/>
      <c r="P5110" s="73"/>
      <c r="Q5110" s="73"/>
      <c r="R5110" s="73"/>
      <c r="S5110" s="73"/>
      <c r="T5110" s="73"/>
      <c r="U5110" s="73"/>
      <c r="V5110" s="73"/>
      <c r="W5110" s="73"/>
      <c r="X5110" s="73"/>
      <c r="Y5110" s="73"/>
      <c r="Z5110" s="73"/>
      <c r="AA5110" s="73"/>
      <c r="AB5110" s="73"/>
    </row>
    <row r="5111">
      <c r="A5111" s="73"/>
      <c r="B5111" s="73">
        <v>3.248524596E7</v>
      </c>
      <c r="C5111" s="73">
        <v>1.13955874404162E9</v>
      </c>
      <c r="D5111" s="73">
        <v>7.27266652001292E8</v>
      </c>
      <c r="E5111" s="73"/>
      <c r="F5111" s="73"/>
      <c r="G5111" s="73"/>
      <c r="H5111" s="73"/>
      <c r="I5111" s="73"/>
      <c r="J5111" s="73"/>
      <c r="K5111" s="73"/>
      <c r="L5111" s="73"/>
      <c r="M5111" s="73"/>
      <c r="N5111" s="73"/>
      <c r="O5111" s="73"/>
      <c r="P5111" s="73"/>
      <c r="Q5111" s="73"/>
      <c r="R5111" s="73"/>
      <c r="S5111" s="73"/>
      <c r="T5111" s="73"/>
      <c r="U5111" s="73"/>
      <c r="V5111" s="73"/>
      <c r="W5111" s="73"/>
      <c r="X5111" s="73"/>
      <c r="Y5111" s="73"/>
      <c r="Z5111" s="73"/>
      <c r="AA5111" s="73"/>
      <c r="AB5111" s="73"/>
    </row>
    <row r="5112">
      <c r="A5112" s="73"/>
      <c r="B5112" s="73">
        <v>3.251800554E7</v>
      </c>
      <c r="C5112" s="73">
        <v>1.14187588221482E9</v>
      </c>
      <c r="D5112" s="73">
        <v>7.29461452031446E8</v>
      </c>
      <c r="E5112" s="73"/>
      <c r="F5112" s="73"/>
      <c r="G5112" s="73"/>
      <c r="H5112" s="73"/>
      <c r="I5112" s="73"/>
      <c r="J5112" s="73"/>
      <c r="K5112" s="73"/>
      <c r="L5112" s="73"/>
      <c r="M5112" s="73"/>
      <c r="N5112" s="73"/>
      <c r="O5112" s="73"/>
      <c r="P5112" s="73"/>
      <c r="Q5112" s="73"/>
      <c r="R5112" s="73"/>
      <c r="S5112" s="73"/>
      <c r="T5112" s="73"/>
      <c r="U5112" s="73"/>
      <c r="V5112" s="73"/>
      <c r="W5112" s="73"/>
      <c r="X5112" s="73"/>
      <c r="Y5112" s="73"/>
      <c r="Z5112" s="73"/>
      <c r="AA5112" s="73"/>
      <c r="AB5112" s="73"/>
    </row>
    <row r="5113">
      <c r="A5113" s="73"/>
      <c r="B5113" s="73">
        <v>3.25507874E7</v>
      </c>
      <c r="C5113" s="73">
        <v>1.14419753763828E9</v>
      </c>
      <c r="D5113" s="73">
        <v>7.31662829797425E8</v>
      </c>
      <c r="E5113" s="73"/>
      <c r="F5113" s="73"/>
      <c r="G5113" s="73"/>
      <c r="H5113" s="73"/>
      <c r="I5113" s="73"/>
      <c r="J5113" s="73"/>
      <c r="K5113" s="73"/>
      <c r="L5113" s="73"/>
      <c r="M5113" s="73"/>
      <c r="N5113" s="73"/>
      <c r="O5113" s="73"/>
      <c r="P5113" s="73"/>
      <c r="Q5113" s="73"/>
      <c r="R5113" s="73"/>
      <c r="S5113" s="73"/>
      <c r="T5113" s="73"/>
      <c r="U5113" s="73"/>
      <c r="V5113" s="73"/>
      <c r="W5113" s="73"/>
      <c r="X5113" s="73"/>
      <c r="Y5113" s="73"/>
      <c r="Z5113" s="73"/>
      <c r="AA5113" s="73"/>
      <c r="AB5113" s="73"/>
    </row>
    <row r="5114">
      <c r="A5114" s="73"/>
      <c r="B5114" s="73">
        <v>3.258359161E7</v>
      </c>
      <c r="C5114" s="73">
        <v>1.14652390859164E9</v>
      </c>
      <c r="D5114" s="73">
        <v>7.33870794665709E8</v>
      </c>
      <c r="E5114" s="73"/>
      <c r="F5114" s="73"/>
      <c r="G5114" s="73"/>
      <c r="H5114" s="73"/>
      <c r="I5114" s="73"/>
      <c r="J5114" s="73"/>
      <c r="K5114" s="73"/>
      <c r="L5114" s="73"/>
      <c r="M5114" s="73"/>
      <c r="N5114" s="73"/>
      <c r="O5114" s="73"/>
      <c r="P5114" s="73"/>
      <c r="Q5114" s="73"/>
      <c r="R5114" s="73"/>
      <c r="S5114" s="73"/>
      <c r="T5114" s="73"/>
      <c r="U5114" s="73"/>
      <c r="V5114" s="73"/>
      <c r="W5114" s="73"/>
      <c r="X5114" s="73"/>
      <c r="Y5114" s="73"/>
      <c r="Z5114" s="73"/>
      <c r="AA5114" s="73"/>
      <c r="AB5114" s="73"/>
    </row>
    <row r="5115">
      <c r="A5115" s="73"/>
      <c r="B5115" s="73">
        <v>3.261641826E7</v>
      </c>
      <c r="C5115" s="73">
        <v>1.14885488475252E9</v>
      </c>
      <c r="D5115" s="73">
        <v>7.36085182013297E8</v>
      </c>
      <c r="E5115" s="73"/>
      <c r="F5115" s="73"/>
      <c r="G5115" s="73"/>
      <c r="H5115" s="73"/>
      <c r="I5115" s="73"/>
      <c r="J5115" s="73"/>
      <c r="K5115" s="73"/>
      <c r="L5115" s="73"/>
      <c r="M5115" s="73"/>
      <c r="N5115" s="73"/>
      <c r="O5115" s="73"/>
      <c r="P5115" s="73"/>
      <c r="Q5115" s="73"/>
      <c r="R5115" s="73"/>
      <c r="S5115" s="73"/>
      <c r="T5115" s="73"/>
      <c r="U5115" s="73"/>
      <c r="V5115" s="73"/>
      <c r="W5115" s="73"/>
      <c r="X5115" s="73"/>
      <c r="Y5115" s="73"/>
      <c r="Z5115" s="73"/>
      <c r="AA5115" s="73"/>
      <c r="AB5115" s="73"/>
    </row>
    <row r="5116">
      <c r="A5116" s="73"/>
      <c r="B5116" s="73">
        <v>3.264926741E7</v>
      </c>
      <c r="C5116" s="73">
        <v>1.15119047123296E9</v>
      </c>
      <c r="D5116" s="73">
        <v>7.38306241086167E8</v>
      </c>
      <c r="E5116" s="73"/>
      <c r="F5116" s="73"/>
      <c r="G5116" s="73"/>
      <c r="H5116" s="73"/>
      <c r="I5116" s="73"/>
      <c r="J5116" s="73"/>
      <c r="K5116" s="73"/>
      <c r="L5116" s="73"/>
      <c r="M5116" s="73"/>
      <c r="N5116" s="73"/>
      <c r="O5116" s="73"/>
      <c r="P5116" s="73"/>
      <c r="Q5116" s="73"/>
      <c r="R5116" s="73"/>
      <c r="S5116" s="73"/>
      <c r="T5116" s="73"/>
      <c r="U5116" s="73"/>
      <c r="V5116" s="73"/>
      <c r="W5116" s="73"/>
      <c r="X5116" s="73"/>
      <c r="Y5116" s="73"/>
      <c r="Z5116" s="73"/>
      <c r="AA5116" s="73"/>
      <c r="AB5116" s="73"/>
    </row>
    <row r="5117">
      <c r="A5117" s="73"/>
      <c r="B5117" s="73">
        <v>3.268213941E7</v>
      </c>
      <c r="C5117" s="73">
        <v>1.1535307105661E9</v>
      </c>
      <c r="D5117" s="73">
        <v>7.40533860801691E8</v>
      </c>
      <c r="E5117" s="73"/>
      <c r="F5117" s="73"/>
      <c r="G5117" s="73"/>
      <c r="H5117" s="73"/>
      <c r="I5117" s="73"/>
      <c r="J5117" s="73"/>
      <c r="K5117" s="73"/>
      <c r="L5117" s="73"/>
      <c r="M5117" s="73"/>
      <c r="N5117" s="73"/>
      <c r="O5117" s="73"/>
      <c r="P5117" s="73"/>
      <c r="Q5117" s="73"/>
      <c r="R5117" s="73"/>
      <c r="S5117" s="73"/>
      <c r="T5117" s="73"/>
      <c r="U5117" s="73"/>
      <c r="V5117" s="73"/>
      <c r="W5117" s="73"/>
      <c r="X5117" s="73"/>
      <c r="Y5117" s="73"/>
      <c r="Z5117" s="73"/>
      <c r="AA5117" s="73"/>
      <c r="AB5117" s="73"/>
    </row>
    <row r="5118">
      <c r="A5118" s="73"/>
      <c r="B5118" s="73">
        <v>3.271503491E7</v>
      </c>
      <c r="C5118" s="73">
        <v>1.15587564877871E9</v>
      </c>
      <c r="D5118" s="73">
        <v>7.42768103750324E8</v>
      </c>
      <c r="E5118" s="73"/>
      <c r="F5118" s="73"/>
      <c r="G5118" s="73"/>
      <c r="H5118" s="73"/>
      <c r="I5118" s="73"/>
      <c r="J5118" s="73"/>
      <c r="K5118" s="73"/>
      <c r="L5118" s="73"/>
      <c r="M5118" s="73"/>
      <c r="N5118" s="73"/>
      <c r="O5118" s="73"/>
      <c r="P5118" s="73"/>
      <c r="Q5118" s="73"/>
      <c r="R5118" s="73"/>
      <c r="S5118" s="73"/>
      <c r="T5118" s="73"/>
      <c r="U5118" s="73"/>
      <c r="V5118" s="73"/>
      <c r="W5118" s="73"/>
      <c r="X5118" s="73"/>
      <c r="Y5118" s="73"/>
      <c r="Z5118" s="73"/>
      <c r="AA5118" s="73"/>
      <c r="AB5118" s="73"/>
    </row>
    <row r="5119">
      <c r="A5119" s="73"/>
      <c r="B5119" s="73">
        <v>3.274795226E7</v>
      </c>
      <c r="C5119" s="73">
        <v>1.15822517153875E9</v>
      </c>
      <c r="D5119" s="73">
        <v>7.45008938403634E8</v>
      </c>
      <c r="E5119" s="73"/>
      <c r="F5119" s="73"/>
      <c r="G5119" s="73"/>
      <c r="H5119" s="73"/>
      <c r="I5119" s="73"/>
      <c r="J5119" s="73"/>
      <c r="K5119" s="73"/>
      <c r="L5119" s="73"/>
      <c r="M5119" s="73"/>
      <c r="N5119" s="73"/>
      <c r="O5119" s="73"/>
      <c r="P5119" s="73"/>
      <c r="Q5119" s="73"/>
      <c r="R5119" s="73"/>
      <c r="S5119" s="73"/>
      <c r="T5119" s="73"/>
      <c r="U5119" s="73"/>
      <c r="V5119" s="73"/>
      <c r="W5119" s="73"/>
      <c r="X5119" s="73"/>
      <c r="Y5119" s="73"/>
      <c r="Z5119" s="73"/>
      <c r="AA5119" s="73"/>
      <c r="AB5119" s="73"/>
    </row>
    <row r="5120">
      <c r="A5120" s="73"/>
      <c r="B5120" s="73">
        <v>3.278089255E7</v>
      </c>
      <c r="C5120" s="73">
        <v>1.16057924619882E9</v>
      </c>
      <c r="D5120" s="73">
        <v>7.47256550112582E8</v>
      </c>
      <c r="E5120" s="73"/>
      <c r="F5120" s="73"/>
      <c r="G5120" s="73"/>
      <c r="H5120" s="73"/>
      <c r="I5120" s="73"/>
      <c r="J5120" s="73"/>
      <c r="K5120" s="73"/>
      <c r="L5120" s="73"/>
      <c r="M5120" s="73"/>
      <c r="N5120" s="73"/>
      <c r="O5120" s="73"/>
      <c r="P5120" s="73"/>
      <c r="Q5120" s="73"/>
      <c r="R5120" s="73"/>
      <c r="S5120" s="73"/>
      <c r="T5120" s="73"/>
      <c r="U5120" s="73"/>
      <c r="V5120" s="73"/>
      <c r="W5120" s="73"/>
      <c r="X5120" s="73"/>
      <c r="Y5120" s="73"/>
      <c r="Z5120" s="73"/>
      <c r="AA5120" s="73"/>
      <c r="AB5120" s="73"/>
    </row>
    <row r="5121">
      <c r="A5121" s="73"/>
      <c r="B5121" s="73">
        <v>3.281385512E7</v>
      </c>
      <c r="C5121" s="73">
        <v>1.16293803511526E9</v>
      </c>
      <c r="D5121" s="73">
        <v>7.49510745704768E8</v>
      </c>
      <c r="E5121" s="73"/>
      <c r="F5121" s="73"/>
      <c r="G5121" s="73"/>
      <c r="H5121" s="73"/>
      <c r="I5121" s="73"/>
      <c r="J5121" s="73"/>
      <c r="K5121" s="73"/>
      <c r="L5121" s="73"/>
      <c r="M5121" s="73"/>
      <c r="N5121" s="73"/>
      <c r="O5121" s="73"/>
      <c r="P5121" s="73"/>
      <c r="Q5121" s="73"/>
      <c r="R5121" s="73"/>
      <c r="S5121" s="73"/>
      <c r="T5121" s="73"/>
      <c r="U5121" s="73"/>
      <c r="V5121" s="73"/>
      <c r="W5121" s="73"/>
      <c r="X5121" s="73"/>
      <c r="Y5121" s="73"/>
      <c r="Z5121" s="73"/>
      <c r="AA5121" s="73"/>
      <c r="AB5121" s="73"/>
    </row>
    <row r="5122">
      <c r="A5122" s="73"/>
      <c r="B5122" s="73">
        <v>3.284684096E7</v>
      </c>
      <c r="C5122" s="73">
        <v>1.16530150199875E9</v>
      </c>
      <c r="D5122" s="73">
        <v>7.51771748766548E8</v>
      </c>
      <c r="E5122" s="73"/>
      <c r="F5122" s="73"/>
      <c r="G5122" s="73"/>
      <c r="H5122" s="73"/>
      <c r="I5122" s="73"/>
      <c r="J5122" s="73"/>
      <c r="K5122" s="73"/>
      <c r="L5122" s="73"/>
      <c r="M5122" s="73"/>
      <c r="N5122" s="73"/>
      <c r="O5122" s="73"/>
      <c r="P5122" s="73"/>
      <c r="Q5122" s="73"/>
      <c r="R5122" s="73"/>
      <c r="S5122" s="73"/>
      <c r="T5122" s="73"/>
      <c r="U5122" s="73"/>
      <c r="V5122" s="73"/>
      <c r="W5122" s="73"/>
      <c r="X5122" s="73"/>
      <c r="Y5122" s="73"/>
      <c r="Z5122" s="73"/>
      <c r="AA5122" s="73"/>
      <c r="AB5122" s="73"/>
    </row>
    <row r="5123">
      <c r="A5123" s="73"/>
      <c r="B5123" s="73">
        <v>3.287984828E7</v>
      </c>
      <c r="C5123" s="73">
        <v>1.16766973084055E9</v>
      </c>
      <c r="D5123" s="73">
        <v>7.54039421549549E8</v>
      </c>
      <c r="E5123" s="73"/>
      <c r="F5123" s="73"/>
      <c r="G5123" s="73"/>
      <c r="H5123" s="73"/>
      <c r="I5123" s="73"/>
      <c r="J5123" s="73"/>
      <c r="K5123" s="73"/>
      <c r="L5123" s="73"/>
      <c r="M5123" s="73"/>
      <c r="N5123" s="73"/>
      <c r="O5123" s="73"/>
      <c r="P5123" s="73"/>
      <c r="Q5123" s="73"/>
      <c r="R5123" s="73"/>
      <c r="S5123" s="73"/>
      <c r="T5123" s="73"/>
      <c r="U5123" s="73"/>
      <c r="V5123" s="73"/>
      <c r="W5123" s="73"/>
      <c r="X5123" s="73"/>
      <c r="Y5123" s="73"/>
      <c r="Z5123" s="73"/>
      <c r="AA5123" s="73"/>
      <c r="AB5123" s="73"/>
    </row>
    <row r="5124">
      <c r="A5124" s="73"/>
      <c r="B5124" s="73">
        <v>3.291287967E7</v>
      </c>
      <c r="C5124" s="73">
        <v>1.17004253164414E9</v>
      </c>
      <c r="D5124" s="73">
        <v>7.56313800005611E8</v>
      </c>
      <c r="E5124" s="73"/>
      <c r="F5124" s="73"/>
      <c r="G5124" s="73"/>
      <c r="H5124" s="73"/>
      <c r="I5124" s="73"/>
      <c r="J5124" s="73"/>
      <c r="K5124" s="73"/>
      <c r="L5124" s="73"/>
      <c r="M5124" s="73"/>
      <c r="N5124" s="73"/>
      <c r="O5124" s="73"/>
      <c r="P5124" s="73"/>
      <c r="Q5124" s="73"/>
      <c r="R5124" s="73"/>
      <c r="S5124" s="73"/>
      <c r="T5124" s="73"/>
      <c r="U5124" s="73"/>
      <c r="V5124" s="73"/>
      <c r="W5124" s="73"/>
      <c r="X5124" s="73"/>
      <c r="Y5124" s="73"/>
      <c r="Z5124" s="73"/>
      <c r="AA5124" s="73"/>
      <c r="AB5124" s="73"/>
    </row>
    <row r="5125">
      <c r="A5125" s="73"/>
      <c r="B5125" s="73">
        <v>3.29459325E7</v>
      </c>
      <c r="C5125" s="73">
        <v>1.17242010468975E9</v>
      </c>
      <c r="D5125" s="73">
        <v>7.585949335708E8</v>
      </c>
      <c r="E5125" s="73"/>
      <c r="F5125" s="73"/>
      <c r="G5125" s="73"/>
      <c r="H5125" s="73"/>
      <c r="I5125" s="73"/>
      <c r="J5125" s="73"/>
      <c r="K5125" s="73"/>
      <c r="L5125" s="73"/>
      <c r="M5125" s="73"/>
      <c r="N5125" s="73"/>
      <c r="O5125" s="73"/>
      <c r="P5125" s="73"/>
      <c r="Q5125" s="73"/>
      <c r="R5125" s="73"/>
      <c r="S5125" s="73"/>
      <c r="T5125" s="73"/>
      <c r="U5125" s="73"/>
      <c r="V5125" s="73"/>
      <c r="W5125" s="73"/>
      <c r="X5125" s="73"/>
      <c r="Y5125" s="73"/>
      <c r="Z5125" s="73"/>
      <c r="AA5125" s="73"/>
      <c r="AB5125" s="73"/>
    </row>
    <row r="5126">
      <c r="A5126" s="73"/>
      <c r="B5126" s="73">
        <v>3.297900911E7</v>
      </c>
      <c r="C5126" s="73">
        <v>1.17480241839481E9</v>
      </c>
      <c r="D5126" s="73">
        <v>7.6088284483085E8</v>
      </c>
      <c r="E5126" s="73"/>
      <c r="F5126" s="73"/>
      <c r="G5126" s="73"/>
      <c r="H5126" s="73"/>
      <c r="I5126" s="73"/>
      <c r="J5126" s="73"/>
      <c r="K5126" s="73"/>
      <c r="L5126" s="73"/>
      <c r="M5126" s="73"/>
      <c r="N5126" s="73"/>
      <c r="O5126" s="73"/>
      <c r="P5126" s="73"/>
      <c r="Q5126" s="73"/>
      <c r="R5126" s="73"/>
      <c r="S5126" s="73"/>
      <c r="T5126" s="73"/>
      <c r="U5126" s="73"/>
      <c r="V5126" s="73"/>
      <c r="W5126" s="73"/>
      <c r="X5126" s="73"/>
      <c r="Y5126" s="73"/>
      <c r="Z5126" s="73"/>
      <c r="AA5126" s="73"/>
      <c r="AB5126" s="73"/>
    </row>
    <row r="5127">
      <c r="A5127" s="73"/>
      <c r="B5127" s="73">
        <v>3.301210701E7</v>
      </c>
      <c r="C5127" s="73">
        <v>1.17718943560929E9</v>
      </c>
      <c r="D5127" s="73">
        <v>7.63177598365276E8</v>
      </c>
      <c r="E5127" s="73"/>
      <c r="F5127" s="73"/>
      <c r="G5127" s="73"/>
      <c r="H5127" s="73"/>
      <c r="I5127" s="73"/>
      <c r="J5127" s="73"/>
      <c r="K5127" s="73"/>
      <c r="L5127" s="73"/>
      <c r="M5127" s="73"/>
      <c r="N5127" s="73"/>
      <c r="O5127" s="73"/>
      <c r="P5127" s="73"/>
      <c r="Q5127" s="73"/>
      <c r="R5127" s="73"/>
      <c r="S5127" s="73"/>
      <c r="T5127" s="73"/>
      <c r="U5127" s="73"/>
      <c r="V5127" s="73"/>
      <c r="W5127" s="73"/>
      <c r="X5127" s="73"/>
      <c r="Y5127" s="73"/>
      <c r="Z5127" s="73"/>
      <c r="AA5127" s="73"/>
      <c r="AB5127" s="73"/>
    </row>
    <row r="5128">
      <c r="A5128" s="73"/>
      <c r="B5128" s="73">
        <v>3.304522873E7</v>
      </c>
      <c r="C5128" s="73">
        <v>1.17958108168608E9</v>
      </c>
      <c r="D5128" s="73">
        <v>7.65479215903808E8</v>
      </c>
      <c r="E5128" s="73"/>
      <c r="F5128" s="73"/>
      <c r="G5128" s="73"/>
      <c r="H5128" s="73"/>
      <c r="I5128" s="73"/>
      <c r="J5128" s="73"/>
      <c r="K5128" s="73"/>
      <c r="L5128" s="73"/>
      <c r="M5128" s="73"/>
      <c r="N5128" s="73"/>
      <c r="O5128" s="73"/>
      <c r="P5128" s="73"/>
      <c r="Q5128" s="73"/>
      <c r="R5128" s="73"/>
      <c r="S5128" s="73"/>
      <c r="T5128" s="73"/>
      <c r="U5128" s="73"/>
      <c r="V5128" s="73"/>
      <c r="W5128" s="73"/>
      <c r="X5128" s="73"/>
      <c r="Y5128" s="73"/>
      <c r="Z5128" s="73"/>
      <c r="AA5128" s="73"/>
      <c r="AB5128" s="73"/>
    </row>
    <row r="5129">
      <c r="A5129" s="73"/>
      <c r="B5129" s="73">
        <v>3.307837238E7</v>
      </c>
      <c r="C5129" s="73">
        <v>1.18197768021408E9</v>
      </c>
      <c r="D5129" s="73">
        <v>7.67787627332502E8</v>
      </c>
      <c r="E5129" s="73"/>
      <c r="F5129" s="73"/>
      <c r="G5129" s="73"/>
      <c r="H5129" s="73"/>
      <c r="I5129" s="73"/>
      <c r="J5129" s="73"/>
      <c r="K5129" s="73"/>
      <c r="L5129" s="73"/>
      <c r="M5129" s="73"/>
      <c r="N5129" s="73"/>
      <c r="O5129" s="73"/>
      <c r="P5129" s="73"/>
      <c r="Q5129" s="73"/>
      <c r="R5129" s="73"/>
      <c r="S5129" s="73"/>
      <c r="T5129" s="73"/>
      <c r="U5129" s="73"/>
      <c r="V5129" s="73"/>
      <c r="W5129" s="73"/>
      <c r="X5129" s="73"/>
      <c r="Y5129" s="73"/>
      <c r="Z5129" s="73"/>
      <c r="AA5129" s="73"/>
      <c r="AB5129" s="73"/>
    </row>
    <row r="5130">
      <c r="A5130" s="73"/>
      <c r="B5130" s="73">
        <v>3.311153945E7</v>
      </c>
      <c r="C5130" s="73">
        <v>1.18437880126086E9</v>
      </c>
      <c r="D5130" s="73">
        <v>7.70102921242284E8</v>
      </c>
      <c r="E5130" s="73"/>
      <c r="F5130" s="73"/>
      <c r="G5130" s="73"/>
      <c r="H5130" s="73"/>
      <c r="I5130" s="73"/>
      <c r="J5130" s="73"/>
      <c r="K5130" s="73"/>
      <c r="L5130" s="73"/>
      <c r="M5130" s="73"/>
      <c r="N5130" s="73"/>
      <c r="O5130" s="73"/>
      <c r="P5130" s="73"/>
      <c r="Q5130" s="73"/>
      <c r="R5130" s="73"/>
      <c r="S5130" s="73"/>
      <c r="T5130" s="73"/>
      <c r="U5130" s="73"/>
      <c r="V5130" s="73"/>
      <c r="W5130" s="73"/>
      <c r="X5130" s="73"/>
      <c r="Y5130" s="73"/>
      <c r="Z5130" s="73"/>
      <c r="AA5130" s="73"/>
      <c r="AB5130" s="73"/>
    </row>
    <row r="5131">
      <c r="A5131" s="73"/>
      <c r="B5131" s="73">
        <v>3.314472868E7</v>
      </c>
      <c r="C5131" s="73">
        <v>1.1867849224154E9</v>
      </c>
      <c r="D5131" s="73">
        <v>7.72425040721923E8</v>
      </c>
      <c r="E5131" s="73"/>
      <c r="F5131" s="73"/>
      <c r="G5131" s="73"/>
      <c r="H5131" s="73"/>
      <c r="I5131" s="73"/>
      <c r="J5131" s="73"/>
      <c r="K5131" s="73"/>
      <c r="L5131" s="73"/>
      <c r="M5131" s="73"/>
      <c r="N5131" s="73"/>
      <c r="O5131" s="73"/>
      <c r="P5131" s="73"/>
      <c r="Q5131" s="73"/>
      <c r="R5131" s="73"/>
      <c r="S5131" s="73"/>
      <c r="T5131" s="73"/>
      <c r="U5131" s="73"/>
      <c r="V5131" s="73"/>
      <c r="W5131" s="73"/>
      <c r="X5131" s="73"/>
      <c r="Y5131" s="73"/>
      <c r="Z5131" s="73"/>
      <c r="AA5131" s="73"/>
      <c r="AB5131" s="73"/>
    </row>
    <row r="5132">
      <c r="A5132" s="73"/>
      <c r="B5132" s="73">
        <v>3.317794018E7</v>
      </c>
      <c r="C5132" s="73">
        <v>1.1891954958322E9</v>
      </c>
      <c r="D5132" s="73">
        <v>7.74754061392259E8</v>
      </c>
      <c r="E5132" s="73"/>
      <c r="F5132" s="73"/>
      <c r="G5132" s="73"/>
      <c r="H5132" s="73"/>
      <c r="I5132" s="73"/>
      <c r="J5132" s="73"/>
      <c r="K5132" s="73"/>
      <c r="L5132" s="73"/>
      <c r="M5132" s="73"/>
      <c r="N5132" s="73"/>
      <c r="O5132" s="73"/>
      <c r="P5132" s="73"/>
      <c r="Q5132" s="73"/>
      <c r="R5132" s="73"/>
      <c r="S5132" s="73"/>
      <c r="T5132" s="73"/>
      <c r="U5132" s="73"/>
      <c r="V5132" s="73"/>
      <c r="W5132" s="73"/>
      <c r="X5132" s="73"/>
      <c r="Y5132" s="73"/>
      <c r="Z5132" s="73"/>
      <c r="AA5132" s="73"/>
      <c r="AB5132" s="73"/>
    </row>
    <row r="5133">
      <c r="A5133" s="73"/>
      <c r="B5133" s="73">
        <v>3.321117548E7</v>
      </c>
      <c r="C5133" s="73">
        <v>1.19161104342865E9</v>
      </c>
      <c r="D5133" s="73">
        <v>7.77089981164999E8</v>
      </c>
      <c r="E5133" s="73"/>
      <c r="F5133" s="73"/>
      <c r="G5133" s="73"/>
      <c r="H5133" s="73"/>
      <c r="I5133" s="73"/>
      <c r="J5133" s="73"/>
      <c r="K5133" s="73"/>
      <c r="L5133" s="73"/>
      <c r="M5133" s="73"/>
      <c r="N5133" s="73"/>
      <c r="O5133" s="73"/>
      <c r="P5133" s="73"/>
      <c r="Q5133" s="73"/>
      <c r="R5133" s="73"/>
      <c r="S5133" s="73"/>
      <c r="T5133" s="73"/>
      <c r="U5133" s="73"/>
      <c r="V5133" s="73"/>
      <c r="W5133" s="73"/>
      <c r="X5133" s="73"/>
      <c r="Y5133" s="73"/>
      <c r="Z5133" s="73"/>
      <c r="AA5133" s="73"/>
      <c r="AB5133" s="73"/>
    </row>
    <row r="5134">
      <c r="A5134" s="73"/>
      <c r="B5134" s="73">
        <v>3.324443293E7</v>
      </c>
      <c r="C5134" s="73">
        <v>1.19403133025047E9</v>
      </c>
      <c r="D5134" s="73">
        <v>7.79432889319075E8</v>
      </c>
      <c r="E5134" s="73"/>
      <c r="F5134" s="73"/>
      <c r="G5134" s="73"/>
      <c r="H5134" s="73"/>
      <c r="I5134" s="73"/>
      <c r="J5134" s="73"/>
      <c r="K5134" s="73"/>
      <c r="L5134" s="73"/>
      <c r="M5134" s="73"/>
      <c r="N5134" s="73"/>
      <c r="O5134" s="73"/>
      <c r="P5134" s="73"/>
      <c r="Q5134" s="73"/>
      <c r="R5134" s="73"/>
      <c r="S5134" s="73"/>
      <c r="T5134" s="73"/>
      <c r="U5134" s="73"/>
      <c r="V5134" s="73"/>
      <c r="W5134" s="73"/>
      <c r="X5134" s="73"/>
      <c r="Y5134" s="73"/>
      <c r="Z5134" s="73"/>
      <c r="AA5134" s="73"/>
      <c r="AB5134" s="73"/>
    </row>
    <row r="5135">
      <c r="A5135" s="73"/>
      <c r="B5135" s="73">
        <v>3.327771306E7</v>
      </c>
      <c r="C5135" s="73">
        <v>1.19645644175343E9</v>
      </c>
      <c r="D5135" s="73">
        <v>7.81782784445495E8</v>
      </c>
      <c r="E5135" s="73"/>
      <c r="F5135" s="73"/>
      <c r="G5135" s="73"/>
      <c r="H5135" s="73"/>
      <c r="I5135" s="73"/>
      <c r="J5135" s="73"/>
      <c r="K5135" s="73"/>
      <c r="L5135" s="73"/>
      <c r="M5135" s="73"/>
      <c r="N5135" s="73"/>
      <c r="O5135" s="73"/>
      <c r="P5135" s="73"/>
      <c r="Q5135" s="73"/>
      <c r="R5135" s="73"/>
      <c r="S5135" s="73"/>
      <c r="T5135" s="73"/>
      <c r="U5135" s="73"/>
      <c r="V5135" s="73"/>
      <c r="W5135" s="73"/>
      <c r="X5135" s="73"/>
      <c r="Y5135" s="73"/>
      <c r="Z5135" s="73"/>
      <c r="AA5135" s="73"/>
      <c r="AB5135" s="73"/>
    </row>
    <row r="5136">
      <c r="A5136" s="73"/>
      <c r="B5136" s="73">
        <v>3.331101613E7</v>
      </c>
      <c r="C5136" s="73">
        <v>1.19888622212808E9</v>
      </c>
      <c r="D5136" s="73">
        <v>7.84139619083907E8</v>
      </c>
      <c r="E5136" s="73"/>
      <c r="F5136" s="73"/>
      <c r="G5136" s="73"/>
      <c r="H5136" s="73"/>
      <c r="I5136" s="73"/>
      <c r="J5136" s="73"/>
      <c r="K5136" s="73"/>
      <c r="L5136" s="73"/>
      <c r="M5136" s="73"/>
      <c r="N5136" s="73"/>
      <c r="O5136" s="73"/>
      <c r="P5136" s="73"/>
      <c r="Q5136" s="73"/>
      <c r="R5136" s="73"/>
      <c r="S5136" s="73"/>
      <c r="T5136" s="73"/>
      <c r="U5136" s="73"/>
      <c r="V5136" s="73"/>
      <c r="W5136" s="73"/>
      <c r="X5136" s="73"/>
      <c r="Y5136" s="73"/>
      <c r="Z5136" s="73"/>
      <c r="AA5136" s="73"/>
      <c r="AB5136" s="73"/>
    </row>
    <row r="5137">
      <c r="A5137" s="73"/>
      <c r="B5137" s="73">
        <v>3.334434177E7</v>
      </c>
      <c r="C5137" s="73">
        <v>1.20132099882685E9</v>
      </c>
      <c r="D5137" s="73">
        <v>7.86503403523667E8</v>
      </c>
      <c r="E5137" s="73"/>
      <c r="F5137" s="73"/>
      <c r="G5137" s="73"/>
      <c r="H5137" s="73"/>
      <c r="I5137" s="73"/>
      <c r="J5137" s="73"/>
      <c r="K5137" s="73"/>
      <c r="L5137" s="73"/>
      <c r="M5137" s="73"/>
      <c r="N5137" s="73"/>
      <c r="O5137" s="73"/>
      <c r="P5137" s="73"/>
      <c r="Q5137" s="73"/>
      <c r="R5137" s="73"/>
      <c r="S5137" s="73"/>
      <c r="T5137" s="73"/>
      <c r="U5137" s="73"/>
      <c r="V5137" s="73"/>
      <c r="W5137" s="73"/>
      <c r="X5137" s="73"/>
      <c r="Y5137" s="73"/>
      <c r="Z5137" s="73"/>
      <c r="AA5137" s="73"/>
      <c r="AB5137" s="73"/>
    </row>
    <row r="5138">
      <c r="A5138" s="73"/>
      <c r="B5138" s="73">
        <v>3.337768979E7</v>
      </c>
      <c r="C5138" s="73">
        <v>1.20376053546282E9</v>
      </c>
      <c r="D5138" s="73">
        <v>7.88874271009256E8</v>
      </c>
      <c r="E5138" s="73"/>
      <c r="F5138" s="73"/>
      <c r="G5138" s="73"/>
      <c r="H5138" s="73"/>
      <c r="I5138" s="73"/>
      <c r="J5138" s="73"/>
      <c r="K5138" s="73"/>
      <c r="L5138" s="73"/>
      <c r="M5138" s="73"/>
      <c r="N5138" s="73"/>
      <c r="O5138" s="73"/>
      <c r="P5138" s="73"/>
      <c r="Q5138" s="73"/>
      <c r="R5138" s="73"/>
      <c r="S5138" s="73"/>
      <c r="T5138" s="73"/>
      <c r="U5138" s="73"/>
      <c r="V5138" s="73"/>
      <c r="W5138" s="73"/>
      <c r="X5138" s="73"/>
      <c r="Y5138" s="73"/>
      <c r="Z5138" s="73"/>
      <c r="AA5138" s="73"/>
      <c r="AB5138" s="73"/>
    </row>
    <row r="5139">
      <c r="A5139" s="73"/>
      <c r="B5139" s="73">
        <v>3.34110609E7</v>
      </c>
      <c r="C5139" s="73">
        <v>1.20620475609282E9</v>
      </c>
      <c r="D5139" s="73">
        <v>7.91252243015507E8</v>
      </c>
      <c r="E5139" s="73"/>
      <c r="F5139" s="73"/>
      <c r="G5139" s="73"/>
      <c r="H5139" s="73"/>
      <c r="I5139" s="73"/>
      <c r="J5139" s="73"/>
      <c r="K5139" s="73"/>
      <c r="L5139" s="73"/>
      <c r="M5139" s="73"/>
      <c r="N5139" s="73"/>
      <c r="O5139" s="73"/>
      <c r="P5139" s="73"/>
      <c r="Q5139" s="73"/>
      <c r="R5139" s="73"/>
      <c r="S5139" s="73"/>
      <c r="T5139" s="73"/>
      <c r="U5139" s="73"/>
      <c r="V5139" s="73"/>
      <c r="W5139" s="73"/>
      <c r="X5139" s="73"/>
      <c r="Y5139" s="73"/>
      <c r="Z5139" s="73"/>
      <c r="AA5139" s="73"/>
      <c r="AB5139" s="73"/>
    </row>
    <row r="5140">
      <c r="A5140" s="73"/>
      <c r="B5140" s="73">
        <v>3.344445503E7</v>
      </c>
      <c r="C5140" s="73">
        <v>1.20865382749412E9</v>
      </c>
      <c r="D5140" s="73">
        <v>7.93637125333511E8</v>
      </c>
      <c r="E5140" s="73"/>
      <c r="F5140" s="73"/>
      <c r="G5140" s="73"/>
      <c r="H5140" s="73"/>
      <c r="I5140" s="73"/>
      <c r="J5140" s="73"/>
      <c r="K5140" s="73"/>
      <c r="L5140" s="73"/>
      <c r="M5140" s="73"/>
      <c r="N5140" s="73"/>
      <c r="O5140" s="73"/>
      <c r="P5140" s="73"/>
      <c r="Q5140" s="73"/>
      <c r="R5140" s="73"/>
      <c r="S5140" s="73"/>
      <c r="T5140" s="73"/>
      <c r="U5140" s="73"/>
      <c r="V5140" s="73"/>
      <c r="W5140" s="73"/>
      <c r="X5140" s="73"/>
      <c r="Y5140" s="73"/>
      <c r="Z5140" s="73"/>
      <c r="AA5140" s="73"/>
      <c r="AB5140" s="73"/>
    </row>
    <row r="5141">
      <c r="A5141" s="73"/>
      <c r="B5141" s="73">
        <v>3.347787104E7</v>
      </c>
      <c r="C5141" s="73">
        <v>1.21110795345044E9</v>
      </c>
      <c r="D5141" s="73">
        <v>7.96029188526167E8</v>
      </c>
      <c r="E5141" s="73"/>
      <c r="F5141" s="73"/>
      <c r="G5141" s="73"/>
      <c r="H5141" s="73"/>
      <c r="I5141" s="73"/>
      <c r="J5141" s="73"/>
      <c r="K5141" s="73"/>
      <c r="L5141" s="73"/>
      <c r="M5141" s="73"/>
      <c r="N5141" s="73"/>
      <c r="O5141" s="73"/>
      <c r="P5141" s="73"/>
      <c r="Q5141" s="73"/>
      <c r="R5141" s="73"/>
      <c r="S5141" s="73"/>
      <c r="T5141" s="73"/>
      <c r="U5141" s="73"/>
      <c r="V5141" s="73"/>
      <c r="W5141" s="73"/>
      <c r="X5141" s="73"/>
      <c r="Y5141" s="73"/>
      <c r="Z5141" s="73"/>
      <c r="AA5141" s="73"/>
      <c r="AB5141" s="73"/>
    </row>
    <row r="5142">
      <c r="A5142" s="73"/>
      <c r="B5142" s="73">
        <v>3.351131016E7</v>
      </c>
      <c r="C5142" s="73">
        <v>1.21356694129296E9</v>
      </c>
      <c r="D5142" s="73">
        <v>7.98428442692574E8</v>
      </c>
      <c r="E5142" s="73"/>
      <c r="F5142" s="73"/>
      <c r="G5142" s="73"/>
      <c r="H5142" s="73"/>
      <c r="I5142" s="73"/>
      <c r="J5142" s="73"/>
      <c r="K5142" s="73"/>
      <c r="L5142" s="73"/>
      <c r="M5142" s="73"/>
      <c r="N5142" s="73"/>
      <c r="O5142" s="73"/>
      <c r="P5142" s="73"/>
      <c r="Q5142" s="73"/>
      <c r="R5142" s="73"/>
      <c r="S5142" s="73"/>
      <c r="T5142" s="73"/>
      <c r="U5142" s="73"/>
      <c r="V5142" s="73"/>
      <c r="W5142" s="73"/>
      <c r="X5142" s="73"/>
      <c r="Y5142" s="73"/>
      <c r="Z5142" s="73"/>
      <c r="AA5142" s="73"/>
      <c r="AB5142" s="73"/>
    </row>
    <row r="5143">
      <c r="A5143" s="73"/>
      <c r="B5143" s="73">
        <v>3.35447718E7</v>
      </c>
      <c r="C5143" s="73">
        <v>1.21603063353406E9</v>
      </c>
      <c r="D5143" s="73">
        <v>8.00834646992741E8</v>
      </c>
      <c r="E5143" s="73"/>
      <c r="F5143" s="73"/>
      <c r="G5143" s="73"/>
      <c r="H5143" s="73"/>
      <c r="I5143" s="73"/>
      <c r="J5143" s="73"/>
      <c r="K5143" s="73"/>
      <c r="L5143" s="73"/>
      <c r="M5143" s="73"/>
      <c r="N5143" s="73"/>
      <c r="O5143" s="73"/>
      <c r="P5143" s="73"/>
      <c r="Q5143" s="73"/>
      <c r="R5143" s="73"/>
      <c r="S5143" s="73"/>
      <c r="T5143" s="73"/>
      <c r="U5143" s="73"/>
      <c r="V5143" s="73"/>
      <c r="W5143" s="73"/>
      <c r="X5143" s="73"/>
      <c r="Y5143" s="73"/>
      <c r="Z5143" s="73"/>
      <c r="AA5143" s="73"/>
      <c r="AB5143" s="73"/>
    </row>
    <row r="5144">
      <c r="A5144" s="73"/>
      <c r="B5144" s="73">
        <v>3.357825763E7</v>
      </c>
      <c r="C5144" s="73">
        <v>1.2184993610452E9</v>
      </c>
      <c r="D5144" s="73">
        <v>8.03248129988193E8</v>
      </c>
      <c r="E5144" s="73"/>
      <c r="F5144" s="73"/>
      <c r="G5144" s="73"/>
      <c r="H5144" s="73"/>
      <c r="I5144" s="73"/>
      <c r="J5144" s="73"/>
      <c r="K5144" s="73"/>
      <c r="L5144" s="73"/>
      <c r="M5144" s="73"/>
      <c r="N5144" s="73"/>
      <c r="O5144" s="73"/>
      <c r="P5144" s="73"/>
      <c r="Q5144" s="73"/>
      <c r="R5144" s="73"/>
      <c r="S5144" s="73"/>
      <c r="T5144" s="73"/>
      <c r="U5144" s="73"/>
      <c r="V5144" s="73"/>
      <c r="W5144" s="73"/>
      <c r="X5144" s="73"/>
      <c r="Y5144" s="73"/>
      <c r="Z5144" s="73"/>
      <c r="AA5144" s="73"/>
      <c r="AB5144" s="73"/>
    </row>
    <row r="5145">
      <c r="A5145" s="73"/>
      <c r="B5145" s="73">
        <v>3.361176482E7</v>
      </c>
      <c r="C5145" s="73">
        <v>1.2209726398779E9</v>
      </c>
      <c r="D5145" s="73">
        <v>8.05668707516271E8</v>
      </c>
      <c r="E5145" s="73"/>
      <c r="F5145" s="73"/>
      <c r="G5145" s="73"/>
      <c r="H5145" s="73"/>
      <c r="I5145" s="73"/>
      <c r="J5145" s="73"/>
      <c r="K5145" s="73"/>
      <c r="L5145" s="73"/>
      <c r="M5145" s="73"/>
      <c r="N5145" s="73"/>
      <c r="O5145" s="73"/>
      <c r="P5145" s="73"/>
      <c r="Q5145" s="73"/>
      <c r="R5145" s="73"/>
      <c r="S5145" s="73"/>
      <c r="T5145" s="73"/>
      <c r="U5145" s="73"/>
      <c r="V5145" s="73"/>
      <c r="W5145" s="73"/>
      <c r="X5145" s="73"/>
      <c r="Y5145" s="73"/>
      <c r="Z5145" s="73"/>
      <c r="AA5145" s="73"/>
      <c r="AB5145" s="73"/>
    </row>
    <row r="5146">
      <c r="A5146" s="73"/>
      <c r="B5146" s="73">
        <v>3.364529527E7</v>
      </c>
      <c r="C5146" s="73">
        <v>1.22345116408597E9</v>
      </c>
      <c r="D5146" s="73">
        <v>8.08096516123427E8</v>
      </c>
      <c r="E5146" s="73"/>
      <c r="F5146" s="73"/>
      <c r="G5146" s="73"/>
      <c r="H5146" s="73"/>
      <c r="I5146" s="73"/>
      <c r="J5146" s="73"/>
      <c r="K5146" s="73"/>
      <c r="L5146" s="73"/>
      <c r="M5146" s="73"/>
      <c r="N5146" s="73"/>
      <c r="O5146" s="73"/>
      <c r="P5146" s="73"/>
      <c r="Q5146" s="73"/>
      <c r="R5146" s="73"/>
      <c r="S5146" s="73"/>
      <c r="T5146" s="73"/>
      <c r="U5146" s="73"/>
      <c r="V5146" s="73"/>
      <c r="W5146" s="73"/>
      <c r="X5146" s="73"/>
      <c r="Y5146" s="73"/>
      <c r="Z5146" s="73"/>
      <c r="AA5146" s="73"/>
      <c r="AB5146" s="73"/>
    </row>
    <row r="5147">
      <c r="A5147" s="73"/>
      <c r="B5147" s="73">
        <v>3.367884801E7</v>
      </c>
      <c r="C5147" s="73">
        <v>1.22593449506309E9</v>
      </c>
      <c r="D5147" s="73">
        <v>8.10531439347366E8</v>
      </c>
      <c r="E5147" s="73"/>
      <c r="F5147" s="73"/>
      <c r="G5147" s="73"/>
      <c r="H5147" s="73"/>
      <c r="I5147" s="73"/>
      <c r="J5147" s="73"/>
      <c r="K5147" s="73"/>
      <c r="L5147" s="73"/>
      <c r="M5147" s="73"/>
      <c r="N5147" s="73"/>
      <c r="O5147" s="73"/>
      <c r="P5147" s="73"/>
      <c r="Q5147" s="73"/>
      <c r="R5147" s="73"/>
      <c r="S5147" s="73"/>
      <c r="T5147" s="73"/>
      <c r="U5147" s="73"/>
      <c r="V5147" s="73"/>
      <c r="W5147" s="73"/>
      <c r="X5147" s="73"/>
      <c r="Y5147" s="73"/>
      <c r="Z5147" s="73"/>
      <c r="AA5147" s="73"/>
      <c r="AB5147" s="73"/>
    </row>
    <row r="5148">
      <c r="A5148" s="73"/>
      <c r="B5148" s="73">
        <v>3.371242389E7</v>
      </c>
      <c r="C5148" s="73">
        <v>1.22842267344664E9</v>
      </c>
      <c r="D5148" s="73">
        <v>8.12973691265472E8</v>
      </c>
      <c r="E5148" s="73"/>
      <c r="F5148" s="73"/>
      <c r="G5148" s="73"/>
      <c r="H5148" s="73"/>
      <c r="I5148" s="73"/>
      <c r="J5148" s="73"/>
      <c r="K5148" s="73"/>
      <c r="L5148" s="73"/>
      <c r="M5148" s="73"/>
      <c r="N5148" s="73"/>
      <c r="O5148" s="73"/>
      <c r="P5148" s="73"/>
      <c r="Q5148" s="73"/>
      <c r="R5148" s="73"/>
      <c r="S5148" s="73"/>
      <c r="T5148" s="73"/>
      <c r="U5148" s="73"/>
      <c r="V5148" s="73"/>
      <c r="W5148" s="73"/>
      <c r="X5148" s="73"/>
      <c r="Y5148" s="73"/>
      <c r="Z5148" s="73"/>
      <c r="AA5148" s="73"/>
      <c r="AB5148" s="73"/>
    </row>
    <row r="5149">
      <c r="A5149" s="73"/>
      <c r="B5149" s="73">
        <v>3.374602234E7</v>
      </c>
      <c r="C5149" s="73">
        <v>1.23091595058946E9</v>
      </c>
      <c r="D5149" s="73">
        <v>8.15423203901982E8</v>
      </c>
      <c r="E5149" s="73"/>
      <c r="F5149" s="73"/>
      <c r="G5149" s="73"/>
      <c r="H5149" s="73"/>
      <c r="I5149" s="73"/>
      <c r="J5149" s="73"/>
      <c r="K5149" s="73"/>
      <c r="L5149" s="73"/>
      <c r="M5149" s="73"/>
      <c r="N5149" s="73"/>
      <c r="O5149" s="73"/>
      <c r="P5149" s="73"/>
      <c r="Q5149" s="73"/>
      <c r="R5149" s="73"/>
      <c r="S5149" s="73"/>
      <c r="T5149" s="73"/>
      <c r="U5149" s="73"/>
      <c r="V5149" s="73"/>
      <c r="W5149" s="73"/>
      <c r="X5149" s="73"/>
      <c r="Y5149" s="73"/>
      <c r="Z5149" s="73"/>
      <c r="AA5149" s="73"/>
      <c r="AB5149" s="73"/>
    </row>
    <row r="5150">
      <c r="A5150" s="73"/>
      <c r="B5150" s="73">
        <v>3.377964317E7</v>
      </c>
      <c r="C5150" s="73">
        <v>1.23341385000804E9</v>
      </c>
      <c r="D5150" s="73">
        <v>8.17879929512314E8</v>
      </c>
      <c r="E5150" s="73"/>
      <c r="F5150" s="73"/>
      <c r="G5150" s="73"/>
      <c r="H5150" s="73"/>
      <c r="I5150" s="73"/>
      <c r="J5150" s="73"/>
      <c r="K5150" s="73"/>
      <c r="L5150" s="73"/>
      <c r="M5150" s="73"/>
      <c r="N5150" s="73"/>
      <c r="O5150" s="73"/>
      <c r="P5150" s="73"/>
      <c r="Q5150" s="73"/>
      <c r="R5150" s="73"/>
      <c r="S5150" s="73"/>
      <c r="T5150" s="73"/>
      <c r="U5150" s="73"/>
      <c r="V5150" s="73"/>
      <c r="W5150" s="73"/>
      <c r="X5150" s="73"/>
      <c r="Y5150" s="73"/>
      <c r="Z5150" s="73"/>
      <c r="AA5150" s="73"/>
      <c r="AB5150" s="73"/>
    </row>
    <row r="5151">
      <c r="A5151" s="73"/>
      <c r="B5151" s="73">
        <v>3.381328744E7</v>
      </c>
      <c r="C5151" s="73">
        <v>1.23591677669763E9</v>
      </c>
      <c r="D5151" s="73">
        <v>8.20343945898657E8</v>
      </c>
      <c r="E5151" s="73"/>
      <c r="F5151" s="73"/>
      <c r="G5151" s="73"/>
      <c r="H5151" s="73"/>
      <c r="I5151" s="73"/>
      <c r="J5151" s="73"/>
      <c r="K5151" s="73"/>
      <c r="L5151" s="73"/>
      <c r="M5151" s="73"/>
      <c r="N5151" s="73"/>
      <c r="O5151" s="73"/>
      <c r="P5151" s="73"/>
      <c r="Q5151" s="73"/>
      <c r="R5151" s="73"/>
      <c r="S5151" s="73"/>
      <c r="T5151" s="73"/>
      <c r="U5151" s="73"/>
      <c r="V5151" s="73"/>
      <c r="W5151" s="73"/>
      <c r="X5151" s="73"/>
      <c r="Y5151" s="73"/>
      <c r="Z5151" s="73"/>
      <c r="AA5151" s="73"/>
      <c r="AB5151" s="73"/>
    </row>
    <row r="5152">
      <c r="A5152" s="73"/>
      <c r="B5152" s="73">
        <v>3.384695402E7</v>
      </c>
      <c r="C5152" s="73">
        <v>1.23842490132949E9</v>
      </c>
      <c r="D5152" s="73">
        <v>8.22815321208722E8</v>
      </c>
      <c r="E5152" s="73"/>
      <c r="F5152" s="73"/>
      <c r="G5152" s="73"/>
      <c r="H5152" s="73"/>
      <c r="I5152" s="73"/>
      <c r="J5152" s="73"/>
      <c r="K5152" s="73"/>
      <c r="L5152" s="73"/>
      <c r="M5152" s="73"/>
      <c r="N5152" s="73"/>
      <c r="O5152" s="73"/>
      <c r="P5152" s="73"/>
      <c r="Q5152" s="73"/>
      <c r="R5152" s="73"/>
      <c r="S5152" s="73"/>
      <c r="T5152" s="73"/>
      <c r="U5152" s="73"/>
      <c r="V5152" s="73"/>
      <c r="W5152" s="73"/>
      <c r="X5152" s="73"/>
      <c r="Y5152" s="73"/>
      <c r="Z5152" s="73"/>
      <c r="AA5152" s="73"/>
      <c r="AB5152" s="73"/>
    </row>
    <row r="5153">
      <c r="A5153" s="73"/>
      <c r="B5153" s="73">
        <v>3.388064384E7</v>
      </c>
      <c r="C5153" s="73">
        <v>1.24093778162162E9</v>
      </c>
      <c r="D5153" s="73">
        <v>8.25294066203344E8</v>
      </c>
      <c r="E5153" s="73"/>
      <c r="F5153" s="73"/>
      <c r="G5153" s="73"/>
      <c r="H5153" s="73"/>
      <c r="I5153" s="73"/>
      <c r="J5153" s="73"/>
      <c r="K5153" s="73"/>
      <c r="L5153" s="73"/>
      <c r="M5153" s="73"/>
      <c r="N5153" s="73"/>
      <c r="O5153" s="73"/>
      <c r="P5153" s="73"/>
      <c r="Q5153" s="73"/>
      <c r="R5153" s="73"/>
      <c r="S5153" s="73"/>
      <c r="T5153" s="73"/>
      <c r="U5153" s="73"/>
      <c r="V5153" s="73"/>
      <c r="W5153" s="73"/>
      <c r="X5153" s="73"/>
      <c r="Y5153" s="73"/>
      <c r="Z5153" s="73"/>
      <c r="AA5153" s="73"/>
      <c r="AB5153" s="73"/>
    </row>
    <row r="5154">
      <c r="A5154" s="73"/>
      <c r="B5154" s="73">
        <v>3.391435601E7</v>
      </c>
      <c r="C5154" s="73">
        <v>1.24345570584853E9</v>
      </c>
      <c r="D5154" s="73">
        <v>8.27780073354519E8</v>
      </c>
      <c r="E5154" s="73"/>
      <c r="F5154" s="73"/>
      <c r="G5154" s="73"/>
      <c r="H5154" s="73"/>
      <c r="I5154" s="73"/>
      <c r="J5154" s="73"/>
      <c r="K5154" s="73"/>
      <c r="L5154" s="73"/>
      <c r="M5154" s="73"/>
      <c r="N5154" s="73"/>
      <c r="O5154" s="73"/>
      <c r="P5154" s="73"/>
      <c r="Q5154" s="73"/>
      <c r="R5154" s="73"/>
      <c r="S5154" s="73"/>
      <c r="T5154" s="73"/>
      <c r="U5154" s="73"/>
      <c r="V5154" s="73"/>
      <c r="W5154" s="73"/>
      <c r="X5154" s="73"/>
      <c r="Y5154" s="73"/>
      <c r="Z5154" s="73"/>
      <c r="AA5154" s="73"/>
      <c r="AB5154" s="73"/>
    </row>
    <row r="5155">
      <c r="A5155" s="73"/>
      <c r="B5155" s="73">
        <v>3.394809218E7</v>
      </c>
      <c r="C5155" s="73">
        <v>1.24597859670162E9</v>
      </c>
      <c r="D5155" s="73">
        <v>8.30273538937028E8</v>
      </c>
      <c r="E5155" s="73"/>
      <c r="F5155" s="73"/>
      <c r="G5155" s="73"/>
      <c r="H5155" s="73"/>
      <c r="I5155" s="73"/>
      <c r="J5155" s="73"/>
      <c r="K5155" s="73"/>
      <c r="L5155" s="73"/>
      <c r="M5155" s="73"/>
      <c r="N5155" s="73"/>
      <c r="O5155" s="73"/>
      <c r="P5155" s="73"/>
      <c r="Q5155" s="73"/>
      <c r="R5155" s="73"/>
      <c r="S5155" s="73"/>
      <c r="T5155" s="73"/>
      <c r="U5155" s="73"/>
      <c r="V5155" s="73"/>
      <c r="W5155" s="73"/>
      <c r="X5155" s="73"/>
      <c r="Y5155" s="73"/>
      <c r="Z5155" s="73"/>
      <c r="AA5155" s="73"/>
      <c r="AB5155" s="73"/>
    </row>
    <row r="5156">
      <c r="A5156" s="73"/>
      <c r="B5156" s="73">
        <v>3.398184909E7</v>
      </c>
      <c r="C5156" s="73">
        <v>1.24850650732992E9</v>
      </c>
      <c r="D5156" s="73">
        <v>8.32774336236112E8</v>
      </c>
      <c r="E5156" s="73"/>
      <c r="F5156" s="73"/>
      <c r="G5156" s="73"/>
      <c r="H5156" s="73"/>
      <c r="I5156" s="73"/>
      <c r="J5156" s="73"/>
      <c r="K5156" s="73"/>
      <c r="L5156" s="73"/>
      <c r="M5156" s="73"/>
      <c r="N5156" s="73"/>
      <c r="O5156" s="73"/>
      <c r="P5156" s="73"/>
      <c r="Q5156" s="73"/>
      <c r="R5156" s="73"/>
      <c r="S5156" s="73"/>
      <c r="T5156" s="73"/>
      <c r="U5156" s="73"/>
      <c r="V5156" s="73"/>
      <c r="W5156" s="73"/>
      <c r="X5156" s="73"/>
      <c r="Y5156" s="73"/>
      <c r="Z5156" s="73"/>
      <c r="AA5156" s="73"/>
      <c r="AB5156" s="73"/>
    </row>
    <row r="5157">
      <c r="A5157" s="73"/>
      <c r="B5157" s="73">
        <v>3.401562969E7</v>
      </c>
      <c r="C5157" s="73">
        <v>1.25103951364387E9</v>
      </c>
      <c r="D5157" s="73">
        <v>8.35282631363387E8</v>
      </c>
      <c r="E5157" s="73"/>
      <c r="F5157" s="73"/>
      <c r="G5157" s="73"/>
      <c r="H5157" s="73"/>
      <c r="I5157" s="73"/>
      <c r="J5157" s="73"/>
      <c r="K5157" s="73"/>
      <c r="L5157" s="73"/>
      <c r="M5157" s="73"/>
      <c r="N5157" s="73"/>
      <c r="O5157" s="73"/>
      <c r="P5157" s="73"/>
      <c r="Q5157" s="73"/>
      <c r="R5157" s="73"/>
      <c r="S5157" s="73"/>
      <c r="T5157" s="73"/>
      <c r="U5157" s="73"/>
      <c r="V5157" s="73"/>
      <c r="W5157" s="73"/>
      <c r="X5157" s="73"/>
      <c r="Y5157" s="73"/>
      <c r="Z5157" s="73"/>
      <c r="AA5157" s="73"/>
      <c r="AB5157" s="73"/>
    </row>
    <row r="5158">
      <c r="A5158" s="73"/>
      <c r="B5158" s="73">
        <v>3.404943415E7</v>
      </c>
      <c r="C5158" s="73">
        <v>1.25357734951389E9</v>
      </c>
      <c r="D5158" s="73">
        <v>8.37798277607342E8</v>
      </c>
      <c r="E5158" s="73"/>
      <c r="F5158" s="73"/>
      <c r="G5158" s="73"/>
      <c r="H5158" s="73"/>
      <c r="I5158" s="73"/>
      <c r="J5158" s="73"/>
      <c r="K5158" s="73"/>
      <c r="L5158" s="73"/>
      <c r="M5158" s="73"/>
      <c r="N5158" s="73"/>
      <c r="O5158" s="73"/>
      <c r="P5158" s="73"/>
      <c r="Q5158" s="73"/>
      <c r="R5158" s="73"/>
      <c r="S5158" s="73"/>
      <c r="T5158" s="73"/>
      <c r="U5158" s="73"/>
      <c r="V5158" s="73"/>
      <c r="W5158" s="73"/>
      <c r="X5158" s="73"/>
      <c r="Y5158" s="73"/>
      <c r="Z5158" s="73"/>
      <c r="AA5158" s="73"/>
      <c r="AB5158" s="73"/>
    </row>
    <row r="5159">
      <c r="A5159" s="73"/>
      <c r="B5159" s="73">
        <v>3.408326006E7</v>
      </c>
      <c r="C5159" s="73">
        <v>1.256120208389E9</v>
      </c>
      <c r="D5159" s="73">
        <v>8.40321493688778E8</v>
      </c>
      <c r="E5159" s="73"/>
      <c r="F5159" s="73"/>
      <c r="G5159" s="73"/>
      <c r="H5159" s="73"/>
      <c r="I5159" s="73"/>
      <c r="J5159" s="73"/>
      <c r="K5159" s="73"/>
      <c r="L5159" s="73"/>
      <c r="M5159" s="73"/>
      <c r="N5159" s="73"/>
      <c r="O5159" s="73"/>
      <c r="P5159" s="73"/>
      <c r="Q5159" s="73"/>
      <c r="R5159" s="73"/>
      <c r="S5159" s="73"/>
      <c r="T5159" s="73"/>
      <c r="U5159" s="73"/>
      <c r="V5159" s="73"/>
      <c r="W5159" s="73"/>
      <c r="X5159" s="73"/>
      <c r="Y5159" s="73"/>
      <c r="Z5159" s="73"/>
      <c r="AA5159" s="73"/>
      <c r="AB5159" s="73"/>
    </row>
    <row r="5160">
      <c r="A5160" s="73"/>
      <c r="B5160" s="73">
        <v>3.411711015E7</v>
      </c>
      <c r="C5160" s="73">
        <v>1.25866810911992E9</v>
      </c>
      <c r="D5160" s="73">
        <v>8.42852159411204E8</v>
      </c>
      <c r="E5160" s="73"/>
      <c r="F5160" s="73"/>
      <c r="G5160" s="73"/>
      <c r="H5160" s="73"/>
      <c r="I5160" s="73"/>
      <c r="J5160" s="73"/>
      <c r="K5160" s="73"/>
      <c r="L5160" s="73"/>
      <c r="M5160" s="73"/>
      <c r="N5160" s="73"/>
      <c r="O5160" s="73"/>
      <c r="P5160" s="73"/>
      <c r="Q5160" s="73"/>
      <c r="R5160" s="73"/>
      <c r="S5160" s="73"/>
      <c r="T5160" s="73"/>
      <c r="U5160" s="73"/>
      <c r="V5160" s="73"/>
      <c r="W5160" s="73"/>
      <c r="X5160" s="73"/>
      <c r="Y5160" s="73"/>
      <c r="Z5160" s="73"/>
      <c r="AA5160" s="73"/>
      <c r="AB5160" s="73"/>
    </row>
    <row r="5161">
      <c r="A5161" s="73"/>
      <c r="B5161" s="73">
        <v>3.415098124E7</v>
      </c>
      <c r="C5161" s="73">
        <v>1.26122121079105E9</v>
      </c>
      <c r="D5161" s="73">
        <v>8.45390354651169E8</v>
      </c>
      <c r="E5161" s="73"/>
      <c r="F5161" s="73"/>
      <c r="G5161" s="73"/>
      <c r="H5161" s="73"/>
      <c r="I5161" s="73"/>
      <c r="J5161" s="73"/>
      <c r="K5161" s="73"/>
      <c r="L5161" s="73"/>
      <c r="M5161" s="73"/>
      <c r="N5161" s="73"/>
      <c r="O5161" s="73"/>
      <c r="P5161" s="73"/>
      <c r="Q5161" s="73"/>
      <c r="R5161" s="73"/>
      <c r="S5161" s="73"/>
      <c r="T5161" s="73"/>
      <c r="U5161" s="73"/>
      <c r="V5161" s="73"/>
      <c r="W5161" s="73"/>
      <c r="X5161" s="73"/>
      <c r="Y5161" s="73"/>
      <c r="Z5161" s="73"/>
      <c r="AA5161" s="73"/>
      <c r="AB5161" s="73"/>
    </row>
    <row r="5162">
      <c r="A5162" s="73"/>
      <c r="B5162" s="73">
        <v>3.418487664E7</v>
      </c>
      <c r="C5162" s="73">
        <v>1.26377911458359E9</v>
      </c>
      <c r="D5162" s="73">
        <v>8.47936021189115E8</v>
      </c>
      <c r="E5162" s="73"/>
      <c r="F5162" s="73"/>
      <c r="G5162" s="73"/>
      <c r="H5162" s="73"/>
      <c r="I5162" s="73"/>
      <c r="J5162" s="73"/>
      <c r="K5162" s="73"/>
      <c r="L5162" s="73"/>
      <c r="M5162" s="73"/>
      <c r="N5162" s="73"/>
      <c r="O5162" s="73"/>
      <c r="P5162" s="73"/>
      <c r="Q5162" s="73"/>
      <c r="R5162" s="73"/>
      <c r="S5162" s="73"/>
      <c r="T5162" s="73"/>
      <c r="U5162" s="73"/>
      <c r="V5162" s="73"/>
      <c r="W5162" s="73"/>
      <c r="X5162" s="73"/>
      <c r="Y5162" s="73"/>
      <c r="Z5162" s="73"/>
      <c r="AA5162" s="73"/>
      <c r="AB5162" s="73"/>
    </row>
    <row r="5163">
      <c r="A5163" s="73"/>
      <c r="B5163" s="73">
        <v>3.421879416E7</v>
      </c>
      <c r="C5163" s="73">
        <v>1.26634219551153E9</v>
      </c>
      <c r="D5163" s="73">
        <v>8.50489289181299E8</v>
      </c>
      <c r="E5163" s="73"/>
      <c r="F5163" s="73"/>
      <c r="G5163" s="73"/>
      <c r="H5163" s="73"/>
      <c r="I5163" s="73"/>
      <c r="J5163" s="73"/>
      <c r="K5163" s="73"/>
      <c r="L5163" s="73"/>
      <c r="M5163" s="73"/>
      <c r="N5163" s="73"/>
      <c r="O5163" s="73"/>
      <c r="P5163" s="73"/>
      <c r="Q5163" s="73"/>
      <c r="R5163" s="73"/>
      <c r="S5163" s="73"/>
      <c r="T5163" s="73"/>
      <c r="U5163" s="73"/>
      <c r="V5163" s="73"/>
      <c r="W5163" s="73"/>
      <c r="X5163" s="73"/>
      <c r="Y5163" s="73"/>
      <c r="Z5163" s="73"/>
      <c r="AA5163" s="73"/>
      <c r="AB5163" s="73"/>
    </row>
    <row r="5164">
      <c r="A5164" s="73"/>
      <c r="B5164" s="73">
        <v>3.425273459E7</v>
      </c>
      <c r="C5164" s="73">
        <v>1.26891041016356E9</v>
      </c>
      <c r="D5164" s="73">
        <v>8.53050125935962E8</v>
      </c>
      <c r="E5164" s="73"/>
      <c r="F5164" s="73"/>
      <c r="G5164" s="73"/>
      <c r="H5164" s="73"/>
      <c r="I5164" s="73"/>
      <c r="J5164" s="73"/>
      <c r="K5164" s="73"/>
      <c r="L5164" s="73"/>
      <c r="M5164" s="73"/>
      <c r="N5164" s="73"/>
      <c r="O5164" s="73"/>
      <c r="P5164" s="73"/>
      <c r="Q5164" s="73"/>
      <c r="R5164" s="73"/>
      <c r="S5164" s="73"/>
      <c r="T5164" s="73"/>
      <c r="U5164" s="73"/>
      <c r="V5164" s="73"/>
      <c r="W5164" s="73"/>
      <c r="X5164" s="73"/>
      <c r="Y5164" s="73"/>
      <c r="Z5164" s="73"/>
      <c r="AA5164" s="73"/>
      <c r="AB5164" s="73"/>
    </row>
    <row r="5165">
      <c r="A5165" s="73"/>
      <c r="B5165" s="73">
        <v>3.428669802E7</v>
      </c>
      <c r="C5165" s="73">
        <v>1.27148369487584E9</v>
      </c>
      <c r="D5165" s="73">
        <v>8.55618593950186E8</v>
      </c>
      <c r="E5165" s="73"/>
      <c r="F5165" s="73"/>
      <c r="G5165" s="73"/>
      <c r="H5165" s="73"/>
      <c r="I5165" s="73"/>
      <c r="J5165" s="73"/>
      <c r="K5165" s="73"/>
      <c r="L5165" s="73"/>
      <c r="M5165" s="73"/>
      <c r="N5165" s="73"/>
      <c r="O5165" s="73"/>
      <c r="P5165" s="73"/>
      <c r="Q5165" s="73"/>
      <c r="R5165" s="73"/>
      <c r="S5165" s="73"/>
      <c r="T5165" s="73"/>
      <c r="U5165" s="73"/>
      <c r="V5165" s="73"/>
      <c r="W5165" s="73"/>
      <c r="X5165" s="73"/>
      <c r="Y5165" s="73"/>
      <c r="Z5165" s="73"/>
      <c r="AA5165" s="73"/>
      <c r="AB5165" s="73"/>
    </row>
    <row r="5166">
      <c r="A5166" s="73"/>
      <c r="B5166" s="73">
        <v>3.432068359E7</v>
      </c>
      <c r="C5166" s="73">
        <v>1.27406192138821E9</v>
      </c>
      <c r="D5166" s="73">
        <v>8.58194643664768E8</v>
      </c>
      <c r="E5166" s="73"/>
      <c r="F5166" s="73"/>
      <c r="G5166" s="73"/>
      <c r="H5166" s="73"/>
      <c r="I5166" s="73"/>
      <c r="J5166" s="73"/>
      <c r="K5166" s="73"/>
      <c r="L5166" s="73"/>
      <c r="M5166" s="73"/>
      <c r="N5166" s="73"/>
      <c r="O5166" s="73"/>
      <c r="P5166" s="73"/>
      <c r="Q5166" s="73"/>
      <c r="R5166" s="73"/>
      <c r="S5166" s="73"/>
      <c r="T5166" s="73"/>
      <c r="U5166" s="73"/>
      <c r="V5166" s="73"/>
      <c r="W5166" s="73"/>
      <c r="X5166" s="73"/>
      <c r="Y5166" s="73"/>
      <c r="Z5166" s="73"/>
      <c r="AA5166" s="73"/>
      <c r="AB5166" s="73"/>
    </row>
    <row r="5167">
      <c r="A5167" s="73"/>
      <c r="B5167" s="73">
        <v>3.435469297E7</v>
      </c>
      <c r="C5167" s="73">
        <v>1.2766453822585E9</v>
      </c>
      <c r="D5167" s="73">
        <v>8.60778345285078E8</v>
      </c>
      <c r="E5167" s="73"/>
      <c r="F5167" s="73"/>
      <c r="G5167" s="73"/>
      <c r="H5167" s="73"/>
      <c r="I5167" s="73"/>
      <c r="J5167" s="73"/>
      <c r="K5167" s="73"/>
      <c r="L5167" s="73"/>
      <c r="M5167" s="73"/>
      <c r="N5167" s="73"/>
      <c r="O5167" s="73"/>
      <c r="P5167" s="73"/>
      <c r="Q5167" s="73"/>
      <c r="R5167" s="73"/>
      <c r="S5167" s="73"/>
      <c r="T5167" s="73"/>
      <c r="U5167" s="73"/>
      <c r="V5167" s="73"/>
      <c r="W5167" s="73"/>
      <c r="X5167" s="73"/>
      <c r="Y5167" s="73"/>
      <c r="Z5167" s="73"/>
      <c r="AA5167" s="73"/>
      <c r="AB5167" s="73"/>
    </row>
    <row r="5168">
      <c r="A5168" s="73"/>
      <c r="B5168" s="73">
        <v>3.438872469E7</v>
      </c>
      <c r="C5168" s="73">
        <v>1.27923396441319E9</v>
      </c>
      <c r="D5168" s="73">
        <v>8.63369656700593E8</v>
      </c>
      <c r="E5168" s="73"/>
      <c r="F5168" s="73"/>
      <c r="G5168" s="73"/>
      <c r="H5168" s="73"/>
      <c r="I5168" s="73"/>
      <c r="J5168" s="73"/>
      <c r="K5168" s="73"/>
      <c r="L5168" s="73"/>
      <c r="M5168" s="73"/>
      <c r="N5168" s="73"/>
      <c r="O5168" s="73"/>
      <c r="P5168" s="73"/>
      <c r="Q5168" s="73"/>
      <c r="R5168" s="73"/>
      <c r="S5168" s="73"/>
      <c r="T5168" s="73"/>
      <c r="U5168" s="73"/>
      <c r="V5168" s="73"/>
      <c r="W5168" s="73"/>
      <c r="X5168" s="73"/>
      <c r="Y5168" s="73"/>
      <c r="Z5168" s="73"/>
      <c r="AA5168" s="73"/>
      <c r="AB5168" s="73"/>
    </row>
    <row r="5169">
      <c r="A5169" s="73"/>
      <c r="B5169" s="73">
        <v>3.44227795E7</v>
      </c>
      <c r="C5169" s="73">
        <v>1.2818276392013E9</v>
      </c>
      <c r="D5169" s="73">
        <v>8.6596877216387E8</v>
      </c>
      <c r="E5169" s="73"/>
      <c r="F5169" s="73"/>
      <c r="G5169" s="73"/>
      <c r="H5169" s="73"/>
      <c r="I5169" s="73"/>
      <c r="J5169" s="73"/>
      <c r="K5169" s="73"/>
      <c r="L5169" s="73"/>
      <c r="M5169" s="73"/>
      <c r="N5169" s="73"/>
      <c r="O5169" s="73"/>
      <c r="P5169" s="73"/>
      <c r="Q5169" s="73"/>
      <c r="R5169" s="73"/>
      <c r="S5169" s="73"/>
      <c r="T5169" s="73"/>
      <c r="U5169" s="73"/>
      <c r="V5169" s="73"/>
      <c r="W5169" s="73"/>
      <c r="X5169" s="73"/>
      <c r="Y5169" s="73"/>
      <c r="Z5169" s="73"/>
      <c r="AA5169" s="73"/>
      <c r="AB5169" s="73"/>
    </row>
    <row r="5170">
      <c r="A5170" s="73"/>
      <c r="B5170" s="73">
        <v>3.445685697E7</v>
      </c>
      <c r="C5170" s="73">
        <v>1.28442631134149E9</v>
      </c>
      <c r="D5170" s="73">
        <v>8.68575518681967E8</v>
      </c>
      <c r="E5170" s="73"/>
      <c r="F5170" s="73"/>
      <c r="G5170" s="73"/>
      <c r="H5170" s="73"/>
      <c r="I5170" s="73"/>
      <c r="J5170" s="73"/>
      <c r="K5170" s="73"/>
      <c r="L5170" s="73"/>
      <c r="M5170" s="73"/>
      <c r="N5170" s="73"/>
      <c r="O5170" s="73"/>
      <c r="P5170" s="73"/>
      <c r="Q5170" s="73"/>
      <c r="R5170" s="73"/>
      <c r="S5170" s="73"/>
      <c r="T5170" s="73"/>
      <c r="U5170" s="73"/>
      <c r="V5170" s="73"/>
      <c r="W5170" s="73"/>
      <c r="X5170" s="73"/>
      <c r="Y5170" s="73"/>
      <c r="Z5170" s="73"/>
      <c r="AA5170" s="73"/>
      <c r="AB5170" s="73"/>
    </row>
    <row r="5171">
      <c r="A5171" s="73"/>
      <c r="B5171" s="73">
        <v>3.449095828E7</v>
      </c>
      <c r="C5171" s="73">
        <v>1.28703041015037E9</v>
      </c>
      <c r="D5171" s="73">
        <v>8.7119009054416E8</v>
      </c>
      <c r="E5171" s="73"/>
      <c r="F5171" s="73"/>
      <c r="G5171" s="73"/>
      <c r="H5171" s="73"/>
      <c r="I5171" s="73"/>
      <c r="J5171" s="73"/>
      <c r="K5171" s="73"/>
      <c r="L5171" s="73"/>
      <c r="M5171" s="73"/>
      <c r="N5171" s="73"/>
      <c r="O5171" s="73"/>
      <c r="P5171" s="73"/>
      <c r="Q5171" s="73"/>
      <c r="R5171" s="73"/>
      <c r="S5171" s="73"/>
      <c r="T5171" s="73"/>
      <c r="U5171" s="73"/>
      <c r="V5171" s="73"/>
      <c r="W5171" s="73"/>
      <c r="X5171" s="73"/>
      <c r="Y5171" s="73"/>
      <c r="Z5171" s="73"/>
      <c r="AA5171" s="73"/>
      <c r="AB5171" s="73"/>
    </row>
    <row r="5172">
      <c r="A5172" s="73"/>
      <c r="B5172" s="73">
        <v>3.452508118E7</v>
      </c>
      <c r="C5172" s="73">
        <v>1.28963927866933E9</v>
      </c>
      <c r="D5172" s="73">
        <v>8.73812313886732E8</v>
      </c>
      <c r="E5172" s="73"/>
      <c r="F5172" s="73"/>
      <c r="G5172" s="73"/>
      <c r="H5172" s="73"/>
      <c r="I5172" s="73"/>
      <c r="J5172" s="73"/>
      <c r="K5172" s="73"/>
      <c r="L5172" s="73"/>
      <c r="M5172" s="73"/>
      <c r="N5172" s="73"/>
      <c r="O5172" s="73"/>
      <c r="P5172" s="73"/>
      <c r="Q5172" s="73"/>
      <c r="R5172" s="73"/>
      <c r="S5172" s="73"/>
      <c r="T5172" s="73"/>
      <c r="U5172" s="73"/>
      <c r="V5172" s="73"/>
      <c r="W5172" s="73"/>
      <c r="X5172" s="73"/>
      <c r="Y5172" s="73"/>
      <c r="Z5172" s="73"/>
      <c r="AA5172" s="73"/>
      <c r="AB5172" s="73"/>
    </row>
    <row r="5173">
      <c r="A5173" s="73"/>
      <c r="B5173" s="73">
        <v>3.455922728E7</v>
      </c>
      <c r="C5173" s="73">
        <v>1.29225358555375E9</v>
      </c>
      <c r="D5173" s="73">
        <v>8.76442323047163E8</v>
      </c>
      <c r="E5173" s="73"/>
      <c r="F5173" s="73"/>
      <c r="G5173" s="73"/>
      <c r="H5173" s="73"/>
      <c r="I5173" s="73"/>
      <c r="J5173" s="73"/>
      <c r="K5173" s="73"/>
      <c r="L5173" s="73"/>
      <c r="M5173" s="73"/>
      <c r="N5173" s="73"/>
      <c r="O5173" s="73"/>
      <c r="P5173" s="73"/>
      <c r="Q5173" s="73"/>
      <c r="R5173" s="73"/>
      <c r="S5173" s="73"/>
      <c r="T5173" s="73"/>
      <c r="U5173" s="73"/>
      <c r="V5173" s="73"/>
      <c r="W5173" s="73"/>
      <c r="X5173" s="73"/>
      <c r="Y5173" s="73"/>
      <c r="Z5173" s="73"/>
      <c r="AA5173" s="73"/>
      <c r="AB5173" s="73"/>
    </row>
    <row r="5174">
      <c r="A5174" s="73"/>
      <c r="B5174" s="73">
        <v>3.459339629E7</v>
      </c>
      <c r="C5174" s="73">
        <v>1.29487296222033E9</v>
      </c>
      <c r="D5174" s="73">
        <v>8.79080135959105E8</v>
      </c>
      <c r="E5174" s="73"/>
      <c r="F5174" s="73"/>
      <c r="G5174" s="73"/>
      <c r="H5174" s="73"/>
      <c r="I5174" s="73"/>
      <c r="J5174" s="73"/>
      <c r="K5174" s="73"/>
      <c r="L5174" s="73"/>
      <c r="M5174" s="73"/>
      <c r="N5174" s="73"/>
      <c r="O5174" s="73"/>
      <c r="P5174" s="73"/>
      <c r="Q5174" s="73"/>
      <c r="R5174" s="73"/>
      <c r="S5174" s="73"/>
      <c r="T5174" s="73"/>
      <c r="U5174" s="73"/>
      <c r="V5174" s="73"/>
      <c r="W5174" s="73"/>
      <c r="X5174" s="73"/>
      <c r="Y5174" s="73"/>
      <c r="Z5174" s="73"/>
      <c r="AA5174" s="73"/>
      <c r="AB5174" s="73"/>
    </row>
    <row r="5175">
      <c r="A5175" s="73"/>
      <c r="B5175" s="73">
        <v>3.462758858E7</v>
      </c>
      <c r="C5175" s="73">
        <v>1.29749761873092E9</v>
      </c>
      <c r="D5175" s="73">
        <v>8.81725894689184E8</v>
      </c>
      <c r="E5175" s="73"/>
      <c r="F5175" s="73"/>
      <c r="G5175" s="73"/>
      <c r="H5175" s="73"/>
      <c r="I5175" s="73"/>
      <c r="J5175" s="73"/>
      <c r="K5175" s="73"/>
      <c r="L5175" s="73"/>
      <c r="M5175" s="73"/>
      <c r="N5175" s="73"/>
      <c r="O5175" s="73"/>
      <c r="P5175" s="73"/>
      <c r="Q5175" s="73"/>
      <c r="R5175" s="73"/>
      <c r="S5175" s="73"/>
      <c r="T5175" s="73"/>
      <c r="U5175" s="73"/>
      <c r="V5175" s="73"/>
      <c r="W5175" s="73"/>
      <c r="X5175" s="73"/>
      <c r="Y5175" s="73"/>
      <c r="Z5175" s="73"/>
      <c r="AA5175" s="73"/>
      <c r="AB5175" s="73"/>
    </row>
    <row r="5176">
      <c r="A5176" s="73"/>
      <c r="B5176" s="73">
        <v>3.466180285E7</v>
      </c>
      <c r="C5176" s="73">
        <v>1.30012727041187E9</v>
      </c>
      <c r="D5176" s="73">
        <v>8.84379346213412E8</v>
      </c>
      <c r="E5176" s="73"/>
      <c r="F5176" s="73"/>
      <c r="G5176" s="73"/>
      <c r="H5176" s="73"/>
      <c r="I5176" s="73"/>
      <c r="J5176" s="73"/>
      <c r="K5176" s="73"/>
      <c r="L5176" s="73"/>
      <c r="M5176" s="73"/>
      <c r="N5176" s="73"/>
      <c r="O5176" s="73"/>
      <c r="P5176" s="73"/>
      <c r="Q5176" s="73"/>
      <c r="R5176" s="73"/>
      <c r="S5176" s="73"/>
      <c r="T5176" s="73"/>
      <c r="U5176" s="73"/>
      <c r="V5176" s="73"/>
      <c r="W5176" s="73"/>
      <c r="X5176" s="73"/>
      <c r="Y5176" s="73"/>
      <c r="Z5176" s="73"/>
      <c r="AA5176" s="73"/>
      <c r="AB5176" s="73"/>
    </row>
    <row r="5177">
      <c r="A5177" s="73"/>
      <c r="B5177" s="73">
        <v>3.469604009E7</v>
      </c>
      <c r="C5177" s="73">
        <v>1.30276226493039E9</v>
      </c>
      <c r="D5177" s="73">
        <v>8.87040689709509E8</v>
      </c>
      <c r="E5177" s="73"/>
      <c r="F5177" s="73"/>
      <c r="G5177" s="73"/>
      <c r="H5177" s="73"/>
      <c r="I5177" s="73"/>
      <c r="J5177" s="73"/>
      <c r="K5177" s="73"/>
      <c r="L5177" s="73"/>
      <c r="M5177" s="73"/>
      <c r="N5177" s="73"/>
      <c r="O5177" s="73"/>
      <c r="P5177" s="73"/>
      <c r="Q5177" s="73"/>
      <c r="R5177" s="73"/>
      <c r="S5177" s="73"/>
      <c r="T5177" s="73"/>
      <c r="U5177" s="73"/>
      <c r="V5177" s="73"/>
      <c r="W5177" s="73"/>
      <c r="X5177" s="73"/>
      <c r="Y5177" s="73"/>
      <c r="Z5177" s="73"/>
      <c r="AA5177" s="73"/>
      <c r="AB5177" s="73"/>
    </row>
    <row r="5178">
      <c r="A5178" s="73"/>
      <c r="B5178" s="73">
        <v>3.473030199E7</v>
      </c>
      <c r="C5178" s="73">
        <v>1.30540238498805E9</v>
      </c>
      <c r="D5178" s="73">
        <v>8.89710018060704E8</v>
      </c>
      <c r="E5178" s="73"/>
      <c r="F5178" s="73"/>
      <c r="G5178" s="73"/>
      <c r="H5178" s="73"/>
      <c r="I5178" s="73"/>
      <c r="J5178" s="73"/>
      <c r="K5178" s="73"/>
      <c r="L5178" s="73"/>
      <c r="M5178" s="73"/>
      <c r="N5178" s="73"/>
      <c r="O5178" s="73"/>
      <c r="P5178" s="73"/>
      <c r="Q5178" s="73"/>
      <c r="R5178" s="73"/>
      <c r="S5178" s="73"/>
      <c r="T5178" s="73"/>
      <c r="U5178" s="73"/>
      <c r="V5178" s="73"/>
      <c r="W5178" s="73"/>
      <c r="X5178" s="73"/>
      <c r="Y5178" s="73"/>
      <c r="Z5178" s="73"/>
      <c r="AA5178" s="73"/>
      <c r="AB5178" s="73"/>
    </row>
    <row r="5179">
      <c r="A5179" s="73"/>
      <c r="B5179" s="73">
        <v>3.476458446E7</v>
      </c>
      <c r="C5179" s="73">
        <v>1.30804768798241E9</v>
      </c>
      <c r="D5179" s="73">
        <v>8.92387203855805E8</v>
      </c>
      <c r="E5179" s="73"/>
      <c r="F5179" s="73"/>
      <c r="G5179" s="73"/>
      <c r="H5179" s="73"/>
      <c r="I5179" s="73"/>
      <c r="J5179" s="73"/>
      <c r="K5179" s="73"/>
      <c r="L5179" s="73"/>
      <c r="M5179" s="73"/>
      <c r="N5179" s="73"/>
      <c r="O5179" s="73"/>
      <c r="P5179" s="73"/>
      <c r="Q5179" s="73"/>
      <c r="R5179" s="73"/>
      <c r="S5179" s="73"/>
      <c r="T5179" s="73"/>
      <c r="U5179" s="73"/>
      <c r="V5179" s="73"/>
      <c r="W5179" s="73"/>
      <c r="X5179" s="73"/>
      <c r="Y5179" s="73"/>
      <c r="Z5179" s="73"/>
      <c r="AA5179" s="73"/>
      <c r="AB5179" s="73"/>
    </row>
    <row r="5180">
      <c r="A5180" s="73"/>
      <c r="B5180" s="73">
        <v>3.479889179E7</v>
      </c>
      <c r="C5180" s="73">
        <v>1.31069821317715E9</v>
      </c>
      <c r="D5180" s="73">
        <v>8.95072326809013E8</v>
      </c>
      <c r="E5180" s="73"/>
      <c r="F5180" s="73"/>
      <c r="G5180" s="73"/>
      <c r="H5180" s="73"/>
      <c r="I5180" s="73"/>
      <c r="J5180" s="73"/>
      <c r="K5180" s="73"/>
      <c r="L5180" s="73"/>
      <c r="M5180" s="73"/>
      <c r="N5180" s="73"/>
      <c r="O5180" s="73"/>
      <c r="P5180" s="73"/>
      <c r="Q5180" s="73"/>
      <c r="R5180" s="73"/>
      <c r="S5180" s="73"/>
      <c r="T5180" s="73"/>
      <c r="U5180" s="73"/>
      <c r="V5180" s="73"/>
      <c r="W5180" s="73"/>
      <c r="X5180" s="73"/>
      <c r="Y5180" s="73"/>
      <c r="Z5180" s="73"/>
      <c r="AA5180" s="73"/>
      <c r="AB5180" s="73"/>
    </row>
    <row r="5181">
      <c r="A5181" s="73"/>
      <c r="B5181" s="73">
        <v>3.483322076E7</v>
      </c>
      <c r="C5181" s="73">
        <v>1.31335422467832E9</v>
      </c>
      <c r="D5181" s="73">
        <v>8.9776539236511E8</v>
      </c>
      <c r="E5181" s="73"/>
      <c r="F5181" s="73"/>
      <c r="G5181" s="73"/>
      <c r="H5181" s="73"/>
      <c r="I5181" s="73"/>
      <c r="J5181" s="73"/>
      <c r="K5181" s="73"/>
      <c r="L5181" s="73"/>
      <c r="M5181" s="73"/>
      <c r="N5181" s="73"/>
      <c r="O5181" s="73"/>
      <c r="P5181" s="73"/>
      <c r="Q5181" s="73"/>
      <c r="R5181" s="73"/>
      <c r="S5181" s="73"/>
      <c r="T5181" s="73"/>
      <c r="U5181" s="73"/>
      <c r="V5181" s="73"/>
      <c r="W5181" s="73"/>
      <c r="X5181" s="73"/>
      <c r="Y5181" s="73"/>
      <c r="Z5181" s="73"/>
      <c r="AA5181" s="73"/>
      <c r="AB5181" s="73"/>
    </row>
    <row r="5182">
      <c r="A5182" s="73"/>
      <c r="B5182" s="73">
        <v>3.486757324E7</v>
      </c>
      <c r="C5182" s="73">
        <v>1.31601526401327E9</v>
      </c>
      <c r="D5182" s="73">
        <v>9.00466549630504E8</v>
      </c>
      <c r="E5182" s="73"/>
      <c r="F5182" s="73"/>
      <c r="G5182" s="73"/>
      <c r="H5182" s="73"/>
      <c r="I5182" s="73"/>
      <c r="J5182" s="73"/>
      <c r="K5182" s="73"/>
      <c r="L5182" s="73"/>
      <c r="M5182" s="73"/>
      <c r="N5182" s="73"/>
      <c r="O5182" s="73"/>
      <c r="P5182" s="73"/>
      <c r="Q5182" s="73"/>
      <c r="R5182" s="73"/>
      <c r="S5182" s="73"/>
      <c r="T5182" s="73"/>
      <c r="U5182" s="73"/>
      <c r="V5182" s="73"/>
      <c r="W5182" s="73"/>
      <c r="X5182" s="73"/>
      <c r="Y5182" s="73"/>
      <c r="Z5182" s="73"/>
      <c r="AA5182" s="73"/>
      <c r="AB5182" s="73"/>
    </row>
    <row r="5183">
      <c r="A5183" s="73"/>
      <c r="B5183" s="73">
        <v>3.4901948E7</v>
      </c>
      <c r="C5183" s="73">
        <v>1.31868154241046E9</v>
      </c>
      <c r="D5183" s="73">
        <v>9.03175613754807E8</v>
      </c>
      <c r="E5183" s="73"/>
      <c r="F5183" s="73"/>
      <c r="G5183" s="73"/>
      <c r="H5183" s="73"/>
      <c r="I5183" s="73"/>
      <c r="J5183" s="73"/>
      <c r="K5183" s="73"/>
      <c r="L5183" s="73"/>
      <c r="M5183" s="73"/>
      <c r="N5183" s="73"/>
      <c r="O5183" s="73"/>
      <c r="P5183" s="73"/>
      <c r="Q5183" s="73"/>
      <c r="R5183" s="73"/>
      <c r="S5183" s="73"/>
      <c r="T5183" s="73"/>
      <c r="U5183" s="73"/>
      <c r="V5183" s="73"/>
      <c r="W5183" s="73"/>
      <c r="X5183" s="73"/>
      <c r="Y5183" s="73"/>
      <c r="Z5183" s="73"/>
      <c r="AA5183" s="73"/>
      <c r="AB5183" s="73"/>
    </row>
    <row r="5184">
      <c r="A5184" s="73"/>
      <c r="B5184" s="73">
        <v>3.493634547E7</v>
      </c>
      <c r="C5184" s="73">
        <v>1.32135323855492E9</v>
      </c>
      <c r="D5184" s="73">
        <v>9.05892723655523E8</v>
      </c>
      <c r="E5184" s="73"/>
      <c r="F5184" s="73"/>
      <c r="G5184" s="73"/>
      <c r="H5184" s="73"/>
      <c r="I5184" s="73"/>
      <c r="J5184" s="73"/>
      <c r="K5184" s="73"/>
      <c r="L5184" s="73"/>
      <c r="M5184" s="73"/>
      <c r="N5184" s="73"/>
      <c r="O5184" s="73"/>
      <c r="P5184" s="73"/>
      <c r="Q5184" s="73"/>
      <c r="R5184" s="73"/>
      <c r="S5184" s="73"/>
      <c r="T5184" s="73"/>
      <c r="U5184" s="73"/>
      <c r="V5184" s="73"/>
      <c r="W5184" s="73"/>
      <c r="X5184" s="73"/>
      <c r="Y5184" s="73"/>
      <c r="Z5184" s="73"/>
      <c r="AA5184" s="73"/>
      <c r="AB5184" s="73"/>
    </row>
    <row r="5185">
      <c r="A5185" s="73"/>
      <c r="B5185" s="73">
        <v>3.497076682E7</v>
      </c>
      <c r="C5185" s="73">
        <v>1.32403006530186E9</v>
      </c>
      <c r="D5185" s="73">
        <v>9.08617887744899E8</v>
      </c>
      <c r="E5185" s="73"/>
      <c r="F5185" s="73"/>
      <c r="G5185" s="73"/>
      <c r="H5185" s="73"/>
      <c r="I5185" s="73"/>
      <c r="J5185" s="73"/>
      <c r="K5185" s="73"/>
      <c r="L5185" s="73"/>
      <c r="M5185" s="73"/>
      <c r="N5185" s="73"/>
      <c r="O5185" s="73"/>
      <c r="P5185" s="73"/>
      <c r="Q5185" s="73"/>
      <c r="R5185" s="73"/>
      <c r="S5185" s="73"/>
      <c r="T5185" s="73"/>
      <c r="U5185" s="73"/>
      <c r="V5185" s="73"/>
      <c r="W5185" s="73"/>
      <c r="X5185" s="73"/>
      <c r="Y5185" s="73"/>
      <c r="Z5185" s="73"/>
      <c r="AA5185" s="73"/>
      <c r="AB5185" s="73"/>
    </row>
    <row r="5186">
      <c r="A5186" s="73"/>
      <c r="B5186" s="73">
        <v>3.500521167E7</v>
      </c>
      <c r="C5186" s="73">
        <v>1.32671214799952E9</v>
      </c>
      <c r="D5186" s="73">
        <v>9.11351195262095E8</v>
      </c>
      <c r="E5186" s="73"/>
      <c r="F5186" s="73"/>
      <c r="G5186" s="73"/>
      <c r="H5186" s="73"/>
      <c r="I5186" s="73"/>
      <c r="J5186" s="73"/>
      <c r="K5186" s="73"/>
      <c r="L5186" s="73"/>
      <c r="M5186" s="73"/>
      <c r="N5186" s="73"/>
      <c r="O5186" s="73"/>
      <c r="P5186" s="73"/>
      <c r="Q5186" s="73"/>
      <c r="R5186" s="73"/>
      <c r="S5186" s="73"/>
      <c r="T5186" s="73"/>
      <c r="U5186" s="73"/>
      <c r="V5186" s="73"/>
      <c r="W5186" s="73"/>
      <c r="X5186" s="73"/>
      <c r="Y5186" s="73"/>
      <c r="Z5186" s="73"/>
      <c r="AA5186" s="73"/>
      <c r="AB5186" s="73"/>
    </row>
    <row r="5187">
      <c r="A5187" s="73"/>
      <c r="B5187" s="73">
        <v>3.503967757E7</v>
      </c>
      <c r="C5187" s="73">
        <v>1.32939978622037E9</v>
      </c>
      <c r="D5187" s="73">
        <v>9.14092516434929E8</v>
      </c>
      <c r="E5187" s="73"/>
      <c r="F5187" s="73"/>
      <c r="G5187" s="73"/>
      <c r="H5187" s="73"/>
      <c r="I5187" s="73"/>
      <c r="J5187" s="73"/>
      <c r="K5187" s="73"/>
      <c r="L5187" s="73"/>
      <c r="M5187" s="73"/>
      <c r="N5187" s="73"/>
      <c r="O5187" s="73"/>
      <c r="P5187" s="73"/>
      <c r="Q5187" s="73"/>
      <c r="R5187" s="73"/>
      <c r="S5187" s="73"/>
      <c r="T5187" s="73"/>
      <c r="U5187" s="73"/>
      <c r="V5187" s="73"/>
      <c r="W5187" s="73"/>
      <c r="X5187" s="73"/>
      <c r="Y5187" s="73"/>
      <c r="Z5187" s="73"/>
      <c r="AA5187" s="73"/>
      <c r="AB5187" s="73"/>
    </row>
    <row r="5188">
      <c r="A5188" s="73"/>
      <c r="B5188" s="73">
        <v>3.507416777E7</v>
      </c>
      <c r="C5188" s="73">
        <v>1.33209257188795E9</v>
      </c>
      <c r="D5188" s="73">
        <v>9.16842066936352E8</v>
      </c>
      <c r="E5188" s="73"/>
      <c r="F5188" s="73"/>
      <c r="G5188" s="73"/>
      <c r="H5188" s="73"/>
      <c r="I5188" s="73"/>
      <c r="J5188" s="73"/>
      <c r="K5188" s="73"/>
      <c r="L5188" s="73"/>
      <c r="M5188" s="73"/>
      <c r="N5188" s="73"/>
      <c r="O5188" s="73"/>
      <c r="P5188" s="73"/>
      <c r="Q5188" s="73"/>
      <c r="R5188" s="73"/>
      <c r="S5188" s="73"/>
      <c r="T5188" s="73"/>
      <c r="U5188" s="73"/>
      <c r="V5188" s="73"/>
      <c r="W5188" s="73"/>
      <c r="X5188" s="73"/>
      <c r="Y5188" s="73"/>
      <c r="Z5188" s="73"/>
      <c r="AA5188" s="73"/>
      <c r="AB5188" s="73"/>
    </row>
    <row r="5189">
      <c r="A5189" s="73"/>
      <c r="B5189" s="73">
        <v>3.510868038E7</v>
      </c>
      <c r="C5189" s="73">
        <v>1.33479059756899E9</v>
      </c>
      <c r="D5189" s="73">
        <v>9.1959965316695E8</v>
      </c>
      <c r="E5189" s="73"/>
      <c r="F5189" s="73"/>
      <c r="G5189" s="73"/>
      <c r="H5189" s="73"/>
      <c r="I5189" s="73"/>
      <c r="J5189" s="73"/>
      <c r="K5189" s="73"/>
      <c r="L5189" s="73"/>
      <c r="M5189" s="73"/>
      <c r="N5189" s="73"/>
      <c r="O5189" s="73"/>
      <c r="P5189" s="73"/>
      <c r="Q5189" s="73"/>
      <c r="R5189" s="73"/>
      <c r="S5189" s="73"/>
      <c r="T5189" s="73"/>
      <c r="U5189" s="73"/>
      <c r="V5189" s="73"/>
      <c r="W5189" s="73"/>
      <c r="X5189" s="73"/>
      <c r="Y5189" s="73"/>
      <c r="Z5189" s="73"/>
      <c r="AA5189" s="73"/>
      <c r="AB5189" s="73"/>
    </row>
    <row r="5190">
      <c r="A5190" s="73"/>
      <c r="B5190" s="73">
        <v>3.514321541E7</v>
      </c>
      <c r="C5190" s="73">
        <v>1.33749402217759E9</v>
      </c>
      <c r="D5190" s="73">
        <v>9.22365561359015E8</v>
      </c>
      <c r="E5190" s="73"/>
      <c r="F5190" s="73"/>
      <c r="G5190" s="73"/>
      <c r="H5190" s="73"/>
      <c r="I5190" s="73"/>
      <c r="J5190" s="73"/>
      <c r="K5190" s="73"/>
      <c r="L5190" s="73"/>
      <c r="M5190" s="73"/>
      <c r="N5190" s="73"/>
      <c r="O5190" s="73"/>
      <c r="P5190" s="73"/>
      <c r="Q5190" s="73"/>
      <c r="R5190" s="73"/>
      <c r="S5190" s="73"/>
      <c r="T5190" s="73"/>
      <c r="U5190" s="73"/>
      <c r="V5190" s="73"/>
      <c r="W5190" s="73"/>
      <c r="X5190" s="73"/>
      <c r="Y5190" s="73"/>
      <c r="Z5190" s="73"/>
      <c r="AA5190" s="73"/>
      <c r="AB5190" s="73"/>
    </row>
    <row r="5191">
      <c r="A5191" s="73"/>
      <c r="B5191" s="73">
        <v>3.517777464E7</v>
      </c>
      <c r="C5191" s="73">
        <v>1.34020281857502E9</v>
      </c>
      <c r="D5191" s="73">
        <v>9.25139463033698E8</v>
      </c>
      <c r="E5191" s="73"/>
      <c r="F5191" s="73"/>
      <c r="G5191" s="73"/>
      <c r="H5191" s="73"/>
      <c r="I5191" s="73"/>
      <c r="J5191" s="73"/>
      <c r="K5191" s="73"/>
      <c r="L5191" s="73"/>
      <c r="M5191" s="73"/>
      <c r="N5191" s="73"/>
      <c r="O5191" s="73"/>
      <c r="P5191" s="73"/>
      <c r="Q5191" s="73"/>
      <c r="R5191" s="73"/>
      <c r="S5191" s="73"/>
      <c r="T5191" s="73"/>
      <c r="U5191" s="73"/>
      <c r="V5191" s="73"/>
      <c r="W5191" s="73"/>
      <c r="X5191" s="73"/>
      <c r="Y5191" s="73"/>
      <c r="Z5191" s="73"/>
      <c r="AA5191" s="73"/>
      <c r="AB5191" s="73"/>
    </row>
    <row r="5192">
      <c r="A5192" s="73"/>
      <c r="B5192" s="73">
        <v>3.521235578E7</v>
      </c>
      <c r="C5192" s="73">
        <v>1.34291690503299E9</v>
      </c>
      <c r="D5192" s="73">
        <v>9.27921773721613E8</v>
      </c>
      <c r="E5192" s="73"/>
      <c r="F5192" s="73"/>
      <c r="G5192" s="73"/>
      <c r="H5192" s="73"/>
      <c r="I5192" s="73"/>
      <c r="J5192" s="73"/>
      <c r="K5192" s="73"/>
      <c r="L5192" s="73"/>
      <c r="M5192" s="73"/>
      <c r="N5192" s="73"/>
      <c r="O5192" s="73"/>
      <c r="P5192" s="73"/>
      <c r="Q5192" s="73"/>
      <c r="R5192" s="73"/>
      <c r="S5192" s="73"/>
      <c r="T5192" s="73"/>
      <c r="U5192" s="73"/>
      <c r="V5192" s="73"/>
      <c r="W5192" s="73"/>
      <c r="X5192" s="73"/>
      <c r="Y5192" s="73"/>
      <c r="Z5192" s="73"/>
      <c r="AA5192" s="73"/>
      <c r="AB5192" s="73"/>
    </row>
    <row r="5193">
      <c r="A5193" s="73"/>
      <c r="B5193" s="73">
        <v>3.524696052E7</v>
      </c>
      <c r="C5193" s="73">
        <v>1.34563646261341E9</v>
      </c>
      <c r="D5193" s="73">
        <v>9.30712240182605E8</v>
      </c>
      <c r="E5193" s="73"/>
      <c r="F5193" s="73"/>
      <c r="G5193" s="73"/>
      <c r="H5193" s="73"/>
      <c r="I5193" s="73"/>
      <c r="J5193" s="73"/>
      <c r="K5193" s="73"/>
      <c r="L5193" s="73"/>
      <c r="M5193" s="73"/>
      <c r="N5193" s="73"/>
      <c r="O5193" s="73"/>
      <c r="P5193" s="73"/>
      <c r="Q5193" s="73"/>
      <c r="R5193" s="73"/>
      <c r="S5193" s="73"/>
      <c r="T5193" s="73"/>
      <c r="U5193" s="73"/>
      <c r="V5193" s="73"/>
      <c r="W5193" s="73"/>
      <c r="X5193" s="73"/>
      <c r="Y5193" s="73"/>
      <c r="Z5193" s="73"/>
      <c r="AA5193" s="73"/>
      <c r="AB5193" s="73"/>
    </row>
    <row r="5194">
      <c r="A5194" s="73"/>
      <c r="B5194" s="73">
        <v>3.528158885E7</v>
      </c>
      <c r="C5194" s="73">
        <v>1.34836140972631E9</v>
      </c>
      <c r="D5194" s="73">
        <v>9.33511003348784E8</v>
      </c>
      <c r="E5194" s="73"/>
      <c r="F5194" s="73"/>
      <c r="G5194" s="73"/>
      <c r="H5194" s="73"/>
      <c r="I5194" s="73"/>
      <c r="J5194" s="73"/>
      <c r="K5194" s="73"/>
      <c r="L5194" s="73"/>
      <c r="M5194" s="73"/>
      <c r="N5194" s="73"/>
      <c r="O5194" s="73"/>
      <c r="P5194" s="73"/>
      <c r="Q5194" s="73"/>
      <c r="R5194" s="73"/>
      <c r="S5194" s="73"/>
      <c r="T5194" s="73"/>
      <c r="U5194" s="73"/>
      <c r="V5194" s="73"/>
      <c r="W5194" s="73"/>
      <c r="X5194" s="73"/>
      <c r="Y5194" s="73"/>
      <c r="Z5194" s="73"/>
      <c r="AA5194" s="73"/>
      <c r="AB5194" s="73"/>
    </row>
    <row r="5195">
      <c r="A5195" s="73"/>
      <c r="B5195" s="73">
        <v>3.531623882E7</v>
      </c>
      <c r="C5195" s="73">
        <v>1.35109157622471E9</v>
      </c>
      <c r="D5195" s="73">
        <v>9.36318074736678E8</v>
      </c>
      <c r="E5195" s="73"/>
      <c r="F5195" s="73"/>
      <c r="G5195" s="73"/>
      <c r="H5195" s="73"/>
      <c r="I5195" s="73"/>
      <c r="J5195" s="73"/>
      <c r="K5195" s="73"/>
      <c r="L5195" s="73"/>
      <c r="M5195" s="73"/>
      <c r="N5195" s="73"/>
      <c r="O5195" s="73"/>
      <c r="P5195" s="73"/>
      <c r="Q5195" s="73"/>
      <c r="R5195" s="73"/>
      <c r="S5195" s="73"/>
      <c r="T5195" s="73"/>
      <c r="U5195" s="73"/>
      <c r="V5195" s="73"/>
      <c r="W5195" s="73"/>
      <c r="X5195" s="73"/>
      <c r="Y5195" s="73"/>
      <c r="Z5195" s="73"/>
      <c r="AA5195" s="73"/>
      <c r="AB5195" s="73"/>
    </row>
    <row r="5196">
      <c r="A5196" s="73"/>
      <c r="B5196" s="73">
        <v>3.535091229E7</v>
      </c>
      <c r="C5196" s="73">
        <v>1.35382723174072E9</v>
      </c>
      <c r="D5196" s="73">
        <v>9.39133471079285E8</v>
      </c>
      <c r="E5196" s="73"/>
      <c r="F5196" s="73"/>
      <c r="G5196" s="73"/>
      <c r="H5196" s="73"/>
      <c r="I5196" s="73"/>
      <c r="J5196" s="73"/>
      <c r="K5196" s="73"/>
      <c r="L5196" s="73"/>
      <c r="M5196" s="73"/>
      <c r="N5196" s="73"/>
      <c r="O5196" s="73"/>
      <c r="P5196" s="73"/>
      <c r="Q5196" s="73"/>
      <c r="R5196" s="73"/>
      <c r="S5196" s="73"/>
      <c r="T5196" s="73"/>
      <c r="U5196" s="73"/>
      <c r="V5196" s="73"/>
      <c r="W5196" s="73"/>
      <c r="X5196" s="73"/>
      <c r="Y5196" s="73"/>
      <c r="Z5196" s="73"/>
      <c r="AA5196" s="73"/>
      <c r="AB5196" s="73"/>
    </row>
    <row r="5197">
      <c r="A5197" s="73"/>
      <c r="B5197" s="73">
        <v>3.538560877E7</v>
      </c>
      <c r="C5197" s="73">
        <v>1.35656820600136E9</v>
      </c>
      <c r="D5197" s="73">
        <v>9.41957203568939E8</v>
      </c>
      <c r="E5197" s="73"/>
      <c r="F5197" s="73"/>
      <c r="G5197" s="73"/>
      <c r="H5197" s="73"/>
      <c r="I5197" s="73"/>
      <c r="J5197" s="73"/>
      <c r="K5197" s="73"/>
      <c r="L5197" s="73"/>
      <c r="M5197" s="73"/>
      <c r="N5197" s="73"/>
      <c r="O5197" s="73"/>
      <c r="P5197" s="73"/>
      <c r="Q5197" s="73"/>
      <c r="R5197" s="73"/>
      <c r="S5197" s="73"/>
      <c r="T5197" s="73"/>
      <c r="U5197" s="73"/>
      <c r="V5197" s="73"/>
      <c r="W5197" s="73"/>
      <c r="X5197" s="73"/>
      <c r="Y5197" s="73"/>
      <c r="Z5197" s="73"/>
      <c r="AA5197" s="73"/>
      <c r="AB5197" s="73"/>
    </row>
    <row r="5198">
      <c r="A5198" s="73"/>
      <c r="B5198" s="73">
        <v>3.542032791E7</v>
      </c>
      <c r="C5198" s="73">
        <v>1.35931462533418E9</v>
      </c>
      <c r="D5198" s="73">
        <v>9.4478934949298E8</v>
      </c>
      <c r="E5198" s="73"/>
      <c r="F5198" s="73"/>
      <c r="G5198" s="73"/>
      <c r="H5198" s="73"/>
      <c r="I5198" s="73"/>
      <c r="J5198" s="73"/>
      <c r="K5198" s="73"/>
      <c r="L5198" s="73"/>
      <c r="M5198" s="73"/>
      <c r="N5198" s="73"/>
      <c r="O5198" s="73"/>
      <c r="P5198" s="73"/>
      <c r="Q5198" s="73"/>
      <c r="R5198" s="73"/>
      <c r="S5198" s="73"/>
      <c r="T5198" s="73"/>
      <c r="U5198" s="73"/>
      <c r="V5198" s="73"/>
      <c r="W5198" s="73"/>
      <c r="X5198" s="73"/>
      <c r="Y5198" s="73"/>
      <c r="Z5198" s="73"/>
      <c r="AA5198" s="73"/>
      <c r="AB5198" s="73"/>
    </row>
    <row r="5199">
      <c r="A5199" s="73"/>
      <c r="B5199" s="73">
        <v>3.545506922E7</v>
      </c>
      <c r="C5199" s="73">
        <v>1.36206655173672E9</v>
      </c>
      <c r="D5199" s="73">
        <v>9.47629782504606E8</v>
      </c>
      <c r="E5199" s="73"/>
      <c r="F5199" s="73"/>
      <c r="G5199" s="73"/>
      <c r="H5199" s="73"/>
      <c r="I5199" s="73"/>
      <c r="J5199" s="73"/>
      <c r="K5199" s="73"/>
      <c r="L5199" s="73"/>
      <c r="M5199" s="73"/>
      <c r="N5199" s="73"/>
      <c r="O5199" s="73"/>
      <c r="P5199" s="73"/>
      <c r="Q5199" s="73"/>
      <c r="R5199" s="73"/>
      <c r="S5199" s="73"/>
      <c r="T5199" s="73"/>
      <c r="U5199" s="73"/>
      <c r="V5199" s="73"/>
      <c r="W5199" s="73"/>
      <c r="X5199" s="73"/>
      <c r="Y5199" s="73"/>
      <c r="Z5199" s="73"/>
      <c r="AA5199" s="73"/>
      <c r="AB5199" s="73"/>
    </row>
    <row r="5200">
      <c r="A5200" s="73"/>
      <c r="B5200" s="73">
        <v>3.548983599E7</v>
      </c>
      <c r="C5200" s="73">
        <v>1.3648239028486E9</v>
      </c>
      <c r="D5200" s="73">
        <v>9.50478657639657E8</v>
      </c>
      <c r="E5200" s="73"/>
      <c r="F5200" s="73"/>
      <c r="G5200" s="73"/>
      <c r="H5200" s="73"/>
      <c r="I5200" s="73"/>
      <c r="J5200" s="73"/>
      <c r="K5200" s="73"/>
      <c r="L5200" s="73"/>
      <c r="M5200" s="73"/>
      <c r="N5200" s="73"/>
      <c r="O5200" s="73"/>
      <c r="P5200" s="73"/>
      <c r="Q5200" s="73"/>
      <c r="R5200" s="73"/>
      <c r="S5200" s="73"/>
      <c r="T5200" s="73"/>
      <c r="U5200" s="73"/>
      <c r="V5200" s="73"/>
      <c r="W5200" s="73"/>
      <c r="X5200" s="73"/>
      <c r="Y5200" s="73"/>
      <c r="Z5200" s="73"/>
      <c r="AA5200" s="73"/>
      <c r="AB5200" s="73"/>
    </row>
    <row r="5201">
      <c r="A5201" s="73"/>
      <c r="B5201" s="73">
        <v>3.552462404E7</v>
      </c>
      <c r="C5201" s="73">
        <v>1.36758662793537E9</v>
      </c>
      <c r="D5201" s="73">
        <v>9.53335979351823E8</v>
      </c>
      <c r="E5201" s="73"/>
      <c r="F5201" s="73"/>
      <c r="G5201" s="73"/>
      <c r="H5201" s="73"/>
      <c r="I5201" s="73"/>
      <c r="J5201" s="73"/>
      <c r="K5201" s="73"/>
      <c r="L5201" s="73"/>
      <c r="M5201" s="73"/>
      <c r="N5201" s="73"/>
      <c r="O5201" s="73"/>
      <c r="P5201" s="73"/>
      <c r="Q5201" s="73"/>
      <c r="R5201" s="73"/>
      <c r="S5201" s="73"/>
      <c r="T5201" s="73"/>
      <c r="U5201" s="73"/>
      <c r="V5201" s="73"/>
      <c r="W5201" s="73"/>
      <c r="X5201" s="73"/>
      <c r="Y5201" s="73"/>
      <c r="Z5201" s="73"/>
      <c r="AA5201" s="73"/>
      <c r="AB5201" s="73"/>
    </row>
    <row r="5202">
      <c r="A5202" s="73"/>
      <c r="B5202" s="73">
        <v>3.555943544E7</v>
      </c>
      <c r="C5202" s="73">
        <v>1.37035487817518E9</v>
      </c>
      <c r="D5202" s="73">
        <v>9.56201831357355E8</v>
      </c>
      <c r="E5202" s="73"/>
      <c r="F5202" s="73"/>
      <c r="G5202" s="73"/>
      <c r="H5202" s="73"/>
      <c r="I5202" s="73"/>
      <c r="J5202" s="73"/>
      <c r="K5202" s="73"/>
      <c r="L5202" s="73"/>
      <c r="M5202" s="73"/>
      <c r="N5202" s="73"/>
      <c r="O5202" s="73"/>
      <c r="P5202" s="73"/>
      <c r="Q5202" s="73"/>
      <c r="R5202" s="73"/>
      <c r="S5202" s="73"/>
      <c r="T5202" s="73"/>
      <c r="U5202" s="73"/>
      <c r="V5202" s="73"/>
      <c r="W5202" s="73"/>
      <c r="X5202" s="73"/>
      <c r="Y5202" s="73"/>
      <c r="Z5202" s="73"/>
      <c r="AA5202" s="73"/>
      <c r="AB5202" s="73"/>
    </row>
    <row r="5203">
      <c r="A5203" s="73"/>
      <c r="B5203" s="73">
        <v>3.559426852E7</v>
      </c>
      <c r="C5203" s="73">
        <v>1.3731285137368E9</v>
      </c>
      <c r="D5203" s="73">
        <v>9.59076092556035E8</v>
      </c>
      <c r="E5203" s="73"/>
      <c r="F5203" s="73"/>
      <c r="G5203" s="73"/>
      <c r="H5203" s="73"/>
      <c r="I5203" s="73"/>
      <c r="J5203" s="73"/>
      <c r="K5203" s="73"/>
      <c r="L5203" s="73"/>
      <c r="M5203" s="73"/>
      <c r="N5203" s="73"/>
      <c r="O5203" s="73"/>
      <c r="P5203" s="73"/>
      <c r="Q5203" s="73"/>
      <c r="R5203" s="73"/>
      <c r="S5203" s="73"/>
      <c r="T5203" s="73"/>
      <c r="U5203" s="73"/>
      <c r="V5203" s="73"/>
      <c r="W5203" s="73"/>
      <c r="X5203" s="73"/>
      <c r="Y5203" s="73"/>
      <c r="Z5203" s="73"/>
      <c r="AA5203" s="73"/>
      <c r="AB5203" s="73"/>
    </row>
    <row r="5204">
      <c r="A5204" s="73"/>
      <c r="B5204" s="73">
        <v>3.562912707E7</v>
      </c>
      <c r="C5204" s="73">
        <v>1.37590768647724E9</v>
      </c>
      <c r="D5204" s="73">
        <v>9.61958906219814E8</v>
      </c>
      <c r="E5204" s="73"/>
      <c r="F5204" s="73"/>
      <c r="G5204" s="73"/>
      <c r="H5204" s="73"/>
      <c r="I5204" s="73"/>
      <c r="J5204" s="73"/>
      <c r="K5204" s="73"/>
      <c r="L5204" s="73"/>
      <c r="M5204" s="73"/>
      <c r="N5204" s="73"/>
      <c r="O5204" s="73"/>
      <c r="P5204" s="73"/>
      <c r="Q5204" s="73"/>
      <c r="R5204" s="73"/>
      <c r="S5204" s="73"/>
      <c r="T5204" s="73"/>
      <c r="U5204" s="73"/>
      <c r="V5204" s="73"/>
      <c r="W5204" s="73"/>
      <c r="X5204" s="73"/>
      <c r="Y5204" s="73"/>
      <c r="Z5204" s="73"/>
      <c r="AA5204" s="73"/>
      <c r="AB5204" s="73"/>
    </row>
    <row r="5205">
      <c r="A5205" s="73"/>
      <c r="B5205" s="73">
        <v>3.566400746E7</v>
      </c>
      <c r="C5205" s="73">
        <v>1.37869213466092E9</v>
      </c>
      <c r="D5205" s="73">
        <v>9.64850355994645E8</v>
      </c>
      <c r="E5205" s="73"/>
      <c r="F5205" s="73"/>
      <c r="G5205" s="73"/>
      <c r="H5205" s="73"/>
      <c r="I5205" s="73"/>
      <c r="J5205" s="73"/>
      <c r="K5205" s="73"/>
      <c r="L5205" s="73"/>
      <c r="M5205" s="73"/>
      <c r="N5205" s="73"/>
      <c r="O5205" s="73"/>
      <c r="P5205" s="73"/>
      <c r="Q5205" s="73"/>
      <c r="R5205" s="73"/>
      <c r="S5205" s="73"/>
      <c r="T5205" s="73"/>
      <c r="U5205" s="73"/>
      <c r="V5205" s="73"/>
      <c r="W5205" s="73"/>
      <c r="X5205" s="73"/>
      <c r="Y5205" s="73"/>
      <c r="Z5205" s="73"/>
      <c r="AA5205" s="73"/>
      <c r="AB5205" s="73"/>
    </row>
    <row r="5206">
      <c r="A5206" s="73"/>
      <c r="B5206" s="73">
        <v>3.569891055E7</v>
      </c>
      <c r="C5206" s="73">
        <v>1.38148234273322E9</v>
      </c>
      <c r="D5206" s="73">
        <v>9.67750315397714E8</v>
      </c>
      <c r="E5206" s="73"/>
      <c r="F5206" s="73"/>
      <c r="G5206" s="73"/>
      <c r="H5206" s="73"/>
      <c r="I5206" s="73"/>
      <c r="J5206" s="73"/>
      <c r="K5206" s="73"/>
      <c r="L5206" s="73"/>
      <c r="M5206" s="73"/>
      <c r="N5206" s="73"/>
      <c r="O5206" s="73"/>
      <c r="P5206" s="73"/>
      <c r="Q5206" s="73"/>
      <c r="R5206" s="73"/>
      <c r="S5206" s="73"/>
      <c r="T5206" s="73"/>
      <c r="U5206" s="73"/>
      <c r="V5206" s="73"/>
      <c r="W5206" s="73"/>
      <c r="X5206" s="73"/>
      <c r="Y5206" s="73"/>
      <c r="Z5206" s="73"/>
      <c r="AA5206" s="73"/>
      <c r="AB5206" s="73"/>
    </row>
    <row r="5207">
      <c r="A5207" s="73"/>
      <c r="B5207" s="73">
        <v>3.573383709E7</v>
      </c>
      <c r="C5207" s="73">
        <v>1.38427813838647E9</v>
      </c>
      <c r="D5207" s="73">
        <v>9.70658796863617E8</v>
      </c>
      <c r="E5207" s="73"/>
      <c r="F5207" s="73"/>
      <c r="G5207" s="73"/>
      <c r="H5207" s="73"/>
      <c r="I5207" s="73"/>
      <c r="J5207" s="73"/>
      <c r="K5207" s="73"/>
      <c r="L5207" s="73"/>
      <c r="M5207" s="73"/>
      <c r="N5207" s="73"/>
      <c r="O5207" s="73"/>
      <c r="P5207" s="73"/>
      <c r="Q5207" s="73"/>
      <c r="R5207" s="73"/>
      <c r="S5207" s="73"/>
      <c r="T5207" s="73"/>
      <c r="U5207" s="73"/>
      <c r="V5207" s="73"/>
      <c r="W5207" s="73"/>
      <c r="X5207" s="73"/>
      <c r="Y5207" s="73"/>
      <c r="Z5207" s="73"/>
      <c r="AA5207" s="73"/>
      <c r="AB5207" s="73"/>
    </row>
    <row r="5208">
      <c r="A5208" s="73"/>
      <c r="B5208" s="73">
        <v>3.576878681E7</v>
      </c>
      <c r="C5208" s="73">
        <v>1.38707922681686E9</v>
      </c>
      <c r="D5208" s="73">
        <v>9.73575948796296E8</v>
      </c>
      <c r="E5208" s="73"/>
      <c r="F5208" s="73"/>
      <c r="G5208" s="73"/>
      <c r="H5208" s="73"/>
      <c r="I5208" s="73"/>
      <c r="J5208" s="73"/>
      <c r="K5208" s="73"/>
      <c r="L5208" s="73"/>
      <c r="M5208" s="73"/>
      <c r="N5208" s="73"/>
      <c r="O5208" s="73"/>
      <c r="P5208" s="73"/>
      <c r="Q5208" s="73"/>
      <c r="R5208" s="73"/>
      <c r="S5208" s="73"/>
      <c r="T5208" s="73"/>
      <c r="U5208" s="73"/>
      <c r="V5208" s="73"/>
      <c r="W5208" s="73"/>
      <c r="X5208" s="73"/>
      <c r="Y5208" s="73"/>
      <c r="Z5208" s="73"/>
      <c r="AA5208" s="73"/>
      <c r="AB5208" s="73"/>
    </row>
    <row r="5209">
      <c r="A5209" s="73"/>
      <c r="B5209" s="73">
        <v>3.580375838E7</v>
      </c>
      <c r="C5209" s="73">
        <v>1.38988591447822E9</v>
      </c>
      <c r="D5209" s="73">
        <v>9.7650171651103E8</v>
      </c>
      <c r="E5209" s="73"/>
      <c r="F5209" s="73"/>
      <c r="G5209" s="73"/>
      <c r="H5209" s="73"/>
      <c r="I5209" s="73"/>
      <c r="J5209" s="73"/>
      <c r="K5209" s="73"/>
      <c r="L5209" s="73"/>
      <c r="M5209" s="73"/>
      <c r="N5209" s="73"/>
      <c r="O5209" s="73"/>
      <c r="P5209" s="73"/>
      <c r="Q5209" s="73"/>
      <c r="R5209" s="73"/>
      <c r="S5209" s="73"/>
      <c r="T5209" s="73"/>
      <c r="U5209" s="73"/>
      <c r="V5209" s="73"/>
      <c r="W5209" s="73"/>
      <c r="X5209" s="73"/>
      <c r="Y5209" s="73"/>
      <c r="Z5209" s="73"/>
      <c r="AA5209" s="73"/>
      <c r="AB5209" s="73"/>
    </row>
    <row r="5210">
      <c r="A5210" s="73"/>
      <c r="B5210" s="73">
        <v>3.583875361E7</v>
      </c>
      <c r="C5210" s="73">
        <v>1.39269808597898E9</v>
      </c>
      <c r="D5210" s="73">
        <v>9.79436179514476E8</v>
      </c>
      <c r="E5210" s="73"/>
      <c r="F5210" s="73"/>
      <c r="G5210" s="73"/>
      <c r="H5210" s="73"/>
      <c r="I5210" s="73"/>
      <c r="J5210" s="73"/>
      <c r="K5210" s="73"/>
      <c r="L5210" s="73"/>
      <c r="M5210" s="73"/>
      <c r="N5210" s="73"/>
      <c r="O5210" s="73"/>
      <c r="P5210" s="73"/>
      <c r="Q5210" s="73"/>
      <c r="R5210" s="73"/>
      <c r="S5210" s="73"/>
      <c r="T5210" s="73"/>
      <c r="U5210" s="73"/>
      <c r="V5210" s="73"/>
      <c r="W5210" s="73"/>
      <c r="X5210" s="73"/>
      <c r="Y5210" s="73"/>
      <c r="Z5210" s="73"/>
      <c r="AA5210" s="73"/>
      <c r="AB5210" s="73"/>
    </row>
    <row r="5211">
      <c r="A5211" s="73"/>
      <c r="B5211" s="73">
        <v>3.587377272E7</v>
      </c>
      <c r="C5211" s="73">
        <v>1.39551590035738E9</v>
      </c>
      <c r="D5211" s="73">
        <v>9.82379351724607E8</v>
      </c>
      <c r="E5211" s="73"/>
      <c r="F5211" s="73"/>
      <c r="G5211" s="73"/>
      <c r="H5211" s="73"/>
      <c r="I5211" s="73"/>
      <c r="J5211" s="73"/>
      <c r="K5211" s="73"/>
      <c r="L5211" s="73"/>
      <c r="M5211" s="73"/>
      <c r="N5211" s="73"/>
      <c r="O5211" s="73"/>
      <c r="P5211" s="73"/>
      <c r="Q5211" s="73"/>
      <c r="R5211" s="73"/>
      <c r="S5211" s="73"/>
      <c r="T5211" s="73"/>
      <c r="U5211" s="73"/>
      <c r="V5211" s="73"/>
      <c r="W5211" s="73"/>
      <c r="X5211" s="73"/>
      <c r="Y5211" s="73"/>
      <c r="Z5211" s="73"/>
      <c r="AA5211" s="73"/>
      <c r="AB5211" s="73"/>
    </row>
    <row r="5212">
      <c r="A5212" s="73"/>
      <c r="B5212" s="73">
        <v>3.590881378E7</v>
      </c>
      <c r="C5212" s="73">
        <v>1.39833921051265E9</v>
      </c>
      <c r="D5212" s="73">
        <v>9.85331175405949E8</v>
      </c>
      <c r="E5212" s="73"/>
      <c r="F5212" s="73"/>
      <c r="G5212" s="73"/>
      <c r="H5212" s="73"/>
      <c r="I5212" s="73"/>
      <c r="J5212" s="73"/>
      <c r="K5212" s="73"/>
      <c r="L5212" s="73"/>
      <c r="M5212" s="73"/>
      <c r="N5212" s="73"/>
      <c r="O5212" s="73"/>
      <c r="P5212" s="73"/>
      <c r="Q5212" s="73"/>
      <c r="R5212" s="73"/>
      <c r="S5212" s="73"/>
      <c r="T5212" s="73"/>
      <c r="U5212" s="73"/>
      <c r="V5212" s="73"/>
      <c r="W5212" s="73"/>
      <c r="X5212" s="73"/>
      <c r="Y5212" s="73"/>
      <c r="Z5212" s="73"/>
      <c r="AA5212" s="73"/>
      <c r="AB5212" s="73"/>
    </row>
    <row r="5213">
      <c r="A5213" s="73"/>
      <c r="B5213" s="73">
        <v>3.594387824E7</v>
      </c>
      <c r="C5213" s="73">
        <v>1.40116805372891E9</v>
      </c>
      <c r="D5213" s="73">
        <v>9.88291801147574E8</v>
      </c>
      <c r="E5213" s="73"/>
      <c r="F5213" s="73"/>
      <c r="G5213" s="73"/>
      <c r="H5213" s="73"/>
      <c r="I5213" s="73"/>
      <c r="J5213" s="73"/>
      <c r="K5213" s="73"/>
      <c r="L5213" s="73"/>
      <c r="M5213" s="73"/>
      <c r="N5213" s="73"/>
      <c r="O5213" s="73"/>
      <c r="P5213" s="73"/>
      <c r="Q5213" s="73"/>
      <c r="R5213" s="73"/>
      <c r="S5213" s="73"/>
      <c r="T5213" s="73"/>
      <c r="U5213" s="73"/>
      <c r="V5213" s="73"/>
      <c r="W5213" s="73"/>
      <c r="X5213" s="73"/>
      <c r="Y5213" s="73"/>
      <c r="Z5213" s="73"/>
      <c r="AA5213" s="73"/>
      <c r="AB5213" s="73"/>
    </row>
    <row r="5214">
      <c r="A5214" s="73"/>
      <c r="B5214" s="73">
        <v>3.597896545E7</v>
      </c>
      <c r="C5214" s="73">
        <v>1.4040025263527E9</v>
      </c>
      <c r="D5214" s="73">
        <v>9.91261171617319E8</v>
      </c>
      <c r="E5214" s="73"/>
      <c r="F5214" s="73"/>
      <c r="G5214" s="73"/>
      <c r="H5214" s="73"/>
      <c r="I5214" s="73"/>
      <c r="J5214" s="73"/>
      <c r="K5214" s="73"/>
      <c r="L5214" s="73"/>
      <c r="M5214" s="73"/>
      <c r="N5214" s="73"/>
      <c r="O5214" s="73"/>
      <c r="P5214" s="73"/>
      <c r="Q5214" s="73"/>
      <c r="R5214" s="73"/>
      <c r="S5214" s="73"/>
      <c r="T5214" s="73"/>
      <c r="U5214" s="73"/>
      <c r="V5214" s="73"/>
      <c r="W5214" s="73"/>
      <c r="X5214" s="73"/>
      <c r="Y5214" s="73"/>
      <c r="Z5214" s="73"/>
      <c r="AA5214" s="73"/>
      <c r="AB5214" s="73"/>
    </row>
    <row r="5215">
      <c r="A5215" s="73"/>
      <c r="B5215" s="73">
        <v>3.601407682E7</v>
      </c>
      <c r="C5215" s="73">
        <v>1.40684260340518E9</v>
      </c>
      <c r="D5215" s="73">
        <v>9.94239368312582E8</v>
      </c>
      <c r="E5215" s="73"/>
      <c r="F5215" s="73"/>
      <c r="G5215" s="73"/>
      <c r="H5215" s="73"/>
      <c r="I5215" s="73"/>
      <c r="J5215" s="73"/>
      <c r="K5215" s="73"/>
      <c r="L5215" s="73"/>
      <c r="M5215" s="73"/>
      <c r="N5215" s="73"/>
      <c r="O5215" s="73"/>
      <c r="P5215" s="73"/>
      <c r="Q5215" s="73"/>
      <c r="R5215" s="73"/>
      <c r="S5215" s="73"/>
      <c r="T5215" s="73"/>
      <c r="U5215" s="73"/>
      <c r="V5215" s="73"/>
      <c r="W5215" s="73"/>
      <c r="X5215" s="73"/>
      <c r="Y5215" s="73"/>
      <c r="Z5215" s="73"/>
      <c r="AA5215" s="73"/>
      <c r="AB5215" s="73"/>
    </row>
    <row r="5216">
      <c r="A5216" s="73"/>
      <c r="B5216" s="73">
        <v>3.604920977E7</v>
      </c>
      <c r="C5216" s="73">
        <v>1.40968826260805E9</v>
      </c>
      <c r="D5216" s="73">
        <v>9.97226334546677E8</v>
      </c>
      <c r="E5216" s="73"/>
      <c r="F5216" s="73"/>
      <c r="G5216" s="73"/>
      <c r="H5216" s="73"/>
      <c r="I5216" s="73"/>
      <c r="J5216" s="73"/>
      <c r="K5216" s="73"/>
      <c r="L5216" s="73"/>
      <c r="M5216" s="73"/>
      <c r="N5216" s="73"/>
      <c r="O5216" s="73"/>
      <c r="P5216" s="73"/>
      <c r="Q5216" s="73"/>
      <c r="R5216" s="73"/>
      <c r="S5216" s="73"/>
      <c r="T5216" s="73"/>
      <c r="U5216" s="73"/>
      <c r="V5216" s="73"/>
      <c r="W5216" s="73"/>
      <c r="X5216" s="73"/>
      <c r="Y5216" s="73"/>
      <c r="Z5216" s="73"/>
      <c r="AA5216" s="73"/>
      <c r="AB5216" s="73"/>
    </row>
    <row r="5217">
      <c r="A5217" s="73"/>
      <c r="B5217" s="73">
        <v>3.608436685E7</v>
      </c>
      <c r="C5217" s="73">
        <v>1.41253966048014E9</v>
      </c>
      <c r="D5217" s="73">
        <v>1.00022215336436E9</v>
      </c>
      <c r="E5217" s="73"/>
      <c r="F5217" s="73"/>
      <c r="G5217" s="73"/>
      <c r="H5217" s="73"/>
      <c r="I5217" s="73"/>
      <c r="J5217" s="73"/>
      <c r="K5217" s="73"/>
      <c r="L5217" s="73"/>
      <c r="M5217" s="73"/>
      <c r="N5217" s="73"/>
      <c r="O5217" s="73"/>
      <c r="P5217" s="73"/>
      <c r="Q5217" s="73"/>
      <c r="R5217" s="73"/>
      <c r="S5217" s="73"/>
      <c r="T5217" s="73"/>
      <c r="U5217" s="73"/>
      <c r="V5217" s="73"/>
      <c r="W5217" s="73"/>
      <c r="X5217" s="73"/>
      <c r="Y5217" s="73"/>
      <c r="Z5217" s="73"/>
      <c r="AA5217" s="73"/>
      <c r="AB5217" s="73"/>
    </row>
    <row r="5218">
      <c r="A5218" s="73"/>
      <c r="B5218" s="73">
        <v>3.611954655E7</v>
      </c>
      <c r="C5218" s="73">
        <v>1.41539640819162E9</v>
      </c>
      <c r="D5218" s="73">
        <v>1.00322690536738E9</v>
      </c>
      <c r="E5218" s="73"/>
      <c r="F5218" s="73"/>
      <c r="G5218" s="73"/>
      <c r="H5218" s="73"/>
      <c r="I5218" s="73"/>
      <c r="J5218" s="73"/>
      <c r="K5218" s="73"/>
      <c r="L5218" s="73"/>
      <c r="M5218" s="73"/>
      <c r="N5218" s="73"/>
      <c r="O5218" s="73"/>
      <c r="P5218" s="73"/>
      <c r="Q5218" s="73"/>
      <c r="R5218" s="73"/>
      <c r="S5218" s="73"/>
      <c r="T5218" s="73"/>
      <c r="U5218" s="73"/>
      <c r="V5218" s="73"/>
      <c r="W5218" s="73"/>
      <c r="X5218" s="73"/>
      <c r="Y5218" s="73"/>
      <c r="Z5218" s="73"/>
      <c r="AA5218" s="73"/>
      <c r="AB5218" s="73"/>
    </row>
    <row r="5219">
      <c r="A5219" s="73"/>
      <c r="B5219" s="73">
        <v>3.61547503E7</v>
      </c>
      <c r="C5219" s="73">
        <v>1.41825912021245E9</v>
      </c>
      <c r="D5219" s="73">
        <v>1.00624046227464E9</v>
      </c>
      <c r="E5219" s="73"/>
      <c r="F5219" s="73"/>
      <c r="G5219" s="73"/>
      <c r="H5219" s="73"/>
      <c r="I5219" s="73"/>
      <c r="J5219" s="73"/>
      <c r="K5219" s="73"/>
      <c r="L5219" s="73"/>
      <c r="M5219" s="73"/>
      <c r="N5219" s="73"/>
      <c r="O5219" s="73"/>
      <c r="P5219" s="73"/>
      <c r="Q5219" s="73"/>
      <c r="R5219" s="73"/>
      <c r="S5219" s="73"/>
      <c r="T5219" s="73"/>
      <c r="U5219" s="73"/>
      <c r="V5219" s="73"/>
      <c r="W5219" s="73"/>
      <c r="X5219" s="73"/>
      <c r="Y5219" s="73"/>
      <c r="Z5219" s="73"/>
      <c r="AA5219" s="73"/>
      <c r="AB5219" s="73"/>
    </row>
    <row r="5220">
      <c r="A5220" s="73"/>
      <c r="B5220" s="73">
        <v>3.618997659E7</v>
      </c>
      <c r="C5220" s="73">
        <v>1.42112740737438E9</v>
      </c>
      <c r="D5220" s="73">
        <v>1.00926297732452E9</v>
      </c>
      <c r="E5220" s="73"/>
      <c r="F5220" s="73"/>
      <c r="G5220" s="73"/>
      <c r="H5220" s="73"/>
      <c r="I5220" s="73"/>
      <c r="J5220" s="73"/>
      <c r="K5220" s="73"/>
      <c r="L5220" s="73"/>
      <c r="M5220" s="73"/>
      <c r="N5220" s="73"/>
      <c r="O5220" s="73"/>
      <c r="P5220" s="73"/>
      <c r="Q5220" s="73"/>
      <c r="R5220" s="73"/>
      <c r="S5220" s="73"/>
      <c r="T5220" s="73"/>
      <c r="U5220" s="73"/>
      <c r="V5220" s="73"/>
      <c r="W5220" s="73"/>
      <c r="X5220" s="73"/>
      <c r="Y5220" s="73"/>
      <c r="Z5220" s="73"/>
      <c r="AA5220" s="73"/>
      <c r="AB5220" s="73"/>
    </row>
    <row r="5221">
      <c r="A5221" s="73"/>
      <c r="B5221" s="73">
        <v>3.622522476E7</v>
      </c>
      <c r="C5221" s="73">
        <v>1.42400124474684E9</v>
      </c>
      <c r="D5221" s="73">
        <v>1.01229446412618E9</v>
      </c>
      <c r="E5221" s="73"/>
      <c r="F5221" s="73"/>
      <c r="G5221" s="73"/>
      <c r="H5221" s="73"/>
      <c r="I5221" s="73"/>
      <c r="J5221" s="73"/>
      <c r="K5221" s="73"/>
      <c r="L5221" s="73"/>
      <c r="M5221" s="73"/>
      <c r="N5221" s="73"/>
      <c r="O5221" s="73"/>
      <c r="P5221" s="73"/>
      <c r="Q5221" s="73"/>
      <c r="R5221" s="73"/>
      <c r="S5221" s="73"/>
      <c r="T5221" s="73"/>
      <c r="U5221" s="73"/>
      <c r="V5221" s="73"/>
      <c r="W5221" s="73"/>
      <c r="X5221" s="73"/>
      <c r="Y5221" s="73"/>
      <c r="Z5221" s="73"/>
      <c r="AA5221" s="73"/>
      <c r="AB5221" s="73"/>
    </row>
    <row r="5222">
      <c r="A5222" s="73"/>
      <c r="B5222" s="73">
        <v>3.626049664E7</v>
      </c>
      <c r="C5222" s="73">
        <v>1.42688069963664E9</v>
      </c>
      <c r="D5222" s="73">
        <v>1.01533493364526E9</v>
      </c>
      <c r="E5222" s="73"/>
      <c r="F5222" s="73"/>
      <c r="G5222" s="73"/>
      <c r="H5222" s="73"/>
      <c r="I5222" s="73"/>
      <c r="J5222" s="73"/>
      <c r="K5222" s="73"/>
      <c r="L5222" s="73"/>
      <c r="M5222" s="73"/>
      <c r="N5222" s="73"/>
      <c r="O5222" s="73"/>
      <c r="P5222" s="73"/>
      <c r="Q5222" s="73"/>
      <c r="R5222" s="73"/>
      <c r="S5222" s="73"/>
      <c r="T5222" s="73"/>
      <c r="U5222" s="73"/>
      <c r="V5222" s="73"/>
      <c r="W5222" s="73"/>
      <c r="X5222" s="73"/>
      <c r="Y5222" s="73"/>
      <c r="Z5222" s="73"/>
      <c r="AA5222" s="73"/>
      <c r="AB5222" s="73"/>
    </row>
    <row r="5223">
      <c r="A5223" s="73"/>
      <c r="B5223" s="73">
        <v>3.629579252E7</v>
      </c>
      <c r="C5223" s="73">
        <v>1.4297659612332E9</v>
      </c>
      <c r="D5223" s="73">
        <v>1.01838440115795E9</v>
      </c>
      <c r="E5223" s="73"/>
      <c r="F5223" s="73"/>
      <c r="G5223" s="73"/>
      <c r="H5223" s="73"/>
      <c r="I5223" s="73"/>
      <c r="J5223" s="73"/>
      <c r="K5223" s="73"/>
      <c r="L5223" s="73"/>
      <c r="M5223" s="73"/>
      <c r="N5223" s="73"/>
      <c r="O5223" s="73"/>
      <c r="P5223" s="73"/>
      <c r="Q5223" s="73"/>
      <c r="R5223" s="73"/>
      <c r="S5223" s="73"/>
      <c r="T5223" s="73"/>
      <c r="U5223" s="73"/>
      <c r="V5223" s="73"/>
      <c r="W5223" s="73"/>
      <c r="X5223" s="73"/>
      <c r="Y5223" s="73"/>
      <c r="Z5223" s="73"/>
      <c r="AA5223" s="73"/>
      <c r="AB5223" s="73"/>
    </row>
    <row r="5224">
      <c r="A5224" s="73"/>
      <c r="B5224" s="73">
        <v>3.633111071E7</v>
      </c>
      <c r="C5224" s="73">
        <v>1.43265691349363E9</v>
      </c>
      <c r="D5224" s="73">
        <v>1.02144287359004E9</v>
      </c>
      <c r="E5224" s="73"/>
      <c r="F5224" s="73"/>
      <c r="G5224" s="73"/>
      <c r="H5224" s="73"/>
      <c r="I5224" s="73"/>
      <c r="J5224" s="73"/>
      <c r="K5224" s="73"/>
      <c r="L5224" s="73"/>
      <c r="M5224" s="73"/>
      <c r="N5224" s="73"/>
      <c r="O5224" s="73"/>
      <c r="P5224" s="73"/>
      <c r="Q5224" s="73"/>
      <c r="R5224" s="73"/>
      <c r="S5224" s="73"/>
      <c r="T5224" s="73"/>
      <c r="U5224" s="73"/>
      <c r="V5224" s="73"/>
      <c r="W5224" s="73"/>
      <c r="X5224" s="73"/>
      <c r="Y5224" s="73"/>
      <c r="Z5224" s="73"/>
      <c r="AA5224" s="73"/>
      <c r="AB5224" s="73"/>
    </row>
    <row r="5225">
      <c r="A5225" s="73"/>
      <c r="B5225" s="73">
        <v>3.636645226E7</v>
      </c>
      <c r="C5225" s="73">
        <v>1.43555344012366E9</v>
      </c>
      <c r="D5225" s="73">
        <v>1.0245103692303E9</v>
      </c>
      <c r="E5225" s="73"/>
      <c r="F5225" s="73"/>
      <c r="G5225" s="73"/>
      <c r="H5225" s="73"/>
      <c r="I5225" s="73"/>
      <c r="J5225" s="73"/>
      <c r="K5225" s="73"/>
      <c r="L5225" s="73"/>
      <c r="M5225" s="73"/>
      <c r="N5225" s="73"/>
      <c r="O5225" s="73"/>
      <c r="P5225" s="73"/>
      <c r="Q5225" s="73"/>
      <c r="R5225" s="73"/>
      <c r="S5225" s="73"/>
      <c r="T5225" s="73"/>
      <c r="U5225" s="73"/>
      <c r="V5225" s="73"/>
      <c r="W5225" s="73"/>
      <c r="X5225" s="73"/>
      <c r="Y5225" s="73"/>
      <c r="Z5225" s="73"/>
      <c r="AA5225" s="73"/>
      <c r="AB5225" s="73"/>
    </row>
    <row r="5226">
      <c r="A5226" s="73"/>
      <c r="B5226" s="73">
        <v>3.640181647E7</v>
      </c>
      <c r="C5226" s="73">
        <v>1.4384557000726E9</v>
      </c>
      <c r="D5226" s="73">
        <v>1.02758703684495E9</v>
      </c>
      <c r="E5226" s="73"/>
      <c r="F5226" s="73"/>
      <c r="G5226" s="73"/>
      <c r="H5226" s="73"/>
      <c r="I5226" s="73"/>
      <c r="J5226" s="73"/>
      <c r="K5226" s="73"/>
      <c r="L5226" s="73"/>
      <c r="M5226" s="73"/>
      <c r="N5226" s="73"/>
      <c r="O5226" s="73"/>
      <c r="P5226" s="73"/>
      <c r="Q5226" s="73"/>
      <c r="R5226" s="73"/>
      <c r="S5226" s="73"/>
      <c r="T5226" s="73"/>
      <c r="U5226" s="73"/>
      <c r="V5226" s="73"/>
      <c r="W5226" s="73"/>
      <c r="X5226" s="73"/>
      <c r="Y5226" s="73"/>
      <c r="Z5226" s="73"/>
      <c r="AA5226" s="73"/>
      <c r="AB5226" s="73"/>
    </row>
    <row r="5227">
      <c r="A5227" s="73"/>
      <c r="B5227" s="73">
        <v>3.643720445E7</v>
      </c>
      <c r="C5227" s="73">
        <v>1.44136379169814E9</v>
      </c>
      <c r="D5227" s="73">
        <v>1.03067275260169E9</v>
      </c>
      <c r="E5227" s="73"/>
      <c r="F5227" s="73"/>
      <c r="G5227" s="73"/>
      <c r="H5227" s="73"/>
      <c r="I5227" s="73"/>
      <c r="J5227" s="73"/>
      <c r="K5227" s="73"/>
      <c r="L5227" s="73"/>
      <c r="M5227" s="73"/>
      <c r="N5227" s="73"/>
      <c r="O5227" s="73"/>
      <c r="P5227" s="73"/>
      <c r="Q5227" s="73"/>
      <c r="R5227" s="73"/>
      <c r="S5227" s="73"/>
      <c r="T5227" s="73"/>
      <c r="U5227" s="73"/>
      <c r="V5227" s="73"/>
      <c r="W5227" s="73"/>
      <c r="X5227" s="73"/>
      <c r="Y5227" s="73"/>
      <c r="Z5227" s="73"/>
      <c r="AA5227" s="73"/>
      <c r="AB5227" s="73"/>
    </row>
    <row r="5228">
      <c r="A5228" s="73"/>
      <c r="B5228" s="73">
        <v>3.647261409E7</v>
      </c>
      <c r="C5228" s="73">
        <v>1.4442775062182E9</v>
      </c>
      <c r="D5228" s="73">
        <v>1.03376759523918E9</v>
      </c>
      <c r="E5228" s="73"/>
      <c r="F5228" s="73"/>
      <c r="G5228" s="73"/>
      <c r="H5228" s="73"/>
      <c r="I5228" s="73"/>
      <c r="J5228" s="73"/>
      <c r="K5228" s="73"/>
      <c r="L5228" s="73"/>
      <c r="M5228" s="73"/>
      <c r="N5228" s="73"/>
      <c r="O5228" s="73"/>
      <c r="P5228" s="73"/>
      <c r="Q5228" s="73"/>
      <c r="R5228" s="73"/>
      <c r="S5228" s="73"/>
      <c r="T5228" s="73"/>
      <c r="U5228" s="73"/>
      <c r="V5228" s="73"/>
      <c r="W5228" s="73"/>
      <c r="X5228" s="73"/>
      <c r="Y5228" s="73"/>
      <c r="Z5228" s="73"/>
      <c r="AA5228" s="73"/>
      <c r="AB5228" s="73"/>
    </row>
    <row r="5229">
      <c r="A5229" s="73"/>
      <c r="B5229" s="73">
        <v>3.650804822E7</v>
      </c>
      <c r="C5229" s="73">
        <v>1.44719703471892E9</v>
      </c>
      <c r="D5229" s="73">
        <v>1.03687172299532E9</v>
      </c>
      <c r="E5229" s="73"/>
      <c r="F5229" s="73"/>
      <c r="G5229" s="73"/>
      <c r="H5229" s="73"/>
      <c r="I5229" s="73"/>
      <c r="J5229" s="73"/>
      <c r="K5229" s="73"/>
      <c r="L5229" s="73"/>
      <c r="M5229" s="73"/>
      <c r="N5229" s="73"/>
      <c r="O5229" s="73"/>
      <c r="P5229" s="73"/>
      <c r="Q5229" s="73"/>
      <c r="R5229" s="73"/>
      <c r="S5229" s="73"/>
      <c r="T5229" s="73"/>
      <c r="U5229" s="73"/>
      <c r="V5229" s="73"/>
      <c r="W5229" s="73"/>
      <c r="X5229" s="73"/>
      <c r="Y5229" s="73"/>
      <c r="Z5229" s="73"/>
      <c r="AA5229" s="73"/>
      <c r="AB5229" s="73"/>
    </row>
    <row r="5230">
      <c r="A5230" s="73"/>
      <c r="B5230" s="73">
        <v>3.654350481E7</v>
      </c>
      <c r="C5230" s="73">
        <v>1.45012241390019E9</v>
      </c>
      <c r="D5230" s="73">
        <v>1.03998493287558E9</v>
      </c>
      <c r="E5230" s="73"/>
      <c r="F5230" s="73"/>
      <c r="G5230" s="73"/>
      <c r="H5230" s="73"/>
      <c r="I5230" s="73"/>
      <c r="J5230" s="73"/>
      <c r="K5230" s="73"/>
      <c r="L5230" s="73"/>
      <c r="M5230" s="73"/>
      <c r="N5230" s="73"/>
      <c r="O5230" s="73"/>
      <c r="P5230" s="73"/>
      <c r="Q5230" s="73"/>
      <c r="R5230" s="73"/>
      <c r="S5230" s="73"/>
      <c r="T5230" s="73"/>
      <c r="U5230" s="73"/>
      <c r="V5230" s="73"/>
      <c r="W5230" s="73"/>
      <c r="X5230" s="73"/>
      <c r="Y5230" s="73"/>
      <c r="Z5230" s="73"/>
      <c r="AA5230" s="73"/>
      <c r="AB5230" s="73"/>
    </row>
    <row r="5231">
      <c r="A5231" s="73"/>
      <c r="B5231" s="73">
        <v>3.657898476E7</v>
      </c>
      <c r="C5231" s="73">
        <v>1.45305324855233E9</v>
      </c>
      <c r="D5231" s="73">
        <v>1.04310738065381E9</v>
      </c>
      <c r="E5231" s="73"/>
      <c r="F5231" s="73"/>
      <c r="G5231" s="73"/>
      <c r="H5231" s="73"/>
      <c r="I5231" s="73"/>
      <c r="J5231" s="73"/>
      <c r="K5231" s="73"/>
      <c r="L5231" s="73"/>
      <c r="M5231" s="73"/>
      <c r="N5231" s="73"/>
      <c r="O5231" s="73"/>
      <c r="P5231" s="73"/>
      <c r="Q5231" s="73"/>
      <c r="R5231" s="73"/>
      <c r="S5231" s="73"/>
      <c r="T5231" s="73"/>
      <c r="U5231" s="73"/>
      <c r="V5231" s="73"/>
      <c r="W5231" s="73"/>
      <c r="X5231" s="73"/>
      <c r="Y5231" s="73"/>
      <c r="Z5231" s="73"/>
      <c r="AA5231" s="73"/>
      <c r="AB5231" s="73"/>
    </row>
    <row r="5232">
      <c r="A5232" s="73"/>
      <c r="B5232" s="73">
        <v>3.661448846E7</v>
      </c>
      <c r="C5232" s="73">
        <v>1.45599031799772E9</v>
      </c>
      <c r="D5232" s="73">
        <v>1.04623893656711E9</v>
      </c>
      <c r="E5232" s="73"/>
      <c r="F5232" s="73"/>
      <c r="G5232" s="73"/>
      <c r="H5232" s="73"/>
      <c r="I5232" s="73"/>
      <c r="J5232" s="73"/>
      <c r="K5232" s="73"/>
      <c r="L5232" s="73"/>
      <c r="M5232" s="73"/>
      <c r="N5232" s="73"/>
      <c r="O5232" s="73"/>
      <c r="P5232" s="73"/>
      <c r="Q5232" s="73"/>
      <c r="R5232" s="73"/>
      <c r="S5232" s="73"/>
      <c r="T5232" s="73"/>
      <c r="U5232" s="73"/>
      <c r="V5232" s="73"/>
      <c r="W5232" s="73"/>
      <c r="X5232" s="73"/>
      <c r="Y5232" s="73"/>
      <c r="Z5232" s="73"/>
      <c r="AA5232" s="73"/>
      <c r="AB5232" s="73"/>
    </row>
    <row r="5233">
      <c r="A5233" s="73"/>
      <c r="B5233" s="73">
        <v>3.665001464E7</v>
      </c>
      <c r="C5233" s="73">
        <v>1.45893297798561E9</v>
      </c>
      <c r="D5233" s="73">
        <v>1.04937996895281E9</v>
      </c>
      <c r="E5233" s="73"/>
      <c r="F5233" s="73"/>
      <c r="G5233" s="73"/>
      <c r="H5233" s="73"/>
      <c r="I5233" s="73"/>
      <c r="J5233" s="73"/>
      <c r="K5233" s="73"/>
      <c r="L5233" s="73"/>
      <c r="M5233" s="73"/>
      <c r="N5233" s="73"/>
      <c r="O5233" s="73"/>
      <c r="P5233" s="73"/>
      <c r="Q5233" s="73"/>
      <c r="R5233" s="73"/>
      <c r="S5233" s="73"/>
      <c r="T5233" s="73"/>
      <c r="U5233" s="73"/>
      <c r="V5233" s="73"/>
      <c r="W5233" s="73"/>
      <c r="X5233" s="73"/>
      <c r="Y5233" s="73"/>
      <c r="Z5233" s="73"/>
      <c r="AA5233" s="73"/>
      <c r="AB5233" s="73"/>
    </row>
    <row r="5234">
      <c r="A5234" s="73"/>
      <c r="B5234" s="73">
        <v>3.668556489E7</v>
      </c>
      <c r="C5234" s="73">
        <v>1.46188129728161E9</v>
      </c>
      <c r="D5234" s="73">
        <v>1.05253020614471E9</v>
      </c>
      <c r="E5234" s="73"/>
      <c r="F5234" s="73"/>
      <c r="G5234" s="73"/>
      <c r="H5234" s="73"/>
      <c r="I5234" s="73"/>
      <c r="J5234" s="73"/>
      <c r="K5234" s="73"/>
      <c r="L5234" s="73"/>
      <c r="M5234" s="73"/>
      <c r="N5234" s="73"/>
      <c r="O5234" s="73"/>
      <c r="P5234" s="73"/>
      <c r="Q5234" s="73"/>
      <c r="R5234" s="73"/>
      <c r="S5234" s="73"/>
      <c r="T5234" s="73"/>
      <c r="U5234" s="73"/>
      <c r="V5234" s="73"/>
      <c r="W5234" s="73"/>
      <c r="X5234" s="73"/>
      <c r="Y5234" s="73"/>
      <c r="Z5234" s="73"/>
      <c r="AA5234" s="73"/>
      <c r="AB5234" s="73"/>
    </row>
    <row r="5235">
      <c r="A5235" s="73"/>
      <c r="B5235" s="73">
        <v>3.672113642E7</v>
      </c>
      <c r="C5235" s="73">
        <v>1.46483546866289E9</v>
      </c>
      <c r="D5235" s="73">
        <v>1.05568973239481E9</v>
      </c>
      <c r="E5235" s="73"/>
      <c r="F5235" s="73"/>
      <c r="G5235" s="73"/>
      <c r="H5235" s="73"/>
      <c r="I5235" s="73"/>
      <c r="J5235" s="73"/>
      <c r="K5235" s="73"/>
      <c r="L5235" s="73"/>
      <c r="M5235" s="73"/>
      <c r="N5235" s="73"/>
      <c r="O5235" s="73"/>
      <c r="P5235" s="73"/>
      <c r="Q5235" s="73"/>
      <c r="R5235" s="73"/>
      <c r="S5235" s="73"/>
      <c r="T5235" s="73"/>
      <c r="U5235" s="73"/>
      <c r="V5235" s="73"/>
      <c r="W5235" s="73"/>
      <c r="X5235" s="73"/>
      <c r="Y5235" s="73"/>
      <c r="Z5235" s="73"/>
      <c r="AA5235" s="73"/>
      <c r="AB5235" s="73"/>
    </row>
    <row r="5236">
      <c r="A5236" s="73"/>
      <c r="B5236" s="73">
        <v>3.675673209E7</v>
      </c>
      <c r="C5236" s="73">
        <v>1.46779577482304E9</v>
      </c>
      <c r="D5236" s="73">
        <v>1.05885870191182E9</v>
      </c>
      <c r="E5236" s="73"/>
      <c r="F5236" s="73"/>
      <c r="G5236" s="73"/>
      <c r="H5236" s="73"/>
      <c r="I5236" s="73"/>
      <c r="J5236" s="73"/>
      <c r="K5236" s="73"/>
      <c r="L5236" s="73"/>
      <c r="M5236" s="73"/>
      <c r="N5236" s="73"/>
      <c r="O5236" s="73"/>
      <c r="P5236" s="73"/>
      <c r="Q5236" s="73"/>
      <c r="R5236" s="73"/>
      <c r="S5236" s="73"/>
      <c r="T5236" s="73"/>
      <c r="U5236" s="73"/>
      <c r="V5236" s="73"/>
      <c r="W5236" s="73"/>
      <c r="X5236" s="73"/>
      <c r="Y5236" s="73"/>
      <c r="Z5236" s="73"/>
      <c r="AA5236" s="73"/>
      <c r="AB5236" s="73"/>
    </row>
    <row r="5237">
      <c r="A5237" s="73"/>
      <c r="B5237" s="73">
        <v>3.679235133E7</v>
      </c>
      <c r="C5237" s="73">
        <v>1.47076141870806E9</v>
      </c>
      <c r="D5237" s="73">
        <v>1.06203691501096E9</v>
      </c>
      <c r="E5237" s="73"/>
      <c r="F5237" s="73"/>
      <c r="G5237" s="73"/>
      <c r="H5237" s="73"/>
      <c r="I5237" s="73"/>
      <c r="J5237" s="73"/>
      <c r="K5237" s="73"/>
      <c r="L5237" s="73"/>
      <c r="M5237" s="73"/>
      <c r="N5237" s="73"/>
      <c r="O5237" s="73"/>
      <c r="P5237" s="73"/>
      <c r="Q5237" s="73"/>
      <c r="R5237" s="73"/>
      <c r="S5237" s="73"/>
      <c r="T5237" s="73"/>
      <c r="U5237" s="73"/>
      <c r="V5237" s="73"/>
      <c r="W5237" s="73"/>
      <c r="X5237" s="73"/>
      <c r="Y5237" s="73"/>
      <c r="Z5237" s="73"/>
      <c r="AA5237" s="73"/>
      <c r="AB5237" s="73"/>
    </row>
    <row r="5238">
      <c r="A5238" s="73"/>
      <c r="B5238" s="73">
        <v>3.682799315E7</v>
      </c>
      <c r="C5238" s="73">
        <v>1.47373330373431E9</v>
      </c>
      <c r="D5238" s="73">
        <v>1.06522466941676E9</v>
      </c>
      <c r="E5238" s="73"/>
      <c r="F5238" s="73"/>
      <c r="G5238" s="73"/>
      <c r="H5238" s="73"/>
      <c r="I5238" s="73"/>
      <c r="J5238" s="73"/>
      <c r="K5238" s="73"/>
      <c r="L5238" s="73"/>
      <c r="M5238" s="73"/>
      <c r="N5238" s="73"/>
      <c r="O5238" s="73"/>
      <c r="P5238" s="73"/>
      <c r="Q5238" s="73"/>
      <c r="R5238" s="73"/>
      <c r="S5238" s="73"/>
      <c r="T5238" s="73"/>
      <c r="U5238" s="73"/>
      <c r="V5238" s="73"/>
      <c r="W5238" s="73"/>
      <c r="X5238" s="73"/>
      <c r="Y5238" s="73"/>
      <c r="Z5238" s="73"/>
      <c r="AA5238" s="73"/>
      <c r="AB5238" s="73"/>
    </row>
    <row r="5239">
      <c r="A5239" s="73"/>
      <c r="B5239" s="73">
        <v>3.686365822E7</v>
      </c>
      <c r="C5239" s="73">
        <v>1.47671087888066E9</v>
      </c>
      <c r="D5239" s="73">
        <v>1.06842176300322E9</v>
      </c>
      <c r="E5239" s="73"/>
      <c r="F5239" s="73"/>
      <c r="G5239" s="73"/>
      <c r="H5239" s="73"/>
      <c r="I5239" s="73"/>
      <c r="J5239" s="73"/>
      <c r="K5239" s="73"/>
      <c r="L5239" s="73"/>
      <c r="M5239" s="73"/>
      <c r="N5239" s="73"/>
      <c r="O5239" s="73"/>
      <c r="P5239" s="73"/>
      <c r="Q5239" s="73"/>
      <c r="R5239" s="73"/>
      <c r="S5239" s="73"/>
      <c r="T5239" s="73"/>
      <c r="U5239" s="73"/>
      <c r="V5239" s="73"/>
      <c r="W5239" s="73"/>
      <c r="X5239" s="73"/>
      <c r="Y5239" s="73"/>
      <c r="Z5239" s="73"/>
      <c r="AA5239" s="73"/>
      <c r="AB5239" s="73"/>
    </row>
    <row r="5240">
      <c r="A5240" s="73"/>
      <c r="B5240" s="73">
        <v>3.689934619E7</v>
      </c>
      <c r="C5240" s="73">
        <v>1.47969427345924E9</v>
      </c>
      <c r="D5240" s="73">
        <v>1.07162842576056E9</v>
      </c>
      <c r="E5240" s="73"/>
      <c r="F5240" s="73"/>
      <c r="G5240" s="73"/>
      <c r="H5240" s="73"/>
      <c r="I5240" s="73"/>
      <c r="J5240" s="73"/>
      <c r="K5240" s="73"/>
      <c r="L5240" s="73"/>
      <c r="M5240" s="73"/>
      <c r="N5240" s="73"/>
      <c r="O5240" s="73"/>
      <c r="P5240" s="73"/>
      <c r="Q5240" s="73"/>
      <c r="R5240" s="73"/>
      <c r="S5240" s="73"/>
      <c r="T5240" s="73"/>
      <c r="U5240" s="73"/>
      <c r="V5240" s="73"/>
      <c r="W5240" s="73"/>
      <c r="X5240" s="73"/>
      <c r="Y5240" s="73"/>
      <c r="Z5240" s="73"/>
      <c r="AA5240" s="73"/>
      <c r="AB5240" s="73"/>
    </row>
    <row r="5241">
      <c r="A5241" s="73"/>
      <c r="B5241" s="73">
        <v>3.6935058E7</v>
      </c>
      <c r="C5241" s="73">
        <v>1.4826835586138E9</v>
      </c>
      <c r="D5241" s="73">
        <v>1.07484445234578E9</v>
      </c>
      <c r="E5241" s="73"/>
      <c r="F5241" s="73"/>
      <c r="G5241" s="73"/>
      <c r="H5241" s="73"/>
      <c r="I5241" s="73"/>
      <c r="J5241" s="73"/>
      <c r="K5241" s="73"/>
      <c r="L5241" s="73"/>
      <c r="M5241" s="73"/>
      <c r="N5241" s="73"/>
      <c r="O5241" s="73"/>
      <c r="P5241" s="73"/>
      <c r="Q5241" s="73"/>
      <c r="R5241" s="73"/>
      <c r="S5241" s="73"/>
      <c r="T5241" s="73"/>
      <c r="U5241" s="73"/>
      <c r="V5241" s="73"/>
      <c r="W5241" s="73"/>
      <c r="X5241" s="73"/>
      <c r="Y5241" s="73"/>
      <c r="Z5241" s="73"/>
      <c r="AA5241" s="73"/>
      <c r="AB5241" s="73"/>
    </row>
    <row r="5242">
      <c r="A5242" s="73"/>
      <c r="B5242" s="73">
        <v>3.697079296E7</v>
      </c>
      <c r="C5242" s="73">
        <v>1.48567879931508E9</v>
      </c>
      <c r="D5242" s="73">
        <v>1.07807007385374E9</v>
      </c>
      <c r="E5242" s="73"/>
      <c r="F5242" s="73"/>
      <c r="G5242" s="73"/>
      <c r="H5242" s="73"/>
      <c r="I5242" s="73"/>
      <c r="J5242" s="73"/>
      <c r="K5242" s="73"/>
      <c r="L5242" s="73"/>
      <c r="M5242" s="73"/>
      <c r="N5242" s="73"/>
      <c r="O5242" s="73"/>
      <c r="P5242" s="73"/>
      <c r="Q5242" s="73"/>
      <c r="R5242" s="73"/>
      <c r="S5242" s="73"/>
      <c r="T5242" s="73"/>
      <c r="U5242" s="73"/>
      <c r="V5242" s="73"/>
      <c r="W5242" s="73"/>
      <c r="X5242" s="73"/>
      <c r="Y5242" s="73"/>
      <c r="Z5242" s="73"/>
      <c r="AA5242" s="73"/>
      <c r="AB5242" s="73"/>
    </row>
    <row r="5243">
      <c r="A5243" s="73"/>
      <c r="B5243" s="73">
        <v>3.700655052E7</v>
      </c>
      <c r="C5243" s="73">
        <v>1.48867997274214E9</v>
      </c>
      <c r="D5243" s="73">
        <v>1.08130530191371E9</v>
      </c>
      <c r="E5243" s="73"/>
      <c r="F5243" s="73"/>
      <c r="G5243" s="73"/>
      <c r="H5243" s="73"/>
      <c r="I5243" s="73"/>
      <c r="J5243" s="73"/>
      <c r="K5243" s="73"/>
      <c r="L5243" s="73"/>
      <c r="M5243" s="73"/>
      <c r="N5243" s="73"/>
      <c r="O5243" s="73"/>
      <c r="P5243" s="73"/>
      <c r="Q5243" s="73"/>
      <c r="R5243" s="73"/>
      <c r="S5243" s="73"/>
      <c r="T5243" s="73"/>
      <c r="U5243" s="73"/>
      <c r="V5243" s="73"/>
      <c r="W5243" s="73"/>
      <c r="X5243" s="73"/>
      <c r="Y5243" s="73"/>
      <c r="Z5243" s="73"/>
      <c r="AA5243" s="73"/>
      <c r="AB5243" s="73"/>
    </row>
    <row r="5244">
      <c r="A5244" s="73"/>
      <c r="B5244" s="73">
        <v>3.704233083E7</v>
      </c>
      <c r="C5244" s="73">
        <v>1.4916869616441E9</v>
      </c>
      <c r="D5244" s="73">
        <v>1.08454993281246E9</v>
      </c>
      <c r="E5244" s="73"/>
      <c r="F5244" s="73"/>
      <c r="G5244" s="73"/>
      <c r="H5244" s="73"/>
      <c r="I5244" s="73"/>
      <c r="J5244" s="73"/>
      <c r="K5244" s="73"/>
      <c r="L5244" s="73"/>
      <c r="M5244" s="73"/>
      <c r="N5244" s="73"/>
      <c r="O5244" s="73"/>
      <c r="P5244" s="73"/>
      <c r="Q5244" s="73"/>
      <c r="R5244" s="73"/>
      <c r="S5244" s="73"/>
      <c r="T5244" s="73"/>
      <c r="U5244" s="73"/>
      <c r="V5244" s="73"/>
      <c r="W5244" s="73"/>
      <c r="X5244" s="73"/>
      <c r="Y5244" s="73"/>
      <c r="Z5244" s="73"/>
      <c r="AA5244" s="73"/>
      <c r="AB5244" s="73"/>
    </row>
    <row r="5245">
      <c r="A5245" s="73"/>
      <c r="B5245" s="73">
        <v>3.707813534E7</v>
      </c>
      <c r="C5245" s="73">
        <v>1.49470023855772E9</v>
      </c>
      <c r="D5245" s="73">
        <v>1.0878041971433E9</v>
      </c>
      <c r="E5245" s="73"/>
      <c r="F5245" s="73"/>
      <c r="G5245" s="73"/>
      <c r="H5245" s="73"/>
      <c r="I5245" s="73"/>
      <c r="J5245" s="73"/>
      <c r="K5245" s="73"/>
      <c r="L5245" s="73"/>
      <c r="M5245" s="73"/>
      <c r="N5245" s="73"/>
      <c r="O5245" s="73"/>
      <c r="P5245" s="73"/>
      <c r="Q5245" s="73"/>
      <c r="R5245" s="73"/>
      <c r="S5245" s="73"/>
      <c r="T5245" s="73"/>
      <c r="U5245" s="73"/>
      <c r="V5245" s="73"/>
      <c r="W5245" s="73"/>
      <c r="X5245" s="73"/>
      <c r="Y5245" s="73"/>
      <c r="Z5245" s="73"/>
      <c r="AA5245" s="73"/>
      <c r="AB5245" s="73"/>
    </row>
    <row r="5246">
      <c r="A5246" s="73"/>
      <c r="B5246" s="73">
        <v>3.711396367E7</v>
      </c>
      <c r="C5246" s="73">
        <v>1.49771905910615E9</v>
      </c>
      <c r="D5246" s="73">
        <v>1.09106818067963E9</v>
      </c>
      <c r="E5246" s="73"/>
      <c r="F5246" s="73"/>
      <c r="G5246" s="73"/>
      <c r="H5246" s="73"/>
      <c r="I5246" s="73"/>
      <c r="J5246" s="73"/>
      <c r="K5246" s="73"/>
      <c r="L5246" s="73"/>
      <c r="M5246" s="73"/>
      <c r="N5246" s="73"/>
      <c r="O5246" s="73"/>
      <c r="P5246" s="73"/>
      <c r="Q5246" s="73"/>
      <c r="R5246" s="73"/>
      <c r="S5246" s="73"/>
      <c r="T5246" s="73"/>
      <c r="U5246" s="73"/>
      <c r="V5246" s="73"/>
      <c r="W5246" s="73"/>
      <c r="X5246" s="73"/>
      <c r="Y5246" s="73"/>
      <c r="Z5246" s="73"/>
      <c r="AA5246" s="73"/>
      <c r="AB5246" s="73"/>
    </row>
    <row r="5247">
      <c r="A5247" s="73"/>
      <c r="B5247" s="73">
        <v>3.714981261E7</v>
      </c>
      <c r="C5247" s="73">
        <v>1.50074393289851E9</v>
      </c>
      <c r="D5247" s="73">
        <v>1.09434175124135E9</v>
      </c>
      <c r="E5247" s="73"/>
      <c r="F5247" s="73"/>
      <c r="G5247" s="73"/>
      <c r="H5247" s="73"/>
      <c r="I5247" s="73"/>
      <c r="J5247" s="73"/>
      <c r="K5247" s="73"/>
      <c r="L5247" s="73"/>
      <c r="M5247" s="73"/>
      <c r="N5247" s="73"/>
      <c r="O5247" s="73"/>
      <c r="P5247" s="73"/>
      <c r="Q5247" s="73"/>
      <c r="R5247" s="73"/>
      <c r="S5247" s="73"/>
      <c r="T5247" s="73"/>
      <c r="U5247" s="73"/>
      <c r="V5247" s="73"/>
      <c r="W5247" s="73"/>
      <c r="X5247" s="73"/>
      <c r="Y5247" s="73"/>
      <c r="Z5247" s="73"/>
      <c r="AA5247" s="73"/>
      <c r="AB5247" s="73"/>
    </row>
    <row r="5248">
      <c r="A5248" s="73"/>
      <c r="B5248" s="73">
        <v>3.718568665E7</v>
      </c>
      <c r="C5248" s="73">
        <v>1.50377458091127E9</v>
      </c>
      <c r="D5248" s="73">
        <v>1.09762506701326E9</v>
      </c>
      <c r="E5248" s="73"/>
      <c r="F5248" s="73"/>
      <c r="G5248" s="73"/>
      <c r="H5248" s="73"/>
      <c r="I5248" s="73"/>
      <c r="J5248" s="73"/>
      <c r="K5248" s="73"/>
      <c r="L5248" s="73"/>
      <c r="M5248" s="73"/>
      <c r="N5248" s="73"/>
      <c r="O5248" s="73"/>
      <c r="P5248" s="73"/>
      <c r="Q5248" s="73"/>
      <c r="R5248" s="73"/>
      <c r="S5248" s="73"/>
      <c r="T5248" s="73"/>
      <c r="U5248" s="73"/>
      <c r="V5248" s="73"/>
      <c r="W5248" s="73"/>
      <c r="X5248" s="73"/>
      <c r="Y5248" s="73"/>
      <c r="Z5248" s="73"/>
      <c r="AA5248" s="73"/>
      <c r="AB5248" s="73"/>
    </row>
    <row r="5249">
      <c r="A5249" s="73"/>
      <c r="B5249" s="73">
        <v>3.722158354E7</v>
      </c>
      <c r="C5249" s="73">
        <v>1.50681161010533E9</v>
      </c>
      <c r="D5249" s="73">
        <v>1.10091806729572E9</v>
      </c>
      <c r="E5249" s="73"/>
      <c r="F5249" s="73"/>
      <c r="G5249" s="73"/>
      <c r="H5249" s="73"/>
      <c r="I5249" s="73"/>
      <c r="J5249" s="73"/>
      <c r="K5249" s="73"/>
      <c r="L5249" s="73"/>
      <c r="M5249" s="73"/>
      <c r="N5249" s="73"/>
      <c r="O5249" s="73"/>
      <c r="P5249" s="73"/>
      <c r="Q5249" s="73"/>
      <c r="R5249" s="73"/>
      <c r="S5249" s="73"/>
      <c r="T5249" s="73"/>
      <c r="U5249" s="73"/>
      <c r="V5249" s="73"/>
      <c r="W5249" s="73"/>
      <c r="X5249" s="73"/>
      <c r="Y5249" s="73"/>
      <c r="Z5249" s="73"/>
      <c r="AA5249" s="73"/>
      <c r="AB5249" s="73"/>
    </row>
    <row r="5250">
      <c r="A5250" s="73"/>
      <c r="B5250" s="73">
        <v>3.725750373E7</v>
      </c>
      <c r="C5250" s="73">
        <v>1.50985433075088E9</v>
      </c>
      <c r="D5250" s="73">
        <v>1.10422076624559E9</v>
      </c>
      <c r="E5250" s="73"/>
      <c r="F5250" s="73"/>
      <c r="G5250" s="73"/>
      <c r="H5250" s="73"/>
      <c r="I5250" s="73"/>
      <c r="J5250" s="73"/>
      <c r="K5250" s="73"/>
      <c r="L5250" s="73"/>
      <c r="M5250" s="73"/>
      <c r="N5250" s="73"/>
      <c r="O5250" s="73"/>
      <c r="P5250" s="73"/>
      <c r="Q5250" s="73"/>
      <c r="R5250" s="73"/>
      <c r="S5250" s="73"/>
      <c r="T5250" s="73"/>
      <c r="U5250" s="73"/>
      <c r="V5250" s="73"/>
      <c r="W5250" s="73"/>
      <c r="X5250" s="73"/>
      <c r="Y5250" s="73"/>
      <c r="Z5250" s="73"/>
      <c r="AA5250" s="73"/>
      <c r="AB5250" s="73"/>
    </row>
    <row r="5251">
      <c r="A5251" s="73"/>
      <c r="B5251" s="73">
        <v>3.729344716E7</v>
      </c>
      <c r="C5251" s="73">
        <v>1.51290303528602E9</v>
      </c>
      <c r="D5251" s="73">
        <v>1.10753325000019E9</v>
      </c>
      <c r="E5251" s="73"/>
      <c r="F5251" s="73"/>
      <c r="G5251" s="73"/>
      <c r="H5251" s="73"/>
      <c r="I5251" s="73"/>
      <c r="J5251" s="73"/>
      <c r="K5251" s="73"/>
      <c r="L5251" s="73"/>
      <c r="M5251" s="73"/>
      <c r="N5251" s="73"/>
      <c r="O5251" s="73"/>
      <c r="P5251" s="73"/>
      <c r="Q5251" s="73"/>
      <c r="R5251" s="73"/>
      <c r="S5251" s="73"/>
      <c r="T5251" s="73"/>
      <c r="U5251" s="73"/>
      <c r="V5251" s="73"/>
      <c r="W5251" s="73"/>
      <c r="X5251" s="73"/>
      <c r="Y5251" s="73"/>
      <c r="Z5251" s="73"/>
      <c r="AA5251" s="73"/>
      <c r="AB5251" s="73"/>
    </row>
    <row r="5252">
      <c r="A5252" s="73"/>
      <c r="B5252" s="73">
        <v>3.732941318E7</v>
      </c>
      <c r="C5252" s="73">
        <v>1.51595785445208E9</v>
      </c>
      <c r="D5252" s="73">
        <v>1.11085553141972E9</v>
      </c>
      <c r="E5252" s="73"/>
      <c r="F5252" s="73"/>
      <c r="G5252" s="73"/>
      <c r="H5252" s="73"/>
      <c r="I5252" s="73"/>
      <c r="J5252" s="73"/>
      <c r="K5252" s="73"/>
      <c r="L5252" s="73"/>
      <c r="M5252" s="73"/>
      <c r="N5252" s="73"/>
      <c r="O5252" s="73"/>
      <c r="P5252" s="73"/>
      <c r="Q5252" s="73"/>
      <c r="R5252" s="73"/>
      <c r="S5252" s="73"/>
      <c r="T5252" s="73"/>
      <c r="U5252" s="73"/>
      <c r="V5252" s="73"/>
      <c r="W5252" s="73"/>
      <c r="X5252" s="73"/>
      <c r="Y5252" s="73"/>
      <c r="Z5252" s="73"/>
      <c r="AA5252" s="73"/>
      <c r="AB5252" s="73"/>
    </row>
    <row r="5253">
      <c r="A5253" s="73"/>
      <c r="B5253" s="73">
        <v>3.73654034E7</v>
      </c>
      <c r="C5253" s="73">
        <v>1.51901867064514E9</v>
      </c>
      <c r="D5253" s="73">
        <v>1.1141876971404E9</v>
      </c>
      <c r="E5253" s="73"/>
      <c r="F5253" s="73"/>
      <c r="G5253" s="73"/>
      <c r="H5253" s="73"/>
      <c r="I5253" s="73"/>
      <c r="J5253" s="73"/>
      <c r="K5253" s="73"/>
      <c r="L5253" s="73"/>
      <c r="M5253" s="73"/>
      <c r="N5253" s="73"/>
      <c r="O5253" s="73"/>
      <c r="P5253" s="73"/>
      <c r="Q5253" s="73"/>
      <c r="R5253" s="73"/>
      <c r="S5253" s="73"/>
      <c r="T5253" s="73"/>
      <c r="U5253" s="73"/>
      <c r="V5253" s="73"/>
      <c r="W5253" s="73"/>
      <c r="X5253" s="73"/>
      <c r="Y5253" s="73"/>
      <c r="Z5253" s="73"/>
      <c r="AA5253" s="73"/>
      <c r="AB5253" s="73"/>
    </row>
    <row r="5254">
      <c r="A5254" s="73"/>
      <c r="B5254" s="73">
        <v>3.740141709E7</v>
      </c>
      <c r="C5254" s="73">
        <v>1.52208561474305E9</v>
      </c>
      <c r="D5254" s="73">
        <v>1.11752968761911E9</v>
      </c>
      <c r="E5254" s="73"/>
      <c r="F5254" s="73"/>
      <c r="G5254" s="73"/>
      <c r="H5254" s="73"/>
      <c r="I5254" s="73"/>
      <c r="J5254" s="73"/>
      <c r="K5254" s="73"/>
      <c r="L5254" s="73"/>
      <c r="M5254" s="73"/>
      <c r="N5254" s="73"/>
      <c r="O5254" s="73"/>
      <c r="P5254" s="73"/>
      <c r="Q5254" s="73"/>
      <c r="R5254" s="73"/>
      <c r="S5254" s="73"/>
      <c r="T5254" s="73"/>
      <c r="U5254" s="73"/>
      <c r="V5254" s="73"/>
      <c r="W5254" s="73"/>
      <c r="X5254" s="73"/>
      <c r="Y5254" s="73"/>
      <c r="Z5254" s="73"/>
      <c r="AA5254" s="73"/>
      <c r="AB5254" s="73"/>
    </row>
    <row r="5255">
      <c r="A5255" s="73"/>
      <c r="B5255" s="73">
        <v>3.743745174E7</v>
      </c>
      <c r="C5255" s="73">
        <v>1.52515834827025E9</v>
      </c>
      <c r="D5255" s="73">
        <v>1.12088158828159E9</v>
      </c>
      <c r="E5255" s="73"/>
      <c r="F5255" s="73"/>
      <c r="G5255" s="73"/>
      <c r="H5255" s="73"/>
      <c r="I5255" s="73"/>
      <c r="J5255" s="73"/>
      <c r="K5255" s="73"/>
      <c r="L5255" s="73"/>
      <c r="M5255" s="73"/>
      <c r="N5255" s="73"/>
      <c r="O5255" s="73"/>
      <c r="P5255" s="73"/>
      <c r="Q5255" s="73"/>
      <c r="R5255" s="73"/>
      <c r="S5255" s="73"/>
      <c r="T5255" s="73"/>
      <c r="U5255" s="73"/>
      <c r="V5255" s="73"/>
      <c r="W5255" s="73"/>
      <c r="X5255" s="73"/>
      <c r="Y5255" s="73"/>
      <c r="Z5255" s="73"/>
      <c r="AA5255" s="73"/>
      <c r="AB5255" s="73"/>
    </row>
    <row r="5256">
      <c r="A5256" s="73"/>
      <c r="B5256" s="73">
        <v>3.747351205E7</v>
      </c>
      <c r="C5256" s="73">
        <v>1.52823725060763E9</v>
      </c>
      <c r="D5256" s="73">
        <v>1.12424334030371E9</v>
      </c>
      <c r="E5256" s="73"/>
      <c r="F5256" s="73"/>
      <c r="G5256" s="73"/>
      <c r="H5256" s="73"/>
      <c r="I5256" s="73"/>
      <c r="J5256" s="73"/>
      <c r="K5256" s="73"/>
      <c r="L5256" s="73"/>
      <c r="M5256" s="73"/>
      <c r="N5256" s="73"/>
      <c r="O5256" s="73"/>
      <c r="P5256" s="73"/>
      <c r="Q5256" s="73"/>
      <c r="R5256" s="73"/>
      <c r="S5256" s="73"/>
      <c r="T5256" s="73"/>
      <c r="U5256" s="73"/>
      <c r="V5256" s="73"/>
      <c r="W5256" s="73"/>
      <c r="X5256" s="73"/>
      <c r="Y5256" s="73"/>
      <c r="Z5256" s="73"/>
      <c r="AA5256" s="73"/>
      <c r="AB5256" s="73"/>
    </row>
    <row r="5257">
      <c r="A5257" s="73"/>
      <c r="B5257" s="73">
        <v>3.750959457E7</v>
      </c>
      <c r="C5257" s="73">
        <v>1.53132227232202E9</v>
      </c>
      <c r="D5257" s="73">
        <v>1.12761502800193E9</v>
      </c>
      <c r="E5257" s="73"/>
      <c r="F5257" s="73"/>
      <c r="G5257" s="73"/>
      <c r="H5257" s="73"/>
      <c r="I5257" s="73"/>
      <c r="J5257" s="73"/>
      <c r="K5257" s="73"/>
      <c r="L5257" s="73"/>
      <c r="M5257" s="73"/>
      <c r="N5257" s="73"/>
      <c r="O5257" s="73"/>
      <c r="P5257" s="73"/>
      <c r="Q5257" s="73"/>
      <c r="R5257" s="73"/>
      <c r="S5257" s="73"/>
      <c r="T5257" s="73"/>
      <c r="U5257" s="73"/>
      <c r="V5257" s="73"/>
      <c r="W5257" s="73"/>
      <c r="X5257" s="73"/>
      <c r="Y5257" s="73"/>
      <c r="Z5257" s="73"/>
      <c r="AA5257" s="73"/>
      <c r="AB5257" s="73"/>
    </row>
    <row r="5258">
      <c r="A5258" s="73"/>
      <c r="B5258" s="73">
        <v>3.754569951E7</v>
      </c>
      <c r="C5258" s="73">
        <v>1.53441344824543E9</v>
      </c>
      <c r="D5258" s="73">
        <v>1.13099674148607E9</v>
      </c>
      <c r="E5258" s="73"/>
      <c r="F5258" s="73"/>
      <c r="G5258" s="73"/>
      <c r="H5258" s="73"/>
      <c r="I5258" s="73"/>
      <c r="J5258" s="73"/>
      <c r="K5258" s="73"/>
      <c r="L5258" s="73"/>
      <c r="M5258" s="73"/>
      <c r="N5258" s="73"/>
      <c r="O5258" s="73"/>
      <c r="P5258" s="73"/>
      <c r="Q5258" s="73"/>
      <c r="R5258" s="73"/>
      <c r="S5258" s="73"/>
      <c r="T5258" s="73"/>
      <c r="U5258" s="73"/>
      <c r="V5258" s="73"/>
      <c r="W5258" s="73"/>
      <c r="X5258" s="73"/>
      <c r="Y5258" s="73"/>
      <c r="Z5258" s="73"/>
      <c r="AA5258" s="73"/>
      <c r="AB5258" s="73"/>
    </row>
    <row r="5259">
      <c r="A5259" s="73"/>
      <c r="B5259" s="73">
        <v>3.758182902E7</v>
      </c>
      <c r="C5259" s="73">
        <v>1.53751056351235E9</v>
      </c>
      <c r="D5259" s="73">
        <v>1.13438841767377E9</v>
      </c>
      <c r="E5259" s="73"/>
      <c r="F5259" s="73"/>
      <c r="G5259" s="73"/>
      <c r="H5259" s="73"/>
      <c r="I5259" s="73"/>
      <c r="J5259" s="73"/>
      <c r="K5259" s="73"/>
      <c r="L5259" s="73"/>
      <c r="M5259" s="73"/>
      <c r="N5259" s="73"/>
      <c r="O5259" s="73"/>
      <c r="P5259" s="73"/>
      <c r="Q5259" s="73"/>
      <c r="R5259" s="73"/>
      <c r="S5259" s="73"/>
      <c r="T5259" s="73"/>
      <c r="U5259" s="73"/>
      <c r="V5259" s="73"/>
      <c r="W5259" s="73"/>
      <c r="X5259" s="73"/>
      <c r="Y5259" s="73"/>
      <c r="Z5259" s="73"/>
      <c r="AA5259" s="73"/>
      <c r="AB5259" s="73"/>
    </row>
    <row r="5260">
      <c r="A5260" s="73"/>
      <c r="B5260" s="73">
        <v>3.761798123E7</v>
      </c>
      <c r="C5260" s="73">
        <v>1.54061374897402E9</v>
      </c>
      <c r="D5260" s="73">
        <v>1.13779014634933E9</v>
      </c>
      <c r="E5260" s="73"/>
      <c r="F5260" s="73"/>
      <c r="G5260" s="73"/>
      <c r="H5260" s="73"/>
      <c r="I5260" s="73"/>
      <c r="J5260" s="73"/>
      <c r="K5260" s="73"/>
      <c r="L5260" s="73"/>
      <c r="M5260" s="73"/>
      <c r="N5260" s="73"/>
      <c r="O5260" s="73"/>
      <c r="P5260" s="73"/>
      <c r="Q5260" s="73"/>
      <c r="R5260" s="73"/>
      <c r="S5260" s="73"/>
      <c r="T5260" s="73"/>
      <c r="U5260" s="73"/>
      <c r="V5260" s="73"/>
      <c r="W5260" s="73"/>
      <c r="X5260" s="73"/>
      <c r="Y5260" s="73"/>
      <c r="Z5260" s="73"/>
      <c r="AA5260" s="73"/>
      <c r="AB5260" s="73"/>
    </row>
    <row r="5261">
      <c r="A5261" s="73"/>
      <c r="B5261" s="73">
        <v>3.765415716E7</v>
      </c>
      <c r="C5261" s="73">
        <v>1.5437231081118E9</v>
      </c>
      <c r="D5261" s="73">
        <v>1.14120194195084E9</v>
      </c>
      <c r="E5261" s="73"/>
      <c r="F5261" s="73"/>
      <c r="G5261" s="73"/>
      <c r="H5261" s="73"/>
      <c r="I5261" s="73"/>
      <c r="J5261" s="73"/>
      <c r="K5261" s="73"/>
      <c r="L5261" s="73"/>
      <c r="M5261" s="73"/>
      <c r="N5261" s="73"/>
      <c r="O5261" s="73"/>
      <c r="P5261" s="73"/>
      <c r="Q5261" s="73"/>
      <c r="R5261" s="73"/>
      <c r="S5261" s="73"/>
      <c r="T5261" s="73"/>
      <c r="U5261" s="73"/>
      <c r="V5261" s="73"/>
      <c r="W5261" s="73"/>
      <c r="X5261" s="73"/>
      <c r="Y5261" s="73"/>
      <c r="Z5261" s="73"/>
      <c r="AA5261" s="73"/>
      <c r="AB5261" s="73"/>
    </row>
    <row r="5262">
      <c r="A5262" s="73"/>
      <c r="B5262" s="73">
        <v>3.769035556E7</v>
      </c>
      <c r="C5262" s="73">
        <v>1.54683874499289E9</v>
      </c>
      <c r="D5262" s="73">
        <v>1.14462373704689E9</v>
      </c>
      <c r="E5262" s="73"/>
      <c r="F5262" s="73"/>
      <c r="G5262" s="73"/>
      <c r="H5262" s="73"/>
      <c r="I5262" s="73"/>
      <c r="J5262" s="73"/>
      <c r="K5262" s="73"/>
      <c r="L5262" s="73"/>
      <c r="M5262" s="73"/>
      <c r="N5262" s="73"/>
      <c r="O5262" s="73"/>
      <c r="P5262" s="73"/>
      <c r="Q5262" s="73"/>
      <c r="R5262" s="73"/>
      <c r="S5262" s="73"/>
      <c r="T5262" s="73"/>
      <c r="U5262" s="73"/>
      <c r="V5262" s="73"/>
      <c r="W5262" s="73"/>
      <c r="X5262" s="73"/>
      <c r="Y5262" s="73"/>
      <c r="Z5262" s="73"/>
      <c r="AA5262" s="73"/>
      <c r="AB5262" s="73"/>
    </row>
    <row r="5263">
      <c r="A5263" s="73"/>
      <c r="B5263" s="73">
        <v>3.772657776E7</v>
      </c>
      <c r="C5263" s="73">
        <v>1.54996024940248E9</v>
      </c>
      <c r="D5263" s="73">
        <v>1.14805577309265E9</v>
      </c>
      <c r="E5263" s="73"/>
      <c r="F5263" s="73"/>
      <c r="G5263" s="73"/>
      <c r="H5263" s="73"/>
      <c r="I5263" s="73"/>
      <c r="J5263" s="73"/>
      <c r="K5263" s="73"/>
      <c r="L5263" s="73"/>
      <c r="M5263" s="73"/>
      <c r="N5263" s="73"/>
      <c r="O5263" s="73"/>
      <c r="P5263" s="73"/>
      <c r="Q5263" s="73"/>
      <c r="R5263" s="73"/>
      <c r="S5263" s="73"/>
      <c r="T5263" s="73"/>
      <c r="U5263" s="73"/>
      <c r="V5263" s="73"/>
      <c r="W5263" s="73"/>
      <c r="X5263" s="73"/>
      <c r="Y5263" s="73"/>
      <c r="Z5263" s="73"/>
      <c r="AA5263" s="73"/>
      <c r="AB5263" s="73"/>
    </row>
    <row r="5264">
      <c r="A5264" s="73"/>
      <c r="B5264" s="73">
        <v>3.776282303E7</v>
      </c>
      <c r="C5264" s="73">
        <v>1.55308816991655E9</v>
      </c>
      <c r="D5264" s="73">
        <v>1.15149791544992E9</v>
      </c>
      <c r="E5264" s="73"/>
      <c r="F5264" s="73"/>
      <c r="G5264" s="73"/>
      <c r="H5264" s="73"/>
      <c r="I5264" s="73"/>
      <c r="J5264" s="73"/>
      <c r="K5264" s="73"/>
      <c r="L5264" s="73"/>
      <c r="M5264" s="73"/>
      <c r="N5264" s="73"/>
      <c r="O5264" s="73"/>
      <c r="P5264" s="73"/>
      <c r="Q5264" s="73"/>
      <c r="R5264" s="73"/>
      <c r="S5264" s="73"/>
      <c r="T5264" s="73"/>
      <c r="U5264" s="73"/>
      <c r="V5264" s="73"/>
      <c r="W5264" s="73"/>
      <c r="X5264" s="73"/>
      <c r="Y5264" s="73"/>
      <c r="Z5264" s="73"/>
      <c r="AA5264" s="73"/>
      <c r="AB5264" s="73"/>
    </row>
    <row r="5265">
      <c r="A5265" s="73"/>
      <c r="B5265" s="73">
        <v>3.779909206E7</v>
      </c>
      <c r="C5265" s="73">
        <v>1.55622206821091E9</v>
      </c>
      <c r="D5265" s="73">
        <v>1.15495017614854E9</v>
      </c>
      <c r="E5265" s="73"/>
      <c r="F5265" s="73"/>
      <c r="G5265" s="73"/>
      <c r="H5265" s="73"/>
      <c r="I5265" s="73"/>
      <c r="J5265" s="73"/>
      <c r="K5265" s="73"/>
      <c r="L5265" s="73"/>
      <c r="M5265" s="73"/>
      <c r="N5265" s="73"/>
      <c r="O5265" s="73"/>
      <c r="P5265" s="73"/>
      <c r="Q5265" s="73"/>
      <c r="R5265" s="73"/>
      <c r="S5265" s="73"/>
      <c r="T5265" s="73"/>
      <c r="U5265" s="73"/>
      <c r="V5265" s="73"/>
      <c r="W5265" s="73"/>
      <c r="X5265" s="73"/>
      <c r="Y5265" s="73"/>
      <c r="Z5265" s="73"/>
      <c r="AA5265" s="73"/>
      <c r="AB5265" s="73"/>
    </row>
    <row r="5266">
      <c r="A5266" s="73"/>
      <c r="B5266" s="73">
        <v>3.783538355E7</v>
      </c>
      <c r="C5266" s="73">
        <v>1.55936207554251E9</v>
      </c>
      <c r="D5266" s="73">
        <v>1.15841264188073E9</v>
      </c>
      <c r="E5266" s="73"/>
      <c r="F5266" s="73"/>
      <c r="G5266" s="73"/>
      <c r="H5266" s="73"/>
      <c r="I5266" s="73"/>
      <c r="J5266" s="73"/>
      <c r="K5266" s="73"/>
      <c r="L5266" s="73"/>
      <c r="M5266" s="73"/>
      <c r="N5266" s="73"/>
      <c r="O5266" s="73"/>
      <c r="P5266" s="73"/>
      <c r="Q5266" s="73"/>
      <c r="R5266" s="73"/>
      <c r="S5266" s="73"/>
      <c r="T5266" s="73"/>
      <c r="U5266" s="73"/>
      <c r="V5266" s="73"/>
      <c r="W5266" s="73"/>
      <c r="X5266" s="73"/>
      <c r="Y5266" s="73"/>
      <c r="Z5266" s="73"/>
      <c r="AA5266" s="73"/>
      <c r="AB5266" s="73"/>
    </row>
    <row r="5267">
      <c r="A5267" s="73"/>
      <c r="B5267" s="73">
        <v>3.787169837E7</v>
      </c>
      <c r="C5267" s="73">
        <v>1.56250829628916E9</v>
      </c>
      <c r="D5267" s="73">
        <v>1.16188540194028E9</v>
      </c>
      <c r="E5267" s="73"/>
      <c r="F5267" s="73"/>
      <c r="G5267" s="73"/>
      <c r="H5267" s="73"/>
      <c r="I5267" s="73"/>
      <c r="J5267" s="73"/>
      <c r="K5267" s="73"/>
      <c r="L5267" s="73"/>
      <c r="M5267" s="73"/>
      <c r="N5267" s="73"/>
      <c r="O5267" s="73"/>
      <c r="P5267" s="73"/>
      <c r="Q5267" s="73"/>
      <c r="R5267" s="73"/>
      <c r="S5267" s="73"/>
      <c r="T5267" s="73"/>
      <c r="U5267" s="73"/>
      <c r="V5267" s="73"/>
      <c r="W5267" s="73"/>
      <c r="X5267" s="73"/>
      <c r="Y5267" s="73"/>
      <c r="Z5267" s="73"/>
      <c r="AA5267" s="73"/>
      <c r="AB5267" s="73"/>
    </row>
    <row r="5268">
      <c r="A5268" s="73"/>
      <c r="B5268" s="73">
        <v>3.790803669E7</v>
      </c>
      <c r="C5268" s="73">
        <v>1.56566083541971E9</v>
      </c>
      <c r="D5268" s="73">
        <v>1.16536839529668E9</v>
      </c>
      <c r="E5268" s="73"/>
      <c r="F5268" s="73"/>
      <c r="G5268" s="73"/>
      <c r="H5268" s="73"/>
      <c r="I5268" s="73"/>
      <c r="J5268" s="73"/>
      <c r="K5268" s="73"/>
      <c r="L5268" s="73"/>
      <c r="M5268" s="73"/>
      <c r="N5268" s="73"/>
      <c r="O5268" s="73"/>
      <c r="P5268" s="73"/>
      <c r="Q5268" s="73"/>
      <c r="R5268" s="73"/>
      <c r="S5268" s="73"/>
      <c r="T5268" s="73"/>
      <c r="U5268" s="73"/>
      <c r="V5268" s="73"/>
      <c r="W5268" s="73"/>
      <c r="X5268" s="73"/>
      <c r="Y5268" s="73"/>
      <c r="Z5268" s="73"/>
      <c r="AA5268" s="73"/>
      <c r="AB5268" s="73"/>
    </row>
    <row r="5269">
      <c r="A5269" s="73"/>
      <c r="B5269" s="73">
        <v>3.794439882E7</v>
      </c>
      <c r="C5269" s="73">
        <v>1.56881962874962E9</v>
      </c>
      <c r="D5269" s="73">
        <v>1.16886171090138E9</v>
      </c>
      <c r="E5269" s="73"/>
      <c r="F5269" s="73"/>
      <c r="G5269" s="73"/>
      <c r="H5269" s="73"/>
      <c r="I5269" s="73"/>
      <c r="J5269" s="73"/>
      <c r="K5269" s="73"/>
      <c r="L5269" s="73"/>
      <c r="M5269" s="73"/>
      <c r="N5269" s="73"/>
      <c r="O5269" s="73"/>
      <c r="P5269" s="73"/>
      <c r="Q5269" s="73"/>
      <c r="R5269" s="73"/>
      <c r="S5269" s="73"/>
      <c r="T5269" s="73"/>
      <c r="U5269" s="73"/>
      <c r="V5269" s="73"/>
      <c r="W5269" s="73"/>
      <c r="X5269" s="73"/>
      <c r="Y5269" s="73"/>
      <c r="Z5269" s="73"/>
      <c r="AA5269" s="73"/>
      <c r="AB5269" s="73"/>
    </row>
    <row r="5270">
      <c r="A5270" s="73"/>
      <c r="B5270" s="73">
        <v>3.798078297E7</v>
      </c>
      <c r="C5270" s="73">
        <v>1.57198453050049E9</v>
      </c>
      <c r="D5270" s="73">
        <v>1.17236536034776E9</v>
      </c>
      <c r="E5270" s="73"/>
      <c r="F5270" s="73"/>
      <c r="G5270" s="73"/>
      <c r="H5270" s="73"/>
      <c r="I5270" s="73"/>
      <c r="J5270" s="73"/>
      <c r="K5270" s="73"/>
      <c r="L5270" s="73"/>
      <c r="M5270" s="73"/>
      <c r="N5270" s="73"/>
      <c r="O5270" s="73"/>
      <c r="P5270" s="73"/>
      <c r="Q5270" s="73"/>
      <c r="R5270" s="73"/>
      <c r="S5270" s="73"/>
      <c r="T5270" s="73"/>
      <c r="U5270" s="73"/>
      <c r="V5270" s="73"/>
      <c r="W5270" s="73"/>
      <c r="X5270" s="73"/>
      <c r="Y5270" s="73"/>
      <c r="Z5270" s="73"/>
      <c r="AA5270" s="73"/>
      <c r="AB5270" s="73"/>
    </row>
    <row r="5271">
      <c r="A5271" s="73"/>
      <c r="B5271" s="73">
        <v>3.801719128E7</v>
      </c>
      <c r="C5271" s="73">
        <v>1.57515579817697E9</v>
      </c>
      <c r="D5271" s="73">
        <v>1.17587936075645E9</v>
      </c>
      <c r="E5271" s="73"/>
      <c r="F5271" s="73"/>
      <c r="G5271" s="73"/>
      <c r="H5271" s="73"/>
      <c r="I5271" s="73"/>
      <c r="J5271" s="73"/>
      <c r="K5271" s="73"/>
      <c r="L5271" s="73"/>
      <c r="M5271" s="73"/>
      <c r="N5271" s="73"/>
      <c r="O5271" s="73"/>
      <c r="P5271" s="73"/>
      <c r="Q5271" s="73"/>
      <c r="R5271" s="73"/>
      <c r="S5271" s="73"/>
      <c r="T5271" s="73"/>
      <c r="U5271" s="73"/>
      <c r="V5271" s="73"/>
      <c r="W5271" s="73"/>
      <c r="X5271" s="73"/>
      <c r="Y5271" s="73"/>
      <c r="Z5271" s="73"/>
      <c r="AA5271" s="73"/>
      <c r="AB5271" s="73"/>
    </row>
    <row r="5272">
      <c r="A5272" s="73"/>
      <c r="B5272" s="73">
        <v>3.805362334E7</v>
      </c>
      <c r="C5272" s="73">
        <v>1.57833299007437E9</v>
      </c>
      <c r="D5272" s="73">
        <v>1.17940372285589E9</v>
      </c>
      <c r="E5272" s="73"/>
      <c r="F5272" s="73"/>
      <c r="G5272" s="73"/>
      <c r="H5272" s="73"/>
      <c r="I5272" s="73"/>
      <c r="J5272" s="73"/>
      <c r="K5272" s="73"/>
      <c r="L5272" s="73"/>
      <c r="M5272" s="73"/>
      <c r="N5272" s="73"/>
      <c r="O5272" s="73"/>
      <c r="P5272" s="73"/>
      <c r="Q5272" s="73"/>
      <c r="R5272" s="73"/>
      <c r="S5272" s="73"/>
      <c r="T5272" s="73"/>
      <c r="U5272" s="73"/>
      <c r="V5272" s="73"/>
      <c r="W5272" s="73"/>
      <c r="X5272" s="73"/>
      <c r="Y5272" s="73"/>
      <c r="Z5272" s="73"/>
      <c r="AA5272" s="73"/>
      <c r="AB5272" s="73"/>
    </row>
    <row r="5273">
      <c r="A5273" s="73"/>
      <c r="B5273" s="73">
        <v>3.809007824E7</v>
      </c>
      <c r="C5273" s="73">
        <v>1.58151656098016E9</v>
      </c>
      <c r="D5273" s="73">
        <v>1.18293853715943E9</v>
      </c>
      <c r="E5273" s="73"/>
      <c r="F5273" s="73"/>
      <c r="G5273" s="73"/>
      <c r="H5273" s="73"/>
      <c r="I5273" s="73"/>
      <c r="J5273" s="73"/>
      <c r="K5273" s="73"/>
      <c r="L5273" s="73"/>
      <c r="M5273" s="73"/>
      <c r="N5273" s="73"/>
      <c r="O5273" s="73"/>
      <c r="P5273" s="73"/>
      <c r="Q5273" s="73"/>
      <c r="R5273" s="73"/>
      <c r="S5273" s="73"/>
      <c r="T5273" s="73"/>
      <c r="U5273" s="73"/>
      <c r="V5273" s="73"/>
      <c r="W5273" s="73"/>
      <c r="X5273" s="73"/>
      <c r="Y5273" s="73"/>
      <c r="Z5273" s="73"/>
      <c r="AA5273" s="73"/>
      <c r="AB5273" s="73"/>
    </row>
    <row r="5274">
      <c r="A5274" s="73"/>
      <c r="B5274" s="73">
        <v>3.812655605E7</v>
      </c>
      <c r="C5274" s="73">
        <v>1.58470661696738E9</v>
      </c>
      <c r="D5274" s="73">
        <v>1.18648374223038E9</v>
      </c>
      <c r="E5274" s="73"/>
      <c r="F5274" s="73"/>
      <c r="G5274" s="73"/>
      <c r="H5274" s="73"/>
      <c r="I5274" s="73"/>
      <c r="J5274" s="73"/>
      <c r="K5274" s="73"/>
      <c r="L5274" s="73"/>
      <c r="M5274" s="73"/>
      <c r="N5274" s="73"/>
      <c r="O5274" s="73"/>
      <c r="P5274" s="73"/>
      <c r="Q5274" s="73"/>
      <c r="R5274" s="73"/>
      <c r="S5274" s="73"/>
      <c r="T5274" s="73"/>
      <c r="U5274" s="73"/>
      <c r="V5274" s="73"/>
      <c r="W5274" s="73"/>
      <c r="X5274" s="73"/>
      <c r="Y5274" s="73"/>
      <c r="Z5274" s="73"/>
      <c r="AA5274" s="73"/>
      <c r="AB5274" s="73"/>
    </row>
    <row r="5275">
      <c r="A5275" s="73"/>
      <c r="B5275" s="73">
        <v>3.816305786E7</v>
      </c>
      <c r="C5275" s="73">
        <v>1.58790284123377E9</v>
      </c>
      <c r="D5275" s="73">
        <v>1.19003942340757E9</v>
      </c>
      <c r="E5275" s="73"/>
      <c r="F5275" s="73"/>
      <c r="G5275" s="73"/>
      <c r="H5275" s="73"/>
      <c r="I5275" s="73"/>
      <c r="J5275" s="73"/>
      <c r="K5275" s="73"/>
      <c r="L5275" s="73"/>
      <c r="M5275" s="73"/>
      <c r="N5275" s="73"/>
      <c r="O5275" s="73"/>
      <c r="P5275" s="73"/>
      <c r="Q5275" s="73"/>
      <c r="R5275" s="73"/>
      <c r="S5275" s="73"/>
      <c r="T5275" s="73"/>
      <c r="U5275" s="73"/>
      <c r="V5275" s="73"/>
      <c r="W5275" s="73"/>
      <c r="X5275" s="73"/>
      <c r="Y5275" s="73"/>
      <c r="Z5275" s="73"/>
      <c r="AA5275" s="73"/>
      <c r="AB5275" s="73"/>
    </row>
    <row r="5276">
      <c r="A5276" s="73"/>
      <c r="B5276" s="73">
        <v>3.819958269E7</v>
      </c>
      <c r="C5276" s="73">
        <v>1.59110514072053E9</v>
      </c>
      <c r="D5276" s="73">
        <v>1.19360567295666E9</v>
      </c>
      <c r="E5276" s="73"/>
      <c r="F5276" s="73"/>
      <c r="G5276" s="73"/>
      <c r="H5276" s="73"/>
      <c r="I5276" s="73"/>
      <c r="J5276" s="73"/>
      <c r="K5276" s="73"/>
      <c r="L5276" s="73"/>
      <c r="M5276" s="73"/>
      <c r="N5276" s="73"/>
      <c r="O5276" s="73"/>
      <c r="P5276" s="73"/>
      <c r="Q5276" s="73"/>
      <c r="R5276" s="73"/>
      <c r="S5276" s="73"/>
      <c r="T5276" s="73"/>
      <c r="U5276" s="73"/>
      <c r="V5276" s="73"/>
      <c r="W5276" s="73"/>
      <c r="X5276" s="73"/>
      <c r="Y5276" s="73"/>
      <c r="Z5276" s="73"/>
      <c r="AA5276" s="73"/>
      <c r="AB5276" s="73"/>
    </row>
    <row r="5277">
      <c r="A5277" s="73"/>
      <c r="B5277" s="73">
        <v>3.823613033E7</v>
      </c>
      <c r="C5277" s="73">
        <v>1.5943140190606E9</v>
      </c>
      <c r="D5277" s="73">
        <v>1.19718235480198E9</v>
      </c>
      <c r="E5277" s="73"/>
      <c r="F5277" s="73"/>
      <c r="G5277" s="73"/>
      <c r="H5277" s="73"/>
      <c r="I5277" s="73"/>
      <c r="J5277" s="73"/>
      <c r="K5277" s="73"/>
      <c r="L5277" s="73"/>
      <c r="M5277" s="73"/>
      <c r="N5277" s="73"/>
      <c r="O5277" s="73"/>
      <c r="P5277" s="73"/>
      <c r="Q5277" s="73"/>
      <c r="R5277" s="73"/>
      <c r="S5277" s="73"/>
      <c r="T5277" s="73"/>
      <c r="U5277" s="73"/>
      <c r="V5277" s="73"/>
      <c r="W5277" s="73"/>
      <c r="X5277" s="73"/>
      <c r="Y5277" s="73"/>
      <c r="Z5277" s="73"/>
      <c r="AA5277" s="73"/>
      <c r="AB5277" s="73"/>
    </row>
    <row r="5278">
      <c r="A5278" s="73"/>
      <c r="B5278" s="73">
        <v>3.827270131E7</v>
      </c>
      <c r="C5278" s="73">
        <v>1.59752901212863E9</v>
      </c>
      <c r="D5278" s="73">
        <v>1.20076970747573E9</v>
      </c>
      <c r="E5278" s="73"/>
      <c r="F5278" s="73"/>
      <c r="G5278" s="73"/>
      <c r="H5278" s="73"/>
      <c r="I5278" s="73"/>
      <c r="J5278" s="73"/>
      <c r="K5278" s="73"/>
      <c r="L5278" s="73"/>
      <c r="M5278" s="73"/>
      <c r="N5278" s="73"/>
      <c r="O5278" s="73"/>
      <c r="P5278" s="73"/>
      <c r="Q5278" s="73"/>
      <c r="R5278" s="73"/>
      <c r="S5278" s="73"/>
      <c r="T5278" s="73"/>
      <c r="U5278" s="73"/>
      <c r="V5278" s="73"/>
      <c r="W5278" s="73"/>
      <c r="X5278" s="73"/>
      <c r="Y5278" s="73"/>
      <c r="Z5278" s="73"/>
      <c r="AA5278" s="73"/>
      <c r="AB5278" s="73"/>
    </row>
    <row r="5279">
      <c r="A5279" s="73"/>
      <c r="B5279" s="73">
        <v>3.830929606E7</v>
      </c>
      <c r="C5279" s="73">
        <v>1.60075029912626E9</v>
      </c>
      <c r="D5279" s="73">
        <v>1.20436766850568E9</v>
      </c>
      <c r="E5279" s="73"/>
      <c r="F5279" s="73"/>
      <c r="G5279" s="73"/>
      <c r="H5279" s="73"/>
      <c r="I5279" s="73"/>
      <c r="J5279" s="73"/>
      <c r="K5279" s="73"/>
      <c r="L5279" s="73"/>
      <c r="M5279" s="73"/>
      <c r="N5279" s="73"/>
      <c r="O5279" s="73"/>
      <c r="P5279" s="73"/>
      <c r="Q5279" s="73"/>
      <c r="R5279" s="73"/>
      <c r="S5279" s="73"/>
      <c r="T5279" s="73"/>
      <c r="U5279" s="73"/>
      <c r="V5279" s="73"/>
      <c r="W5279" s="73"/>
      <c r="X5279" s="73"/>
      <c r="Y5279" s="73"/>
      <c r="Z5279" s="73"/>
      <c r="AA5279" s="73"/>
      <c r="AB5279" s="73"/>
    </row>
    <row r="5280">
      <c r="A5280" s="73"/>
      <c r="B5280" s="73">
        <v>3.834591359E7</v>
      </c>
      <c r="C5280" s="73">
        <v>1.60397823894954E9</v>
      </c>
      <c r="D5280" s="73">
        <v>1.20797618200428E9</v>
      </c>
      <c r="E5280" s="73"/>
      <c r="F5280" s="73"/>
      <c r="G5280" s="73"/>
      <c r="H5280" s="73"/>
      <c r="I5280" s="73"/>
      <c r="J5280" s="73"/>
      <c r="K5280" s="73"/>
      <c r="L5280" s="73"/>
      <c r="M5280" s="73"/>
      <c r="N5280" s="73"/>
      <c r="O5280" s="73"/>
      <c r="P5280" s="73"/>
      <c r="Q5280" s="73"/>
      <c r="R5280" s="73"/>
      <c r="S5280" s="73"/>
      <c r="T5280" s="73"/>
      <c r="U5280" s="73"/>
      <c r="V5280" s="73"/>
      <c r="W5280" s="73"/>
      <c r="X5280" s="73"/>
      <c r="Y5280" s="73"/>
      <c r="Z5280" s="73"/>
      <c r="AA5280" s="73"/>
      <c r="AB5280" s="73"/>
    </row>
    <row r="5281">
      <c r="A5281" s="73"/>
      <c r="B5281" s="73">
        <v>3.838255492E7</v>
      </c>
      <c r="C5281" s="73">
        <v>1.60721226060579E9</v>
      </c>
      <c r="D5281" s="73">
        <v>1.21159540512824E9</v>
      </c>
      <c r="E5281" s="73"/>
      <c r="F5281" s="73"/>
      <c r="G5281" s="73"/>
      <c r="H5281" s="73"/>
      <c r="I5281" s="73"/>
      <c r="J5281" s="73"/>
      <c r="K5281" s="73"/>
      <c r="L5281" s="73"/>
      <c r="M5281" s="73"/>
      <c r="N5281" s="73"/>
      <c r="O5281" s="73"/>
      <c r="P5281" s="73"/>
      <c r="Q5281" s="73"/>
      <c r="R5281" s="73"/>
      <c r="S5281" s="73"/>
      <c r="T5281" s="73"/>
      <c r="U5281" s="73"/>
      <c r="V5281" s="73"/>
      <c r="W5281" s="73"/>
      <c r="X5281" s="73"/>
      <c r="Y5281" s="73"/>
      <c r="Z5281" s="73"/>
      <c r="AA5281" s="73"/>
      <c r="AB5281" s="73"/>
    </row>
    <row r="5282">
      <c r="A5282" s="73"/>
      <c r="B5282" s="73">
        <v>3.841921984E7</v>
      </c>
      <c r="C5282" s="73">
        <v>1.61045272291433E9</v>
      </c>
      <c r="D5282" s="73">
        <v>1.21522535824812E9</v>
      </c>
      <c r="E5282" s="73"/>
      <c r="F5282" s="73"/>
      <c r="G5282" s="73"/>
      <c r="H5282" s="73"/>
      <c r="I5282" s="73"/>
      <c r="J5282" s="73"/>
      <c r="K5282" s="73"/>
      <c r="L5282" s="73"/>
      <c r="M5282" s="73"/>
      <c r="N5282" s="73"/>
      <c r="O5282" s="73"/>
      <c r="P5282" s="73"/>
      <c r="Q5282" s="73"/>
      <c r="R5282" s="73"/>
      <c r="S5282" s="73"/>
      <c r="T5282" s="73"/>
      <c r="U5282" s="73"/>
      <c r="V5282" s="73"/>
      <c r="W5282" s="73"/>
      <c r="X5282" s="73"/>
      <c r="Y5282" s="73"/>
      <c r="Z5282" s="73"/>
      <c r="AA5282" s="73"/>
      <c r="AB5282" s="73"/>
    </row>
    <row r="5283">
      <c r="A5283" s="73"/>
      <c r="B5283" s="73">
        <v>3.845590816E7</v>
      </c>
      <c r="C5283" s="73">
        <v>1.61369953243558E9</v>
      </c>
      <c r="D5283" s="73">
        <v>1.2188659763159E9</v>
      </c>
      <c r="E5283" s="73"/>
      <c r="F5283" s="73"/>
      <c r="G5283" s="73"/>
      <c r="H5283" s="73"/>
      <c r="I5283" s="73"/>
      <c r="J5283" s="73"/>
      <c r="K5283" s="73"/>
      <c r="L5283" s="73"/>
      <c r="M5283" s="73"/>
      <c r="N5283" s="73"/>
      <c r="O5283" s="73"/>
      <c r="P5283" s="73"/>
      <c r="Q5283" s="73"/>
      <c r="R5283" s="73"/>
      <c r="S5283" s="73"/>
      <c r="T5283" s="73"/>
      <c r="U5283" s="73"/>
      <c r="V5283" s="73"/>
      <c r="W5283" s="73"/>
      <c r="X5283" s="73"/>
      <c r="Y5283" s="73"/>
      <c r="Z5283" s="73"/>
      <c r="AA5283" s="73"/>
      <c r="AB5283" s="73"/>
    </row>
    <row r="5284">
      <c r="A5284" s="73"/>
      <c r="B5284" s="73">
        <v>3.849261867E7</v>
      </c>
      <c r="C5284" s="73">
        <v>1.61695299752155E9</v>
      </c>
      <c r="D5284" s="73">
        <v>1.22251734579351E9</v>
      </c>
      <c r="E5284" s="73"/>
      <c r="F5284" s="73"/>
      <c r="G5284" s="73"/>
      <c r="H5284" s="73"/>
      <c r="I5284" s="73"/>
      <c r="J5284" s="73"/>
      <c r="K5284" s="73"/>
      <c r="L5284" s="73"/>
      <c r="M5284" s="73"/>
      <c r="N5284" s="73"/>
      <c r="O5284" s="73"/>
      <c r="P5284" s="73"/>
      <c r="Q5284" s="73"/>
      <c r="R5284" s="73"/>
      <c r="S5284" s="73"/>
      <c r="T5284" s="73"/>
      <c r="U5284" s="73"/>
      <c r="V5284" s="73"/>
      <c r="W5284" s="73"/>
      <c r="X5284" s="73"/>
      <c r="Y5284" s="73"/>
      <c r="Z5284" s="73"/>
      <c r="AA5284" s="73"/>
      <c r="AB5284" s="73"/>
    </row>
    <row r="5285">
      <c r="A5285" s="73"/>
      <c r="B5285" s="73">
        <v>3.852935374E7</v>
      </c>
      <c r="C5285" s="73">
        <v>1.62021259672373E9</v>
      </c>
      <c r="D5285" s="73">
        <v>1.22617948934411E9</v>
      </c>
      <c r="E5285" s="73"/>
      <c r="F5285" s="73"/>
      <c r="G5285" s="73"/>
      <c r="H5285" s="73"/>
      <c r="I5285" s="73"/>
      <c r="J5285" s="73"/>
      <c r="K5285" s="73"/>
      <c r="L5285" s="73"/>
      <c r="M5285" s="73"/>
      <c r="N5285" s="73"/>
      <c r="O5285" s="73"/>
      <c r="P5285" s="73"/>
      <c r="Q5285" s="73"/>
      <c r="R5285" s="73"/>
      <c r="S5285" s="73"/>
      <c r="T5285" s="73"/>
      <c r="U5285" s="73"/>
      <c r="V5285" s="73"/>
      <c r="W5285" s="73"/>
      <c r="X5285" s="73"/>
      <c r="Y5285" s="73"/>
      <c r="Z5285" s="73"/>
      <c r="AA5285" s="73"/>
      <c r="AB5285" s="73"/>
    </row>
    <row r="5286">
      <c r="A5286" s="73"/>
      <c r="B5286" s="73">
        <v>3.856611135E7</v>
      </c>
      <c r="C5286" s="73">
        <v>1.62347856329996E9</v>
      </c>
      <c r="D5286" s="73">
        <v>1.22985257015611E9</v>
      </c>
      <c r="E5286" s="73"/>
      <c r="F5286" s="73"/>
      <c r="G5286" s="73"/>
      <c r="H5286" s="73"/>
      <c r="I5286" s="73"/>
      <c r="J5286" s="73"/>
      <c r="K5286" s="73"/>
      <c r="L5286" s="73"/>
      <c r="M5286" s="73"/>
      <c r="N5286" s="73"/>
      <c r="O5286" s="73"/>
      <c r="P5286" s="73"/>
      <c r="Q5286" s="73"/>
      <c r="R5286" s="73"/>
      <c r="S5286" s="73"/>
      <c r="T5286" s="73"/>
      <c r="U5286" s="73"/>
      <c r="V5286" s="73"/>
      <c r="W5286" s="73"/>
      <c r="X5286" s="73"/>
      <c r="Y5286" s="73"/>
      <c r="Z5286" s="73"/>
      <c r="AA5286" s="73"/>
      <c r="AB5286" s="73"/>
    </row>
    <row r="5287">
      <c r="A5287" s="73"/>
      <c r="B5287" s="73">
        <v>3.860289305E7</v>
      </c>
      <c r="C5287" s="73">
        <v>1.62675110592095E9</v>
      </c>
      <c r="D5287" s="73">
        <v>1.23353637185836E9</v>
      </c>
      <c r="E5287" s="73"/>
      <c r="F5287" s="73"/>
      <c r="G5287" s="73"/>
      <c r="H5287" s="73"/>
      <c r="I5287" s="73"/>
      <c r="J5287" s="73"/>
      <c r="K5287" s="73"/>
      <c r="L5287" s="73"/>
      <c r="M5287" s="73"/>
      <c r="N5287" s="73"/>
      <c r="O5287" s="73"/>
      <c r="P5287" s="73"/>
      <c r="Q5287" s="73"/>
      <c r="R5287" s="73"/>
      <c r="S5287" s="73"/>
      <c r="T5287" s="73"/>
      <c r="U5287" s="73"/>
      <c r="V5287" s="73"/>
      <c r="W5287" s="73"/>
      <c r="X5287" s="73"/>
      <c r="Y5287" s="73"/>
      <c r="Z5287" s="73"/>
      <c r="AA5287" s="73"/>
      <c r="AB5287" s="73"/>
    </row>
    <row r="5288">
      <c r="A5288" s="73"/>
      <c r="B5288" s="73">
        <v>3.863969821E7</v>
      </c>
      <c r="C5288" s="73">
        <v>1.63003002966283E9</v>
      </c>
      <c r="D5288" s="73">
        <v>1.23723113268869E9</v>
      </c>
      <c r="E5288" s="73"/>
      <c r="F5288" s="73"/>
      <c r="G5288" s="73"/>
      <c r="H5288" s="73"/>
      <c r="I5288" s="73"/>
      <c r="J5288" s="73"/>
      <c r="K5288" s="73"/>
      <c r="L5288" s="73"/>
      <c r="M5288" s="73"/>
      <c r="N5288" s="73"/>
      <c r="O5288" s="73"/>
      <c r="P5288" s="73"/>
      <c r="Q5288" s="73"/>
      <c r="R5288" s="73"/>
      <c r="S5288" s="73"/>
      <c r="T5288" s="73"/>
      <c r="U5288" s="73"/>
      <c r="V5288" s="73"/>
      <c r="W5288" s="73"/>
      <c r="X5288" s="73"/>
      <c r="Y5288" s="73"/>
      <c r="Z5288" s="73"/>
      <c r="AA5288" s="73"/>
      <c r="AB5288" s="73"/>
    </row>
    <row r="5289">
      <c r="A5289" s="73"/>
      <c r="B5289" s="73">
        <v>3.867652522E7</v>
      </c>
      <c r="C5289" s="73">
        <v>1.63331534110131E9</v>
      </c>
      <c r="D5289" s="73">
        <v>1.24093672696922E9</v>
      </c>
      <c r="E5289" s="73"/>
      <c r="F5289" s="73"/>
      <c r="G5289" s="73"/>
      <c r="H5289" s="73"/>
      <c r="I5289" s="73"/>
      <c r="J5289" s="73"/>
      <c r="K5289" s="73"/>
      <c r="L5289" s="73"/>
      <c r="M5289" s="73"/>
      <c r="N5289" s="73"/>
      <c r="O5289" s="73"/>
      <c r="P5289" s="73"/>
      <c r="Q5289" s="73"/>
      <c r="R5289" s="73"/>
      <c r="S5289" s="73"/>
      <c r="T5289" s="73"/>
      <c r="U5289" s="73"/>
      <c r="V5289" s="73"/>
      <c r="W5289" s="73"/>
      <c r="X5289" s="73"/>
      <c r="Y5289" s="73"/>
      <c r="Z5289" s="73"/>
      <c r="AA5289" s="73"/>
      <c r="AB5289" s="73"/>
    </row>
    <row r="5290">
      <c r="A5290" s="73"/>
      <c r="B5290" s="73">
        <v>3.871337661E7</v>
      </c>
      <c r="C5290" s="73">
        <v>1.63660724982753E9</v>
      </c>
      <c r="D5290" s="73">
        <v>1.24465330849705E9</v>
      </c>
      <c r="E5290" s="73"/>
      <c r="F5290" s="73"/>
      <c r="G5290" s="73"/>
      <c r="H5290" s="73"/>
      <c r="I5290" s="73"/>
      <c r="J5290" s="73"/>
      <c r="K5290" s="73"/>
      <c r="L5290" s="73"/>
      <c r="M5290" s="73"/>
      <c r="N5290" s="73"/>
      <c r="O5290" s="73"/>
      <c r="P5290" s="73"/>
      <c r="Q5290" s="73"/>
      <c r="R5290" s="73"/>
      <c r="S5290" s="73"/>
      <c r="T5290" s="73"/>
      <c r="U5290" s="73"/>
      <c r="V5290" s="73"/>
      <c r="W5290" s="73"/>
      <c r="X5290" s="73"/>
      <c r="Y5290" s="73"/>
      <c r="Z5290" s="73"/>
      <c r="AA5290" s="73"/>
      <c r="AB5290" s="73"/>
    </row>
    <row r="5291">
      <c r="A5291" s="73"/>
      <c r="B5291" s="73">
        <v>3.875025216E7</v>
      </c>
      <c r="C5291" s="73">
        <v>1.63990543325329E9</v>
      </c>
      <c r="D5291" s="73">
        <v>1.24838090118603E9</v>
      </c>
      <c r="E5291" s="73"/>
      <c r="F5291" s="73"/>
      <c r="G5291" s="73"/>
      <c r="H5291" s="73"/>
      <c r="I5291" s="73"/>
      <c r="J5291" s="73"/>
      <c r="K5291" s="73"/>
      <c r="L5291" s="73"/>
      <c r="M5291" s="73"/>
      <c r="N5291" s="73"/>
      <c r="O5291" s="73"/>
      <c r="P5291" s="73"/>
      <c r="Q5291" s="73"/>
      <c r="R5291" s="73"/>
      <c r="S5291" s="73"/>
      <c r="T5291" s="73"/>
      <c r="U5291" s="73"/>
      <c r="V5291" s="73"/>
      <c r="W5291" s="73"/>
      <c r="X5291" s="73"/>
      <c r="Y5291" s="73"/>
      <c r="Z5291" s="73"/>
      <c r="AA5291" s="73"/>
      <c r="AB5291" s="73"/>
    </row>
    <row r="5292">
      <c r="A5292" s="73"/>
      <c r="B5292" s="73">
        <v>3.87871499E7</v>
      </c>
      <c r="C5292" s="73">
        <v>1.64321038007229E9</v>
      </c>
      <c r="D5292" s="73">
        <v>1.25211943681526E9</v>
      </c>
      <c r="E5292" s="73"/>
      <c r="F5292" s="73"/>
      <c r="G5292" s="73"/>
      <c r="H5292" s="73"/>
      <c r="I5292" s="73"/>
      <c r="J5292" s="73"/>
      <c r="K5292" s="73"/>
      <c r="L5292" s="73"/>
      <c r="M5292" s="73"/>
      <c r="N5292" s="73"/>
      <c r="O5292" s="73"/>
      <c r="P5292" s="73"/>
      <c r="Q5292" s="73"/>
      <c r="R5292" s="73"/>
      <c r="S5292" s="73"/>
      <c r="T5292" s="73"/>
      <c r="U5292" s="73"/>
      <c r="V5292" s="73"/>
      <c r="W5292" s="73"/>
      <c r="X5292" s="73"/>
      <c r="Y5292" s="73"/>
      <c r="Z5292" s="73"/>
      <c r="AA5292" s="73"/>
      <c r="AB5292" s="73"/>
    </row>
    <row r="5293">
      <c r="A5293" s="73"/>
      <c r="B5293" s="73">
        <v>3.882407208E7</v>
      </c>
      <c r="C5293" s="73">
        <v>1.6465216150696E9</v>
      </c>
      <c r="D5293" s="73">
        <v>1.25586900504826E9</v>
      </c>
      <c r="E5293" s="73"/>
      <c r="F5293" s="73"/>
      <c r="G5293" s="73"/>
      <c r="H5293" s="73"/>
      <c r="I5293" s="73"/>
      <c r="J5293" s="73"/>
      <c r="K5293" s="73"/>
      <c r="L5293" s="73"/>
      <c r="M5293" s="73"/>
      <c r="N5293" s="73"/>
      <c r="O5293" s="73"/>
      <c r="P5293" s="73"/>
      <c r="Q5293" s="73"/>
      <c r="R5293" s="73"/>
      <c r="S5293" s="73"/>
      <c r="T5293" s="73"/>
      <c r="U5293" s="73"/>
      <c r="V5293" s="73"/>
      <c r="W5293" s="73"/>
      <c r="X5293" s="73"/>
      <c r="Y5293" s="73"/>
      <c r="Z5293" s="73"/>
      <c r="AA5293" s="73"/>
      <c r="AB5293" s="73"/>
    </row>
    <row r="5294">
      <c r="A5294" s="73"/>
      <c r="B5294" s="73">
        <v>3.886101637E7</v>
      </c>
      <c r="C5294" s="73">
        <v>1.64983937371918E9</v>
      </c>
      <c r="D5294" s="73">
        <v>1.25962971149921E9</v>
      </c>
      <c r="E5294" s="73"/>
      <c r="F5294" s="73"/>
      <c r="G5294" s="73"/>
      <c r="H5294" s="73"/>
      <c r="I5294" s="73"/>
      <c r="J5294" s="73"/>
      <c r="K5294" s="73"/>
      <c r="L5294" s="73"/>
      <c r="M5294" s="73"/>
      <c r="N5294" s="73"/>
      <c r="O5294" s="73"/>
      <c r="P5294" s="73"/>
      <c r="Q5294" s="73"/>
      <c r="R5294" s="73"/>
      <c r="S5294" s="73"/>
      <c r="T5294" s="73"/>
      <c r="U5294" s="73"/>
      <c r="V5294" s="73"/>
      <c r="W5294" s="73"/>
      <c r="X5294" s="73"/>
      <c r="Y5294" s="73"/>
      <c r="Z5294" s="73"/>
      <c r="AA5294" s="73"/>
      <c r="AB5294" s="73"/>
    </row>
    <row r="5295">
      <c r="A5295" s="73"/>
      <c r="B5295" s="73">
        <v>3.88979843E7</v>
      </c>
      <c r="C5295" s="73">
        <v>1.65316356080483E9</v>
      </c>
      <c r="D5295" s="73">
        <v>1.2634014724212E9</v>
      </c>
      <c r="E5295" s="73"/>
      <c r="F5295" s="73"/>
      <c r="G5295" s="73"/>
      <c r="H5295" s="73"/>
      <c r="I5295" s="73"/>
      <c r="J5295" s="73"/>
      <c r="K5295" s="73"/>
      <c r="L5295" s="73"/>
      <c r="M5295" s="73"/>
      <c r="N5295" s="73"/>
      <c r="O5295" s="73"/>
      <c r="P5295" s="73"/>
      <c r="Q5295" s="73"/>
      <c r="R5295" s="73"/>
      <c r="S5295" s="73"/>
      <c r="T5295" s="73"/>
      <c r="U5295" s="73"/>
      <c r="V5295" s="73"/>
      <c r="W5295" s="73"/>
      <c r="X5295" s="73"/>
      <c r="Y5295" s="73"/>
      <c r="Z5295" s="73"/>
      <c r="AA5295" s="73"/>
      <c r="AB5295" s="73"/>
    </row>
    <row r="5296">
      <c r="A5296" s="73"/>
      <c r="B5296" s="73">
        <v>3.893497677E7</v>
      </c>
      <c r="C5296" s="73">
        <v>1.65649449019411E9</v>
      </c>
      <c r="D5296" s="73">
        <v>1.26718446718453E9</v>
      </c>
      <c r="E5296" s="73"/>
      <c r="F5296" s="73"/>
      <c r="G5296" s="73"/>
      <c r="H5296" s="73"/>
      <c r="I5296" s="73"/>
      <c r="J5296" s="73"/>
      <c r="K5296" s="73"/>
      <c r="L5296" s="73"/>
      <c r="M5296" s="73"/>
      <c r="N5296" s="73"/>
      <c r="O5296" s="73"/>
      <c r="P5296" s="73"/>
      <c r="Q5296" s="73"/>
      <c r="R5296" s="73"/>
      <c r="S5296" s="73"/>
      <c r="T5296" s="73"/>
      <c r="U5296" s="73"/>
      <c r="V5296" s="73"/>
      <c r="W5296" s="73"/>
      <c r="X5296" s="73"/>
      <c r="Y5296" s="73"/>
      <c r="Z5296" s="73"/>
      <c r="AA5296" s="73"/>
      <c r="AB5296" s="73"/>
    </row>
    <row r="5297">
      <c r="A5297" s="73"/>
      <c r="B5297" s="73">
        <v>3.897199185E7</v>
      </c>
      <c r="C5297" s="73">
        <v>1.65983201387698E9</v>
      </c>
      <c r="D5297" s="73">
        <v>1.27097856301218E9</v>
      </c>
      <c r="E5297" s="73"/>
      <c r="F5297" s="73"/>
      <c r="G5297" s="73"/>
      <c r="H5297" s="73"/>
      <c r="I5297" s="73"/>
      <c r="J5297" s="73"/>
      <c r="K5297" s="73"/>
      <c r="L5297" s="73"/>
      <c r="M5297" s="73"/>
      <c r="N5297" s="73"/>
      <c r="O5297" s="73"/>
      <c r="P5297" s="73"/>
      <c r="Q5297" s="73"/>
      <c r="R5297" s="73"/>
      <c r="S5297" s="73"/>
      <c r="T5297" s="73"/>
      <c r="U5297" s="73"/>
      <c r="V5297" s="73"/>
      <c r="W5297" s="73"/>
      <c r="X5297" s="73"/>
      <c r="Y5297" s="73"/>
      <c r="Z5297" s="73"/>
      <c r="AA5297" s="73"/>
      <c r="AB5297" s="73"/>
    </row>
    <row r="5298">
      <c r="A5298" s="73"/>
      <c r="B5298" s="73">
        <v>3.900903007E7</v>
      </c>
      <c r="C5298" s="73">
        <v>1.66317606491333E9</v>
      </c>
      <c r="D5298" s="73">
        <v>1.27478375617142E9</v>
      </c>
      <c r="E5298" s="73"/>
      <c r="F5298" s="73"/>
      <c r="G5298" s="73"/>
      <c r="H5298" s="73"/>
      <c r="I5298" s="73"/>
      <c r="J5298" s="73"/>
      <c r="K5298" s="73"/>
      <c r="L5298" s="73"/>
      <c r="M5298" s="73"/>
      <c r="N5298" s="73"/>
      <c r="O5298" s="73"/>
      <c r="P5298" s="73"/>
      <c r="Q5298" s="73"/>
      <c r="R5298" s="73"/>
      <c r="S5298" s="73"/>
      <c r="T5298" s="73"/>
      <c r="U5298" s="73"/>
      <c r="V5298" s="73"/>
      <c r="W5298" s="73"/>
      <c r="X5298" s="73"/>
      <c r="Y5298" s="73"/>
      <c r="Z5298" s="73"/>
      <c r="AA5298" s="73"/>
      <c r="AB5298" s="73"/>
    </row>
    <row r="5299">
      <c r="A5299" s="73"/>
      <c r="B5299" s="73">
        <v>3.904609178E7</v>
      </c>
      <c r="C5299" s="73">
        <v>1.66652646927223E9</v>
      </c>
      <c r="D5299" s="73">
        <v>1.27860031312784E9</v>
      </c>
      <c r="E5299" s="73"/>
      <c r="F5299" s="73"/>
      <c r="G5299" s="73"/>
      <c r="H5299" s="73"/>
      <c r="I5299" s="73"/>
      <c r="J5299" s="73"/>
      <c r="K5299" s="73"/>
      <c r="L5299" s="73"/>
      <c r="M5299" s="73"/>
      <c r="N5299" s="73"/>
      <c r="O5299" s="73"/>
      <c r="P5299" s="73"/>
      <c r="Q5299" s="73"/>
      <c r="R5299" s="73"/>
      <c r="S5299" s="73"/>
      <c r="T5299" s="73"/>
      <c r="U5299" s="73"/>
      <c r="V5299" s="73"/>
      <c r="W5299" s="73"/>
      <c r="X5299" s="73"/>
      <c r="Y5299" s="73"/>
      <c r="Z5299" s="73"/>
      <c r="AA5299" s="73"/>
      <c r="AB5299" s="73"/>
    </row>
    <row r="5300">
      <c r="A5300" s="73"/>
      <c r="B5300" s="73">
        <v>3.908317755E7</v>
      </c>
      <c r="C5300" s="73">
        <v>1.66988356653398E9</v>
      </c>
      <c r="D5300" s="73">
        <v>1.28242823282223E9</v>
      </c>
      <c r="E5300" s="73"/>
      <c r="F5300" s="73"/>
      <c r="G5300" s="73"/>
      <c r="H5300" s="73"/>
      <c r="I5300" s="73"/>
      <c r="J5300" s="73"/>
      <c r="K5300" s="73"/>
      <c r="L5300" s="73"/>
      <c r="M5300" s="73"/>
      <c r="N5300" s="73"/>
      <c r="O5300" s="73"/>
      <c r="P5300" s="73"/>
      <c r="Q5300" s="73"/>
      <c r="R5300" s="73"/>
      <c r="S5300" s="73"/>
      <c r="T5300" s="73"/>
      <c r="U5300" s="73"/>
      <c r="V5300" s="73"/>
      <c r="W5300" s="73"/>
      <c r="X5300" s="73"/>
      <c r="Y5300" s="73"/>
      <c r="Z5300" s="73"/>
      <c r="AA5300" s="73"/>
      <c r="AB5300" s="73"/>
    </row>
    <row r="5301">
      <c r="A5301" s="73"/>
      <c r="B5301" s="73">
        <v>3.912028616E7</v>
      </c>
      <c r="C5301" s="73">
        <v>1.67324723655298E9</v>
      </c>
      <c r="D5301" s="73">
        <v>1.28626722777346E9</v>
      </c>
      <c r="E5301" s="73"/>
      <c r="F5301" s="73"/>
      <c r="G5301" s="73"/>
      <c r="H5301" s="73"/>
      <c r="I5301" s="73"/>
      <c r="J5301" s="73"/>
      <c r="K5301" s="73"/>
      <c r="L5301" s="73"/>
      <c r="M5301" s="73"/>
      <c r="N5301" s="73"/>
      <c r="O5301" s="73"/>
      <c r="P5301" s="73"/>
      <c r="Q5301" s="73"/>
      <c r="R5301" s="73"/>
      <c r="S5301" s="73"/>
      <c r="T5301" s="73"/>
      <c r="U5301" s="73"/>
      <c r="V5301" s="73"/>
      <c r="W5301" s="73"/>
      <c r="X5301" s="73"/>
      <c r="Y5301" s="73"/>
      <c r="Z5301" s="73"/>
      <c r="AA5301" s="73"/>
      <c r="AB5301" s="73"/>
    </row>
    <row r="5302">
      <c r="A5302" s="73"/>
      <c r="B5302" s="73">
        <v>3.915741796E7</v>
      </c>
      <c r="C5302" s="73">
        <v>1.67661761389469E9</v>
      </c>
      <c r="D5302" s="73">
        <v>1.29011769881812E9</v>
      </c>
      <c r="E5302" s="73"/>
      <c r="F5302" s="73"/>
      <c r="G5302" s="73"/>
      <c r="H5302" s="73"/>
      <c r="I5302" s="73"/>
      <c r="J5302" s="73"/>
      <c r="K5302" s="73"/>
      <c r="L5302" s="73"/>
      <c r="M5302" s="73"/>
      <c r="N5302" s="73"/>
      <c r="O5302" s="73"/>
      <c r="P5302" s="73"/>
      <c r="Q5302" s="73"/>
      <c r="R5302" s="73"/>
      <c r="S5302" s="73"/>
      <c r="T5302" s="73"/>
      <c r="U5302" s="73"/>
      <c r="V5302" s="73"/>
      <c r="W5302" s="73"/>
      <c r="X5302" s="73"/>
      <c r="Y5302" s="73"/>
      <c r="Z5302" s="73"/>
      <c r="AA5302" s="73"/>
      <c r="AB5302" s="73"/>
    </row>
    <row r="5303">
      <c r="A5303" s="73"/>
      <c r="B5303" s="73">
        <v>3.919457372E7</v>
      </c>
      <c r="C5303" s="73">
        <v>1.67999460233714E9</v>
      </c>
      <c r="D5303" s="73">
        <v>1.29397957688283E9</v>
      </c>
      <c r="E5303" s="73"/>
      <c r="F5303" s="73"/>
      <c r="G5303" s="73"/>
      <c r="H5303" s="73"/>
      <c r="I5303" s="73"/>
      <c r="J5303" s="73"/>
      <c r="K5303" s="73"/>
      <c r="L5303" s="73"/>
      <c r="M5303" s="73"/>
      <c r="N5303" s="73"/>
      <c r="O5303" s="73"/>
      <c r="P5303" s="73"/>
      <c r="Q5303" s="73"/>
      <c r="R5303" s="73"/>
      <c r="S5303" s="73"/>
      <c r="T5303" s="73"/>
      <c r="U5303" s="73"/>
      <c r="V5303" s="73"/>
      <c r="W5303" s="73"/>
      <c r="X5303" s="73"/>
      <c r="Y5303" s="73"/>
      <c r="Z5303" s="73"/>
      <c r="AA5303" s="73"/>
      <c r="AB5303" s="73"/>
    </row>
    <row r="5304">
      <c r="A5304" s="73"/>
      <c r="B5304" s="73">
        <v>3.923175231E7</v>
      </c>
      <c r="C5304" s="73">
        <v>1.68337818474413E9</v>
      </c>
      <c r="D5304" s="73">
        <v>1.29785281195621E9</v>
      </c>
      <c r="E5304" s="73"/>
      <c r="F5304" s="73"/>
      <c r="G5304" s="73"/>
      <c r="H5304" s="73"/>
      <c r="I5304" s="73"/>
      <c r="J5304" s="73"/>
      <c r="K5304" s="73"/>
      <c r="L5304" s="73"/>
      <c r="M5304" s="73"/>
      <c r="N5304" s="73"/>
      <c r="O5304" s="73"/>
      <c r="P5304" s="73"/>
      <c r="Q5304" s="73"/>
      <c r="R5304" s="73"/>
      <c r="S5304" s="73"/>
      <c r="T5304" s="73"/>
      <c r="U5304" s="73"/>
      <c r="V5304" s="73"/>
      <c r="W5304" s="73"/>
      <c r="X5304" s="73"/>
      <c r="Y5304" s="73"/>
      <c r="Z5304" s="73"/>
      <c r="AA5304" s="73"/>
      <c r="AB5304" s="73"/>
    </row>
    <row r="5305">
      <c r="A5305" s="73"/>
      <c r="B5305" s="73">
        <v>3.926895506E7</v>
      </c>
      <c r="C5305" s="73">
        <v>1.68676859970369E9</v>
      </c>
      <c r="D5305" s="73">
        <v>1.30173733378287E9</v>
      </c>
      <c r="E5305" s="73"/>
      <c r="F5305" s="73"/>
      <c r="G5305" s="73"/>
      <c r="H5305" s="73"/>
      <c r="I5305" s="73"/>
      <c r="J5305" s="73"/>
      <c r="K5305" s="73"/>
      <c r="L5305" s="73"/>
      <c r="M5305" s="73"/>
      <c r="N5305" s="73"/>
      <c r="O5305" s="73"/>
      <c r="P5305" s="73"/>
      <c r="Q5305" s="73"/>
      <c r="R5305" s="73"/>
      <c r="S5305" s="73"/>
      <c r="T5305" s="73"/>
      <c r="U5305" s="73"/>
      <c r="V5305" s="73"/>
      <c r="W5305" s="73"/>
      <c r="X5305" s="73"/>
      <c r="Y5305" s="73"/>
      <c r="Z5305" s="73"/>
      <c r="AA5305" s="73"/>
      <c r="AB5305" s="73"/>
    </row>
    <row r="5306">
      <c r="A5306" s="73"/>
      <c r="B5306" s="73">
        <v>3.930618019E7</v>
      </c>
      <c r="C5306" s="73">
        <v>1.69016551929018E9</v>
      </c>
      <c r="D5306" s="73">
        <v>1.30563354180692E9</v>
      </c>
      <c r="E5306" s="73"/>
      <c r="F5306" s="73"/>
      <c r="G5306" s="73"/>
      <c r="H5306" s="73"/>
      <c r="I5306" s="73"/>
      <c r="J5306" s="73"/>
      <c r="K5306" s="73"/>
      <c r="L5306" s="73"/>
      <c r="M5306" s="73"/>
      <c r="N5306" s="73"/>
      <c r="O5306" s="73"/>
      <c r="P5306" s="73"/>
      <c r="Q5306" s="73"/>
      <c r="R5306" s="73"/>
      <c r="S5306" s="73"/>
      <c r="T5306" s="73"/>
      <c r="U5306" s="73"/>
      <c r="V5306" s="73"/>
      <c r="W5306" s="73"/>
      <c r="X5306" s="73"/>
      <c r="Y5306" s="73"/>
      <c r="Z5306" s="73"/>
      <c r="AA5306" s="73"/>
      <c r="AB5306" s="73"/>
    </row>
    <row r="5307">
      <c r="A5307" s="73"/>
      <c r="B5307" s="73">
        <v>3.934342985E7</v>
      </c>
      <c r="C5307" s="73">
        <v>1.69356897382335E9</v>
      </c>
      <c r="D5307" s="73">
        <v>1.30954106897833E9</v>
      </c>
      <c r="E5307" s="73"/>
      <c r="F5307" s="73"/>
      <c r="G5307" s="73"/>
      <c r="H5307" s="73"/>
      <c r="I5307" s="73"/>
      <c r="J5307" s="73"/>
      <c r="K5307" s="73"/>
      <c r="L5307" s="73"/>
      <c r="M5307" s="73"/>
      <c r="N5307" s="73"/>
      <c r="O5307" s="73"/>
      <c r="P5307" s="73"/>
      <c r="Q5307" s="73"/>
      <c r="R5307" s="73"/>
      <c r="S5307" s="73"/>
      <c r="T5307" s="73"/>
      <c r="U5307" s="73"/>
      <c r="V5307" s="73"/>
      <c r="W5307" s="73"/>
      <c r="X5307" s="73"/>
      <c r="Y5307" s="73"/>
      <c r="Z5307" s="73"/>
      <c r="AA5307" s="73"/>
      <c r="AB5307" s="73"/>
    </row>
    <row r="5308">
      <c r="A5308" s="73"/>
      <c r="B5308" s="73">
        <v>3.938070333E7</v>
      </c>
      <c r="C5308" s="73">
        <v>1.69697938679707E9</v>
      </c>
      <c r="D5308" s="73">
        <v>1.31346023030384E9</v>
      </c>
      <c r="E5308" s="73"/>
      <c r="F5308" s="73"/>
      <c r="G5308" s="73"/>
      <c r="H5308" s="73"/>
      <c r="I5308" s="73"/>
      <c r="J5308" s="73"/>
      <c r="K5308" s="73"/>
      <c r="L5308" s="73"/>
      <c r="M5308" s="73"/>
      <c r="N5308" s="73"/>
      <c r="O5308" s="73"/>
      <c r="P5308" s="73"/>
      <c r="Q5308" s="73"/>
      <c r="R5308" s="73"/>
      <c r="S5308" s="73"/>
      <c r="T5308" s="73"/>
      <c r="U5308" s="73"/>
      <c r="V5308" s="73"/>
      <c r="W5308" s="73"/>
      <c r="X5308" s="73"/>
      <c r="Y5308" s="73"/>
      <c r="Z5308" s="73"/>
      <c r="AA5308" s="73"/>
      <c r="AB5308" s="73"/>
    </row>
    <row r="5309">
      <c r="A5309" s="73"/>
      <c r="B5309" s="73">
        <v>3.941799882E7</v>
      </c>
      <c r="C5309" s="73">
        <v>1.70039645313874E9</v>
      </c>
      <c r="D5309" s="73">
        <v>1.31739090936366E9</v>
      </c>
      <c r="E5309" s="73"/>
      <c r="F5309" s="73"/>
      <c r="G5309" s="73"/>
      <c r="H5309" s="73"/>
      <c r="I5309" s="73"/>
      <c r="J5309" s="73"/>
      <c r="K5309" s="73"/>
      <c r="L5309" s="73"/>
      <c r="M5309" s="73"/>
      <c r="N5309" s="73"/>
      <c r="O5309" s="73"/>
      <c r="P5309" s="73"/>
      <c r="Q5309" s="73"/>
      <c r="R5309" s="73"/>
      <c r="S5309" s="73"/>
      <c r="T5309" s="73"/>
      <c r="U5309" s="73"/>
      <c r="V5309" s="73"/>
      <c r="W5309" s="73"/>
      <c r="X5309" s="73"/>
      <c r="Y5309" s="73"/>
      <c r="Z5309" s="73"/>
      <c r="AA5309" s="73"/>
      <c r="AB5309" s="73"/>
    </row>
    <row r="5310">
      <c r="A5310" s="73"/>
      <c r="B5310" s="73">
        <v>3.945531789E7</v>
      </c>
      <c r="C5310" s="73">
        <v>1.70382017968887E9</v>
      </c>
      <c r="D5310" s="73">
        <v>1.32133316763775E9</v>
      </c>
      <c r="E5310" s="73"/>
      <c r="F5310" s="73"/>
      <c r="G5310" s="73"/>
      <c r="H5310" s="73"/>
      <c r="I5310" s="73"/>
      <c r="J5310" s="73"/>
      <c r="K5310" s="73"/>
      <c r="L5310" s="73"/>
      <c r="M5310" s="73"/>
      <c r="N5310" s="73"/>
      <c r="O5310" s="73"/>
      <c r="P5310" s="73"/>
      <c r="Q5310" s="73"/>
      <c r="R5310" s="73"/>
      <c r="S5310" s="73"/>
      <c r="T5310" s="73"/>
      <c r="U5310" s="73"/>
      <c r="V5310" s="73"/>
      <c r="W5310" s="73"/>
      <c r="X5310" s="73"/>
      <c r="Y5310" s="73"/>
      <c r="Z5310" s="73"/>
      <c r="AA5310" s="73"/>
      <c r="AB5310" s="73"/>
    </row>
    <row r="5311">
      <c r="A5311" s="73"/>
      <c r="B5311" s="73">
        <v>3.949266132E7</v>
      </c>
      <c r="C5311" s="73">
        <v>1.70725065472117E9</v>
      </c>
      <c r="D5311" s="73">
        <v>1.3252871930091E9</v>
      </c>
      <c r="E5311" s="73"/>
      <c r="F5311" s="73"/>
      <c r="G5311" s="73"/>
      <c r="H5311" s="73"/>
      <c r="I5311" s="73"/>
      <c r="J5311" s="73"/>
      <c r="K5311" s="73"/>
      <c r="L5311" s="73"/>
      <c r="M5311" s="73"/>
      <c r="N5311" s="73"/>
      <c r="O5311" s="73"/>
      <c r="P5311" s="73"/>
      <c r="Q5311" s="73"/>
      <c r="R5311" s="73"/>
      <c r="S5311" s="73"/>
      <c r="T5311" s="73"/>
      <c r="U5311" s="73"/>
      <c r="V5311" s="73"/>
      <c r="W5311" s="73"/>
      <c r="X5311" s="73"/>
      <c r="Y5311" s="73"/>
      <c r="Z5311" s="73"/>
      <c r="AA5311" s="73"/>
      <c r="AB5311" s="73"/>
    </row>
    <row r="5312">
      <c r="A5312" s="73"/>
      <c r="B5312" s="73">
        <v>3.953002798E7</v>
      </c>
      <c r="C5312" s="73">
        <v>1.71068769923936E9</v>
      </c>
      <c r="D5312" s="73">
        <v>1.32925284835657E9</v>
      </c>
      <c r="E5312" s="73"/>
      <c r="F5312" s="73"/>
      <c r="G5312" s="73"/>
      <c r="H5312" s="73"/>
      <c r="I5312" s="73"/>
      <c r="J5312" s="73"/>
      <c r="K5312" s="73"/>
      <c r="L5312" s="73"/>
      <c r="M5312" s="73"/>
      <c r="N5312" s="73"/>
      <c r="O5312" s="73"/>
      <c r="P5312" s="73"/>
      <c r="Q5312" s="73"/>
      <c r="R5312" s="73"/>
      <c r="S5312" s="73"/>
      <c r="T5312" s="73"/>
      <c r="U5312" s="73"/>
      <c r="V5312" s="73"/>
      <c r="W5312" s="73"/>
      <c r="X5312" s="73"/>
      <c r="Y5312" s="73"/>
      <c r="Z5312" s="73"/>
      <c r="AA5312" s="73"/>
      <c r="AB5312" s="73"/>
    </row>
    <row r="5313">
      <c r="A5313" s="73"/>
      <c r="B5313" s="73">
        <v>3.95674174E7</v>
      </c>
      <c r="C5313" s="73">
        <v>1.71413176302727E9</v>
      </c>
      <c r="D5313" s="73">
        <v>1.33323012957385E9</v>
      </c>
      <c r="E5313" s="73"/>
      <c r="F5313" s="73"/>
      <c r="G5313" s="73"/>
      <c r="H5313" s="73"/>
      <c r="I5313" s="73"/>
      <c r="J5313" s="73"/>
      <c r="K5313" s="73"/>
      <c r="L5313" s="73"/>
      <c r="M5313" s="73"/>
      <c r="N5313" s="73"/>
      <c r="O5313" s="73"/>
      <c r="P5313" s="73"/>
      <c r="Q5313" s="73"/>
      <c r="R5313" s="73"/>
      <c r="S5313" s="73"/>
      <c r="T5313" s="73"/>
      <c r="U5313" s="73"/>
      <c r="V5313" s="73"/>
      <c r="W5313" s="73"/>
      <c r="X5313" s="73"/>
      <c r="Y5313" s="73"/>
      <c r="Z5313" s="73"/>
      <c r="AA5313" s="73"/>
      <c r="AB5313" s="73"/>
    </row>
    <row r="5314">
      <c r="A5314" s="73"/>
      <c r="B5314" s="73">
        <v>3.960483189E7</v>
      </c>
      <c r="C5314" s="73">
        <v>1.71758238708925E9</v>
      </c>
      <c r="D5314" s="73">
        <v>1.33721915954681E9</v>
      </c>
      <c r="E5314" s="73"/>
      <c r="F5314" s="73"/>
      <c r="G5314" s="73"/>
      <c r="H5314" s="73"/>
      <c r="I5314" s="73"/>
      <c r="J5314" s="73"/>
      <c r="K5314" s="73"/>
      <c r="L5314" s="73"/>
      <c r="M5314" s="73"/>
      <c r="N5314" s="73"/>
      <c r="O5314" s="73"/>
      <c r="P5314" s="73"/>
      <c r="Q5314" s="73"/>
      <c r="R5314" s="73"/>
      <c r="S5314" s="73"/>
      <c r="T5314" s="73"/>
      <c r="U5314" s="73"/>
      <c r="V5314" s="73"/>
      <c r="W5314" s="73"/>
      <c r="X5314" s="73"/>
      <c r="Y5314" s="73"/>
      <c r="Z5314" s="73"/>
      <c r="AA5314" s="73"/>
      <c r="AB5314" s="73"/>
    </row>
    <row r="5315">
      <c r="A5315" s="73"/>
      <c r="B5315" s="73">
        <v>3.964226818E7</v>
      </c>
      <c r="C5315" s="73">
        <v>1.72103983475852E9</v>
      </c>
      <c r="D5315" s="73">
        <v>1.34121993106191E9</v>
      </c>
      <c r="E5315" s="73"/>
      <c r="F5315" s="73"/>
      <c r="G5315" s="73"/>
      <c r="H5315" s="73"/>
      <c r="I5315" s="73"/>
      <c r="J5315" s="73"/>
      <c r="K5315" s="73"/>
      <c r="L5315" s="73"/>
      <c r="M5315" s="73"/>
      <c r="N5315" s="73"/>
      <c r="O5315" s="73"/>
      <c r="P5315" s="73"/>
      <c r="Q5315" s="73"/>
      <c r="R5315" s="73"/>
      <c r="S5315" s="73"/>
      <c r="T5315" s="73"/>
      <c r="U5315" s="73"/>
      <c r="V5315" s="73"/>
      <c r="W5315" s="73"/>
      <c r="X5315" s="73"/>
      <c r="Y5315" s="73"/>
      <c r="Z5315" s="73"/>
      <c r="AA5315" s="73"/>
      <c r="AB5315" s="73"/>
    </row>
    <row r="5316">
      <c r="A5316" s="73"/>
      <c r="B5316" s="73">
        <v>3.967972789E7</v>
      </c>
      <c r="C5316" s="73">
        <v>1.7245040673673E9</v>
      </c>
      <c r="D5316" s="73">
        <v>1.34523261323112E9</v>
      </c>
      <c r="E5316" s="73"/>
      <c r="F5316" s="73"/>
      <c r="G5316" s="73"/>
      <c r="H5316" s="73"/>
      <c r="I5316" s="73"/>
      <c r="J5316" s="73"/>
      <c r="K5316" s="73"/>
      <c r="L5316" s="73"/>
      <c r="M5316" s="73"/>
      <c r="N5316" s="73"/>
      <c r="O5316" s="73"/>
      <c r="P5316" s="73"/>
      <c r="Q5316" s="73"/>
      <c r="R5316" s="73"/>
      <c r="S5316" s="73"/>
      <c r="T5316" s="73"/>
      <c r="U5316" s="73"/>
      <c r="V5316" s="73"/>
      <c r="W5316" s="73"/>
      <c r="X5316" s="73"/>
      <c r="Y5316" s="73"/>
      <c r="Z5316" s="73"/>
      <c r="AA5316" s="73"/>
      <c r="AB5316" s="73"/>
    </row>
    <row r="5317">
      <c r="A5317" s="73"/>
      <c r="B5317" s="73">
        <v>3.971721209E7</v>
      </c>
      <c r="C5317" s="73">
        <v>1.72797524376859E9</v>
      </c>
      <c r="D5317" s="73">
        <v>1.34925715599343E9</v>
      </c>
      <c r="E5317" s="73"/>
      <c r="F5317" s="73"/>
      <c r="G5317" s="73"/>
      <c r="H5317" s="73"/>
      <c r="I5317" s="73"/>
      <c r="J5317" s="73"/>
      <c r="K5317" s="73"/>
      <c r="L5317" s="73"/>
      <c r="M5317" s="73"/>
      <c r="N5317" s="73"/>
      <c r="O5317" s="73"/>
      <c r="P5317" s="73"/>
      <c r="Q5317" s="73"/>
      <c r="R5317" s="73"/>
      <c r="S5317" s="73"/>
      <c r="T5317" s="73"/>
      <c r="U5317" s="73"/>
      <c r="V5317" s="73"/>
      <c r="W5317" s="73"/>
      <c r="X5317" s="73"/>
      <c r="Y5317" s="73"/>
      <c r="Z5317" s="73"/>
      <c r="AA5317" s="73"/>
      <c r="AB5317" s="73"/>
    </row>
    <row r="5318">
      <c r="A5318" s="73"/>
      <c r="B5318" s="73">
        <v>3.975471875E7</v>
      </c>
      <c r="C5318" s="73">
        <v>1.73145313711087E9</v>
      </c>
      <c r="D5318" s="73">
        <v>1.35329333803175E9</v>
      </c>
      <c r="E5318" s="73"/>
      <c r="F5318" s="73"/>
      <c r="G5318" s="73"/>
      <c r="H5318" s="73"/>
      <c r="I5318" s="73"/>
      <c r="J5318" s="73"/>
      <c r="K5318" s="73"/>
      <c r="L5318" s="73"/>
      <c r="M5318" s="73"/>
      <c r="N5318" s="73"/>
      <c r="O5318" s="73"/>
      <c r="P5318" s="73"/>
      <c r="Q5318" s="73"/>
      <c r="R5318" s="73"/>
      <c r="S5318" s="73"/>
      <c r="T5318" s="73"/>
      <c r="U5318" s="73"/>
      <c r="V5318" s="73"/>
      <c r="W5318" s="73"/>
      <c r="X5318" s="73"/>
      <c r="Y5318" s="73"/>
      <c r="Z5318" s="73"/>
      <c r="AA5318" s="73"/>
      <c r="AB5318" s="73"/>
    </row>
    <row r="5319">
      <c r="A5319" s="73"/>
      <c r="B5319" s="73">
        <v>3.97922499E7</v>
      </c>
      <c r="C5319" s="73">
        <v>1.73493775426436E9</v>
      </c>
      <c r="D5319" s="73">
        <v>1.35734171573223E9</v>
      </c>
      <c r="E5319" s="73"/>
      <c r="F5319" s="73"/>
      <c r="G5319" s="73"/>
      <c r="H5319" s="73"/>
      <c r="I5319" s="73"/>
      <c r="J5319" s="73"/>
      <c r="K5319" s="73"/>
      <c r="L5319" s="73"/>
      <c r="M5319" s="73"/>
      <c r="N5319" s="73"/>
      <c r="O5319" s="73"/>
      <c r="P5319" s="73"/>
      <c r="Q5319" s="73"/>
      <c r="R5319" s="73"/>
      <c r="S5319" s="73"/>
      <c r="T5319" s="73"/>
      <c r="U5319" s="73"/>
      <c r="V5319" s="73"/>
      <c r="W5319" s="73"/>
      <c r="X5319" s="73"/>
      <c r="Y5319" s="73"/>
      <c r="Z5319" s="73"/>
      <c r="AA5319" s="73"/>
      <c r="AB5319" s="73"/>
    </row>
    <row r="5320">
      <c r="A5320" s="73"/>
      <c r="B5320" s="73">
        <v>3.982980411E7</v>
      </c>
      <c r="C5320" s="73">
        <v>1.73842944311751E9</v>
      </c>
      <c r="D5320" s="73">
        <v>1.36140191444745E9</v>
      </c>
      <c r="E5320" s="73"/>
      <c r="F5320" s="73"/>
      <c r="G5320" s="73"/>
      <c r="H5320" s="73"/>
      <c r="I5320" s="73"/>
      <c r="J5320" s="73"/>
      <c r="K5320" s="73"/>
      <c r="L5320" s="73"/>
      <c r="M5320" s="73"/>
      <c r="N5320" s="73"/>
      <c r="O5320" s="73"/>
      <c r="P5320" s="73"/>
      <c r="Q5320" s="73"/>
      <c r="R5320" s="73"/>
      <c r="S5320" s="73"/>
      <c r="T5320" s="73"/>
      <c r="U5320" s="73"/>
      <c r="V5320" s="73"/>
      <c r="W5320" s="73"/>
      <c r="X5320" s="73"/>
      <c r="Y5320" s="73"/>
      <c r="Z5320" s="73"/>
      <c r="AA5320" s="73"/>
      <c r="AB5320" s="73"/>
    </row>
    <row r="5321">
      <c r="A5321" s="73"/>
      <c r="B5321" s="73">
        <v>3.986738144E7</v>
      </c>
      <c r="C5321" s="73">
        <v>1.74192787029948E9</v>
      </c>
      <c r="D5321" s="73">
        <v>1.36547403835196E9</v>
      </c>
      <c r="E5321" s="73"/>
      <c r="F5321" s="73"/>
      <c r="G5321" s="73"/>
      <c r="H5321" s="73"/>
      <c r="I5321" s="73"/>
      <c r="J5321" s="73"/>
      <c r="K5321" s="73"/>
      <c r="L5321" s="73"/>
      <c r="M5321" s="73"/>
      <c r="N5321" s="73"/>
      <c r="O5321" s="73"/>
      <c r="P5321" s="73"/>
      <c r="Q5321" s="73"/>
      <c r="R5321" s="73"/>
      <c r="S5321" s="73"/>
      <c r="T5321" s="73"/>
      <c r="U5321" s="73"/>
      <c r="V5321" s="73"/>
      <c r="W5321" s="73"/>
      <c r="X5321" s="73"/>
      <c r="Y5321" s="73"/>
      <c r="Z5321" s="73"/>
      <c r="AA5321" s="73"/>
      <c r="AB5321" s="73"/>
    </row>
    <row r="5322">
      <c r="A5322" s="73"/>
      <c r="B5322" s="73">
        <v>3.990498308E7</v>
      </c>
      <c r="C5322" s="73">
        <v>1.74543338447509E9</v>
      </c>
      <c r="D5322" s="73">
        <v>1.36955825534854E9</v>
      </c>
      <c r="E5322" s="73"/>
      <c r="F5322" s="73"/>
      <c r="G5322" s="73"/>
      <c r="H5322" s="73"/>
      <c r="I5322" s="73"/>
      <c r="J5322" s="73"/>
      <c r="K5322" s="73"/>
      <c r="L5322" s="73"/>
      <c r="M5322" s="73"/>
      <c r="N5322" s="73"/>
      <c r="O5322" s="73"/>
      <c r="P5322" s="73"/>
      <c r="Q5322" s="73"/>
      <c r="R5322" s="73"/>
      <c r="S5322" s="73"/>
      <c r="T5322" s="73"/>
      <c r="U5322" s="73"/>
      <c r="V5322" s="73"/>
      <c r="W5322" s="73"/>
      <c r="X5322" s="73"/>
      <c r="Y5322" s="73"/>
      <c r="Z5322" s="73"/>
      <c r="AA5322" s="73"/>
      <c r="AB5322" s="73"/>
    </row>
    <row r="5323">
      <c r="A5323" s="73"/>
      <c r="B5323" s="73">
        <v>3.994260776E7</v>
      </c>
      <c r="C5323" s="73">
        <v>1.7489454159968E9</v>
      </c>
      <c r="D5323" s="73">
        <v>1.37365455673422E9</v>
      </c>
      <c r="E5323" s="73"/>
      <c r="F5323" s="73"/>
      <c r="G5323" s="73"/>
      <c r="H5323" s="73"/>
      <c r="I5323" s="73"/>
      <c r="J5323" s="73"/>
      <c r="K5323" s="73"/>
      <c r="L5323" s="73"/>
      <c r="M5323" s="73"/>
      <c r="N5323" s="73"/>
      <c r="O5323" s="73"/>
      <c r="P5323" s="73"/>
      <c r="Q5323" s="73"/>
      <c r="R5323" s="73"/>
      <c r="S5323" s="73"/>
      <c r="T5323" s="73"/>
      <c r="U5323" s="73"/>
      <c r="V5323" s="73"/>
      <c r="W5323" s="73"/>
      <c r="X5323" s="73"/>
      <c r="Y5323" s="73"/>
      <c r="Z5323" s="73"/>
      <c r="AA5323" s="73"/>
      <c r="AB5323" s="73"/>
    </row>
    <row r="5324">
      <c r="A5324" s="73"/>
      <c r="B5324" s="73">
        <v>3.998025655E7</v>
      </c>
      <c r="C5324" s="73">
        <v>1.75246467830166E9</v>
      </c>
      <c r="D5324" s="73">
        <v>1.37776283172323E9</v>
      </c>
      <c r="E5324" s="73"/>
      <c r="F5324" s="73"/>
      <c r="G5324" s="73"/>
      <c r="H5324" s="73"/>
      <c r="I5324" s="73"/>
      <c r="J5324" s="73"/>
      <c r="K5324" s="73"/>
      <c r="L5324" s="73"/>
      <c r="M5324" s="73"/>
      <c r="N5324" s="73"/>
      <c r="O5324" s="73"/>
      <c r="P5324" s="73"/>
      <c r="Q5324" s="73"/>
      <c r="R5324" s="73"/>
      <c r="S5324" s="73"/>
      <c r="T5324" s="73"/>
      <c r="U5324" s="73"/>
      <c r="V5324" s="73"/>
      <c r="W5324" s="73"/>
      <c r="X5324" s="73"/>
      <c r="Y5324" s="73"/>
      <c r="Z5324" s="73"/>
      <c r="AA5324" s="73"/>
      <c r="AB5324" s="73"/>
    </row>
    <row r="5325">
      <c r="A5325" s="73"/>
      <c r="B5325" s="73">
        <v>4.001792818E7</v>
      </c>
      <c r="C5325" s="73">
        <v>1.75599057870365E9</v>
      </c>
      <c r="D5325" s="73">
        <v>1.38188324845163E9</v>
      </c>
      <c r="E5325" s="73"/>
      <c r="F5325" s="73"/>
      <c r="G5325" s="73"/>
      <c r="H5325" s="73"/>
      <c r="I5325" s="73"/>
      <c r="J5325" s="73"/>
      <c r="K5325" s="73"/>
      <c r="L5325" s="73"/>
      <c r="M5325" s="73"/>
      <c r="N5325" s="73"/>
      <c r="O5325" s="73"/>
      <c r="P5325" s="73"/>
      <c r="Q5325" s="73"/>
      <c r="R5325" s="73"/>
      <c r="S5325" s="73"/>
      <c r="T5325" s="73"/>
      <c r="U5325" s="73"/>
      <c r="V5325" s="73"/>
      <c r="W5325" s="73"/>
      <c r="X5325" s="73"/>
      <c r="Y5325" s="73"/>
      <c r="Z5325" s="73"/>
      <c r="AA5325" s="73"/>
      <c r="AB5325" s="73"/>
    </row>
    <row r="5326">
      <c r="A5326" s="73"/>
      <c r="B5326" s="73">
        <v>4.005562315E7</v>
      </c>
      <c r="C5326" s="73">
        <v>1.75952351108142E9</v>
      </c>
      <c r="D5326" s="73">
        <v>1.3860158862291E9</v>
      </c>
      <c r="E5326" s="73"/>
      <c r="F5326" s="73"/>
      <c r="G5326" s="73"/>
      <c r="H5326" s="73"/>
      <c r="I5326" s="73"/>
      <c r="J5326" s="73"/>
      <c r="K5326" s="73"/>
      <c r="L5326" s="73"/>
      <c r="M5326" s="73"/>
      <c r="N5326" s="73"/>
      <c r="O5326" s="73"/>
      <c r="P5326" s="73"/>
      <c r="Q5326" s="73"/>
      <c r="R5326" s="73"/>
      <c r="S5326" s="73"/>
      <c r="T5326" s="73"/>
      <c r="U5326" s="73"/>
      <c r="V5326" s="73"/>
      <c r="W5326" s="73"/>
      <c r="X5326" s="73"/>
      <c r="Y5326" s="73"/>
      <c r="Z5326" s="73"/>
      <c r="AA5326" s="73"/>
      <c r="AB5326" s="73"/>
    </row>
    <row r="5327">
      <c r="A5327" s="73"/>
      <c r="B5327" s="73">
        <v>4.009334233E7</v>
      </c>
      <c r="C5327" s="73">
        <v>1.76306333176819E9</v>
      </c>
      <c r="D5327" s="73">
        <v>1.39016069862143E9</v>
      </c>
      <c r="E5327" s="73"/>
      <c r="F5327" s="73"/>
      <c r="G5327" s="73"/>
      <c r="H5327" s="73"/>
      <c r="I5327" s="73"/>
      <c r="J5327" s="73"/>
      <c r="K5327" s="73"/>
      <c r="L5327" s="73"/>
      <c r="M5327" s="73"/>
      <c r="N5327" s="73"/>
      <c r="O5327" s="73"/>
      <c r="P5327" s="73"/>
      <c r="Q5327" s="73"/>
      <c r="R5327" s="73"/>
      <c r="S5327" s="73"/>
      <c r="T5327" s="73"/>
      <c r="U5327" s="73"/>
      <c r="V5327" s="73"/>
      <c r="W5327" s="73"/>
      <c r="X5327" s="73"/>
      <c r="Y5327" s="73"/>
      <c r="Z5327" s="73"/>
      <c r="AA5327" s="73"/>
      <c r="AB5327" s="73"/>
    </row>
    <row r="5328">
      <c r="A5328" s="73"/>
      <c r="B5328" s="73">
        <v>4.013108445E7</v>
      </c>
      <c r="C5328" s="73">
        <v>1.76661028479476E9</v>
      </c>
      <c r="D5328" s="73">
        <v>1.39431761184947E9</v>
      </c>
      <c r="E5328" s="73"/>
      <c r="F5328" s="73"/>
      <c r="G5328" s="73"/>
      <c r="H5328" s="73"/>
      <c r="I5328" s="73"/>
      <c r="J5328" s="73"/>
      <c r="K5328" s="73"/>
      <c r="L5328" s="73"/>
      <c r="M5328" s="73"/>
      <c r="N5328" s="73"/>
      <c r="O5328" s="73"/>
      <c r="P5328" s="73"/>
      <c r="Q5328" s="73"/>
      <c r="R5328" s="73"/>
      <c r="S5328" s="73"/>
      <c r="T5328" s="73"/>
      <c r="U5328" s="73"/>
      <c r="V5328" s="73"/>
      <c r="W5328" s="73"/>
      <c r="X5328" s="73"/>
      <c r="Y5328" s="73"/>
      <c r="Z5328" s="73"/>
      <c r="AA5328" s="73"/>
      <c r="AB5328" s="73"/>
    </row>
    <row r="5329">
      <c r="A5329" s="73"/>
      <c r="B5329" s="73">
        <v>4.016884926E7</v>
      </c>
      <c r="C5329" s="73">
        <v>1.77016403373648E9</v>
      </c>
      <c r="D5329" s="73">
        <v>1.39848694842909E9</v>
      </c>
      <c r="E5329" s="73"/>
      <c r="F5329" s="73"/>
      <c r="G5329" s="73"/>
      <c r="H5329" s="73"/>
      <c r="I5329" s="73"/>
      <c r="J5329" s="73"/>
      <c r="K5329" s="73"/>
      <c r="L5329" s="73"/>
      <c r="M5329" s="73"/>
      <c r="N5329" s="73"/>
      <c r="O5329" s="73"/>
      <c r="P5329" s="73"/>
      <c r="Q5329" s="73"/>
      <c r="R5329" s="73"/>
      <c r="S5329" s="73"/>
      <c r="T5329" s="73"/>
      <c r="U5329" s="73"/>
      <c r="V5329" s="73"/>
      <c r="W5329" s="73"/>
      <c r="X5329" s="73"/>
      <c r="Y5329" s="73"/>
      <c r="Z5329" s="73"/>
      <c r="AA5329" s="73"/>
      <c r="AB5329" s="73"/>
    </row>
    <row r="5330">
      <c r="A5330" s="73"/>
      <c r="B5330" s="73">
        <v>4.020663953E7</v>
      </c>
      <c r="C5330" s="73">
        <v>1.77372471482545E9</v>
      </c>
      <c r="D5330" s="73">
        <v>1.40266850802119E9</v>
      </c>
      <c r="E5330" s="73"/>
      <c r="F5330" s="73"/>
      <c r="G5330" s="73"/>
      <c r="H5330" s="73"/>
      <c r="I5330" s="73"/>
      <c r="J5330" s="73"/>
      <c r="K5330" s="73"/>
      <c r="L5330" s="73"/>
      <c r="M5330" s="73"/>
      <c r="N5330" s="73"/>
      <c r="O5330" s="73"/>
      <c r="P5330" s="73"/>
      <c r="Q5330" s="73"/>
      <c r="R5330" s="73"/>
      <c r="S5330" s="73"/>
      <c r="T5330" s="73"/>
      <c r="U5330" s="73"/>
      <c r="V5330" s="73"/>
      <c r="W5330" s="73"/>
      <c r="X5330" s="73"/>
      <c r="Y5330" s="73"/>
      <c r="Z5330" s="73"/>
      <c r="AA5330" s="73"/>
      <c r="AB5330" s="73"/>
    </row>
    <row r="5331">
      <c r="A5331" s="73"/>
      <c r="B5331" s="73">
        <v>4.024445188E7</v>
      </c>
      <c r="C5331" s="73">
        <v>1.77729268044077E9</v>
      </c>
      <c r="D5331" s="73">
        <v>1.40686230783281E9</v>
      </c>
      <c r="E5331" s="73"/>
      <c r="F5331" s="73"/>
      <c r="G5331" s="73"/>
      <c r="H5331" s="73"/>
      <c r="I5331" s="73"/>
      <c r="J5331" s="73"/>
      <c r="K5331" s="73"/>
      <c r="L5331" s="73"/>
      <c r="M5331" s="73"/>
      <c r="N5331" s="73"/>
      <c r="O5331" s="73"/>
      <c r="P5331" s="73"/>
      <c r="Q5331" s="73"/>
      <c r="R5331" s="73"/>
      <c r="S5331" s="73"/>
      <c r="T5331" s="73"/>
      <c r="U5331" s="73"/>
      <c r="V5331" s="73"/>
      <c r="W5331" s="73"/>
      <c r="X5331" s="73"/>
      <c r="Y5331" s="73"/>
      <c r="Z5331" s="73"/>
      <c r="AA5331" s="73"/>
      <c r="AB5331" s="73"/>
    </row>
    <row r="5332">
      <c r="A5332" s="73"/>
      <c r="B5332" s="73">
        <v>4.028228834E7</v>
      </c>
      <c r="C5332" s="73">
        <v>1.78086722618649E9</v>
      </c>
      <c r="D5332" s="73">
        <v>1.41106857922202E9</v>
      </c>
      <c r="E5332" s="73"/>
      <c r="F5332" s="73"/>
      <c r="G5332" s="73"/>
      <c r="H5332" s="73"/>
      <c r="I5332" s="73"/>
      <c r="J5332" s="73"/>
      <c r="K5332" s="73"/>
      <c r="L5332" s="73"/>
      <c r="M5332" s="73"/>
      <c r="N5332" s="73"/>
      <c r="O5332" s="73"/>
      <c r="P5332" s="73"/>
      <c r="Q5332" s="73"/>
      <c r="R5332" s="73"/>
      <c r="S5332" s="73"/>
      <c r="T5332" s="73"/>
      <c r="U5332" s="73"/>
      <c r="V5332" s="73"/>
      <c r="W5332" s="73"/>
      <c r="X5332" s="73"/>
      <c r="Y5332" s="73"/>
      <c r="Z5332" s="73"/>
      <c r="AA5332" s="73"/>
      <c r="AB5332" s="73"/>
    </row>
    <row r="5333">
      <c r="A5333" s="73"/>
      <c r="B5333" s="73">
        <v>4.032014904E7</v>
      </c>
      <c r="C5333" s="73">
        <v>1.78444907165659E9</v>
      </c>
      <c r="D5333" s="73">
        <v>1.41528742853603E9</v>
      </c>
      <c r="E5333" s="73"/>
      <c r="F5333" s="73"/>
      <c r="G5333" s="73"/>
      <c r="H5333" s="73"/>
      <c r="I5333" s="73"/>
      <c r="J5333" s="73"/>
      <c r="K5333" s="73"/>
      <c r="L5333" s="73"/>
      <c r="M5333" s="73"/>
      <c r="N5333" s="73"/>
      <c r="O5333" s="73"/>
      <c r="P5333" s="73"/>
      <c r="Q5333" s="73"/>
      <c r="R5333" s="73"/>
      <c r="S5333" s="73"/>
      <c r="T5333" s="73"/>
      <c r="U5333" s="73"/>
      <c r="V5333" s="73"/>
      <c r="W5333" s="73"/>
      <c r="X5333" s="73"/>
      <c r="Y5333" s="73"/>
      <c r="Z5333" s="73"/>
      <c r="AA5333" s="73"/>
      <c r="AB5333" s="73"/>
    </row>
    <row r="5334">
      <c r="A5334" s="73"/>
      <c r="B5334" s="73">
        <v>4.035803205E7</v>
      </c>
      <c r="C5334" s="73">
        <v>1.78803798712573E9</v>
      </c>
      <c r="D5334" s="73">
        <v>1.4195184780848E9</v>
      </c>
      <c r="E5334" s="73"/>
      <c r="F5334" s="73"/>
      <c r="G5334" s="73"/>
      <c r="H5334" s="73"/>
      <c r="I5334" s="73"/>
      <c r="J5334" s="73"/>
      <c r="K5334" s="73"/>
      <c r="L5334" s="73"/>
      <c r="M5334" s="73"/>
      <c r="N5334" s="73"/>
      <c r="O5334" s="73"/>
      <c r="P5334" s="73"/>
      <c r="Q5334" s="73"/>
      <c r="R5334" s="73"/>
      <c r="S5334" s="73"/>
      <c r="T5334" s="73"/>
      <c r="U5334" s="73"/>
      <c r="V5334" s="73"/>
      <c r="W5334" s="73"/>
      <c r="X5334" s="73"/>
      <c r="Y5334" s="73"/>
      <c r="Z5334" s="73"/>
      <c r="AA5334" s="73"/>
      <c r="AB5334" s="73"/>
    </row>
    <row r="5335">
      <c r="A5335" s="73"/>
      <c r="B5335" s="73">
        <v>4.039593974E7</v>
      </c>
      <c r="C5335" s="73">
        <v>1.79163374195949E9</v>
      </c>
      <c r="D5335" s="73">
        <v>1.42376204807789E9</v>
      </c>
      <c r="E5335" s="73"/>
      <c r="F5335" s="73"/>
      <c r="G5335" s="73"/>
      <c r="H5335" s="73"/>
      <c r="I5335" s="73"/>
      <c r="J5335" s="73"/>
      <c r="K5335" s="73"/>
      <c r="L5335" s="73"/>
      <c r="M5335" s="73"/>
      <c r="N5335" s="73"/>
      <c r="O5335" s="73"/>
      <c r="P5335" s="73"/>
      <c r="Q5335" s="73"/>
      <c r="R5335" s="73"/>
      <c r="S5335" s="73"/>
      <c r="T5335" s="73"/>
      <c r="U5335" s="73"/>
      <c r="V5335" s="73"/>
      <c r="W5335" s="73"/>
      <c r="X5335" s="73"/>
      <c r="Y5335" s="73"/>
      <c r="Z5335" s="73"/>
      <c r="AA5335" s="73"/>
      <c r="AB5335" s="73"/>
    </row>
    <row r="5336">
      <c r="A5336" s="73"/>
      <c r="B5336" s="73">
        <v>4.043386953E7</v>
      </c>
      <c r="C5336" s="73">
        <v>1.795236820032E9</v>
      </c>
      <c r="D5336" s="73">
        <v>1.42801809472144E9</v>
      </c>
      <c r="E5336" s="73"/>
      <c r="F5336" s="73"/>
      <c r="G5336" s="73"/>
      <c r="H5336" s="73"/>
      <c r="I5336" s="73"/>
      <c r="J5336" s="73"/>
      <c r="K5336" s="73"/>
      <c r="L5336" s="73"/>
      <c r="M5336" s="73"/>
      <c r="N5336" s="73"/>
      <c r="O5336" s="73"/>
      <c r="P5336" s="73"/>
      <c r="Q5336" s="73"/>
      <c r="R5336" s="73"/>
      <c r="S5336" s="73"/>
      <c r="T5336" s="73"/>
      <c r="U5336" s="73"/>
      <c r="V5336" s="73"/>
      <c r="W5336" s="73"/>
      <c r="X5336" s="73"/>
      <c r="Y5336" s="73"/>
      <c r="Z5336" s="73"/>
      <c r="AA5336" s="73"/>
      <c r="AB5336" s="73"/>
    </row>
    <row r="5337">
      <c r="A5337" s="73"/>
      <c r="B5337" s="73">
        <v>4.047182457E7</v>
      </c>
      <c r="C5337" s="73">
        <v>1.79884677311614E9</v>
      </c>
      <c r="D5337" s="73">
        <v>1.43228669511494E9</v>
      </c>
      <c r="E5337" s="73"/>
      <c r="F5337" s="73"/>
      <c r="G5337" s="73"/>
      <c r="H5337" s="73"/>
      <c r="I5337" s="73"/>
      <c r="J5337" s="73"/>
      <c r="K5337" s="73"/>
      <c r="L5337" s="73"/>
      <c r="M5337" s="73"/>
      <c r="N5337" s="73"/>
      <c r="O5337" s="73"/>
      <c r="P5337" s="73"/>
      <c r="Q5337" s="73"/>
      <c r="R5337" s="73"/>
      <c r="S5337" s="73"/>
      <c r="T5337" s="73"/>
      <c r="U5337" s="73"/>
      <c r="V5337" s="73"/>
      <c r="W5337" s="73"/>
      <c r="X5337" s="73"/>
      <c r="Y5337" s="73"/>
      <c r="Z5337" s="73"/>
      <c r="AA5337" s="73"/>
      <c r="AB5337" s="73"/>
    </row>
    <row r="5338">
      <c r="A5338" s="73"/>
      <c r="B5338" s="73">
        <v>4.050980215E7</v>
      </c>
      <c r="C5338" s="73">
        <v>1.80246393509028E9</v>
      </c>
      <c r="D5338" s="73">
        <v>1.43656795881137E9</v>
      </c>
      <c r="E5338" s="73"/>
      <c r="F5338" s="73"/>
      <c r="G5338" s="73"/>
      <c r="H5338" s="73"/>
      <c r="I5338" s="73"/>
      <c r="J5338" s="73"/>
      <c r="K5338" s="73"/>
      <c r="L5338" s="73"/>
      <c r="M5338" s="73"/>
      <c r="N5338" s="73"/>
      <c r="O5338" s="73"/>
      <c r="P5338" s="73"/>
      <c r="Q5338" s="73"/>
      <c r="R5338" s="73"/>
      <c r="S5338" s="73"/>
      <c r="T5338" s="73"/>
      <c r="U5338" s="73"/>
      <c r="V5338" s="73"/>
      <c r="W5338" s="73"/>
      <c r="X5338" s="73"/>
      <c r="Y5338" s="73"/>
      <c r="Z5338" s="73"/>
      <c r="AA5338" s="73"/>
      <c r="AB5338" s="73"/>
    </row>
    <row r="5339">
      <c r="A5339" s="73"/>
      <c r="B5339" s="73">
        <v>4.054780254E7</v>
      </c>
      <c r="C5339" s="73">
        <v>1.806087986345E9</v>
      </c>
      <c r="D5339" s="73">
        <v>1.44086190166246E9</v>
      </c>
      <c r="E5339" s="73"/>
      <c r="F5339" s="73"/>
      <c r="G5339" s="73"/>
      <c r="H5339" s="73"/>
      <c r="I5339" s="73"/>
      <c r="J5339" s="73"/>
      <c r="K5339" s="73"/>
      <c r="L5339" s="73"/>
      <c r="M5339" s="73"/>
      <c r="N5339" s="73"/>
      <c r="O5339" s="73"/>
      <c r="P5339" s="73"/>
      <c r="Q5339" s="73"/>
      <c r="R5339" s="73"/>
      <c r="S5339" s="73"/>
      <c r="T5339" s="73"/>
      <c r="U5339" s="73"/>
      <c r="V5339" s="73"/>
      <c r="W5339" s="73"/>
      <c r="X5339" s="73"/>
      <c r="Y5339" s="73"/>
      <c r="Z5339" s="73"/>
      <c r="AA5339" s="73"/>
      <c r="AB5339" s="73"/>
    </row>
    <row r="5340">
      <c r="A5340" s="73"/>
      <c r="B5340" s="73">
        <v>4.058582747E7</v>
      </c>
      <c r="C5340" s="73">
        <v>1.80971950113847E9</v>
      </c>
      <c r="D5340" s="73">
        <v>1.44516844943772E9</v>
      </c>
      <c r="E5340" s="73"/>
      <c r="F5340" s="73"/>
      <c r="G5340" s="73"/>
      <c r="H5340" s="73"/>
      <c r="I5340" s="73"/>
      <c r="J5340" s="73"/>
      <c r="K5340" s="73"/>
      <c r="L5340" s="73"/>
      <c r="M5340" s="73"/>
      <c r="N5340" s="73"/>
      <c r="O5340" s="73"/>
      <c r="P5340" s="73"/>
      <c r="Q5340" s="73"/>
      <c r="R5340" s="73"/>
      <c r="S5340" s="73"/>
      <c r="T5340" s="73"/>
      <c r="U5340" s="73"/>
      <c r="V5340" s="73"/>
      <c r="W5340" s="73"/>
      <c r="X5340" s="73"/>
      <c r="Y5340" s="73"/>
      <c r="Z5340" s="73"/>
      <c r="AA5340" s="73"/>
      <c r="AB5340" s="73"/>
    </row>
    <row r="5341">
      <c r="A5341" s="73"/>
      <c r="B5341" s="73">
        <v>4.062387624E7</v>
      </c>
      <c r="C5341" s="73">
        <v>1.81335781038524E9</v>
      </c>
      <c r="D5341" s="73">
        <v>1.44948762015242E9</v>
      </c>
      <c r="E5341" s="73"/>
      <c r="F5341" s="73"/>
      <c r="G5341" s="73"/>
      <c r="H5341" s="73"/>
      <c r="I5341" s="73"/>
      <c r="J5341" s="73"/>
      <c r="K5341" s="73"/>
      <c r="L5341" s="73"/>
      <c r="M5341" s="73"/>
      <c r="N5341" s="73"/>
      <c r="O5341" s="73"/>
      <c r="P5341" s="73"/>
      <c r="Q5341" s="73"/>
      <c r="R5341" s="73"/>
      <c r="S5341" s="73"/>
      <c r="T5341" s="73"/>
      <c r="U5341" s="73"/>
      <c r="V5341" s="73"/>
      <c r="W5341" s="73"/>
      <c r="X5341" s="73"/>
      <c r="Y5341" s="73"/>
      <c r="Z5341" s="73"/>
      <c r="AA5341" s="73"/>
      <c r="AB5341" s="73"/>
    </row>
    <row r="5342">
      <c r="A5342" s="73"/>
      <c r="B5342" s="73">
        <v>4.066194832E7</v>
      </c>
      <c r="C5342" s="73">
        <v>1.81700335918391E9</v>
      </c>
      <c r="D5342" s="73">
        <v>1.45381951946818E9</v>
      </c>
      <c r="E5342" s="73"/>
      <c r="F5342" s="73"/>
      <c r="G5342" s="73"/>
      <c r="H5342" s="73"/>
      <c r="I5342" s="73"/>
      <c r="J5342" s="73"/>
      <c r="K5342" s="73"/>
      <c r="L5342" s="73"/>
      <c r="M5342" s="73"/>
      <c r="N5342" s="73"/>
      <c r="O5342" s="73"/>
      <c r="P5342" s="73"/>
      <c r="Q5342" s="73"/>
      <c r="R5342" s="73"/>
      <c r="S5342" s="73"/>
      <c r="T5342" s="73"/>
      <c r="U5342" s="73"/>
      <c r="V5342" s="73"/>
      <c r="W5342" s="73"/>
      <c r="X5342" s="73"/>
      <c r="Y5342" s="73"/>
      <c r="Z5342" s="73"/>
      <c r="AA5342" s="73"/>
      <c r="AB5342" s="73"/>
    </row>
    <row r="5343">
      <c r="A5343" s="73"/>
      <c r="B5343" s="73">
        <v>4.070004408E7</v>
      </c>
      <c r="C5343" s="73">
        <v>1.82065604577144E9</v>
      </c>
      <c r="D5343" s="73">
        <v>1.45816432089362E9</v>
      </c>
      <c r="E5343" s="73"/>
      <c r="F5343" s="73"/>
      <c r="G5343" s="73"/>
      <c r="H5343" s="73"/>
      <c r="I5343" s="73"/>
      <c r="J5343" s="73"/>
      <c r="K5343" s="73"/>
      <c r="L5343" s="73"/>
      <c r="M5343" s="73"/>
      <c r="N5343" s="73"/>
      <c r="O5343" s="73"/>
      <c r="P5343" s="73"/>
      <c r="Q5343" s="73"/>
      <c r="R5343" s="73"/>
      <c r="S5343" s="73"/>
      <c r="T5343" s="73"/>
      <c r="U5343" s="73"/>
      <c r="V5343" s="73"/>
      <c r="W5343" s="73"/>
      <c r="X5343" s="73"/>
      <c r="Y5343" s="73"/>
      <c r="Z5343" s="73"/>
      <c r="AA5343" s="73"/>
      <c r="AB5343" s="73"/>
    </row>
    <row r="5344">
      <c r="A5344" s="73"/>
      <c r="B5344" s="73">
        <v>4.073816355E7</v>
      </c>
      <c r="C5344" s="73">
        <v>1.82431611811047E9</v>
      </c>
      <c r="D5344" s="73">
        <v>1.46252179538999E9</v>
      </c>
      <c r="E5344" s="73"/>
      <c r="F5344" s="73"/>
      <c r="G5344" s="73"/>
      <c r="H5344" s="73"/>
      <c r="I5344" s="73"/>
      <c r="J5344" s="73"/>
      <c r="K5344" s="73"/>
      <c r="L5344" s="73"/>
      <c r="M5344" s="73"/>
      <c r="N5344" s="73"/>
      <c r="O5344" s="73"/>
      <c r="P5344" s="73"/>
      <c r="Q5344" s="73"/>
      <c r="R5344" s="73"/>
      <c r="S5344" s="73"/>
      <c r="T5344" s="73"/>
      <c r="U5344" s="73"/>
      <c r="V5344" s="73"/>
      <c r="W5344" s="73"/>
      <c r="X5344" s="73"/>
      <c r="Y5344" s="73"/>
      <c r="Z5344" s="73"/>
      <c r="AA5344" s="73"/>
      <c r="AB5344" s="73"/>
    </row>
    <row r="5345">
      <c r="A5345" s="73"/>
      <c r="B5345" s="73">
        <v>4.077630582E7</v>
      </c>
      <c r="C5345" s="73">
        <v>1.82798314363106E9</v>
      </c>
      <c r="D5345" s="73">
        <v>1.46689211188464E9</v>
      </c>
      <c r="E5345" s="73"/>
      <c r="F5345" s="73"/>
      <c r="G5345" s="73"/>
      <c r="H5345" s="73"/>
      <c r="I5345" s="73"/>
      <c r="J5345" s="73"/>
      <c r="K5345" s="73"/>
      <c r="L5345" s="73"/>
      <c r="M5345" s="73"/>
      <c r="N5345" s="73"/>
      <c r="O5345" s="73"/>
      <c r="P5345" s="73"/>
      <c r="Q5345" s="73"/>
      <c r="R5345" s="73"/>
      <c r="S5345" s="73"/>
      <c r="T5345" s="73"/>
      <c r="U5345" s="73"/>
      <c r="V5345" s="73"/>
      <c r="W5345" s="73"/>
      <c r="X5345" s="73"/>
      <c r="Y5345" s="73"/>
      <c r="Z5345" s="73"/>
      <c r="AA5345" s="73"/>
      <c r="AB5345" s="73"/>
    </row>
    <row r="5346">
      <c r="A5346" s="73"/>
      <c r="B5346" s="73">
        <v>4.081447227E7</v>
      </c>
      <c r="C5346" s="73">
        <v>1.83165741990454E9</v>
      </c>
      <c r="D5346" s="73">
        <v>1.47127538208474E9</v>
      </c>
      <c r="E5346" s="73"/>
      <c r="F5346" s="73"/>
      <c r="G5346" s="73"/>
      <c r="H5346" s="73"/>
      <c r="I5346" s="73"/>
      <c r="J5346" s="73"/>
      <c r="K5346" s="73"/>
      <c r="L5346" s="73"/>
      <c r="M5346" s="73"/>
      <c r="N5346" s="73"/>
      <c r="O5346" s="73"/>
      <c r="P5346" s="73"/>
      <c r="Q5346" s="73"/>
      <c r="R5346" s="73"/>
      <c r="S5346" s="73"/>
      <c r="T5346" s="73"/>
      <c r="U5346" s="73"/>
      <c r="V5346" s="73"/>
      <c r="W5346" s="73"/>
      <c r="X5346" s="73"/>
      <c r="Y5346" s="73"/>
      <c r="Z5346" s="73"/>
      <c r="AA5346" s="73"/>
      <c r="AB5346" s="73"/>
    </row>
    <row r="5347">
      <c r="A5347" s="73"/>
      <c r="B5347" s="73">
        <v>4.085266217E7</v>
      </c>
      <c r="C5347" s="73">
        <v>1.83533877404577E9</v>
      </c>
      <c r="D5347" s="73">
        <v>1.47567152852714E9</v>
      </c>
      <c r="E5347" s="73"/>
      <c r="F5347" s="73"/>
      <c r="G5347" s="73"/>
      <c r="H5347" s="73"/>
      <c r="I5347" s="73"/>
      <c r="J5347" s="73"/>
      <c r="K5347" s="73"/>
      <c r="L5347" s="73"/>
      <c r="M5347" s="73"/>
      <c r="N5347" s="73"/>
      <c r="O5347" s="73"/>
      <c r="P5347" s="73"/>
      <c r="Q5347" s="73"/>
      <c r="R5347" s="73"/>
      <c r="S5347" s="73"/>
      <c r="T5347" s="73"/>
      <c r="U5347" s="73"/>
      <c r="V5347" s="73"/>
      <c r="W5347" s="73"/>
      <c r="X5347" s="73"/>
      <c r="Y5347" s="73"/>
      <c r="Z5347" s="73"/>
      <c r="AA5347" s="73"/>
      <c r="AB5347" s="73"/>
    </row>
    <row r="5348">
      <c r="A5348" s="73"/>
      <c r="B5348" s="73">
        <v>4.089087613E7</v>
      </c>
      <c r="C5348" s="73">
        <v>1.83902778634388E9</v>
      </c>
      <c r="D5348" s="73">
        <v>1.48008066266242E9</v>
      </c>
      <c r="E5348" s="73"/>
      <c r="F5348" s="73"/>
      <c r="G5348" s="73"/>
      <c r="H5348" s="73"/>
      <c r="I5348" s="73"/>
      <c r="J5348" s="73"/>
      <c r="K5348" s="73"/>
      <c r="L5348" s="73"/>
      <c r="M5348" s="73"/>
      <c r="N5348" s="73"/>
      <c r="O5348" s="73"/>
      <c r="P5348" s="73"/>
      <c r="Q5348" s="73"/>
      <c r="R5348" s="73"/>
      <c r="S5348" s="73"/>
      <c r="T5348" s="73"/>
      <c r="U5348" s="73"/>
      <c r="V5348" s="73"/>
      <c r="W5348" s="73"/>
      <c r="X5348" s="73"/>
      <c r="Y5348" s="73"/>
      <c r="Z5348" s="73"/>
      <c r="AA5348" s="73"/>
      <c r="AB5348" s="73"/>
    </row>
    <row r="5349">
      <c r="A5349" s="73"/>
      <c r="B5349" s="73">
        <v>4.092911298E7</v>
      </c>
      <c r="C5349" s="73">
        <v>1.8427236305444E9</v>
      </c>
      <c r="D5349" s="73">
        <v>1.48450286145052E9</v>
      </c>
      <c r="E5349" s="73"/>
      <c r="F5349" s="73"/>
      <c r="G5349" s="73"/>
      <c r="H5349" s="73"/>
      <c r="I5349" s="73"/>
      <c r="J5349" s="73"/>
      <c r="K5349" s="73"/>
      <c r="L5349" s="73"/>
      <c r="M5349" s="73"/>
      <c r="N5349" s="73"/>
      <c r="O5349" s="73"/>
      <c r="P5349" s="73"/>
      <c r="Q5349" s="73"/>
      <c r="R5349" s="73"/>
      <c r="S5349" s="73"/>
      <c r="T5349" s="73"/>
      <c r="U5349" s="73"/>
      <c r="V5349" s="73"/>
      <c r="W5349" s="73"/>
      <c r="X5349" s="73"/>
      <c r="Y5349" s="73"/>
      <c r="Z5349" s="73"/>
      <c r="AA5349" s="73"/>
      <c r="AB5349" s="73"/>
    </row>
    <row r="5350">
      <c r="A5350" s="73"/>
      <c r="B5350" s="73">
        <v>4.096737357E7</v>
      </c>
      <c r="C5350" s="73">
        <v>1.8464269271897E9</v>
      </c>
      <c r="D5350" s="73">
        <v>1.48893793013042E9</v>
      </c>
      <c r="E5350" s="73"/>
      <c r="F5350" s="73"/>
      <c r="G5350" s="73"/>
      <c r="H5350" s="73"/>
      <c r="I5350" s="73"/>
      <c r="J5350" s="73"/>
      <c r="K5350" s="73"/>
      <c r="L5350" s="73"/>
      <c r="M5350" s="73"/>
      <c r="N5350" s="73"/>
      <c r="O5350" s="73"/>
      <c r="P5350" s="73"/>
      <c r="Q5350" s="73"/>
      <c r="R5350" s="73"/>
      <c r="S5350" s="73"/>
      <c r="T5350" s="73"/>
      <c r="U5350" s="73"/>
      <c r="V5350" s="73"/>
      <c r="W5350" s="73"/>
      <c r="X5350" s="73"/>
      <c r="Y5350" s="73"/>
      <c r="Z5350" s="73"/>
      <c r="AA5350" s="73"/>
      <c r="AB5350" s="73"/>
    </row>
    <row r="5351">
      <c r="A5351" s="73"/>
      <c r="B5351" s="73">
        <v>4.100565812E7</v>
      </c>
      <c r="C5351" s="73">
        <v>1.85013731169804E9</v>
      </c>
      <c r="D5351" s="73">
        <v>1.49338634669668E9</v>
      </c>
      <c r="E5351" s="73"/>
      <c r="F5351" s="73"/>
      <c r="G5351" s="73"/>
      <c r="H5351" s="73"/>
      <c r="I5351" s="73"/>
      <c r="J5351" s="73"/>
      <c r="K5351" s="73"/>
      <c r="L5351" s="73"/>
      <c r="M5351" s="73"/>
      <c r="N5351" s="73"/>
      <c r="O5351" s="73"/>
      <c r="P5351" s="73"/>
      <c r="Q5351" s="73"/>
      <c r="R5351" s="73"/>
      <c r="S5351" s="73"/>
      <c r="T5351" s="73"/>
      <c r="U5351" s="73"/>
      <c r="V5351" s="73"/>
      <c r="W5351" s="73"/>
      <c r="X5351" s="73"/>
      <c r="Y5351" s="73"/>
      <c r="Z5351" s="73"/>
      <c r="AA5351" s="73"/>
      <c r="AB5351" s="73"/>
    </row>
    <row r="5352">
      <c r="A5352" s="73"/>
      <c r="B5352" s="73">
        <v>4.104396606E7</v>
      </c>
      <c r="C5352" s="73">
        <v>1.85385503342459E9</v>
      </c>
      <c r="D5352" s="73">
        <v>1.49784747678698E9</v>
      </c>
      <c r="E5352" s="73"/>
      <c r="F5352" s="73"/>
      <c r="G5352" s="73"/>
      <c r="H5352" s="73"/>
      <c r="I5352" s="73"/>
      <c r="J5352" s="73"/>
      <c r="K5352" s="73"/>
      <c r="L5352" s="73"/>
      <c r="M5352" s="73"/>
      <c r="N5352" s="73"/>
      <c r="O5352" s="73"/>
      <c r="P5352" s="73"/>
      <c r="Q5352" s="73"/>
      <c r="R5352" s="73"/>
      <c r="S5352" s="73"/>
      <c r="T5352" s="73"/>
      <c r="U5352" s="73"/>
      <c r="V5352" s="73"/>
      <c r="W5352" s="73"/>
      <c r="X5352" s="73"/>
      <c r="Y5352" s="73"/>
      <c r="Z5352" s="73"/>
      <c r="AA5352" s="73"/>
      <c r="AB5352" s="73"/>
    </row>
    <row r="5353">
      <c r="A5353" s="73"/>
      <c r="B5353" s="73">
        <v>4.108229704E7</v>
      </c>
      <c r="C5353" s="73">
        <v>1.85758008096329E9</v>
      </c>
      <c r="D5353" s="73">
        <v>1.50232208676647E9</v>
      </c>
      <c r="E5353" s="73"/>
      <c r="F5353" s="73"/>
      <c r="G5353" s="73"/>
      <c r="H5353" s="73"/>
      <c r="I5353" s="73"/>
      <c r="J5353" s="73"/>
      <c r="K5353" s="73"/>
      <c r="L5353" s="73"/>
      <c r="M5353" s="73"/>
      <c r="N5353" s="73"/>
      <c r="O5353" s="73"/>
      <c r="P5353" s="73"/>
      <c r="Q5353" s="73"/>
      <c r="R5353" s="73"/>
      <c r="S5353" s="73"/>
      <c r="T5353" s="73"/>
      <c r="U5353" s="73"/>
      <c r="V5353" s="73"/>
      <c r="W5353" s="73"/>
      <c r="X5353" s="73"/>
      <c r="Y5353" s="73"/>
      <c r="Z5353" s="73"/>
      <c r="AA5353" s="73"/>
      <c r="AB5353" s="73"/>
    </row>
    <row r="5354">
      <c r="A5354" s="73"/>
      <c r="B5354" s="73">
        <v>4.112065253E7</v>
      </c>
      <c r="C5354" s="73">
        <v>1.86131238915901E9</v>
      </c>
      <c r="D5354" s="73">
        <v>1.50680959879676E9</v>
      </c>
      <c r="E5354" s="73"/>
      <c r="F5354" s="73"/>
      <c r="G5354" s="73"/>
      <c r="H5354" s="73"/>
      <c r="I5354" s="73"/>
      <c r="J5354" s="73"/>
      <c r="K5354" s="73"/>
      <c r="L5354" s="73"/>
      <c r="M5354" s="73"/>
      <c r="N5354" s="73"/>
      <c r="O5354" s="73"/>
      <c r="P5354" s="73"/>
      <c r="Q5354" s="73"/>
      <c r="R5354" s="73"/>
      <c r="S5354" s="73"/>
      <c r="T5354" s="73"/>
      <c r="U5354" s="73"/>
      <c r="V5354" s="73"/>
      <c r="W5354" s="73"/>
      <c r="X5354" s="73"/>
      <c r="Y5354" s="73"/>
      <c r="Z5354" s="73"/>
      <c r="AA5354" s="73"/>
      <c r="AB5354" s="73"/>
    </row>
    <row r="5355">
      <c r="A5355" s="73"/>
      <c r="B5355" s="73">
        <v>4.115903126E7</v>
      </c>
      <c r="C5355" s="73">
        <v>1.86505216979867E9</v>
      </c>
      <c r="D5355" s="73">
        <v>1.51131062536898E9</v>
      </c>
      <c r="E5355" s="73"/>
      <c r="F5355" s="73"/>
      <c r="G5355" s="73"/>
      <c r="H5355" s="73"/>
      <c r="I5355" s="73"/>
      <c r="J5355" s="73"/>
      <c r="K5355" s="73"/>
      <c r="L5355" s="73"/>
      <c r="M5355" s="73"/>
      <c r="N5355" s="73"/>
      <c r="O5355" s="73"/>
      <c r="P5355" s="73"/>
      <c r="Q5355" s="73"/>
      <c r="R5355" s="73"/>
      <c r="S5355" s="73"/>
      <c r="T5355" s="73"/>
      <c r="U5355" s="73"/>
      <c r="V5355" s="73"/>
      <c r="W5355" s="73"/>
      <c r="X5355" s="73"/>
      <c r="Y5355" s="73"/>
      <c r="Z5355" s="73"/>
      <c r="AA5355" s="73"/>
      <c r="AB5355" s="73"/>
    </row>
    <row r="5356">
      <c r="A5356" s="73"/>
      <c r="B5356" s="73">
        <v>4.119743337E7</v>
      </c>
      <c r="C5356" s="73">
        <v>1.86879907611118E9</v>
      </c>
      <c r="D5356" s="73">
        <v>1.51582468396131E9</v>
      </c>
      <c r="E5356" s="73"/>
      <c r="F5356" s="73"/>
      <c r="G5356" s="73"/>
      <c r="H5356" s="73"/>
      <c r="I5356" s="73"/>
      <c r="J5356" s="73"/>
      <c r="K5356" s="73"/>
      <c r="L5356" s="73"/>
      <c r="M5356" s="73"/>
      <c r="N5356" s="73"/>
      <c r="O5356" s="73"/>
      <c r="P5356" s="73"/>
      <c r="Q5356" s="73"/>
      <c r="R5356" s="73"/>
      <c r="S5356" s="73"/>
      <c r="T5356" s="73"/>
      <c r="U5356" s="73"/>
      <c r="V5356" s="73"/>
      <c r="W5356" s="73"/>
      <c r="X5356" s="73"/>
      <c r="Y5356" s="73"/>
      <c r="Z5356" s="73"/>
      <c r="AA5356" s="73"/>
      <c r="AB5356" s="73"/>
    </row>
    <row r="5357">
      <c r="A5357" s="73"/>
      <c r="B5357" s="73">
        <v>4.123585985E7</v>
      </c>
      <c r="C5357" s="73">
        <v>1.87255360198529E9</v>
      </c>
      <c r="D5357" s="73">
        <v>1.5203522573312E9</v>
      </c>
      <c r="E5357" s="73"/>
      <c r="F5357" s="73"/>
      <c r="G5357" s="73"/>
      <c r="H5357" s="73"/>
      <c r="I5357" s="73"/>
      <c r="J5357" s="73"/>
      <c r="K5357" s="73"/>
      <c r="L5357" s="73"/>
      <c r="M5357" s="73"/>
      <c r="N5357" s="73"/>
      <c r="O5357" s="73"/>
      <c r="P5357" s="73"/>
      <c r="Q5357" s="73"/>
      <c r="R5357" s="73"/>
      <c r="S5357" s="73"/>
      <c r="T5357" s="73"/>
      <c r="U5357" s="73"/>
      <c r="V5357" s="73"/>
      <c r="W5357" s="73"/>
      <c r="X5357" s="73"/>
      <c r="Y5357" s="73"/>
      <c r="Z5357" s="73"/>
      <c r="AA5357" s="73"/>
      <c r="AB5357" s="73"/>
    </row>
    <row r="5358">
      <c r="A5358" s="73"/>
      <c r="B5358" s="73">
        <v>4.127430887E7</v>
      </c>
      <c r="C5358" s="73">
        <v>1.87631528765627E9</v>
      </c>
      <c r="D5358" s="73">
        <v>1.52489299345198E9</v>
      </c>
      <c r="E5358" s="73"/>
      <c r="F5358" s="73"/>
      <c r="G5358" s="73"/>
      <c r="H5358" s="73"/>
      <c r="I5358" s="73"/>
      <c r="J5358" s="73"/>
      <c r="K5358" s="73"/>
      <c r="L5358" s="73"/>
      <c r="M5358" s="73"/>
      <c r="N5358" s="73"/>
      <c r="O5358" s="73"/>
      <c r="P5358" s="73"/>
      <c r="Q5358" s="73"/>
      <c r="R5358" s="73"/>
      <c r="S5358" s="73"/>
      <c r="T5358" s="73"/>
      <c r="U5358" s="73"/>
      <c r="V5358" s="73"/>
      <c r="W5358" s="73"/>
      <c r="X5358" s="73"/>
      <c r="Y5358" s="73"/>
      <c r="Z5358" s="73"/>
      <c r="AA5358" s="73"/>
      <c r="AB5358" s="73"/>
    </row>
    <row r="5359">
      <c r="A5359" s="73"/>
      <c r="B5359" s="73">
        <v>4.131278258E7</v>
      </c>
      <c r="C5359" s="73">
        <v>1.8800842339084E9</v>
      </c>
      <c r="D5359" s="73">
        <v>1.52944712499858E9</v>
      </c>
      <c r="E5359" s="73"/>
      <c r="F5359" s="73"/>
      <c r="G5359" s="73"/>
      <c r="H5359" s="73"/>
      <c r="I5359" s="73"/>
      <c r="J5359" s="73"/>
      <c r="K5359" s="73"/>
      <c r="L5359" s="73"/>
      <c r="M5359" s="73"/>
      <c r="N5359" s="73"/>
      <c r="O5359" s="73"/>
      <c r="P5359" s="73"/>
      <c r="Q5359" s="73"/>
      <c r="R5359" s="73"/>
      <c r="S5359" s="73"/>
      <c r="T5359" s="73"/>
      <c r="U5359" s="73"/>
      <c r="V5359" s="73"/>
      <c r="W5359" s="73"/>
      <c r="X5359" s="73"/>
      <c r="Y5359" s="73"/>
      <c r="Z5359" s="73"/>
      <c r="AA5359" s="73"/>
      <c r="AB5359" s="73"/>
    </row>
    <row r="5360">
      <c r="A5360" s="73"/>
      <c r="B5360" s="73">
        <v>4.135127955E7</v>
      </c>
      <c r="C5360" s="73">
        <v>1.88386106787351E9</v>
      </c>
      <c r="D5360" s="73">
        <v>1.53401476618235E9</v>
      </c>
      <c r="E5360" s="73"/>
      <c r="F5360" s="73"/>
      <c r="G5360" s="73"/>
      <c r="H5360" s="73"/>
      <c r="I5360" s="73"/>
      <c r="J5360" s="73"/>
      <c r="K5360" s="73"/>
      <c r="L5360" s="73"/>
      <c r="M5360" s="73"/>
      <c r="N5360" s="73"/>
      <c r="O5360" s="73"/>
      <c r="P5360" s="73"/>
      <c r="Q5360" s="73"/>
      <c r="R5360" s="73"/>
      <c r="S5360" s="73"/>
      <c r="T5360" s="73"/>
      <c r="U5360" s="73"/>
      <c r="V5360" s="73"/>
      <c r="W5360" s="73"/>
      <c r="X5360" s="73"/>
      <c r="Y5360" s="73"/>
      <c r="Z5360" s="73"/>
      <c r="AA5360" s="73"/>
      <c r="AB5360" s="73"/>
    </row>
    <row r="5361">
      <c r="A5361" s="73"/>
      <c r="B5361" s="73">
        <v>4.138980096E7</v>
      </c>
      <c r="C5361" s="73">
        <v>1.88764495312108E9</v>
      </c>
      <c r="D5361" s="73">
        <v>1.53859583557434E9</v>
      </c>
      <c r="E5361" s="73"/>
      <c r="F5361" s="73"/>
      <c r="G5361" s="73"/>
      <c r="H5361" s="73"/>
      <c r="I5361" s="73"/>
      <c r="J5361" s="73"/>
      <c r="K5361" s="73"/>
      <c r="L5361" s="73"/>
      <c r="M5361" s="73"/>
      <c r="N5361" s="73"/>
      <c r="O5361" s="73"/>
      <c r="P5361" s="73"/>
      <c r="Q5361" s="73"/>
      <c r="R5361" s="73"/>
      <c r="S5361" s="73"/>
      <c r="T5361" s="73"/>
      <c r="U5361" s="73"/>
      <c r="V5361" s="73"/>
      <c r="W5361" s="73"/>
      <c r="X5361" s="73"/>
      <c r="Y5361" s="73"/>
      <c r="Z5361" s="73"/>
      <c r="AA5361" s="73"/>
      <c r="AB5361" s="73"/>
    </row>
    <row r="5362">
      <c r="A5362" s="73"/>
      <c r="B5362" s="73">
        <v>4.142834496E7</v>
      </c>
      <c r="C5362" s="73">
        <v>1.89143614088283E9</v>
      </c>
      <c r="D5362" s="73">
        <v>1.54319029626329E9</v>
      </c>
      <c r="E5362" s="73"/>
      <c r="F5362" s="73"/>
      <c r="G5362" s="73"/>
      <c r="H5362" s="73"/>
      <c r="I5362" s="73"/>
      <c r="J5362" s="73"/>
      <c r="K5362" s="73"/>
      <c r="L5362" s="73"/>
      <c r="M5362" s="73"/>
      <c r="N5362" s="73"/>
      <c r="O5362" s="73"/>
      <c r="P5362" s="73"/>
      <c r="Q5362" s="73"/>
      <c r="R5362" s="73"/>
      <c r="S5362" s="73"/>
      <c r="T5362" s="73"/>
      <c r="U5362" s="73"/>
      <c r="V5362" s="73"/>
      <c r="W5362" s="73"/>
      <c r="X5362" s="73"/>
      <c r="Y5362" s="73"/>
      <c r="Z5362" s="73"/>
      <c r="AA5362" s="73"/>
      <c r="AB5362" s="73"/>
    </row>
    <row r="5363">
      <c r="A5363" s="73"/>
      <c r="B5363" s="73">
        <v>4.146691276E7</v>
      </c>
      <c r="C5363" s="73">
        <v>1.89523488333721E9</v>
      </c>
      <c r="D5363" s="73">
        <v>1.54779837734675E9</v>
      </c>
      <c r="E5363" s="73"/>
      <c r="F5363" s="73"/>
      <c r="G5363" s="73"/>
      <c r="H5363" s="73"/>
      <c r="I5363" s="73"/>
      <c r="J5363" s="73"/>
      <c r="K5363" s="73"/>
      <c r="L5363" s="73"/>
      <c r="M5363" s="73"/>
      <c r="N5363" s="73"/>
      <c r="O5363" s="73"/>
      <c r="P5363" s="73"/>
      <c r="Q5363" s="73"/>
      <c r="R5363" s="73"/>
      <c r="S5363" s="73"/>
      <c r="T5363" s="73"/>
      <c r="U5363" s="73"/>
      <c r="V5363" s="73"/>
      <c r="W5363" s="73"/>
      <c r="X5363" s="73"/>
      <c r="Y5363" s="73"/>
      <c r="Z5363" s="73"/>
      <c r="AA5363" s="73"/>
      <c r="AB5363" s="73"/>
    </row>
    <row r="5364">
      <c r="A5364" s="73"/>
      <c r="B5364" s="73">
        <v>4.150550447E7</v>
      </c>
      <c r="C5364" s="73">
        <v>1.89904094362084E9</v>
      </c>
      <c r="D5364" s="73">
        <v>1.55242004046216E9</v>
      </c>
      <c r="E5364" s="73"/>
      <c r="F5364" s="73"/>
      <c r="G5364" s="73"/>
      <c r="H5364" s="73"/>
      <c r="I5364" s="73"/>
      <c r="J5364" s="73"/>
      <c r="K5364" s="73"/>
      <c r="L5364" s="73"/>
      <c r="M5364" s="73"/>
      <c r="N5364" s="73"/>
      <c r="O5364" s="73"/>
      <c r="P5364" s="73"/>
      <c r="Q5364" s="73"/>
      <c r="R5364" s="73"/>
      <c r="S5364" s="73"/>
      <c r="T5364" s="73"/>
      <c r="U5364" s="73"/>
      <c r="V5364" s="73"/>
      <c r="W5364" s="73"/>
      <c r="X5364" s="73"/>
      <c r="Y5364" s="73"/>
      <c r="Z5364" s="73"/>
      <c r="AA5364" s="73"/>
      <c r="AB5364" s="73"/>
    </row>
    <row r="5365">
      <c r="A5365" s="73"/>
      <c r="B5365" s="73">
        <v>4.154412006E7</v>
      </c>
      <c r="C5365" s="73">
        <v>1.90285480155937E9</v>
      </c>
      <c r="D5365" s="73">
        <v>1.55705530235396E9</v>
      </c>
      <c r="E5365" s="73"/>
      <c r="F5365" s="73"/>
      <c r="G5365" s="73"/>
      <c r="H5365" s="73"/>
      <c r="I5365" s="73"/>
      <c r="J5365" s="73"/>
      <c r="K5365" s="73"/>
      <c r="L5365" s="73"/>
      <c r="M5365" s="73"/>
      <c r="N5365" s="73"/>
      <c r="O5365" s="73"/>
      <c r="P5365" s="73"/>
      <c r="Q5365" s="73"/>
      <c r="R5365" s="73"/>
      <c r="S5365" s="73"/>
      <c r="T5365" s="73"/>
      <c r="U5365" s="73"/>
      <c r="V5365" s="73"/>
      <c r="W5365" s="73"/>
      <c r="X5365" s="73"/>
      <c r="Y5365" s="73"/>
      <c r="Z5365" s="73"/>
      <c r="AA5365" s="73"/>
      <c r="AB5365" s="73"/>
    </row>
    <row r="5366">
      <c r="A5366" s="73"/>
      <c r="B5366" s="73">
        <v>4.158275895E7</v>
      </c>
      <c r="C5366" s="73">
        <v>1.90667587958466E9</v>
      </c>
      <c r="D5366" s="73">
        <v>1.56170424055366E9</v>
      </c>
      <c r="E5366" s="73"/>
      <c r="F5366" s="73"/>
      <c r="G5366" s="73"/>
      <c r="H5366" s="73"/>
      <c r="I5366" s="73"/>
      <c r="J5366" s="73"/>
      <c r="K5366" s="73"/>
      <c r="L5366" s="73"/>
      <c r="M5366" s="73"/>
      <c r="N5366" s="73"/>
      <c r="O5366" s="73"/>
      <c r="P5366" s="73"/>
      <c r="Q5366" s="73"/>
      <c r="R5366" s="73"/>
      <c r="S5366" s="73"/>
      <c r="T5366" s="73"/>
      <c r="U5366" s="73"/>
      <c r="V5366" s="73"/>
      <c r="W5366" s="73"/>
      <c r="X5366" s="73"/>
      <c r="Y5366" s="73"/>
      <c r="Z5366" s="73"/>
      <c r="AA5366" s="73"/>
      <c r="AB5366" s="73"/>
    </row>
    <row r="5367">
      <c r="A5367" s="73"/>
      <c r="B5367" s="73">
        <v>4.162142109E7</v>
      </c>
      <c r="C5367" s="73">
        <v>1.91050454425103E9</v>
      </c>
      <c r="D5367" s="73">
        <v>1.56636687215934E9</v>
      </c>
      <c r="E5367" s="73"/>
      <c r="F5367" s="73"/>
      <c r="G5367" s="73"/>
      <c r="H5367" s="73"/>
      <c r="I5367" s="73"/>
      <c r="J5367" s="73"/>
      <c r="K5367" s="73"/>
      <c r="L5367" s="73"/>
      <c r="M5367" s="73"/>
      <c r="N5367" s="73"/>
      <c r="O5367" s="73"/>
      <c r="P5367" s="73"/>
      <c r="Q5367" s="73"/>
      <c r="R5367" s="73"/>
      <c r="S5367" s="73"/>
      <c r="T5367" s="73"/>
      <c r="U5367" s="73"/>
      <c r="V5367" s="73"/>
      <c r="W5367" s="73"/>
      <c r="X5367" s="73"/>
      <c r="Y5367" s="73"/>
      <c r="Z5367" s="73"/>
      <c r="AA5367" s="73"/>
      <c r="AB5367" s="73"/>
    </row>
    <row r="5368">
      <c r="A5368" s="73"/>
      <c r="B5368" s="73">
        <v>4.166010777E7</v>
      </c>
      <c r="C5368" s="73">
        <v>1.91434078595426E9</v>
      </c>
      <c r="D5368" s="73">
        <v>1.5710431571418E9</v>
      </c>
      <c r="E5368" s="73"/>
      <c r="F5368" s="73"/>
      <c r="G5368" s="73"/>
      <c r="H5368" s="73"/>
      <c r="I5368" s="73"/>
      <c r="J5368" s="73"/>
      <c r="K5368" s="73"/>
      <c r="L5368" s="73"/>
      <c r="M5368" s="73"/>
      <c r="N5368" s="73"/>
      <c r="O5368" s="73"/>
      <c r="P5368" s="73"/>
      <c r="Q5368" s="73"/>
      <c r="R5368" s="73"/>
      <c r="S5368" s="73"/>
      <c r="T5368" s="73"/>
      <c r="U5368" s="73"/>
      <c r="V5368" s="73"/>
      <c r="W5368" s="73"/>
      <c r="X5368" s="73"/>
      <c r="Y5368" s="73"/>
      <c r="Z5368" s="73"/>
      <c r="AA5368" s="73"/>
      <c r="AB5368" s="73"/>
    </row>
    <row r="5369">
      <c r="A5369" s="73"/>
      <c r="B5369" s="73">
        <v>4.169881826E7</v>
      </c>
      <c r="C5369" s="73">
        <v>1.91818451654535E9</v>
      </c>
      <c r="D5369" s="73">
        <v>1.57573332835764E9</v>
      </c>
      <c r="E5369" s="73"/>
      <c r="F5369" s="73"/>
      <c r="G5369" s="73"/>
      <c r="H5369" s="73"/>
      <c r="I5369" s="73"/>
      <c r="J5369" s="73"/>
      <c r="K5369" s="73"/>
      <c r="L5369" s="73"/>
      <c r="M5369" s="73"/>
      <c r="N5369" s="73"/>
      <c r="O5369" s="73"/>
      <c r="P5369" s="73"/>
      <c r="Q5369" s="73"/>
      <c r="R5369" s="73"/>
      <c r="S5369" s="73"/>
      <c r="T5369" s="73"/>
      <c r="U5369" s="73"/>
      <c r="V5369" s="73"/>
      <c r="W5369" s="73"/>
      <c r="X5369" s="73"/>
      <c r="Y5369" s="73"/>
      <c r="Z5369" s="73"/>
      <c r="AA5369" s="73"/>
      <c r="AB5369" s="73"/>
    </row>
    <row r="5370">
      <c r="A5370" s="73"/>
      <c r="B5370" s="73">
        <v>4.173755149E7</v>
      </c>
      <c r="C5370" s="73">
        <v>1.92203561168684E9</v>
      </c>
      <c r="D5370" s="73">
        <v>1.5804371896374E9</v>
      </c>
      <c r="E5370" s="73"/>
      <c r="F5370" s="73"/>
      <c r="G5370" s="73"/>
      <c r="H5370" s="73"/>
      <c r="I5370" s="73"/>
      <c r="J5370" s="73"/>
      <c r="K5370" s="73"/>
      <c r="L5370" s="73"/>
      <c r="M5370" s="73"/>
      <c r="N5370" s="73"/>
      <c r="O5370" s="73"/>
      <c r="P5370" s="73"/>
      <c r="Q5370" s="73"/>
      <c r="R5370" s="73"/>
      <c r="S5370" s="73"/>
      <c r="T5370" s="73"/>
      <c r="U5370" s="73"/>
      <c r="V5370" s="73"/>
      <c r="W5370" s="73"/>
      <c r="X5370" s="73"/>
      <c r="Y5370" s="73"/>
      <c r="Z5370" s="73"/>
      <c r="AA5370" s="73"/>
      <c r="AB5370" s="73"/>
    </row>
    <row r="5371">
      <c r="A5371" s="73"/>
      <c r="B5371" s="73">
        <v>4.177630916E7</v>
      </c>
      <c r="C5371" s="73">
        <v>1.92589444009625E9</v>
      </c>
      <c r="D5371" s="73">
        <v>1.58515497228719E9</v>
      </c>
      <c r="E5371" s="73"/>
      <c r="F5371" s="73"/>
      <c r="G5371" s="73"/>
      <c r="H5371" s="73"/>
      <c r="I5371" s="73"/>
      <c r="J5371" s="73"/>
      <c r="K5371" s="73"/>
      <c r="L5371" s="73"/>
      <c r="M5371" s="73"/>
      <c r="N5371" s="73"/>
      <c r="O5371" s="73"/>
      <c r="P5371" s="73"/>
      <c r="Q5371" s="73"/>
      <c r="R5371" s="73"/>
      <c r="S5371" s="73"/>
      <c r="T5371" s="73"/>
      <c r="U5371" s="73"/>
      <c r="V5371" s="73"/>
      <c r="W5371" s="73"/>
      <c r="X5371" s="73"/>
      <c r="Y5371" s="73"/>
      <c r="Z5371" s="73"/>
      <c r="AA5371" s="73"/>
      <c r="AB5371" s="73"/>
    </row>
    <row r="5372">
      <c r="A5372" s="73"/>
      <c r="B5372" s="73">
        <v>4.181508974E7</v>
      </c>
      <c r="C5372" s="73">
        <v>1.92976091301129E9</v>
      </c>
      <c r="D5372" s="73">
        <v>1.58988664012062E9</v>
      </c>
      <c r="E5372" s="73"/>
      <c r="F5372" s="73"/>
      <c r="G5372" s="73"/>
      <c r="H5372" s="73"/>
      <c r="I5372" s="73"/>
      <c r="J5372" s="73"/>
      <c r="K5372" s="73"/>
      <c r="L5372" s="73"/>
      <c r="M5372" s="73"/>
      <c r="N5372" s="73"/>
      <c r="O5372" s="73"/>
      <c r="P5372" s="73"/>
      <c r="Q5372" s="73"/>
      <c r="R5372" s="73"/>
      <c r="S5372" s="73"/>
      <c r="T5372" s="73"/>
      <c r="U5372" s="73"/>
      <c r="V5372" s="73"/>
      <c r="W5372" s="73"/>
      <c r="X5372" s="73"/>
      <c r="Y5372" s="73"/>
      <c r="Z5372" s="73"/>
      <c r="AA5372" s="73"/>
      <c r="AB5372" s="73"/>
    </row>
    <row r="5373">
      <c r="A5373" s="73"/>
      <c r="B5373" s="73">
        <v>4.18538944E7</v>
      </c>
      <c r="C5373" s="73">
        <v>1.93363477392137E9</v>
      </c>
      <c r="D5373" s="73">
        <v>1.59463236505824E9</v>
      </c>
      <c r="E5373" s="73"/>
      <c r="F5373" s="73"/>
      <c r="G5373" s="73"/>
      <c r="H5373" s="73"/>
      <c r="I5373" s="73"/>
      <c r="J5373" s="73"/>
      <c r="K5373" s="73"/>
      <c r="L5373" s="73"/>
      <c r="M5373" s="73"/>
      <c r="N5373" s="73"/>
      <c r="O5373" s="73"/>
      <c r="P5373" s="73"/>
      <c r="Q5373" s="73"/>
      <c r="R5373" s="73"/>
      <c r="S5373" s="73"/>
      <c r="T5373" s="73"/>
      <c r="U5373" s="73"/>
      <c r="V5373" s="73"/>
      <c r="W5373" s="73"/>
      <c r="X5373" s="73"/>
      <c r="Y5373" s="73"/>
      <c r="Z5373" s="73"/>
      <c r="AA5373" s="73"/>
      <c r="AB5373" s="73"/>
    </row>
    <row r="5374">
      <c r="A5374" s="73"/>
      <c r="B5374" s="73">
        <v>4.189272329E7</v>
      </c>
      <c r="C5374" s="73">
        <v>1.93751603028547E9</v>
      </c>
      <c r="D5374" s="73">
        <v>1.59939181298378E9</v>
      </c>
      <c r="E5374" s="73"/>
      <c r="F5374" s="73"/>
      <c r="G5374" s="73"/>
      <c r="H5374" s="73"/>
      <c r="I5374" s="73"/>
      <c r="J5374" s="73"/>
      <c r="K5374" s="73"/>
      <c r="L5374" s="73"/>
      <c r="M5374" s="73"/>
      <c r="N5374" s="73"/>
      <c r="O5374" s="73"/>
      <c r="P5374" s="73"/>
      <c r="Q5374" s="73"/>
      <c r="R5374" s="73"/>
      <c r="S5374" s="73"/>
      <c r="T5374" s="73"/>
      <c r="U5374" s="73"/>
      <c r="V5374" s="73"/>
      <c r="W5374" s="73"/>
      <c r="X5374" s="73"/>
      <c r="Y5374" s="73"/>
      <c r="Z5374" s="73"/>
      <c r="AA5374" s="73"/>
      <c r="AB5374" s="73"/>
    </row>
    <row r="5375">
      <c r="A5375" s="73"/>
      <c r="B5375" s="73">
        <v>4.193157574E7</v>
      </c>
      <c r="C5375" s="73">
        <v>1.94140541539652E9</v>
      </c>
      <c r="D5375" s="73">
        <v>1.60416545574937E9</v>
      </c>
      <c r="E5375" s="73"/>
      <c r="F5375" s="73"/>
      <c r="G5375" s="73"/>
      <c r="H5375" s="73"/>
      <c r="I5375" s="73"/>
      <c r="J5375" s="73"/>
      <c r="K5375" s="73"/>
      <c r="L5375" s="73"/>
      <c r="M5375" s="73"/>
      <c r="N5375" s="73"/>
      <c r="O5375" s="73"/>
      <c r="P5375" s="73"/>
      <c r="Q5375" s="73"/>
      <c r="R5375" s="73"/>
      <c r="S5375" s="73"/>
      <c r="T5375" s="73"/>
      <c r="U5375" s="73"/>
      <c r="V5375" s="73"/>
      <c r="W5375" s="73"/>
      <c r="X5375" s="73"/>
      <c r="Y5375" s="73"/>
      <c r="Z5375" s="73"/>
      <c r="AA5375" s="73"/>
      <c r="AB5375" s="73"/>
    </row>
    <row r="5376">
      <c r="A5376" s="73"/>
      <c r="B5376" s="73">
        <v>4.197045229E7</v>
      </c>
      <c r="C5376" s="73">
        <v>1.94530198159671E9</v>
      </c>
      <c r="D5376" s="73">
        <v>1.60895311395166E9</v>
      </c>
      <c r="E5376" s="73"/>
      <c r="F5376" s="73"/>
      <c r="G5376" s="73"/>
      <c r="H5376" s="73"/>
      <c r="I5376" s="73"/>
      <c r="J5376" s="73"/>
      <c r="K5376" s="73"/>
      <c r="L5376" s="73"/>
      <c r="M5376" s="73"/>
      <c r="N5376" s="73"/>
      <c r="O5376" s="73"/>
      <c r="P5376" s="73"/>
      <c r="Q5376" s="73"/>
      <c r="R5376" s="73"/>
      <c r="S5376" s="73"/>
      <c r="T5376" s="73"/>
      <c r="U5376" s="73"/>
      <c r="V5376" s="73"/>
      <c r="W5376" s="73"/>
      <c r="X5376" s="73"/>
      <c r="Y5376" s="73"/>
      <c r="Z5376" s="73"/>
      <c r="AA5376" s="73"/>
      <c r="AB5376" s="73"/>
    </row>
    <row r="5377">
      <c r="A5377" s="73"/>
      <c r="B5377" s="73">
        <v>4.200935201E7</v>
      </c>
      <c r="C5377" s="73">
        <v>1.94920623151181E9</v>
      </c>
      <c r="D5377" s="73">
        <v>1.61375480426736E9</v>
      </c>
      <c r="E5377" s="73"/>
      <c r="F5377" s="73"/>
      <c r="G5377" s="73"/>
      <c r="H5377" s="73"/>
      <c r="I5377" s="73"/>
      <c r="J5377" s="73"/>
      <c r="K5377" s="73"/>
      <c r="L5377" s="73"/>
      <c r="M5377" s="73"/>
      <c r="N5377" s="73"/>
      <c r="O5377" s="73"/>
      <c r="P5377" s="73"/>
      <c r="Q5377" s="73"/>
      <c r="R5377" s="73"/>
      <c r="S5377" s="73"/>
      <c r="T5377" s="73"/>
      <c r="U5377" s="73"/>
      <c r="V5377" s="73"/>
      <c r="W5377" s="73"/>
      <c r="X5377" s="73"/>
      <c r="Y5377" s="73"/>
      <c r="Z5377" s="73"/>
      <c r="AA5377" s="73"/>
      <c r="AB5377" s="73"/>
    </row>
    <row r="5378">
      <c r="A5378" s="73"/>
      <c r="B5378" s="73">
        <v>4.204827515E7</v>
      </c>
      <c r="C5378" s="73">
        <v>1.95311837125206E9</v>
      </c>
      <c r="D5378" s="73">
        <v>1.61857064676948E9</v>
      </c>
      <c r="E5378" s="73"/>
      <c r="F5378" s="73"/>
      <c r="G5378" s="73"/>
      <c r="H5378" s="73"/>
      <c r="I5378" s="73"/>
      <c r="J5378" s="73"/>
      <c r="K5378" s="73"/>
      <c r="L5378" s="73"/>
      <c r="M5378" s="73"/>
      <c r="N5378" s="73"/>
      <c r="O5378" s="73"/>
      <c r="P5378" s="73"/>
      <c r="Q5378" s="73"/>
      <c r="R5378" s="73"/>
      <c r="S5378" s="73"/>
      <c r="T5378" s="73"/>
      <c r="U5378" s="73"/>
      <c r="V5378" s="73"/>
      <c r="W5378" s="73"/>
      <c r="X5378" s="73"/>
      <c r="Y5378" s="73"/>
      <c r="Z5378" s="73"/>
      <c r="AA5378" s="73"/>
      <c r="AB5378" s="73"/>
    </row>
    <row r="5379">
      <c r="A5379" s="73"/>
      <c r="B5379" s="73">
        <v>4.208722162E7</v>
      </c>
      <c r="C5379" s="73">
        <v>1.95703821158178E9</v>
      </c>
      <c r="D5379" s="73">
        <v>1.62340081730369E9</v>
      </c>
      <c r="E5379" s="73"/>
      <c r="F5379" s="73"/>
      <c r="G5379" s="73"/>
      <c r="H5379" s="73"/>
      <c r="I5379" s="73"/>
      <c r="J5379" s="73"/>
      <c r="K5379" s="73"/>
      <c r="L5379" s="73"/>
      <c r="M5379" s="73"/>
      <c r="N5379" s="73"/>
      <c r="O5379" s="73"/>
      <c r="P5379" s="73"/>
      <c r="Q5379" s="73"/>
      <c r="R5379" s="73"/>
      <c r="S5379" s="73"/>
      <c r="T5379" s="73"/>
      <c r="U5379" s="73"/>
      <c r="V5379" s="73"/>
      <c r="W5379" s="73"/>
      <c r="X5379" s="73"/>
      <c r="Y5379" s="73"/>
      <c r="Z5379" s="73"/>
      <c r="AA5379" s="73"/>
      <c r="AB5379" s="73"/>
    </row>
    <row r="5380">
      <c r="A5380" s="73"/>
      <c r="B5380" s="73">
        <v>4.212619291E7</v>
      </c>
      <c r="C5380" s="73">
        <v>1.96096539539989E9</v>
      </c>
      <c r="D5380" s="73">
        <v>1.62824507691571E9</v>
      </c>
      <c r="E5380" s="73"/>
      <c r="F5380" s="73"/>
      <c r="G5380" s="73"/>
      <c r="H5380" s="73"/>
      <c r="I5380" s="73"/>
      <c r="J5380" s="73"/>
      <c r="K5380" s="73"/>
      <c r="L5380" s="73"/>
      <c r="M5380" s="73"/>
      <c r="N5380" s="73"/>
      <c r="O5380" s="73"/>
      <c r="P5380" s="73"/>
      <c r="Q5380" s="73"/>
      <c r="R5380" s="73"/>
      <c r="S5380" s="73"/>
      <c r="T5380" s="73"/>
      <c r="U5380" s="73"/>
      <c r="V5380" s="73"/>
      <c r="W5380" s="73"/>
      <c r="X5380" s="73"/>
      <c r="Y5380" s="73"/>
      <c r="Z5380" s="73"/>
      <c r="AA5380" s="73"/>
      <c r="AB5380" s="73"/>
    </row>
    <row r="5381">
      <c r="A5381" s="73"/>
      <c r="B5381" s="73">
        <v>4.21651864E7</v>
      </c>
      <c r="C5381" s="73">
        <v>1.9649006273892E9</v>
      </c>
      <c r="D5381" s="73">
        <v>1.63310360101078E9</v>
      </c>
      <c r="E5381" s="73"/>
      <c r="F5381" s="73"/>
      <c r="G5381" s="73"/>
      <c r="H5381" s="73"/>
      <c r="I5381" s="73"/>
      <c r="J5381" s="73"/>
      <c r="K5381" s="73"/>
      <c r="L5381" s="73"/>
      <c r="M5381" s="73"/>
      <c r="N5381" s="73"/>
      <c r="O5381" s="73"/>
      <c r="P5381" s="73"/>
      <c r="Q5381" s="73"/>
      <c r="R5381" s="73"/>
      <c r="S5381" s="73"/>
      <c r="T5381" s="73"/>
      <c r="U5381" s="73"/>
      <c r="V5381" s="73"/>
      <c r="W5381" s="73"/>
      <c r="X5381" s="73"/>
      <c r="Y5381" s="73"/>
      <c r="Z5381" s="73"/>
      <c r="AA5381" s="73"/>
      <c r="AB5381" s="73"/>
    </row>
    <row r="5382">
      <c r="A5382" s="73"/>
      <c r="B5382" s="73">
        <v>4.220420564E7</v>
      </c>
      <c r="C5382" s="73">
        <v>1.96884335102998E9</v>
      </c>
      <c r="D5382" s="73">
        <v>1.63797635296284E9</v>
      </c>
      <c r="E5382" s="73"/>
      <c r="F5382" s="73"/>
      <c r="G5382" s="73"/>
      <c r="H5382" s="73"/>
      <c r="I5382" s="73"/>
      <c r="J5382" s="73"/>
      <c r="K5382" s="73"/>
      <c r="L5382" s="73"/>
      <c r="M5382" s="73"/>
      <c r="N5382" s="73"/>
      <c r="O5382" s="73"/>
      <c r="P5382" s="73"/>
      <c r="Q5382" s="73"/>
      <c r="R5382" s="73"/>
      <c r="S5382" s="73"/>
      <c r="T5382" s="73"/>
      <c r="U5382" s="73"/>
      <c r="V5382" s="73"/>
      <c r="W5382" s="73"/>
      <c r="X5382" s="73"/>
      <c r="Y5382" s="73"/>
      <c r="Z5382" s="73"/>
      <c r="AA5382" s="73"/>
      <c r="AB5382" s="73"/>
    </row>
    <row r="5383">
      <c r="A5383" s="73"/>
      <c r="B5383" s="73">
        <v>4.224324832E7</v>
      </c>
      <c r="C5383" s="73">
        <v>1.97279354083907E9</v>
      </c>
      <c r="D5383" s="73">
        <v>1.64286366545876E9</v>
      </c>
      <c r="E5383" s="73"/>
      <c r="F5383" s="73"/>
      <c r="G5383" s="73"/>
      <c r="H5383" s="73"/>
      <c r="I5383" s="73"/>
      <c r="J5383" s="73"/>
      <c r="K5383" s="73"/>
      <c r="L5383" s="73"/>
      <c r="M5383" s="73"/>
      <c r="N5383" s="73"/>
      <c r="O5383" s="73"/>
      <c r="P5383" s="73"/>
      <c r="Q5383" s="73"/>
      <c r="R5383" s="73"/>
      <c r="S5383" s="73"/>
      <c r="T5383" s="73"/>
      <c r="U5383" s="73"/>
      <c r="V5383" s="73"/>
      <c r="W5383" s="73"/>
      <c r="X5383" s="73"/>
      <c r="Y5383" s="73"/>
      <c r="Z5383" s="73"/>
      <c r="AA5383" s="73"/>
      <c r="AB5383" s="73"/>
    </row>
    <row r="5384">
      <c r="A5384" s="73"/>
      <c r="B5384" s="73">
        <v>4.228231327E7</v>
      </c>
      <c r="C5384" s="73">
        <v>1.97675193761282E9</v>
      </c>
      <c r="D5384" s="73">
        <v>1.64776514288862E9</v>
      </c>
      <c r="E5384" s="73"/>
      <c r="F5384" s="73"/>
      <c r="G5384" s="73"/>
      <c r="H5384" s="73"/>
      <c r="I5384" s="73"/>
      <c r="J5384" s="73"/>
      <c r="K5384" s="73"/>
      <c r="L5384" s="73"/>
      <c r="M5384" s="73"/>
      <c r="N5384" s="73"/>
      <c r="O5384" s="73"/>
      <c r="P5384" s="73"/>
      <c r="Q5384" s="73"/>
      <c r="R5384" s="73"/>
      <c r="S5384" s="73"/>
      <c r="T5384" s="73"/>
      <c r="U5384" s="73"/>
      <c r="V5384" s="73"/>
      <c r="W5384" s="73"/>
      <c r="X5384" s="73"/>
      <c r="Y5384" s="73"/>
      <c r="Z5384" s="73"/>
      <c r="AA5384" s="73"/>
      <c r="AB5384" s="73"/>
    </row>
    <row r="5385">
      <c r="A5385" s="73"/>
      <c r="B5385" s="73">
        <v>4.232140294E7</v>
      </c>
      <c r="C5385" s="73">
        <v>1.98071808319522E9</v>
      </c>
      <c r="D5385" s="73">
        <v>1.65268111759876E9</v>
      </c>
      <c r="E5385" s="73"/>
      <c r="F5385" s="73"/>
      <c r="G5385" s="73"/>
      <c r="H5385" s="73"/>
      <c r="I5385" s="73"/>
      <c r="J5385" s="73"/>
      <c r="K5385" s="73"/>
      <c r="L5385" s="73"/>
      <c r="M5385" s="73"/>
      <c r="N5385" s="73"/>
      <c r="O5385" s="73"/>
      <c r="P5385" s="73"/>
      <c r="Q5385" s="73"/>
      <c r="R5385" s="73"/>
      <c r="S5385" s="73"/>
      <c r="T5385" s="73"/>
      <c r="U5385" s="73"/>
      <c r="V5385" s="73"/>
      <c r="W5385" s="73"/>
      <c r="X5385" s="73"/>
      <c r="Y5385" s="73"/>
      <c r="Z5385" s="73"/>
      <c r="AA5385" s="73"/>
      <c r="AB5385" s="73"/>
    </row>
    <row r="5386">
      <c r="A5386" s="73"/>
      <c r="B5386" s="73">
        <v>4.236051571E7</v>
      </c>
      <c r="C5386" s="73">
        <v>1.98469185243665E9</v>
      </c>
      <c r="D5386" s="73">
        <v>1.65761155389827E9</v>
      </c>
      <c r="E5386" s="73"/>
      <c r="F5386" s="73"/>
      <c r="G5386" s="73"/>
      <c r="H5386" s="73"/>
      <c r="I5386" s="73"/>
      <c r="J5386" s="73"/>
      <c r="K5386" s="73"/>
      <c r="L5386" s="73"/>
      <c r="M5386" s="73"/>
      <c r="N5386" s="73"/>
      <c r="O5386" s="73"/>
      <c r="P5386" s="73"/>
      <c r="Q5386" s="73"/>
      <c r="R5386" s="73"/>
      <c r="S5386" s="73"/>
      <c r="T5386" s="73"/>
      <c r="U5386" s="73"/>
      <c r="V5386" s="73"/>
      <c r="W5386" s="73"/>
      <c r="X5386" s="73"/>
      <c r="Y5386" s="73"/>
      <c r="Z5386" s="73"/>
      <c r="AA5386" s="73"/>
      <c r="AB5386" s="73"/>
    </row>
    <row r="5387">
      <c r="A5387" s="73"/>
      <c r="B5387" s="73">
        <v>4.239965289E7</v>
      </c>
      <c r="C5387" s="73">
        <v>1.98867325304523E9</v>
      </c>
      <c r="D5387" s="73">
        <v>1.66255662801875E9</v>
      </c>
      <c r="E5387" s="73"/>
      <c r="F5387" s="73"/>
      <c r="G5387" s="73"/>
      <c r="H5387" s="73"/>
      <c r="I5387" s="73"/>
      <c r="J5387" s="73"/>
      <c r="K5387" s="73"/>
      <c r="L5387" s="73"/>
      <c r="M5387" s="73"/>
      <c r="N5387" s="73"/>
      <c r="O5387" s="73"/>
      <c r="P5387" s="73"/>
      <c r="Q5387" s="73"/>
      <c r="R5387" s="73"/>
      <c r="S5387" s="73"/>
      <c r="T5387" s="73"/>
      <c r="U5387" s="73"/>
      <c r="V5387" s="73"/>
      <c r="W5387" s="73"/>
      <c r="X5387" s="73"/>
      <c r="Y5387" s="73"/>
      <c r="Z5387" s="73"/>
      <c r="AA5387" s="73"/>
      <c r="AB5387" s="73"/>
    </row>
    <row r="5388">
      <c r="A5388" s="73"/>
      <c r="B5388" s="73">
        <v>4.243881441E7</v>
      </c>
      <c r="C5388" s="73">
        <v>1.99266266105779E9</v>
      </c>
      <c r="D5388" s="73">
        <v>1.66751610029949E9</v>
      </c>
      <c r="E5388" s="73"/>
      <c r="F5388" s="73"/>
      <c r="G5388" s="73"/>
      <c r="H5388" s="73"/>
      <c r="I5388" s="73"/>
      <c r="J5388" s="73"/>
      <c r="K5388" s="73"/>
      <c r="L5388" s="73"/>
      <c r="M5388" s="73"/>
      <c r="N5388" s="73"/>
      <c r="O5388" s="73"/>
      <c r="P5388" s="73"/>
      <c r="Q5388" s="73"/>
      <c r="R5388" s="73"/>
      <c r="S5388" s="73"/>
      <c r="T5388" s="73"/>
      <c r="U5388" s="73"/>
      <c r="V5388" s="73"/>
      <c r="W5388" s="73"/>
      <c r="X5388" s="73"/>
      <c r="Y5388" s="73"/>
      <c r="Z5388" s="73"/>
      <c r="AA5388" s="73"/>
      <c r="AB5388" s="73"/>
    </row>
    <row r="5389">
      <c r="A5389" s="73"/>
      <c r="B5389" s="73">
        <v>4.247799874E7</v>
      </c>
      <c r="C5389" s="73">
        <v>1.99665984996102E9</v>
      </c>
      <c r="D5389" s="73">
        <v>1.67249040770861E9</v>
      </c>
      <c r="E5389" s="73"/>
      <c r="F5389" s="73"/>
      <c r="G5389" s="73"/>
      <c r="H5389" s="73"/>
      <c r="I5389" s="73"/>
      <c r="J5389" s="73"/>
      <c r="K5389" s="73"/>
      <c r="L5389" s="73"/>
      <c r="M5389" s="73"/>
      <c r="N5389" s="73"/>
      <c r="O5389" s="73"/>
      <c r="P5389" s="73"/>
      <c r="Q5389" s="73"/>
      <c r="R5389" s="73"/>
      <c r="S5389" s="73"/>
      <c r="T5389" s="73"/>
      <c r="U5389" s="73"/>
      <c r="V5389" s="73"/>
      <c r="W5389" s="73"/>
      <c r="X5389" s="73"/>
      <c r="Y5389" s="73"/>
      <c r="Z5389" s="73"/>
      <c r="AA5389" s="73"/>
      <c r="AB5389" s="73"/>
    </row>
    <row r="5390">
      <c r="A5390" s="73"/>
      <c r="B5390" s="73">
        <v>4.251720709E7</v>
      </c>
      <c r="C5390" s="73">
        <v>2.00066493019137E9</v>
      </c>
      <c r="D5390" s="73">
        <v>1.67747915081538E9</v>
      </c>
      <c r="E5390" s="73"/>
      <c r="F5390" s="73"/>
      <c r="G5390" s="73"/>
      <c r="H5390" s="73"/>
      <c r="I5390" s="73"/>
      <c r="J5390" s="73"/>
      <c r="K5390" s="73"/>
      <c r="L5390" s="73"/>
      <c r="M5390" s="73"/>
      <c r="N5390" s="73"/>
      <c r="O5390" s="73"/>
      <c r="P5390" s="73"/>
      <c r="Q5390" s="73"/>
      <c r="R5390" s="73"/>
      <c r="S5390" s="73"/>
      <c r="T5390" s="73"/>
      <c r="U5390" s="73"/>
      <c r="V5390" s="73"/>
      <c r="W5390" s="73"/>
      <c r="X5390" s="73"/>
      <c r="Y5390" s="73"/>
      <c r="Z5390" s="73"/>
      <c r="AA5390" s="73"/>
      <c r="AB5390" s="73"/>
    </row>
    <row r="5391">
      <c r="A5391" s="73"/>
      <c r="B5391" s="73">
        <v>4.255643904E7</v>
      </c>
      <c r="C5391" s="73">
        <v>2.00467757153583E9</v>
      </c>
      <c r="D5391" s="73">
        <v>1.68248250478708E9</v>
      </c>
      <c r="E5391" s="73"/>
      <c r="F5391" s="73"/>
      <c r="G5391" s="73"/>
      <c r="H5391" s="73"/>
      <c r="I5391" s="73"/>
      <c r="J5391" s="73"/>
      <c r="K5391" s="73"/>
      <c r="L5391" s="73"/>
      <c r="M5391" s="73"/>
      <c r="N5391" s="73"/>
      <c r="O5391" s="73"/>
      <c r="P5391" s="73"/>
      <c r="Q5391" s="73"/>
      <c r="R5391" s="73"/>
      <c r="S5391" s="73"/>
      <c r="T5391" s="73"/>
      <c r="U5391" s="73"/>
      <c r="V5391" s="73"/>
      <c r="W5391" s="73"/>
      <c r="X5391" s="73"/>
      <c r="Y5391" s="73"/>
      <c r="Z5391" s="73"/>
      <c r="AA5391" s="73"/>
      <c r="AB5391" s="73"/>
    </row>
    <row r="5392">
      <c r="A5392" s="73"/>
      <c r="B5392" s="73">
        <v>4.259569466E7</v>
      </c>
      <c r="C5392" s="73">
        <v>2.00869872705592E9</v>
      </c>
      <c r="D5392" s="73">
        <v>1.68750085828273E9</v>
      </c>
      <c r="E5392" s="73"/>
      <c r="F5392" s="73"/>
      <c r="G5392" s="73"/>
      <c r="H5392" s="73"/>
      <c r="I5392" s="73"/>
      <c r="J5392" s="73"/>
      <c r="K5392" s="73"/>
      <c r="L5392" s="73"/>
      <c r="M5392" s="73"/>
      <c r="N5392" s="73"/>
      <c r="O5392" s="73"/>
      <c r="P5392" s="73"/>
      <c r="Q5392" s="73"/>
      <c r="R5392" s="73"/>
      <c r="S5392" s="73"/>
      <c r="T5392" s="73"/>
      <c r="U5392" s="73"/>
      <c r="V5392" s="73"/>
      <c r="W5392" s="73"/>
      <c r="X5392" s="73"/>
      <c r="Y5392" s="73"/>
      <c r="Z5392" s="73"/>
      <c r="AA5392" s="73"/>
      <c r="AB5392" s="73"/>
    </row>
    <row r="5393">
      <c r="A5393" s="73"/>
      <c r="B5393" s="73">
        <v>4.2634974E7</v>
      </c>
      <c r="C5393" s="73">
        <v>2.01272708982975E9</v>
      </c>
      <c r="D5393" s="73">
        <v>1.69253360083742E9</v>
      </c>
      <c r="E5393" s="73"/>
      <c r="F5393" s="73"/>
      <c r="G5393" s="73"/>
      <c r="H5393" s="73"/>
      <c r="I5393" s="73"/>
      <c r="J5393" s="73"/>
      <c r="K5393" s="73"/>
      <c r="L5393" s="73"/>
      <c r="M5393" s="73"/>
      <c r="N5393" s="73"/>
      <c r="O5393" s="73"/>
      <c r="P5393" s="73"/>
      <c r="Q5393" s="73"/>
      <c r="R5393" s="73"/>
      <c r="S5393" s="73"/>
      <c r="T5393" s="73"/>
      <c r="U5393" s="73"/>
      <c r="V5393" s="73"/>
      <c r="W5393" s="73"/>
      <c r="X5393" s="73"/>
      <c r="Y5393" s="73"/>
      <c r="Z5393" s="73"/>
      <c r="AA5393" s="73"/>
      <c r="AB5393" s="73"/>
    </row>
    <row r="5394">
      <c r="A5394" s="73"/>
      <c r="B5394" s="73">
        <v>4.267427837E7</v>
      </c>
      <c r="C5394" s="73">
        <v>2.01676364442825E9</v>
      </c>
      <c r="D5394" s="73">
        <v>1.69758127553806E9</v>
      </c>
      <c r="E5394" s="73"/>
      <c r="F5394" s="73"/>
      <c r="G5394" s="73"/>
      <c r="H5394" s="73"/>
      <c r="I5394" s="73"/>
      <c r="J5394" s="73"/>
      <c r="K5394" s="73"/>
      <c r="L5394" s="73"/>
      <c r="M5394" s="73"/>
      <c r="N5394" s="73"/>
      <c r="O5394" s="73"/>
      <c r="P5394" s="73"/>
      <c r="Q5394" s="73"/>
      <c r="R5394" s="73"/>
      <c r="S5394" s="73"/>
      <c r="T5394" s="73"/>
      <c r="U5394" s="73"/>
      <c r="V5394" s="73"/>
      <c r="W5394" s="73"/>
      <c r="X5394" s="73"/>
      <c r="Y5394" s="73"/>
      <c r="Z5394" s="73"/>
      <c r="AA5394" s="73"/>
      <c r="AB5394" s="73"/>
    </row>
    <row r="5395">
      <c r="A5395" s="73"/>
      <c r="B5395" s="73">
        <v>4.271360486E7</v>
      </c>
      <c r="C5395" s="73">
        <v>2.02080789512049E9</v>
      </c>
      <c r="D5395" s="73">
        <v>1.70264406245099E9</v>
      </c>
      <c r="E5395" s="73"/>
      <c r="F5395" s="73"/>
      <c r="G5395" s="73"/>
      <c r="H5395" s="73"/>
      <c r="I5395" s="73"/>
      <c r="J5395" s="73"/>
      <c r="K5395" s="73"/>
      <c r="L5395" s="73"/>
      <c r="M5395" s="73"/>
      <c r="N5395" s="73"/>
      <c r="O5395" s="73"/>
      <c r="P5395" s="73"/>
      <c r="Q5395" s="73"/>
      <c r="R5395" s="73"/>
      <c r="S5395" s="73"/>
      <c r="T5395" s="73"/>
      <c r="U5395" s="73"/>
      <c r="V5395" s="73"/>
      <c r="W5395" s="73"/>
      <c r="X5395" s="73"/>
      <c r="Y5395" s="73"/>
      <c r="Z5395" s="73"/>
      <c r="AA5395" s="73"/>
      <c r="AB5395" s="73"/>
    </row>
    <row r="5396">
      <c r="A5396" s="73"/>
      <c r="B5396" s="73">
        <v>4.275295601E7</v>
      </c>
      <c r="C5396" s="73">
        <v>2.02486022134853E9</v>
      </c>
      <c r="D5396" s="73">
        <v>1.70772150533253E9</v>
      </c>
      <c r="E5396" s="73"/>
      <c r="F5396" s="73"/>
      <c r="G5396" s="73"/>
      <c r="H5396" s="73"/>
      <c r="I5396" s="73"/>
      <c r="J5396" s="73"/>
      <c r="K5396" s="73"/>
      <c r="L5396" s="73"/>
      <c r="M5396" s="73"/>
      <c r="N5396" s="73"/>
      <c r="O5396" s="73"/>
      <c r="P5396" s="73"/>
      <c r="Q5396" s="73"/>
      <c r="R5396" s="73"/>
      <c r="S5396" s="73"/>
      <c r="T5396" s="73"/>
      <c r="U5396" s="73"/>
      <c r="V5396" s="73"/>
      <c r="W5396" s="73"/>
      <c r="X5396" s="73"/>
      <c r="Y5396" s="73"/>
      <c r="Z5396" s="73"/>
      <c r="AA5396" s="73"/>
      <c r="AB5396" s="73"/>
    </row>
    <row r="5397">
      <c r="A5397" s="73"/>
      <c r="B5397" s="73">
        <v>4.279233125E7</v>
      </c>
      <c r="C5397" s="73">
        <v>2.02892076592684E9</v>
      </c>
      <c r="D5397" s="73">
        <v>1.71281388944417E9</v>
      </c>
      <c r="E5397" s="73"/>
      <c r="F5397" s="73"/>
      <c r="G5397" s="73"/>
      <c r="H5397" s="73"/>
      <c r="I5397" s="73"/>
      <c r="J5397" s="73"/>
      <c r="K5397" s="73"/>
      <c r="L5397" s="73"/>
      <c r="M5397" s="73"/>
      <c r="N5397" s="73"/>
      <c r="O5397" s="73"/>
      <c r="P5397" s="73"/>
      <c r="Q5397" s="73"/>
      <c r="R5397" s="73"/>
      <c r="S5397" s="73"/>
      <c r="T5397" s="73"/>
      <c r="U5397" s="73"/>
      <c r="V5397" s="73"/>
      <c r="W5397" s="73"/>
      <c r="X5397" s="73"/>
      <c r="Y5397" s="73"/>
      <c r="Z5397" s="73"/>
      <c r="AA5397" s="73"/>
      <c r="AB5397" s="73"/>
    </row>
    <row r="5398">
      <c r="A5398" s="73"/>
      <c r="B5398" s="73">
        <v>4.283172883E7</v>
      </c>
      <c r="C5398" s="73">
        <v>2.03298879298087E9</v>
      </c>
      <c r="D5398" s="73">
        <v>1.71792139102881E9</v>
      </c>
      <c r="E5398" s="73"/>
      <c r="F5398" s="73"/>
      <c r="G5398" s="73"/>
      <c r="H5398" s="73"/>
      <c r="I5398" s="73"/>
      <c r="J5398" s="73"/>
      <c r="K5398" s="73"/>
      <c r="L5398" s="73"/>
      <c r="M5398" s="73"/>
      <c r="N5398" s="73"/>
      <c r="O5398" s="73"/>
      <c r="P5398" s="73"/>
      <c r="Q5398" s="73"/>
      <c r="R5398" s="73"/>
      <c r="S5398" s="73"/>
      <c r="T5398" s="73"/>
      <c r="U5398" s="73"/>
      <c r="V5398" s="73"/>
      <c r="W5398" s="73"/>
      <c r="X5398" s="73"/>
      <c r="Y5398" s="73"/>
      <c r="Z5398" s="73"/>
      <c r="AA5398" s="73"/>
      <c r="AB5398" s="73"/>
    </row>
    <row r="5399">
      <c r="A5399" s="73"/>
      <c r="B5399" s="73">
        <v>4.287115182E7</v>
      </c>
      <c r="C5399" s="73">
        <v>2.03706505514206E9</v>
      </c>
      <c r="D5399" s="73">
        <v>1.7230437136509E9</v>
      </c>
      <c r="E5399" s="73"/>
      <c r="F5399" s="73"/>
      <c r="G5399" s="73"/>
      <c r="H5399" s="73"/>
      <c r="I5399" s="73"/>
      <c r="J5399" s="73"/>
      <c r="K5399" s="73"/>
      <c r="L5399" s="73"/>
      <c r="M5399" s="73"/>
      <c r="N5399" s="73"/>
      <c r="O5399" s="73"/>
      <c r="P5399" s="73"/>
      <c r="Q5399" s="73"/>
      <c r="R5399" s="73"/>
      <c r="S5399" s="73"/>
      <c r="T5399" s="73"/>
      <c r="U5399" s="73"/>
      <c r="V5399" s="73"/>
      <c r="W5399" s="73"/>
      <c r="X5399" s="73"/>
      <c r="Y5399" s="73"/>
      <c r="Z5399" s="73"/>
      <c r="AA5399" s="73"/>
      <c r="AB5399" s="73"/>
    </row>
    <row r="5400">
      <c r="A5400" s="73"/>
      <c r="B5400" s="73">
        <v>4.291059815E7</v>
      </c>
      <c r="C5400" s="73">
        <v>2.04114905424478E9</v>
      </c>
      <c r="D5400" s="73">
        <v>1.72818135526961E9</v>
      </c>
      <c r="E5400" s="73"/>
      <c r="F5400" s="73"/>
      <c r="G5400" s="73"/>
      <c r="H5400" s="73"/>
      <c r="I5400" s="73"/>
      <c r="J5400" s="73"/>
      <c r="K5400" s="73"/>
      <c r="L5400" s="73"/>
      <c r="M5400" s="73"/>
      <c r="N5400" s="73"/>
      <c r="O5400" s="73"/>
      <c r="P5400" s="73"/>
      <c r="Q5400" s="73"/>
      <c r="R5400" s="73"/>
      <c r="S5400" s="73"/>
      <c r="T5400" s="73"/>
      <c r="U5400" s="73"/>
      <c r="V5400" s="73"/>
      <c r="W5400" s="73"/>
      <c r="X5400" s="73"/>
      <c r="Y5400" s="73"/>
      <c r="Z5400" s="73"/>
      <c r="AA5400" s="73"/>
      <c r="AB5400" s="73"/>
    </row>
    <row r="5401">
      <c r="A5401" s="73"/>
      <c r="B5401" s="73">
        <v>4.295006816E7</v>
      </c>
      <c r="C5401" s="73">
        <v>2.04524106618328E9</v>
      </c>
      <c r="D5401" s="73">
        <v>1.73333396188977E9</v>
      </c>
      <c r="E5401" s="73"/>
      <c r="F5401" s="73"/>
      <c r="G5401" s="73"/>
      <c r="H5401" s="73"/>
      <c r="I5401" s="73"/>
      <c r="J5401" s="73"/>
      <c r="K5401" s="73"/>
      <c r="L5401" s="73"/>
      <c r="M5401" s="73"/>
      <c r="N5401" s="73"/>
      <c r="O5401" s="73"/>
      <c r="P5401" s="73"/>
      <c r="Q5401" s="73"/>
      <c r="R5401" s="73"/>
      <c r="S5401" s="73"/>
      <c r="T5401" s="73"/>
      <c r="U5401" s="73"/>
      <c r="V5401" s="73"/>
      <c r="W5401" s="73"/>
      <c r="X5401" s="73"/>
      <c r="Y5401" s="73"/>
      <c r="Z5401" s="73"/>
      <c r="AA5401" s="73"/>
      <c r="AB5401" s="73"/>
    </row>
    <row r="5402">
      <c r="A5402" s="73"/>
      <c r="B5402" s="73">
        <v>4.298956224E7</v>
      </c>
      <c r="C5402" s="73">
        <v>2.04934120511243E9</v>
      </c>
      <c r="D5402" s="73">
        <v>1.73850171349317E9</v>
      </c>
      <c r="E5402" s="73"/>
      <c r="F5402" s="73"/>
      <c r="G5402" s="73"/>
      <c r="H5402" s="73"/>
      <c r="I5402" s="73"/>
      <c r="J5402" s="73"/>
      <c r="K5402" s="73"/>
      <c r="L5402" s="73"/>
      <c r="M5402" s="73"/>
      <c r="N5402" s="73"/>
      <c r="O5402" s="73"/>
      <c r="P5402" s="73"/>
      <c r="Q5402" s="73"/>
      <c r="R5402" s="73"/>
      <c r="S5402" s="73"/>
      <c r="T5402" s="73"/>
      <c r="U5402" s="73"/>
      <c r="V5402" s="73"/>
      <c r="W5402" s="73"/>
      <c r="X5402" s="73"/>
      <c r="Y5402" s="73"/>
      <c r="Z5402" s="73"/>
      <c r="AA5402" s="73"/>
      <c r="AB5402" s="73"/>
    </row>
    <row r="5403">
      <c r="A5403" s="73"/>
      <c r="B5403" s="73">
        <v>4.302908008E7</v>
      </c>
      <c r="C5403" s="73">
        <v>2.0534493738027E9</v>
      </c>
      <c r="D5403" s="73">
        <v>1.74368473683203E9</v>
      </c>
      <c r="E5403" s="73"/>
      <c r="F5403" s="73"/>
      <c r="G5403" s="73"/>
      <c r="H5403" s="73"/>
      <c r="I5403" s="73"/>
      <c r="J5403" s="73"/>
      <c r="K5403" s="73"/>
      <c r="L5403" s="73"/>
      <c r="M5403" s="73"/>
      <c r="N5403" s="73"/>
      <c r="O5403" s="73"/>
      <c r="P5403" s="73"/>
      <c r="Q5403" s="73"/>
      <c r="R5403" s="73"/>
      <c r="S5403" s="73"/>
      <c r="T5403" s="73"/>
      <c r="U5403" s="73"/>
      <c r="V5403" s="73"/>
      <c r="W5403" s="73"/>
      <c r="X5403" s="73"/>
      <c r="Y5403" s="73"/>
      <c r="Z5403" s="73"/>
      <c r="AA5403" s="73"/>
      <c r="AB5403" s="73"/>
    </row>
    <row r="5404">
      <c r="A5404" s="73"/>
      <c r="B5404" s="73">
        <v>4.306862039E7</v>
      </c>
      <c r="C5404" s="73">
        <v>2.05756592784498E9</v>
      </c>
      <c r="D5404" s="73">
        <v>1.74888305249776E9</v>
      </c>
      <c r="E5404" s="73"/>
      <c r="F5404" s="73"/>
      <c r="G5404" s="73"/>
      <c r="H5404" s="73"/>
      <c r="I5404" s="73"/>
      <c r="J5404" s="73"/>
      <c r="K5404" s="73"/>
      <c r="L5404" s="73"/>
      <c r="M5404" s="73"/>
      <c r="N5404" s="73"/>
      <c r="O5404" s="73"/>
      <c r="P5404" s="73"/>
      <c r="Q5404" s="73"/>
      <c r="R5404" s="73"/>
      <c r="S5404" s="73"/>
      <c r="T5404" s="73"/>
      <c r="U5404" s="73"/>
      <c r="V5404" s="73"/>
      <c r="W5404" s="73"/>
      <c r="X5404" s="73"/>
      <c r="Y5404" s="73"/>
      <c r="Z5404" s="73"/>
      <c r="AA5404" s="73"/>
      <c r="AB5404" s="73"/>
    </row>
    <row r="5405">
      <c r="A5405" s="73"/>
      <c r="B5405" s="73">
        <v>4.310818626E7</v>
      </c>
      <c r="C5405" s="73">
        <v>2.06168991257053E9</v>
      </c>
      <c r="D5405" s="73">
        <v>1.75409657330402E9</v>
      </c>
      <c r="E5405" s="73"/>
      <c r="F5405" s="73"/>
      <c r="G5405" s="73"/>
      <c r="H5405" s="73"/>
      <c r="I5405" s="73"/>
      <c r="J5405" s="73"/>
      <c r="K5405" s="73"/>
      <c r="L5405" s="73"/>
      <c r="M5405" s="73"/>
      <c r="N5405" s="73"/>
      <c r="O5405" s="73"/>
      <c r="P5405" s="73"/>
      <c r="Q5405" s="73"/>
      <c r="R5405" s="73"/>
      <c r="S5405" s="73"/>
      <c r="T5405" s="73"/>
      <c r="U5405" s="73"/>
      <c r="V5405" s="73"/>
      <c r="W5405" s="73"/>
      <c r="X5405" s="73"/>
      <c r="Y5405" s="73"/>
      <c r="Z5405" s="73"/>
      <c r="AA5405" s="73"/>
      <c r="AB5405" s="73"/>
    </row>
    <row r="5406">
      <c r="A5406" s="73"/>
      <c r="B5406" s="73">
        <v>4.314777547E7</v>
      </c>
      <c r="C5406" s="73">
        <v>2.06582219289262E9</v>
      </c>
      <c r="D5406" s="73">
        <v>1.75932531985592E9</v>
      </c>
      <c r="E5406" s="73"/>
      <c r="F5406" s="73"/>
      <c r="G5406" s="73"/>
      <c r="H5406" s="73"/>
      <c r="I5406" s="73"/>
      <c r="J5406" s="73"/>
      <c r="K5406" s="73"/>
      <c r="L5406" s="73"/>
      <c r="M5406" s="73"/>
      <c r="N5406" s="73"/>
      <c r="O5406" s="73"/>
      <c r="P5406" s="73"/>
      <c r="Q5406" s="73"/>
      <c r="R5406" s="73"/>
      <c r="S5406" s="73"/>
      <c r="T5406" s="73"/>
      <c r="U5406" s="73"/>
      <c r="V5406" s="73"/>
      <c r="W5406" s="73"/>
      <c r="X5406" s="73"/>
      <c r="Y5406" s="73"/>
      <c r="Z5406" s="73"/>
      <c r="AA5406" s="73"/>
      <c r="AB5406" s="73"/>
    </row>
    <row r="5407">
      <c r="A5407" s="73"/>
      <c r="B5407" s="73">
        <v>4.318738837E7</v>
      </c>
      <c r="C5407" s="73">
        <v>2.0699626436119E9</v>
      </c>
      <c r="D5407" s="73">
        <v>1.76456957705639E9</v>
      </c>
      <c r="E5407" s="73"/>
      <c r="F5407" s="73"/>
      <c r="G5407" s="73"/>
      <c r="H5407" s="73"/>
      <c r="I5407" s="73"/>
      <c r="J5407" s="73"/>
      <c r="K5407" s="73"/>
      <c r="L5407" s="73"/>
      <c r="M5407" s="73"/>
      <c r="N5407" s="73"/>
      <c r="O5407" s="73"/>
      <c r="P5407" s="73"/>
      <c r="Q5407" s="73"/>
      <c r="R5407" s="73"/>
      <c r="S5407" s="73"/>
      <c r="T5407" s="73"/>
      <c r="U5407" s="73"/>
      <c r="V5407" s="73"/>
      <c r="W5407" s="73"/>
      <c r="X5407" s="73"/>
      <c r="Y5407" s="73"/>
      <c r="Z5407" s="73"/>
      <c r="AA5407" s="73"/>
      <c r="AB5407" s="73"/>
    </row>
    <row r="5408">
      <c r="A5408" s="73"/>
      <c r="B5408" s="73">
        <v>4.322702577E7</v>
      </c>
      <c r="C5408" s="73">
        <v>2.07411116605549E9</v>
      </c>
      <c r="D5408" s="73">
        <v>1.76982936810578E9</v>
      </c>
      <c r="E5408" s="73"/>
      <c r="F5408" s="73"/>
      <c r="G5408" s="73"/>
      <c r="H5408" s="73"/>
      <c r="I5408" s="73"/>
      <c r="J5408" s="73"/>
      <c r="K5408" s="73"/>
      <c r="L5408" s="73"/>
      <c r="M5408" s="73"/>
      <c r="N5408" s="73"/>
      <c r="O5408" s="73"/>
      <c r="P5408" s="73"/>
      <c r="Q5408" s="73"/>
      <c r="R5408" s="73"/>
      <c r="S5408" s="73"/>
      <c r="T5408" s="73"/>
      <c r="U5408" s="73"/>
      <c r="V5408" s="73"/>
      <c r="W5408" s="73"/>
      <c r="X5408" s="73"/>
      <c r="Y5408" s="73"/>
      <c r="Z5408" s="73"/>
      <c r="AA5408" s="73"/>
      <c r="AB5408" s="73"/>
    </row>
    <row r="5409">
      <c r="A5409" s="73"/>
      <c r="B5409" s="73">
        <v>4.326668598E7</v>
      </c>
      <c r="C5409" s="73">
        <v>2.0782680110735E9</v>
      </c>
      <c r="D5409" s="73">
        <v>1.77510444482303E9</v>
      </c>
      <c r="E5409" s="73"/>
      <c r="F5409" s="73"/>
      <c r="G5409" s="73"/>
      <c r="H5409" s="73"/>
      <c r="I5409" s="73"/>
      <c r="J5409" s="73"/>
      <c r="K5409" s="73"/>
      <c r="L5409" s="73"/>
      <c r="M5409" s="73"/>
      <c r="N5409" s="73"/>
      <c r="O5409" s="73"/>
      <c r="P5409" s="73"/>
      <c r="Q5409" s="73"/>
      <c r="R5409" s="73"/>
      <c r="S5409" s="73"/>
      <c r="T5409" s="73"/>
      <c r="U5409" s="73"/>
      <c r="V5409" s="73"/>
      <c r="W5409" s="73"/>
      <c r="X5409" s="73"/>
      <c r="Y5409" s="73"/>
      <c r="Z5409" s="73"/>
      <c r="AA5409" s="73"/>
      <c r="AB5409" s="73"/>
    </row>
    <row r="5410">
      <c r="A5410" s="73"/>
      <c r="B5410" s="73">
        <v>4.330637109E7</v>
      </c>
      <c r="C5410" s="73">
        <v>2.08243281026365E9</v>
      </c>
      <c r="D5410" s="73">
        <v>1.78039509641634E9</v>
      </c>
      <c r="E5410" s="73"/>
      <c r="F5410" s="73"/>
      <c r="G5410" s="73"/>
      <c r="H5410" s="73"/>
      <c r="I5410" s="73"/>
      <c r="J5410" s="73"/>
      <c r="K5410" s="73"/>
      <c r="L5410" s="73"/>
      <c r="M5410" s="73"/>
      <c r="N5410" s="73"/>
      <c r="O5410" s="73"/>
      <c r="P5410" s="73"/>
      <c r="Q5410" s="73"/>
      <c r="R5410" s="73"/>
      <c r="S5410" s="73"/>
      <c r="T5410" s="73"/>
      <c r="U5410" s="73"/>
      <c r="V5410" s="73"/>
      <c r="W5410" s="73"/>
      <c r="X5410" s="73"/>
      <c r="Y5410" s="73"/>
      <c r="Z5410" s="73"/>
      <c r="AA5410" s="73"/>
      <c r="AB5410" s="73"/>
    </row>
    <row r="5411">
      <c r="A5411" s="73"/>
      <c r="B5411" s="73">
        <v>4.334607876E7</v>
      </c>
      <c r="C5411" s="73">
        <v>2.08660570637092E9</v>
      </c>
      <c r="D5411" s="73">
        <v>1.78570139191884E9</v>
      </c>
      <c r="E5411" s="73"/>
      <c r="F5411" s="73"/>
      <c r="G5411" s="73"/>
      <c r="H5411" s="73"/>
      <c r="I5411" s="73"/>
      <c r="J5411" s="73"/>
      <c r="K5411" s="73"/>
      <c r="L5411" s="73"/>
      <c r="M5411" s="73"/>
      <c r="N5411" s="73"/>
      <c r="O5411" s="73"/>
      <c r="P5411" s="73"/>
      <c r="Q5411" s="73"/>
      <c r="R5411" s="73"/>
      <c r="S5411" s="73"/>
      <c r="T5411" s="73"/>
      <c r="U5411" s="73"/>
      <c r="V5411" s="73"/>
      <c r="W5411" s="73"/>
      <c r="X5411" s="73"/>
      <c r="Y5411" s="73"/>
      <c r="Z5411" s="73"/>
      <c r="AA5411" s="73"/>
      <c r="AB5411" s="73"/>
    </row>
    <row r="5412">
      <c r="A5412" s="73"/>
      <c r="B5412" s="73">
        <v>4.338581042E7</v>
      </c>
      <c r="C5412" s="73">
        <v>2.09078695135051E9</v>
      </c>
      <c r="D5412" s="73">
        <v>1.79102303525537E9</v>
      </c>
      <c r="E5412" s="73"/>
      <c r="F5412" s="73"/>
      <c r="G5412" s="73"/>
      <c r="H5412" s="73"/>
      <c r="I5412" s="73"/>
      <c r="J5412" s="73"/>
      <c r="K5412" s="73"/>
      <c r="L5412" s="73"/>
      <c r="M5412" s="73"/>
      <c r="N5412" s="73"/>
      <c r="O5412" s="73"/>
      <c r="P5412" s="73"/>
      <c r="Q5412" s="73"/>
      <c r="R5412" s="73"/>
      <c r="S5412" s="73"/>
      <c r="T5412" s="73"/>
      <c r="U5412" s="73"/>
      <c r="V5412" s="73"/>
      <c r="W5412" s="73"/>
      <c r="X5412" s="73"/>
      <c r="Y5412" s="73"/>
      <c r="Z5412" s="73"/>
      <c r="AA5412" s="73"/>
      <c r="AB5412" s="73"/>
    </row>
    <row r="5413">
      <c r="A5413" s="73"/>
      <c r="B5413" s="73">
        <v>4.34255664E7</v>
      </c>
      <c r="C5413" s="73">
        <v>2.094976175518E9</v>
      </c>
      <c r="D5413" s="73">
        <v>1.79636074223398E9</v>
      </c>
      <c r="E5413" s="73"/>
      <c r="F5413" s="73"/>
      <c r="G5413" s="73"/>
      <c r="H5413" s="73"/>
      <c r="I5413" s="73"/>
      <c r="J5413" s="73"/>
      <c r="K5413" s="73"/>
      <c r="L5413" s="73"/>
      <c r="M5413" s="73"/>
      <c r="N5413" s="73"/>
      <c r="O5413" s="73"/>
      <c r="P5413" s="73"/>
      <c r="Q5413" s="73"/>
      <c r="R5413" s="73"/>
      <c r="S5413" s="73"/>
      <c r="T5413" s="73"/>
      <c r="U5413" s="73"/>
      <c r="V5413" s="73"/>
      <c r="W5413" s="73"/>
      <c r="X5413" s="73"/>
      <c r="Y5413" s="73"/>
      <c r="Z5413" s="73"/>
      <c r="AA5413" s="73"/>
      <c r="AB5413" s="73"/>
    </row>
    <row r="5414">
      <c r="A5414" s="73"/>
      <c r="B5414" s="73">
        <v>4.346534729E7</v>
      </c>
      <c r="C5414" s="73">
        <v>2.09917365678023E9</v>
      </c>
      <c r="D5414" s="73">
        <v>1.80171372839452E9</v>
      </c>
      <c r="E5414" s="73"/>
      <c r="F5414" s="73"/>
      <c r="G5414" s="73"/>
      <c r="H5414" s="73"/>
      <c r="I5414" s="73"/>
      <c r="J5414" s="73"/>
      <c r="K5414" s="73"/>
      <c r="L5414" s="73"/>
      <c r="M5414" s="73"/>
      <c r="N5414" s="73"/>
      <c r="O5414" s="73"/>
      <c r="P5414" s="73"/>
      <c r="Q5414" s="73"/>
      <c r="R5414" s="73"/>
      <c r="S5414" s="73"/>
      <c r="T5414" s="73"/>
      <c r="U5414" s="73"/>
      <c r="V5414" s="73"/>
      <c r="W5414" s="73"/>
      <c r="X5414" s="73"/>
      <c r="Y5414" s="73"/>
      <c r="Z5414" s="73"/>
      <c r="AA5414" s="73"/>
      <c r="AB5414" s="73"/>
    </row>
    <row r="5415">
      <c r="A5415" s="73"/>
      <c r="B5415" s="73">
        <v>4.350515082E7</v>
      </c>
      <c r="C5415" s="73">
        <v>2.10337937837595E9</v>
      </c>
      <c r="D5415" s="73">
        <v>1.80708266052396E9</v>
      </c>
      <c r="E5415" s="73"/>
      <c r="F5415" s="73"/>
      <c r="G5415" s="73"/>
      <c r="H5415" s="73"/>
      <c r="I5415" s="73"/>
      <c r="J5415" s="73"/>
      <c r="K5415" s="73"/>
      <c r="L5415" s="73"/>
      <c r="M5415" s="73"/>
      <c r="N5415" s="73"/>
      <c r="O5415" s="73"/>
      <c r="P5415" s="73"/>
      <c r="Q5415" s="73"/>
      <c r="R5415" s="73"/>
      <c r="S5415" s="73"/>
      <c r="T5415" s="73"/>
      <c r="U5415" s="73"/>
      <c r="V5415" s="73"/>
      <c r="W5415" s="73"/>
      <c r="X5415" s="73"/>
      <c r="Y5415" s="73"/>
      <c r="Z5415" s="73"/>
      <c r="AA5415" s="73"/>
      <c r="AB5415" s="73"/>
    </row>
    <row r="5416">
      <c r="A5416" s="73"/>
      <c r="B5416" s="73">
        <v>4.354497901E7</v>
      </c>
      <c r="C5416" s="73">
        <v>2.10759337437852E9</v>
      </c>
      <c r="D5416" s="73">
        <v>1.81246734282854E9</v>
      </c>
      <c r="E5416" s="73"/>
      <c r="F5416" s="73"/>
      <c r="G5416" s="73"/>
      <c r="H5416" s="73"/>
      <c r="I5416" s="73"/>
      <c r="J5416" s="73"/>
      <c r="K5416" s="73"/>
      <c r="L5416" s="73"/>
      <c r="M5416" s="73"/>
      <c r="N5416" s="73"/>
      <c r="O5416" s="73"/>
      <c r="P5416" s="73"/>
      <c r="Q5416" s="73"/>
      <c r="R5416" s="73"/>
      <c r="S5416" s="73"/>
      <c r="T5416" s="73"/>
      <c r="U5416" s="73"/>
      <c r="V5416" s="73"/>
      <c r="W5416" s="73"/>
      <c r="X5416" s="73"/>
      <c r="Y5416" s="73"/>
      <c r="Z5416" s="73"/>
      <c r="AA5416" s="73"/>
      <c r="AB5416" s="73"/>
    </row>
    <row r="5417">
      <c r="A5417" s="73"/>
      <c r="B5417" s="73">
        <v>4.358482989E7</v>
      </c>
      <c r="C5417" s="73">
        <v>2.11181562849864E9</v>
      </c>
      <c r="D5417" s="73">
        <v>1.81786779257076E9</v>
      </c>
      <c r="E5417" s="73"/>
      <c r="F5417" s="73"/>
      <c r="G5417" s="73"/>
      <c r="H5417" s="73"/>
      <c r="I5417" s="73"/>
      <c r="J5417" s="73"/>
      <c r="K5417" s="73"/>
      <c r="L5417" s="73"/>
      <c r="M5417" s="73"/>
      <c r="N5417" s="73"/>
      <c r="O5417" s="73"/>
      <c r="P5417" s="73"/>
      <c r="Q5417" s="73"/>
      <c r="R5417" s="73"/>
      <c r="S5417" s="73"/>
      <c r="T5417" s="73"/>
      <c r="U5417" s="73"/>
      <c r="V5417" s="73"/>
      <c r="W5417" s="73"/>
      <c r="X5417" s="73"/>
      <c r="Y5417" s="73"/>
      <c r="Z5417" s="73"/>
      <c r="AA5417" s="73"/>
      <c r="AB5417" s="73"/>
    </row>
    <row r="5418">
      <c r="A5418" s="73"/>
      <c r="B5418" s="73">
        <v>4.362470439E7</v>
      </c>
      <c r="C5418" s="73">
        <v>2.1160461743565E9</v>
      </c>
      <c r="D5418" s="73">
        <v>1.82328414444488E9</v>
      </c>
      <c r="E5418" s="73"/>
      <c r="F5418" s="73"/>
      <c r="G5418" s="73"/>
      <c r="H5418" s="73"/>
      <c r="I5418" s="73"/>
      <c r="J5418" s="73"/>
      <c r="K5418" s="73"/>
      <c r="L5418" s="73"/>
      <c r="M5418" s="73"/>
      <c r="N5418" s="73"/>
      <c r="O5418" s="73"/>
      <c r="P5418" s="73"/>
      <c r="Q5418" s="73"/>
      <c r="R5418" s="73"/>
      <c r="S5418" s="73"/>
      <c r="T5418" s="73"/>
      <c r="U5418" s="73"/>
      <c r="V5418" s="73"/>
      <c r="W5418" s="73"/>
      <c r="X5418" s="73"/>
      <c r="Y5418" s="73"/>
      <c r="Z5418" s="73"/>
      <c r="AA5418" s="73"/>
      <c r="AB5418" s="73"/>
    </row>
    <row r="5419">
      <c r="A5419" s="73"/>
      <c r="B5419" s="73">
        <v>4.366460402E7</v>
      </c>
      <c r="C5419" s="73">
        <v>2.12028513142341E9</v>
      </c>
      <c r="D5419" s="73">
        <v>1.82871646567898E9</v>
      </c>
      <c r="E5419" s="73"/>
      <c r="F5419" s="73"/>
      <c r="G5419" s="73"/>
      <c r="H5419" s="73"/>
      <c r="I5419" s="73"/>
      <c r="J5419" s="73"/>
      <c r="K5419" s="73"/>
      <c r="L5419" s="73"/>
      <c r="M5419" s="73"/>
      <c r="N5419" s="73"/>
      <c r="O5419" s="73"/>
      <c r="P5419" s="73"/>
      <c r="Q5419" s="73"/>
      <c r="R5419" s="73"/>
      <c r="S5419" s="73"/>
      <c r="T5419" s="73"/>
      <c r="U5419" s="73"/>
      <c r="V5419" s="73"/>
      <c r="W5419" s="73"/>
      <c r="X5419" s="73"/>
      <c r="Y5419" s="73"/>
      <c r="Z5419" s="73"/>
      <c r="AA5419" s="73"/>
      <c r="AB5419" s="73"/>
    </row>
    <row r="5420">
      <c r="A5420" s="73"/>
      <c r="B5420" s="73">
        <v>4.370452799E7</v>
      </c>
      <c r="C5420" s="73">
        <v>2.12453226235908E9</v>
      </c>
      <c r="D5420" s="73">
        <v>1.83416489103495E9</v>
      </c>
      <c r="E5420" s="73"/>
      <c r="F5420" s="73"/>
      <c r="G5420" s="73"/>
      <c r="H5420" s="73"/>
      <c r="I5420" s="73"/>
      <c r="J5420" s="73"/>
      <c r="K5420" s="73"/>
      <c r="L5420" s="73"/>
      <c r="M5420" s="73"/>
      <c r="N5420" s="73"/>
      <c r="O5420" s="73"/>
      <c r="P5420" s="73"/>
      <c r="Q5420" s="73"/>
      <c r="R5420" s="73"/>
      <c r="S5420" s="73"/>
      <c r="T5420" s="73"/>
      <c r="U5420" s="73"/>
      <c r="V5420" s="73"/>
      <c r="W5420" s="73"/>
      <c r="X5420" s="73"/>
      <c r="Y5420" s="73"/>
      <c r="Z5420" s="73"/>
      <c r="AA5420" s="73"/>
      <c r="AB5420" s="73"/>
    </row>
    <row r="5421">
      <c r="A5421" s="73"/>
      <c r="B5421" s="73">
        <v>4.374447504E7</v>
      </c>
      <c r="C5421" s="73">
        <v>2.12878732834976E9</v>
      </c>
      <c r="D5421" s="73">
        <v>1.83962911994298E9</v>
      </c>
      <c r="E5421" s="73"/>
      <c r="F5421" s="73"/>
      <c r="G5421" s="73"/>
      <c r="H5421" s="73"/>
      <c r="I5421" s="73"/>
      <c r="J5421" s="73"/>
      <c r="K5421" s="73"/>
      <c r="L5421" s="73"/>
      <c r="M5421" s="73"/>
      <c r="N5421" s="73"/>
      <c r="O5421" s="73"/>
      <c r="P5421" s="73"/>
      <c r="Q5421" s="73"/>
      <c r="R5421" s="73"/>
      <c r="S5421" s="73"/>
      <c r="T5421" s="73"/>
      <c r="U5421" s="73"/>
      <c r="V5421" s="73"/>
      <c r="W5421" s="73"/>
      <c r="X5421" s="73"/>
      <c r="Y5421" s="73"/>
      <c r="Z5421" s="73"/>
      <c r="AA5421" s="73"/>
      <c r="AB5421" s="73"/>
    </row>
    <row r="5422">
      <c r="A5422" s="73"/>
      <c r="B5422" s="73">
        <v>4.378444616E7</v>
      </c>
      <c r="C5422" s="73">
        <v>2.13305107881636E9</v>
      </c>
      <c r="D5422" s="73">
        <v>1.84510954275933E9</v>
      </c>
      <c r="E5422" s="73"/>
      <c r="F5422" s="73"/>
      <c r="G5422" s="73"/>
      <c r="H5422" s="73"/>
      <c r="I5422" s="73"/>
      <c r="J5422" s="73"/>
      <c r="K5422" s="73"/>
      <c r="L5422" s="73"/>
      <c r="M5422" s="73"/>
      <c r="N5422" s="73"/>
      <c r="O5422" s="73"/>
      <c r="P5422" s="73"/>
      <c r="Q5422" s="73"/>
      <c r="R5422" s="73"/>
      <c r="S5422" s="73"/>
      <c r="T5422" s="73"/>
      <c r="U5422" s="73"/>
      <c r="V5422" s="73"/>
      <c r="W5422" s="73"/>
      <c r="X5422" s="73"/>
      <c r="Y5422" s="73"/>
      <c r="Z5422" s="73"/>
      <c r="AA5422" s="73"/>
      <c r="AB5422" s="73"/>
    </row>
    <row r="5423">
      <c r="A5423" s="73"/>
      <c r="B5423" s="73">
        <v>4.38244406E7</v>
      </c>
      <c r="C5423" s="73">
        <v>2.13732316419411E9</v>
      </c>
      <c r="D5423" s="73">
        <v>1.85060597294569E9</v>
      </c>
      <c r="E5423" s="73"/>
      <c r="F5423" s="73"/>
      <c r="G5423" s="73"/>
      <c r="H5423" s="73"/>
      <c r="I5423" s="73"/>
      <c r="J5423" s="73"/>
      <c r="K5423" s="73"/>
      <c r="L5423" s="73"/>
      <c r="M5423" s="73"/>
      <c r="N5423" s="73"/>
      <c r="O5423" s="73"/>
      <c r="P5423" s="73"/>
      <c r="Q5423" s="73"/>
      <c r="R5423" s="73"/>
      <c r="S5423" s="73"/>
      <c r="T5423" s="73"/>
      <c r="U5423" s="73"/>
      <c r="V5423" s="73"/>
      <c r="W5423" s="73"/>
      <c r="X5423" s="73"/>
      <c r="Y5423" s="73"/>
      <c r="Z5423" s="73"/>
      <c r="AA5423" s="73"/>
      <c r="AB5423" s="73"/>
    </row>
    <row r="5424">
      <c r="A5424" s="73"/>
      <c r="B5424" s="73">
        <v>4.386445983E7</v>
      </c>
      <c r="C5424" s="73">
        <v>2.14160334477145E9</v>
      </c>
      <c r="D5424" s="73">
        <v>1.85611864026556E9</v>
      </c>
      <c r="E5424" s="73"/>
      <c r="F5424" s="73"/>
      <c r="G5424" s="73"/>
      <c r="H5424" s="73"/>
      <c r="I5424" s="73"/>
      <c r="J5424" s="73"/>
      <c r="K5424" s="73"/>
      <c r="L5424" s="73"/>
      <c r="M5424" s="73"/>
      <c r="N5424" s="73"/>
      <c r="O5424" s="73"/>
      <c r="P5424" s="73"/>
      <c r="Q5424" s="73"/>
      <c r="R5424" s="73"/>
      <c r="S5424" s="73"/>
      <c r="T5424" s="73"/>
      <c r="U5424" s="73"/>
      <c r="V5424" s="73"/>
      <c r="W5424" s="73"/>
      <c r="X5424" s="73"/>
      <c r="Y5424" s="73"/>
      <c r="Z5424" s="73"/>
      <c r="AA5424" s="73"/>
      <c r="AB5424" s="73"/>
    </row>
    <row r="5425">
      <c r="A5425" s="73"/>
      <c r="B5425" s="73">
        <v>4.390450146E7</v>
      </c>
      <c r="C5425" s="73">
        <v>2.14589223783075E9</v>
      </c>
      <c r="D5425" s="73">
        <v>1.86164740393384E9</v>
      </c>
      <c r="E5425" s="73"/>
      <c r="F5425" s="73"/>
      <c r="G5425" s="73"/>
      <c r="H5425" s="73"/>
      <c r="I5425" s="73"/>
      <c r="J5425" s="73"/>
      <c r="K5425" s="73"/>
      <c r="L5425" s="73"/>
      <c r="M5425" s="73"/>
      <c r="N5425" s="73"/>
      <c r="O5425" s="73"/>
      <c r="P5425" s="73"/>
      <c r="Q5425" s="73"/>
      <c r="R5425" s="73"/>
      <c r="S5425" s="73"/>
      <c r="T5425" s="73"/>
      <c r="U5425" s="73"/>
      <c r="V5425" s="73"/>
      <c r="W5425" s="73"/>
      <c r="X5425" s="73"/>
      <c r="Y5425" s="73"/>
      <c r="Z5425" s="73"/>
      <c r="AA5425" s="73"/>
      <c r="AB5425" s="73"/>
    </row>
    <row r="5426">
      <c r="A5426" s="73"/>
      <c r="B5426" s="73">
        <v>4.394456871E7</v>
      </c>
      <c r="C5426" s="73">
        <v>2.15018935603681E9</v>
      </c>
      <c r="D5426" s="73">
        <v>1.86719251283105E9</v>
      </c>
      <c r="E5426" s="73"/>
      <c r="F5426" s="73"/>
      <c r="G5426" s="73"/>
      <c r="H5426" s="73"/>
      <c r="I5426" s="73"/>
      <c r="J5426" s="73"/>
      <c r="K5426" s="73"/>
      <c r="L5426" s="73"/>
      <c r="M5426" s="73"/>
      <c r="N5426" s="73"/>
      <c r="O5426" s="73"/>
      <c r="P5426" s="73"/>
      <c r="Q5426" s="73"/>
      <c r="R5426" s="73"/>
      <c r="S5426" s="73"/>
      <c r="T5426" s="73"/>
      <c r="U5426" s="73"/>
      <c r="V5426" s="73"/>
      <c r="W5426" s="73"/>
      <c r="X5426" s="73"/>
      <c r="Y5426" s="73"/>
      <c r="Z5426" s="73"/>
      <c r="AA5426" s="73"/>
      <c r="AB5426" s="73"/>
    </row>
    <row r="5427">
      <c r="A5427" s="73"/>
      <c r="B5427" s="73">
        <v>4.398465885E7</v>
      </c>
      <c r="C5427" s="73">
        <v>2.15449484348772E9</v>
      </c>
      <c r="D5427" s="73">
        <v>1.87275392205699E9</v>
      </c>
      <c r="E5427" s="73"/>
      <c r="F5427" s="73"/>
      <c r="G5427" s="73"/>
      <c r="H5427" s="73"/>
      <c r="I5427" s="73"/>
      <c r="J5427" s="73"/>
      <c r="K5427" s="73"/>
      <c r="L5427" s="73"/>
      <c r="M5427" s="73"/>
      <c r="N5427" s="73"/>
      <c r="O5427" s="73"/>
      <c r="P5427" s="73"/>
      <c r="Q5427" s="73"/>
      <c r="R5427" s="73"/>
      <c r="S5427" s="73"/>
      <c r="T5427" s="73"/>
      <c r="U5427" s="73"/>
      <c r="V5427" s="73"/>
      <c r="W5427" s="73"/>
      <c r="X5427" s="73"/>
      <c r="Y5427" s="73"/>
      <c r="Z5427" s="73"/>
      <c r="AA5427" s="73"/>
      <c r="AB5427" s="73"/>
    </row>
    <row r="5428">
      <c r="A5428" s="73"/>
      <c r="B5428" s="73">
        <v>4.402477385E7</v>
      </c>
      <c r="C5428" s="73">
        <v>2.15880857275947E9</v>
      </c>
      <c r="D5428" s="73">
        <v>1.87833165355468E9</v>
      </c>
      <c r="E5428" s="73"/>
      <c r="F5428" s="73"/>
      <c r="G5428" s="73"/>
      <c r="H5428" s="73"/>
      <c r="I5428" s="73"/>
      <c r="J5428" s="73"/>
      <c r="K5428" s="73"/>
      <c r="L5428" s="73"/>
      <c r="M5428" s="73"/>
      <c r="N5428" s="73"/>
      <c r="O5428" s="73"/>
      <c r="P5428" s="73"/>
      <c r="Q5428" s="73"/>
      <c r="R5428" s="73"/>
      <c r="S5428" s="73"/>
      <c r="T5428" s="73"/>
      <c r="U5428" s="73"/>
      <c r="V5428" s="73"/>
      <c r="W5428" s="73"/>
      <c r="X5428" s="73"/>
      <c r="Y5428" s="73"/>
      <c r="Z5428" s="73"/>
      <c r="AA5428" s="73"/>
      <c r="AB5428" s="73"/>
    </row>
    <row r="5429">
      <c r="A5429" s="73"/>
      <c r="B5429" s="73">
        <v>4.406491154E7</v>
      </c>
      <c r="C5429" s="73">
        <v>2.16313132413647E9</v>
      </c>
      <c r="D5429" s="73">
        <v>1.88392584337444E9</v>
      </c>
      <c r="E5429" s="73"/>
      <c r="F5429" s="73"/>
      <c r="G5429" s="73"/>
      <c r="H5429" s="73"/>
      <c r="I5429" s="73"/>
      <c r="J5429" s="73"/>
      <c r="K5429" s="73"/>
      <c r="L5429" s="73"/>
      <c r="M5429" s="73"/>
      <c r="N5429" s="73"/>
      <c r="O5429" s="73"/>
      <c r="P5429" s="73"/>
      <c r="Q5429" s="73"/>
      <c r="R5429" s="73"/>
      <c r="S5429" s="73"/>
      <c r="T5429" s="73"/>
      <c r="U5429" s="73"/>
      <c r="V5429" s="73"/>
      <c r="W5429" s="73"/>
      <c r="X5429" s="73"/>
      <c r="Y5429" s="73"/>
      <c r="Z5429" s="73"/>
      <c r="AA5429" s="73"/>
      <c r="AB5429" s="73"/>
    </row>
    <row r="5430">
      <c r="A5430" s="73"/>
      <c r="B5430" s="73">
        <v>4.410507457E7</v>
      </c>
      <c r="C5430" s="73">
        <v>2.16746208524502E9</v>
      </c>
      <c r="D5430" s="73">
        <v>1.88953639844074E9</v>
      </c>
      <c r="E5430" s="73"/>
      <c r="F5430" s="73"/>
      <c r="G5430" s="73"/>
      <c r="H5430" s="73"/>
      <c r="I5430" s="73"/>
      <c r="J5430" s="73"/>
      <c r="K5430" s="73"/>
      <c r="L5430" s="73"/>
      <c r="M5430" s="73"/>
      <c r="N5430" s="73"/>
      <c r="O5430" s="73"/>
      <c r="P5430" s="73"/>
      <c r="Q5430" s="73"/>
      <c r="R5430" s="73"/>
      <c r="S5430" s="73"/>
      <c r="T5430" s="73"/>
      <c r="U5430" s="73"/>
      <c r="V5430" s="73"/>
      <c r="W5430" s="73"/>
      <c r="X5430" s="73"/>
      <c r="Y5430" s="73"/>
      <c r="Z5430" s="73"/>
      <c r="AA5430" s="73"/>
      <c r="AB5430" s="73"/>
    </row>
    <row r="5431">
      <c r="A5431" s="73"/>
      <c r="B5431" s="73">
        <v>4.414525956E7</v>
      </c>
      <c r="C5431" s="73">
        <v>2.17180150092337E9</v>
      </c>
      <c r="D5431" s="73">
        <v>1.89516345439795E9</v>
      </c>
      <c r="E5431" s="73"/>
      <c r="F5431" s="73"/>
      <c r="G5431" s="73"/>
      <c r="H5431" s="73"/>
      <c r="I5431" s="73"/>
      <c r="J5431" s="73"/>
      <c r="K5431" s="73"/>
      <c r="L5431" s="73"/>
      <c r="M5431" s="73"/>
      <c r="N5431" s="73"/>
      <c r="O5431" s="73"/>
      <c r="P5431" s="73"/>
      <c r="Q5431" s="73"/>
      <c r="R5431" s="73"/>
      <c r="S5431" s="73"/>
      <c r="T5431" s="73"/>
      <c r="U5431" s="73"/>
      <c r="V5431" s="73"/>
      <c r="W5431" s="73"/>
      <c r="X5431" s="73"/>
      <c r="Y5431" s="73"/>
      <c r="Z5431" s="73"/>
      <c r="AA5431" s="73"/>
      <c r="AB5431" s="73"/>
    </row>
    <row r="5432">
      <c r="A5432" s="73"/>
      <c r="B5432" s="73">
        <v>4.418547002E7</v>
      </c>
      <c r="C5432" s="73">
        <v>2.1761491934535E9</v>
      </c>
      <c r="D5432" s="73">
        <v>1.90080703335921E9</v>
      </c>
      <c r="E5432" s="73"/>
      <c r="F5432" s="73"/>
      <c r="G5432" s="73"/>
      <c r="H5432" s="73"/>
      <c r="I5432" s="73"/>
      <c r="J5432" s="73"/>
      <c r="K5432" s="73"/>
      <c r="L5432" s="73"/>
      <c r="M5432" s="73"/>
      <c r="N5432" s="73"/>
      <c r="O5432" s="73"/>
      <c r="P5432" s="73"/>
      <c r="Q5432" s="73"/>
      <c r="R5432" s="73"/>
      <c r="S5432" s="73"/>
      <c r="T5432" s="73"/>
      <c r="U5432" s="73"/>
      <c r="V5432" s="73"/>
      <c r="W5432" s="73"/>
      <c r="X5432" s="73"/>
      <c r="Y5432" s="73"/>
      <c r="Z5432" s="73"/>
      <c r="AA5432" s="73"/>
      <c r="AB5432" s="73"/>
    </row>
    <row r="5433">
      <c r="A5433" s="73"/>
      <c r="B5433" s="73">
        <v>4.422570424E7</v>
      </c>
      <c r="C5433" s="73">
        <v>2.18050544360575E9</v>
      </c>
      <c r="D5433" s="73">
        <v>1.90646720312621E9</v>
      </c>
      <c r="E5433" s="73"/>
      <c r="F5433" s="73"/>
      <c r="G5433" s="73"/>
      <c r="H5433" s="73"/>
      <c r="I5433" s="73"/>
      <c r="J5433" s="73"/>
      <c r="K5433" s="73"/>
      <c r="L5433" s="73"/>
      <c r="M5433" s="73"/>
      <c r="N5433" s="73"/>
      <c r="O5433" s="73"/>
      <c r="P5433" s="73"/>
      <c r="Q5433" s="73"/>
      <c r="R5433" s="73"/>
      <c r="S5433" s="73"/>
      <c r="T5433" s="73"/>
      <c r="U5433" s="73"/>
      <c r="V5433" s="73"/>
      <c r="W5433" s="73"/>
      <c r="X5433" s="73"/>
      <c r="Y5433" s="73"/>
      <c r="Z5433" s="73"/>
      <c r="AA5433" s="73"/>
      <c r="AB5433" s="73"/>
    </row>
    <row r="5434">
      <c r="A5434" s="73"/>
      <c r="B5434" s="73">
        <v>4.426596217E7</v>
      </c>
      <c r="C5434" s="73">
        <v>2.18487023938629E9</v>
      </c>
      <c r="D5434" s="73">
        <v>1.91214382415913E9</v>
      </c>
      <c r="E5434" s="73"/>
      <c r="F5434" s="73"/>
      <c r="G5434" s="73"/>
      <c r="H5434" s="73"/>
      <c r="I5434" s="73"/>
      <c r="J5434" s="73"/>
      <c r="K5434" s="73"/>
      <c r="L5434" s="73"/>
      <c r="M5434" s="73"/>
      <c r="N5434" s="73"/>
      <c r="O5434" s="73"/>
      <c r="P5434" s="73"/>
      <c r="Q5434" s="73"/>
      <c r="R5434" s="73"/>
      <c r="S5434" s="73"/>
      <c r="T5434" s="73"/>
      <c r="U5434" s="73"/>
      <c r="V5434" s="73"/>
      <c r="W5434" s="73"/>
      <c r="X5434" s="73"/>
      <c r="Y5434" s="73"/>
      <c r="Z5434" s="73"/>
      <c r="AA5434" s="73"/>
      <c r="AB5434" s="73"/>
    </row>
    <row r="5435">
      <c r="A5435" s="73"/>
      <c r="B5435" s="73">
        <v>4.430624454E7</v>
      </c>
      <c r="C5435" s="73">
        <v>2.18924361068182E9</v>
      </c>
      <c r="D5435" s="73">
        <v>1.9178373573254E9</v>
      </c>
      <c r="E5435" s="73"/>
      <c r="F5435" s="73"/>
      <c r="G5435" s="73"/>
      <c r="H5435" s="73"/>
      <c r="I5435" s="73"/>
      <c r="J5435" s="73"/>
      <c r="K5435" s="73"/>
      <c r="L5435" s="73"/>
      <c r="M5435" s="73"/>
      <c r="N5435" s="73"/>
      <c r="O5435" s="73"/>
      <c r="P5435" s="73"/>
      <c r="Q5435" s="73"/>
      <c r="R5435" s="73"/>
      <c r="S5435" s="73"/>
      <c r="T5435" s="73"/>
      <c r="U5435" s="73"/>
      <c r="V5435" s="73"/>
      <c r="W5435" s="73"/>
      <c r="X5435" s="73"/>
      <c r="Y5435" s="73"/>
      <c r="Z5435" s="73"/>
      <c r="AA5435" s="73"/>
      <c r="AB5435" s="73"/>
    </row>
    <row r="5436">
      <c r="A5436" s="73"/>
      <c r="B5436" s="73">
        <v>4.434654989E7</v>
      </c>
      <c r="C5436" s="73">
        <v>2.19362554599027E9</v>
      </c>
      <c r="D5436" s="73">
        <v>1.92354766404555E9</v>
      </c>
      <c r="E5436" s="73"/>
      <c r="F5436" s="73"/>
      <c r="G5436" s="73"/>
      <c r="H5436" s="73"/>
      <c r="I5436" s="73"/>
      <c r="J5436" s="73"/>
      <c r="K5436" s="73"/>
      <c r="L5436" s="73"/>
      <c r="M5436" s="73"/>
      <c r="N5436" s="73"/>
      <c r="O5436" s="73"/>
      <c r="P5436" s="73"/>
      <c r="Q5436" s="73"/>
      <c r="R5436" s="73"/>
      <c r="S5436" s="73"/>
      <c r="T5436" s="73"/>
      <c r="U5436" s="73"/>
      <c r="V5436" s="73"/>
      <c r="W5436" s="73"/>
      <c r="X5436" s="73"/>
      <c r="Y5436" s="73"/>
      <c r="Z5436" s="73"/>
      <c r="AA5436" s="73"/>
      <c r="AB5436" s="73"/>
    </row>
    <row r="5437">
      <c r="A5437" s="73"/>
      <c r="B5437" s="73">
        <v>4.438687977E7</v>
      </c>
      <c r="C5437" s="73">
        <v>2.19801607472591E9</v>
      </c>
      <c r="D5437" s="73">
        <v>1.92927448745999E9</v>
      </c>
      <c r="E5437" s="73"/>
      <c r="F5437" s="73"/>
      <c r="G5437" s="73"/>
      <c r="H5437" s="73"/>
      <c r="I5437" s="73"/>
      <c r="J5437" s="73"/>
      <c r="K5437" s="73"/>
      <c r="L5437" s="73"/>
      <c r="M5437" s="73"/>
      <c r="N5437" s="73"/>
      <c r="O5437" s="73"/>
      <c r="P5437" s="73"/>
      <c r="Q5437" s="73"/>
      <c r="R5437" s="73"/>
      <c r="S5437" s="73"/>
      <c r="T5437" s="73"/>
      <c r="U5437" s="73"/>
      <c r="V5437" s="73"/>
      <c r="W5437" s="73"/>
      <c r="X5437" s="73"/>
      <c r="Y5437" s="73"/>
      <c r="Z5437" s="73"/>
      <c r="AA5437" s="73"/>
      <c r="AB5437" s="73"/>
    </row>
    <row r="5438">
      <c r="A5438" s="73"/>
      <c r="B5438" s="73">
        <v>4.442723387E7</v>
      </c>
      <c r="C5438" s="73">
        <v>2.20241506902789E9</v>
      </c>
      <c r="D5438" s="73">
        <v>1.93501845036671E9</v>
      </c>
      <c r="E5438" s="73"/>
      <c r="F5438" s="73"/>
      <c r="G5438" s="73"/>
      <c r="H5438" s="73"/>
      <c r="I5438" s="73"/>
      <c r="J5438" s="73"/>
      <c r="K5438" s="73"/>
      <c r="L5438" s="73"/>
      <c r="M5438" s="73"/>
      <c r="N5438" s="73"/>
      <c r="O5438" s="73"/>
      <c r="P5438" s="73"/>
      <c r="Q5438" s="73"/>
      <c r="R5438" s="73"/>
      <c r="S5438" s="73"/>
      <c r="T5438" s="73"/>
      <c r="U5438" s="73"/>
      <c r="V5438" s="73"/>
      <c r="W5438" s="73"/>
      <c r="X5438" s="73"/>
      <c r="Y5438" s="73"/>
      <c r="Z5438" s="73"/>
      <c r="AA5438" s="73"/>
      <c r="AB5438" s="73"/>
    </row>
    <row r="5439">
      <c r="A5439" s="73"/>
      <c r="B5439" s="73">
        <v>4.446761158E7</v>
      </c>
      <c r="C5439" s="73">
        <v>2.20682279122942E9</v>
      </c>
      <c r="D5439" s="73">
        <v>1.9407791377894E9</v>
      </c>
      <c r="E5439" s="73"/>
      <c r="F5439" s="73"/>
      <c r="G5439" s="73"/>
      <c r="H5439" s="73"/>
      <c r="I5439" s="73"/>
      <c r="J5439" s="73"/>
      <c r="K5439" s="73"/>
      <c r="L5439" s="73"/>
      <c r="M5439" s="73"/>
      <c r="N5439" s="73"/>
      <c r="O5439" s="73"/>
      <c r="P5439" s="73"/>
      <c r="Q5439" s="73"/>
      <c r="R5439" s="73"/>
      <c r="S5439" s="73"/>
      <c r="T5439" s="73"/>
      <c r="U5439" s="73"/>
      <c r="V5439" s="73"/>
      <c r="W5439" s="73"/>
      <c r="X5439" s="73"/>
      <c r="Y5439" s="73"/>
      <c r="Z5439" s="73"/>
      <c r="AA5439" s="73"/>
      <c r="AB5439" s="73"/>
    </row>
    <row r="5440">
      <c r="A5440" s="73"/>
      <c r="B5440" s="73">
        <v>4.450801307E7</v>
      </c>
      <c r="C5440" s="73">
        <v>2.21123899680014E9</v>
      </c>
      <c r="D5440" s="73">
        <v>1.9465566856267E9</v>
      </c>
      <c r="E5440" s="73"/>
      <c r="F5440" s="73"/>
      <c r="G5440" s="73"/>
      <c r="H5440" s="73"/>
      <c r="I5440" s="73"/>
      <c r="J5440" s="73"/>
      <c r="K5440" s="73"/>
      <c r="L5440" s="73"/>
      <c r="M5440" s="73"/>
      <c r="N5440" s="73"/>
      <c r="O5440" s="73"/>
      <c r="P5440" s="73"/>
      <c r="Q5440" s="73"/>
      <c r="R5440" s="73"/>
      <c r="S5440" s="73"/>
      <c r="T5440" s="73"/>
      <c r="U5440" s="73"/>
      <c r="V5440" s="73"/>
      <c r="W5440" s="73"/>
      <c r="X5440" s="73"/>
      <c r="Y5440" s="73"/>
      <c r="Z5440" s="73"/>
      <c r="AA5440" s="73"/>
      <c r="AB5440" s="73"/>
    </row>
    <row r="5441">
      <c r="A5441" s="73"/>
      <c r="B5441" s="73">
        <v>4.454843836E7</v>
      </c>
      <c r="C5441" s="73">
        <v>2.21566383105406E9</v>
      </c>
      <c r="D5441" s="73">
        <v>1.95235144315363E9</v>
      </c>
      <c r="E5441" s="73"/>
      <c r="F5441" s="73"/>
      <c r="G5441" s="73"/>
      <c r="H5441" s="73"/>
      <c r="I5441" s="73"/>
      <c r="J5441" s="73"/>
      <c r="K5441" s="73"/>
      <c r="L5441" s="73"/>
      <c r="M5441" s="73"/>
      <c r="N5441" s="73"/>
      <c r="O5441" s="73"/>
      <c r="P5441" s="73"/>
      <c r="Q5441" s="73"/>
      <c r="R5441" s="73"/>
      <c r="S5441" s="73"/>
      <c r="T5441" s="73"/>
      <c r="U5441" s="73"/>
      <c r="V5441" s="73"/>
      <c r="W5441" s="73"/>
      <c r="X5441" s="73"/>
      <c r="Y5441" s="73"/>
      <c r="Z5441" s="73"/>
      <c r="AA5441" s="73"/>
      <c r="AB5441" s="73"/>
    </row>
    <row r="5442">
      <c r="A5442" s="73"/>
      <c r="B5442" s="73">
        <v>4.458888848E7</v>
      </c>
      <c r="C5442" s="73">
        <v>2.22009742083044E9</v>
      </c>
      <c r="D5442" s="73">
        <v>1.95816298801663E9</v>
      </c>
      <c r="E5442" s="73"/>
      <c r="F5442" s="73"/>
      <c r="G5442" s="73"/>
      <c r="H5442" s="73"/>
      <c r="I5442" s="73"/>
      <c r="J5442" s="73"/>
      <c r="K5442" s="73"/>
      <c r="L5442" s="73"/>
      <c r="M5442" s="73"/>
      <c r="N5442" s="73"/>
      <c r="O5442" s="73"/>
      <c r="P5442" s="73"/>
      <c r="Q5442" s="73"/>
      <c r="R5442" s="73"/>
      <c r="S5442" s="73"/>
      <c r="T5442" s="73"/>
      <c r="U5442" s="73"/>
      <c r="V5442" s="73"/>
      <c r="W5442" s="73"/>
      <c r="X5442" s="73"/>
      <c r="Y5442" s="73"/>
      <c r="Z5442" s="73"/>
      <c r="AA5442" s="73"/>
      <c r="AB5442" s="73"/>
    </row>
    <row r="5443">
      <c r="A5443" s="73"/>
      <c r="B5443" s="73">
        <v>4.46293616E7</v>
      </c>
      <c r="C5443" s="73">
        <v>2.22453991273431E9</v>
      </c>
      <c r="D5443" s="73">
        <v>1.96399167061951E9</v>
      </c>
      <c r="E5443" s="73"/>
      <c r="F5443" s="73"/>
      <c r="G5443" s="73"/>
      <c r="H5443" s="73"/>
      <c r="I5443" s="73"/>
      <c r="J5443" s="73"/>
      <c r="K5443" s="73"/>
      <c r="L5443" s="73"/>
      <c r="M5443" s="73"/>
      <c r="N5443" s="73"/>
      <c r="O5443" s="73"/>
      <c r="P5443" s="73"/>
      <c r="Q5443" s="73"/>
      <c r="R5443" s="73"/>
      <c r="S5443" s="73"/>
      <c r="T5443" s="73"/>
      <c r="U5443" s="73"/>
      <c r="V5443" s="73"/>
      <c r="W5443" s="73"/>
      <c r="X5443" s="73"/>
      <c r="Y5443" s="73"/>
      <c r="Z5443" s="73"/>
      <c r="AA5443" s="73"/>
      <c r="AB5443" s="73"/>
    </row>
    <row r="5444">
      <c r="A5444" s="73"/>
      <c r="B5444" s="73">
        <v>4.466986015E7</v>
      </c>
      <c r="C5444" s="73">
        <v>2.22899092394411E9</v>
      </c>
      <c r="D5444" s="73">
        <v>1.96983730328164E9</v>
      </c>
      <c r="E5444" s="73"/>
      <c r="F5444" s="73"/>
      <c r="G5444" s="73"/>
      <c r="H5444" s="73"/>
      <c r="I5444" s="73"/>
      <c r="J5444" s="73"/>
      <c r="K5444" s="73"/>
      <c r="L5444" s="73"/>
      <c r="M5444" s="73"/>
      <c r="N5444" s="73"/>
      <c r="O5444" s="73"/>
      <c r="P5444" s="73"/>
      <c r="Q5444" s="73"/>
      <c r="R5444" s="73"/>
      <c r="S5444" s="73"/>
      <c r="T5444" s="73"/>
      <c r="U5444" s="73"/>
      <c r="V5444" s="73"/>
      <c r="W5444" s="73"/>
      <c r="X5444" s="73"/>
      <c r="Y5444" s="73"/>
      <c r="Z5444" s="73"/>
      <c r="AA5444" s="73"/>
      <c r="AB5444" s="73"/>
    </row>
    <row r="5445">
      <c r="A5445" s="73"/>
      <c r="B5445" s="73">
        <v>4.47103819E7</v>
      </c>
      <c r="C5445" s="73">
        <v>2.23345060006479E9</v>
      </c>
      <c r="D5445" s="73">
        <v>1.97570039778168E9</v>
      </c>
      <c r="E5445" s="73"/>
      <c r="F5445" s="73"/>
      <c r="G5445" s="73"/>
      <c r="H5445" s="73"/>
      <c r="I5445" s="73"/>
      <c r="J5445" s="73"/>
      <c r="K5445" s="73"/>
      <c r="L5445" s="73"/>
      <c r="M5445" s="73"/>
      <c r="N5445" s="73"/>
      <c r="O5445" s="73"/>
      <c r="P5445" s="73"/>
      <c r="Q5445" s="73"/>
      <c r="R5445" s="73"/>
      <c r="S5445" s="73"/>
      <c r="T5445" s="73"/>
      <c r="U5445" s="73"/>
      <c r="V5445" s="73"/>
      <c r="W5445" s="73"/>
      <c r="X5445" s="73"/>
      <c r="Y5445" s="73"/>
      <c r="Z5445" s="73"/>
      <c r="AA5445" s="73"/>
      <c r="AB5445" s="73"/>
    </row>
    <row r="5446">
      <c r="A5446" s="73"/>
      <c r="B5446" s="73">
        <v>4.475092651E7</v>
      </c>
      <c r="C5446" s="73">
        <v>2.23791906921221E9</v>
      </c>
      <c r="D5446" s="73">
        <v>1.98158053307037E9</v>
      </c>
      <c r="E5446" s="73"/>
      <c r="F5446" s="73"/>
      <c r="G5446" s="73"/>
      <c r="H5446" s="73"/>
      <c r="I5446" s="73"/>
      <c r="J5446" s="73"/>
      <c r="K5446" s="73"/>
      <c r="L5446" s="73"/>
      <c r="M5446" s="73"/>
      <c r="N5446" s="73"/>
      <c r="O5446" s="73"/>
      <c r="P5446" s="73"/>
      <c r="Q5446" s="73"/>
      <c r="R5446" s="73"/>
      <c r="S5446" s="73"/>
      <c r="T5446" s="73"/>
      <c r="U5446" s="73"/>
      <c r="V5446" s="73"/>
      <c r="W5446" s="73"/>
      <c r="X5446" s="73"/>
      <c r="Y5446" s="73"/>
      <c r="Z5446" s="73"/>
      <c r="AA5446" s="73"/>
      <c r="AB5446" s="73"/>
    </row>
    <row r="5447">
      <c r="A5447" s="73"/>
      <c r="B5447" s="73">
        <v>4.479149549E7</v>
      </c>
      <c r="C5447" s="73">
        <v>2.24239596453735E9</v>
      </c>
      <c r="D5447" s="73">
        <v>1.98747801384931E9</v>
      </c>
      <c r="E5447" s="73"/>
      <c r="F5447" s="73"/>
      <c r="G5447" s="73"/>
      <c r="H5447" s="73"/>
      <c r="I5447" s="73"/>
      <c r="J5447" s="73"/>
      <c r="K5447" s="73"/>
      <c r="L5447" s="73"/>
      <c r="M5447" s="73"/>
      <c r="N5447" s="73"/>
      <c r="O5447" s="73"/>
      <c r="P5447" s="73"/>
      <c r="Q5447" s="73"/>
      <c r="R5447" s="73"/>
      <c r="S5447" s="73"/>
      <c r="T5447" s="73"/>
      <c r="U5447" s="73"/>
      <c r="V5447" s="73"/>
      <c r="W5447" s="73"/>
      <c r="X5447" s="73"/>
      <c r="Y5447" s="73"/>
      <c r="Z5447" s="73"/>
      <c r="AA5447" s="73"/>
      <c r="AB5447" s="73"/>
    </row>
    <row r="5448">
      <c r="A5448" s="73"/>
      <c r="B5448" s="73">
        <v>4.483208921E7</v>
      </c>
      <c r="C5448" s="73">
        <v>2.2468816709031E9</v>
      </c>
      <c r="D5448" s="73">
        <v>1.99339274233753E9</v>
      </c>
      <c r="E5448" s="73"/>
      <c r="F5448" s="73"/>
      <c r="G5448" s="73"/>
      <c r="H5448" s="73"/>
      <c r="I5448" s="73"/>
      <c r="J5448" s="73"/>
      <c r="K5448" s="73"/>
      <c r="L5448" s="73"/>
      <c r="M5448" s="73"/>
      <c r="N5448" s="73"/>
      <c r="O5448" s="73"/>
      <c r="P5448" s="73"/>
      <c r="Q5448" s="73"/>
      <c r="R5448" s="73"/>
      <c r="S5448" s="73"/>
      <c r="T5448" s="73"/>
      <c r="U5448" s="73"/>
      <c r="V5448" s="73"/>
      <c r="W5448" s="73"/>
      <c r="X5448" s="73"/>
      <c r="Y5448" s="73"/>
      <c r="Z5448" s="73"/>
      <c r="AA5448" s="73"/>
      <c r="AB5448" s="73"/>
    </row>
    <row r="5449">
      <c r="A5449" s="73"/>
      <c r="B5449" s="73">
        <v>4.48727075E7</v>
      </c>
      <c r="C5449" s="73">
        <v>2.25137647269448E9</v>
      </c>
      <c r="D5449" s="73">
        <v>1.99932502430009E9</v>
      </c>
      <c r="E5449" s="73"/>
      <c r="F5449" s="73"/>
      <c r="G5449" s="73"/>
      <c r="H5449" s="73"/>
      <c r="I5449" s="73"/>
      <c r="J5449" s="73"/>
      <c r="K5449" s="73"/>
      <c r="L5449" s="73"/>
      <c r="M5449" s="73"/>
      <c r="N5449" s="73"/>
      <c r="O5449" s="73"/>
      <c r="P5449" s="73"/>
      <c r="Q5449" s="73"/>
      <c r="R5449" s="73"/>
      <c r="S5449" s="73"/>
      <c r="T5449" s="73"/>
      <c r="U5449" s="73"/>
      <c r="V5449" s="73"/>
      <c r="W5449" s="73"/>
      <c r="X5449" s="73"/>
      <c r="Y5449" s="73"/>
      <c r="Z5449" s="73"/>
      <c r="AA5449" s="73"/>
      <c r="AB5449" s="73"/>
    </row>
    <row r="5450">
      <c r="A5450" s="73"/>
      <c r="B5450" s="73">
        <v>4.491334957E7</v>
      </c>
      <c r="C5450" s="73">
        <v>2.255879589172E9</v>
      </c>
      <c r="D5450" s="73">
        <v>2.00527443685914E9</v>
      </c>
      <c r="E5450" s="73"/>
      <c r="F5450" s="73"/>
      <c r="G5450" s="73"/>
      <c r="H5450" s="73"/>
      <c r="I5450" s="73"/>
      <c r="J5450" s="73"/>
      <c r="K5450" s="73"/>
      <c r="L5450" s="73"/>
      <c r="M5450" s="73"/>
      <c r="N5450" s="73"/>
      <c r="O5450" s="73"/>
      <c r="P5450" s="73"/>
      <c r="Q5450" s="73"/>
      <c r="R5450" s="73"/>
      <c r="S5450" s="73"/>
      <c r="T5450" s="73"/>
      <c r="U5450" s="73"/>
      <c r="V5450" s="73"/>
      <c r="W5450" s="73"/>
      <c r="X5450" s="73"/>
      <c r="Y5450" s="73"/>
      <c r="Z5450" s="73"/>
      <c r="AA5450" s="73"/>
      <c r="AB5450" s="73"/>
    </row>
    <row r="5451">
      <c r="A5451" s="73"/>
      <c r="B5451" s="73">
        <v>4.495401412E7</v>
      </c>
      <c r="C5451" s="73">
        <v>2.26039194047712E9</v>
      </c>
      <c r="D5451" s="73">
        <v>2.01124161233478E9</v>
      </c>
      <c r="E5451" s="73"/>
      <c r="F5451" s="73"/>
      <c r="G5451" s="73"/>
      <c r="H5451" s="73"/>
      <c r="I5451" s="73"/>
      <c r="J5451" s="73"/>
      <c r="K5451" s="73"/>
      <c r="L5451" s="73"/>
      <c r="M5451" s="73"/>
      <c r="N5451" s="73"/>
      <c r="O5451" s="73"/>
      <c r="P5451" s="73"/>
      <c r="Q5451" s="73"/>
      <c r="R5451" s="73"/>
      <c r="S5451" s="73"/>
      <c r="T5451" s="73"/>
      <c r="U5451" s="73"/>
      <c r="V5451" s="73"/>
      <c r="W5451" s="73"/>
      <c r="X5451" s="73"/>
      <c r="Y5451" s="73"/>
      <c r="Z5451" s="73"/>
      <c r="AA5451" s="73"/>
      <c r="AB5451" s="73"/>
    </row>
    <row r="5452">
      <c r="A5452" s="73"/>
      <c r="B5452" s="73">
        <v>4.49947049E7</v>
      </c>
      <c r="C5452" s="73">
        <v>2.26491302009489E9</v>
      </c>
      <c r="D5452" s="73">
        <v>2.01722624739039E9</v>
      </c>
      <c r="E5452" s="73"/>
      <c r="F5452" s="73"/>
      <c r="G5452" s="73"/>
      <c r="H5452" s="73"/>
      <c r="I5452" s="73"/>
      <c r="J5452" s="73"/>
      <c r="K5452" s="73"/>
      <c r="L5452" s="73"/>
      <c r="M5452" s="73"/>
      <c r="N5452" s="73"/>
      <c r="O5452" s="73"/>
      <c r="P5452" s="73"/>
      <c r="Q5452" s="73"/>
      <c r="R5452" s="73"/>
      <c r="S5452" s="73"/>
      <c r="T5452" s="73"/>
      <c r="U5452" s="73"/>
      <c r="V5452" s="73"/>
      <c r="W5452" s="73"/>
      <c r="X5452" s="73"/>
      <c r="Y5452" s="73"/>
      <c r="Z5452" s="73"/>
      <c r="AA5452" s="73"/>
      <c r="AB5452" s="73"/>
    </row>
    <row r="5453">
      <c r="A5453" s="73"/>
      <c r="B5453" s="73">
        <v>4.5035417E7</v>
      </c>
      <c r="C5453" s="73">
        <v>2.26944283680836E9</v>
      </c>
      <c r="D5453" s="73">
        <v>2.02322824540678E9</v>
      </c>
      <c r="E5453" s="73"/>
      <c r="F5453" s="73"/>
      <c r="G5453" s="73"/>
      <c r="H5453" s="73"/>
      <c r="I5453" s="73"/>
      <c r="J5453" s="73"/>
      <c r="K5453" s="73"/>
      <c r="L5453" s="73"/>
      <c r="M5453" s="73"/>
      <c r="N5453" s="73"/>
      <c r="O5453" s="73"/>
      <c r="P5453" s="73"/>
      <c r="Q5453" s="73"/>
      <c r="R5453" s="73"/>
      <c r="S5453" s="73"/>
      <c r="T5453" s="73"/>
      <c r="U5453" s="73"/>
      <c r="V5453" s="73"/>
      <c r="W5453" s="73"/>
      <c r="X5453" s="73"/>
      <c r="Y5453" s="73"/>
      <c r="Z5453" s="73"/>
      <c r="AA5453" s="73"/>
      <c r="AB5453" s="73"/>
    </row>
    <row r="5454">
      <c r="A5454" s="73"/>
      <c r="B5454" s="73">
        <v>4.507615521E7</v>
      </c>
      <c r="C5454" s="73">
        <v>2.27398139940405E9</v>
      </c>
      <c r="D5454" s="73">
        <v>2.02924807456191E9</v>
      </c>
      <c r="E5454" s="73"/>
      <c r="F5454" s="73"/>
      <c r="G5454" s="73"/>
      <c r="H5454" s="73"/>
      <c r="I5454" s="73"/>
      <c r="J5454" s="73"/>
      <c r="K5454" s="73"/>
      <c r="L5454" s="73"/>
      <c r="M5454" s="73"/>
      <c r="N5454" s="73"/>
      <c r="O5454" s="73"/>
      <c r="P5454" s="73"/>
      <c r="Q5454" s="73"/>
      <c r="R5454" s="73"/>
      <c r="S5454" s="73"/>
      <c r="T5454" s="73"/>
      <c r="U5454" s="73"/>
      <c r="V5454" s="73"/>
      <c r="W5454" s="73"/>
      <c r="X5454" s="73"/>
      <c r="Y5454" s="73"/>
      <c r="Z5454" s="73"/>
      <c r="AA5454" s="73"/>
      <c r="AB5454" s="73"/>
    </row>
    <row r="5455">
      <c r="A5455" s="73"/>
      <c r="B5455" s="73">
        <v>4.511691622E7</v>
      </c>
      <c r="C5455" s="73">
        <v>2.27852897664677E9</v>
      </c>
      <c r="D5455" s="73">
        <v>2.03528547613269E9</v>
      </c>
      <c r="E5455" s="73"/>
      <c r="F5455" s="73"/>
      <c r="G5455" s="73"/>
      <c r="H5455" s="73"/>
      <c r="I5455" s="73"/>
      <c r="J5455" s="73"/>
      <c r="K5455" s="73"/>
      <c r="L5455" s="73"/>
      <c r="M5455" s="73"/>
      <c r="N5455" s="73"/>
      <c r="O5455" s="73"/>
      <c r="P5455" s="73"/>
      <c r="Q5455" s="73"/>
      <c r="R5455" s="73"/>
      <c r="S5455" s="73"/>
      <c r="T5455" s="73"/>
      <c r="U5455" s="73"/>
      <c r="V5455" s="73"/>
      <c r="W5455" s="73"/>
      <c r="X5455" s="73"/>
      <c r="Y5455" s="73"/>
      <c r="Z5455" s="73"/>
      <c r="AA5455" s="73"/>
      <c r="AB5455" s="73"/>
    </row>
    <row r="5456">
      <c r="A5456" s="73"/>
      <c r="B5456" s="73">
        <v>4.515770241E7</v>
      </c>
      <c r="C5456" s="73">
        <v>2.28308545595039E9</v>
      </c>
      <c r="D5456" s="73">
        <v>2.04134075735043E9</v>
      </c>
      <c r="E5456" s="73"/>
      <c r="F5456" s="73"/>
      <c r="G5456" s="73"/>
      <c r="H5456" s="73"/>
      <c r="I5456" s="73"/>
      <c r="J5456" s="73"/>
      <c r="K5456" s="73"/>
      <c r="L5456" s="73"/>
      <c r="M5456" s="73"/>
      <c r="N5456" s="73"/>
      <c r="O5456" s="73"/>
      <c r="P5456" s="73"/>
      <c r="Q5456" s="73"/>
      <c r="R5456" s="73"/>
      <c r="S5456" s="73"/>
      <c r="T5456" s="73"/>
      <c r="U5456" s="73"/>
      <c r="V5456" s="73"/>
      <c r="W5456" s="73"/>
      <c r="X5456" s="73"/>
      <c r="Y5456" s="73"/>
      <c r="Z5456" s="73"/>
      <c r="AA5456" s="73"/>
      <c r="AB5456" s="73"/>
    </row>
    <row r="5457">
      <c r="A5457" s="73"/>
      <c r="B5457" s="73">
        <v>4.519851225E7</v>
      </c>
      <c r="C5457" s="73">
        <v>2.28765057055191E9</v>
      </c>
      <c r="D5457" s="73">
        <v>2.0474136562062E9</v>
      </c>
      <c r="E5457" s="73"/>
      <c r="F5457" s="73"/>
      <c r="G5457" s="73"/>
      <c r="H5457" s="73"/>
      <c r="I5457" s="73"/>
      <c r="J5457" s="73"/>
      <c r="K5457" s="73"/>
      <c r="L5457" s="73"/>
      <c r="M5457" s="73"/>
      <c r="N5457" s="73"/>
      <c r="O5457" s="73"/>
      <c r="P5457" s="73"/>
      <c r="Q5457" s="73"/>
      <c r="R5457" s="73"/>
      <c r="S5457" s="73"/>
      <c r="T5457" s="73"/>
      <c r="U5457" s="73"/>
      <c r="V5457" s="73"/>
      <c r="W5457" s="73"/>
      <c r="X5457" s="73"/>
      <c r="Y5457" s="73"/>
      <c r="Z5457" s="73"/>
      <c r="AA5457" s="73"/>
      <c r="AB5457" s="73"/>
    </row>
    <row r="5458">
      <c r="A5458" s="73"/>
      <c r="B5458" s="73">
        <v>4.523934615E7</v>
      </c>
      <c r="C5458" s="73">
        <v>2.29222486609926E9</v>
      </c>
      <c r="D5458" s="73">
        <v>2.05350448253432E9</v>
      </c>
      <c r="E5458" s="73"/>
      <c r="F5458" s="73"/>
      <c r="G5458" s="73"/>
      <c r="H5458" s="73"/>
      <c r="I5458" s="73"/>
      <c r="J5458" s="73"/>
      <c r="K5458" s="73"/>
      <c r="L5458" s="73"/>
      <c r="M5458" s="73"/>
      <c r="N5458" s="73"/>
      <c r="O5458" s="73"/>
      <c r="P5458" s="73"/>
      <c r="Q5458" s="73"/>
      <c r="R5458" s="73"/>
      <c r="S5458" s="73"/>
      <c r="T5458" s="73"/>
      <c r="U5458" s="73"/>
      <c r="V5458" s="73"/>
      <c r="W5458" s="73"/>
      <c r="X5458" s="73"/>
      <c r="Y5458" s="73"/>
      <c r="Z5458" s="73"/>
      <c r="AA5458" s="73"/>
      <c r="AB5458" s="73"/>
    </row>
    <row r="5459">
      <c r="A5459" s="73"/>
      <c r="B5459" s="73">
        <v>4.52802039E7</v>
      </c>
      <c r="C5459" s="73">
        <v>2.29680821475813E9</v>
      </c>
      <c r="D5459" s="73">
        <v>2.05961297071987E9</v>
      </c>
      <c r="E5459" s="73"/>
      <c r="F5459" s="73"/>
      <c r="G5459" s="73"/>
      <c r="H5459" s="73"/>
      <c r="I5459" s="73"/>
      <c r="J5459" s="73"/>
      <c r="K5459" s="73"/>
      <c r="L5459" s="73"/>
      <c r="M5459" s="73"/>
      <c r="N5459" s="73"/>
      <c r="O5459" s="73"/>
      <c r="P5459" s="73"/>
      <c r="Q5459" s="73"/>
      <c r="R5459" s="73"/>
      <c r="S5459" s="73"/>
      <c r="T5459" s="73"/>
      <c r="U5459" s="73"/>
      <c r="V5459" s="73"/>
      <c r="W5459" s="73"/>
      <c r="X5459" s="73"/>
      <c r="Y5459" s="73"/>
      <c r="Z5459" s="73"/>
      <c r="AA5459" s="73"/>
      <c r="AB5459" s="73"/>
    </row>
    <row r="5460">
      <c r="A5460" s="73"/>
      <c r="B5460" s="73">
        <v>4.532108483E7</v>
      </c>
      <c r="C5460" s="73">
        <v>2.30140024074586E9</v>
      </c>
      <c r="D5460" s="73">
        <v>2.06573959769186E9</v>
      </c>
      <c r="E5460" s="73"/>
      <c r="F5460" s="73"/>
      <c r="G5460" s="73"/>
      <c r="H5460" s="73"/>
      <c r="I5460" s="73"/>
      <c r="J5460" s="73"/>
      <c r="K5460" s="73"/>
      <c r="L5460" s="73"/>
      <c r="M5460" s="73"/>
      <c r="N5460" s="73"/>
      <c r="O5460" s="73"/>
      <c r="P5460" s="73"/>
      <c r="Q5460" s="73"/>
      <c r="R5460" s="73"/>
      <c r="S5460" s="73"/>
      <c r="T5460" s="73"/>
      <c r="U5460" s="73"/>
      <c r="V5460" s="73"/>
      <c r="W5460" s="73"/>
      <c r="X5460" s="73"/>
      <c r="Y5460" s="73"/>
      <c r="Z5460" s="73"/>
      <c r="AA5460" s="73"/>
      <c r="AB5460" s="73"/>
    </row>
    <row r="5461">
      <c r="A5461" s="73"/>
      <c r="B5461" s="73">
        <v>4.536199112E7</v>
      </c>
      <c r="C5461" s="73">
        <v>2.30600133839403E9</v>
      </c>
      <c r="D5461" s="73">
        <v>2.07188422217825E9</v>
      </c>
      <c r="E5461" s="73"/>
      <c r="F5461" s="73"/>
      <c r="G5461" s="73"/>
      <c r="H5461" s="73"/>
      <c r="I5461" s="73"/>
      <c r="J5461" s="73"/>
      <c r="K5461" s="73"/>
      <c r="L5461" s="73"/>
      <c r="M5461" s="73"/>
      <c r="N5461" s="73"/>
      <c r="O5461" s="73"/>
      <c r="P5461" s="73"/>
      <c r="Q5461" s="73"/>
      <c r="R5461" s="73"/>
      <c r="S5461" s="73"/>
      <c r="T5461" s="73"/>
      <c r="U5461" s="73"/>
      <c r="V5461" s="73"/>
      <c r="W5461" s="73"/>
      <c r="X5461" s="73"/>
      <c r="Y5461" s="73"/>
      <c r="Z5461" s="73"/>
      <c r="AA5461" s="73"/>
      <c r="AB5461" s="73"/>
    </row>
    <row r="5462">
      <c r="A5462" s="73"/>
      <c r="B5462" s="73">
        <v>4.54029208E7</v>
      </c>
      <c r="C5462" s="73">
        <v>2.31061165592918E9</v>
      </c>
      <c r="D5462" s="73">
        <v>2.07804690916525E9</v>
      </c>
      <c r="E5462" s="73"/>
      <c r="F5462" s="73"/>
      <c r="G5462" s="73"/>
      <c r="H5462" s="73"/>
      <c r="I5462" s="73"/>
      <c r="J5462" s="73"/>
      <c r="K5462" s="73"/>
      <c r="L5462" s="73"/>
      <c r="M5462" s="73"/>
      <c r="N5462" s="73"/>
      <c r="O5462" s="73"/>
      <c r="P5462" s="73"/>
      <c r="Q5462" s="73"/>
      <c r="R5462" s="73"/>
      <c r="S5462" s="73"/>
      <c r="T5462" s="73"/>
      <c r="U5462" s="73"/>
      <c r="V5462" s="73"/>
      <c r="W5462" s="73"/>
      <c r="X5462" s="73"/>
      <c r="Y5462" s="73"/>
      <c r="Z5462" s="73"/>
      <c r="AA5462" s="73"/>
      <c r="AB5462" s="73"/>
    </row>
    <row r="5463">
      <c r="A5463" s="73"/>
      <c r="B5463" s="73">
        <v>4.544387432E7</v>
      </c>
      <c r="C5463" s="73">
        <v>2.31523053904458E9</v>
      </c>
      <c r="D5463" s="73">
        <v>2.08422747659456E9</v>
      </c>
      <c r="E5463" s="73"/>
      <c r="F5463" s="73"/>
      <c r="G5463" s="73"/>
      <c r="H5463" s="73"/>
      <c r="I5463" s="73"/>
      <c r="J5463" s="73"/>
      <c r="K5463" s="73"/>
      <c r="L5463" s="73"/>
      <c r="M5463" s="73"/>
      <c r="N5463" s="73"/>
      <c r="O5463" s="73"/>
      <c r="P5463" s="73"/>
      <c r="Q5463" s="73"/>
      <c r="R5463" s="73"/>
      <c r="S5463" s="73"/>
      <c r="T5463" s="73"/>
      <c r="U5463" s="73"/>
      <c r="V5463" s="73"/>
      <c r="W5463" s="73"/>
      <c r="X5463" s="73"/>
      <c r="Y5463" s="73"/>
      <c r="Z5463" s="73"/>
      <c r="AA5463" s="73"/>
      <c r="AB5463" s="73"/>
    </row>
    <row r="5464">
      <c r="A5464" s="73"/>
      <c r="B5464" s="73">
        <v>4.548485275E7</v>
      </c>
      <c r="C5464" s="73">
        <v>2.3198587859016E9</v>
      </c>
      <c r="D5464" s="73">
        <v>2.09042631715676E9</v>
      </c>
      <c r="E5464" s="73"/>
      <c r="F5464" s="73"/>
      <c r="G5464" s="73"/>
      <c r="H5464" s="73"/>
      <c r="I5464" s="73"/>
      <c r="J5464" s="73"/>
      <c r="K5464" s="73"/>
      <c r="L5464" s="73"/>
      <c r="M5464" s="73"/>
      <c r="N5464" s="73"/>
      <c r="O5464" s="73"/>
      <c r="P5464" s="73"/>
      <c r="Q5464" s="73"/>
      <c r="R5464" s="73"/>
      <c r="S5464" s="73"/>
      <c r="T5464" s="73"/>
      <c r="U5464" s="73"/>
      <c r="V5464" s="73"/>
      <c r="W5464" s="73"/>
      <c r="X5464" s="73"/>
      <c r="Y5464" s="73"/>
      <c r="Z5464" s="73"/>
      <c r="AA5464" s="73"/>
      <c r="AB5464" s="73"/>
    </row>
    <row r="5465">
      <c r="A5465" s="73"/>
      <c r="B5465" s="73">
        <v>4.552585362E7</v>
      </c>
      <c r="C5465" s="73">
        <v>2.32449589286902E9</v>
      </c>
      <c r="D5465" s="73">
        <v>2.09664341582132E9</v>
      </c>
      <c r="E5465" s="73"/>
      <c r="F5465" s="73"/>
      <c r="G5465" s="73"/>
      <c r="H5465" s="73"/>
      <c r="I5465" s="73"/>
      <c r="J5465" s="73"/>
      <c r="K5465" s="73"/>
      <c r="L5465" s="73"/>
      <c r="M5465" s="73"/>
      <c r="N5465" s="73"/>
      <c r="O5465" s="73"/>
      <c r="P5465" s="73"/>
      <c r="Q5465" s="73"/>
      <c r="R5465" s="73"/>
      <c r="S5465" s="73"/>
      <c r="T5465" s="73"/>
      <c r="U5465" s="73"/>
      <c r="V5465" s="73"/>
      <c r="W5465" s="73"/>
      <c r="X5465" s="73"/>
      <c r="Y5465" s="73"/>
      <c r="Z5465" s="73"/>
      <c r="AA5465" s="73"/>
      <c r="AB5465" s="73"/>
    </row>
    <row r="5466">
      <c r="A5466" s="73"/>
      <c r="B5466" s="73">
        <v>4.556687983E7</v>
      </c>
      <c r="C5466" s="73">
        <v>2.32914198109244E9</v>
      </c>
      <c r="D5466" s="73">
        <v>2.10287867129115E9</v>
      </c>
      <c r="E5466" s="73"/>
      <c r="F5466" s="73"/>
      <c r="G5466" s="73"/>
      <c r="H5466" s="73"/>
      <c r="I5466" s="73"/>
      <c r="J5466" s="73"/>
      <c r="K5466" s="73"/>
      <c r="L5466" s="73"/>
      <c r="M5466" s="73"/>
      <c r="N5466" s="73"/>
      <c r="O5466" s="73"/>
      <c r="P5466" s="73"/>
      <c r="Q5466" s="73"/>
      <c r="R5466" s="73"/>
      <c r="S5466" s="73"/>
      <c r="T5466" s="73"/>
      <c r="U5466" s="73"/>
      <c r="V5466" s="73"/>
      <c r="W5466" s="73"/>
      <c r="X5466" s="73"/>
      <c r="Y5466" s="73"/>
      <c r="Z5466" s="73"/>
      <c r="AA5466" s="73"/>
      <c r="AB5466" s="73"/>
    </row>
    <row r="5467">
      <c r="A5467" s="73"/>
      <c r="B5467" s="73">
        <v>4.560793065E7</v>
      </c>
      <c r="C5467" s="73">
        <v>2.333797349991E9</v>
      </c>
      <c r="D5467" s="73">
        <v>2.10913223189526E9</v>
      </c>
      <c r="E5467" s="73"/>
      <c r="F5467" s="73"/>
      <c r="G5467" s="73"/>
      <c r="H5467" s="73"/>
      <c r="I5467" s="73"/>
      <c r="J5467" s="73"/>
      <c r="K5467" s="73"/>
      <c r="L5467" s="73"/>
      <c r="M5467" s="73"/>
      <c r="N5467" s="73"/>
      <c r="O5467" s="73"/>
      <c r="P5467" s="73"/>
      <c r="Q5467" s="73"/>
      <c r="R5467" s="73"/>
      <c r="S5467" s="73"/>
      <c r="T5467" s="73"/>
      <c r="U5467" s="73"/>
      <c r="V5467" s="73"/>
      <c r="W5467" s="73"/>
      <c r="X5467" s="73"/>
      <c r="Y5467" s="73"/>
      <c r="Z5467" s="73"/>
      <c r="AA5467" s="73"/>
      <c r="AB5467" s="73"/>
    </row>
    <row r="5468">
      <c r="A5468" s="73"/>
      <c r="B5468" s="73">
        <v>4.564900521E7</v>
      </c>
      <c r="C5468" s="73">
        <v>2.3384617195533E9</v>
      </c>
      <c r="D5468" s="73">
        <v>2.11540428597067E9</v>
      </c>
      <c r="E5468" s="73"/>
      <c r="F5468" s="73"/>
      <c r="G5468" s="73"/>
      <c r="H5468" s="73"/>
      <c r="I5468" s="73"/>
      <c r="J5468" s="73"/>
      <c r="K5468" s="73"/>
      <c r="L5468" s="73"/>
      <c r="M5468" s="73"/>
      <c r="N5468" s="73"/>
      <c r="O5468" s="73"/>
      <c r="P5468" s="73"/>
      <c r="Q5468" s="73"/>
      <c r="R5468" s="73"/>
      <c r="S5468" s="73"/>
      <c r="T5468" s="73"/>
      <c r="U5468" s="73"/>
      <c r="V5468" s="73"/>
      <c r="W5468" s="73"/>
      <c r="X5468" s="73"/>
      <c r="Y5468" s="73"/>
      <c r="Z5468" s="73"/>
      <c r="AA5468" s="73"/>
      <c r="AB5468" s="73"/>
    </row>
    <row r="5469">
      <c r="A5469" s="73"/>
      <c r="B5469" s="73">
        <v>4.569010286E7</v>
      </c>
      <c r="C5469" s="73">
        <v>2.34313537703451E9</v>
      </c>
      <c r="D5469" s="73">
        <v>2.12169473447621E9</v>
      </c>
      <c r="E5469" s="73"/>
      <c r="F5469" s="73"/>
      <c r="G5469" s="73"/>
      <c r="H5469" s="73"/>
      <c r="I5469" s="73"/>
      <c r="J5469" s="73"/>
      <c r="K5469" s="73"/>
      <c r="L5469" s="73"/>
      <c r="M5469" s="73"/>
      <c r="N5469" s="73"/>
      <c r="O5469" s="73"/>
      <c r="P5469" s="73"/>
      <c r="Q5469" s="73"/>
      <c r="R5469" s="73"/>
      <c r="S5469" s="73"/>
      <c r="T5469" s="73"/>
      <c r="U5469" s="73"/>
      <c r="V5469" s="73"/>
      <c r="W5469" s="73"/>
      <c r="X5469" s="73"/>
      <c r="Y5469" s="73"/>
      <c r="Z5469" s="73"/>
      <c r="AA5469" s="73"/>
      <c r="AB5469" s="73"/>
    </row>
    <row r="5470">
      <c r="A5470" s="73"/>
      <c r="B5470" s="73">
        <v>4.573122593E7</v>
      </c>
      <c r="C5470" s="73">
        <v>2.34781834436296E9</v>
      </c>
      <c r="D5470" s="73">
        <v>2.12800343400956E9</v>
      </c>
      <c r="E5470" s="73"/>
      <c r="F5470" s="73"/>
      <c r="G5470" s="73"/>
      <c r="H5470" s="73"/>
      <c r="I5470" s="73"/>
      <c r="J5470" s="73"/>
      <c r="K5470" s="73"/>
      <c r="L5470" s="73"/>
      <c r="M5470" s="73"/>
      <c r="N5470" s="73"/>
      <c r="O5470" s="73"/>
      <c r="P5470" s="73"/>
      <c r="Q5470" s="73"/>
      <c r="R5470" s="73"/>
      <c r="S5470" s="73"/>
      <c r="T5470" s="73"/>
      <c r="U5470" s="73"/>
      <c r="V5470" s="73"/>
      <c r="W5470" s="73"/>
      <c r="X5470" s="73"/>
      <c r="Y5470" s="73"/>
      <c r="Z5470" s="73"/>
      <c r="AA5470" s="73"/>
      <c r="AB5470" s="73"/>
    </row>
    <row r="5471">
      <c r="A5471" s="73"/>
      <c r="B5471" s="73">
        <v>4.577237172E7</v>
      </c>
      <c r="C5471" s="73">
        <v>2.35250980933834E9</v>
      </c>
      <c r="D5471" s="73">
        <v>2.13433082732468E9</v>
      </c>
      <c r="E5471" s="73"/>
      <c r="F5471" s="73"/>
      <c r="G5471" s="73"/>
      <c r="H5471" s="73"/>
      <c r="I5471" s="73"/>
      <c r="J5471" s="73"/>
      <c r="K5471" s="73"/>
      <c r="L5471" s="73"/>
      <c r="M5471" s="73"/>
      <c r="N5471" s="73"/>
      <c r="O5471" s="73"/>
      <c r="P5471" s="73"/>
      <c r="Q5471" s="73"/>
      <c r="R5471" s="73"/>
      <c r="S5471" s="73"/>
      <c r="T5471" s="73"/>
      <c r="U5471" s="73"/>
      <c r="V5471" s="73"/>
      <c r="W5471" s="73"/>
      <c r="X5471" s="73"/>
      <c r="Y5471" s="73"/>
      <c r="Z5471" s="73"/>
      <c r="AA5471" s="73"/>
      <c r="AB5471" s="73"/>
    </row>
    <row r="5472">
      <c r="A5472" s="73"/>
      <c r="B5472" s="73">
        <v>4.581354198E7</v>
      </c>
      <c r="C5472" s="73">
        <v>2.357210857306E9</v>
      </c>
      <c r="D5472" s="73">
        <v>2.14067656082904E9</v>
      </c>
      <c r="E5472" s="73"/>
      <c r="F5472" s="73"/>
      <c r="G5472" s="73"/>
      <c r="H5472" s="73"/>
      <c r="I5472" s="73"/>
      <c r="J5472" s="73"/>
      <c r="K5472" s="73"/>
      <c r="L5472" s="73"/>
      <c r="M5472" s="73"/>
      <c r="N5472" s="73"/>
      <c r="O5472" s="73"/>
      <c r="P5472" s="73"/>
      <c r="Q5472" s="73"/>
      <c r="R5472" s="73"/>
      <c r="S5472" s="73"/>
      <c r="T5472" s="73"/>
      <c r="U5472" s="73"/>
      <c r="V5472" s="73"/>
      <c r="W5472" s="73"/>
      <c r="X5472" s="73"/>
      <c r="Y5472" s="73"/>
      <c r="Z5472" s="73"/>
      <c r="AA5472" s="73"/>
      <c r="AB5472" s="73"/>
    </row>
    <row r="5473">
      <c r="A5473" s="73"/>
      <c r="B5473" s="73">
        <v>4.585473656E7</v>
      </c>
      <c r="C5473" s="73">
        <v>2.36192124354226E9</v>
      </c>
      <c r="D5473" s="73">
        <v>2.14704120003321E9</v>
      </c>
      <c r="E5473" s="73"/>
      <c r="F5473" s="73"/>
      <c r="G5473" s="73"/>
      <c r="H5473" s="73"/>
      <c r="I5473" s="73"/>
      <c r="J5473" s="73"/>
      <c r="K5473" s="73"/>
      <c r="L5473" s="73"/>
      <c r="M5473" s="73"/>
      <c r="N5473" s="73"/>
      <c r="O5473" s="73"/>
      <c r="P5473" s="73"/>
      <c r="Q5473" s="73"/>
      <c r="R5473" s="73"/>
      <c r="S5473" s="73"/>
      <c r="T5473" s="73"/>
      <c r="U5473" s="73"/>
      <c r="V5473" s="73"/>
      <c r="W5473" s="73"/>
      <c r="X5473" s="73"/>
      <c r="Y5473" s="73"/>
      <c r="Z5473" s="73"/>
      <c r="AA5473" s="73"/>
      <c r="AB5473" s="73"/>
    </row>
    <row r="5474">
      <c r="A5474" s="73"/>
      <c r="B5474" s="73">
        <v>4.589595541E7</v>
      </c>
      <c r="C5474" s="73">
        <v>2.36664042131546E9</v>
      </c>
      <c r="D5474" s="73">
        <v>2.15342435318221E9</v>
      </c>
      <c r="E5474" s="73"/>
      <c r="F5474" s="73"/>
      <c r="G5474" s="73"/>
      <c r="H5474" s="73"/>
      <c r="I5474" s="73"/>
      <c r="J5474" s="73"/>
      <c r="K5474" s="73"/>
      <c r="L5474" s="73"/>
      <c r="M5474" s="73"/>
      <c r="N5474" s="73"/>
      <c r="O5474" s="73"/>
      <c r="P5474" s="73"/>
      <c r="Q5474" s="73"/>
      <c r="R5474" s="73"/>
      <c r="S5474" s="73"/>
      <c r="T5474" s="73"/>
      <c r="U5474" s="73"/>
      <c r="V5474" s="73"/>
      <c r="W5474" s="73"/>
      <c r="X5474" s="73"/>
      <c r="Y5474" s="73"/>
      <c r="Z5474" s="73"/>
      <c r="AA5474" s="73"/>
      <c r="AB5474" s="73"/>
    </row>
    <row r="5475">
      <c r="A5475" s="73"/>
      <c r="B5475" s="73">
        <v>4.593719886E7</v>
      </c>
      <c r="C5475" s="73">
        <v>2.37136895579361E9</v>
      </c>
      <c r="D5475" s="73">
        <v>2.1598262106343E9</v>
      </c>
      <c r="E5475" s="73"/>
      <c r="F5475" s="73"/>
      <c r="G5475" s="73"/>
      <c r="H5475" s="73"/>
      <c r="I5475" s="73"/>
      <c r="J5475" s="73"/>
      <c r="K5475" s="73"/>
      <c r="L5475" s="73"/>
      <c r="M5475" s="73"/>
      <c r="N5475" s="73"/>
      <c r="O5475" s="73"/>
      <c r="P5475" s="73"/>
      <c r="Q5475" s="73"/>
      <c r="R5475" s="73"/>
      <c r="S5475" s="73"/>
      <c r="T5475" s="73"/>
      <c r="U5475" s="73"/>
      <c r="V5475" s="73"/>
      <c r="W5475" s="73"/>
      <c r="X5475" s="73"/>
      <c r="Y5475" s="73"/>
      <c r="Z5475" s="73"/>
      <c r="AA5475" s="73"/>
      <c r="AB5475" s="73"/>
    </row>
    <row r="5476">
      <c r="A5476" s="73"/>
      <c r="B5476" s="73">
        <v>4.597846533E7</v>
      </c>
      <c r="C5476" s="73">
        <v>2.37610656798728E9</v>
      </c>
      <c r="D5476" s="73">
        <v>2.16624692314987E9</v>
      </c>
      <c r="E5476" s="73"/>
      <c r="F5476" s="73"/>
      <c r="G5476" s="73"/>
      <c r="H5476" s="73"/>
      <c r="I5476" s="73"/>
      <c r="J5476" s="73"/>
      <c r="K5476" s="73"/>
      <c r="L5476" s="73"/>
      <c r="M5476" s="73"/>
      <c r="N5476" s="73"/>
      <c r="O5476" s="73"/>
      <c r="P5476" s="73"/>
      <c r="Q5476" s="73"/>
      <c r="R5476" s="73"/>
      <c r="S5476" s="73"/>
      <c r="T5476" s="73"/>
      <c r="U5476" s="73"/>
      <c r="V5476" s="73"/>
      <c r="W5476" s="73"/>
      <c r="X5476" s="73"/>
      <c r="Y5476" s="73"/>
      <c r="Z5476" s="73"/>
      <c r="AA5476" s="73"/>
      <c r="AB5476" s="73"/>
    </row>
    <row r="5477">
      <c r="A5477" s="73"/>
      <c r="B5477" s="73">
        <v>4.601975601E7</v>
      </c>
      <c r="C5477" s="73">
        <v>2.38085355614156E9</v>
      </c>
      <c r="D5477" s="73">
        <v>2.1726865155185E9</v>
      </c>
      <c r="E5477" s="73"/>
      <c r="F5477" s="73"/>
      <c r="G5477" s="73"/>
      <c r="H5477" s="73"/>
      <c r="I5477" s="73"/>
      <c r="J5477" s="73"/>
      <c r="K5477" s="73"/>
      <c r="L5477" s="73"/>
      <c r="M5477" s="73"/>
      <c r="N5477" s="73"/>
      <c r="O5477" s="73"/>
      <c r="P5477" s="73"/>
      <c r="Q5477" s="73"/>
      <c r="R5477" s="73"/>
      <c r="S5477" s="73"/>
      <c r="T5477" s="73"/>
      <c r="U5477" s="73"/>
      <c r="V5477" s="73"/>
      <c r="W5477" s="73"/>
      <c r="X5477" s="73"/>
      <c r="Y5477" s="73"/>
      <c r="Z5477" s="73"/>
      <c r="AA5477" s="73"/>
      <c r="AB5477" s="73"/>
    </row>
    <row r="5478">
      <c r="A5478" s="73"/>
      <c r="B5478" s="73">
        <v>4.606107195E7</v>
      </c>
      <c r="C5478" s="73">
        <v>2.38560992019377E9</v>
      </c>
      <c r="D5478" s="73">
        <v>2.17914488383747E9</v>
      </c>
      <c r="E5478" s="73"/>
      <c r="F5478" s="73"/>
      <c r="G5478" s="73"/>
      <c r="H5478" s="73"/>
      <c r="I5478" s="73"/>
      <c r="J5478" s="73"/>
      <c r="K5478" s="73"/>
      <c r="L5478" s="73"/>
      <c r="M5478" s="73"/>
      <c r="N5478" s="73"/>
      <c r="O5478" s="73"/>
      <c r="P5478" s="73"/>
      <c r="Q5478" s="73"/>
      <c r="R5478" s="73"/>
      <c r="S5478" s="73"/>
      <c r="T5478" s="73"/>
      <c r="U5478" s="73"/>
      <c r="V5478" s="73"/>
      <c r="W5478" s="73"/>
      <c r="X5478" s="73"/>
      <c r="Y5478" s="73"/>
      <c r="Z5478" s="73"/>
      <c r="AA5478" s="73"/>
      <c r="AB5478" s="73"/>
    </row>
    <row r="5479">
      <c r="A5479" s="73"/>
      <c r="B5479" s="73">
        <v>4.610241114E7</v>
      </c>
      <c r="C5479" s="73">
        <v>2.39037541026249E9</v>
      </c>
      <c r="D5479" s="73">
        <v>2.18562234860583E9</v>
      </c>
      <c r="E5479" s="73"/>
      <c r="F5479" s="73"/>
      <c r="G5479" s="73"/>
      <c r="H5479" s="73"/>
      <c r="I5479" s="73"/>
      <c r="J5479" s="73"/>
      <c r="K5479" s="73"/>
      <c r="L5479" s="73"/>
      <c r="M5479" s="73"/>
      <c r="N5479" s="73"/>
      <c r="O5479" s="73"/>
      <c r="P5479" s="73"/>
      <c r="Q5479" s="73"/>
      <c r="R5479" s="73"/>
      <c r="S5479" s="73"/>
      <c r="T5479" s="73"/>
      <c r="U5479" s="73"/>
      <c r="V5479" s="73"/>
      <c r="W5479" s="73"/>
      <c r="X5479" s="73"/>
      <c r="Y5479" s="73"/>
      <c r="Z5479" s="73"/>
      <c r="AA5479" s="73"/>
      <c r="AB5479" s="73"/>
    </row>
    <row r="5480">
      <c r="A5480" s="73"/>
      <c r="B5480" s="73">
        <v>4.614377511E7</v>
      </c>
      <c r="C5480" s="73">
        <v>2.39515028647282E9</v>
      </c>
      <c r="D5480" s="73">
        <v>2.19211893324238E9</v>
      </c>
      <c r="E5480" s="73"/>
      <c r="F5480" s="73"/>
      <c r="G5480" s="73"/>
      <c r="H5480" s="73"/>
      <c r="I5480" s="73"/>
      <c r="J5480" s="73"/>
      <c r="K5480" s="73"/>
      <c r="L5480" s="73"/>
      <c r="M5480" s="73"/>
      <c r="N5480" s="73"/>
      <c r="O5480" s="73"/>
      <c r="P5480" s="73"/>
      <c r="Q5480" s="73"/>
      <c r="R5480" s="73"/>
      <c r="S5480" s="73"/>
      <c r="T5480" s="73"/>
      <c r="U5480" s="73"/>
      <c r="V5480" s="73"/>
      <c r="W5480" s="73"/>
      <c r="X5480" s="73"/>
      <c r="Y5480" s="73"/>
      <c r="Z5480" s="73"/>
      <c r="AA5480" s="73"/>
      <c r="AB5480" s="73"/>
    </row>
    <row r="5481">
      <c r="A5481" s="73"/>
      <c r="B5481" s="73">
        <v>4.618516232E7</v>
      </c>
      <c r="C5481" s="73">
        <v>2.39993457749313E9</v>
      </c>
      <c r="D5481" s="73">
        <v>2.19863424046298E9</v>
      </c>
      <c r="E5481" s="73"/>
      <c r="F5481" s="73"/>
      <c r="G5481" s="73"/>
      <c r="H5481" s="73"/>
      <c r="I5481" s="73"/>
      <c r="J5481" s="73"/>
      <c r="K5481" s="73"/>
      <c r="L5481" s="73"/>
      <c r="M5481" s="73"/>
      <c r="N5481" s="73"/>
      <c r="O5481" s="73"/>
      <c r="P5481" s="73"/>
      <c r="Q5481" s="73"/>
      <c r="R5481" s="73"/>
      <c r="S5481" s="73"/>
      <c r="T5481" s="73"/>
      <c r="U5481" s="73"/>
      <c r="V5481" s="73"/>
      <c r="W5481" s="73"/>
      <c r="X5481" s="73"/>
      <c r="Y5481" s="73"/>
      <c r="Z5481" s="73"/>
      <c r="AA5481" s="73"/>
      <c r="AB5481" s="73"/>
    </row>
    <row r="5482">
      <c r="A5482" s="73"/>
      <c r="B5482" s="73">
        <v>4.622657364E7</v>
      </c>
      <c r="C5482" s="73">
        <v>2.40472802213966E9</v>
      </c>
      <c r="D5482" s="73">
        <v>2.20516871682006E9</v>
      </c>
      <c r="E5482" s="73"/>
      <c r="F5482" s="73"/>
      <c r="G5482" s="73"/>
      <c r="H5482" s="73"/>
      <c r="I5482" s="73"/>
      <c r="J5482" s="73"/>
      <c r="K5482" s="73"/>
      <c r="L5482" s="73"/>
      <c r="M5482" s="73"/>
      <c r="N5482" s="73"/>
      <c r="O5482" s="73"/>
      <c r="P5482" s="73"/>
      <c r="Q5482" s="73"/>
      <c r="R5482" s="73"/>
      <c r="S5482" s="73"/>
      <c r="T5482" s="73"/>
      <c r="U5482" s="73"/>
      <c r="V5482" s="73"/>
      <c r="W5482" s="73"/>
      <c r="X5482" s="73"/>
      <c r="Y5482" s="73"/>
      <c r="Z5482" s="73"/>
      <c r="AA5482" s="73"/>
      <c r="AB5482" s="73"/>
    </row>
    <row r="5483">
      <c r="A5483" s="73"/>
      <c r="B5483" s="73">
        <v>4.6268009E7</v>
      </c>
      <c r="C5483" s="73">
        <v>2.40953088336271E9</v>
      </c>
      <c r="D5483" s="73">
        <v>2.21172238960606E9</v>
      </c>
      <c r="E5483" s="73"/>
      <c r="F5483" s="73"/>
      <c r="G5483" s="73"/>
      <c r="H5483" s="73"/>
      <c r="I5483" s="73"/>
      <c r="J5483" s="73"/>
      <c r="K5483" s="73"/>
      <c r="L5483" s="73"/>
      <c r="M5483" s="73"/>
      <c r="N5483" s="73"/>
      <c r="O5483" s="73"/>
      <c r="P5483" s="73"/>
      <c r="Q5483" s="73"/>
      <c r="R5483" s="73"/>
      <c r="S5483" s="73"/>
      <c r="T5483" s="73"/>
      <c r="U5483" s="73"/>
      <c r="V5483" s="73"/>
      <c r="W5483" s="73"/>
      <c r="X5483" s="73"/>
      <c r="Y5483" s="73"/>
      <c r="Z5483" s="73"/>
      <c r="AA5483" s="73"/>
      <c r="AB5483" s="73"/>
    </row>
    <row r="5484">
      <c r="A5484" s="73"/>
      <c r="B5484" s="73">
        <v>4.630946887E7</v>
      </c>
      <c r="C5484" s="73">
        <v>2.41434318824919E9</v>
      </c>
      <c r="D5484" s="73">
        <v>2.21829544884501E9</v>
      </c>
      <c r="E5484" s="73"/>
      <c r="F5484" s="73"/>
      <c r="G5484" s="73"/>
      <c r="H5484" s="73"/>
      <c r="I5484" s="73"/>
      <c r="J5484" s="73"/>
      <c r="K5484" s="73"/>
      <c r="L5484" s="73"/>
      <c r="M5484" s="73"/>
      <c r="N5484" s="73"/>
      <c r="O5484" s="73"/>
      <c r="P5484" s="73"/>
      <c r="Q5484" s="73"/>
      <c r="R5484" s="73"/>
      <c r="S5484" s="73"/>
      <c r="T5484" s="73"/>
      <c r="U5484" s="73"/>
      <c r="V5484" s="73"/>
      <c r="W5484" s="73"/>
      <c r="X5484" s="73"/>
      <c r="Y5484" s="73"/>
      <c r="Z5484" s="73"/>
      <c r="AA5484" s="73"/>
      <c r="AB5484" s="73"/>
    </row>
    <row r="5485">
      <c r="A5485" s="73"/>
      <c r="B5485" s="73">
        <v>4.635095358E7</v>
      </c>
      <c r="C5485" s="73">
        <v>2.41916466670434E9</v>
      </c>
      <c r="D5485" s="73">
        <v>2.22488775550811E9</v>
      </c>
      <c r="E5485" s="73"/>
      <c r="F5485" s="73"/>
      <c r="G5485" s="73"/>
      <c r="H5485" s="73"/>
      <c r="I5485" s="73"/>
      <c r="J5485" s="73"/>
      <c r="K5485" s="73"/>
      <c r="L5485" s="73"/>
      <c r="M5485" s="73"/>
      <c r="N5485" s="73"/>
      <c r="O5485" s="73"/>
      <c r="P5485" s="73"/>
      <c r="Q5485" s="73"/>
      <c r="R5485" s="73"/>
      <c r="S5485" s="73"/>
      <c r="T5485" s="73"/>
      <c r="U5485" s="73"/>
      <c r="V5485" s="73"/>
      <c r="W5485" s="73"/>
      <c r="X5485" s="73"/>
      <c r="Y5485" s="73"/>
      <c r="Z5485" s="73"/>
      <c r="AA5485" s="73"/>
      <c r="AB5485" s="73"/>
    </row>
    <row r="5486">
      <c r="A5486" s="73"/>
      <c r="B5486" s="73">
        <v>4.639246103E7</v>
      </c>
      <c r="C5486" s="73">
        <v>2.42399587997092E9</v>
      </c>
      <c r="D5486" s="73">
        <v>2.2314992384572E9</v>
      </c>
      <c r="E5486" s="73"/>
      <c r="F5486" s="73"/>
      <c r="G5486" s="73"/>
      <c r="H5486" s="73"/>
      <c r="I5486" s="73"/>
      <c r="J5486" s="73"/>
      <c r="K5486" s="73"/>
      <c r="L5486" s="73"/>
      <c r="M5486" s="73"/>
      <c r="N5486" s="73"/>
      <c r="O5486" s="73"/>
      <c r="P5486" s="73"/>
      <c r="Q5486" s="73"/>
      <c r="R5486" s="73"/>
      <c r="S5486" s="73"/>
      <c r="T5486" s="73"/>
      <c r="U5486" s="73"/>
      <c r="V5486" s="73"/>
      <c r="W5486" s="73"/>
      <c r="X5486" s="73"/>
      <c r="Y5486" s="73"/>
      <c r="Z5486" s="73"/>
      <c r="AA5486" s="73"/>
      <c r="AB5486" s="73"/>
    </row>
    <row r="5487">
      <c r="A5487" s="73"/>
      <c r="B5487" s="73">
        <v>4.643399393E7</v>
      </c>
      <c r="C5487" s="73">
        <v>2.42883628616142E9</v>
      </c>
      <c r="D5487" s="73">
        <v>2.23813028064932E9</v>
      </c>
      <c r="E5487" s="73"/>
      <c r="F5487" s="73"/>
      <c r="G5487" s="73"/>
      <c r="H5487" s="73"/>
      <c r="I5487" s="73"/>
      <c r="J5487" s="73"/>
      <c r="K5487" s="73"/>
      <c r="L5487" s="73"/>
      <c r="M5487" s="73"/>
      <c r="N5487" s="73"/>
      <c r="O5487" s="73"/>
      <c r="P5487" s="73"/>
      <c r="Q5487" s="73"/>
      <c r="R5487" s="73"/>
      <c r="S5487" s="73"/>
      <c r="T5487" s="73"/>
      <c r="U5487" s="73"/>
      <c r="V5487" s="73"/>
      <c r="W5487" s="73"/>
      <c r="X5487" s="73"/>
      <c r="Y5487" s="73"/>
      <c r="Z5487" s="73"/>
      <c r="AA5487" s="73"/>
      <c r="AB5487" s="73"/>
    </row>
    <row r="5488">
      <c r="A5488" s="73"/>
      <c r="B5488" s="73">
        <v>4.647554993E7</v>
      </c>
      <c r="C5488" s="73">
        <v>2.43368617446564E9</v>
      </c>
      <c r="D5488" s="73">
        <v>2.24478071609045E9</v>
      </c>
      <c r="E5488" s="73"/>
      <c r="F5488" s="73"/>
      <c r="G5488" s="73"/>
      <c r="H5488" s="73"/>
      <c r="I5488" s="73"/>
      <c r="J5488" s="73"/>
      <c r="K5488" s="73"/>
      <c r="L5488" s="73"/>
      <c r="M5488" s="73"/>
      <c r="N5488" s="73"/>
      <c r="O5488" s="73"/>
      <c r="P5488" s="73"/>
      <c r="Q5488" s="73"/>
      <c r="R5488" s="73"/>
      <c r="S5488" s="73"/>
      <c r="T5488" s="73"/>
      <c r="U5488" s="73"/>
      <c r="V5488" s="73"/>
      <c r="W5488" s="73"/>
      <c r="X5488" s="73"/>
      <c r="Y5488" s="73"/>
      <c r="Z5488" s="73"/>
      <c r="AA5488" s="73"/>
      <c r="AB5488" s="73"/>
    </row>
    <row r="5489">
      <c r="A5489" s="73"/>
      <c r="B5489" s="73">
        <v>4.651713042E7</v>
      </c>
      <c r="C5489" s="73">
        <v>2.43854554781737E9</v>
      </c>
      <c r="D5489" s="73">
        <v>2.25145056986007E9</v>
      </c>
      <c r="E5489" s="73"/>
      <c r="F5489" s="73"/>
      <c r="G5489" s="73"/>
      <c r="H5489" s="73"/>
      <c r="I5489" s="73"/>
      <c r="J5489" s="73"/>
      <c r="K5489" s="73"/>
      <c r="L5489" s="73"/>
      <c r="M5489" s="73"/>
      <c r="N5489" s="73"/>
      <c r="O5489" s="73"/>
      <c r="P5489" s="73"/>
      <c r="Q5489" s="73"/>
      <c r="R5489" s="73"/>
      <c r="S5489" s="73"/>
      <c r="T5489" s="73"/>
      <c r="U5489" s="73"/>
      <c r="V5489" s="73"/>
      <c r="W5489" s="73"/>
      <c r="X5489" s="73"/>
      <c r="Y5489" s="73"/>
      <c r="Z5489" s="73"/>
      <c r="AA5489" s="73"/>
      <c r="AB5489" s="73"/>
    </row>
    <row r="5490">
      <c r="A5490" s="73"/>
      <c r="B5490" s="73">
        <v>4.655873557E7</v>
      </c>
      <c r="C5490" s="73">
        <v>2.44341442294511E9</v>
      </c>
      <c r="D5490" s="73">
        <v>2.258140060803E9</v>
      </c>
      <c r="E5490" s="73"/>
      <c r="F5490" s="73"/>
      <c r="G5490" s="73"/>
      <c r="H5490" s="73"/>
      <c r="I5490" s="73"/>
      <c r="J5490" s="73"/>
      <c r="K5490" s="73"/>
      <c r="L5490" s="73"/>
      <c r="M5490" s="73"/>
      <c r="N5490" s="73"/>
      <c r="O5490" s="73"/>
      <c r="P5490" s="73"/>
      <c r="Q5490" s="73"/>
      <c r="R5490" s="73"/>
      <c r="S5490" s="73"/>
      <c r="T5490" s="73"/>
      <c r="U5490" s="73"/>
      <c r="V5490" s="73"/>
      <c r="W5490" s="73"/>
      <c r="X5490" s="73"/>
      <c r="Y5490" s="73"/>
      <c r="Z5490" s="73"/>
      <c r="AA5490" s="73"/>
      <c r="AB5490" s="73"/>
    </row>
    <row r="5491">
      <c r="A5491" s="73"/>
      <c r="B5491" s="73">
        <v>4.660036344E7</v>
      </c>
      <c r="C5491" s="73">
        <v>2.44829308380441E9</v>
      </c>
      <c r="D5491" s="73">
        <v>2.26484901954848E9</v>
      </c>
      <c r="E5491" s="73"/>
      <c r="F5491" s="73"/>
      <c r="G5491" s="73"/>
      <c r="H5491" s="73"/>
      <c r="I5491" s="73"/>
      <c r="J5491" s="73"/>
      <c r="K5491" s="73"/>
      <c r="L5491" s="73"/>
      <c r="M5491" s="73"/>
      <c r="N5491" s="73"/>
      <c r="O5491" s="73"/>
      <c r="P5491" s="73"/>
      <c r="Q5491" s="73"/>
      <c r="R5491" s="73"/>
      <c r="S5491" s="73"/>
      <c r="T5491" s="73"/>
      <c r="U5491" s="73"/>
      <c r="V5491" s="73"/>
      <c r="W5491" s="73"/>
      <c r="X5491" s="73"/>
      <c r="Y5491" s="73"/>
      <c r="Z5491" s="73"/>
      <c r="AA5491" s="73"/>
      <c r="AB5491" s="73"/>
    </row>
    <row r="5492">
      <c r="A5492" s="73"/>
      <c r="B5492" s="73">
        <v>4.664201738E7</v>
      </c>
      <c r="C5492" s="73">
        <v>2.45318071099294E9</v>
      </c>
      <c r="D5492" s="73">
        <v>2.27157773752347E9</v>
      </c>
      <c r="E5492" s="73"/>
      <c r="F5492" s="73"/>
      <c r="G5492" s="73"/>
      <c r="H5492" s="73"/>
      <c r="I5492" s="73"/>
      <c r="J5492" s="73"/>
      <c r="K5492" s="73"/>
      <c r="L5492" s="73"/>
      <c r="M5492" s="73"/>
      <c r="N5492" s="73"/>
      <c r="O5492" s="73"/>
      <c r="P5492" s="73"/>
      <c r="Q5492" s="73"/>
      <c r="R5492" s="73"/>
      <c r="S5492" s="73"/>
      <c r="T5492" s="73"/>
      <c r="U5492" s="73"/>
      <c r="V5492" s="73"/>
      <c r="W5492" s="73"/>
      <c r="X5492" s="73"/>
      <c r="Y5492" s="73"/>
      <c r="Z5492" s="73"/>
      <c r="AA5492" s="73"/>
      <c r="AB5492" s="73"/>
    </row>
    <row r="5493">
      <c r="A5493" s="73"/>
      <c r="B5493" s="73">
        <v>4.668369372E7</v>
      </c>
      <c r="C5493" s="73">
        <v>2.45807813807005E9</v>
      </c>
      <c r="D5493" s="73">
        <v>2.27832623898247E9</v>
      </c>
      <c r="E5493" s="73"/>
      <c r="F5493" s="73"/>
      <c r="G5493" s="73"/>
      <c r="H5493" s="73"/>
      <c r="I5493" s="73"/>
      <c r="J5493" s="73"/>
      <c r="K5493" s="73"/>
      <c r="L5493" s="73"/>
      <c r="M5493" s="73"/>
      <c r="N5493" s="73"/>
      <c r="O5493" s="73"/>
      <c r="P5493" s="73"/>
      <c r="Q5493" s="73"/>
      <c r="R5493" s="73"/>
      <c r="S5493" s="73"/>
      <c r="T5493" s="73"/>
      <c r="U5493" s="73"/>
      <c r="V5493" s="73"/>
      <c r="W5493" s="73"/>
      <c r="X5493" s="73"/>
      <c r="Y5493" s="73"/>
      <c r="Z5493" s="73"/>
      <c r="AA5493" s="73"/>
      <c r="AB5493" s="73"/>
    </row>
    <row r="5494">
      <c r="A5494" s="73"/>
      <c r="B5494" s="73">
        <v>4.672539525E7</v>
      </c>
      <c r="C5494" s="73">
        <v>2.46298538719622E9</v>
      </c>
      <c r="D5494" s="73">
        <v>2.28509471839413E9</v>
      </c>
      <c r="E5494" s="73"/>
      <c r="F5494" s="73"/>
      <c r="G5494" s="73"/>
      <c r="H5494" s="73"/>
      <c r="I5494" s="73"/>
      <c r="J5494" s="73"/>
      <c r="K5494" s="73"/>
      <c r="L5494" s="73"/>
      <c r="M5494" s="73"/>
      <c r="N5494" s="73"/>
      <c r="O5494" s="73"/>
      <c r="P5494" s="73"/>
      <c r="Q5494" s="73"/>
      <c r="R5494" s="73"/>
      <c r="S5494" s="73"/>
      <c r="T5494" s="73"/>
      <c r="U5494" s="73"/>
      <c r="V5494" s="73"/>
      <c r="W5494" s="73"/>
      <c r="X5494" s="73"/>
      <c r="Y5494" s="73"/>
      <c r="Z5494" s="73"/>
      <c r="AA5494" s="73"/>
      <c r="AB5494" s="73"/>
    </row>
    <row r="5495">
      <c r="A5495" s="73"/>
      <c r="B5495" s="73">
        <v>4.676712122E7</v>
      </c>
      <c r="C5495" s="73">
        <v>2.46790218236234E9</v>
      </c>
      <c r="D5495" s="73">
        <v>2.29188303563734E9</v>
      </c>
      <c r="E5495" s="73"/>
      <c r="F5495" s="73"/>
      <c r="G5495" s="73"/>
      <c r="H5495" s="73"/>
      <c r="I5495" s="73"/>
      <c r="J5495" s="73"/>
      <c r="K5495" s="73"/>
      <c r="L5495" s="73"/>
      <c r="M5495" s="73"/>
      <c r="N5495" s="73"/>
      <c r="O5495" s="73"/>
      <c r="P5495" s="73"/>
      <c r="Q5495" s="73"/>
      <c r="R5495" s="73"/>
      <c r="S5495" s="73"/>
      <c r="T5495" s="73"/>
      <c r="U5495" s="73"/>
      <c r="V5495" s="73"/>
      <c r="W5495" s="73"/>
      <c r="X5495" s="73"/>
      <c r="Y5495" s="73"/>
      <c r="Z5495" s="73"/>
      <c r="AA5495" s="73"/>
      <c r="AB5495" s="73"/>
    </row>
    <row r="5496">
      <c r="A5496" s="73"/>
      <c r="B5496" s="73">
        <v>4.680887053E7</v>
      </c>
      <c r="C5496" s="73">
        <v>2.47282798107766E9</v>
      </c>
      <c r="D5496" s="73">
        <v>2.29869094718337E9</v>
      </c>
      <c r="E5496" s="73"/>
      <c r="F5496" s="73"/>
      <c r="G5496" s="73"/>
      <c r="H5496" s="73"/>
      <c r="I5496" s="73"/>
      <c r="J5496" s="73"/>
      <c r="K5496" s="73"/>
      <c r="L5496" s="73"/>
      <c r="M5496" s="73"/>
      <c r="N5496" s="73"/>
      <c r="O5496" s="73"/>
      <c r="P5496" s="73"/>
      <c r="Q5496" s="73"/>
      <c r="R5496" s="73"/>
      <c r="S5496" s="73"/>
      <c r="T5496" s="73"/>
      <c r="U5496" s="73"/>
      <c r="V5496" s="73"/>
      <c r="W5496" s="73"/>
      <c r="X5496" s="73"/>
      <c r="Y5496" s="73"/>
      <c r="Z5496" s="73"/>
      <c r="AA5496" s="73"/>
      <c r="AB5496" s="73"/>
    </row>
    <row r="5497">
      <c r="A5497" s="73"/>
      <c r="B5497" s="73">
        <v>4.685064513E7</v>
      </c>
      <c r="C5497" s="73">
        <v>2.47776390761777E9</v>
      </c>
      <c r="D5497" s="73">
        <v>2.30551891543601E9</v>
      </c>
      <c r="E5497" s="73"/>
      <c r="F5497" s="73"/>
      <c r="G5497" s="73"/>
      <c r="H5497" s="73"/>
      <c r="I5497" s="73"/>
      <c r="J5497" s="73"/>
      <c r="K5497" s="73"/>
      <c r="L5497" s="73"/>
      <c r="M5497" s="73"/>
      <c r="N5497" s="73"/>
      <c r="O5497" s="73"/>
      <c r="P5497" s="73"/>
      <c r="Q5497" s="73"/>
      <c r="R5497" s="73"/>
      <c r="S5497" s="73"/>
      <c r="T5497" s="73"/>
      <c r="U5497" s="73"/>
      <c r="V5497" s="73"/>
      <c r="W5497" s="73"/>
      <c r="X5497" s="73"/>
      <c r="Y5497" s="73"/>
      <c r="Z5497" s="73"/>
      <c r="AA5497" s="73"/>
      <c r="AB5497" s="73"/>
    </row>
    <row r="5498">
      <c r="A5498" s="73"/>
      <c r="B5498" s="73">
        <v>4.689244399E7</v>
      </c>
      <c r="C5498" s="73">
        <v>2.48270913307467E9</v>
      </c>
      <c r="D5498" s="73">
        <v>2.312366964896E9</v>
      </c>
      <c r="E5498" s="73"/>
      <c r="F5498" s="73"/>
      <c r="G5498" s="73"/>
      <c r="H5498" s="73"/>
      <c r="I5498" s="73"/>
      <c r="J5498" s="73"/>
      <c r="K5498" s="73"/>
      <c r="L5498" s="73"/>
      <c r="M5498" s="73"/>
      <c r="N5498" s="73"/>
      <c r="O5498" s="73"/>
      <c r="P5498" s="73"/>
      <c r="Q5498" s="73"/>
      <c r="R5498" s="73"/>
      <c r="S5498" s="73"/>
      <c r="T5498" s="73"/>
      <c r="U5498" s="73"/>
      <c r="V5498" s="73"/>
      <c r="W5498" s="73"/>
      <c r="X5498" s="73"/>
      <c r="Y5498" s="73"/>
      <c r="Z5498" s="73"/>
      <c r="AA5498" s="73"/>
      <c r="AB5498" s="73"/>
    </row>
    <row r="5499">
      <c r="A5499" s="73"/>
      <c r="B5499" s="73">
        <v>4.693426534E7</v>
      </c>
      <c r="C5499" s="73">
        <v>2.48766422591406E9</v>
      </c>
      <c r="D5499" s="73">
        <v>2.3192351240661E9</v>
      </c>
      <c r="E5499" s="73"/>
      <c r="F5499" s="73"/>
      <c r="G5499" s="73"/>
      <c r="H5499" s="73"/>
      <c r="I5499" s="73"/>
      <c r="J5499" s="73"/>
      <c r="K5499" s="73"/>
      <c r="L5499" s="73"/>
      <c r="M5499" s="73"/>
      <c r="N5499" s="73"/>
      <c r="O5499" s="73"/>
      <c r="P5499" s="73"/>
      <c r="Q5499" s="73"/>
      <c r="R5499" s="73"/>
      <c r="S5499" s="73"/>
      <c r="T5499" s="73"/>
      <c r="U5499" s="73"/>
      <c r="V5499" s="73"/>
      <c r="W5499" s="73"/>
      <c r="X5499" s="73"/>
      <c r="Y5499" s="73"/>
      <c r="Z5499" s="73"/>
      <c r="AA5499" s="73"/>
      <c r="AB5499" s="73"/>
    </row>
    <row r="5500">
      <c r="A5500" s="73"/>
      <c r="B5500" s="73">
        <v>4.697611255E7</v>
      </c>
      <c r="C5500" s="73">
        <v>2.49262891887712E9</v>
      </c>
      <c r="D5500" s="73">
        <v>2.3261233152555E9</v>
      </c>
      <c r="E5500" s="73"/>
      <c r="F5500" s="73"/>
      <c r="G5500" s="73"/>
      <c r="H5500" s="73"/>
      <c r="I5500" s="73"/>
      <c r="J5500" s="73"/>
      <c r="K5500" s="73"/>
      <c r="L5500" s="73"/>
      <c r="M5500" s="73"/>
      <c r="N5500" s="73"/>
      <c r="O5500" s="73"/>
      <c r="P5500" s="73"/>
      <c r="Q5500" s="73"/>
      <c r="R5500" s="73"/>
      <c r="S5500" s="73"/>
      <c r="T5500" s="73"/>
      <c r="U5500" s="73"/>
      <c r="V5500" s="73"/>
      <c r="W5500" s="73"/>
      <c r="X5500" s="73"/>
      <c r="Y5500" s="73"/>
      <c r="Z5500" s="73"/>
      <c r="AA5500" s="73"/>
      <c r="AB5500" s="73"/>
    </row>
    <row r="5501">
      <c r="A5501" s="73"/>
      <c r="B5501" s="73">
        <v>4.70179826E7</v>
      </c>
      <c r="C5501" s="73">
        <v>2.49760322157595E9</v>
      </c>
      <c r="D5501" s="73">
        <v>2.33303149889235E9</v>
      </c>
      <c r="E5501" s="73"/>
      <c r="F5501" s="73"/>
      <c r="G5501" s="73"/>
      <c r="H5501" s="73"/>
      <c r="I5501" s="73"/>
      <c r="J5501" s="73"/>
      <c r="K5501" s="73"/>
      <c r="L5501" s="73"/>
      <c r="M5501" s="73"/>
      <c r="N5501" s="73"/>
      <c r="O5501" s="73"/>
      <c r="P5501" s="73"/>
      <c r="Q5501" s="73"/>
      <c r="R5501" s="73"/>
      <c r="S5501" s="73"/>
      <c r="T5501" s="73"/>
      <c r="U5501" s="73"/>
      <c r="V5501" s="73"/>
      <c r="W5501" s="73"/>
      <c r="X5501" s="73"/>
      <c r="Y5501" s="73"/>
      <c r="Z5501" s="73"/>
      <c r="AA5501" s="73"/>
      <c r="AB5501" s="73"/>
    </row>
    <row r="5502">
      <c r="A5502" s="73"/>
      <c r="B5502" s="73">
        <v>4.705987792E7</v>
      </c>
      <c r="C5502" s="73">
        <v>2.5025874225764E9</v>
      </c>
      <c r="D5502" s="73">
        <v>2.33996047776919E9</v>
      </c>
      <c r="E5502" s="73"/>
      <c r="F5502" s="73"/>
      <c r="G5502" s="73"/>
      <c r="H5502" s="73"/>
      <c r="I5502" s="73"/>
      <c r="J5502" s="73"/>
      <c r="K5502" s="73"/>
      <c r="L5502" s="73"/>
      <c r="M5502" s="73"/>
      <c r="N5502" s="73"/>
      <c r="O5502" s="73"/>
      <c r="P5502" s="73"/>
      <c r="Q5502" s="73"/>
      <c r="R5502" s="73"/>
      <c r="S5502" s="73"/>
      <c r="T5502" s="73"/>
      <c r="U5502" s="73"/>
      <c r="V5502" s="73"/>
      <c r="W5502" s="73"/>
      <c r="X5502" s="73"/>
      <c r="Y5502" s="73"/>
      <c r="Z5502" s="73"/>
      <c r="AA5502" s="73"/>
      <c r="AB5502" s="73"/>
    </row>
    <row r="5503">
      <c r="A5503" s="73"/>
      <c r="B5503" s="73">
        <v>4.710179672E7</v>
      </c>
      <c r="C5503" s="73">
        <v>2.50758153275343E9</v>
      </c>
      <c r="D5503" s="73">
        <v>2.34690929683234E9</v>
      </c>
      <c r="E5503" s="73"/>
      <c r="F5503" s="73"/>
      <c r="G5503" s="73"/>
      <c r="H5503" s="73"/>
      <c r="I5503" s="73"/>
      <c r="J5503" s="73"/>
      <c r="K5503" s="73"/>
      <c r="L5503" s="73"/>
      <c r="M5503" s="73"/>
      <c r="N5503" s="73"/>
      <c r="O5503" s="73"/>
      <c r="P5503" s="73"/>
      <c r="Q5503" s="73"/>
      <c r="R5503" s="73"/>
      <c r="S5503" s="73"/>
      <c r="T5503" s="73"/>
      <c r="U5503" s="73"/>
      <c r="V5503" s="73"/>
      <c r="W5503" s="73"/>
      <c r="X5503" s="73"/>
      <c r="Y5503" s="73"/>
      <c r="Z5503" s="73"/>
      <c r="AA5503" s="73"/>
      <c r="AB5503" s="73"/>
    </row>
    <row r="5504">
      <c r="A5504" s="73"/>
      <c r="B5504" s="73">
        <v>4.714374027E7</v>
      </c>
      <c r="C5504" s="73">
        <v>2.51258472113486E9</v>
      </c>
      <c r="D5504" s="73">
        <v>2.353878626322E9</v>
      </c>
      <c r="E5504" s="73"/>
      <c r="F5504" s="73"/>
      <c r="G5504" s="73"/>
      <c r="H5504" s="73"/>
      <c r="I5504" s="73"/>
      <c r="J5504" s="73"/>
      <c r="K5504" s="73"/>
      <c r="L5504" s="73"/>
      <c r="M5504" s="73"/>
      <c r="N5504" s="73"/>
      <c r="O5504" s="73"/>
      <c r="P5504" s="73"/>
      <c r="Q5504" s="73"/>
      <c r="R5504" s="73"/>
      <c r="S5504" s="73"/>
      <c r="T5504" s="73"/>
      <c r="U5504" s="73"/>
      <c r="V5504" s="73"/>
      <c r="W5504" s="73"/>
      <c r="X5504" s="73"/>
      <c r="Y5504" s="73"/>
      <c r="Z5504" s="73"/>
      <c r="AA5504" s="73"/>
      <c r="AB5504" s="73"/>
    </row>
    <row r="5505">
      <c r="A5505" s="73"/>
      <c r="B5505" s="73">
        <v>4.71857075E7</v>
      </c>
      <c r="C5505" s="73">
        <v>2.51759812092689E9</v>
      </c>
      <c r="D5505" s="73">
        <v>2.36086873087083E9</v>
      </c>
      <c r="E5505" s="73"/>
      <c r="F5505" s="73"/>
      <c r="G5505" s="73"/>
      <c r="H5505" s="73"/>
      <c r="I5505" s="73"/>
      <c r="J5505" s="73"/>
      <c r="K5505" s="73"/>
      <c r="L5505" s="73"/>
      <c r="M5505" s="73"/>
      <c r="N5505" s="73"/>
      <c r="O5505" s="73"/>
      <c r="P5505" s="73"/>
      <c r="Q5505" s="73"/>
      <c r="R5505" s="73"/>
      <c r="S5505" s="73"/>
      <c r="T5505" s="73"/>
      <c r="U5505" s="73"/>
      <c r="V5505" s="73"/>
      <c r="W5505" s="73"/>
      <c r="X5505" s="73"/>
      <c r="Y5505" s="73"/>
      <c r="Z5505" s="73"/>
      <c r="AA5505" s="73"/>
      <c r="AB5505" s="73"/>
    </row>
    <row r="5506">
      <c r="A5506" s="73"/>
      <c r="B5506" s="73">
        <v>4.722769891E7</v>
      </c>
      <c r="C5506" s="73">
        <v>2.52262118025565E9</v>
      </c>
      <c r="D5506" s="73">
        <v>2.36787885481181E9</v>
      </c>
      <c r="E5506" s="73"/>
      <c r="F5506" s="73"/>
      <c r="G5506" s="73"/>
      <c r="H5506" s="73"/>
      <c r="I5506" s="73"/>
      <c r="J5506" s="73"/>
      <c r="K5506" s="73"/>
      <c r="L5506" s="73"/>
      <c r="M5506" s="73"/>
      <c r="N5506" s="73"/>
      <c r="O5506" s="73"/>
      <c r="P5506" s="73"/>
      <c r="Q5506" s="73"/>
      <c r="R5506" s="73"/>
      <c r="S5506" s="73"/>
      <c r="T5506" s="73"/>
      <c r="U5506" s="73"/>
      <c r="V5506" s="73"/>
      <c r="W5506" s="73"/>
      <c r="X5506" s="73"/>
      <c r="Y5506" s="73"/>
      <c r="Z5506" s="73"/>
      <c r="AA5506" s="73"/>
      <c r="AB5506" s="73"/>
    </row>
    <row r="5507">
      <c r="A5507" s="73"/>
      <c r="B5507" s="73">
        <v>4.726971469E7</v>
      </c>
      <c r="C5507" s="73">
        <v>2.52765390710931E9</v>
      </c>
      <c r="D5507" s="73">
        <v>2.37490963615728E9</v>
      </c>
      <c r="E5507" s="73"/>
      <c r="F5507" s="73"/>
      <c r="G5507" s="73"/>
      <c r="H5507" s="73"/>
      <c r="I5507" s="73"/>
      <c r="J5507" s="73"/>
      <c r="K5507" s="73"/>
      <c r="L5507" s="73"/>
      <c r="M5507" s="73"/>
      <c r="N5507" s="73"/>
      <c r="O5507" s="73"/>
      <c r="P5507" s="73"/>
      <c r="Q5507" s="73"/>
      <c r="R5507" s="73"/>
      <c r="S5507" s="73"/>
      <c r="T5507" s="73"/>
      <c r="U5507" s="73"/>
      <c r="V5507" s="73"/>
      <c r="W5507" s="73"/>
      <c r="X5507" s="73"/>
      <c r="Y5507" s="73"/>
      <c r="Z5507" s="73"/>
      <c r="AA5507" s="73"/>
      <c r="AB5507" s="73"/>
    </row>
    <row r="5508">
      <c r="A5508" s="73"/>
      <c r="B5508" s="73">
        <v>4.731175421E7</v>
      </c>
      <c r="C5508" s="73">
        <v>2.53269659618268E9</v>
      </c>
      <c r="D5508" s="73">
        <v>2.38196110225692E9</v>
      </c>
      <c r="E5508" s="73"/>
      <c r="F5508" s="73"/>
      <c r="G5508" s="73"/>
      <c r="H5508" s="73"/>
      <c r="I5508" s="73"/>
      <c r="J5508" s="73"/>
      <c r="K5508" s="73"/>
      <c r="L5508" s="73"/>
      <c r="M5508" s="73"/>
      <c r="N5508" s="73"/>
      <c r="O5508" s="73"/>
      <c r="P5508" s="73"/>
      <c r="Q5508" s="73"/>
      <c r="R5508" s="73"/>
      <c r="S5508" s="73"/>
      <c r="T5508" s="73"/>
      <c r="U5508" s="73"/>
      <c r="V5508" s="73"/>
      <c r="W5508" s="73"/>
      <c r="X5508" s="73"/>
      <c r="Y5508" s="73"/>
      <c r="Z5508" s="73"/>
      <c r="AA5508" s="73"/>
      <c r="AB5508" s="73"/>
    </row>
    <row r="5509">
      <c r="A5509" s="73"/>
      <c r="B5509" s="73">
        <v>4.73538199E7</v>
      </c>
      <c r="C5509" s="73">
        <v>2.5377492564568E9</v>
      </c>
      <c r="D5509" s="73">
        <v>2.38903300514923E9</v>
      </c>
      <c r="E5509" s="73"/>
      <c r="F5509" s="73"/>
      <c r="G5509" s="73"/>
      <c r="H5509" s="73"/>
      <c r="I5509" s="73"/>
      <c r="J5509" s="73"/>
      <c r="K5509" s="73"/>
      <c r="L5509" s="73"/>
      <c r="M5509" s="73"/>
      <c r="N5509" s="73"/>
      <c r="O5509" s="73"/>
      <c r="P5509" s="73"/>
      <c r="Q5509" s="73"/>
      <c r="R5509" s="73"/>
      <c r="S5509" s="73"/>
      <c r="T5509" s="73"/>
      <c r="U5509" s="73"/>
      <c r="V5509" s="73"/>
      <c r="W5509" s="73"/>
      <c r="X5509" s="73"/>
      <c r="Y5509" s="73"/>
      <c r="Z5509" s="73"/>
      <c r="AA5509" s="73"/>
      <c r="AB5509" s="73"/>
    </row>
    <row r="5510">
      <c r="A5510" s="73"/>
      <c r="B5510" s="73">
        <v>4.739590797E7</v>
      </c>
      <c r="C5510" s="73">
        <v>2.54281161653695E9</v>
      </c>
      <c r="D5510" s="73">
        <v>2.39612609083145E9</v>
      </c>
      <c r="E5510" s="73"/>
      <c r="F5510" s="73"/>
      <c r="G5510" s="73"/>
      <c r="H5510" s="73"/>
      <c r="I5510" s="73"/>
      <c r="J5510" s="73"/>
      <c r="K5510" s="73"/>
      <c r="L5510" s="73"/>
      <c r="M5510" s="73"/>
      <c r="N5510" s="73"/>
      <c r="O5510" s="73"/>
      <c r="P5510" s="73"/>
      <c r="Q5510" s="73"/>
      <c r="R5510" s="73"/>
      <c r="S5510" s="73"/>
      <c r="T5510" s="73"/>
      <c r="U5510" s="73"/>
      <c r="V5510" s="73"/>
      <c r="W5510" s="73"/>
      <c r="X5510" s="73"/>
      <c r="Y5510" s="73"/>
      <c r="Z5510" s="73"/>
      <c r="AA5510" s="73"/>
      <c r="AB5510" s="73"/>
    </row>
    <row r="5511">
      <c r="A5511" s="73"/>
      <c r="B5511" s="73">
        <v>4.74380212E7</v>
      </c>
      <c r="C5511" s="73">
        <v>2.5478836860805E9</v>
      </c>
      <c r="D5511" s="73">
        <v>2.40323949664554E9</v>
      </c>
      <c r="E5511" s="73"/>
      <c r="F5511" s="73"/>
      <c r="G5511" s="73"/>
      <c r="H5511" s="73"/>
      <c r="I5511" s="73"/>
      <c r="J5511" s="73"/>
      <c r="K5511" s="73"/>
      <c r="L5511" s="73"/>
      <c r="M5511" s="73"/>
      <c r="N5511" s="73"/>
      <c r="O5511" s="73"/>
      <c r="P5511" s="73"/>
      <c r="Q5511" s="73"/>
      <c r="R5511" s="73"/>
      <c r="S5511" s="73"/>
      <c r="T5511" s="73"/>
      <c r="U5511" s="73"/>
      <c r="V5511" s="73"/>
      <c r="W5511" s="73"/>
      <c r="X5511" s="73"/>
      <c r="Y5511" s="73"/>
      <c r="Z5511" s="73"/>
      <c r="AA5511" s="73"/>
      <c r="AB5511" s="73"/>
    </row>
    <row r="5512">
      <c r="A5512" s="73"/>
      <c r="B5512" s="73">
        <v>4.748015842E7</v>
      </c>
      <c r="C5512" s="73">
        <v>2.55296604130894E9</v>
      </c>
      <c r="D5512" s="73">
        <v>2.41037403437061E9</v>
      </c>
      <c r="E5512" s="73"/>
      <c r="F5512" s="73"/>
      <c r="G5512" s="73"/>
      <c r="H5512" s="73"/>
      <c r="I5512" s="73"/>
      <c r="J5512" s="73"/>
      <c r="K5512" s="73"/>
      <c r="L5512" s="73"/>
      <c r="M5512" s="73"/>
      <c r="N5512" s="73"/>
      <c r="O5512" s="73"/>
      <c r="P5512" s="73"/>
      <c r="Q5512" s="73"/>
      <c r="R5512" s="73"/>
      <c r="S5512" s="73"/>
      <c r="T5512" s="73"/>
      <c r="U5512" s="73"/>
      <c r="V5512" s="73"/>
      <c r="W5512" s="73"/>
      <c r="X5512" s="73"/>
      <c r="Y5512" s="73"/>
      <c r="Z5512" s="73"/>
      <c r="AA5512" s="73"/>
      <c r="AB5512" s="73"/>
    </row>
    <row r="5513">
      <c r="A5513" s="73"/>
      <c r="B5513" s="73">
        <v>4.752232016E7</v>
      </c>
      <c r="C5513" s="73">
        <v>2.55805784286885E9</v>
      </c>
      <c r="D5513" s="73">
        <v>2.41752939033063E9</v>
      </c>
      <c r="E5513" s="73"/>
      <c r="F5513" s="73"/>
      <c r="G5513" s="73"/>
      <c r="H5513" s="73"/>
      <c r="I5513" s="73"/>
      <c r="J5513" s="73"/>
      <c r="K5513" s="73"/>
      <c r="L5513" s="73"/>
      <c r="M5513" s="73"/>
      <c r="N5513" s="73"/>
      <c r="O5513" s="73"/>
      <c r="P5513" s="73"/>
      <c r="Q5513" s="73"/>
      <c r="R5513" s="73"/>
      <c r="S5513" s="73"/>
      <c r="T5513" s="73"/>
      <c r="U5513" s="73"/>
      <c r="V5513" s="73"/>
      <c r="W5513" s="73"/>
      <c r="X5513" s="73"/>
      <c r="Y5513" s="73"/>
      <c r="Z5513" s="73"/>
      <c r="AA5513" s="73"/>
      <c r="AB5513" s="73"/>
    </row>
    <row r="5514">
      <c r="A5514" s="73"/>
      <c r="B5514" s="73">
        <v>4.756450461E7</v>
      </c>
      <c r="C5514" s="73">
        <v>2.56315995119291E9</v>
      </c>
      <c r="D5514" s="73">
        <v>2.42470593376385E9</v>
      </c>
      <c r="E5514" s="73"/>
      <c r="F5514" s="73"/>
      <c r="G5514" s="73"/>
      <c r="H5514" s="73"/>
      <c r="I5514" s="73"/>
      <c r="J5514" s="73"/>
      <c r="K5514" s="73"/>
      <c r="L5514" s="73"/>
      <c r="M5514" s="73"/>
      <c r="N5514" s="73"/>
      <c r="O5514" s="73"/>
      <c r="P5514" s="73"/>
      <c r="Q5514" s="73"/>
      <c r="R5514" s="73"/>
      <c r="S5514" s="73"/>
      <c r="T5514" s="73"/>
      <c r="U5514" s="73"/>
      <c r="V5514" s="73"/>
      <c r="W5514" s="73"/>
      <c r="X5514" s="73"/>
      <c r="Y5514" s="73"/>
      <c r="Z5514" s="73"/>
      <c r="AA5514" s="73"/>
      <c r="AB5514" s="73"/>
    </row>
    <row r="5515">
      <c r="A5515" s="73"/>
      <c r="B5515" s="73">
        <v>4.760671538E7</v>
      </c>
      <c r="C5515" s="73">
        <v>2.56827180963231E9</v>
      </c>
      <c r="D5515" s="73">
        <v>2.43190307339487E9</v>
      </c>
      <c r="E5515" s="73"/>
      <c r="F5515" s="73"/>
      <c r="G5515" s="73"/>
      <c r="H5515" s="73"/>
      <c r="I5515" s="73"/>
      <c r="J5515" s="73"/>
      <c r="K5515" s="73"/>
      <c r="L5515" s="73"/>
      <c r="M5515" s="73"/>
      <c r="N5515" s="73"/>
      <c r="O5515" s="73"/>
      <c r="P5515" s="73"/>
      <c r="Q5515" s="73"/>
      <c r="R5515" s="73"/>
      <c r="S5515" s="73"/>
      <c r="T5515" s="73"/>
      <c r="U5515" s="73"/>
      <c r="V5515" s="73"/>
      <c r="W5515" s="73"/>
      <c r="X5515" s="73"/>
      <c r="Y5515" s="73"/>
      <c r="Z5515" s="73"/>
      <c r="AA5515" s="73"/>
      <c r="AB5515" s="73"/>
    </row>
    <row r="5516">
      <c r="A5516" s="73"/>
      <c r="B5516" s="73">
        <v>4.764894893E7</v>
      </c>
      <c r="C5516" s="73">
        <v>2.57339371182494E9</v>
      </c>
      <c r="D5516" s="73">
        <v>2.43912145261585E9</v>
      </c>
      <c r="E5516" s="73"/>
      <c r="F5516" s="73"/>
      <c r="G5516" s="73"/>
      <c r="H5516" s="73"/>
      <c r="I5516" s="73"/>
      <c r="J5516" s="73"/>
      <c r="K5516" s="73"/>
      <c r="L5516" s="73"/>
      <c r="M5516" s="73"/>
      <c r="N5516" s="73"/>
      <c r="O5516" s="73"/>
      <c r="P5516" s="73"/>
      <c r="Q5516" s="73"/>
      <c r="R5516" s="73"/>
      <c r="S5516" s="73"/>
      <c r="T5516" s="73"/>
      <c r="U5516" s="73"/>
      <c r="V5516" s="73"/>
      <c r="W5516" s="73"/>
      <c r="X5516" s="73"/>
      <c r="Y5516" s="73"/>
      <c r="Z5516" s="73"/>
      <c r="AA5516" s="73"/>
      <c r="AB5516" s="73"/>
    </row>
    <row r="5517">
      <c r="A5517" s="73"/>
      <c r="B5517" s="73">
        <v>4.769120689E7</v>
      </c>
      <c r="C5517" s="73">
        <v>2.57852566906979E9</v>
      </c>
      <c r="D5517" s="73">
        <v>2.44636110050105E9</v>
      </c>
      <c r="E5517" s="73"/>
      <c r="F5517" s="73"/>
      <c r="G5517" s="73"/>
      <c r="H5517" s="73"/>
      <c r="I5517" s="73"/>
      <c r="J5517" s="73"/>
      <c r="K5517" s="73"/>
      <c r="L5517" s="73"/>
      <c r="M5517" s="73"/>
      <c r="N5517" s="73"/>
      <c r="O5517" s="73"/>
      <c r="P5517" s="73"/>
      <c r="Q5517" s="73"/>
      <c r="R5517" s="73"/>
      <c r="S5517" s="73"/>
      <c r="T5517" s="73"/>
      <c r="U5517" s="73"/>
      <c r="V5517" s="73"/>
      <c r="W5517" s="73"/>
      <c r="X5517" s="73"/>
      <c r="Y5517" s="73"/>
      <c r="Z5517" s="73"/>
      <c r="AA5517" s="73"/>
      <c r="AB5517" s="73"/>
    </row>
    <row r="5518">
      <c r="A5518" s="73"/>
      <c r="B5518" s="73">
        <v>4.773348975E7</v>
      </c>
      <c r="C5518" s="73">
        <v>2.58366740661776E9</v>
      </c>
      <c r="D5518" s="73">
        <v>2.45362204494237E9</v>
      </c>
      <c r="E5518" s="73"/>
      <c r="F5518" s="73"/>
      <c r="G5518" s="73"/>
      <c r="H5518" s="73"/>
      <c r="I5518" s="73"/>
      <c r="J5518" s="73"/>
      <c r="K5518" s="73"/>
      <c r="L5518" s="73"/>
      <c r="M5518" s="73"/>
      <c r="N5518" s="73"/>
      <c r="O5518" s="73"/>
      <c r="P5518" s="73"/>
      <c r="Q5518" s="73"/>
      <c r="R5518" s="73"/>
      <c r="S5518" s="73"/>
      <c r="T5518" s="73"/>
      <c r="U5518" s="73"/>
      <c r="V5518" s="73"/>
      <c r="W5518" s="73"/>
      <c r="X5518" s="73"/>
      <c r="Y5518" s="73"/>
      <c r="Z5518" s="73"/>
      <c r="AA5518" s="73"/>
      <c r="AB5518" s="73"/>
    </row>
    <row r="5519">
      <c r="A5519" s="73"/>
      <c r="B5519" s="73">
        <v>4.777579654E7</v>
      </c>
      <c r="C5519" s="73">
        <v>2.58881921854054E9</v>
      </c>
      <c r="D5519" s="73">
        <v>2.46090414405841E9</v>
      </c>
      <c r="E5519" s="73"/>
      <c r="F5519" s="73"/>
      <c r="G5519" s="73"/>
      <c r="H5519" s="73"/>
      <c r="I5519" s="73"/>
      <c r="J5519" s="73"/>
      <c r="K5519" s="73"/>
      <c r="L5519" s="73"/>
      <c r="M5519" s="73"/>
      <c r="N5519" s="73"/>
      <c r="O5519" s="73"/>
      <c r="P5519" s="73"/>
      <c r="Q5519" s="73"/>
      <c r="R5519" s="73"/>
      <c r="S5519" s="73"/>
      <c r="T5519" s="73"/>
      <c r="U5519" s="73"/>
      <c r="V5519" s="73"/>
      <c r="W5519" s="73"/>
      <c r="X5519" s="73"/>
      <c r="Y5519" s="73"/>
      <c r="Z5519" s="73"/>
      <c r="AA5519" s="73"/>
      <c r="AB5519" s="73"/>
    </row>
    <row r="5520">
      <c r="A5520" s="73"/>
      <c r="B5520" s="73">
        <v>4.781812739E7</v>
      </c>
      <c r="C5520" s="73">
        <v>2.59398140359435E9</v>
      </c>
      <c r="D5520" s="73">
        <v>2.4682074821339E9</v>
      </c>
      <c r="E5520" s="73"/>
      <c r="F5520" s="73"/>
      <c r="G5520" s="73"/>
      <c r="H5520" s="73"/>
      <c r="I5520" s="73"/>
      <c r="J5520" s="73"/>
      <c r="K5520" s="73"/>
      <c r="L5520" s="73"/>
      <c r="M5520" s="73"/>
      <c r="N5520" s="73"/>
      <c r="O5520" s="73"/>
      <c r="P5520" s="73"/>
      <c r="Q5520" s="73"/>
      <c r="R5520" s="73"/>
      <c r="S5520" s="73"/>
      <c r="T5520" s="73"/>
      <c r="U5520" s="73"/>
      <c r="V5520" s="73"/>
      <c r="W5520" s="73"/>
      <c r="X5520" s="73"/>
      <c r="Y5520" s="73"/>
      <c r="Z5520" s="73"/>
      <c r="AA5520" s="73"/>
      <c r="AB5520" s="73"/>
    </row>
    <row r="5521">
      <c r="A5521" s="73"/>
      <c r="B5521" s="73">
        <v>4.786048364E7</v>
      </c>
      <c r="C5521" s="73">
        <v>2.59915339769331E9</v>
      </c>
      <c r="D5521" s="73">
        <v>2.47553219963684E9</v>
      </c>
      <c r="E5521" s="73"/>
      <c r="F5521" s="73"/>
      <c r="G5521" s="73"/>
      <c r="H5521" s="73"/>
      <c r="I5521" s="73"/>
      <c r="J5521" s="73"/>
      <c r="K5521" s="73"/>
      <c r="L5521" s="73"/>
      <c r="M5521" s="73"/>
      <c r="N5521" s="73"/>
      <c r="O5521" s="73"/>
      <c r="P5521" s="73"/>
      <c r="Q5521" s="73"/>
      <c r="R5521" s="73"/>
      <c r="S5521" s="73"/>
      <c r="T5521" s="73"/>
      <c r="U5521" s="73"/>
      <c r="V5521" s="73"/>
      <c r="W5521" s="73"/>
      <c r="X5521" s="73"/>
      <c r="Y5521" s="73"/>
      <c r="Z5521" s="73"/>
      <c r="AA5521" s="73"/>
      <c r="AB5521" s="73"/>
    </row>
    <row r="5522">
      <c r="A5522" s="73"/>
      <c r="B5522" s="73">
        <v>4.790286232E7</v>
      </c>
      <c r="C5522" s="73">
        <v>2.60433549975393E9</v>
      </c>
      <c r="D5522" s="73">
        <v>2.48287849472229E9</v>
      </c>
      <c r="E5522" s="73"/>
      <c r="F5522" s="73"/>
      <c r="G5522" s="73"/>
      <c r="H5522" s="73"/>
      <c r="I5522" s="73"/>
      <c r="J5522" s="73"/>
      <c r="K5522" s="73"/>
      <c r="L5522" s="73"/>
      <c r="M5522" s="73"/>
      <c r="N5522" s="73"/>
      <c r="O5522" s="73"/>
      <c r="P5522" s="73"/>
      <c r="Q5522" s="73"/>
      <c r="R5522" s="73"/>
      <c r="S5522" s="73"/>
      <c r="T5522" s="73"/>
      <c r="U5522" s="73"/>
      <c r="V5522" s="73"/>
      <c r="W5522" s="73"/>
      <c r="X5522" s="73"/>
      <c r="Y5522" s="73"/>
      <c r="Z5522" s="73"/>
      <c r="AA5522" s="73"/>
      <c r="AB5522" s="73"/>
    </row>
    <row r="5523">
      <c r="A5523" s="73"/>
      <c r="B5523" s="73">
        <v>4.794526596E7</v>
      </c>
      <c r="C5523" s="73">
        <v>2.60952771784983E9</v>
      </c>
      <c r="D5523" s="73">
        <v>2.49024639688919E9</v>
      </c>
      <c r="E5523" s="73"/>
      <c r="F5523" s="73"/>
      <c r="G5523" s="73"/>
      <c r="H5523" s="73"/>
      <c r="I5523" s="73"/>
      <c r="J5523" s="73"/>
      <c r="K5523" s="73"/>
      <c r="L5523" s="73"/>
      <c r="M5523" s="73"/>
      <c r="N5523" s="73"/>
      <c r="O5523" s="73"/>
      <c r="P5523" s="73"/>
      <c r="Q5523" s="73"/>
      <c r="R5523" s="73"/>
      <c r="S5523" s="73"/>
      <c r="T5523" s="73"/>
      <c r="U5523" s="73"/>
      <c r="V5523" s="73"/>
      <c r="W5523" s="73"/>
      <c r="X5523" s="73"/>
      <c r="Y5523" s="73"/>
      <c r="Z5523" s="73"/>
      <c r="AA5523" s="73"/>
      <c r="AB5523" s="73"/>
    </row>
    <row r="5524">
      <c r="A5524" s="73"/>
      <c r="B5524" s="73">
        <v>4.798769555E7</v>
      </c>
      <c r="C5524" s="73">
        <v>2.61472977703846E9</v>
      </c>
      <c r="D5524" s="73">
        <v>2.49763576203994E9</v>
      </c>
      <c r="E5524" s="73"/>
      <c r="F5524" s="73"/>
      <c r="G5524" s="73"/>
      <c r="H5524" s="73"/>
      <c r="I5524" s="73"/>
      <c r="J5524" s="73"/>
      <c r="K5524" s="73"/>
      <c r="L5524" s="73"/>
      <c r="M5524" s="73"/>
      <c r="N5524" s="73"/>
      <c r="O5524" s="73"/>
      <c r="P5524" s="73"/>
      <c r="Q5524" s="73"/>
      <c r="R5524" s="73"/>
      <c r="S5524" s="73"/>
      <c r="T5524" s="73"/>
      <c r="U5524" s="73"/>
      <c r="V5524" s="73"/>
      <c r="W5524" s="73"/>
      <c r="X5524" s="73"/>
      <c r="Y5524" s="73"/>
      <c r="Z5524" s="73"/>
      <c r="AA5524" s="73"/>
      <c r="AB5524" s="73"/>
    </row>
    <row r="5525">
      <c r="A5525" s="73"/>
      <c r="B5525" s="73">
        <v>4.80301479E7</v>
      </c>
      <c r="C5525" s="73">
        <v>2.6199422609946E9</v>
      </c>
      <c r="D5525" s="73">
        <v>2.50504667327617E9</v>
      </c>
      <c r="E5525" s="73"/>
      <c r="F5525" s="73"/>
      <c r="G5525" s="73"/>
      <c r="H5525" s="73"/>
      <c r="I5525" s="73"/>
      <c r="J5525" s="73"/>
      <c r="K5525" s="73"/>
      <c r="L5525" s="73"/>
      <c r="M5525" s="73"/>
      <c r="N5525" s="73"/>
      <c r="O5525" s="73"/>
      <c r="P5525" s="73"/>
      <c r="Q5525" s="73"/>
      <c r="R5525" s="73"/>
      <c r="S5525" s="73"/>
      <c r="T5525" s="73"/>
      <c r="U5525" s="73"/>
      <c r="V5525" s="73"/>
      <c r="W5525" s="73"/>
      <c r="X5525" s="73"/>
      <c r="Y5525" s="73"/>
      <c r="Z5525" s="73"/>
      <c r="AA5525" s="73"/>
      <c r="AB5525" s="73"/>
    </row>
    <row r="5526">
      <c r="A5526" s="73"/>
      <c r="B5526" s="73">
        <v>4.807262395E7</v>
      </c>
      <c r="C5526" s="73">
        <v>2.62516489199552E9</v>
      </c>
      <c r="D5526" s="73">
        <v>2.51247944505812E9</v>
      </c>
      <c r="E5526" s="73"/>
      <c r="F5526" s="73"/>
      <c r="G5526" s="73"/>
      <c r="H5526" s="73"/>
      <c r="I5526" s="73"/>
      <c r="J5526" s="73"/>
      <c r="K5526" s="73"/>
      <c r="L5526" s="73"/>
      <c r="M5526" s="73"/>
      <c r="N5526" s="73"/>
      <c r="O5526" s="73"/>
      <c r="P5526" s="73"/>
      <c r="Q5526" s="73"/>
      <c r="R5526" s="73"/>
      <c r="S5526" s="73"/>
      <c r="T5526" s="73"/>
      <c r="U5526" s="73"/>
      <c r="V5526" s="73"/>
      <c r="W5526" s="73"/>
      <c r="X5526" s="73"/>
      <c r="Y5526" s="73"/>
      <c r="Z5526" s="73"/>
      <c r="AA5526" s="73"/>
      <c r="AB5526" s="73"/>
    </row>
    <row r="5527">
      <c r="A5527" s="73"/>
      <c r="B5527" s="73">
        <v>4.811512553E7</v>
      </c>
      <c r="C5527" s="73">
        <v>2.63039768429206E9</v>
      </c>
      <c r="D5527" s="73">
        <v>2.51993393546072E9</v>
      </c>
      <c r="E5527" s="73"/>
      <c r="F5527" s="73"/>
      <c r="G5527" s="73"/>
      <c r="H5527" s="73"/>
      <c r="I5527" s="73"/>
      <c r="J5527" s="73"/>
      <c r="K5527" s="73"/>
      <c r="L5527" s="73"/>
      <c r="M5527" s="73"/>
      <c r="N5527" s="73"/>
      <c r="O5527" s="73"/>
      <c r="P5527" s="73"/>
      <c r="Q5527" s="73"/>
      <c r="R5527" s="73"/>
      <c r="S5527" s="73"/>
      <c r="T5527" s="73"/>
      <c r="U5527" s="73"/>
      <c r="V5527" s="73"/>
      <c r="W5527" s="73"/>
      <c r="X5527" s="73"/>
      <c r="Y5527" s="73"/>
      <c r="Z5527" s="73"/>
      <c r="AA5527" s="73"/>
      <c r="AB5527" s="73"/>
    </row>
    <row r="5528">
      <c r="A5528" s="73"/>
      <c r="B5528" s="73">
        <v>4.815765089E7</v>
      </c>
      <c r="C5528" s="73">
        <v>2.63564064452746E9</v>
      </c>
      <c r="D5528" s="73">
        <v>2.52741017284911E9</v>
      </c>
      <c r="E5528" s="73"/>
      <c r="F5528" s="73"/>
      <c r="G5528" s="73"/>
      <c r="H5528" s="73"/>
      <c r="I5528" s="73"/>
      <c r="J5528" s="73"/>
      <c r="K5528" s="73"/>
      <c r="L5528" s="73"/>
      <c r="M5528" s="73"/>
      <c r="N5528" s="73"/>
      <c r="O5528" s="73"/>
      <c r="P5528" s="73"/>
      <c r="Q5528" s="73"/>
      <c r="R5528" s="73"/>
      <c r="S5528" s="73"/>
      <c r="T5528" s="73"/>
      <c r="U5528" s="73"/>
      <c r="V5528" s="73"/>
      <c r="W5528" s="73"/>
      <c r="X5528" s="73"/>
      <c r="Y5528" s="73"/>
      <c r="Z5528" s="73"/>
      <c r="AA5528" s="73"/>
      <c r="AB5528" s="73"/>
    </row>
    <row r="5529">
      <c r="A5529" s="73"/>
      <c r="B5529" s="73">
        <v>4.820020142E7</v>
      </c>
      <c r="C5529" s="73">
        <v>2.64089378286276E9</v>
      </c>
      <c r="D5529" s="73">
        <v>2.5349086972998E9</v>
      </c>
      <c r="E5529" s="73"/>
      <c r="F5529" s="73"/>
      <c r="G5529" s="73"/>
      <c r="H5529" s="73"/>
      <c r="I5529" s="73"/>
      <c r="J5529" s="73"/>
      <c r="K5529" s="73"/>
      <c r="L5529" s="73"/>
      <c r="M5529" s="73"/>
      <c r="N5529" s="73"/>
      <c r="O5529" s="73"/>
      <c r="P5529" s="73"/>
      <c r="Q5529" s="73"/>
      <c r="R5529" s="73"/>
      <c r="S5529" s="73"/>
      <c r="T5529" s="73"/>
      <c r="U5529" s="73"/>
      <c r="V5529" s="73"/>
      <c r="W5529" s="73"/>
      <c r="X5529" s="73"/>
      <c r="Y5529" s="73"/>
      <c r="Z5529" s="73"/>
      <c r="AA5529" s="73"/>
      <c r="AB5529" s="73"/>
    </row>
    <row r="5530">
      <c r="A5530" s="73"/>
      <c r="B5530" s="73">
        <v>4.824277545E7</v>
      </c>
      <c r="C5530" s="73">
        <v>2.64615682353952E9</v>
      </c>
      <c r="D5530" s="73">
        <v>2.54242873700536E9</v>
      </c>
      <c r="E5530" s="73"/>
      <c r="F5530" s="73"/>
      <c r="G5530" s="73"/>
      <c r="H5530" s="73"/>
      <c r="I5530" s="73"/>
      <c r="J5530" s="73"/>
      <c r="K5530" s="73"/>
      <c r="L5530" s="73"/>
      <c r="M5530" s="73"/>
      <c r="N5530" s="73"/>
      <c r="O5530" s="73"/>
      <c r="P5530" s="73"/>
      <c r="Q5530" s="73"/>
      <c r="R5530" s="73"/>
      <c r="S5530" s="73"/>
      <c r="T5530" s="73"/>
      <c r="U5530" s="73"/>
      <c r="V5530" s="73"/>
      <c r="W5530" s="73"/>
      <c r="X5530" s="73"/>
      <c r="Y5530" s="73"/>
      <c r="Z5530" s="73"/>
      <c r="AA5530" s="73"/>
      <c r="AB5530" s="73"/>
    </row>
    <row r="5531">
      <c r="A5531" s="73"/>
      <c r="B5531" s="73">
        <v>4.828537356E7</v>
      </c>
      <c r="C5531" s="73">
        <v>2.651430645054E9</v>
      </c>
      <c r="D5531" s="73">
        <v>2.54997107178187E9</v>
      </c>
      <c r="E5531" s="73"/>
      <c r="F5531" s="73"/>
      <c r="G5531" s="73"/>
      <c r="H5531" s="73"/>
      <c r="I5531" s="73"/>
      <c r="J5531" s="73"/>
      <c r="K5531" s="73"/>
      <c r="L5531" s="73"/>
      <c r="M5531" s="73"/>
      <c r="N5531" s="73"/>
      <c r="O5531" s="73"/>
      <c r="P5531" s="73"/>
      <c r="Q5531" s="73"/>
      <c r="R5531" s="73"/>
      <c r="S5531" s="73"/>
      <c r="T5531" s="73"/>
      <c r="U5531" s="73"/>
      <c r="V5531" s="73"/>
      <c r="W5531" s="73"/>
      <c r="X5531" s="73"/>
      <c r="Y5531" s="73"/>
      <c r="Z5531" s="73"/>
      <c r="AA5531" s="73"/>
      <c r="AB5531" s="73"/>
    </row>
    <row r="5532">
      <c r="A5532" s="73"/>
      <c r="B5532" s="73">
        <v>4.832799622E7</v>
      </c>
      <c r="C5532" s="73">
        <v>2.65671438486219E9</v>
      </c>
      <c r="D5532" s="73">
        <v>2.55753548902101E9</v>
      </c>
      <c r="E5532" s="73"/>
      <c r="F5532" s="73"/>
      <c r="G5532" s="73"/>
      <c r="H5532" s="73"/>
      <c r="I5532" s="73"/>
      <c r="J5532" s="73"/>
      <c r="K5532" s="73"/>
      <c r="L5532" s="73"/>
      <c r="M5532" s="73"/>
      <c r="N5532" s="73"/>
      <c r="O5532" s="73"/>
      <c r="P5532" s="73"/>
      <c r="Q5532" s="73"/>
      <c r="R5532" s="73"/>
      <c r="S5532" s="73"/>
      <c r="T5532" s="73"/>
      <c r="U5532" s="73"/>
      <c r="V5532" s="73"/>
      <c r="W5532" s="73"/>
      <c r="X5532" s="73"/>
      <c r="Y5532" s="73"/>
      <c r="Z5532" s="73"/>
      <c r="AA5532" s="73"/>
      <c r="AB5532" s="73"/>
    </row>
    <row r="5533">
      <c r="A5533" s="73"/>
      <c r="B5533" s="73">
        <v>4.83706416E7</v>
      </c>
      <c r="C5533" s="73">
        <v>2.66200863626643E9</v>
      </c>
      <c r="D5533" s="73">
        <v>2.56512167572734E9</v>
      </c>
      <c r="E5533" s="73"/>
      <c r="F5533" s="73"/>
      <c r="G5533" s="73"/>
      <c r="H5533" s="73"/>
      <c r="I5533" s="73"/>
      <c r="J5533" s="73"/>
      <c r="K5533" s="73"/>
      <c r="L5533" s="73"/>
      <c r="M5533" s="73"/>
      <c r="N5533" s="73"/>
      <c r="O5533" s="73"/>
      <c r="P5533" s="73"/>
      <c r="Q5533" s="73"/>
      <c r="R5533" s="73"/>
      <c r="S5533" s="73"/>
      <c r="T5533" s="73"/>
      <c r="U5533" s="73"/>
      <c r="V5533" s="73"/>
      <c r="W5533" s="73"/>
      <c r="X5533" s="73"/>
      <c r="Y5533" s="73"/>
      <c r="Z5533" s="73"/>
      <c r="AA5533" s="73"/>
      <c r="AB5533" s="73"/>
    </row>
    <row r="5534">
      <c r="A5534" s="73"/>
      <c r="B5534" s="73">
        <v>4.841331337E7</v>
      </c>
      <c r="C5534" s="73">
        <v>2.6673131181088E9</v>
      </c>
      <c r="D5534" s="73">
        <v>2.57273041321791E9</v>
      </c>
      <c r="E5534" s="73"/>
      <c r="F5534" s="73"/>
      <c r="G5534" s="73"/>
      <c r="H5534" s="73"/>
      <c r="I5534" s="73"/>
      <c r="J5534" s="73"/>
      <c r="K5534" s="73"/>
      <c r="L5534" s="73"/>
      <c r="M5534" s="73"/>
      <c r="N5534" s="73"/>
      <c r="O5534" s="73"/>
      <c r="P5534" s="73"/>
      <c r="Q5534" s="73"/>
      <c r="R5534" s="73"/>
      <c r="S5534" s="73"/>
      <c r="T5534" s="73"/>
      <c r="U5534" s="73"/>
      <c r="V5534" s="73"/>
      <c r="W5534" s="73"/>
      <c r="X5534" s="73"/>
      <c r="Y5534" s="73"/>
      <c r="Z5534" s="73"/>
      <c r="AA5534" s="73"/>
      <c r="AB5534" s="73"/>
    </row>
    <row r="5535">
      <c r="A5535" s="73"/>
      <c r="B5535" s="73">
        <v>4.845601058E7</v>
      </c>
      <c r="C5535" s="73">
        <v>2.67262813367261E9</v>
      </c>
      <c r="D5535" s="73">
        <v>2.58036114830752E9</v>
      </c>
      <c r="E5535" s="73"/>
      <c r="F5535" s="73"/>
      <c r="G5535" s="73"/>
      <c r="H5535" s="73"/>
      <c r="I5535" s="73"/>
      <c r="J5535" s="73"/>
      <c r="K5535" s="73"/>
      <c r="L5535" s="73"/>
      <c r="M5535" s="73"/>
      <c r="N5535" s="73"/>
      <c r="O5535" s="73"/>
      <c r="P5535" s="73"/>
      <c r="Q5535" s="73"/>
      <c r="R5535" s="73"/>
      <c r="S5535" s="73"/>
      <c r="T5535" s="73"/>
      <c r="U5535" s="73"/>
      <c r="V5535" s="73"/>
      <c r="W5535" s="73"/>
      <c r="X5535" s="73"/>
      <c r="Y5535" s="73"/>
      <c r="Z5535" s="73"/>
      <c r="AA5535" s="73"/>
      <c r="AB5535" s="73"/>
    </row>
    <row r="5536">
      <c r="A5536" s="73"/>
      <c r="B5536" s="73">
        <v>4.849873037E7</v>
      </c>
      <c r="C5536" s="73">
        <v>2.67795369446945E9</v>
      </c>
      <c r="D5536" s="73">
        <v>2.5880146677026E9</v>
      </c>
      <c r="E5536" s="73"/>
      <c r="F5536" s="73"/>
      <c r="G5536" s="73"/>
      <c r="H5536" s="73"/>
      <c r="I5536" s="73"/>
      <c r="J5536" s="73"/>
      <c r="K5536" s="73"/>
      <c r="L5536" s="73"/>
      <c r="M5536" s="73"/>
      <c r="N5536" s="73"/>
      <c r="O5536" s="73"/>
      <c r="P5536" s="73"/>
      <c r="Q5536" s="73"/>
      <c r="R5536" s="73"/>
      <c r="S5536" s="73"/>
      <c r="T5536" s="73"/>
      <c r="U5536" s="73"/>
      <c r="V5536" s="73"/>
      <c r="W5536" s="73"/>
      <c r="X5536" s="73"/>
      <c r="Y5536" s="73"/>
      <c r="Z5536" s="73"/>
      <c r="AA5536" s="73"/>
      <c r="AB5536" s="73"/>
    </row>
    <row r="5537">
      <c r="A5537" s="73"/>
      <c r="B5537" s="73">
        <v>4.854147321E7</v>
      </c>
      <c r="C5537" s="73">
        <v>2.6832889371601E9</v>
      </c>
      <c r="D5537" s="73">
        <v>2.59569041242E9</v>
      </c>
      <c r="E5537" s="73"/>
      <c r="F5537" s="73"/>
      <c r="G5537" s="73"/>
      <c r="H5537" s="73"/>
      <c r="I5537" s="73"/>
      <c r="J5537" s="73"/>
      <c r="K5537" s="73"/>
      <c r="L5537" s="73"/>
      <c r="M5537" s="73"/>
      <c r="N5537" s="73"/>
      <c r="O5537" s="73"/>
      <c r="P5537" s="73"/>
      <c r="Q5537" s="73"/>
      <c r="R5537" s="73"/>
      <c r="S5537" s="73"/>
      <c r="T5537" s="73"/>
      <c r="U5537" s="73"/>
      <c r="V5537" s="73"/>
      <c r="W5537" s="73"/>
      <c r="X5537" s="73"/>
      <c r="Y5537" s="73"/>
      <c r="Z5537" s="73"/>
      <c r="AA5537" s="73"/>
      <c r="AB5537" s="73"/>
    </row>
    <row r="5538">
      <c r="A5538" s="73"/>
      <c r="B5538" s="73">
        <v>4.858424295E7</v>
      </c>
      <c r="C5538" s="73">
        <v>2.68863503313527E9</v>
      </c>
      <c r="D5538" s="73">
        <v>2.60338870584067E9</v>
      </c>
      <c r="E5538" s="73"/>
      <c r="F5538" s="73"/>
      <c r="G5538" s="73"/>
      <c r="H5538" s="73"/>
      <c r="I5538" s="73"/>
      <c r="J5538" s="73"/>
      <c r="K5538" s="73"/>
      <c r="L5538" s="73"/>
      <c r="M5538" s="73"/>
      <c r="N5538" s="73"/>
      <c r="O5538" s="73"/>
      <c r="P5538" s="73"/>
      <c r="Q5538" s="73"/>
      <c r="R5538" s="73"/>
      <c r="S5538" s="73"/>
      <c r="T5538" s="73"/>
      <c r="U5538" s="73"/>
      <c r="V5538" s="73"/>
      <c r="W5538" s="73"/>
      <c r="X5538" s="73"/>
      <c r="Y5538" s="73"/>
      <c r="Z5538" s="73"/>
      <c r="AA5538" s="73"/>
      <c r="AB5538" s="73"/>
    </row>
    <row r="5539">
      <c r="A5539" s="73"/>
      <c r="B5539" s="73">
        <v>4.862703566E7</v>
      </c>
      <c r="C5539" s="73">
        <v>2.69399141230065E9</v>
      </c>
      <c r="D5539" s="73">
        <v>2.61110928073528E9</v>
      </c>
      <c r="E5539" s="73"/>
      <c r="F5539" s="73"/>
      <c r="G5539" s="73"/>
      <c r="H5539" s="73"/>
      <c r="I5539" s="73"/>
      <c r="J5539" s="73"/>
      <c r="K5539" s="73"/>
      <c r="L5539" s="73"/>
      <c r="M5539" s="73"/>
      <c r="N5539" s="73"/>
      <c r="O5539" s="73"/>
      <c r="P5539" s="73"/>
      <c r="Q5539" s="73"/>
      <c r="R5539" s="73"/>
      <c r="S5539" s="73"/>
      <c r="T5539" s="73"/>
      <c r="U5539" s="73"/>
      <c r="V5539" s="73"/>
      <c r="W5539" s="73"/>
      <c r="X5539" s="73"/>
      <c r="Y5539" s="73"/>
      <c r="Z5539" s="73"/>
      <c r="AA5539" s="73"/>
      <c r="AB5539" s="73"/>
    </row>
    <row r="5540">
      <c r="A5540" s="73"/>
      <c r="B5540" s="73">
        <v>4.866985299E7</v>
      </c>
      <c r="C5540" s="73">
        <v>2.69935838016815E9</v>
      </c>
      <c r="D5540" s="73">
        <v>2.61885275966553E9</v>
      </c>
      <c r="E5540" s="73"/>
      <c r="F5540" s="73"/>
      <c r="G5540" s="73"/>
      <c r="H5540" s="73"/>
      <c r="I5540" s="73"/>
      <c r="J5540" s="73"/>
      <c r="K5540" s="73"/>
      <c r="L5540" s="73"/>
      <c r="M5540" s="73"/>
      <c r="N5540" s="73"/>
      <c r="O5540" s="73"/>
      <c r="P5540" s="73"/>
      <c r="Q5540" s="73"/>
      <c r="R5540" s="73"/>
      <c r="S5540" s="73"/>
      <c r="T5540" s="73"/>
      <c r="U5540" s="73"/>
      <c r="V5540" s="73"/>
      <c r="W5540" s="73"/>
      <c r="X5540" s="73"/>
      <c r="Y5540" s="73"/>
      <c r="Z5540" s="73"/>
      <c r="AA5540" s="73"/>
      <c r="AB5540" s="73"/>
    </row>
    <row r="5541">
      <c r="A5541" s="73"/>
      <c r="B5541" s="73">
        <v>4.871269496E7</v>
      </c>
      <c r="C5541" s="73">
        <v>2.70473506932424E9</v>
      </c>
      <c r="D5541" s="73">
        <v>2.62661857793953E9</v>
      </c>
      <c r="E5541" s="73"/>
      <c r="F5541" s="73"/>
      <c r="G5541" s="73"/>
      <c r="H5541" s="73"/>
      <c r="I5541" s="73"/>
      <c r="J5541" s="73"/>
      <c r="K5541" s="73"/>
      <c r="L5541" s="73"/>
      <c r="M5541" s="73"/>
      <c r="N5541" s="73"/>
      <c r="O5541" s="73"/>
      <c r="P5541" s="73"/>
      <c r="Q5541" s="73"/>
      <c r="R5541" s="73"/>
      <c r="S5541" s="73"/>
      <c r="T5541" s="73"/>
      <c r="U5541" s="73"/>
      <c r="V5541" s="73"/>
      <c r="W5541" s="73"/>
      <c r="X5541" s="73"/>
      <c r="Y5541" s="73"/>
      <c r="Z5541" s="73"/>
      <c r="AA5541" s="73"/>
      <c r="AB5541" s="73"/>
    </row>
    <row r="5542">
      <c r="A5542" s="73"/>
      <c r="B5542" s="73">
        <v>4.875556024E7</v>
      </c>
      <c r="C5542" s="73">
        <v>2.71012324821118E9</v>
      </c>
      <c r="D5542" s="73">
        <v>2.63440723397038E9</v>
      </c>
      <c r="E5542" s="73"/>
      <c r="F5542" s="73"/>
      <c r="G5542" s="73"/>
      <c r="H5542" s="73"/>
      <c r="I5542" s="73"/>
      <c r="J5542" s="73"/>
      <c r="K5542" s="73"/>
      <c r="L5542" s="73"/>
      <c r="M5542" s="73"/>
      <c r="N5542" s="73"/>
      <c r="O5542" s="73"/>
      <c r="P5542" s="73"/>
      <c r="Q5542" s="73"/>
      <c r="R5542" s="73"/>
      <c r="S5542" s="73"/>
      <c r="T5542" s="73"/>
      <c r="U5542" s="73"/>
      <c r="V5542" s="73"/>
      <c r="W5542" s="73"/>
      <c r="X5542" s="73"/>
      <c r="Y5542" s="73"/>
      <c r="Z5542" s="73"/>
      <c r="AA5542" s="73"/>
      <c r="AB5542" s="73"/>
    </row>
    <row r="5543">
      <c r="A5543" s="73"/>
      <c r="B5543" s="73">
        <v>4.879845088E7</v>
      </c>
      <c r="C5543" s="73">
        <v>2.71552144832382E9</v>
      </c>
      <c r="D5543" s="73">
        <v>2.64221892885374E9</v>
      </c>
      <c r="E5543" s="73"/>
      <c r="F5543" s="73"/>
      <c r="G5543" s="73"/>
      <c r="H5543" s="73"/>
      <c r="I5543" s="73"/>
      <c r="J5543" s="73"/>
      <c r="K5543" s="73"/>
      <c r="L5543" s="73"/>
      <c r="M5543" s="73"/>
      <c r="N5543" s="73"/>
      <c r="O5543" s="73"/>
      <c r="P5543" s="73"/>
      <c r="Q5543" s="73"/>
      <c r="R5543" s="73"/>
      <c r="S5543" s="73"/>
      <c r="T5543" s="73"/>
      <c r="U5543" s="73"/>
      <c r="V5543" s="73"/>
      <c r="W5543" s="73"/>
      <c r="X5543" s="73"/>
      <c r="Y5543" s="73"/>
      <c r="Z5543" s="73"/>
      <c r="AA5543" s="73"/>
      <c r="AB5543" s="73"/>
    </row>
    <row r="5544">
      <c r="A5544" s="73"/>
      <c r="B5544" s="73">
        <v>4.884136539E7</v>
      </c>
      <c r="C5544" s="73">
        <v>2.72092999308105E9</v>
      </c>
      <c r="D5544" s="73">
        <v>2.65005335146992E9</v>
      </c>
      <c r="E5544" s="73"/>
      <c r="F5544" s="73"/>
      <c r="G5544" s="73"/>
      <c r="H5544" s="73"/>
      <c r="I5544" s="73"/>
      <c r="J5544" s="73"/>
      <c r="K5544" s="73"/>
      <c r="L5544" s="73"/>
      <c r="M5544" s="73"/>
      <c r="N5544" s="73"/>
      <c r="O5544" s="73"/>
      <c r="P5544" s="73"/>
      <c r="Q5544" s="73"/>
      <c r="R5544" s="73"/>
      <c r="S5544" s="73"/>
      <c r="T5544" s="73"/>
      <c r="U5544" s="73"/>
      <c r="V5544" s="73"/>
      <c r="W5544" s="73"/>
      <c r="X5544" s="73"/>
      <c r="Y5544" s="73"/>
      <c r="Z5544" s="73"/>
      <c r="AA5544" s="73"/>
      <c r="AB5544" s="73"/>
    </row>
    <row r="5545">
      <c r="A5545" s="73"/>
      <c r="B5545" s="73">
        <v>4.88843053E7</v>
      </c>
      <c r="C5545" s="73">
        <v>2.72634946970803E9</v>
      </c>
      <c r="D5545" s="73">
        <v>2.65791057208015E9</v>
      </c>
      <c r="E5545" s="73"/>
      <c r="F5545" s="73"/>
      <c r="G5545" s="73"/>
      <c r="H5545" s="73"/>
      <c r="I5545" s="73"/>
      <c r="J5545" s="73"/>
      <c r="K5545" s="73"/>
      <c r="L5545" s="73"/>
      <c r="M5545" s="73"/>
      <c r="N5545" s="73"/>
      <c r="O5545" s="73"/>
      <c r="P5545" s="73"/>
      <c r="Q5545" s="73"/>
      <c r="R5545" s="73"/>
      <c r="S5545" s="73"/>
      <c r="T5545" s="73"/>
      <c r="U5545" s="73"/>
      <c r="V5545" s="73"/>
      <c r="W5545" s="73"/>
      <c r="X5545" s="73"/>
      <c r="Y5545" s="73"/>
      <c r="Z5545" s="73"/>
      <c r="AA5545" s="73"/>
      <c r="AB5545" s="73"/>
    </row>
    <row r="5546">
      <c r="A5546" s="73"/>
      <c r="B5546" s="73">
        <v>4.892726767E7</v>
      </c>
      <c r="C5546" s="73">
        <v>2.73177960202748E9</v>
      </c>
      <c r="D5546" s="73">
        <v>2.66579105084347E9</v>
      </c>
      <c r="E5546" s="73"/>
      <c r="F5546" s="73"/>
      <c r="G5546" s="73"/>
      <c r="H5546" s="73"/>
      <c r="I5546" s="73"/>
      <c r="J5546" s="73"/>
      <c r="K5546" s="73"/>
      <c r="L5546" s="73"/>
      <c r="M5546" s="73"/>
      <c r="N5546" s="73"/>
      <c r="O5546" s="73"/>
      <c r="P5546" s="73"/>
      <c r="Q5546" s="73"/>
      <c r="R5546" s="73"/>
      <c r="S5546" s="73"/>
      <c r="T5546" s="73"/>
      <c r="U5546" s="73"/>
      <c r="V5546" s="73"/>
      <c r="W5546" s="73"/>
      <c r="X5546" s="73"/>
      <c r="Y5546" s="73"/>
      <c r="Z5546" s="73"/>
      <c r="AA5546" s="73"/>
      <c r="AB5546" s="73"/>
    </row>
    <row r="5547">
      <c r="A5547" s="73"/>
      <c r="B5547" s="73">
        <v>4.897025589E7</v>
      </c>
      <c r="C5547" s="73">
        <v>2.73721980479817E9</v>
      </c>
      <c r="D5547" s="73">
        <v>2.67369438641413E9</v>
      </c>
      <c r="E5547" s="73"/>
      <c r="F5547" s="73"/>
      <c r="G5547" s="73"/>
      <c r="H5547" s="73"/>
      <c r="I5547" s="73"/>
      <c r="J5547" s="73"/>
      <c r="K5547" s="73"/>
      <c r="L5547" s="73"/>
      <c r="M5547" s="73"/>
      <c r="N5547" s="73"/>
      <c r="O5547" s="73"/>
      <c r="P5547" s="73"/>
      <c r="Q5547" s="73"/>
      <c r="R5547" s="73"/>
      <c r="S5547" s="73"/>
      <c r="T5547" s="73"/>
      <c r="U5547" s="73"/>
      <c r="V5547" s="73"/>
      <c r="W5547" s="73"/>
      <c r="X5547" s="73"/>
      <c r="Y5547" s="73"/>
      <c r="Z5547" s="73"/>
      <c r="AA5547" s="73"/>
      <c r="AB5547" s="73"/>
    </row>
    <row r="5548">
      <c r="A5548" s="73"/>
      <c r="B5548" s="73">
        <v>4.901326745E7</v>
      </c>
      <c r="C5548" s="73">
        <v>2.74267068465289E9</v>
      </c>
      <c r="D5548" s="73">
        <v>2.68162091244164E9</v>
      </c>
      <c r="E5548" s="73"/>
      <c r="F5548" s="73"/>
      <c r="G5548" s="73"/>
      <c r="H5548" s="73"/>
      <c r="I5548" s="73"/>
      <c r="J5548" s="73"/>
      <c r="K5548" s="73"/>
      <c r="L5548" s="73"/>
      <c r="M5548" s="73"/>
      <c r="N5548" s="73"/>
      <c r="O5548" s="73"/>
      <c r="P5548" s="73"/>
      <c r="Q5548" s="73"/>
      <c r="R5548" s="73"/>
      <c r="S5548" s="73"/>
      <c r="T5548" s="73"/>
      <c r="U5548" s="73"/>
      <c r="V5548" s="73"/>
      <c r="W5548" s="73"/>
      <c r="X5548" s="73"/>
      <c r="Y5548" s="73"/>
      <c r="Z5548" s="73"/>
      <c r="AA5548" s="73"/>
      <c r="AB5548" s="73"/>
    </row>
    <row r="5549">
      <c r="A5549" s="73"/>
      <c r="B5549" s="73">
        <v>4.90563033E7</v>
      </c>
      <c r="C5549" s="73">
        <v>2.74813254179542E9</v>
      </c>
      <c r="D5549" s="73">
        <v>2.6895705270197E9</v>
      </c>
      <c r="E5549" s="73"/>
      <c r="F5549" s="73"/>
      <c r="G5549" s="73"/>
      <c r="H5549" s="73"/>
      <c r="I5549" s="73"/>
      <c r="J5549" s="73"/>
      <c r="K5549" s="73"/>
      <c r="L5549" s="73"/>
      <c r="M5549" s="73"/>
      <c r="N5549" s="73"/>
      <c r="O5549" s="73"/>
      <c r="P5549" s="73"/>
      <c r="Q5549" s="73"/>
      <c r="R5549" s="73"/>
      <c r="S5549" s="73"/>
      <c r="T5549" s="73"/>
      <c r="U5549" s="73"/>
      <c r="V5549" s="73"/>
      <c r="W5549" s="73"/>
      <c r="X5549" s="73"/>
      <c r="Y5549" s="73"/>
      <c r="Z5549" s="73"/>
      <c r="AA5549" s="73"/>
      <c r="AB5549" s="73"/>
    </row>
    <row r="5550">
      <c r="A5550" s="73"/>
      <c r="B5550" s="73">
        <v>4.909936565E7</v>
      </c>
      <c r="C5550" s="73">
        <v>2.75360478873935E9</v>
      </c>
      <c r="D5550" s="73">
        <v>2.69754369502939E9</v>
      </c>
      <c r="E5550" s="73"/>
      <c r="F5550" s="73"/>
      <c r="G5550" s="73"/>
      <c r="H5550" s="73"/>
      <c r="I5550" s="73"/>
      <c r="J5550" s="73"/>
      <c r="K5550" s="73"/>
      <c r="L5550" s="73"/>
      <c r="M5550" s="73"/>
      <c r="N5550" s="73"/>
      <c r="O5550" s="73"/>
      <c r="P5550" s="73"/>
      <c r="Q5550" s="73"/>
      <c r="R5550" s="73"/>
      <c r="S5550" s="73"/>
      <c r="T5550" s="73"/>
      <c r="U5550" s="73"/>
      <c r="V5550" s="73"/>
      <c r="W5550" s="73"/>
      <c r="X5550" s="73"/>
      <c r="Y5550" s="73"/>
      <c r="Z5550" s="73"/>
      <c r="AA5550" s="73"/>
      <c r="AB5550" s="73"/>
    </row>
    <row r="5551">
      <c r="A5551" s="73"/>
      <c r="B5551" s="73">
        <v>4.914245056E7</v>
      </c>
      <c r="C5551" s="73">
        <v>2.7590874574679E9</v>
      </c>
      <c r="D5551" s="73">
        <v>2.70553983933312E9</v>
      </c>
      <c r="E5551" s="73"/>
      <c r="F5551" s="73"/>
      <c r="G5551" s="73"/>
      <c r="H5551" s="73"/>
      <c r="I5551" s="73"/>
      <c r="J5551" s="73"/>
      <c r="K5551" s="73"/>
      <c r="L5551" s="73"/>
      <c r="M5551" s="73"/>
      <c r="N5551" s="73"/>
      <c r="O5551" s="73"/>
      <c r="P5551" s="73"/>
      <c r="Q5551" s="73"/>
      <c r="R5551" s="73"/>
      <c r="S5551" s="73"/>
      <c r="T5551" s="73"/>
      <c r="U5551" s="73"/>
      <c r="V5551" s="73"/>
      <c r="W5551" s="73"/>
      <c r="X5551" s="73"/>
      <c r="Y5551" s="73"/>
      <c r="Z5551" s="73"/>
      <c r="AA5551" s="73"/>
      <c r="AB5551" s="73"/>
    </row>
    <row r="5552">
      <c r="A5552" s="73"/>
      <c r="B5552" s="73">
        <v>4.91855605E7</v>
      </c>
      <c r="C5552" s="73">
        <v>2.76458113723457E9</v>
      </c>
      <c r="D5552" s="73">
        <v>2.71355963824585E9</v>
      </c>
      <c r="E5552" s="73"/>
      <c r="F5552" s="73"/>
      <c r="G5552" s="73"/>
      <c r="H5552" s="73"/>
      <c r="I5552" s="73"/>
      <c r="J5552" s="73"/>
      <c r="K5552" s="73"/>
      <c r="L5552" s="73"/>
      <c r="M5552" s="73"/>
      <c r="N5552" s="73"/>
      <c r="O5552" s="73"/>
      <c r="P5552" s="73"/>
      <c r="Q5552" s="73"/>
      <c r="R5552" s="73"/>
      <c r="S5552" s="73"/>
      <c r="T5552" s="73"/>
      <c r="U5552" s="73"/>
      <c r="V5552" s="73"/>
      <c r="W5552" s="73"/>
      <c r="X5552" s="73"/>
      <c r="Y5552" s="73"/>
      <c r="Z5552" s="73"/>
      <c r="AA5552" s="73"/>
      <c r="AB5552" s="73"/>
    </row>
    <row r="5553">
      <c r="A5553" s="73"/>
      <c r="B5553" s="73">
        <v>4.92286946E7</v>
      </c>
      <c r="C5553" s="73">
        <v>2.77008553898138E9</v>
      </c>
      <c r="D5553" s="73">
        <v>2.72160277637443E9</v>
      </c>
      <c r="E5553" s="73"/>
      <c r="F5553" s="73"/>
      <c r="G5553" s="73"/>
      <c r="H5553" s="73"/>
      <c r="I5553" s="73"/>
      <c r="J5553" s="73"/>
      <c r="K5553" s="73"/>
      <c r="L5553" s="73"/>
      <c r="M5553" s="73"/>
      <c r="N5553" s="73"/>
      <c r="O5553" s="73"/>
      <c r="P5553" s="73"/>
      <c r="Q5553" s="73"/>
      <c r="R5553" s="73"/>
      <c r="S5553" s="73"/>
      <c r="T5553" s="73"/>
      <c r="U5553" s="73"/>
      <c r="V5553" s="73"/>
      <c r="W5553" s="73"/>
      <c r="X5553" s="73"/>
      <c r="Y5553" s="73"/>
      <c r="Z5553" s="73"/>
      <c r="AA5553" s="73"/>
      <c r="AB5553" s="73"/>
    </row>
    <row r="5554">
      <c r="A5554" s="73"/>
      <c r="B5554" s="73">
        <v>4.927185441E7</v>
      </c>
      <c r="C5554" s="73">
        <v>2.77560038410046E9</v>
      </c>
      <c r="D5554" s="73">
        <v>2.72966963301586E9</v>
      </c>
      <c r="E5554" s="73"/>
      <c r="F5554" s="73"/>
      <c r="G5554" s="73"/>
      <c r="H5554" s="73"/>
      <c r="I5554" s="73"/>
      <c r="J5554" s="73"/>
      <c r="K5554" s="73"/>
      <c r="L5554" s="73"/>
      <c r="M5554" s="73"/>
      <c r="N5554" s="73"/>
      <c r="O5554" s="73"/>
      <c r="P5554" s="73"/>
      <c r="Q5554" s="73"/>
      <c r="R5554" s="73"/>
      <c r="S5554" s="73"/>
      <c r="T5554" s="73"/>
      <c r="U5554" s="73"/>
      <c r="V5554" s="73"/>
      <c r="W5554" s="73"/>
      <c r="X5554" s="73"/>
      <c r="Y5554" s="73"/>
      <c r="Z5554" s="73"/>
      <c r="AA5554" s="73"/>
      <c r="AB5554" s="73"/>
    </row>
    <row r="5555">
      <c r="A5555" s="73"/>
      <c r="B5555" s="73">
        <v>4.931503578E7</v>
      </c>
      <c r="C5555" s="73">
        <v>2.78112597233079E9</v>
      </c>
      <c r="D5555" s="73">
        <v>2.73776006475062E9</v>
      </c>
      <c r="E5555" s="73"/>
      <c r="F5555" s="73"/>
      <c r="G5555" s="73"/>
      <c r="H5555" s="73"/>
      <c r="I5555" s="73"/>
      <c r="J5555" s="73"/>
      <c r="K5555" s="73"/>
      <c r="L5555" s="73"/>
      <c r="M5555" s="73"/>
      <c r="N5555" s="73"/>
      <c r="O5555" s="73"/>
      <c r="P5555" s="73"/>
      <c r="Q5555" s="73"/>
      <c r="R5555" s="73"/>
      <c r="S5555" s="73"/>
      <c r="T5555" s="73"/>
      <c r="U5555" s="73"/>
      <c r="V5555" s="73"/>
      <c r="W5555" s="73"/>
      <c r="X5555" s="73"/>
      <c r="Y5555" s="73"/>
      <c r="Z5555" s="73"/>
      <c r="AA5555" s="73"/>
      <c r="AB5555" s="73"/>
    </row>
    <row r="5556">
      <c r="A5556" s="73"/>
      <c r="B5556" s="73">
        <v>4.935824361E7</v>
      </c>
      <c r="C5556" s="73">
        <v>2.78666232725612E9</v>
      </c>
      <c r="D5556" s="73">
        <v>2.74587396767221E9</v>
      </c>
      <c r="E5556" s="73"/>
      <c r="F5556" s="73"/>
      <c r="G5556" s="73"/>
      <c r="H5556" s="73"/>
      <c r="I5556" s="73"/>
      <c r="J5556" s="73"/>
      <c r="K5556" s="73"/>
      <c r="L5556" s="73"/>
      <c r="M5556" s="73"/>
      <c r="N5556" s="73"/>
      <c r="O5556" s="73"/>
      <c r="P5556" s="73"/>
      <c r="Q5556" s="73"/>
      <c r="R5556" s="73"/>
      <c r="S5556" s="73"/>
      <c r="T5556" s="73"/>
      <c r="U5556" s="73"/>
      <c r="V5556" s="73"/>
      <c r="W5556" s="73"/>
      <c r="X5556" s="73"/>
      <c r="Y5556" s="73"/>
      <c r="Z5556" s="73"/>
      <c r="AA5556" s="73"/>
      <c r="AB5556" s="73"/>
    </row>
    <row r="5557">
      <c r="A5557" s="73"/>
      <c r="B5557" s="73">
        <v>4.940147449E7</v>
      </c>
      <c r="C5557" s="73">
        <v>2.79220975026818E9</v>
      </c>
      <c r="D5557" s="73">
        <v>2.75401167725732E9</v>
      </c>
      <c r="E5557" s="73"/>
      <c r="F5557" s="73"/>
      <c r="G5557" s="73"/>
      <c r="H5557" s="73"/>
      <c r="I5557" s="73"/>
      <c r="J5557" s="73"/>
      <c r="K5557" s="73"/>
      <c r="L5557" s="73"/>
      <c r="M5557" s="73"/>
      <c r="N5557" s="73"/>
      <c r="O5557" s="73"/>
      <c r="P5557" s="73"/>
      <c r="Q5557" s="73"/>
      <c r="R5557" s="73"/>
      <c r="S5557" s="73"/>
      <c r="T5557" s="73"/>
      <c r="U5557" s="73"/>
      <c r="V5557" s="73"/>
      <c r="W5557" s="73"/>
      <c r="X5557" s="73"/>
      <c r="Y5557" s="73"/>
      <c r="Z5557" s="73"/>
      <c r="AA5557" s="73"/>
      <c r="AB5557" s="73"/>
    </row>
    <row r="5558">
      <c r="A5558" s="73"/>
      <c r="B5558" s="73">
        <v>4.944473023E7</v>
      </c>
      <c r="C5558" s="73">
        <v>2.79776764670369E9</v>
      </c>
      <c r="D5558" s="73">
        <v>2.76217322799124E9</v>
      </c>
      <c r="E5558" s="73"/>
      <c r="F5558" s="73"/>
      <c r="G5558" s="73"/>
      <c r="H5558" s="73"/>
      <c r="I5558" s="73"/>
      <c r="J5558" s="73"/>
      <c r="K5558" s="73"/>
      <c r="L5558" s="73"/>
      <c r="M5558" s="73"/>
      <c r="N5558" s="73"/>
      <c r="O5558" s="73"/>
      <c r="P5558" s="73"/>
      <c r="Q5558" s="73"/>
      <c r="R5558" s="73"/>
      <c r="S5558" s="73"/>
      <c r="T5558" s="73"/>
      <c r="U5558" s="73"/>
      <c r="V5558" s="73"/>
      <c r="W5558" s="73"/>
      <c r="X5558" s="73"/>
      <c r="Y5558" s="73"/>
      <c r="Z5558" s="73"/>
      <c r="AA5558" s="73"/>
      <c r="AB5558" s="73"/>
    </row>
    <row r="5559">
      <c r="A5559" s="73"/>
      <c r="B5559" s="73">
        <v>4.948801146E7</v>
      </c>
      <c r="C5559" s="73">
        <v>2.80333634356525E9</v>
      </c>
      <c r="D5559" s="73">
        <v>2.77035882369217E9</v>
      </c>
      <c r="E5559" s="73"/>
      <c r="F5559" s="73"/>
      <c r="G5559" s="73"/>
      <c r="H5559" s="73"/>
      <c r="I5559" s="73"/>
      <c r="J5559" s="73"/>
      <c r="K5559" s="73"/>
      <c r="L5559" s="73"/>
      <c r="M5559" s="73"/>
      <c r="N5559" s="73"/>
      <c r="O5559" s="73"/>
      <c r="P5559" s="73"/>
      <c r="Q5559" s="73"/>
      <c r="R5559" s="73"/>
      <c r="S5559" s="73"/>
      <c r="T5559" s="73"/>
      <c r="U5559" s="73"/>
      <c r="V5559" s="73"/>
      <c r="W5559" s="73"/>
      <c r="X5559" s="73"/>
      <c r="Y5559" s="73"/>
      <c r="Z5559" s="73"/>
      <c r="AA5559" s="73"/>
      <c r="AB5559" s="73"/>
    </row>
    <row r="5560">
      <c r="A5560" s="73"/>
      <c r="B5560" s="73">
        <v>4.953131643E7</v>
      </c>
      <c r="C5560" s="73">
        <v>2.80891614269064E9</v>
      </c>
      <c r="D5560" s="73">
        <v>2.77856832180196E9</v>
      </c>
      <c r="E5560" s="73"/>
      <c r="F5560" s="73"/>
      <c r="G5560" s="73"/>
      <c r="H5560" s="73"/>
      <c r="I5560" s="73"/>
      <c r="J5560" s="73"/>
      <c r="K5560" s="73"/>
      <c r="L5560" s="73"/>
      <c r="M5560" s="73"/>
      <c r="N5560" s="73"/>
      <c r="O5560" s="73"/>
      <c r="P5560" s="73"/>
      <c r="Q5560" s="73"/>
      <c r="R5560" s="73"/>
      <c r="S5560" s="73"/>
      <c r="T5560" s="73"/>
      <c r="U5560" s="73"/>
      <c r="V5560" s="73"/>
      <c r="W5560" s="73"/>
      <c r="X5560" s="73"/>
      <c r="Y5560" s="73"/>
      <c r="Z5560" s="73"/>
      <c r="AA5560" s="73"/>
      <c r="AB5560" s="73"/>
    </row>
    <row r="5561">
      <c r="A5561" s="73"/>
      <c r="B5561" s="73">
        <v>4.9574646E7</v>
      </c>
      <c r="C5561" s="73">
        <v>2.81450675144498E9</v>
      </c>
      <c r="D5561" s="73">
        <v>2.78680161350236E9</v>
      </c>
      <c r="E5561" s="73"/>
      <c r="F5561" s="73"/>
      <c r="G5561" s="73"/>
      <c r="H5561" s="73"/>
      <c r="I5561" s="73"/>
      <c r="J5561" s="73"/>
      <c r="K5561" s="73"/>
      <c r="L5561" s="73"/>
      <c r="M5561" s="73"/>
      <c r="N5561" s="73"/>
      <c r="O5561" s="73"/>
      <c r="P5561" s="73"/>
      <c r="Q5561" s="73"/>
      <c r="R5561" s="73"/>
      <c r="S5561" s="73"/>
      <c r="T5561" s="73"/>
      <c r="U5561" s="73"/>
      <c r="V5561" s="73"/>
      <c r="W5561" s="73"/>
      <c r="X5561" s="73"/>
      <c r="Y5561" s="73"/>
      <c r="Z5561" s="73"/>
      <c r="AA5561" s="73"/>
      <c r="AB5561" s="73"/>
    </row>
    <row r="5562">
      <c r="A5562" s="73"/>
      <c r="B5562" s="73">
        <v>4.961799932E7</v>
      </c>
      <c r="C5562" s="73">
        <v>2.8201084857721E9</v>
      </c>
      <c r="D5562" s="73">
        <v>2.7950593575665E9</v>
      </c>
      <c r="E5562" s="73"/>
      <c r="F5562" s="73"/>
      <c r="G5562" s="73"/>
      <c r="H5562" s="73"/>
      <c r="I5562" s="73"/>
      <c r="J5562" s="73"/>
      <c r="K5562" s="73"/>
      <c r="L5562" s="73"/>
      <c r="M5562" s="73"/>
      <c r="N5562" s="73"/>
      <c r="O5562" s="73"/>
      <c r="P5562" s="73"/>
      <c r="Q5562" s="73"/>
      <c r="R5562" s="73"/>
      <c r="S5562" s="73"/>
      <c r="T5562" s="73"/>
      <c r="U5562" s="73"/>
      <c r="V5562" s="73"/>
      <c r="W5562" s="73"/>
      <c r="X5562" s="73"/>
      <c r="Y5562" s="73"/>
      <c r="Z5562" s="73"/>
      <c r="AA5562" s="73"/>
      <c r="AB5562" s="73"/>
    </row>
    <row r="5563">
      <c r="A5563" s="73"/>
      <c r="B5563" s="73">
        <v>4.966137852E7</v>
      </c>
      <c r="C5563" s="73">
        <v>2.82572045588869E9</v>
      </c>
      <c r="D5563" s="73">
        <v>2.80334095903161E9</v>
      </c>
      <c r="E5563" s="73"/>
      <c r="F5563" s="73"/>
      <c r="G5563" s="73"/>
      <c r="H5563" s="73"/>
      <c r="I5563" s="73"/>
      <c r="J5563" s="73"/>
      <c r="K5563" s="73"/>
      <c r="L5563" s="73"/>
      <c r="M5563" s="73"/>
      <c r="N5563" s="73"/>
      <c r="O5563" s="73"/>
      <c r="P5563" s="73"/>
      <c r="Q5563" s="73"/>
      <c r="R5563" s="73"/>
      <c r="S5563" s="73"/>
      <c r="T5563" s="73"/>
      <c r="U5563" s="73"/>
      <c r="V5563" s="73"/>
      <c r="W5563" s="73"/>
      <c r="X5563" s="73"/>
      <c r="Y5563" s="73"/>
      <c r="Z5563" s="73"/>
      <c r="AA5563" s="73"/>
      <c r="AB5563" s="73"/>
    </row>
    <row r="5564">
      <c r="A5564" s="73"/>
      <c r="B5564" s="73">
        <v>4.970477939E7</v>
      </c>
      <c r="C5564" s="73">
        <v>2.83134387982768E9</v>
      </c>
      <c r="D5564" s="73">
        <v>2.81164693421673E9</v>
      </c>
      <c r="E5564" s="73"/>
      <c r="F5564" s="73"/>
      <c r="G5564" s="73"/>
      <c r="H5564" s="73"/>
      <c r="I5564" s="73"/>
      <c r="J5564" s="73"/>
      <c r="K5564" s="73"/>
      <c r="L5564" s="73"/>
      <c r="M5564" s="73"/>
      <c r="N5564" s="73"/>
      <c r="O5564" s="73"/>
      <c r="P5564" s="73"/>
      <c r="Q5564" s="73"/>
      <c r="R5564" s="73"/>
      <c r="S5564" s="73"/>
      <c r="T5564" s="73"/>
      <c r="U5564" s="73"/>
      <c r="V5564" s="73"/>
      <c r="W5564" s="73"/>
      <c r="X5564" s="73"/>
      <c r="Y5564" s="73"/>
      <c r="Z5564" s="73"/>
      <c r="AA5564" s="73"/>
      <c r="AB5564" s="73"/>
    </row>
    <row r="5565">
      <c r="A5565" s="73"/>
      <c r="B5565" s="73">
        <v>4.97482069E7</v>
      </c>
      <c r="C5565" s="73">
        <v>2.83697785137609E9</v>
      </c>
      <c r="D5565" s="73">
        <v>2.81997682470941E9</v>
      </c>
      <c r="E5565" s="73"/>
      <c r="F5565" s="73"/>
      <c r="G5565" s="73"/>
      <c r="H5565" s="73"/>
      <c r="I5565" s="73"/>
      <c r="J5565" s="73"/>
      <c r="K5565" s="73"/>
      <c r="L5565" s="73"/>
      <c r="M5565" s="73"/>
      <c r="N5565" s="73"/>
      <c r="O5565" s="73"/>
      <c r="P5565" s="73"/>
      <c r="Q5565" s="73"/>
      <c r="R5565" s="73"/>
      <c r="S5565" s="73"/>
      <c r="T5565" s="73"/>
      <c r="U5565" s="73"/>
      <c r="V5565" s="73"/>
      <c r="W5565" s="73"/>
      <c r="X5565" s="73"/>
      <c r="Y5565" s="73"/>
      <c r="Z5565" s="73"/>
      <c r="AA5565" s="73"/>
      <c r="AB5565" s="73"/>
    </row>
    <row r="5566">
      <c r="A5566" s="73"/>
      <c r="B5566" s="73">
        <v>4.979165859E7</v>
      </c>
      <c r="C5566" s="73">
        <v>2.84262299398891E9</v>
      </c>
      <c r="D5566" s="73">
        <v>2.8283314698714E9</v>
      </c>
      <c r="E5566" s="73"/>
      <c r="F5566" s="73"/>
      <c r="G5566" s="73"/>
      <c r="H5566" s="73"/>
      <c r="I5566" s="73"/>
      <c r="J5566" s="73"/>
      <c r="K5566" s="73"/>
      <c r="L5566" s="73"/>
      <c r="M5566" s="73"/>
      <c r="N5566" s="73"/>
      <c r="O5566" s="73"/>
      <c r="P5566" s="73"/>
      <c r="Q5566" s="73"/>
      <c r="R5566" s="73"/>
      <c r="S5566" s="73"/>
      <c r="T5566" s="73"/>
      <c r="U5566" s="73"/>
      <c r="V5566" s="73"/>
      <c r="W5566" s="73"/>
      <c r="X5566" s="73"/>
      <c r="Y5566" s="73"/>
      <c r="Z5566" s="73"/>
      <c r="AA5566" s="73"/>
      <c r="AB5566" s="73"/>
    </row>
    <row r="5567">
      <c r="A5567" s="73"/>
      <c r="B5567" s="73">
        <v>4.983513445E7</v>
      </c>
      <c r="C5567" s="73">
        <v>2.84827901231957E9</v>
      </c>
      <c r="D5567" s="73">
        <v>2.83671044252425E9</v>
      </c>
      <c r="E5567" s="73"/>
      <c r="F5567" s="73"/>
      <c r="G5567" s="73"/>
      <c r="H5567" s="73"/>
      <c r="I5567" s="73"/>
      <c r="J5567" s="73"/>
      <c r="K5567" s="73"/>
      <c r="L5567" s="73"/>
      <c r="M5567" s="73"/>
      <c r="N5567" s="73"/>
      <c r="O5567" s="73"/>
      <c r="P5567" s="73"/>
      <c r="Q5567" s="73"/>
      <c r="R5567" s="73"/>
      <c r="S5567" s="73"/>
      <c r="T5567" s="73"/>
      <c r="U5567" s="73"/>
      <c r="V5567" s="73"/>
      <c r="W5567" s="73"/>
      <c r="X5567" s="73"/>
      <c r="Y5567" s="73"/>
      <c r="Z5567" s="73"/>
      <c r="AA5567" s="73"/>
      <c r="AB5567" s="73"/>
    </row>
    <row r="5568">
      <c r="A5568" s="73"/>
      <c r="B5568" s="73">
        <v>4.987863565E7</v>
      </c>
      <c r="C5568" s="73">
        <v>2.85394622509797E9</v>
      </c>
      <c r="D5568" s="73">
        <v>2.8451139159508E9</v>
      </c>
      <c r="E5568" s="73"/>
      <c r="F5568" s="73"/>
      <c r="G5568" s="73"/>
      <c r="H5568" s="73"/>
      <c r="I5568" s="73"/>
      <c r="J5568" s="73"/>
      <c r="K5568" s="73"/>
      <c r="L5568" s="73"/>
      <c r="M5568" s="73"/>
      <c r="N5568" s="73"/>
      <c r="O5568" s="73"/>
      <c r="P5568" s="73"/>
      <c r="Q5568" s="73"/>
      <c r="R5568" s="73"/>
      <c r="S5568" s="73"/>
      <c r="T5568" s="73"/>
      <c r="U5568" s="73"/>
      <c r="V5568" s="73"/>
      <c r="W5568" s="73"/>
      <c r="X5568" s="73"/>
      <c r="Y5568" s="73"/>
      <c r="Z5568" s="73"/>
      <c r="AA5568" s="73"/>
      <c r="AB5568" s="73"/>
    </row>
    <row r="5569">
      <c r="A5569" s="73"/>
      <c r="B5569" s="73">
        <v>4.992216034E7</v>
      </c>
      <c r="C5569" s="73">
        <v>2.85962433606888E9</v>
      </c>
      <c r="D5569" s="73">
        <v>2.85354209682605E9</v>
      </c>
      <c r="E5569" s="73"/>
      <c r="F5569" s="73"/>
      <c r="G5569" s="73"/>
      <c r="H5569" s="73"/>
      <c r="I5569" s="73"/>
      <c r="J5569" s="73"/>
      <c r="K5569" s="73"/>
      <c r="L5569" s="73"/>
      <c r="M5569" s="73"/>
      <c r="N5569" s="73"/>
      <c r="O5569" s="73"/>
      <c r="P5569" s="73"/>
      <c r="Q5569" s="73"/>
      <c r="R5569" s="73"/>
      <c r="S5569" s="73"/>
      <c r="T5569" s="73"/>
      <c r="U5569" s="73"/>
      <c r="V5569" s="73"/>
      <c r="W5569" s="73"/>
      <c r="X5569" s="73"/>
      <c r="Y5569" s="73"/>
      <c r="Z5569" s="73"/>
      <c r="AA5569" s="73"/>
      <c r="AB5569" s="73"/>
    </row>
    <row r="5570">
      <c r="A5570" s="73"/>
      <c r="B5570" s="73">
        <v>4.996570869E7</v>
      </c>
      <c r="C5570" s="73">
        <v>2.86531366489717E9</v>
      </c>
      <c r="D5570" s="73">
        <v>2.86199484265411E9</v>
      </c>
      <c r="E5570" s="73"/>
      <c r="F5570" s="73"/>
      <c r="G5570" s="73"/>
      <c r="H5570" s="73"/>
      <c r="I5570" s="73"/>
      <c r="J5570" s="73"/>
      <c r="K5570" s="73"/>
      <c r="L5570" s="73"/>
      <c r="M5570" s="73"/>
      <c r="N5570" s="73"/>
      <c r="O5570" s="73"/>
      <c r="P5570" s="73"/>
      <c r="Q5570" s="73"/>
      <c r="R5570" s="73"/>
      <c r="S5570" s="73"/>
      <c r="T5570" s="73"/>
      <c r="U5570" s="73"/>
      <c r="V5570" s="73"/>
      <c r="W5570" s="73"/>
      <c r="X5570" s="73"/>
      <c r="Y5570" s="73"/>
      <c r="Z5570" s="73"/>
      <c r="AA5570" s="73"/>
      <c r="AB5570" s="73"/>
    </row>
    <row r="5571">
      <c r="A5571" s="73"/>
      <c r="B5571" s="73">
        <v>5.000928372E7</v>
      </c>
      <c r="C5571" s="73">
        <v>2.87101391441613E9</v>
      </c>
      <c r="D5571" s="73">
        <v>2.8704723603509E9</v>
      </c>
      <c r="E5571" s="73"/>
      <c r="F5571" s="73"/>
      <c r="G5571" s="73"/>
      <c r="H5571" s="73"/>
      <c r="I5571" s="73"/>
      <c r="J5571" s="73"/>
      <c r="K5571" s="73"/>
      <c r="L5571" s="73"/>
      <c r="M5571" s="73"/>
      <c r="N5571" s="73"/>
      <c r="O5571" s="73"/>
      <c r="P5571" s="73"/>
      <c r="Q5571" s="73"/>
      <c r="R5571" s="73"/>
      <c r="S5571" s="73"/>
      <c r="T5571" s="73"/>
      <c r="U5571" s="73"/>
      <c r="V5571" s="73"/>
      <c r="W5571" s="73"/>
      <c r="X5571" s="73"/>
      <c r="Y5571" s="73"/>
      <c r="Z5571" s="73"/>
      <c r="AA5571" s="73"/>
      <c r="AB5571" s="73"/>
    </row>
    <row r="5572">
      <c r="A5572" s="73"/>
      <c r="B5572" s="73">
        <v>5.00528813E7</v>
      </c>
      <c r="C5572" s="73">
        <v>2.87672571503687E9</v>
      </c>
      <c r="D5572" s="73">
        <v>2.87897453590097E9</v>
      </c>
      <c r="E5572" s="73"/>
      <c r="F5572" s="73"/>
      <c r="G5572" s="73"/>
      <c r="H5572" s="73"/>
      <c r="I5572" s="73"/>
      <c r="J5572" s="73"/>
      <c r="K5572" s="73"/>
      <c r="L5572" s="73"/>
      <c r="M5572" s="73"/>
      <c r="N5572" s="73"/>
      <c r="O5572" s="73"/>
      <c r="P5572" s="73"/>
      <c r="Q5572" s="73"/>
      <c r="R5572" s="73"/>
      <c r="S5572" s="73"/>
      <c r="T5572" s="73"/>
      <c r="U5572" s="73"/>
      <c r="V5572" s="73"/>
      <c r="W5572" s="73"/>
      <c r="X5572" s="73"/>
      <c r="Y5572" s="73"/>
      <c r="Z5572" s="73"/>
      <c r="AA5572" s="73"/>
      <c r="AB5572" s="73"/>
    </row>
    <row r="5573">
      <c r="A5573" s="73"/>
      <c r="B5573" s="73">
        <v>5.009650504E7</v>
      </c>
      <c r="C5573" s="73">
        <v>2.88244783925297E9</v>
      </c>
      <c r="D5573" s="73">
        <v>2.88750154529642E9</v>
      </c>
      <c r="E5573" s="73"/>
      <c r="F5573" s="73"/>
      <c r="G5573" s="73"/>
      <c r="H5573" s="73"/>
      <c r="I5573" s="73"/>
      <c r="J5573" s="73"/>
      <c r="K5573" s="73"/>
      <c r="L5573" s="73"/>
      <c r="M5573" s="73"/>
      <c r="N5573" s="73"/>
      <c r="O5573" s="73"/>
      <c r="P5573" s="73"/>
      <c r="Q5573" s="73"/>
      <c r="R5573" s="73"/>
      <c r="S5573" s="73"/>
      <c r="T5573" s="73"/>
      <c r="U5573" s="73"/>
      <c r="V5573" s="73"/>
      <c r="W5573" s="73"/>
      <c r="X5573" s="73"/>
      <c r="Y5573" s="73"/>
      <c r="Z5573" s="73"/>
      <c r="AA5573" s="73"/>
      <c r="AB5573" s="73"/>
    </row>
    <row r="5574">
      <c r="A5574" s="73"/>
      <c r="B5574" s="73">
        <v>5.014015097E7</v>
      </c>
      <c r="C5574" s="73">
        <v>2.88818183019017E9</v>
      </c>
      <c r="D5574" s="73">
        <v>2.89605359974984E9</v>
      </c>
      <c r="E5574" s="73"/>
      <c r="F5574" s="73"/>
      <c r="G5574" s="73"/>
      <c r="H5574" s="73"/>
      <c r="I5574" s="73"/>
      <c r="J5574" s="73"/>
      <c r="K5574" s="73"/>
      <c r="L5574" s="73"/>
      <c r="M5574" s="73"/>
      <c r="N5574" s="73"/>
      <c r="O5574" s="73"/>
      <c r="P5574" s="73"/>
      <c r="Q5574" s="73"/>
      <c r="R5574" s="73"/>
      <c r="S5574" s="73"/>
      <c r="T5574" s="73"/>
      <c r="U5574" s="73"/>
      <c r="V5574" s="73"/>
      <c r="W5574" s="73"/>
      <c r="X5574" s="73"/>
      <c r="Y5574" s="73"/>
      <c r="Z5574" s="73"/>
      <c r="AA5574" s="73"/>
      <c r="AB5574" s="73"/>
    </row>
    <row r="5575">
      <c r="A5575" s="73"/>
      <c r="B5575" s="73">
        <v>5.018382306E7</v>
      </c>
      <c r="C5575" s="73">
        <v>2.89392649487048E9</v>
      </c>
      <c r="D5575" s="73">
        <v>2.90463072812192E9</v>
      </c>
      <c r="E5575" s="73"/>
      <c r="F5575" s="73"/>
      <c r="G5575" s="73"/>
      <c r="H5575" s="73"/>
      <c r="I5575" s="73"/>
      <c r="J5575" s="73"/>
      <c r="K5575" s="73"/>
      <c r="L5575" s="73"/>
      <c r="M5575" s="73"/>
      <c r="N5575" s="73"/>
      <c r="O5575" s="73"/>
      <c r="P5575" s="73"/>
      <c r="Q5575" s="73"/>
      <c r="R5575" s="73"/>
      <c r="S5575" s="73"/>
      <c r="T5575" s="73"/>
      <c r="U5575" s="73"/>
      <c r="V5575" s="73"/>
      <c r="W5575" s="73"/>
      <c r="X5575" s="73"/>
      <c r="Y5575" s="73"/>
      <c r="Z5575" s="73"/>
      <c r="AA5575" s="73"/>
      <c r="AB5575" s="73"/>
    </row>
    <row r="5576">
      <c r="A5576" s="73"/>
      <c r="B5576" s="73">
        <v>5.022751901E7</v>
      </c>
      <c r="C5576" s="73">
        <v>2.89968211689419E9</v>
      </c>
      <c r="D5576" s="73">
        <v>2.91323296331315E9</v>
      </c>
      <c r="E5576" s="73"/>
      <c r="F5576" s="73"/>
      <c r="G5576" s="73"/>
      <c r="H5576" s="73"/>
      <c r="I5576" s="73"/>
      <c r="J5576" s="73"/>
      <c r="K5576" s="73"/>
      <c r="L5576" s="73"/>
      <c r="M5576" s="73"/>
      <c r="N5576" s="73"/>
      <c r="O5576" s="73"/>
      <c r="P5576" s="73"/>
      <c r="Q5576" s="73"/>
      <c r="R5576" s="73"/>
      <c r="S5576" s="73"/>
      <c r="T5576" s="73"/>
      <c r="U5576" s="73"/>
      <c r="V5576" s="73"/>
      <c r="W5576" s="73"/>
      <c r="X5576" s="73"/>
      <c r="Y5576" s="73"/>
      <c r="Z5576" s="73"/>
      <c r="AA5576" s="73"/>
      <c r="AB5576" s="73"/>
    </row>
    <row r="5577">
      <c r="A5577" s="73"/>
      <c r="B5577" s="73">
        <v>5.027123993E7</v>
      </c>
      <c r="C5577" s="73">
        <v>2.90544964252316E9</v>
      </c>
      <c r="D5577" s="73">
        <v>2.92186019187219E9</v>
      </c>
      <c r="E5577" s="73"/>
      <c r="F5577" s="73"/>
      <c r="G5577" s="73"/>
      <c r="H5577" s="73"/>
      <c r="I5577" s="73"/>
      <c r="J5577" s="73"/>
      <c r="K5577" s="73"/>
      <c r="L5577" s="73"/>
      <c r="M5577" s="73"/>
      <c r="N5577" s="73"/>
      <c r="O5577" s="73"/>
      <c r="P5577" s="73"/>
      <c r="Q5577" s="73"/>
      <c r="R5577" s="73"/>
      <c r="S5577" s="73"/>
      <c r="T5577" s="73"/>
      <c r="U5577" s="73"/>
      <c r="V5577" s="73"/>
      <c r="W5577" s="73"/>
      <c r="X5577" s="73"/>
      <c r="Y5577" s="73"/>
      <c r="Z5577" s="73"/>
      <c r="AA5577" s="73"/>
      <c r="AB5577" s="73"/>
    </row>
    <row r="5578">
      <c r="A5578" s="73"/>
      <c r="B5578" s="73">
        <v>5.031498531E7</v>
      </c>
      <c r="C5578" s="73">
        <v>2.91122787514541E9</v>
      </c>
      <c r="D5578" s="73">
        <v>2.93051291701464E9</v>
      </c>
      <c r="E5578" s="73"/>
      <c r="F5578" s="73"/>
      <c r="G5578" s="73"/>
      <c r="H5578" s="73"/>
      <c r="I5578" s="73"/>
      <c r="J5578" s="73"/>
      <c r="K5578" s="73"/>
      <c r="L5578" s="73"/>
      <c r="M5578" s="73"/>
      <c r="N5578" s="73"/>
      <c r="O5578" s="73"/>
      <c r="P5578" s="73"/>
      <c r="Q5578" s="73"/>
      <c r="R5578" s="73"/>
      <c r="S5578" s="73"/>
      <c r="T5578" s="73"/>
      <c r="U5578" s="73"/>
      <c r="V5578" s="73"/>
      <c r="W5578" s="73"/>
      <c r="X5578" s="73"/>
      <c r="Y5578" s="73"/>
      <c r="Z5578" s="73"/>
      <c r="AA5578" s="73"/>
      <c r="AB5578" s="73"/>
    </row>
    <row r="5579">
      <c r="A5579" s="73"/>
      <c r="B5579" s="73">
        <v>5.035875386E7</v>
      </c>
      <c r="C5579" s="73">
        <v>2.9170174109038E9</v>
      </c>
      <c r="D5579" s="73">
        <v>2.93919069622348E9</v>
      </c>
      <c r="E5579" s="73"/>
      <c r="F5579" s="73"/>
      <c r="G5579" s="73"/>
      <c r="H5579" s="73"/>
      <c r="I5579" s="73"/>
      <c r="J5579" s="73"/>
      <c r="K5579" s="73"/>
      <c r="L5579" s="73"/>
      <c r="M5579" s="73"/>
      <c r="N5579" s="73"/>
      <c r="O5579" s="73"/>
      <c r="P5579" s="73"/>
      <c r="Q5579" s="73"/>
      <c r="R5579" s="73"/>
      <c r="S5579" s="73"/>
      <c r="T5579" s="73"/>
      <c r="U5579" s="73"/>
      <c r="V5579" s="73"/>
      <c r="W5579" s="73"/>
      <c r="X5579" s="73"/>
      <c r="Y5579" s="73"/>
      <c r="Z5579" s="73"/>
      <c r="AA5579" s="73"/>
      <c r="AB5579" s="73"/>
    </row>
    <row r="5580">
      <c r="A5580" s="73"/>
      <c r="B5580" s="73">
        <v>5.040254807E7</v>
      </c>
      <c r="C5580" s="73">
        <v>2.92281796804672E9</v>
      </c>
      <c r="D5580" s="73">
        <v>2.94789389004962E9</v>
      </c>
      <c r="E5580" s="73"/>
      <c r="F5580" s="73"/>
      <c r="G5580" s="73"/>
      <c r="H5580" s="73"/>
      <c r="I5580" s="73"/>
      <c r="J5580" s="73"/>
      <c r="K5580" s="73"/>
      <c r="L5580" s="73"/>
      <c r="M5580" s="73"/>
      <c r="N5580" s="73"/>
      <c r="O5580" s="73"/>
      <c r="P5580" s="73"/>
      <c r="Q5580" s="73"/>
      <c r="R5580" s="73"/>
      <c r="S5580" s="73"/>
      <c r="T5580" s="73"/>
      <c r="U5580" s="73"/>
      <c r="V5580" s="73"/>
      <c r="W5580" s="73"/>
      <c r="X5580" s="73"/>
      <c r="Y5580" s="73"/>
      <c r="Z5580" s="73"/>
      <c r="AA5580" s="73"/>
      <c r="AB5580" s="73"/>
    </row>
    <row r="5581">
      <c r="A5581" s="73"/>
      <c r="B5581" s="73">
        <v>5.044636648E7</v>
      </c>
      <c r="C5581" s="73">
        <v>2.92863016458481E9</v>
      </c>
      <c r="D5581" s="73">
        <v>2.95662220333466E9</v>
      </c>
      <c r="E5581" s="73"/>
      <c r="F5581" s="73"/>
      <c r="G5581" s="73"/>
      <c r="H5581" s="73"/>
      <c r="I5581" s="73"/>
      <c r="J5581" s="73"/>
      <c r="K5581" s="73"/>
      <c r="L5581" s="73"/>
      <c r="M5581" s="73"/>
      <c r="N5581" s="73"/>
      <c r="O5581" s="73"/>
      <c r="P5581" s="73"/>
      <c r="Q5581" s="73"/>
      <c r="R5581" s="73"/>
      <c r="S5581" s="73"/>
      <c r="T5581" s="73"/>
      <c r="U5581" s="73"/>
      <c r="V5581" s="73"/>
      <c r="W5581" s="73"/>
      <c r="X5581" s="73"/>
      <c r="Y5581" s="73"/>
      <c r="Z5581" s="73"/>
      <c r="AA5581" s="73"/>
      <c r="AB5581" s="73"/>
    </row>
    <row r="5582">
      <c r="A5582" s="73"/>
      <c r="B5582" s="73">
        <v>5.04902102E7</v>
      </c>
      <c r="C5582" s="73">
        <v>2.9344537199023E9</v>
      </c>
      <c r="D5582" s="73">
        <v>2.96537667330151E9</v>
      </c>
      <c r="E5582" s="73"/>
      <c r="F5582" s="73"/>
      <c r="G5582" s="73"/>
      <c r="H5582" s="73"/>
      <c r="I5582" s="73"/>
      <c r="J5582" s="73"/>
      <c r="K5582" s="73"/>
      <c r="L5582" s="73"/>
      <c r="M5582" s="73"/>
      <c r="N5582" s="73"/>
      <c r="O5582" s="73"/>
      <c r="P5582" s="73"/>
      <c r="Q5582" s="73"/>
      <c r="R5582" s="73"/>
      <c r="S5582" s="73"/>
      <c r="T5582" s="73"/>
      <c r="U5582" s="73"/>
      <c r="V5582" s="73"/>
      <c r="W5582" s="73"/>
      <c r="X5582" s="73"/>
      <c r="Y5582" s="73"/>
      <c r="Z5582" s="73"/>
      <c r="AA5582" s="73"/>
      <c r="AB5582" s="73"/>
    </row>
    <row r="5583">
      <c r="A5583" s="73"/>
      <c r="B5583" s="73">
        <v>5.053407744E7</v>
      </c>
      <c r="C5583" s="73">
        <v>2.94028801634483E9</v>
      </c>
      <c r="D5583" s="73">
        <v>2.97415632759833E9</v>
      </c>
      <c r="E5583" s="73"/>
      <c r="F5583" s="73"/>
      <c r="G5583" s="73"/>
      <c r="H5583" s="73"/>
      <c r="I5583" s="73"/>
      <c r="J5583" s="73"/>
      <c r="K5583" s="73"/>
      <c r="L5583" s="73"/>
      <c r="M5583" s="73"/>
      <c r="N5583" s="73"/>
      <c r="O5583" s="73"/>
      <c r="P5583" s="73"/>
      <c r="Q5583" s="73"/>
      <c r="R5583" s="73"/>
      <c r="S5583" s="73"/>
      <c r="T5583" s="73"/>
      <c r="U5583" s="73"/>
      <c r="V5583" s="73"/>
      <c r="W5583" s="73"/>
      <c r="X5583" s="73"/>
      <c r="Y5583" s="73"/>
      <c r="Z5583" s="73"/>
      <c r="AA5583" s="73"/>
      <c r="AB5583" s="73"/>
    </row>
    <row r="5584">
      <c r="A5584" s="73"/>
      <c r="B5584" s="73">
        <v>5.057796923E7</v>
      </c>
      <c r="C5584" s="73">
        <v>2.94613398779803E9</v>
      </c>
      <c r="D5584" s="73">
        <v>2.98296185714157E9</v>
      </c>
      <c r="E5584" s="73"/>
      <c r="F5584" s="73"/>
      <c r="G5584" s="73"/>
      <c r="H5584" s="73"/>
      <c r="I5584" s="73"/>
      <c r="J5584" s="73"/>
      <c r="K5584" s="73"/>
      <c r="L5584" s="73"/>
      <c r="M5584" s="73"/>
      <c r="N5584" s="73"/>
      <c r="O5584" s="73"/>
      <c r="P5584" s="73"/>
      <c r="Q5584" s="73"/>
      <c r="R5584" s="73"/>
      <c r="S5584" s="73"/>
      <c r="T5584" s="73"/>
      <c r="U5584" s="73"/>
      <c r="V5584" s="73"/>
      <c r="W5584" s="73"/>
      <c r="X5584" s="73"/>
      <c r="Y5584" s="73"/>
      <c r="Z5584" s="73"/>
      <c r="AA5584" s="73"/>
      <c r="AB5584" s="73"/>
    </row>
    <row r="5585">
      <c r="A5585" s="73"/>
      <c r="B5585" s="73">
        <v>5.062188558E7</v>
      </c>
      <c r="C5585" s="73">
        <v>2.95199164696713E9</v>
      </c>
      <c r="D5585" s="73">
        <v>2.9917929873379E9</v>
      </c>
      <c r="E5585" s="73"/>
      <c r="F5585" s="73"/>
      <c r="G5585" s="73"/>
      <c r="H5585" s="73"/>
      <c r="I5585" s="73"/>
      <c r="J5585" s="73"/>
      <c r="K5585" s="73"/>
      <c r="L5585" s="73"/>
      <c r="M5585" s="73"/>
      <c r="N5585" s="73"/>
      <c r="O5585" s="73"/>
      <c r="P5585" s="73"/>
      <c r="Q5585" s="73"/>
      <c r="R5585" s="73"/>
      <c r="S5585" s="73"/>
      <c r="T5585" s="73"/>
      <c r="U5585" s="73"/>
      <c r="V5585" s="73"/>
      <c r="W5585" s="73"/>
      <c r="X5585" s="73"/>
      <c r="Y5585" s="73"/>
      <c r="Z5585" s="73"/>
      <c r="AA5585" s="73"/>
      <c r="AB5585" s="73"/>
    </row>
    <row r="5586">
      <c r="A5586" s="73"/>
      <c r="B5586" s="73">
        <v>5.066582767E7</v>
      </c>
      <c r="C5586" s="73">
        <v>2.95786039631566E9</v>
      </c>
      <c r="D5586" s="73">
        <v>3.00064974943562E9</v>
      </c>
      <c r="E5586" s="73"/>
      <c r="F5586" s="73"/>
      <c r="G5586" s="73"/>
      <c r="H5586" s="73"/>
      <c r="I5586" s="73"/>
      <c r="J5586" s="73"/>
      <c r="K5586" s="73"/>
      <c r="L5586" s="73"/>
      <c r="M5586" s="73"/>
      <c r="N5586" s="73"/>
      <c r="O5586" s="73"/>
      <c r="P5586" s="73"/>
      <c r="Q5586" s="73"/>
      <c r="R5586" s="73"/>
      <c r="S5586" s="73"/>
      <c r="T5586" s="73"/>
      <c r="U5586" s="73"/>
      <c r="V5586" s="73"/>
      <c r="W5586" s="73"/>
      <c r="X5586" s="73"/>
      <c r="Y5586" s="73"/>
      <c r="Z5586" s="73"/>
      <c r="AA5586" s="73"/>
      <c r="AB5586" s="73"/>
    </row>
    <row r="5587">
      <c r="A5587" s="73"/>
      <c r="B5587" s="73">
        <v>5.070979317E7</v>
      </c>
      <c r="C5587" s="73">
        <v>2.96374085758094E9</v>
      </c>
      <c r="D5587" s="73">
        <v>3.00953284091487E9</v>
      </c>
      <c r="E5587" s="73"/>
      <c r="F5587" s="73"/>
      <c r="G5587" s="73"/>
      <c r="H5587" s="73"/>
      <c r="I5587" s="73"/>
      <c r="J5587" s="73"/>
      <c r="K5587" s="73"/>
      <c r="L5587" s="73"/>
      <c r="M5587" s="73"/>
      <c r="N5587" s="73"/>
      <c r="O5587" s="73"/>
      <c r="P5587" s="73"/>
      <c r="Q5587" s="73"/>
      <c r="R5587" s="73"/>
      <c r="S5587" s="73"/>
      <c r="T5587" s="73"/>
      <c r="U5587" s="73"/>
      <c r="V5587" s="73"/>
      <c r="W5587" s="73"/>
      <c r="X5587" s="73"/>
      <c r="Y5587" s="73"/>
      <c r="Z5587" s="73"/>
      <c r="AA5587" s="73"/>
      <c r="AB5587" s="73"/>
    </row>
    <row r="5588">
      <c r="A5588" s="73"/>
      <c r="B5588" s="73">
        <v>5.075378281E7</v>
      </c>
      <c r="C5588" s="73">
        <v>2.9696324320052E9</v>
      </c>
      <c r="D5588" s="73">
        <v>3.01844196406168E9</v>
      </c>
      <c r="E5588" s="73"/>
      <c r="F5588" s="73"/>
      <c r="G5588" s="73"/>
      <c r="H5588" s="73"/>
      <c r="I5588" s="73"/>
      <c r="J5588" s="73"/>
      <c r="K5588" s="73"/>
      <c r="L5588" s="73"/>
      <c r="M5588" s="73"/>
      <c r="N5588" s="73"/>
      <c r="O5588" s="73"/>
      <c r="P5588" s="73"/>
      <c r="Q5588" s="73"/>
      <c r="R5588" s="73"/>
      <c r="S5588" s="73"/>
      <c r="T5588" s="73"/>
      <c r="U5588" s="73"/>
      <c r="V5588" s="73"/>
      <c r="W5588" s="73"/>
      <c r="X5588" s="73"/>
      <c r="Y5588" s="73"/>
      <c r="Z5588" s="73"/>
      <c r="AA5588" s="73"/>
      <c r="AB5588" s="73"/>
    </row>
    <row r="5589">
      <c r="A5589" s="73"/>
      <c r="B5589" s="73">
        <v>5.079779794E7</v>
      </c>
      <c r="C5589" s="73">
        <v>2.97553571907155E9</v>
      </c>
      <c r="D5589" s="73">
        <v>3.0273764634975E9</v>
      </c>
      <c r="E5589" s="73"/>
      <c r="F5589" s="73"/>
      <c r="G5589" s="73"/>
      <c r="H5589" s="73"/>
      <c r="I5589" s="73"/>
      <c r="J5589" s="73"/>
      <c r="K5589" s="73"/>
      <c r="L5589" s="73"/>
      <c r="M5589" s="73"/>
      <c r="N5589" s="73"/>
      <c r="O5589" s="73"/>
      <c r="P5589" s="73"/>
      <c r="Q5589" s="73"/>
      <c r="R5589" s="73"/>
      <c r="S5589" s="73"/>
      <c r="T5589" s="73"/>
      <c r="U5589" s="73"/>
      <c r="V5589" s="73"/>
      <c r="W5589" s="73"/>
      <c r="X5589" s="73"/>
      <c r="Y5589" s="73"/>
      <c r="Z5589" s="73"/>
      <c r="AA5589" s="73"/>
      <c r="AB5589" s="73"/>
    </row>
    <row r="5590">
      <c r="A5590" s="73"/>
      <c r="B5590" s="73">
        <v>5.084183713E7</v>
      </c>
      <c r="C5590" s="73">
        <v>2.98144984718861E9</v>
      </c>
      <c r="D5590" s="73">
        <v>3.03633741522584E9</v>
      </c>
      <c r="E5590" s="73"/>
      <c r="F5590" s="73"/>
      <c r="G5590" s="73"/>
      <c r="H5590" s="73"/>
      <c r="I5590" s="73"/>
      <c r="J5590" s="73"/>
      <c r="K5590" s="73"/>
      <c r="L5590" s="73"/>
      <c r="M5590" s="73"/>
      <c r="N5590" s="73"/>
      <c r="O5590" s="73"/>
      <c r="P5590" s="73"/>
      <c r="Q5590" s="73"/>
      <c r="R5590" s="73"/>
      <c r="S5590" s="73"/>
      <c r="T5590" s="73"/>
      <c r="U5590" s="73"/>
      <c r="V5590" s="73"/>
      <c r="W5590" s="73"/>
      <c r="X5590" s="73"/>
      <c r="Y5590" s="73"/>
      <c r="Z5590" s="73"/>
      <c r="AA5590" s="73"/>
      <c r="AB5590" s="73"/>
    </row>
    <row r="5591">
      <c r="A5591" s="73"/>
      <c r="B5591" s="73">
        <v>5.088590024E7</v>
      </c>
      <c r="C5591" s="73">
        <v>2.98737634809627E9</v>
      </c>
      <c r="D5591" s="73">
        <v>3.04532485371553E9</v>
      </c>
      <c r="E5591" s="73"/>
      <c r="F5591" s="73"/>
      <c r="G5591" s="73"/>
      <c r="H5591" s="73"/>
      <c r="I5591" s="73"/>
      <c r="J5591" s="73"/>
      <c r="K5591" s="73"/>
      <c r="L5591" s="73"/>
      <c r="M5591" s="73"/>
      <c r="N5591" s="73"/>
      <c r="O5591" s="73"/>
      <c r="P5591" s="73"/>
      <c r="Q5591" s="73"/>
      <c r="R5591" s="73"/>
      <c r="S5591" s="73"/>
      <c r="T5591" s="73"/>
      <c r="U5591" s="73"/>
      <c r="V5591" s="73"/>
      <c r="W5591" s="73"/>
      <c r="X5591" s="73"/>
      <c r="Y5591" s="73"/>
      <c r="Z5591" s="73"/>
      <c r="AA5591" s="73"/>
      <c r="AB5591" s="73"/>
    </row>
    <row r="5592">
      <c r="A5592" s="73"/>
      <c r="B5592" s="73">
        <v>5.092998826E7</v>
      </c>
      <c r="C5592" s="73">
        <v>2.9933136892429E9</v>
      </c>
      <c r="D5592" s="73">
        <v>3.05433845691745E9</v>
      </c>
      <c r="E5592" s="73"/>
      <c r="F5592" s="73"/>
      <c r="G5592" s="73"/>
      <c r="H5592" s="73"/>
      <c r="I5592" s="73"/>
      <c r="J5592" s="73"/>
      <c r="K5592" s="73"/>
      <c r="L5592" s="73"/>
      <c r="M5592" s="73"/>
      <c r="N5592" s="73"/>
      <c r="O5592" s="73"/>
      <c r="P5592" s="73"/>
      <c r="Q5592" s="73"/>
      <c r="R5592" s="73"/>
      <c r="S5592" s="73"/>
      <c r="T5592" s="73"/>
      <c r="U5592" s="73"/>
      <c r="V5592" s="73"/>
      <c r="W5592" s="73"/>
      <c r="X5592" s="73"/>
      <c r="Y5592" s="73"/>
      <c r="Z5592" s="73"/>
      <c r="AA5592" s="73"/>
      <c r="AB5592" s="73"/>
    </row>
    <row r="5593">
      <c r="A5593" s="73"/>
      <c r="B5593" s="73">
        <v>5.097410124E7</v>
      </c>
      <c r="C5593" s="73">
        <v>2.99926310927388E9</v>
      </c>
      <c r="D5593" s="73">
        <v>3.06337792225159E9</v>
      </c>
      <c r="E5593" s="73"/>
      <c r="F5593" s="73"/>
      <c r="G5593" s="73"/>
      <c r="H5593" s="73"/>
      <c r="I5593" s="73"/>
      <c r="J5593" s="73"/>
      <c r="K5593" s="73"/>
      <c r="L5593" s="73"/>
      <c r="M5593" s="73"/>
      <c r="N5593" s="73"/>
      <c r="O5593" s="73"/>
      <c r="P5593" s="73"/>
      <c r="Q5593" s="73"/>
      <c r="R5593" s="73"/>
      <c r="S5593" s="73"/>
      <c r="T5593" s="73"/>
      <c r="U5593" s="73"/>
      <c r="V5593" s="73"/>
      <c r="W5593" s="73"/>
      <c r="X5593" s="73"/>
      <c r="Y5593" s="73"/>
      <c r="Z5593" s="73"/>
      <c r="AA5593" s="73"/>
      <c r="AB5593" s="73"/>
    </row>
    <row r="5594">
      <c r="A5594" s="73"/>
      <c r="B5594" s="73">
        <v>5.101823881E7</v>
      </c>
      <c r="C5594" s="73">
        <v>3.00522371115916E9</v>
      </c>
      <c r="D5594" s="73">
        <v>3.07244431275731E9</v>
      </c>
      <c r="E5594" s="73"/>
      <c r="F5594" s="73"/>
      <c r="G5594" s="73"/>
      <c r="H5594" s="73"/>
      <c r="I5594" s="73"/>
      <c r="J5594" s="73"/>
      <c r="K5594" s="73"/>
      <c r="L5594" s="73"/>
      <c r="M5594" s="73"/>
      <c r="N5594" s="73"/>
      <c r="O5594" s="73"/>
      <c r="P5594" s="73"/>
      <c r="Q5594" s="73"/>
      <c r="R5594" s="73"/>
      <c r="S5594" s="73"/>
      <c r="T5594" s="73"/>
      <c r="U5594" s="73"/>
      <c r="V5594" s="73"/>
      <c r="W5594" s="73"/>
      <c r="X5594" s="73"/>
      <c r="Y5594" s="73"/>
      <c r="Z5594" s="73"/>
      <c r="AA5594" s="73"/>
      <c r="AB5594" s="73"/>
    </row>
    <row r="5595">
      <c r="A5595" s="73"/>
      <c r="B5595" s="73">
        <v>5.106240062E7</v>
      </c>
      <c r="C5595" s="73">
        <v>3.01119582648314E9</v>
      </c>
      <c r="D5595" s="73">
        <v>3.08153698537063E9</v>
      </c>
      <c r="E5595" s="73"/>
      <c r="F5595" s="73"/>
      <c r="G5595" s="73"/>
      <c r="H5595" s="73"/>
      <c r="I5595" s="73"/>
      <c r="J5595" s="73"/>
      <c r="K5595" s="73"/>
      <c r="L5595" s="73"/>
      <c r="M5595" s="73"/>
      <c r="N5595" s="73"/>
      <c r="O5595" s="73"/>
      <c r="P5595" s="73"/>
      <c r="Q5595" s="73"/>
      <c r="R5595" s="73"/>
      <c r="S5595" s="73"/>
      <c r="T5595" s="73"/>
      <c r="U5595" s="73"/>
      <c r="V5595" s="73"/>
      <c r="W5595" s="73"/>
      <c r="X5595" s="73"/>
      <c r="Y5595" s="73"/>
      <c r="Z5595" s="73"/>
      <c r="AA5595" s="73"/>
      <c r="AB5595" s="73"/>
    </row>
    <row r="5596">
      <c r="A5596" s="73"/>
      <c r="B5596" s="73">
        <v>5.110658809E7</v>
      </c>
      <c r="C5596" s="73">
        <v>3.01717973705771E9</v>
      </c>
      <c r="D5596" s="73">
        <v>3.09065631617976E9</v>
      </c>
      <c r="E5596" s="73"/>
      <c r="F5596" s="73"/>
      <c r="G5596" s="73"/>
      <c r="H5596" s="73"/>
      <c r="I5596" s="73"/>
      <c r="J5596" s="73"/>
      <c r="K5596" s="73"/>
      <c r="L5596" s="73"/>
      <c r="M5596" s="73"/>
      <c r="N5596" s="73"/>
      <c r="O5596" s="73"/>
      <c r="P5596" s="73"/>
      <c r="Q5596" s="73"/>
      <c r="R5596" s="73"/>
      <c r="S5596" s="73"/>
      <c r="T5596" s="73"/>
      <c r="U5596" s="73"/>
      <c r="V5596" s="73"/>
      <c r="W5596" s="73"/>
      <c r="X5596" s="73"/>
      <c r="Y5596" s="73"/>
      <c r="Z5596" s="73"/>
      <c r="AA5596" s="73"/>
      <c r="AB5596" s="73"/>
    </row>
    <row r="5597">
      <c r="A5597" s="73"/>
      <c r="B5597" s="73">
        <v>5.115079825E7</v>
      </c>
      <c r="C5597" s="73">
        <v>3.02317548085258E9</v>
      </c>
      <c r="D5597" s="73">
        <v>3.09980233620025E9</v>
      </c>
      <c r="E5597" s="73"/>
      <c r="F5597" s="73"/>
      <c r="G5597" s="73"/>
      <c r="H5597" s="73"/>
      <c r="I5597" s="73"/>
      <c r="J5597" s="73"/>
      <c r="K5597" s="73"/>
      <c r="L5597" s="73"/>
      <c r="M5597" s="73"/>
      <c r="N5597" s="73"/>
      <c r="O5597" s="73"/>
      <c r="P5597" s="73"/>
      <c r="Q5597" s="73"/>
      <c r="R5597" s="73"/>
      <c r="S5597" s="73"/>
      <c r="T5597" s="73"/>
      <c r="U5597" s="73"/>
      <c r="V5597" s="73"/>
      <c r="W5597" s="73"/>
      <c r="X5597" s="73"/>
      <c r="Y5597" s="73"/>
      <c r="Z5597" s="73"/>
      <c r="AA5597" s="73"/>
      <c r="AB5597" s="73"/>
    </row>
    <row r="5598">
      <c r="A5598" s="73"/>
      <c r="B5598" s="73">
        <v>5.119503295E7</v>
      </c>
      <c r="C5598" s="73">
        <v>3.0291827485496E9</v>
      </c>
      <c r="D5598" s="73">
        <v>3.10897508111086E9</v>
      </c>
      <c r="E5598" s="73"/>
      <c r="F5598" s="73"/>
      <c r="G5598" s="73"/>
      <c r="H5598" s="73"/>
      <c r="I5598" s="73"/>
      <c r="J5598" s="73"/>
      <c r="K5598" s="73"/>
      <c r="L5598" s="73"/>
      <c r="M5598" s="73"/>
      <c r="N5598" s="73"/>
      <c r="O5598" s="73"/>
      <c r="P5598" s="73"/>
      <c r="Q5598" s="73"/>
      <c r="R5598" s="73"/>
      <c r="S5598" s="73"/>
      <c r="T5598" s="73"/>
      <c r="U5598" s="73"/>
      <c r="V5598" s="73"/>
      <c r="W5598" s="73"/>
      <c r="X5598" s="73"/>
      <c r="Y5598" s="73"/>
      <c r="Z5598" s="73"/>
      <c r="AA5598" s="73"/>
      <c r="AB5598" s="73"/>
    </row>
    <row r="5599">
      <c r="A5599" s="73"/>
      <c r="B5599" s="73">
        <v>5.123929386E7</v>
      </c>
      <c r="C5599" s="73">
        <v>3.03520155151014E9</v>
      </c>
      <c r="D5599" s="73">
        <v>3.11817424298849E9</v>
      </c>
      <c r="E5599" s="73"/>
      <c r="F5599" s="73"/>
      <c r="G5599" s="73"/>
      <c r="H5599" s="73"/>
      <c r="I5599" s="73"/>
      <c r="J5599" s="73"/>
      <c r="K5599" s="73"/>
      <c r="L5599" s="73"/>
      <c r="M5599" s="73"/>
      <c r="N5599" s="73"/>
      <c r="O5599" s="73"/>
      <c r="P5599" s="73"/>
      <c r="Q5599" s="73"/>
      <c r="R5599" s="73"/>
      <c r="S5599" s="73"/>
      <c r="T5599" s="73"/>
      <c r="U5599" s="73"/>
      <c r="V5599" s="73"/>
      <c r="W5599" s="73"/>
      <c r="X5599" s="73"/>
      <c r="Y5599" s="73"/>
      <c r="Z5599" s="73"/>
      <c r="AA5599" s="73"/>
      <c r="AB5599" s="73"/>
    </row>
    <row r="5600">
      <c r="A5600" s="73"/>
      <c r="B5600" s="73">
        <v>5.128357699E7</v>
      </c>
      <c r="C5600" s="73">
        <v>3.04123222418742E9</v>
      </c>
      <c r="D5600" s="73">
        <v>3.127400896563E9</v>
      </c>
      <c r="E5600" s="73"/>
      <c r="F5600" s="73"/>
      <c r="G5600" s="73"/>
      <c r="H5600" s="73"/>
      <c r="I5600" s="73"/>
      <c r="J5600" s="73"/>
      <c r="K5600" s="73"/>
      <c r="L5600" s="73"/>
      <c r="M5600" s="73"/>
      <c r="N5600" s="73"/>
      <c r="O5600" s="73"/>
      <c r="P5600" s="73"/>
      <c r="Q5600" s="73"/>
      <c r="R5600" s="73"/>
      <c r="S5600" s="73"/>
      <c r="T5600" s="73"/>
      <c r="U5600" s="73"/>
      <c r="V5600" s="73"/>
      <c r="W5600" s="73"/>
      <c r="X5600" s="73"/>
      <c r="Y5600" s="73"/>
      <c r="Z5600" s="73"/>
      <c r="AA5600" s="73"/>
      <c r="AB5600" s="73"/>
    </row>
    <row r="5601">
      <c r="A5601" s="73"/>
      <c r="B5601" s="73">
        <v>5.13278878E7</v>
      </c>
      <c r="C5601" s="73">
        <v>3.04727445583324E9</v>
      </c>
      <c r="D5601" s="73">
        <v>3.13665403507276E9</v>
      </c>
      <c r="E5601" s="73"/>
      <c r="F5601" s="73"/>
      <c r="G5601" s="73"/>
      <c r="H5601" s="73"/>
      <c r="I5601" s="73"/>
      <c r="J5601" s="73"/>
      <c r="K5601" s="73"/>
      <c r="L5601" s="73"/>
      <c r="M5601" s="73"/>
      <c r="N5601" s="73"/>
      <c r="O5601" s="73"/>
      <c r="P5601" s="73"/>
      <c r="Q5601" s="73"/>
      <c r="R5601" s="73"/>
      <c r="S5601" s="73"/>
      <c r="T5601" s="73"/>
      <c r="U5601" s="73"/>
      <c r="V5601" s="73"/>
      <c r="W5601" s="73"/>
      <c r="X5601" s="73"/>
      <c r="Y5601" s="73"/>
      <c r="Z5601" s="73"/>
      <c r="AA5601" s="73"/>
      <c r="AB5601" s="73"/>
    </row>
    <row r="5602">
      <c r="A5602" s="73"/>
      <c r="B5602" s="73">
        <v>5.137222204E7</v>
      </c>
      <c r="C5602" s="73">
        <v>3.05332825782416E9</v>
      </c>
      <c r="D5602" s="73">
        <v>3.14593439086426E9</v>
      </c>
      <c r="E5602" s="73"/>
      <c r="F5602" s="73"/>
      <c r="G5602" s="73"/>
      <c r="H5602" s="73"/>
      <c r="I5602" s="73"/>
      <c r="J5602" s="73"/>
      <c r="K5602" s="73"/>
      <c r="L5602" s="73"/>
      <c r="M5602" s="73"/>
      <c r="N5602" s="73"/>
      <c r="O5602" s="73"/>
      <c r="P5602" s="73"/>
      <c r="Q5602" s="73"/>
      <c r="R5602" s="73"/>
      <c r="S5602" s="73"/>
      <c r="T5602" s="73"/>
      <c r="U5602" s="73"/>
      <c r="V5602" s="73"/>
      <c r="W5602" s="73"/>
      <c r="X5602" s="73"/>
      <c r="Y5602" s="73"/>
      <c r="Z5602" s="73"/>
      <c r="AA5602" s="73"/>
      <c r="AB5602" s="73"/>
    </row>
    <row r="5603">
      <c r="A5603" s="73"/>
      <c r="B5603" s="73">
        <v>5.141657924E7</v>
      </c>
      <c r="C5603" s="73">
        <v>3.05939429062825E9</v>
      </c>
      <c r="D5603" s="73">
        <v>3.15524200290416E9</v>
      </c>
      <c r="E5603" s="73"/>
      <c r="F5603" s="73"/>
      <c r="G5603" s="73"/>
      <c r="H5603" s="73"/>
      <c r="I5603" s="73"/>
      <c r="J5603" s="73"/>
      <c r="K5603" s="73"/>
      <c r="L5603" s="73"/>
      <c r="M5603" s="73"/>
      <c r="N5603" s="73"/>
      <c r="O5603" s="73"/>
      <c r="P5603" s="73"/>
      <c r="Q5603" s="73"/>
      <c r="R5603" s="73"/>
      <c r="S5603" s="73"/>
      <c r="T5603" s="73"/>
      <c r="U5603" s="73"/>
      <c r="V5603" s="73"/>
      <c r="W5603" s="73"/>
      <c r="X5603" s="73"/>
      <c r="Y5603" s="73"/>
      <c r="Z5603" s="73"/>
      <c r="AA5603" s="73"/>
      <c r="AB5603" s="73"/>
    </row>
    <row r="5604">
      <c r="A5604" s="73"/>
      <c r="B5604" s="73">
        <v>5.146096263E7</v>
      </c>
      <c r="C5604" s="73">
        <v>3.06547188991661E9</v>
      </c>
      <c r="D5604" s="73">
        <v>3.16457619951952E9</v>
      </c>
      <c r="E5604" s="73"/>
      <c r="F5604" s="73"/>
      <c r="G5604" s="73"/>
      <c r="H5604" s="73"/>
      <c r="I5604" s="73"/>
      <c r="J5604" s="73"/>
      <c r="K5604" s="73"/>
      <c r="L5604" s="73"/>
      <c r="M5604" s="73"/>
      <c r="N5604" s="73"/>
      <c r="O5604" s="73"/>
      <c r="P5604" s="73"/>
      <c r="Q5604" s="73"/>
      <c r="R5604" s="73"/>
      <c r="S5604" s="73"/>
      <c r="T5604" s="73"/>
      <c r="U5604" s="73"/>
      <c r="V5604" s="73"/>
      <c r="W5604" s="73"/>
      <c r="X5604" s="73"/>
      <c r="Y5604" s="73"/>
      <c r="Z5604" s="73"/>
      <c r="AA5604" s="73"/>
      <c r="AB5604" s="73"/>
    </row>
    <row r="5605">
      <c r="A5605" s="73"/>
      <c r="B5605" s="73">
        <v>5.150536942E7</v>
      </c>
      <c r="C5605" s="73">
        <v>3.07156079836997E9</v>
      </c>
      <c r="D5605" s="73">
        <v>3.17393842411913E9</v>
      </c>
      <c r="E5605" s="73"/>
      <c r="F5605" s="73"/>
      <c r="G5605" s="73"/>
      <c r="H5605" s="73"/>
      <c r="I5605" s="73"/>
      <c r="J5605" s="73"/>
      <c r="K5605" s="73"/>
      <c r="L5605" s="73"/>
      <c r="M5605" s="73"/>
      <c r="N5605" s="73"/>
      <c r="O5605" s="73"/>
      <c r="P5605" s="73"/>
      <c r="Q5605" s="73"/>
      <c r="R5605" s="73"/>
      <c r="S5605" s="73"/>
      <c r="T5605" s="73"/>
      <c r="U5605" s="73"/>
      <c r="V5605" s="73"/>
      <c r="W5605" s="73"/>
      <c r="X5605" s="73"/>
      <c r="Y5605" s="73"/>
      <c r="Z5605" s="73"/>
      <c r="AA5605" s="73"/>
      <c r="AB5605" s="73"/>
    </row>
    <row r="5606">
      <c r="A5606" s="73"/>
      <c r="B5606" s="73">
        <v>5.154980203E7</v>
      </c>
      <c r="C5606" s="73">
        <v>3.07766227245339E9</v>
      </c>
      <c r="D5606" s="73">
        <v>3.18332765880774E9</v>
      </c>
      <c r="E5606" s="73"/>
      <c r="F5606" s="73"/>
      <c r="G5606" s="73"/>
      <c r="H5606" s="73"/>
      <c r="I5606" s="73"/>
      <c r="J5606" s="73"/>
      <c r="K5606" s="73"/>
      <c r="L5606" s="73"/>
      <c r="M5606" s="73"/>
      <c r="N5606" s="73"/>
      <c r="O5606" s="73"/>
      <c r="P5606" s="73"/>
      <c r="Q5606" s="73"/>
      <c r="R5606" s="73"/>
      <c r="S5606" s="73"/>
      <c r="T5606" s="73"/>
      <c r="U5606" s="73"/>
      <c r="V5606" s="73"/>
      <c r="W5606" s="73"/>
      <c r="X5606" s="73"/>
      <c r="Y5606" s="73"/>
      <c r="Z5606" s="73"/>
      <c r="AA5606" s="73"/>
      <c r="AB5606" s="73"/>
    </row>
    <row r="5607">
      <c r="A5607" s="73"/>
      <c r="B5607" s="73">
        <v>5.159425877E7</v>
      </c>
      <c r="C5607" s="73">
        <v>3.08377537705467E9</v>
      </c>
      <c r="D5607" s="73">
        <v>3.19274428582276E9</v>
      </c>
      <c r="E5607" s="73"/>
      <c r="F5607" s="73"/>
      <c r="G5607" s="73"/>
      <c r="H5607" s="73"/>
      <c r="I5607" s="73"/>
      <c r="J5607" s="73"/>
      <c r="K5607" s="73"/>
      <c r="L5607" s="73"/>
      <c r="M5607" s="73"/>
      <c r="N5607" s="73"/>
      <c r="O5607" s="73"/>
      <c r="P5607" s="73"/>
      <c r="Q5607" s="73"/>
      <c r="R5607" s="73"/>
      <c r="S5607" s="73"/>
      <c r="T5607" s="73"/>
      <c r="U5607" s="73"/>
      <c r="V5607" s="73"/>
      <c r="W5607" s="73"/>
      <c r="X5607" s="73"/>
      <c r="Y5607" s="73"/>
      <c r="Z5607" s="73"/>
      <c r="AA5607" s="73"/>
      <c r="AB5607" s="73"/>
    </row>
    <row r="5608">
      <c r="A5608" s="73"/>
      <c r="B5608" s="73">
        <v>5.163874053E7</v>
      </c>
      <c r="C5608" s="73">
        <v>3.08990009363045E9</v>
      </c>
      <c r="D5608" s="73">
        <v>3.20218834456157E9</v>
      </c>
      <c r="E5608" s="73"/>
      <c r="F5608" s="73"/>
      <c r="G5608" s="73"/>
      <c r="H5608" s="73"/>
      <c r="I5608" s="73"/>
      <c r="J5608" s="73"/>
      <c r="K5608" s="73"/>
      <c r="L5608" s="73"/>
      <c r="M5608" s="73"/>
      <c r="N5608" s="73"/>
      <c r="O5608" s="73"/>
      <c r="P5608" s="73"/>
      <c r="Q5608" s="73"/>
      <c r="R5608" s="73"/>
      <c r="S5608" s="73"/>
      <c r="T5608" s="73"/>
      <c r="U5608" s="73"/>
      <c r="V5608" s="73"/>
      <c r="W5608" s="73"/>
      <c r="X5608" s="73"/>
      <c r="Y5608" s="73"/>
      <c r="Z5608" s="73"/>
      <c r="AA5608" s="73"/>
      <c r="AB5608" s="73"/>
    </row>
    <row r="5609">
      <c r="A5609" s="73"/>
      <c r="B5609" s="73">
        <v>5.168324638E7</v>
      </c>
      <c r="C5609" s="73">
        <v>3.09603711780511E9</v>
      </c>
      <c r="D5609" s="73">
        <v>3.21166022257017E9</v>
      </c>
      <c r="E5609" s="73"/>
      <c r="F5609" s="73"/>
      <c r="G5609" s="73"/>
      <c r="H5609" s="73"/>
      <c r="I5609" s="73"/>
      <c r="J5609" s="73"/>
      <c r="K5609" s="73"/>
      <c r="L5609" s="73"/>
      <c r="M5609" s="73"/>
      <c r="N5609" s="73"/>
      <c r="O5609" s="73"/>
      <c r="P5609" s="73"/>
      <c r="Q5609" s="73"/>
      <c r="R5609" s="73"/>
      <c r="S5609" s="73"/>
      <c r="T5609" s="73"/>
      <c r="U5609" s="73"/>
      <c r="V5609" s="73"/>
      <c r="W5609" s="73"/>
      <c r="X5609" s="73"/>
      <c r="Y5609" s="73"/>
      <c r="Z5609" s="73"/>
      <c r="AA5609" s="73"/>
      <c r="AB5609" s="73"/>
    </row>
    <row r="5610">
      <c r="A5610" s="73"/>
      <c r="B5610" s="73">
        <v>5.172777649E7</v>
      </c>
      <c r="C5610" s="73">
        <v>3.10218580800828E9</v>
      </c>
      <c r="D5610" s="73">
        <v>3.22115960804469E9</v>
      </c>
      <c r="E5610" s="73"/>
      <c r="F5610" s="73"/>
      <c r="G5610" s="73"/>
      <c r="H5610" s="73"/>
      <c r="I5610" s="73"/>
      <c r="J5610" s="73"/>
      <c r="K5610" s="73"/>
      <c r="L5610" s="73"/>
      <c r="M5610" s="73"/>
      <c r="N5610" s="73"/>
      <c r="O5610" s="73"/>
      <c r="P5610" s="73"/>
      <c r="Q5610" s="73"/>
      <c r="R5610" s="73"/>
      <c r="S5610" s="73"/>
      <c r="T5610" s="73"/>
      <c r="U5610" s="73"/>
      <c r="V5610" s="73"/>
      <c r="W5610" s="73"/>
      <c r="X5610" s="73"/>
      <c r="Y5610" s="73"/>
      <c r="Z5610" s="73"/>
      <c r="AA5610" s="73"/>
      <c r="AB5610" s="73"/>
    </row>
    <row r="5611">
      <c r="A5611" s="73"/>
      <c r="B5611" s="73">
        <v>5.177233316E7</v>
      </c>
      <c r="C5611" s="73">
        <v>3.10834647312947E9</v>
      </c>
      <c r="D5611" s="73">
        <v>3.23068688216186E9</v>
      </c>
      <c r="E5611" s="73"/>
      <c r="F5611" s="73"/>
      <c r="G5611" s="73"/>
      <c r="H5611" s="73"/>
      <c r="I5611" s="73"/>
      <c r="J5611" s="73"/>
      <c r="K5611" s="73"/>
      <c r="L5611" s="73"/>
      <c r="M5611" s="73"/>
      <c r="N5611" s="73"/>
      <c r="O5611" s="73"/>
      <c r="P5611" s="73"/>
      <c r="Q5611" s="73"/>
      <c r="R5611" s="73"/>
      <c r="S5611" s="73"/>
      <c r="T5611" s="73"/>
      <c r="U5611" s="73"/>
      <c r="V5611" s="73"/>
      <c r="W5611" s="73"/>
      <c r="X5611" s="73"/>
      <c r="Y5611" s="73"/>
      <c r="Z5611" s="73"/>
      <c r="AA5611" s="73"/>
      <c r="AB5611" s="73"/>
    </row>
    <row r="5612">
      <c r="A5612" s="73"/>
      <c r="B5612" s="73">
        <v>5.18169121E7</v>
      </c>
      <c r="C5612" s="73">
        <v>3.11451882742098E9</v>
      </c>
      <c r="D5612" s="73">
        <v>3.24024173129181E9</v>
      </c>
      <c r="E5612" s="73"/>
      <c r="F5612" s="73"/>
      <c r="G5612" s="73"/>
      <c r="H5612" s="73"/>
      <c r="I5612" s="73"/>
      <c r="J5612" s="73"/>
      <c r="K5612" s="73"/>
      <c r="L5612" s="73"/>
      <c r="M5612" s="73"/>
      <c r="N5612" s="73"/>
      <c r="O5612" s="73"/>
      <c r="P5612" s="73"/>
      <c r="Q5612" s="73"/>
      <c r="R5612" s="73"/>
      <c r="S5612" s="73"/>
      <c r="T5612" s="73"/>
      <c r="U5612" s="73"/>
      <c r="V5612" s="73"/>
      <c r="W5612" s="73"/>
      <c r="X5612" s="73"/>
      <c r="Y5612" s="73"/>
      <c r="Z5612" s="73"/>
      <c r="AA5612" s="73"/>
      <c r="AB5612" s="73"/>
    </row>
    <row r="5613">
      <c r="A5613" s="73"/>
      <c r="B5613" s="73">
        <v>5.186151592E7</v>
      </c>
      <c r="C5613" s="73">
        <v>3.12070350951446E9</v>
      </c>
      <c r="D5613" s="73">
        <v>3.24982454481676E9</v>
      </c>
      <c r="E5613" s="73"/>
      <c r="F5613" s="73"/>
      <c r="G5613" s="73"/>
      <c r="H5613" s="73"/>
      <c r="I5613" s="73"/>
      <c r="J5613" s="73"/>
      <c r="K5613" s="73"/>
      <c r="L5613" s="73"/>
      <c r="M5613" s="73"/>
      <c r="N5613" s="73"/>
      <c r="O5613" s="73"/>
      <c r="P5613" s="73"/>
      <c r="Q5613" s="73"/>
      <c r="R5613" s="73"/>
      <c r="S5613" s="73"/>
      <c r="T5613" s="73"/>
      <c r="U5613" s="73"/>
      <c r="V5613" s="73"/>
      <c r="W5613" s="73"/>
      <c r="X5613" s="73"/>
      <c r="Y5613" s="73"/>
      <c r="Z5613" s="73"/>
      <c r="AA5613" s="73"/>
      <c r="AB5613" s="73"/>
    </row>
    <row r="5614">
      <c r="A5614" s="73"/>
      <c r="B5614" s="73">
        <v>5.190614553E7</v>
      </c>
      <c r="C5614" s="73">
        <v>3.1269002028241E9</v>
      </c>
      <c r="D5614" s="73">
        <v>3.25943571717993E9</v>
      </c>
      <c r="E5614" s="73"/>
      <c r="F5614" s="73"/>
      <c r="G5614" s="73"/>
      <c r="H5614" s="73"/>
      <c r="I5614" s="73"/>
      <c r="J5614" s="73"/>
      <c r="K5614" s="73"/>
      <c r="L5614" s="73"/>
      <c r="M5614" s="73"/>
      <c r="N5614" s="73"/>
      <c r="O5614" s="73"/>
      <c r="P5614" s="73"/>
      <c r="Q5614" s="73"/>
      <c r="R5614" s="73"/>
      <c r="S5614" s="73"/>
      <c r="T5614" s="73"/>
      <c r="U5614" s="73"/>
      <c r="V5614" s="73"/>
      <c r="W5614" s="73"/>
      <c r="X5614" s="73"/>
      <c r="Y5614" s="73"/>
      <c r="Z5614" s="73"/>
      <c r="AA5614" s="73"/>
      <c r="AB5614" s="73"/>
    </row>
    <row r="5615">
      <c r="A5615" s="73"/>
      <c r="B5615" s="73">
        <v>5.195079814E7</v>
      </c>
      <c r="C5615" s="73">
        <v>3.13310865357619E9</v>
      </c>
      <c r="D5615" s="73">
        <v>3.26907456810995E9</v>
      </c>
      <c r="E5615" s="73"/>
      <c r="F5615" s="73"/>
      <c r="G5615" s="73"/>
      <c r="H5615" s="73"/>
      <c r="I5615" s="73"/>
      <c r="J5615" s="73"/>
      <c r="K5615" s="73"/>
      <c r="L5615" s="73"/>
      <c r="M5615" s="73"/>
      <c r="N5615" s="73"/>
      <c r="O5615" s="73"/>
      <c r="P5615" s="73"/>
      <c r="Q5615" s="73"/>
      <c r="R5615" s="73"/>
      <c r="S5615" s="73"/>
      <c r="T5615" s="73"/>
      <c r="U5615" s="73"/>
      <c r="V5615" s="73"/>
      <c r="W5615" s="73"/>
      <c r="X5615" s="73"/>
      <c r="Y5615" s="73"/>
      <c r="Z5615" s="73"/>
      <c r="AA5615" s="73"/>
      <c r="AB5615" s="73"/>
    </row>
    <row r="5616">
      <c r="A5616" s="73"/>
      <c r="B5616" s="73">
        <v>5.199547573E7</v>
      </c>
      <c r="C5616" s="73">
        <v>3.13932976883375E9</v>
      </c>
      <c r="D5616" s="73">
        <v>3.27874185195806E9</v>
      </c>
      <c r="E5616" s="73"/>
      <c r="F5616" s="73"/>
      <c r="G5616" s="73"/>
      <c r="H5616" s="73"/>
      <c r="I5616" s="73"/>
      <c r="J5616" s="73"/>
      <c r="K5616" s="73"/>
      <c r="L5616" s="73"/>
      <c r="M5616" s="73"/>
      <c r="N5616" s="73"/>
      <c r="O5616" s="73"/>
      <c r="P5616" s="73"/>
      <c r="Q5616" s="73"/>
      <c r="R5616" s="73"/>
      <c r="S5616" s="73"/>
      <c r="T5616" s="73"/>
      <c r="U5616" s="73"/>
      <c r="V5616" s="73"/>
      <c r="W5616" s="73"/>
      <c r="X5616" s="73"/>
      <c r="Y5616" s="73"/>
      <c r="Z5616" s="73"/>
      <c r="AA5616" s="73"/>
      <c r="AB5616" s="73"/>
    </row>
    <row r="5617">
      <c r="A5617" s="73"/>
      <c r="B5617" s="73">
        <v>5.204017953E7</v>
      </c>
      <c r="C5617" s="73">
        <v>3.14556230289319E9</v>
      </c>
      <c r="D5617" s="73">
        <v>3.28843724399799E9</v>
      </c>
      <c r="E5617" s="73"/>
      <c r="F5617" s="73"/>
      <c r="G5617" s="73"/>
      <c r="H5617" s="73"/>
      <c r="I5617" s="73"/>
      <c r="J5617" s="73"/>
      <c r="K5617" s="73"/>
      <c r="L5617" s="73"/>
      <c r="M5617" s="73"/>
      <c r="N5617" s="73"/>
      <c r="O5617" s="73"/>
      <c r="P5617" s="73"/>
      <c r="Q5617" s="73"/>
      <c r="R5617" s="73"/>
      <c r="S5617" s="73"/>
      <c r="T5617" s="73"/>
      <c r="U5617" s="73"/>
      <c r="V5617" s="73"/>
      <c r="W5617" s="73"/>
      <c r="X5617" s="73"/>
      <c r="Y5617" s="73"/>
      <c r="Z5617" s="73"/>
      <c r="AA5617" s="73"/>
      <c r="AB5617" s="73"/>
    </row>
    <row r="5618">
      <c r="A5618" s="73"/>
      <c r="B5618" s="73">
        <v>5.208490707E7</v>
      </c>
      <c r="C5618" s="73">
        <v>3.15180722804698E9</v>
      </c>
      <c r="D5618" s="73">
        <v>3.2981607832975E9</v>
      </c>
      <c r="E5618" s="73"/>
      <c r="F5618" s="73"/>
      <c r="G5618" s="73"/>
      <c r="H5618" s="73"/>
      <c r="I5618" s="73"/>
      <c r="J5618" s="73"/>
      <c r="K5618" s="73"/>
      <c r="L5618" s="73"/>
      <c r="M5618" s="73"/>
      <c r="N5618" s="73"/>
      <c r="O5618" s="73"/>
      <c r="P5618" s="73"/>
      <c r="Q5618" s="73"/>
      <c r="R5618" s="73"/>
      <c r="S5618" s="73"/>
      <c r="T5618" s="73"/>
      <c r="U5618" s="73"/>
      <c r="V5618" s="73"/>
      <c r="W5618" s="73"/>
      <c r="X5618" s="73"/>
      <c r="Y5618" s="73"/>
      <c r="Z5618" s="73"/>
      <c r="AA5618" s="73"/>
      <c r="AB5618" s="73"/>
    </row>
    <row r="5619">
      <c r="A5619" s="73"/>
      <c r="B5619" s="73">
        <v>5.212965998E7</v>
      </c>
      <c r="C5619" s="73">
        <v>3.15806422526543E9</v>
      </c>
      <c r="D5619" s="73">
        <v>3.30791286135834E9</v>
      </c>
      <c r="E5619" s="73"/>
      <c r="F5619" s="73"/>
      <c r="G5619" s="73"/>
      <c r="H5619" s="73"/>
      <c r="I5619" s="73"/>
      <c r="J5619" s="73"/>
      <c r="K5619" s="73"/>
      <c r="L5619" s="73"/>
      <c r="M5619" s="73"/>
      <c r="N5619" s="73"/>
      <c r="O5619" s="73"/>
      <c r="P5619" s="73"/>
      <c r="Q5619" s="73"/>
      <c r="R5619" s="73"/>
      <c r="S5619" s="73"/>
      <c r="T5619" s="73"/>
      <c r="U5619" s="73"/>
      <c r="V5619" s="73"/>
      <c r="W5619" s="73"/>
      <c r="X5619" s="73"/>
      <c r="Y5619" s="73"/>
      <c r="Z5619" s="73"/>
      <c r="AA5619" s="73"/>
      <c r="AB5619" s="73"/>
    </row>
    <row r="5620">
      <c r="A5620" s="73"/>
      <c r="B5620" s="73">
        <v>5.217443627E7</v>
      </c>
      <c r="C5620" s="73">
        <v>3.16433334060718E9</v>
      </c>
      <c r="D5620" s="73">
        <v>3.31769351804308E9</v>
      </c>
      <c r="E5620" s="73"/>
      <c r="F5620" s="73"/>
      <c r="G5620" s="73"/>
      <c r="H5620" s="73"/>
      <c r="I5620" s="73"/>
      <c r="J5620" s="73"/>
      <c r="K5620" s="73"/>
      <c r="L5620" s="73"/>
      <c r="M5620" s="73"/>
      <c r="N5620" s="73"/>
      <c r="O5620" s="73"/>
      <c r="P5620" s="73"/>
      <c r="Q5620" s="73"/>
      <c r="R5620" s="73"/>
      <c r="S5620" s="73"/>
      <c r="T5620" s="73"/>
      <c r="U5620" s="73"/>
      <c r="V5620" s="73"/>
      <c r="W5620" s="73"/>
      <c r="X5620" s="73"/>
      <c r="Y5620" s="73"/>
      <c r="Z5620" s="73"/>
      <c r="AA5620" s="73"/>
      <c r="AB5620" s="73"/>
    </row>
    <row r="5621">
      <c r="A5621" s="73"/>
      <c r="B5621" s="73">
        <v>5.221923728E7</v>
      </c>
      <c r="C5621" s="73">
        <v>3.17061455253624E9</v>
      </c>
      <c r="D5621" s="73">
        <v>3.32750278607048E9</v>
      </c>
      <c r="E5621" s="73"/>
      <c r="F5621" s="73"/>
      <c r="G5621" s="73"/>
      <c r="H5621" s="73"/>
      <c r="I5621" s="73"/>
      <c r="J5621" s="73"/>
      <c r="K5621" s="73"/>
      <c r="L5621" s="73"/>
      <c r="M5621" s="73"/>
      <c r="N5621" s="73"/>
      <c r="O5621" s="73"/>
      <c r="P5621" s="73"/>
      <c r="Q5621" s="73"/>
      <c r="R5621" s="73"/>
      <c r="S5621" s="73"/>
      <c r="T5621" s="73"/>
      <c r="U5621" s="73"/>
      <c r="V5621" s="73"/>
      <c r="W5621" s="73"/>
      <c r="X5621" s="73"/>
      <c r="Y5621" s="73"/>
      <c r="Z5621" s="73"/>
      <c r="AA5621" s="73"/>
      <c r="AB5621" s="73"/>
    </row>
    <row r="5622">
      <c r="A5622" s="73"/>
      <c r="B5622" s="73">
        <v>5.226406348E7</v>
      </c>
      <c r="C5622" s="73">
        <v>3.17690820688728E9</v>
      </c>
      <c r="D5622" s="73">
        <v>3.33734034436608E9</v>
      </c>
      <c r="E5622" s="73"/>
      <c r="F5622" s="73"/>
      <c r="G5622" s="73"/>
      <c r="H5622" s="73"/>
      <c r="I5622" s="73"/>
      <c r="J5622" s="73"/>
      <c r="K5622" s="73"/>
      <c r="L5622" s="73"/>
      <c r="M5622" s="73"/>
      <c r="N5622" s="73"/>
      <c r="O5622" s="73"/>
      <c r="P5622" s="73"/>
      <c r="Q5622" s="73"/>
      <c r="R5622" s="73"/>
      <c r="S5622" s="73"/>
      <c r="T5622" s="73"/>
      <c r="U5622" s="73"/>
      <c r="V5622" s="73"/>
      <c r="W5622" s="73"/>
      <c r="X5622" s="73"/>
      <c r="Y5622" s="73"/>
      <c r="Z5622" s="73"/>
      <c r="AA5622" s="73"/>
      <c r="AB5622" s="73"/>
    </row>
    <row r="5623">
      <c r="A5623" s="73"/>
      <c r="B5623" s="73">
        <v>5.230891356E7</v>
      </c>
      <c r="C5623" s="73">
        <v>3.18321431708304E9</v>
      </c>
      <c r="D5623" s="73">
        <v>3.34720695330934E9</v>
      </c>
      <c r="E5623" s="73"/>
      <c r="F5623" s="73"/>
      <c r="G5623" s="73"/>
      <c r="H5623" s="73"/>
      <c r="I5623" s="73"/>
      <c r="J5623" s="73"/>
      <c r="K5623" s="73"/>
      <c r="L5623" s="73"/>
      <c r="M5623" s="73"/>
      <c r="N5623" s="73"/>
      <c r="O5623" s="73"/>
      <c r="P5623" s="73"/>
      <c r="Q5623" s="73"/>
      <c r="R5623" s="73"/>
      <c r="S5623" s="73"/>
      <c r="T5623" s="73"/>
      <c r="U5623" s="73"/>
      <c r="V5623" s="73"/>
      <c r="W5623" s="73"/>
      <c r="X5623" s="73"/>
      <c r="Y5623" s="73"/>
      <c r="Z5623" s="73"/>
      <c r="AA5623" s="73"/>
      <c r="AB5623" s="73"/>
    </row>
    <row r="5624">
      <c r="A5624" s="73"/>
      <c r="B5624" s="73">
        <v>5.235378899E7</v>
      </c>
      <c r="C5624" s="73">
        <v>3.18953256163372E9</v>
      </c>
      <c r="D5624" s="73">
        <v>3.35710228250621E9</v>
      </c>
      <c r="E5624" s="73"/>
      <c r="F5624" s="73"/>
      <c r="G5624" s="73"/>
      <c r="H5624" s="73"/>
      <c r="I5624" s="73"/>
      <c r="J5624" s="73"/>
      <c r="K5624" s="73"/>
      <c r="L5624" s="73"/>
      <c r="M5624" s="73"/>
      <c r="N5624" s="73"/>
      <c r="O5624" s="73"/>
      <c r="P5624" s="73"/>
      <c r="Q5624" s="73"/>
      <c r="R5624" s="73"/>
      <c r="S5624" s="73"/>
      <c r="T5624" s="73"/>
      <c r="U5624" s="73"/>
      <c r="V5624" s="73"/>
      <c r="W5624" s="73"/>
      <c r="X5624" s="73"/>
      <c r="Y5624" s="73"/>
      <c r="Z5624" s="73"/>
      <c r="AA5624" s="73"/>
      <c r="AB5624" s="73"/>
    </row>
    <row r="5625">
      <c r="A5625" s="73"/>
      <c r="B5625" s="73">
        <v>5.23986895E7</v>
      </c>
      <c r="C5625" s="73">
        <v>3.19586265298371E9</v>
      </c>
      <c r="D5625" s="73">
        <v>3.36702637253008E9</v>
      </c>
      <c r="E5625" s="73"/>
      <c r="F5625" s="73"/>
      <c r="G5625" s="73"/>
      <c r="H5625" s="73"/>
      <c r="I5625" s="73"/>
      <c r="J5625" s="73"/>
      <c r="K5625" s="73"/>
      <c r="L5625" s="73"/>
      <c r="M5625" s="73"/>
      <c r="N5625" s="73"/>
      <c r="O5625" s="73"/>
      <c r="P5625" s="73"/>
      <c r="Q5625" s="73"/>
      <c r="R5625" s="73"/>
      <c r="S5625" s="73"/>
      <c r="T5625" s="73"/>
      <c r="U5625" s="73"/>
      <c r="V5625" s="73"/>
      <c r="W5625" s="73"/>
      <c r="X5625" s="73"/>
      <c r="Y5625" s="73"/>
      <c r="Z5625" s="73"/>
      <c r="AA5625" s="73"/>
      <c r="AB5625" s="73"/>
    </row>
    <row r="5626">
      <c r="A5626" s="73"/>
      <c r="B5626" s="73">
        <v>5.244361487E7</v>
      </c>
      <c r="C5626" s="73">
        <v>3.20220520190485E9</v>
      </c>
      <c r="D5626" s="73">
        <v>3.37697962109982E9</v>
      </c>
      <c r="E5626" s="73"/>
      <c r="F5626" s="73"/>
      <c r="G5626" s="73"/>
      <c r="H5626" s="73"/>
      <c r="I5626" s="73"/>
      <c r="J5626" s="73"/>
      <c r="K5626" s="73"/>
      <c r="L5626" s="73"/>
      <c r="M5626" s="73"/>
      <c r="N5626" s="73"/>
      <c r="O5626" s="73"/>
      <c r="P5626" s="73"/>
      <c r="Q5626" s="73"/>
      <c r="R5626" s="73"/>
      <c r="S5626" s="73"/>
      <c r="T5626" s="73"/>
      <c r="U5626" s="73"/>
      <c r="V5626" s="73"/>
      <c r="W5626" s="73"/>
      <c r="X5626" s="73"/>
      <c r="Y5626" s="73"/>
      <c r="Z5626" s="73"/>
      <c r="AA5626" s="73"/>
      <c r="AB5626" s="73"/>
    </row>
    <row r="5627">
      <c r="A5627" s="73"/>
      <c r="B5627" s="73">
        <v>5.248856281E7</v>
      </c>
      <c r="C5627" s="73">
        <v>3.20855992099548E9</v>
      </c>
      <c r="D5627" s="73">
        <v>3.38696170633181E9</v>
      </c>
      <c r="E5627" s="73"/>
      <c r="F5627" s="73"/>
      <c r="G5627" s="73"/>
      <c r="H5627" s="73"/>
      <c r="I5627" s="73"/>
      <c r="J5627" s="73"/>
      <c r="K5627" s="73"/>
      <c r="L5627" s="73"/>
      <c r="M5627" s="73"/>
      <c r="N5627" s="73"/>
      <c r="O5627" s="73"/>
      <c r="P5627" s="73"/>
      <c r="Q5627" s="73"/>
      <c r="R5627" s="73"/>
      <c r="S5627" s="73"/>
      <c r="T5627" s="73"/>
      <c r="U5627" s="73"/>
      <c r="V5627" s="73"/>
      <c r="W5627" s="73"/>
      <c r="X5627" s="73"/>
      <c r="Y5627" s="73"/>
      <c r="Z5627" s="73"/>
      <c r="AA5627" s="73"/>
      <c r="AB5627" s="73"/>
    </row>
    <row r="5628">
      <c r="A5628" s="73"/>
      <c r="B5628" s="73">
        <v>5.253353745E7</v>
      </c>
      <c r="C5628" s="73">
        <v>3.2149268592144E9</v>
      </c>
      <c r="D5628" s="73">
        <v>3.39697301765225E9</v>
      </c>
      <c r="E5628" s="73"/>
      <c r="F5628" s="73"/>
      <c r="G5628" s="73"/>
      <c r="H5628" s="73"/>
      <c r="I5628" s="73"/>
      <c r="J5628" s="73"/>
      <c r="K5628" s="73"/>
      <c r="L5628" s="73"/>
      <c r="M5628" s="73"/>
      <c r="N5628" s="73"/>
      <c r="O5628" s="73"/>
      <c r="P5628" s="73"/>
      <c r="Q5628" s="73"/>
      <c r="R5628" s="73"/>
      <c r="S5628" s="73"/>
      <c r="T5628" s="73"/>
      <c r="U5628" s="73"/>
      <c r="V5628" s="73"/>
      <c r="W5628" s="73"/>
      <c r="X5628" s="73"/>
      <c r="Y5628" s="73"/>
      <c r="Z5628" s="73"/>
      <c r="AA5628" s="73"/>
      <c r="AB5628" s="73"/>
    </row>
    <row r="5629">
      <c r="A5629" s="73"/>
      <c r="B5629" s="73">
        <v>5.257853578E7</v>
      </c>
      <c r="C5629" s="73">
        <v>3.22130692980201E9</v>
      </c>
      <c r="D5629" s="73">
        <v>3.40701323892584E9</v>
      </c>
      <c r="E5629" s="73"/>
      <c r="F5629" s="73"/>
      <c r="G5629" s="73"/>
      <c r="H5629" s="73"/>
      <c r="I5629" s="73"/>
      <c r="J5629" s="73"/>
      <c r="K5629" s="73"/>
      <c r="L5629" s="73"/>
      <c r="M5629" s="73"/>
      <c r="N5629" s="73"/>
      <c r="O5629" s="73"/>
      <c r="P5629" s="73"/>
      <c r="Q5629" s="73"/>
      <c r="R5629" s="73"/>
      <c r="S5629" s="73"/>
      <c r="T5629" s="73"/>
      <c r="U5629" s="73"/>
      <c r="V5629" s="73"/>
      <c r="W5629" s="73"/>
      <c r="X5629" s="73"/>
      <c r="Y5629" s="73"/>
      <c r="Z5629" s="73"/>
      <c r="AA5629" s="73"/>
      <c r="AB5629" s="73"/>
    </row>
    <row r="5630">
      <c r="A5630" s="73"/>
      <c r="B5630" s="73">
        <v>5.262355865E7</v>
      </c>
      <c r="C5630" s="73">
        <v>3.22769860830145E9</v>
      </c>
      <c r="D5630" s="73">
        <v>3.41708349691571E9</v>
      </c>
      <c r="E5630" s="73"/>
      <c r="F5630" s="73"/>
      <c r="G5630" s="73"/>
      <c r="H5630" s="73"/>
      <c r="I5630" s="73"/>
      <c r="J5630" s="73"/>
      <c r="K5630" s="73"/>
      <c r="L5630" s="73"/>
      <c r="M5630" s="73"/>
      <c r="N5630" s="73"/>
      <c r="O5630" s="73"/>
      <c r="P5630" s="73"/>
      <c r="Q5630" s="73"/>
      <c r="R5630" s="73"/>
      <c r="S5630" s="73"/>
      <c r="T5630" s="73"/>
      <c r="U5630" s="73"/>
      <c r="V5630" s="73"/>
      <c r="W5630" s="73"/>
      <c r="X5630" s="73"/>
      <c r="Y5630" s="73"/>
      <c r="Z5630" s="73"/>
      <c r="AA5630" s="73"/>
      <c r="AB5630" s="73"/>
    </row>
    <row r="5631">
      <c r="A5631" s="73"/>
      <c r="B5631" s="73">
        <v>5.266860624E7</v>
      </c>
      <c r="C5631" s="73">
        <v>3.23410310724505E9</v>
      </c>
      <c r="D5631" s="73">
        <v>3.42718273225361E9</v>
      </c>
      <c r="E5631" s="73"/>
      <c r="F5631" s="73"/>
      <c r="G5631" s="73"/>
      <c r="H5631" s="73"/>
      <c r="I5631" s="73"/>
      <c r="J5631" s="73"/>
      <c r="K5631" s="73"/>
      <c r="L5631" s="73"/>
      <c r="M5631" s="73"/>
      <c r="N5631" s="73"/>
      <c r="O5631" s="73"/>
      <c r="P5631" s="73"/>
      <c r="Q5631" s="73"/>
      <c r="R5631" s="73"/>
      <c r="S5631" s="73"/>
      <c r="T5631" s="73"/>
      <c r="U5631" s="73"/>
      <c r="V5631" s="73"/>
      <c r="W5631" s="73"/>
      <c r="X5631" s="73"/>
      <c r="Y5631" s="73"/>
      <c r="Z5631" s="73"/>
      <c r="AA5631" s="73"/>
      <c r="AB5631" s="73"/>
    </row>
    <row r="5632">
      <c r="A5632" s="73"/>
      <c r="B5632" s="73">
        <v>5.27136799E7</v>
      </c>
      <c r="C5632" s="73">
        <v>3.24051987692172E9</v>
      </c>
      <c r="D5632" s="73">
        <v>3.43731171285579E9</v>
      </c>
      <c r="E5632" s="73"/>
      <c r="F5632" s="73"/>
      <c r="G5632" s="73"/>
      <c r="H5632" s="73"/>
      <c r="I5632" s="73"/>
      <c r="J5632" s="73"/>
      <c r="K5632" s="73"/>
      <c r="L5632" s="73"/>
      <c r="M5632" s="73"/>
      <c r="N5632" s="73"/>
      <c r="O5632" s="73"/>
      <c r="P5632" s="73"/>
      <c r="Q5632" s="73"/>
      <c r="R5632" s="73"/>
      <c r="S5632" s="73"/>
      <c r="T5632" s="73"/>
      <c r="U5632" s="73"/>
      <c r="V5632" s="73"/>
      <c r="W5632" s="73"/>
      <c r="X5632" s="73"/>
      <c r="Y5632" s="73"/>
      <c r="Z5632" s="73"/>
      <c r="AA5632" s="73"/>
      <c r="AB5632" s="73"/>
    </row>
    <row r="5633">
      <c r="A5633" s="73"/>
      <c r="B5633" s="73">
        <v>5.275877664E7</v>
      </c>
      <c r="C5633" s="73">
        <v>3.24694923104544E9</v>
      </c>
      <c r="D5633" s="73">
        <v>3.44746974460561E9</v>
      </c>
      <c r="E5633" s="73"/>
      <c r="F5633" s="73"/>
      <c r="G5633" s="73"/>
      <c r="H5633" s="73"/>
      <c r="I5633" s="73"/>
      <c r="J5633" s="73"/>
      <c r="K5633" s="73"/>
      <c r="L5633" s="73"/>
      <c r="M5633" s="73"/>
      <c r="N5633" s="73"/>
      <c r="O5633" s="73"/>
      <c r="P5633" s="73"/>
      <c r="Q5633" s="73"/>
      <c r="R5633" s="73"/>
      <c r="S5633" s="73"/>
      <c r="T5633" s="73"/>
      <c r="U5633" s="73"/>
      <c r="V5633" s="73"/>
      <c r="W5633" s="73"/>
      <c r="X5633" s="73"/>
      <c r="Y5633" s="73"/>
      <c r="Z5633" s="73"/>
      <c r="AA5633" s="73"/>
      <c r="AB5633" s="73"/>
    </row>
    <row r="5634">
      <c r="A5634" s="73"/>
      <c r="B5634" s="73">
        <v>5.280389985E7</v>
      </c>
      <c r="C5634" s="73">
        <v>3.25339080396109E9</v>
      </c>
      <c r="D5634" s="73">
        <v>3.45765760531153E9</v>
      </c>
      <c r="E5634" s="73"/>
      <c r="F5634" s="73"/>
      <c r="G5634" s="73"/>
      <c r="H5634" s="73"/>
      <c r="I5634" s="73"/>
      <c r="J5634" s="73"/>
      <c r="K5634" s="73"/>
      <c r="L5634" s="73"/>
      <c r="M5634" s="73"/>
      <c r="N5634" s="73"/>
      <c r="O5634" s="73"/>
      <c r="P5634" s="73"/>
      <c r="Q5634" s="73"/>
      <c r="R5634" s="73"/>
      <c r="S5634" s="73"/>
      <c r="T5634" s="73"/>
      <c r="U5634" s="73"/>
      <c r="V5634" s="73"/>
      <c r="W5634" s="73"/>
      <c r="X5634" s="73"/>
      <c r="Y5634" s="73"/>
      <c r="Z5634" s="73"/>
      <c r="AA5634" s="73"/>
      <c r="AB5634" s="73"/>
    </row>
    <row r="5635">
      <c r="A5635" s="73"/>
      <c r="B5635" s="73">
        <v>5.284904494E7</v>
      </c>
      <c r="C5635" s="73">
        <v>3.25984498660122E9</v>
      </c>
      <c r="D5635" s="73">
        <v>3.46787531501922E9</v>
      </c>
      <c r="E5635" s="73"/>
      <c r="F5635" s="73"/>
      <c r="G5635" s="73"/>
      <c r="H5635" s="73"/>
      <c r="I5635" s="73"/>
      <c r="J5635" s="73"/>
      <c r="K5635" s="73"/>
      <c r="L5635" s="73"/>
      <c r="M5635" s="73"/>
      <c r="N5635" s="73"/>
      <c r="O5635" s="73"/>
      <c r="P5635" s="73"/>
      <c r="Q5635" s="73"/>
      <c r="R5635" s="73"/>
      <c r="S5635" s="73"/>
      <c r="T5635" s="73"/>
      <c r="U5635" s="73"/>
      <c r="V5635" s="73"/>
      <c r="W5635" s="73"/>
      <c r="X5635" s="73"/>
      <c r="Y5635" s="73"/>
      <c r="Z5635" s="73"/>
      <c r="AA5635" s="73"/>
      <c r="AB5635" s="73"/>
    </row>
    <row r="5636">
      <c r="A5636" s="73"/>
      <c r="B5636" s="73">
        <v>5.289421777E7</v>
      </c>
      <c r="C5636" s="73">
        <v>3.26631145148814E9</v>
      </c>
      <c r="D5636" s="73">
        <v>3.47812292300112E9</v>
      </c>
      <c r="E5636" s="73"/>
      <c r="F5636" s="73"/>
      <c r="G5636" s="73"/>
      <c r="H5636" s="73"/>
      <c r="I5636" s="73"/>
      <c r="J5636" s="73"/>
      <c r="K5636" s="73"/>
      <c r="L5636" s="73"/>
      <c r="M5636" s="73"/>
      <c r="N5636" s="73"/>
      <c r="O5636" s="73"/>
      <c r="P5636" s="73"/>
      <c r="Q5636" s="73"/>
      <c r="R5636" s="73"/>
      <c r="S5636" s="73"/>
      <c r="T5636" s="73"/>
      <c r="U5636" s="73"/>
      <c r="V5636" s="73"/>
      <c r="W5636" s="73"/>
      <c r="X5636" s="73"/>
      <c r="Y5636" s="73"/>
      <c r="Z5636" s="73"/>
      <c r="AA5636" s="73"/>
      <c r="AB5636" s="73"/>
    </row>
    <row r="5637">
      <c r="A5637" s="73"/>
      <c r="B5637" s="73">
        <v>5.293941317E7</v>
      </c>
      <c r="C5637" s="73">
        <v>3.27279085336186E9</v>
      </c>
      <c r="D5637" s="73">
        <v>3.4884001022986E9</v>
      </c>
      <c r="E5637" s="73"/>
      <c r="F5637" s="73"/>
      <c r="G5637" s="73"/>
      <c r="H5637" s="73"/>
      <c r="I5637" s="73"/>
      <c r="J5637" s="73"/>
      <c r="K5637" s="73"/>
      <c r="L5637" s="73"/>
      <c r="M5637" s="73"/>
      <c r="N5637" s="73"/>
      <c r="O5637" s="73"/>
      <c r="P5637" s="73"/>
      <c r="Q5637" s="73"/>
      <c r="R5637" s="73"/>
      <c r="S5637" s="73"/>
      <c r="T5637" s="73"/>
      <c r="U5637" s="73"/>
      <c r="V5637" s="73"/>
      <c r="W5637" s="73"/>
      <c r="X5637" s="73"/>
      <c r="Y5637" s="73"/>
      <c r="Z5637" s="73"/>
      <c r="AA5637" s="73"/>
      <c r="AB5637" s="73"/>
    </row>
    <row r="5638">
      <c r="A5638" s="73"/>
      <c r="B5638" s="73">
        <v>5.298463395E7</v>
      </c>
      <c r="C5638" s="73">
        <v>3.27928256279652E9</v>
      </c>
      <c r="D5638" s="73">
        <v>3.49870761844602E9</v>
      </c>
      <c r="E5638" s="73"/>
      <c r="F5638" s="73"/>
      <c r="G5638" s="73"/>
      <c r="H5638" s="73"/>
      <c r="I5638" s="73"/>
      <c r="J5638" s="73"/>
      <c r="K5638" s="73"/>
      <c r="L5638" s="73"/>
      <c r="M5638" s="73"/>
      <c r="N5638" s="73"/>
      <c r="O5638" s="73"/>
      <c r="P5638" s="73"/>
      <c r="Q5638" s="73"/>
      <c r="R5638" s="73"/>
      <c r="S5638" s="73"/>
      <c r="T5638" s="73"/>
      <c r="U5638" s="73"/>
      <c r="V5638" s="73"/>
      <c r="W5638" s="73"/>
      <c r="X5638" s="73"/>
      <c r="Y5638" s="73"/>
      <c r="Z5638" s="73"/>
      <c r="AA5638" s="73"/>
      <c r="AB5638" s="73"/>
    </row>
    <row r="5639">
      <c r="A5639" s="73"/>
      <c r="B5639" s="73">
        <v>5.302987858E7</v>
      </c>
      <c r="C5639" s="73">
        <v>3.28578723585979E9</v>
      </c>
      <c r="D5639" s="73">
        <v>3.50904514869405E9</v>
      </c>
      <c r="E5639" s="73"/>
      <c r="F5639" s="73"/>
      <c r="G5639" s="73"/>
      <c r="H5639" s="73"/>
      <c r="I5639" s="73"/>
      <c r="J5639" s="73"/>
      <c r="K5639" s="73"/>
      <c r="L5639" s="73"/>
      <c r="M5639" s="73"/>
      <c r="N5639" s="73"/>
      <c r="O5639" s="73"/>
      <c r="P5639" s="73"/>
      <c r="Q5639" s="73"/>
      <c r="R5639" s="73"/>
      <c r="S5639" s="73"/>
      <c r="T5639" s="73"/>
      <c r="U5639" s="73"/>
      <c r="V5639" s="73"/>
      <c r="W5639" s="73"/>
      <c r="X5639" s="73"/>
      <c r="Y5639" s="73"/>
      <c r="Z5639" s="73"/>
      <c r="AA5639" s="73"/>
      <c r="AB5639" s="73"/>
    </row>
    <row r="5640">
      <c r="A5640" s="73"/>
      <c r="B5640" s="73">
        <v>5.307514971E7</v>
      </c>
      <c r="C5640" s="73">
        <v>3.29230424182424E9</v>
      </c>
      <c r="D5640" s="73">
        <v>3.51941309246401E9</v>
      </c>
      <c r="E5640" s="73"/>
      <c r="F5640" s="73"/>
      <c r="G5640" s="73"/>
      <c r="H5640" s="73"/>
      <c r="I5640" s="73"/>
      <c r="J5640" s="73"/>
      <c r="K5640" s="73"/>
      <c r="L5640" s="73"/>
      <c r="M5640" s="73"/>
      <c r="N5640" s="73"/>
      <c r="O5640" s="73"/>
      <c r="P5640" s="73"/>
      <c r="Q5640" s="73"/>
      <c r="R5640" s="73"/>
      <c r="S5640" s="73"/>
      <c r="T5640" s="73"/>
      <c r="U5640" s="73"/>
      <c r="V5640" s="73"/>
      <c r="W5640" s="73"/>
      <c r="X5640" s="73"/>
      <c r="Y5640" s="73"/>
      <c r="Z5640" s="73"/>
      <c r="AA5640" s="73"/>
      <c r="AB5640" s="73"/>
    </row>
    <row r="5641">
      <c r="A5641" s="73"/>
      <c r="B5641" s="73">
        <v>5.312044504E7</v>
      </c>
      <c r="C5641" s="73">
        <v>3.29883389452304E9</v>
      </c>
      <c r="D5641" s="73">
        <v>3.52981074898883E9</v>
      </c>
      <c r="E5641" s="73"/>
      <c r="F5641" s="73"/>
      <c r="G5641" s="73"/>
      <c r="H5641" s="73"/>
      <c r="I5641" s="73"/>
      <c r="J5641" s="73"/>
      <c r="K5641" s="73"/>
      <c r="L5641" s="73"/>
      <c r="M5641" s="73"/>
      <c r="N5641" s="73"/>
      <c r="O5641" s="73"/>
      <c r="P5641" s="73"/>
      <c r="Q5641" s="73"/>
      <c r="R5641" s="73"/>
      <c r="S5641" s="73"/>
      <c r="T5641" s="73"/>
      <c r="U5641" s="73"/>
      <c r="V5641" s="73"/>
      <c r="W5641" s="73"/>
      <c r="X5641" s="73"/>
      <c r="Y5641" s="73"/>
      <c r="Z5641" s="73"/>
      <c r="AA5641" s="73"/>
      <c r="AB5641" s="73"/>
    </row>
    <row r="5642">
      <c r="A5642" s="73"/>
      <c r="B5642" s="73">
        <v>5.31657642E7</v>
      </c>
      <c r="C5642" s="73">
        <v>3.30537624853943E9</v>
      </c>
      <c r="D5642" s="73">
        <v>3.54023889530963E9</v>
      </c>
      <c r="E5642" s="73"/>
      <c r="F5642" s="73"/>
      <c r="G5642" s="73"/>
      <c r="H5642" s="73"/>
      <c r="I5642" s="73"/>
      <c r="J5642" s="73"/>
      <c r="K5642" s="73"/>
      <c r="L5642" s="73"/>
      <c r="M5642" s="73"/>
      <c r="N5642" s="73"/>
      <c r="O5642" s="73"/>
      <c r="P5642" s="73"/>
      <c r="Q5642" s="73"/>
      <c r="R5642" s="73"/>
      <c r="S5642" s="73"/>
      <c r="T5642" s="73"/>
      <c r="U5642" s="73"/>
      <c r="V5642" s="73"/>
      <c r="W5642" s="73"/>
      <c r="X5642" s="73"/>
      <c r="Y5642" s="73"/>
      <c r="Z5642" s="73"/>
      <c r="AA5642" s="73"/>
      <c r="AB5642" s="73"/>
    </row>
    <row r="5643">
      <c r="A5643" s="73"/>
      <c r="B5643" s="73">
        <v>5.321110828E7</v>
      </c>
      <c r="C5643" s="73">
        <v>3.31193161955537E9</v>
      </c>
      <c r="D5643" s="73">
        <v>3.55069757352687E9</v>
      </c>
      <c r="E5643" s="73"/>
      <c r="F5643" s="73"/>
      <c r="G5643" s="73"/>
      <c r="H5643" s="73"/>
      <c r="I5643" s="73"/>
      <c r="J5643" s="73"/>
      <c r="K5643" s="73"/>
      <c r="L5643" s="73"/>
      <c r="M5643" s="73"/>
      <c r="N5643" s="73"/>
      <c r="O5643" s="73"/>
      <c r="P5643" s="73"/>
      <c r="Q5643" s="73"/>
      <c r="R5643" s="73"/>
      <c r="S5643" s="73"/>
      <c r="T5643" s="73"/>
      <c r="U5643" s="73"/>
      <c r="V5643" s="73"/>
      <c r="W5643" s="73"/>
      <c r="X5643" s="73"/>
      <c r="Y5643" s="73"/>
      <c r="Z5643" s="73"/>
      <c r="AA5643" s="73"/>
      <c r="AB5643" s="73"/>
    </row>
    <row r="5644">
      <c r="A5644" s="73"/>
      <c r="B5644" s="73">
        <v>5.325647775E7</v>
      </c>
      <c r="C5644" s="73">
        <v>3.31849902911668E9</v>
      </c>
      <c r="D5644" s="73">
        <v>3.56118681878579E9</v>
      </c>
      <c r="E5644" s="73"/>
      <c r="F5644" s="73"/>
      <c r="G5644" s="73"/>
      <c r="H5644" s="73"/>
      <c r="I5644" s="73"/>
      <c r="J5644" s="73"/>
      <c r="K5644" s="73"/>
      <c r="L5644" s="73"/>
      <c r="M5644" s="73"/>
      <c r="N5644" s="73"/>
      <c r="O5644" s="73"/>
      <c r="P5644" s="73"/>
      <c r="Q5644" s="73"/>
      <c r="R5644" s="73"/>
      <c r="S5644" s="73"/>
      <c r="T5644" s="73"/>
      <c r="U5644" s="73"/>
      <c r="V5644" s="73"/>
      <c r="W5644" s="73"/>
      <c r="X5644" s="73"/>
      <c r="Y5644" s="73"/>
      <c r="Z5644" s="73"/>
      <c r="AA5644" s="73"/>
      <c r="AB5644" s="73"/>
    </row>
    <row r="5645">
      <c r="A5645" s="73"/>
      <c r="B5645" s="73">
        <v>5.330187066E7</v>
      </c>
      <c r="C5645" s="73">
        <v>3.32507982700354E9</v>
      </c>
      <c r="D5645" s="73">
        <v>3.57170667593401E9</v>
      </c>
      <c r="E5645" s="73"/>
      <c r="F5645" s="73"/>
      <c r="G5645" s="73"/>
      <c r="H5645" s="73"/>
      <c r="I5645" s="73"/>
      <c r="J5645" s="73"/>
      <c r="K5645" s="73"/>
      <c r="L5645" s="73"/>
      <c r="M5645" s="73"/>
      <c r="N5645" s="73"/>
      <c r="O5645" s="73"/>
      <c r="P5645" s="73"/>
      <c r="Q5645" s="73"/>
      <c r="R5645" s="73"/>
      <c r="S5645" s="73"/>
      <c r="T5645" s="73"/>
      <c r="U5645" s="73"/>
      <c r="V5645" s="73"/>
      <c r="W5645" s="73"/>
      <c r="X5645" s="73"/>
      <c r="Y5645" s="73"/>
      <c r="Z5645" s="73"/>
      <c r="AA5645" s="73"/>
      <c r="AB5645" s="73"/>
    </row>
    <row r="5646">
      <c r="A5646" s="73"/>
      <c r="B5646" s="73">
        <v>5.334729087E7</v>
      </c>
      <c r="C5646" s="73">
        <v>3.33167299035924E9</v>
      </c>
      <c r="D5646" s="73">
        <v>3.5822567979395E9</v>
      </c>
      <c r="E5646" s="73"/>
      <c r="F5646" s="73"/>
      <c r="G5646" s="73"/>
      <c r="H5646" s="73"/>
      <c r="I5646" s="73"/>
      <c r="J5646" s="73"/>
      <c r="K5646" s="73"/>
      <c r="L5646" s="73"/>
      <c r="M5646" s="73"/>
      <c r="N5646" s="73"/>
      <c r="O5646" s="73"/>
      <c r="P5646" s="73"/>
      <c r="Q5646" s="73"/>
      <c r="R5646" s="73"/>
      <c r="S5646" s="73"/>
      <c r="T5646" s="73"/>
      <c r="U5646" s="73"/>
      <c r="V5646" s="73"/>
      <c r="W5646" s="73"/>
      <c r="X5646" s="73"/>
      <c r="Y5646" s="73"/>
      <c r="Z5646" s="73"/>
      <c r="AA5646" s="73"/>
      <c r="AB5646" s="73"/>
    </row>
    <row r="5647">
      <c r="A5647" s="73"/>
      <c r="B5647" s="73">
        <v>5.339273373E7</v>
      </c>
      <c r="C5647" s="73">
        <v>3.33827922345611E9</v>
      </c>
      <c r="D5647" s="73">
        <v>3.59283835422355E9</v>
      </c>
      <c r="E5647" s="73"/>
      <c r="F5647" s="73"/>
      <c r="G5647" s="73"/>
      <c r="H5647" s="73"/>
      <c r="I5647" s="73"/>
      <c r="J5647" s="73"/>
      <c r="K5647" s="73"/>
      <c r="L5647" s="73"/>
      <c r="M5647" s="73"/>
      <c r="N5647" s="73"/>
      <c r="O5647" s="73"/>
      <c r="P5647" s="73"/>
      <c r="Q5647" s="73"/>
      <c r="R5647" s="73"/>
      <c r="S5647" s="73"/>
      <c r="T5647" s="73"/>
      <c r="U5647" s="73"/>
      <c r="V5647" s="73"/>
      <c r="W5647" s="73"/>
      <c r="X5647" s="73"/>
      <c r="Y5647" s="73"/>
      <c r="Z5647" s="73"/>
      <c r="AA5647" s="73"/>
      <c r="AB5647" s="73"/>
    </row>
    <row r="5648">
      <c r="A5648" s="73"/>
      <c r="B5648" s="73">
        <v>5.343820269E7</v>
      </c>
      <c r="C5648" s="73">
        <v>3.34489823751478E9</v>
      </c>
      <c r="D5648" s="73">
        <v>3.60345061944646E9</v>
      </c>
      <c r="E5648" s="73"/>
      <c r="F5648" s="73"/>
      <c r="G5648" s="73"/>
      <c r="H5648" s="73"/>
      <c r="I5648" s="73"/>
      <c r="J5648" s="73"/>
      <c r="K5648" s="73"/>
      <c r="L5648" s="73"/>
      <c r="M5648" s="73"/>
      <c r="N5648" s="73"/>
      <c r="O5648" s="73"/>
      <c r="P5648" s="73"/>
      <c r="Q5648" s="73"/>
      <c r="R5648" s="73"/>
      <c r="S5648" s="73"/>
      <c r="T5648" s="73"/>
      <c r="U5648" s="73"/>
      <c r="V5648" s="73"/>
      <c r="W5648" s="73"/>
      <c r="X5648" s="73"/>
      <c r="Y5648" s="73"/>
      <c r="Z5648" s="73"/>
      <c r="AA5648" s="73"/>
      <c r="AB5648" s="73"/>
    </row>
    <row r="5649">
      <c r="A5649" s="73"/>
      <c r="B5649" s="73">
        <v>5.348369478E7</v>
      </c>
      <c r="C5649" s="73">
        <v>3.35153000143051E9</v>
      </c>
      <c r="D5649" s="73">
        <v>3.6140936487884E9</v>
      </c>
      <c r="E5649" s="73"/>
      <c r="F5649" s="73"/>
      <c r="G5649" s="73"/>
      <c r="H5649" s="73"/>
      <c r="I5649" s="73"/>
      <c r="J5649" s="73"/>
      <c r="K5649" s="73"/>
      <c r="L5649" s="73"/>
      <c r="M5649" s="73"/>
      <c r="N5649" s="73"/>
      <c r="O5649" s="73"/>
      <c r="P5649" s="73"/>
      <c r="Q5649" s="73"/>
      <c r="R5649" s="73"/>
      <c r="S5649" s="73"/>
      <c r="T5649" s="73"/>
      <c r="U5649" s="73"/>
      <c r="V5649" s="73"/>
      <c r="W5649" s="73"/>
      <c r="X5649" s="73"/>
      <c r="Y5649" s="73"/>
      <c r="Z5649" s="73"/>
      <c r="AA5649" s="73"/>
      <c r="AB5649" s="73"/>
    </row>
    <row r="5650">
      <c r="A5650" s="73"/>
      <c r="B5650" s="73">
        <v>5.352921217E7</v>
      </c>
      <c r="C5650" s="73">
        <v>3.35817452771145E9</v>
      </c>
      <c r="D5650" s="73">
        <v>3.62476785050043E9</v>
      </c>
      <c r="E5650" s="73"/>
      <c r="F5650" s="73"/>
      <c r="G5650" s="73"/>
      <c r="H5650" s="73"/>
      <c r="I5650" s="73"/>
      <c r="J5650" s="73"/>
      <c r="K5650" s="73"/>
      <c r="L5650" s="73"/>
      <c r="M5650" s="73"/>
      <c r="N5650" s="73"/>
      <c r="O5650" s="73"/>
      <c r="P5650" s="73"/>
      <c r="Q5650" s="73"/>
      <c r="R5650" s="73"/>
      <c r="S5650" s="73"/>
      <c r="T5650" s="73"/>
      <c r="U5650" s="73"/>
      <c r="V5650" s="73"/>
      <c r="W5650" s="73"/>
      <c r="X5650" s="73"/>
      <c r="Y5650" s="73"/>
      <c r="Z5650" s="73"/>
      <c r="AA5650" s="73"/>
      <c r="AB5650" s="73"/>
    </row>
    <row r="5651">
      <c r="A5651" s="73"/>
      <c r="B5651" s="73">
        <v>5.357475528E7</v>
      </c>
      <c r="C5651" s="73">
        <v>3.36483217762433E9</v>
      </c>
      <c r="D5651" s="73">
        <v>3.63547326302045E9</v>
      </c>
      <c r="E5651" s="73"/>
      <c r="F5651" s="73"/>
      <c r="G5651" s="73"/>
      <c r="H5651" s="73"/>
      <c r="I5651" s="73"/>
      <c r="J5651" s="73"/>
      <c r="K5651" s="73"/>
      <c r="L5651" s="73"/>
      <c r="M5651" s="73"/>
      <c r="N5651" s="73"/>
      <c r="O5651" s="73"/>
      <c r="P5651" s="73"/>
      <c r="Q5651" s="73"/>
      <c r="R5651" s="73"/>
      <c r="S5651" s="73"/>
      <c r="T5651" s="73"/>
      <c r="U5651" s="73"/>
      <c r="V5651" s="73"/>
      <c r="W5651" s="73"/>
      <c r="X5651" s="73"/>
      <c r="Y5651" s="73"/>
      <c r="Z5651" s="73"/>
      <c r="AA5651" s="73"/>
      <c r="AB5651" s="73"/>
    </row>
    <row r="5652">
      <c r="A5652" s="73"/>
      <c r="B5652" s="73">
        <v>5.362032186E7</v>
      </c>
      <c r="C5652" s="73">
        <v>3.37150231256155E9</v>
      </c>
      <c r="D5652" s="73">
        <v>3.64620953597657E9</v>
      </c>
      <c r="E5652" s="73"/>
      <c r="F5652" s="73"/>
      <c r="G5652" s="73"/>
      <c r="H5652" s="73"/>
      <c r="I5652" s="73"/>
      <c r="J5652" s="73"/>
      <c r="K5652" s="73"/>
      <c r="L5652" s="73"/>
      <c r="M5652" s="73"/>
      <c r="N5652" s="73"/>
      <c r="O5652" s="73"/>
      <c r="P5652" s="73"/>
      <c r="Q5652" s="73"/>
      <c r="R5652" s="73"/>
      <c r="S5652" s="73"/>
      <c r="T5652" s="73"/>
      <c r="U5652" s="73"/>
      <c r="V5652" s="73"/>
      <c r="W5652" s="73"/>
      <c r="X5652" s="73"/>
      <c r="Y5652" s="73"/>
      <c r="Z5652" s="73"/>
      <c r="AA5652" s="73"/>
      <c r="AB5652" s="73"/>
    </row>
    <row r="5653">
      <c r="A5653" s="73"/>
      <c r="B5653" s="73">
        <v>5.366591184E7</v>
      </c>
      <c r="C5653" s="73">
        <v>3.37818590153775E9</v>
      </c>
      <c r="D5653" s="73">
        <v>3.65697748971763E9</v>
      </c>
      <c r="E5653" s="73"/>
      <c r="F5653" s="73"/>
      <c r="G5653" s="73"/>
      <c r="H5653" s="73"/>
      <c r="I5653" s="73"/>
      <c r="J5653" s="73"/>
      <c r="K5653" s="73"/>
      <c r="L5653" s="73"/>
      <c r="M5653" s="73"/>
      <c r="N5653" s="73"/>
      <c r="O5653" s="73"/>
      <c r="P5653" s="73"/>
      <c r="Q5653" s="73"/>
      <c r="R5653" s="73"/>
      <c r="S5653" s="73"/>
      <c r="T5653" s="73"/>
      <c r="U5653" s="73"/>
      <c r="V5653" s="73"/>
      <c r="W5653" s="73"/>
      <c r="X5653" s="73"/>
      <c r="Y5653" s="73"/>
      <c r="Z5653" s="73"/>
      <c r="AA5653" s="73"/>
      <c r="AB5653" s="73"/>
    </row>
    <row r="5654">
      <c r="A5654" s="73"/>
      <c r="B5654" s="73">
        <v>5.371152945E7</v>
      </c>
      <c r="C5654" s="73">
        <v>3.38488195473365E9</v>
      </c>
      <c r="D5654" s="73">
        <v>3.66777638233919E9</v>
      </c>
      <c r="E5654" s="73"/>
      <c r="F5654" s="73"/>
      <c r="G5654" s="73"/>
      <c r="H5654" s="73"/>
      <c r="I5654" s="73"/>
      <c r="J5654" s="73"/>
      <c r="K5654" s="73"/>
      <c r="L5654" s="73"/>
      <c r="M5654" s="73"/>
      <c r="N5654" s="73"/>
      <c r="O5654" s="73"/>
      <c r="P5654" s="73"/>
      <c r="Q5654" s="73"/>
      <c r="R5654" s="73"/>
      <c r="S5654" s="73"/>
      <c r="T5654" s="73"/>
      <c r="U5654" s="73"/>
      <c r="V5654" s="73"/>
      <c r="W5654" s="73"/>
      <c r="X5654" s="73"/>
      <c r="Y5654" s="73"/>
      <c r="Z5654" s="73"/>
      <c r="AA5654" s="73"/>
      <c r="AB5654" s="73"/>
    </row>
    <row r="5655">
      <c r="A5655" s="73"/>
      <c r="B5655" s="73">
        <v>5.375716978E7</v>
      </c>
      <c r="C5655" s="73">
        <v>3.39159153566256E9</v>
      </c>
      <c r="D5655" s="73">
        <v>3.67860737932527E9</v>
      </c>
      <c r="E5655" s="73"/>
      <c r="F5655" s="73"/>
      <c r="G5655" s="73"/>
      <c r="H5655" s="73"/>
      <c r="I5655" s="73"/>
      <c r="J5655" s="73"/>
      <c r="K5655" s="73"/>
      <c r="L5655" s="73"/>
      <c r="M5655" s="73"/>
      <c r="N5655" s="73"/>
      <c r="O5655" s="73"/>
      <c r="P5655" s="73"/>
      <c r="Q5655" s="73"/>
      <c r="R5655" s="73"/>
      <c r="S5655" s="73"/>
      <c r="T5655" s="73"/>
      <c r="U5655" s="73"/>
      <c r="V5655" s="73"/>
      <c r="W5655" s="73"/>
      <c r="X5655" s="73"/>
      <c r="Y5655" s="73"/>
      <c r="Z5655" s="73"/>
      <c r="AA5655" s="73"/>
      <c r="AB5655" s="73"/>
    </row>
    <row r="5656">
      <c r="A5656" s="73"/>
      <c r="B5656" s="73">
        <v>5.380283665E7</v>
      </c>
      <c r="C5656" s="73">
        <v>3.39831360588875E9</v>
      </c>
      <c r="D5656" s="73">
        <v>3.68946941870139E9</v>
      </c>
      <c r="E5656" s="73"/>
      <c r="F5656" s="73"/>
      <c r="G5656" s="73"/>
      <c r="H5656" s="73"/>
      <c r="I5656" s="73"/>
      <c r="J5656" s="73"/>
      <c r="K5656" s="73"/>
      <c r="L5656" s="73"/>
      <c r="M5656" s="73"/>
      <c r="N5656" s="73"/>
      <c r="O5656" s="73"/>
      <c r="P5656" s="73"/>
      <c r="Q5656" s="73"/>
      <c r="R5656" s="73"/>
      <c r="S5656" s="73"/>
      <c r="T5656" s="73"/>
      <c r="U5656" s="73"/>
      <c r="V5656" s="73"/>
      <c r="W5656" s="73"/>
      <c r="X5656" s="73"/>
      <c r="Y5656" s="73"/>
      <c r="Z5656" s="73"/>
      <c r="AA5656" s="73"/>
      <c r="AB5656" s="73"/>
    </row>
    <row r="5657">
      <c r="A5657" s="73"/>
      <c r="B5657" s="73">
        <v>5.384852737E7</v>
      </c>
      <c r="C5657" s="73">
        <v>3.40504923209269E9</v>
      </c>
      <c r="D5657" s="73">
        <v>3.7003636441342E9</v>
      </c>
      <c r="E5657" s="73"/>
      <c r="F5657" s="73"/>
      <c r="G5657" s="73"/>
      <c r="H5657" s="73"/>
      <c r="I5657" s="73"/>
      <c r="J5657" s="73"/>
      <c r="K5657" s="73"/>
      <c r="L5657" s="73"/>
      <c r="M5657" s="73"/>
      <c r="N5657" s="73"/>
      <c r="O5657" s="73"/>
      <c r="P5657" s="73"/>
      <c r="Q5657" s="73"/>
      <c r="R5657" s="73"/>
      <c r="S5657" s="73"/>
      <c r="T5657" s="73"/>
      <c r="U5657" s="73"/>
      <c r="V5657" s="73"/>
      <c r="W5657" s="73"/>
      <c r="X5657" s="73"/>
      <c r="Y5657" s="73"/>
      <c r="Z5657" s="73"/>
      <c r="AA5657" s="73"/>
      <c r="AB5657" s="73"/>
    </row>
    <row r="5658">
      <c r="A5658" s="73"/>
      <c r="B5658" s="73">
        <v>5.389424367E7</v>
      </c>
      <c r="C5658" s="73">
        <v>3.41179737269505E9</v>
      </c>
      <c r="D5658" s="73">
        <v>3.71128972849707E9</v>
      </c>
      <c r="E5658" s="73"/>
      <c r="F5658" s="73"/>
      <c r="G5658" s="73"/>
      <c r="H5658" s="73"/>
      <c r="I5658" s="73"/>
      <c r="J5658" s="73"/>
      <c r="K5658" s="73"/>
      <c r="L5658" s="73"/>
      <c r="M5658" s="73"/>
      <c r="N5658" s="73"/>
      <c r="O5658" s="73"/>
      <c r="P5658" s="73"/>
      <c r="Q5658" s="73"/>
      <c r="R5658" s="73"/>
      <c r="S5658" s="73"/>
      <c r="T5658" s="73"/>
      <c r="U5658" s="73"/>
      <c r="V5658" s="73"/>
      <c r="W5658" s="73"/>
      <c r="X5658" s="73"/>
      <c r="Y5658" s="73"/>
      <c r="Z5658" s="73"/>
      <c r="AA5658" s="73"/>
      <c r="AB5658" s="73"/>
    </row>
    <row r="5659">
      <c r="A5659" s="73"/>
      <c r="B5659" s="73">
        <v>5.393998394E7</v>
      </c>
      <c r="C5659" s="73">
        <v>3.4185587445919E9</v>
      </c>
      <c r="D5659" s="73">
        <v>3.72224694939551E9</v>
      </c>
      <c r="E5659" s="73"/>
      <c r="F5659" s="73"/>
      <c r="G5659" s="73"/>
      <c r="H5659" s="73"/>
      <c r="I5659" s="73"/>
      <c r="J5659" s="73"/>
      <c r="K5659" s="73"/>
      <c r="L5659" s="73"/>
      <c r="M5659" s="73"/>
      <c r="N5659" s="73"/>
      <c r="O5659" s="73"/>
      <c r="P5659" s="73"/>
      <c r="Q5659" s="73"/>
      <c r="R5659" s="73"/>
      <c r="S5659" s="73"/>
      <c r="T5659" s="73"/>
      <c r="U5659" s="73"/>
      <c r="V5659" s="73"/>
      <c r="W5659" s="73"/>
      <c r="X5659" s="73"/>
      <c r="Y5659" s="73"/>
      <c r="Z5659" s="73"/>
      <c r="AA5659" s="73"/>
      <c r="AB5659" s="73"/>
    </row>
    <row r="5660">
      <c r="A5660" s="73"/>
      <c r="B5660" s="73">
        <v>5.398574875E7</v>
      </c>
      <c r="C5660" s="73">
        <v>3.42533331303123E9</v>
      </c>
      <c r="D5660" s="73">
        <v>3.73323687152331E9</v>
      </c>
      <c r="E5660" s="73"/>
      <c r="F5660" s="73"/>
      <c r="G5660" s="73"/>
      <c r="H5660" s="73"/>
      <c r="I5660" s="73"/>
      <c r="J5660" s="73"/>
      <c r="K5660" s="73"/>
      <c r="L5660" s="73"/>
      <c r="M5660" s="73"/>
      <c r="N5660" s="73"/>
      <c r="O5660" s="73"/>
      <c r="P5660" s="73"/>
      <c r="Q5660" s="73"/>
      <c r="R5660" s="73"/>
      <c r="S5660" s="73"/>
      <c r="T5660" s="73"/>
      <c r="U5660" s="73"/>
      <c r="V5660" s="73"/>
      <c r="W5660" s="73"/>
      <c r="X5660" s="73"/>
      <c r="Y5660" s="73"/>
      <c r="Z5660" s="73"/>
      <c r="AA5660" s="73"/>
      <c r="AB5660" s="73"/>
    </row>
    <row r="5661">
      <c r="A5661" s="73"/>
      <c r="B5661" s="73">
        <v>5.403153896E7</v>
      </c>
      <c r="C5661" s="73">
        <v>3.4321211403083E9</v>
      </c>
      <c r="D5661" s="73">
        <v>3.74425837917365E9</v>
      </c>
      <c r="E5661" s="73"/>
      <c r="F5661" s="73"/>
      <c r="G5661" s="73"/>
      <c r="H5661" s="73"/>
      <c r="I5661" s="73"/>
      <c r="J5661" s="73"/>
      <c r="K5661" s="73"/>
      <c r="L5661" s="73"/>
      <c r="M5661" s="73"/>
      <c r="N5661" s="73"/>
      <c r="O5661" s="73"/>
      <c r="P5661" s="73"/>
      <c r="Q5661" s="73"/>
      <c r="R5661" s="73"/>
      <c r="S5661" s="73"/>
      <c r="T5661" s="73"/>
      <c r="U5661" s="73"/>
      <c r="V5661" s="73"/>
      <c r="W5661" s="73"/>
      <c r="X5661" s="73"/>
      <c r="Y5661" s="73"/>
      <c r="Z5661" s="73"/>
      <c r="AA5661" s="73"/>
      <c r="AB5661" s="73"/>
    </row>
    <row r="5662">
      <c r="A5662" s="73"/>
      <c r="B5662" s="73">
        <v>5.407735252E7</v>
      </c>
      <c r="C5662" s="73">
        <v>3.43892188603873E9</v>
      </c>
      <c r="D5662" s="73">
        <v>3.7553122755453E9</v>
      </c>
      <c r="E5662" s="73"/>
      <c r="F5662" s="73"/>
      <c r="G5662" s="73"/>
      <c r="H5662" s="73"/>
      <c r="I5662" s="73"/>
      <c r="J5662" s="73"/>
      <c r="K5662" s="73"/>
      <c r="L5662" s="73"/>
      <c r="M5662" s="73"/>
      <c r="N5662" s="73"/>
      <c r="O5662" s="73"/>
      <c r="P5662" s="73"/>
      <c r="Q5662" s="73"/>
      <c r="R5662" s="73"/>
      <c r="S5662" s="73"/>
      <c r="T5662" s="73"/>
      <c r="U5662" s="73"/>
      <c r="V5662" s="73"/>
      <c r="W5662" s="73"/>
      <c r="X5662" s="73"/>
      <c r="Y5662" s="73"/>
      <c r="Z5662" s="73"/>
      <c r="AA5662" s="73"/>
      <c r="AB5662" s="73"/>
    </row>
    <row r="5663">
      <c r="A5663" s="73"/>
      <c r="B5663" s="73">
        <v>5.412319264E7</v>
      </c>
      <c r="C5663" s="73">
        <v>3.44573591788737E9</v>
      </c>
      <c r="D5663" s="73">
        <v>3.76639823275867E9</v>
      </c>
      <c r="E5663" s="73"/>
      <c r="F5663" s="73"/>
      <c r="G5663" s="73"/>
      <c r="H5663" s="73"/>
      <c r="I5663" s="73"/>
      <c r="J5663" s="73"/>
      <c r="K5663" s="73"/>
      <c r="L5663" s="73"/>
      <c r="M5663" s="73"/>
      <c r="N5663" s="73"/>
      <c r="O5663" s="73"/>
      <c r="P5663" s="73"/>
      <c r="Q5663" s="73"/>
      <c r="R5663" s="73"/>
      <c r="S5663" s="73"/>
      <c r="T5663" s="73"/>
      <c r="U5663" s="73"/>
      <c r="V5663" s="73"/>
      <c r="W5663" s="73"/>
      <c r="X5663" s="73"/>
      <c r="Y5663" s="73"/>
      <c r="Z5663" s="73"/>
      <c r="AA5663" s="73"/>
      <c r="AB5663" s="73"/>
    </row>
    <row r="5664">
      <c r="A5664" s="73"/>
      <c r="B5664" s="73">
        <v>5.416905739E7</v>
      </c>
      <c r="C5664" s="73">
        <v>3.4525628439797E9</v>
      </c>
      <c r="D5664" s="73">
        <v>3.77751626263488E9</v>
      </c>
      <c r="E5664" s="73"/>
      <c r="F5664" s="73"/>
      <c r="G5664" s="73"/>
      <c r="H5664" s="73"/>
      <c r="I5664" s="73"/>
      <c r="J5664" s="73"/>
      <c r="K5664" s="73"/>
      <c r="L5664" s="73"/>
      <c r="M5664" s="73"/>
      <c r="N5664" s="73"/>
      <c r="O5664" s="73"/>
      <c r="P5664" s="73"/>
      <c r="Q5664" s="73"/>
      <c r="R5664" s="73"/>
      <c r="S5664" s="73"/>
      <c r="T5664" s="73"/>
      <c r="U5664" s="73"/>
      <c r="V5664" s="73"/>
      <c r="W5664" s="73"/>
      <c r="X5664" s="73"/>
      <c r="Y5664" s="73"/>
      <c r="Z5664" s="73"/>
      <c r="AA5664" s="73"/>
      <c r="AB5664" s="73"/>
    </row>
    <row r="5665">
      <c r="A5665" s="73"/>
      <c r="B5665" s="73">
        <v>5.42149463E7</v>
      </c>
      <c r="C5665" s="73">
        <v>3.45940343887666E9</v>
      </c>
      <c r="D5665" s="73">
        <v>3.78866720670574E9</v>
      </c>
      <c r="E5665" s="73"/>
      <c r="F5665" s="73"/>
      <c r="G5665" s="73"/>
      <c r="H5665" s="73"/>
      <c r="I5665" s="73"/>
      <c r="J5665" s="73"/>
      <c r="K5665" s="73"/>
      <c r="L5665" s="73"/>
      <c r="M5665" s="73"/>
      <c r="N5665" s="73"/>
      <c r="O5665" s="73"/>
      <c r="P5665" s="73"/>
      <c r="Q5665" s="73"/>
      <c r="R5665" s="73"/>
      <c r="S5665" s="73"/>
      <c r="T5665" s="73"/>
      <c r="U5665" s="73"/>
      <c r="V5665" s="73"/>
      <c r="W5665" s="73"/>
      <c r="X5665" s="73"/>
      <c r="Y5665" s="73"/>
      <c r="Z5665" s="73"/>
      <c r="AA5665" s="73"/>
      <c r="AB5665" s="73"/>
    </row>
    <row r="5666">
      <c r="A5666" s="73"/>
      <c r="B5666" s="73">
        <v>5.426085939E7</v>
      </c>
      <c r="C5666" s="73">
        <v>3.46625731047872E9</v>
      </c>
      <c r="D5666" s="73">
        <v>3.79985030051364E9</v>
      </c>
      <c r="E5666" s="73"/>
      <c r="F5666" s="73"/>
      <c r="G5666" s="73"/>
      <c r="H5666" s="73"/>
      <c r="I5666" s="73"/>
      <c r="J5666" s="73"/>
      <c r="K5666" s="73"/>
      <c r="L5666" s="73"/>
      <c r="M5666" s="73"/>
      <c r="N5666" s="73"/>
      <c r="O5666" s="73"/>
      <c r="P5666" s="73"/>
      <c r="Q5666" s="73"/>
      <c r="R5666" s="73"/>
      <c r="S5666" s="73"/>
      <c r="T5666" s="73"/>
      <c r="U5666" s="73"/>
      <c r="V5666" s="73"/>
      <c r="W5666" s="73"/>
      <c r="X5666" s="73"/>
      <c r="Y5666" s="73"/>
      <c r="Z5666" s="73"/>
      <c r="AA5666" s="73"/>
      <c r="AB5666" s="73"/>
    </row>
    <row r="5667">
      <c r="A5667" s="73"/>
      <c r="B5667" s="73">
        <v>5.430679981E7</v>
      </c>
      <c r="C5667" s="73">
        <v>3.47312452343592E9</v>
      </c>
      <c r="D5667" s="73">
        <v>3.81106639402754E9</v>
      </c>
      <c r="E5667" s="73"/>
      <c r="F5667" s="73"/>
      <c r="G5667" s="73"/>
      <c r="H5667" s="73"/>
      <c r="I5667" s="73"/>
      <c r="J5667" s="73"/>
      <c r="K5667" s="73"/>
      <c r="L5667" s="73"/>
      <c r="M5667" s="73"/>
      <c r="N5667" s="73"/>
      <c r="O5667" s="73"/>
      <c r="P5667" s="73"/>
      <c r="Q5667" s="73"/>
      <c r="R5667" s="73"/>
      <c r="S5667" s="73"/>
      <c r="T5667" s="73"/>
      <c r="U5667" s="73"/>
      <c r="V5667" s="73"/>
      <c r="W5667" s="73"/>
      <c r="X5667" s="73"/>
      <c r="Y5667" s="73"/>
      <c r="Z5667" s="73"/>
      <c r="AA5667" s="73"/>
      <c r="AB5667" s="73"/>
    </row>
    <row r="5668">
      <c r="A5668" s="73"/>
      <c r="B5668" s="73">
        <v>5.435276289E7</v>
      </c>
      <c r="C5668" s="73">
        <v>3.48000468221695E9</v>
      </c>
      <c r="D5668" s="73">
        <v>3.82231509108218E9</v>
      </c>
      <c r="E5668" s="73"/>
      <c r="F5668" s="73"/>
      <c r="G5668" s="73"/>
      <c r="H5668" s="73"/>
      <c r="I5668" s="73"/>
      <c r="J5668" s="73"/>
      <c r="K5668" s="73"/>
      <c r="L5668" s="73"/>
      <c r="M5668" s="73"/>
      <c r="N5668" s="73"/>
      <c r="O5668" s="73"/>
      <c r="P5668" s="73"/>
      <c r="Q5668" s="73"/>
      <c r="R5668" s="73"/>
      <c r="S5668" s="73"/>
      <c r="T5668" s="73"/>
      <c r="U5668" s="73"/>
      <c r="V5668" s="73"/>
      <c r="W5668" s="73"/>
      <c r="X5668" s="73"/>
      <c r="Y5668" s="73"/>
      <c r="Z5668" s="73"/>
      <c r="AA5668" s="73"/>
      <c r="AB5668" s="73"/>
    </row>
    <row r="5669">
      <c r="A5669" s="73"/>
      <c r="B5669" s="73">
        <v>5.43987509E7</v>
      </c>
      <c r="C5669" s="73">
        <v>3.48689820894427E9</v>
      </c>
      <c r="D5669" s="73">
        <v>3.83359646684609E9</v>
      </c>
      <c r="E5669" s="73"/>
      <c r="F5669" s="73"/>
      <c r="G5669" s="73"/>
      <c r="H5669" s="73"/>
      <c r="I5669" s="73"/>
      <c r="J5669" s="73"/>
      <c r="K5669" s="73"/>
      <c r="L5669" s="73"/>
      <c r="M5669" s="73"/>
      <c r="N5669" s="73"/>
      <c r="O5669" s="73"/>
      <c r="P5669" s="73"/>
      <c r="Q5669" s="73"/>
      <c r="R5669" s="73"/>
      <c r="S5669" s="73"/>
      <c r="T5669" s="73"/>
      <c r="U5669" s="73"/>
      <c r="V5669" s="73"/>
      <c r="W5669" s="73"/>
      <c r="X5669" s="73"/>
      <c r="Y5669" s="73"/>
      <c r="Z5669" s="73"/>
      <c r="AA5669" s="73"/>
      <c r="AB5669" s="73"/>
    </row>
    <row r="5670">
      <c r="A5670" s="73"/>
      <c r="B5670" s="73">
        <v>5.444476437E7</v>
      </c>
      <c r="C5670" s="73">
        <v>3.49380506507517E9</v>
      </c>
      <c r="D5670" s="73">
        <v>3.8449105250901E9</v>
      </c>
      <c r="E5670" s="73"/>
      <c r="F5670" s="73"/>
      <c r="G5670" s="73"/>
      <c r="H5670" s="73"/>
      <c r="I5670" s="73"/>
      <c r="J5670" s="73"/>
      <c r="K5670" s="73"/>
      <c r="L5670" s="73"/>
      <c r="M5670" s="73"/>
      <c r="N5670" s="73"/>
      <c r="O5670" s="73"/>
      <c r="P5670" s="73"/>
      <c r="Q5670" s="73"/>
      <c r="R5670" s="73"/>
      <c r="S5670" s="73"/>
      <c r="T5670" s="73"/>
      <c r="U5670" s="73"/>
      <c r="V5670" s="73"/>
      <c r="W5670" s="73"/>
      <c r="X5670" s="73"/>
      <c r="Y5670" s="73"/>
      <c r="Z5670" s="73"/>
      <c r="AA5670" s="73"/>
      <c r="AB5670" s="73"/>
    </row>
    <row r="5671">
      <c r="A5671" s="73"/>
      <c r="B5671" s="73">
        <v>5.449080236E7</v>
      </c>
      <c r="C5671" s="73">
        <v>3.50072598241074E9</v>
      </c>
      <c r="D5671" s="73">
        <v>3.85625775298695E9</v>
      </c>
      <c r="E5671" s="73"/>
      <c r="F5671" s="73"/>
      <c r="G5671" s="73"/>
      <c r="H5671" s="73"/>
      <c r="I5671" s="73"/>
      <c r="J5671" s="73"/>
      <c r="K5671" s="73"/>
      <c r="L5671" s="73"/>
      <c r="M5671" s="73"/>
      <c r="N5671" s="73"/>
      <c r="O5671" s="73"/>
      <c r="P5671" s="73"/>
      <c r="Q5671" s="73"/>
      <c r="R5671" s="73"/>
      <c r="S5671" s="73"/>
      <c r="T5671" s="73"/>
      <c r="U5671" s="73"/>
      <c r="V5671" s="73"/>
      <c r="W5671" s="73"/>
      <c r="X5671" s="73"/>
      <c r="Y5671" s="73"/>
      <c r="Z5671" s="73"/>
      <c r="AA5671" s="73"/>
      <c r="AB5671" s="73"/>
    </row>
    <row r="5672">
      <c r="A5672" s="73"/>
      <c r="B5672" s="73">
        <v>5.453686534E7</v>
      </c>
      <c r="C5672" s="73">
        <v>3.50765959119076E9</v>
      </c>
      <c r="D5672" s="73">
        <v>3.86763774894708E9</v>
      </c>
      <c r="E5672" s="73"/>
      <c r="F5672" s="73"/>
      <c r="G5672" s="73"/>
      <c r="H5672" s="73"/>
      <c r="I5672" s="73"/>
      <c r="J5672" s="73"/>
      <c r="K5672" s="73"/>
      <c r="L5672" s="73"/>
      <c r="M5672" s="73"/>
      <c r="N5672" s="73"/>
      <c r="O5672" s="73"/>
      <c r="P5672" s="73"/>
      <c r="Q5672" s="73"/>
      <c r="R5672" s="73"/>
      <c r="S5672" s="73"/>
      <c r="T5672" s="73"/>
      <c r="U5672" s="73"/>
      <c r="V5672" s="73"/>
      <c r="W5672" s="73"/>
      <c r="X5672" s="73"/>
      <c r="Y5672" s="73"/>
      <c r="Z5672" s="73"/>
      <c r="AA5672" s="73"/>
      <c r="AB5672" s="73"/>
    </row>
    <row r="5673">
      <c r="A5673" s="73"/>
      <c r="B5673" s="73">
        <v>5.458295288E7</v>
      </c>
      <c r="C5673" s="73">
        <v>3.51460692982363E9</v>
      </c>
      <c r="D5673" s="73">
        <v>3.879051736783E9</v>
      </c>
      <c r="E5673" s="73"/>
      <c r="F5673" s="73"/>
      <c r="G5673" s="73"/>
      <c r="H5673" s="73"/>
      <c r="I5673" s="73"/>
      <c r="J5673" s="73"/>
      <c r="K5673" s="73"/>
      <c r="L5673" s="73"/>
      <c r="M5673" s="73"/>
      <c r="N5673" s="73"/>
      <c r="O5673" s="73"/>
      <c r="P5673" s="73"/>
      <c r="Q5673" s="73"/>
      <c r="R5673" s="73"/>
      <c r="S5673" s="73"/>
      <c r="T5673" s="73"/>
      <c r="U5673" s="73"/>
      <c r="V5673" s="73"/>
      <c r="W5673" s="73"/>
      <c r="X5673" s="73"/>
      <c r="Y5673" s="73"/>
      <c r="Z5673" s="73"/>
      <c r="AA5673" s="73"/>
      <c r="AB5673" s="73"/>
    </row>
    <row r="5674">
      <c r="A5674" s="73"/>
      <c r="B5674" s="73">
        <v>5.462906465E7</v>
      </c>
      <c r="C5674" s="73">
        <v>3.52156801301551E9</v>
      </c>
      <c r="D5674" s="73">
        <v>3.8904985759999E9</v>
      </c>
      <c r="E5674" s="73"/>
      <c r="F5674" s="73"/>
      <c r="G5674" s="73"/>
      <c r="H5674" s="73"/>
      <c r="I5674" s="73"/>
      <c r="J5674" s="73"/>
      <c r="K5674" s="73"/>
      <c r="L5674" s="73"/>
      <c r="M5674" s="73"/>
      <c r="N5674" s="73"/>
      <c r="O5674" s="73"/>
      <c r="P5674" s="73"/>
      <c r="Q5674" s="73"/>
      <c r="R5674" s="73"/>
      <c r="S5674" s="73"/>
      <c r="T5674" s="73"/>
      <c r="U5674" s="73"/>
      <c r="V5674" s="73"/>
      <c r="W5674" s="73"/>
      <c r="X5674" s="73"/>
      <c r="Y5674" s="73"/>
      <c r="Z5674" s="73"/>
      <c r="AA5674" s="73"/>
      <c r="AB5674" s="73"/>
    </row>
    <row r="5675">
      <c r="A5675" s="73"/>
      <c r="B5675" s="73">
        <v>5.467520294E7</v>
      </c>
      <c r="C5675" s="73">
        <v>3.52854182563665E9</v>
      </c>
      <c r="D5675" s="73">
        <v>3.90197834542098E9</v>
      </c>
      <c r="E5675" s="73"/>
      <c r="F5675" s="73"/>
      <c r="G5675" s="73"/>
      <c r="H5675" s="73"/>
      <c r="I5675" s="73"/>
      <c r="J5675" s="73"/>
      <c r="K5675" s="73"/>
      <c r="L5675" s="73"/>
      <c r="M5675" s="73"/>
      <c r="N5675" s="73"/>
      <c r="O5675" s="73"/>
      <c r="P5675" s="73"/>
      <c r="Q5675" s="73"/>
      <c r="R5675" s="73"/>
      <c r="S5675" s="73"/>
      <c r="T5675" s="73"/>
      <c r="U5675" s="73"/>
      <c r="V5675" s="73"/>
      <c r="W5675" s="73"/>
      <c r="X5675" s="73"/>
      <c r="Y5675" s="73"/>
      <c r="Z5675" s="73"/>
      <c r="AA5675" s="73"/>
      <c r="AB5675" s="73"/>
    </row>
    <row r="5676">
      <c r="A5676" s="73"/>
      <c r="B5676" s="73">
        <v>5.472136393E7</v>
      </c>
      <c r="C5676" s="73">
        <v>3.53552971673168E9</v>
      </c>
      <c r="D5676" s="73">
        <v>3.91349219969856E9</v>
      </c>
      <c r="E5676" s="73"/>
      <c r="F5676" s="73"/>
      <c r="G5676" s="73"/>
      <c r="H5676" s="73"/>
      <c r="I5676" s="73"/>
      <c r="J5676" s="73"/>
      <c r="K5676" s="73"/>
      <c r="L5676" s="73"/>
      <c r="M5676" s="73"/>
      <c r="N5676" s="73"/>
      <c r="O5676" s="73"/>
      <c r="P5676" s="73"/>
      <c r="Q5676" s="73"/>
      <c r="R5676" s="73"/>
      <c r="S5676" s="73"/>
      <c r="T5676" s="73"/>
      <c r="U5676" s="73"/>
      <c r="V5676" s="73"/>
      <c r="W5676" s="73"/>
      <c r="X5676" s="73"/>
      <c r="Y5676" s="73"/>
      <c r="Z5676" s="73"/>
      <c r="AA5676" s="73"/>
      <c r="AB5676" s="73"/>
    </row>
    <row r="5677">
      <c r="A5677" s="73"/>
      <c r="B5677" s="73">
        <v>5.476755181E7</v>
      </c>
      <c r="C5677" s="73">
        <v>3.54253108730498E9</v>
      </c>
      <c r="D5677" s="73">
        <v>3.92503902715079E9</v>
      </c>
      <c r="E5677" s="73"/>
      <c r="F5677" s="73"/>
      <c r="G5677" s="73"/>
      <c r="H5677" s="73"/>
      <c r="I5677" s="73"/>
      <c r="J5677" s="73"/>
      <c r="K5677" s="73"/>
      <c r="L5677" s="73"/>
      <c r="M5677" s="73"/>
      <c r="N5677" s="73"/>
      <c r="O5677" s="73"/>
      <c r="P5677" s="73"/>
      <c r="Q5677" s="73"/>
      <c r="R5677" s="73"/>
      <c r="S5677" s="73"/>
      <c r="T5677" s="73"/>
      <c r="U5677" s="73"/>
      <c r="V5677" s="73"/>
      <c r="W5677" s="73"/>
      <c r="X5677" s="73"/>
      <c r="Y5677" s="73"/>
      <c r="Z5677" s="73"/>
      <c r="AA5677" s="73"/>
      <c r="AB5677" s="73"/>
    </row>
    <row r="5678">
      <c r="A5678" s="73"/>
      <c r="B5678" s="73">
        <v>5.481376351E7</v>
      </c>
      <c r="C5678" s="73">
        <v>3.54954589572896E9</v>
      </c>
      <c r="D5678" s="73">
        <v>3.93662006704046E9</v>
      </c>
      <c r="E5678" s="73"/>
      <c r="F5678" s="73"/>
      <c r="G5678" s="73"/>
      <c r="H5678" s="73"/>
      <c r="I5678" s="73"/>
      <c r="J5678" s="73"/>
      <c r="K5678" s="73"/>
      <c r="L5678" s="73"/>
      <c r="M5678" s="73"/>
      <c r="N5678" s="73"/>
      <c r="O5678" s="73"/>
      <c r="P5678" s="73"/>
      <c r="Q5678" s="73"/>
      <c r="R5678" s="73"/>
      <c r="S5678" s="73"/>
      <c r="T5678" s="73"/>
      <c r="U5678" s="73"/>
      <c r="V5678" s="73"/>
      <c r="W5678" s="73"/>
      <c r="X5678" s="73"/>
      <c r="Y5678" s="73"/>
      <c r="Z5678" s="73"/>
      <c r="AA5678" s="73"/>
      <c r="AB5678" s="73"/>
    </row>
    <row r="5679">
      <c r="A5679" s="73"/>
      <c r="B5679" s="73">
        <v>5.48600013E7</v>
      </c>
      <c r="C5679" s="73">
        <v>3.55657415511952E9</v>
      </c>
      <c r="D5679" s="73">
        <v>3.94823416561188E9</v>
      </c>
      <c r="E5679" s="73"/>
      <c r="F5679" s="73"/>
      <c r="G5679" s="73"/>
      <c r="H5679" s="73"/>
      <c r="I5679" s="73"/>
      <c r="J5679" s="73"/>
      <c r="K5679" s="73"/>
      <c r="L5679" s="73"/>
      <c r="M5679" s="73"/>
      <c r="N5679" s="73"/>
      <c r="O5679" s="73"/>
      <c r="P5679" s="73"/>
      <c r="Q5679" s="73"/>
      <c r="R5679" s="73"/>
      <c r="S5679" s="73"/>
      <c r="T5679" s="73"/>
      <c r="U5679" s="73"/>
      <c r="V5679" s="73"/>
      <c r="W5679" s="73"/>
      <c r="X5679" s="73"/>
      <c r="Y5679" s="73"/>
      <c r="Z5679" s="73"/>
      <c r="AA5679" s="73"/>
      <c r="AB5679" s="73"/>
    </row>
    <row r="5680">
      <c r="A5680" s="73"/>
      <c r="B5680" s="73">
        <v>5.490626215E7</v>
      </c>
      <c r="C5680" s="73">
        <v>3.56361624284517E9</v>
      </c>
      <c r="D5680" s="73">
        <v>3.95988251726437E9</v>
      </c>
      <c r="E5680" s="73"/>
      <c r="F5680" s="73"/>
      <c r="G5680" s="73"/>
      <c r="H5680" s="73"/>
      <c r="I5680" s="73"/>
      <c r="J5680" s="73"/>
      <c r="K5680" s="73"/>
      <c r="L5680" s="73"/>
      <c r="M5680" s="73"/>
      <c r="N5680" s="73"/>
      <c r="O5680" s="73"/>
      <c r="P5680" s="73"/>
      <c r="Q5680" s="73"/>
      <c r="R5680" s="73"/>
      <c r="S5680" s="73"/>
      <c r="T5680" s="73"/>
      <c r="U5680" s="73"/>
      <c r="V5680" s="73"/>
      <c r="W5680" s="73"/>
      <c r="X5680" s="73"/>
      <c r="Y5680" s="73"/>
      <c r="Z5680" s="73"/>
      <c r="AA5680" s="73"/>
      <c r="AB5680" s="73"/>
    </row>
    <row r="5681">
      <c r="A5681" s="73"/>
      <c r="B5681" s="73">
        <v>5.495254916E7</v>
      </c>
      <c r="C5681" s="73">
        <v>3.57067180887667E9</v>
      </c>
      <c r="D5681" s="73">
        <v>3.97156517064078E9</v>
      </c>
      <c r="E5681" s="73"/>
      <c r="F5681" s="73"/>
      <c r="G5681" s="73"/>
      <c r="H5681" s="73"/>
      <c r="I5681" s="73"/>
      <c r="J5681" s="73"/>
      <c r="K5681" s="73"/>
      <c r="L5681" s="73"/>
      <c r="M5681" s="73"/>
      <c r="N5681" s="73"/>
      <c r="O5681" s="73"/>
      <c r="P5681" s="73"/>
      <c r="Q5681" s="73"/>
      <c r="R5681" s="73"/>
      <c r="S5681" s="73"/>
      <c r="T5681" s="73"/>
      <c r="U5681" s="73"/>
      <c r="V5681" s="73"/>
      <c r="W5681" s="73"/>
      <c r="X5681" s="73"/>
      <c r="Y5681" s="73"/>
      <c r="Z5681" s="73"/>
      <c r="AA5681" s="73"/>
      <c r="AB5681" s="73"/>
    </row>
    <row r="5682">
      <c r="A5682" s="73"/>
      <c r="B5682" s="73">
        <v>5.499885996E7</v>
      </c>
      <c r="C5682" s="73">
        <v>3.57774117416751E9</v>
      </c>
      <c r="D5682" s="73">
        <v>3.98328142548743E9</v>
      </c>
      <c r="E5682" s="73"/>
      <c r="F5682" s="73"/>
      <c r="G5682" s="73"/>
      <c r="H5682" s="73"/>
      <c r="I5682" s="73"/>
      <c r="J5682" s="73"/>
      <c r="K5682" s="73"/>
      <c r="L5682" s="73"/>
      <c r="M5682" s="73"/>
      <c r="N5682" s="73"/>
      <c r="O5682" s="73"/>
      <c r="P5682" s="73"/>
      <c r="Q5682" s="73"/>
      <c r="R5682" s="73"/>
      <c r="S5682" s="73"/>
      <c r="T5682" s="73"/>
      <c r="U5682" s="73"/>
      <c r="V5682" s="73"/>
      <c r="W5682" s="73"/>
      <c r="X5682" s="73"/>
      <c r="Y5682" s="73"/>
      <c r="Z5682" s="73"/>
      <c r="AA5682" s="73"/>
      <c r="AB5682" s="73"/>
    </row>
    <row r="5683">
      <c r="A5683" s="73"/>
      <c r="B5683" s="73">
        <v>5.504519652E7</v>
      </c>
      <c r="C5683" s="73">
        <v>3.5848241022515E9</v>
      </c>
      <c r="D5683" s="73">
        <v>3.99503206612079E9</v>
      </c>
      <c r="E5683" s="73"/>
      <c r="F5683" s="73"/>
      <c r="G5683" s="73"/>
      <c r="H5683" s="73"/>
      <c r="I5683" s="73"/>
      <c r="J5683" s="73"/>
      <c r="K5683" s="73"/>
      <c r="L5683" s="73"/>
      <c r="M5683" s="73"/>
      <c r="N5683" s="73"/>
      <c r="O5683" s="73"/>
      <c r="P5683" s="73"/>
      <c r="Q5683" s="73"/>
      <c r="R5683" s="73"/>
      <c r="S5683" s="73"/>
      <c r="T5683" s="73"/>
      <c r="U5683" s="73"/>
      <c r="V5683" s="73"/>
      <c r="W5683" s="73"/>
      <c r="X5683" s="73"/>
      <c r="Y5683" s="73"/>
      <c r="Z5683" s="73"/>
      <c r="AA5683" s="73"/>
      <c r="AB5683" s="73"/>
    </row>
    <row r="5684">
      <c r="A5684" s="73"/>
      <c r="B5684" s="73">
        <v>5.509155575E7</v>
      </c>
      <c r="C5684" s="73">
        <v>3.59192122370644E9</v>
      </c>
      <c r="D5684" s="73">
        <v>4.00681676403169E9</v>
      </c>
      <c r="E5684" s="73"/>
      <c r="F5684" s="73"/>
      <c r="G5684" s="73"/>
      <c r="H5684" s="73"/>
      <c r="I5684" s="73"/>
      <c r="J5684" s="73"/>
      <c r="K5684" s="73"/>
      <c r="L5684" s="73"/>
      <c r="M5684" s="73"/>
      <c r="N5684" s="73"/>
      <c r="O5684" s="73"/>
      <c r="P5684" s="73"/>
      <c r="Q5684" s="73"/>
      <c r="R5684" s="73"/>
      <c r="S5684" s="73"/>
      <c r="T5684" s="73"/>
      <c r="U5684" s="73"/>
      <c r="V5684" s="73"/>
      <c r="W5684" s="73"/>
      <c r="X5684" s="73"/>
      <c r="Y5684" s="73"/>
      <c r="Z5684" s="73"/>
      <c r="AA5684" s="73"/>
      <c r="AB5684" s="73"/>
    </row>
    <row r="5685">
      <c r="A5685" s="73"/>
      <c r="B5685" s="73">
        <v>5.513794234E7</v>
      </c>
      <c r="C5685" s="73">
        <v>3.59903157026045E9</v>
      </c>
      <c r="D5685" s="73">
        <v>4.01863589172547E9</v>
      </c>
      <c r="E5685" s="73"/>
      <c r="F5685" s="73"/>
      <c r="G5685" s="73"/>
      <c r="H5685" s="73"/>
      <c r="I5685" s="73"/>
      <c r="J5685" s="73"/>
      <c r="K5685" s="73"/>
      <c r="L5685" s="73"/>
      <c r="M5685" s="73"/>
      <c r="N5685" s="73"/>
      <c r="O5685" s="73"/>
      <c r="P5685" s="73"/>
      <c r="Q5685" s="73"/>
      <c r="R5685" s="73"/>
      <c r="S5685" s="73"/>
      <c r="T5685" s="73"/>
      <c r="U5685" s="73"/>
      <c r="V5685" s="73"/>
      <c r="W5685" s="73"/>
      <c r="X5685" s="73"/>
      <c r="Y5685" s="73"/>
      <c r="Z5685" s="73"/>
      <c r="AA5685" s="73"/>
      <c r="AB5685" s="73"/>
    </row>
    <row r="5686">
      <c r="A5686" s="73"/>
      <c r="B5686" s="73">
        <v>5.518435379E7</v>
      </c>
      <c r="C5686" s="73">
        <v>3.60615577144953E9</v>
      </c>
      <c r="D5686" s="73">
        <v>4.03048958441268E9</v>
      </c>
      <c r="E5686" s="73"/>
      <c r="F5686" s="73"/>
      <c r="G5686" s="73"/>
      <c r="H5686" s="73"/>
      <c r="I5686" s="73"/>
      <c r="J5686" s="73"/>
      <c r="K5686" s="73"/>
      <c r="L5686" s="73"/>
      <c r="M5686" s="73"/>
      <c r="N5686" s="73"/>
      <c r="O5686" s="73"/>
      <c r="P5686" s="73"/>
      <c r="Q5686" s="73"/>
      <c r="R5686" s="73"/>
      <c r="S5686" s="73"/>
      <c r="T5686" s="73"/>
      <c r="U5686" s="73"/>
      <c r="V5686" s="73"/>
      <c r="W5686" s="73"/>
      <c r="X5686" s="73"/>
      <c r="Y5686" s="73"/>
      <c r="Z5686" s="73"/>
      <c r="AA5686" s="73"/>
      <c r="AB5686" s="73"/>
    </row>
    <row r="5687">
      <c r="A5687" s="73"/>
      <c r="B5687" s="73">
        <v>5.523078909E7</v>
      </c>
      <c r="C5687" s="73">
        <v>3.61329353232087E9</v>
      </c>
      <c r="D5687" s="73">
        <v>4.04237779034733E9</v>
      </c>
      <c r="E5687" s="73"/>
      <c r="F5687" s="73"/>
      <c r="G5687" s="73"/>
      <c r="H5687" s="73"/>
      <c r="I5687" s="73"/>
      <c r="J5687" s="73"/>
      <c r="K5687" s="73"/>
      <c r="L5687" s="73"/>
      <c r="M5687" s="73"/>
      <c r="N5687" s="73"/>
      <c r="O5687" s="73"/>
      <c r="P5687" s="73"/>
      <c r="Q5687" s="73"/>
      <c r="R5687" s="73"/>
      <c r="S5687" s="73"/>
      <c r="T5687" s="73"/>
      <c r="U5687" s="73"/>
      <c r="V5687" s="73"/>
      <c r="W5687" s="73"/>
      <c r="X5687" s="73"/>
      <c r="Y5687" s="73"/>
      <c r="Z5687" s="73"/>
      <c r="AA5687" s="73"/>
      <c r="AB5687" s="73"/>
    </row>
    <row r="5688">
      <c r="A5688" s="73"/>
      <c r="B5688" s="73">
        <v>5.527725057E7</v>
      </c>
      <c r="C5688" s="73">
        <v>3.62044591203118E9</v>
      </c>
      <c r="D5688" s="73">
        <v>4.05430023024306E9</v>
      </c>
      <c r="E5688" s="73"/>
      <c r="F5688" s="73"/>
      <c r="G5688" s="73"/>
      <c r="H5688" s="73"/>
      <c r="I5688" s="73"/>
      <c r="J5688" s="73"/>
      <c r="K5688" s="73"/>
      <c r="L5688" s="73"/>
      <c r="M5688" s="73"/>
      <c r="N5688" s="73"/>
      <c r="O5688" s="73"/>
      <c r="P5688" s="73"/>
      <c r="Q5688" s="73"/>
      <c r="R5688" s="73"/>
      <c r="S5688" s="73"/>
      <c r="T5688" s="73"/>
      <c r="U5688" s="73"/>
      <c r="V5688" s="73"/>
      <c r="W5688" s="73"/>
      <c r="X5688" s="73"/>
      <c r="Y5688" s="73"/>
      <c r="Z5688" s="73"/>
      <c r="AA5688" s="73"/>
      <c r="AB5688" s="73"/>
    </row>
    <row r="5689">
      <c r="A5689" s="73"/>
      <c r="B5689" s="73">
        <v>5.532373474E7</v>
      </c>
      <c r="C5689" s="73">
        <v>3.62761151107615E9</v>
      </c>
      <c r="D5689" s="73">
        <v>4.06625806515076E9</v>
      </c>
      <c r="E5689" s="73"/>
      <c r="F5689" s="73"/>
      <c r="G5689" s="73"/>
      <c r="H5689" s="73"/>
      <c r="I5689" s="73"/>
      <c r="J5689" s="73"/>
      <c r="K5689" s="73"/>
      <c r="L5689" s="73"/>
      <c r="M5689" s="73"/>
      <c r="N5689" s="73"/>
      <c r="O5689" s="73"/>
      <c r="P5689" s="73"/>
      <c r="Q5689" s="73"/>
      <c r="R5689" s="73"/>
      <c r="S5689" s="73"/>
      <c r="T5689" s="73"/>
      <c r="U5689" s="73"/>
      <c r="V5689" s="73"/>
      <c r="W5689" s="73"/>
      <c r="X5689" s="73"/>
      <c r="Y5689" s="73"/>
      <c r="Z5689" s="73"/>
      <c r="AA5689" s="73"/>
      <c r="AB5689" s="73"/>
    </row>
    <row r="5690">
      <c r="A5690" s="73"/>
      <c r="B5690" s="73">
        <v>5.537024417E7</v>
      </c>
      <c r="C5690" s="73">
        <v>3.63479108047368E9</v>
      </c>
      <c r="D5690" s="73">
        <v>4.07825022089023E9</v>
      </c>
      <c r="E5690" s="73"/>
      <c r="F5690" s="73"/>
      <c r="G5690" s="73"/>
      <c r="H5690" s="73"/>
      <c r="I5690" s="73"/>
      <c r="J5690" s="73"/>
      <c r="K5690" s="73"/>
      <c r="L5690" s="73"/>
      <c r="M5690" s="73"/>
      <c r="N5690" s="73"/>
      <c r="O5690" s="73"/>
      <c r="P5690" s="73"/>
      <c r="Q5690" s="73"/>
      <c r="R5690" s="73"/>
      <c r="S5690" s="73"/>
      <c r="T5690" s="73"/>
      <c r="U5690" s="73"/>
      <c r="V5690" s="73"/>
      <c r="W5690" s="73"/>
      <c r="X5690" s="73"/>
      <c r="Y5690" s="73"/>
      <c r="Z5690" s="73"/>
      <c r="AA5690" s="73"/>
      <c r="AB5690" s="73"/>
    </row>
    <row r="5691">
      <c r="A5691" s="73"/>
      <c r="B5691" s="73">
        <v>5.541678056E7</v>
      </c>
      <c r="C5691" s="73">
        <v>3.64198457391834E9</v>
      </c>
      <c r="D5691" s="73">
        <v>4.09027743551847E9</v>
      </c>
      <c r="E5691" s="73"/>
      <c r="F5691" s="73"/>
      <c r="G5691" s="73"/>
      <c r="H5691" s="73"/>
      <c r="I5691" s="73"/>
      <c r="J5691" s="73"/>
      <c r="K5691" s="73"/>
      <c r="L5691" s="73"/>
      <c r="M5691" s="73"/>
      <c r="N5691" s="73"/>
      <c r="O5691" s="73"/>
      <c r="P5691" s="73"/>
      <c r="Q5691" s="73"/>
      <c r="R5691" s="73"/>
      <c r="S5691" s="73"/>
      <c r="T5691" s="73"/>
      <c r="U5691" s="73"/>
      <c r="V5691" s="73"/>
      <c r="W5691" s="73"/>
      <c r="X5691" s="73"/>
      <c r="Y5691" s="73"/>
      <c r="Z5691" s="73"/>
      <c r="AA5691" s="73"/>
      <c r="AB5691" s="73"/>
    </row>
    <row r="5692">
      <c r="A5692" s="73"/>
      <c r="B5692" s="73">
        <v>5.546334038E7</v>
      </c>
      <c r="C5692" s="73">
        <v>3.64919206660736E9</v>
      </c>
      <c r="D5692" s="73">
        <v>4.10233943307462E9</v>
      </c>
      <c r="E5692" s="73"/>
      <c r="F5692" s="73"/>
      <c r="G5692" s="73"/>
      <c r="H5692" s="73"/>
      <c r="I5692" s="73"/>
      <c r="J5692" s="73"/>
      <c r="K5692" s="73"/>
      <c r="L5692" s="73"/>
      <c r="M5692" s="73"/>
      <c r="N5692" s="73"/>
      <c r="O5692" s="73"/>
      <c r="P5692" s="73"/>
      <c r="Q5692" s="73"/>
      <c r="R5692" s="73"/>
      <c r="S5692" s="73"/>
      <c r="T5692" s="73"/>
      <c r="U5692" s="73"/>
      <c r="V5692" s="73"/>
      <c r="W5692" s="73"/>
      <c r="X5692" s="73"/>
      <c r="Y5692" s="73"/>
      <c r="Z5692" s="73"/>
      <c r="AA5692" s="73"/>
      <c r="AB5692" s="73"/>
    </row>
    <row r="5693">
      <c r="A5693" s="73"/>
      <c r="B5693" s="73">
        <v>5.5509926E7</v>
      </c>
      <c r="C5693" s="73">
        <v>3.65641388285154E9</v>
      </c>
      <c r="D5693" s="73">
        <v>4.11443705833918E9</v>
      </c>
      <c r="E5693" s="73"/>
      <c r="F5693" s="73"/>
      <c r="G5693" s="73"/>
      <c r="H5693" s="73"/>
      <c r="I5693" s="73"/>
      <c r="J5693" s="73"/>
      <c r="K5693" s="73"/>
      <c r="L5693" s="73"/>
      <c r="M5693" s="73"/>
      <c r="N5693" s="73"/>
      <c r="O5693" s="73"/>
      <c r="P5693" s="73"/>
      <c r="Q5693" s="73"/>
      <c r="R5693" s="73"/>
      <c r="S5693" s="73"/>
      <c r="T5693" s="73"/>
      <c r="U5693" s="73"/>
      <c r="V5693" s="73"/>
      <c r="W5693" s="73"/>
      <c r="X5693" s="73"/>
      <c r="Y5693" s="73"/>
      <c r="Z5693" s="73"/>
      <c r="AA5693" s="73"/>
      <c r="AB5693" s="73"/>
    </row>
    <row r="5694">
      <c r="A5694" s="73"/>
      <c r="B5694" s="73">
        <v>5.555653497E7</v>
      </c>
      <c r="C5694" s="73">
        <v>3.66364898443368E9</v>
      </c>
      <c r="D5694" s="73">
        <v>4.12656950182093E9</v>
      </c>
      <c r="E5694" s="73"/>
      <c r="F5694" s="73"/>
      <c r="G5694" s="73"/>
      <c r="H5694" s="73"/>
      <c r="I5694" s="73"/>
      <c r="J5694" s="73"/>
      <c r="K5694" s="73"/>
      <c r="L5694" s="73"/>
      <c r="M5694" s="73"/>
      <c r="N5694" s="73"/>
      <c r="O5694" s="73"/>
      <c r="P5694" s="73"/>
      <c r="Q5694" s="73"/>
      <c r="R5694" s="73"/>
      <c r="S5694" s="73"/>
      <c r="T5694" s="73"/>
      <c r="U5694" s="73"/>
      <c r="V5694" s="73"/>
      <c r="W5694" s="73"/>
      <c r="X5694" s="73"/>
      <c r="Y5694" s="73"/>
      <c r="Z5694" s="73"/>
      <c r="AA5694" s="73"/>
      <c r="AB5694" s="73"/>
    </row>
    <row r="5695">
      <c r="A5695" s="73"/>
      <c r="B5695" s="73">
        <v>5.560316978E7</v>
      </c>
      <c r="C5695" s="73">
        <v>3.67089812795174E9</v>
      </c>
      <c r="D5695" s="73">
        <v>4.13873760834096E9</v>
      </c>
      <c r="E5695" s="73"/>
      <c r="F5695" s="73"/>
      <c r="G5695" s="73"/>
      <c r="H5695" s="73"/>
      <c r="I5695" s="73"/>
      <c r="J5695" s="73"/>
      <c r="K5695" s="73"/>
      <c r="L5695" s="73"/>
      <c r="M5695" s="73"/>
      <c r="N5695" s="73"/>
      <c r="O5695" s="73"/>
      <c r="P5695" s="73"/>
      <c r="Q5695" s="73"/>
      <c r="R5695" s="73"/>
      <c r="S5695" s="73"/>
      <c r="T5695" s="73"/>
      <c r="U5695" s="73"/>
      <c r="V5695" s="73"/>
      <c r="W5695" s="73"/>
      <c r="X5695" s="73"/>
      <c r="Y5695" s="73"/>
      <c r="Z5695" s="73"/>
      <c r="AA5695" s="73"/>
      <c r="AB5695" s="73"/>
    </row>
    <row r="5696">
      <c r="A5696" s="73"/>
      <c r="B5696" s="73">
        <v>5.564983105E7</v>
      </c>
      <c r="C5696" s="73">
        <v>3.67816157498528E9</v>
      </c>
      <c r="D5696" s="73">
        <v>4.15094105171014E9</v>
      </c>
      <c r="E5696" s="73"/>
      <c r="F5696" s="73"/>
      <c r="G5696" s="73"/>
      <c r="H5696" s="73"/>
      <c r="I5696" s="73"/>
      <c r="J5696" s="73"/>
      <c r="K5696" s="73"/>
      <c r="L5696" s="73"/>
      <c r="M5696" s="73"/>
      <c r="N5696" s="73"/>
      <c r="O5696" s="73"/>
      <c r="P5696" s="73"/>
      <c r="Q5696" s="73"/>
      <c r="R5696" s="73"/>
      <c r="S5696" s="73"/>
      <c r="T5696" s="73"/>
      <c r="U5696" s="73"/>
      <c r="V5696" s="73"/>
      <c r="W5696" s="73"/>
      <c r="X5696" s="73"/>
      <c r="Y5696" s="73"/>
      <c r="Z5696" s="73"/>
      <c r="AA5696" s="73"/>
      <c r="AB5696" s="73"/>
    </row>
    <row r="5697">
      <c r="A5697" s="73"/>
      <c r="B5697" s="73">
        <v>5.569651465E7</v>
      </c>
      <c r="C5697" s="73">
        <v>3.68543909321898E9</v>
      </c>
      <c r="D5697" s="73">
        <v>4.16317981547131E9</v>
      </c>
      <c r="E5697" s="73"/>
      <c r="F5697" s="73"/>
      <c r="G5697" s="73"/>
      <c r="H5697" s="73"/>
      <c r="I5697" s="73"/>
      <c r="J5697" s="73"/>
      <c r="K5697" s="73"/>
      <c r="L5697" s="73"/>
      <c r="M5697" s="73"/>
      <c r="N5697" s="73"/>
      <c r="O5697" s="73"/>
      <c r="P5697" s="73"/>
      <c r="Q5697" s="73"/>
      <c r="R5697" s="73"/>
      <c r="S5697" s="73"/>
      <c r="T5697" s="73"/>
      <c r="U5697" s="73"/>
      <c r="V5697" s="73"/>
      <c r="W5697" s="73"/>
      <c r="X5697" s="73"/>
      <c r="Y5697" s="73"/>
      <c r="Z5697" s="73"/>
      <c r="AA5697" s="73"/>
      <c r="AB5697" s="73"/>
    </row>
    <row r="5698">
      <c r="A5698" s="73"/>
      <c r="B5698" s="73">
        <v>5.574322431E7</v>
      </c>
      <c r="C5698" s="73">
        <v>3.69273069756097E9</v>
      </c>
      <c r="D5698" s="73">
        <v>4.17545443895732E9</v>
      </c>
      <c r="E5698" s="73"/>
      <c r="F5698" s="73"/>
      <c r="G5698" s="73"/>
      <c r="H5698" s="73"/>
      <c r="I5698" s="73"/>
      <c r="J5698" s="73"/>
      <c r="K5698" s="73"/>
      <c r="L5698" s="73"/>
      <c r="M5698" s="73"/>
      <c r="N5698" s="73"/>
      <c r="O5698" s="73"/>
      <c r="P5698" s="73"/>
      <c r="Q5698" s="73"/>
      <c r="R5698" s="73"/>
      <c r="S5698" s="73"/>
      <c r="T5698" s="73"/>
      <c r="U5698" s="73"/>
      <c r="V5698" s="73"/>
      <c r="W5698" s="73"/>
      <c r="X5698" s="73"/>
      <c r="Y5698" s="73"/>
      <c r="Z5698" s="73"/>
      <c r="AA5698" s="73"/>
      <c r="AB5698" s="73"/>
    </row>
    <row r="5699">
      <c r="A5699" s="73"/>
      <c r="B5699" s="73">
        <v>5.578995862E7</v>
      </c>
      <c r="C5699" s="73">
        <v>3.70003702359574E9</v>
      </c>
      <c r="D5699" s="73">
        <v>4.18776484726932E9</v>
      </c>
      <c r="E5699" s="73"/>
      <c r="F5699" s="73"/>
      <c r="G5699" s="73"/>
      <c r="H5699" s="73"/>
      <c r="I5699" s="73"/>
      <c r="J5699" s="73"/>
      <c r="K5699" s="73"/>
      <c r="L5699" s="73"/>
      <c r="M5699" s="73"/>
      <c r="N5699" s="73"/>
      <c r="O5699" s="73"/>
      <c r="P5699" s="73"/>
      <c r="Q5699" s="73"/>
      <c r="R5699" s="73"/>
      <c r="S5699" s="73"/>
      <c r="T5699" s="73"/>
      <c r="U5699" s="73"/>
      <c r="V5699" s="73"/>
      <c r="W5699" s="73"/>
      <c r="X5699" s="73"/>
      <c r="Y5699" s="73"/>
      <c r="Z5699" s="73"/>
      <c r="AA5699" s="73"/>
      <c r="AB5699" s="73"/>
    </row>
    <row r="5700">
      <c r="A5700" s="73"/>
      <c r="B5700" s="73">
        <v>5.583671747E7</v>
      </c>
      <c r="C5700" s="73">
        <v>3.70735634018063E9</v>
      </c>
      <c r="D5700" s="73">
        <v>4.20011120837952E9</v>
      </c>
      <c r="E5700" s="73"/>
      <c r="F5700" s="73"/>
      <c r="G5700" s="73"/>
      <c r="H5700" s="73"/>
      <c r="I5700" s="73"/>
      <c r="J5700" s="73"/>
      <c r="K5700" s="73"/>
      <c r="L5700" s="73"/>
      <c r="M5700" s="73"/>
      <c r="N5700" s="73"/>
      <c r="O5700" s="73"/>
      <c r="P5700" s="73"/>
      <c r="Q5700" s="73"/>
      <c r="R5700" s="73"/>
      <c r="S5700" s="73"/>
      <c r="T5700" s="73"/>
      <c r="U5700" s="73"/>
      <c r="V5700" s="73"/>
      <c r="W5700" s="73"/>
      <c r="X5700" s="73"/>
      <c r="Y5700" s="73"/>
      <c r="Z5700" s="73"/>
      <c r="AA5700" s="73"/>
      <c r="AB5700" s="73"/>
    </row>
    <row r="5701">
      <c r="A5701" s="73"/>
      <c r="B5701" s="73">
        <v>5.588350136E7</v>
      </c>
      <c r="C5701" s="73">
        <v>3.71469078202748E9</v>
      </c>
      <c r="D5701" s="73">
        <v>4.21249344408402E9</v>
      </c>
      <c r="E5701" s="73"/>
      <c r="F5701" s="73"/>
      <c r="G5701" s="73"/>
      <c r="H5701" s="73"/>
      <c r="I5701" s="73"/>
      <c r="J5701" s="73"/>
      <c r="K5701" s="73"/>
      <c r="L5701" s="73"/>
      <c r="M5701" s="73"/>
      <c r="N5701" s="73"/>
      <c r="O5701" s="73"/>
      <c r="P5701" s="73"/>
      <c r="Q5701" s="73"/>
      <c r="R5701" s="73"/>
      <c r="S5701" s="73"/>
      <c r="T5701" s="73"/>
      <c r="U5701" s="73"/>
      <c r="V5701" s="73"/>
      <c r="W5701" s="73"/>
      <c r="X5701" s="73"/>
      <c r="Y5701" s="73"/>
      <c r="Z5701" s="73"/>
      <c r="AA5701" s="73"/>
      <c r="AB5701" s="73"/>
    </row>
    <row r="5702">
      <c r="A5702" s="73"/>
      <c r="B5702" s="73">
        <v>5.593031096E7</v>
      </c>
      <c r="C5702" s="73">
        <v>3.72203899218371E9</v>
      </c>
      <c r="D5702" s="73">
        <v>4.22491166332944E9</v>
      </c>
      <c r="E5702" s="73"/>
      <c r="F5702" s="73"/>
      <c r="G5702" s="73"/>
      <c r="H5702" s="73"/>
      <c r="I5702" s="73"/>
      <c r="J5702" s="73"/>
      <c r="K5702" s="73"/>
      <c r="L5702" s="73"/>
      <c r="M5702" s="73"/>
      <c r="N5702" s="73"/>
      <c r="O5702" s="73"/>
      <c r="P5702" s="73"/>
      <c r="Q5702" s="73"/>
      <c r="R5702" s="73"/>
      <c r="S5702" s="73"/>
      <c r="T5702" s="73"/>
      <c r="U5702" s="73"/>
      <c r="V5702" s="73"/>
      <c r="W5702" s="73"/>
      <c r="X5702" s="73"/>
      <c r="Y5702" s="73"/>
      <c r="Z5702" s="73"/>
      <c r="AA5702" s="73"/>
      <c r="AB5702" s="73"/>
    </row>
    <row r="5703">
      <c r="A5703" s="73"/>
      <c r="B5703" s="73">
        <v>5.597714524E7</v>
      </c>
      <c r="C5703" s="73">
        <v>3.72940136093221E9</v>
      </c>
      <c r="D5703" s="73">
        <v>4.2373658453539E9</v>
      </c>
      <c r="E5703" s="73"/>
      <c r="F5703" s="73"/>
      <c r="G5703" s="73"/>
      <c r="H5703" s="73"/>
      <c r="I5703" s="73"/>
      <c r="J5703" s="73"/>
      <c r="K5703" s="73"/>
      <c r="L5703" s="73"/>
      <c r="M5703" s="73"/>
      <c r="N5703" s="73"/>
      <c r="O5703" s="73"/>
      <c r="P5703" s="73"/>
      <c r="Q5703" s="73"/>
      <c r="R5703" s="73"/>
      <c r="S5703" s="73"/>
      <c r="T5703" s="73"/>
      <c r="U5703" s="73"/>
      <c r="V5703" s="73"/>
      <c r="W5703" s="73"/>
      <c r="X5703" s="73"/>
      <c r="Y5703" s="73"/>
      <c r="Z5703" s="73"/>
      <c r="AA5703" s="73"/>
      <c r="AB5703" s="73"/>
    </row>
    <row r="5704">
      <c r="A5704" s="73"/>
      <c r="B5704" s="73">
        <v>5.602400519E7</v>
      </c>
      <c r="C5704" s="73">
        <v>3.73677777020416E9</v>
      </c>
      <c r="D5704" s="73">
        <v>4.2498565416381E9</v>
      </c>
      <c r="E5704" s="73"/>
      <c r="F5704" s="73"/>
      <c r="G5704" s="73"/>
      <c r="H5704" s="73"/>
      <c r="I5704" s="73"/>
      <c r="J5704" s="73"/>
      <c r="K5704" s="73"/>
      <c r="L5704" s="73"/>
      <c r="M5704" s="73"/>
      <c r="N5704" s="73"/>
      <c r="O5704" s="73"/>
      <c r="P5704" s="73"/>
      <c r="Q5704" s="73"/>
      <c r="R5704" s="73"/>
      <c r="S5704" s="73"/>
      <c r="T5704" s="73"/>
      <c r="U5704" s="73"/>
      <c r="V5704" s="73"/>
      <c r="W5704" s="73"/>
      <c r="X5704" s="73"/>
      <c r="Y5704" s="73"/>
      <c r="Z5704" s="73"/>
      <c r="AA5704" s="73"/>
      <c r="AB5704" s="73"/>
    </row>
    <row r="5705">
      <c r="A5705" s="73"/>
      <c r="B5705" s="73">
        <v>5.607088862E7</v>
      </c>
      <c r="C5705" s="73">
        <v>3.74416867755067E9</v>
      </c>
      <c r="D5705" s="73">
        <v>4.26238410976027E9</v>
      </c>
      <c r="E5705" s="73"/>
      <c r="F5705" s="73"/>
      <c r="G5705" s="73"/>
      <c r="H5705" s="73"/>
      <c r="I5705" s="73"/>
      <c r="J5705" s="73"/>
      <c r="K5705" s="73"/>
      <c r="L5705" s="73"/>
      <c r="M5705" s="73"/>
      <c r="N5705" s="73"/>
      <c r="O5705" s="73"/>
      <c r="P5705" s="73"/>
      <c r="Q5705" s="73"/>
      <c r="R5705" s="73"/>
      <c r="S5705" s="73"/>
      <c r="T5705" s="73"/>
      <c r="U5705" s="73"/>
      <c r="V5705" s="73"/>
      <c r="W5705" s="73"/>
      <c r="X5705" s="73"/>
      <c r="Y5705" s="73"/>
      <c r="Z5705" s="73"/>
      <c r="AA5705" s="73"/>
      <c r="AB5705" s="73"/>
    </row>
    <row r="5706">
      <c r="A5706" s="73"/>
      <c r="B5706" s="73">
        <v>5.611779775E7</v>
      </c>
      <c r="C5706" s="73">
        <v>3.75157447711574E9</v>
      </c>
      <c r="D5706" s="73">
        <v>4.27494702610842E9</v>
      </c>
      <c r="E5706" s="73"/>
      <c r="F5706" s="73"/>
      <c r="G5706" s="73"/>
      <c r="H5706" s="73"/>
      <c r="I5706" s="73"/>
      <c r="J5706" s="73"/>
      <c r="K5706" s="73"/>
      <c r="L5706" s="73"/>
      <c r="M5706" s="73"/>
      <c r="N5706" s="73"/>
      <c r="O5706" s="73"/>
      <c r="P5706" s="73"/>
      <c r="Q5706" s="73"/>
      <c r="R5706" s="73"/>
      <c r="S5706" s="73"/>
      <c r="T5706" s="73"/>
      <c r="U5706" s="73"/>
      <c r="V5706" s="73"/>
      <c r="W5706" s="73"/>
      <c r="X5706" s="73"/>
      <c r="Y5706" s="73"/>
      <c r="Z5706" s="73"/>
      <c r="AA5706" s="73"/>
      <c r="AB5706" s="73"/>
    </row>
    <row r="5707">
      <c r="A5707" s="73"/>
      <c r="B5707" s="73">
        <v>5.616473193E7</v>
      </c>
      <c r="C5707" s="73">
        <v>3.75899366887023E9</v>
      </c>
      <c r="D5707" s="73">
        <v>4.28754728244767E9</v>
      </c>
      <c r="E5707" s="73"/>
      <c r="F5707" s="73"/>
      <c r="G5707" s="73"/>
      <c r="H5707" s="73"/>
      <c r="I5707" s="73"/>
      <c r="J5707" s="73"/>
      <c r="K5707" s="73"/>
      <c r="L5707" s="73"/>
      <c r="M5707" s="73"/>
      <c r="N5707" s="73"/>
      <c r="O5707" s="73"/>
      <c r="P5707" s="73"/>
      <c r="Q5707" s="73"/>
      <c r="R5707" s="73"/>
      <c r="S5707" s="73"/>
      <c r="T5707" s="73"/>
      <c r="U5707" s="73"/>
      <c r="V5707" s="73"/>
      <c r="W5707" s="73"/>
      <c r="X5707" s="73"/>
      <c r="Y5707" s="73"/>
      <c r="Z5707" s="73"/>
      <c r="AA5707" s="73"/>
      <c r="AB5707" s="73"/>
    </row>
    <row r="5708">
      <c r="A5708" s="73"/>
      <c r="B5708" s="73">
        <v>5.621169065E7</v>
      </c>
      <c r="C5708" s="73">
        <v>3.76642778257787E9</v>
      </c>
      <c r="D5708" s="73">
        <v>4.30018379751925E9</v>
      </c>
      <c r="E5708" s="73"/>
      <c r="F5708" s="73"/>
      <c r="G5708" s="73"/>
      <c r="H5708" s="73"/>
      <c r="I5708" s="73"/>
      <c r="J5708" s="73"/>
      <c r="K5708" s="73"/>
      <c r="L5708" s="73"/>
      <c r="M5708" s="73"/>
      <c r="N5708" s="73"/>
      <c r="O5708" s="73"/>
      <c r="P5708" s="73"/>
      <c r="Q5708" s="73"/>
      <c r="R5708" s="73"/>
      <c r="S5708" s="73"/>
      <c r="T5708" s="73"/>
      <c r="U5708" s="73"/>
      <c r="V5708" s="73"/>
      <c r="W5708" s="73"/>
      <c r="X5708" s="73"/>
      <c r="Y5708" s="73"/>
      <c r="Z5708" s="73"/>
      <c r="AA5708" s="73"/>
      <c r="AB5708" s="73"/>
    </row>
    <row r="5709">
      <c r="A5709" s="73"/>
      <c r="B5709" s="73">
        <v>5.625867314E7</v>
      </c>
      <c r="C5709" s="73">
        <v>3.7738760745347E9</v>
      </c>
      <c r="D5709" s="73">
        <v>4.31285774870387E9</v>
      </c>
      <c r="E5709" s="73"/>
      <c r="F5709" s="73"/>
      <c r="G5709" s="73"/>
      <c r="H5709" s="73"/>
      <c r="I5709" s="73"/>
      <c r="J5709" s="73"/>
      <c r="K5709" s="73"/>
      <c r="L5709" s="73"/>
      <c r="M5709" s="73"/>
      <c r="N5709" s="73"/>
      <c r="O5709" s="73"/>
      <c r="P5709" s="73"/>
      <c r="Q5709" s="73"/>
      <c r="R5709" s="73"/>
      <c r="S5709" s="73"/>
      <c r="T5709" s="73"/>
      <c r="U5709" s="73"/>
      <c r="V5709" s="73"/>
      <c r="W5709" s="73"/>
      <c r="X5709" s="73"/>
      <c r="Y5709" s="73"/>
      <c r="Z5709" s="73"/>
      <c r="AA5709" s="73"/>
      <c r="AB5709" s="73"/>
    </row>
    <row r="5710">
      <c r="A5710" s="73"/>
      <c r="B5710" s="73">
        <v>5.630568425E7</v>
      </c>
      <c r="C5710" s="73">
        <v>3.78133887045398E9</v>
      </c>
      <c r="D5710" s="73">
        <v>4.32556804835684E9</v>
      </c>
      <c r="E5710" s="73"/>
      <c r="F5710" s="73"/>
      <c r="G5710" s="73"/>
      <c r="H5710" s="73"/>
      <c r="I5710" s="73"/>
      <c r="J5710" s="73"/>
      <c r="K5710" s="73"/>
      <c r="L5710" s="73"/>
      <c r="M5710" s="73"/>
      <c r="N5710" s="73"/>
      <c r="O5710" s="73"/>
      <c r="P5710" s="73"/>
      <c r="Q5710" s="73"/>
      <c r="R5710" s="73"/>
      <c r="S5710" s="73"/>
      <c r="T5710" s="73"/>
      <c r="U5710" s="73"/>
      <c r="V5710" s="73"/>
      <c r="W5710" s="73"/>
      <c r="X5710" s="73"/>
      <c r="Y5710" s="73"/>
      <c r="Z5710" s="73"/>
      <c r="AA5710" s="73"/>
      <c r="AB5710" s="73"/>
    </row>
    <row r="5711">
      <c r="A5711" s="73"/>
      <c r="B5711" s="73">
        <v>5.635271676E7</v>
      </c>
      <c r="C5711" s="73">
        <v>3.78881625399144E9</v>
      </c>
      <c r="D5711" s="73">
        <v>4.33831588195293E9</v>
      </c>
      <c r="E5711" s="73"/>
      <c r="F5711" s="73"/>
      <c r="G5711" s="73"/>
      <c r="H5711" s="73"/>
      <c r="I5711" s="73"/>
      <c r="J5711" s="73"/>
      <c r="K5711" s="73"/>
      <c r="L5711" s="73"/>
      <c r="M5711" s="73"/>
      <c r="N5711" s="73"/>
      <c r="O5711" s="73"/>
      <c r="P5711" s="73"/>
      <c r="Q5711" s="73"/>
      <c r="R5711" s="73"/>
      <c r="S5711" s="73"/>
      <c r="T5711" s="73"/>
      <c r="U5711" s="73"/>
      <c r="V5711" s="73"/>
      <c r="W5711" s="73"/>
      <c r="X5711" s="73"/>
      <c r="Y5711" s="73"/>
      <c r="Z5711" s="73"/>
      <c r="AA5711" s="73"/>
      <c r="AB5711" s="73"/>
    </row>
    <row r="5712">
      <c r="A5712" s="73"/>
      <c r="B5712" s="73">
        <v>5.639977574E7</v>
      </c>
      <c r="C5712" s="73">
        <v>3.79630754621378E9</v>
      </c>
      <c r="D5712" s="73">
        <v>4.35110008648333E9</v>
      </c>
      <c r="E5712" s="73"/>
      <c r="F5712" s="73"/>
      <c r="G5712" s="73"/>
      <c r="H5712" s="73"/>
      <c r="I5712" s="73"/>
      <c r="J5712" s="73"/>
      <c r="K5712" s="73"/>
      <c r="L5712" s="73"/>
      <c r="M5712" s="73"/>
      <c r="N5712" s="73"/>
      <c r="O5712" s="73"/>
      <c r="P5712" s="73"/>
      <c r="Q5712" s="73"/>
      <c r="R5712" s="73"/>
      <c r="S5712" s="73"/>
      <c r="T5712" s="73"/>
      <c r="U5712" s="73"/>
      <c r="V5712" s="73"/>
      <c r="W5712" s="73"/>
      <c r="X5712" s="73"/>
      <c r="Y5712" s="73"/>
      <c r="Z5712" s="73"/>
      <c r="AA5712" s="73"/>
      <c r="AB5712" s="73"/>
    </row>
    <row r="5713">
      <c r="A5713" s="73"/>
      <c r="B5713" s="73">
        <v>5.644685868E7</v>
      </c>
      <c r="C5713" s="73">
        <v>3.80381376798195E9</v>
      </c>
      <c r="D5713" s="73">
        <v>4.36392236316681E9</v>
      </c>
      <c r="E5713" s="73"/>
      <c r="F5713" s="73"/>
      <c r="G5713" s="73"/>
      <c r="H5713" s="73"/>
      <c r="I5713" s="73"/>
      <c r="J5713" s="73"/>
      <c r="K5713" s="73"/>
      <c r="L5713" s="73"/>
      <c r="M5713" s="73"/>
      <c r="N5713" s="73"/>
      <c r="O5713" s="73"/>
      <c r="P5713" s="73"/>
      <c r="Q5713" s="73"/>
      <c r="R5713" s="73"/>
      <c r="S5713" s="73"/>
      <c r="T5713" s="73"/>
      <c r="U5713" s="73"/>
      <c r="V5713" s="73"/>
      <c r="W5713" s="73"/>
      <c r="X5713" s="73"/>
      <c r="Y5713" s="73"/>
      <c r="Z5713" s="73"/>
      <c r="AA5713" s="73"/>
      <c r="AB5713" s="73"/>
    </row>
    <row r="5714">
      <c r="A5714" s="73"/>
      <c r="B5714" s="73">
        <v>5.649396809E7</v>
      </c>
      <c r="C5714" s="73">
        <v>3.81133455194308E9</v>
      </c>
      <c r="D5714" s="73">
        <v>4.37678148492046E9</v>
      </c>
      <c r="E5714" s="73"/>
      <c r="F5714" s="73"/>
      <c r="G5714" s="73"/>
      <c r="H5714" s="73"/>
      <c r="I5714" s="73"/>
      <c r="J5714" s="73"/>
      <c r="K5714" s="73"/>
      <c r="L5714" s="73"/>
      <c r="M5714" s="73"/>
      <c r="N5714" s="73"/>
      <c r="O5714" s="73"/>
      <c r="P5714" s="73"/>
      <c r="Q5714" s="73"/>
      <c r="R5714" s="73"/>
      <c r="S5714" s="73"/>
      <c r="T5714" s="73"/>
      <c r="U5714" s="73"/>
      <c r="V5714" s="73"/>
      <c r="W5714" s="73"/>
      <c r="X5714" s="73"/>
      <c r="Y5714" s="73"/>
      <c r="Z5714" s="73"/>
      <c r="AA5714" s="73"/>
      <c r="AB5714" s="73"/>
    </row>
    <row r="5715">
      <c r="A5715" s="73"/>
      <c r="B5715" s="73">
        <v>5.654110086E7</v>
      </c>
      <c r="C5715" s="73">
        <v>3.81886998347832E9</v>
      </c>
      <c r="D5715" s="73">
        <v>4.38967794510322E9</v>
      </c>
      <c r="E5715" s="73"/>
      <c r="F5715" s="73"/>
      <c r="G5715" s="73"/>
      <c r="H5715" s="73"/>
      <c r="I5715" s="73"/>
      <c r="J5715" s="73"/>
      <c r="K5715" s="73"/>
      <c r="L5715" s="73"/>
      <c r="M5715" s="73"/>
      <c r="N5715" s="73"/>
      <c r="O5715" s="73"/>
      <c r="P5715" s="73"/>
      <c r="Q5715" s="73"/>
      <c r="R5715" s="73"/>
      <c r="S5715" s="73"/>
      <c r="T5715" s="73"/>
      <c r="U5715" s="73"/>
      <c r="V5715" s="73"/>
      <c r="W5715" s="73"/>
      <c r="X5715" s="73"/>
      <c r="Y5715" s="73"/>
      <c r="Z5715" s="73"/>
      <c r="AA5715" s="73"/>
      <c r="AB5715" s="73"/>
    </row>
    <row r="5716">
      <c r="A5716" s="73"/>
      <c r="B5716" s="73">
        <v>5.658826061E7</v>
      </c>
      <c r="C5716" s="73">
        <v>3.8264196936557E9</v>
      </c>
      <c r="D5716" s="73">
        <v>4.4026121735879E9</v>
      </c>
      <c r="E5716" s="73"/>
      <c r="F5716" s="73"/>
      <c r="G5716" s="73"/>
      <c r="H5716" s="73"/>
      <c r="I5716" s="73"/>
      <c r="J5716" s="73"/>
      <c r="K5716" s="73"/>
      <c r="L5716" s="73"/>
      <c r="M5716" s="73"/>
      <c r="N5716" s="73"/>
      <c r="O5716" s="73"/>
      <c r="P5716" s="73"/>
      <c r="Q5716" s="73"/>
      <c r="R5716" s="73"/>
      <c r="S5716" s="73"/>
      <c r="T5716" s="73"/>
      <c r="U5716" s="73"/>
      <c r="V5716" s="73"/>
      <c r="W5716" s="73"/>
      <c r="X5716" s="73"/>
      <c r="Y5716" s="73"/>
      <c r="Z5716" s="73"/>
      <c r="AA5716" s="73"/>
      <c r="AB5716" s="73"/>
    </row>
    <row r="5717">
      <c r="A5717" s="73"/>
      <c r="B5717" s="73">
        <v>5.663544301E7</v>
      </c>
      <c r="C5717" s="73">
        <v>3.83398400927382E9</v>
      </c>
      <c r="D5717" s="73">
        <v>4.41558383915089E9</v>
      </c>
      <c r="E5717" s="73"/>
      <c r="F5717" s="73"/>
      <c r="G5717" s="73"/>
      <c r="H5717" s="73"/>
      <c r="I5717" s="73"/>
      <c r="J5717" s="73"/>
      <c r="K5717" s="73"/>
      <c r="L5717" s="73"/>
      <c r="M5717" s="73"/>
      <c r="N5717" s="73"/>
      <c r="O5717" s="73"/>
      <c r="P5717" s="73"/>
      <c r="Q5717" s="73"/>
      <c r="R5717" s="73"/>
      <c r="S5717" s="73"/>
      <c r="T5717" s="73"/>
      <c r="U5717" s="73"/>
      <c r="V5717" s="73"/>
      <c r="W5717" s="73"/>
      <c r="X5717" s="73"/>
      <c r="Y5717" s="73"/>
      <c r="Z5717" s="73"/>
      <c r="AA5717" s="73"/>
      <c r="AB5717" s="73"/>
    </row>
    <row r="5718">
      <c r="A5718" s="73"/>
      <c r="B5718" s="73">
        <v>5.668265271E7</v>
      </c>
      <c r="C5718" s="73">
        <v>3.84156301701518E9</v>
      </c>
      <c r="D5718" s="73">
        <v>4.42859328910032E9</v>
      </c>
      <c r="E5718" s="73"/>
      <c r="F5718" s="73"/>
      <c r="G5718" s="73"/>
      <c r="H5718" s="73"/>
      <c r="I5718" s="73"/>
      <c r="J5718" s="73"/>
      <c r="K5718" s="73"/>
      <c r="L5718" s="73"/>
      <c r="M5718" s="73"/>
      <c r="N5718" s="73"/>
      <c r="O5718" s="73"/>
      <c r="P5718" s="73"/>
      <c r="Q5718" s="73"/>
      <c r="R5718" s="73"/>
      <c r="S5718" s="73"/>
      <c r="T5718" s="73"/>
      <c r="U5718" s="73"/>
      <c r="V5718" s="73"/>
      <c r="W5718" s="73"/>
      <c r="X5718" s="73"/>
      <c r="Y5718" s="73"/>
      <c r="Z5718" s="73"/>
      <c r="AA5718" s="73"/>
      <c r="AB5718" s="73"/>
    </row>
    <row r="5719">
      <c r="A5719" s="73"/>
      <c r="B5719" s="73">
        <v>5.672988626E7</v>
      </c>
      <c r="C5719" s="73">
        <v>3.84915697285286E9</v>
      </c>
      <c r="D5719" s="73">
        <v>4.44164072329916E9</v>
      </c>
      <c r="E5719" s="73"/>
      <c r="F5719" s="73"/>
      <c r="G5719" s="73"/>
      <c r="H5719" s="73"/>
      <c r="I5719" s="73"/>
      <c r="J5719" s="73"/>
      <c r="K5719" s="73"/>
      <c r="L5719" s="73"/>
      <c r="M5719" s="73"/>
      <c r="N5719" s="73"/>
      <c r="O5719" s="73"/>
      <c r="P5719" s="73"/>
      <c r="Q5719" s="73"/>
      <c r="R5719" s="73"/>
      <c r="S5719" s="73"/>
      <c r="T5719" s="73"/>
      <c r="U5719" s="73"/>
      <c r="V5719" s="73"/>
      <c r="W5719" s="73"/>
      <c r="X5719" s="73"/>
      <c r="Y5719" s="73"/>
      <c r="Z5719" s="73"/>
      <c r="AA5719" s="73"/>
      <c r="AB5719" s="73"/>
    </row>
    <row r="5720">
      <c r="A5720" s="73"/>
      <c r="B5720" s="73">
        <v>5.677714475E7</v>
      </c>
      <c r="C5720" s="73">
        <v>3.85676533787909E9</v>
      </c>
      <c r="D5720" s="73">
        <v>4.45472649779497E9</v>
      </c>
      <c r="E5720" s="73"/>
      <c r="F5720" s="73"/>
      <c r="G5720" s="73"/>
      <c r="H5720" s="73"/>
      <c r="I5720" s="73"/>
      <c r="J5720" s="73"/>
      <c r="K5720" s="73"/>
      <c r="L5720" s="73"/>
      <c r="M5720" s="73"/>
      <c r="N5720" s="73"/>
      <c r="O5720" s="73"/>
      <c r="P5720" s="73"/>
      <c r="Q5720" s="73"/>
      <c r="R5720" s="73"/>
      <c r="S5720" s="73"/>
      <c r="T5720" s="73"/>
      <c r="U5720" s="73"/>
      <c r="V5720" s="73"/>
      <c r="W5720" s="73"/>
      <c r="X5720" s="73"/>
      <c r="Y5720" s="73"/>
      <c r="Z5720" s="73"/>
      <c r="AA5720" s="73"/>
      <c r="AB5720" s="73"/>
    </row>
    <row r="5721">
      <c r="A5721" s="73"/>
      <c r="B5721" s="73">
        <v>5.6824429E7</v>
      </c>
      <c r="C5721" s="73">
        <v>3.86438836707477E9</v>
      </c>
      <c r="D5721" s="73">
        <v>4.46784982216698E9</v>
      </c>
      <c r="E5721" s="73"/>
      <c r="F5721" s="73"/>
      <c r="G5721" s="73"/>
      <c r="H5721" s="73"/>
      <c r="I5721" s="73"/>
      <c r="J5721" s="73"/>
      <c r="K5721" s="73"/>
      <c r="L5721" s="73"/>
      <c r="M5721" s="73"/>
      <c r="N5721" s="73"/>
      <c r="O5721" s="73"/>
      <c r="P5721" s="73"/>
      <c r="Q5721" s="73"/>
      <c r="R5721" s="73"/>
      <c r="S5721" s="73"/>
      <c r="T5721" s="73"/>
      <c r="U5721" s="73"/>
      <c r="V5721" s="73"/>
      <c r="W5721" s="73"/>
      <c r="X5721" s="73"/>
      <c r="Y5721" s="73"/>
      <c r="Z5721" s="73"/>
      <c r="AA5721" s="73"/>
      <c r="AB5721" s="73"/>
    </row>
    <row r="5722">
      <c r="A5722" s="73"/>
      <c r="B5722" s="73">
        <v>5.687173596E7</v>
      </c>
      <c r="C5722" s="73">
        <v>3.87202646262433E9</v>
      </c>
      <c r="D5722" s="73">
        <v>4.48101157849267E9</v>
      </c>
      <c r="E5722" s="73"/>
      <c r="F5722" s="73"/>
      <c r="G5722" s="73"/>
      <c r="H5722" s="73"/>
      <c r="I5722" s="73"/>
      <c r="J5722" s="73"/>
      <c r="K5722" s="73"/>
      <c r="L5722" s="73"/>
      <c r="M5722" s="73"/>
      <c r="N5722" s="73"/>
      <c r="O5722" s="73"/>
      <c r="P5722" s="73"/>
      <c r="Q5722" s="73"/>
      <c r="R5722" s="73"/>
      <c r="S5722" s="73"/>
      <c r="T5722" s="73"/>
      <c r="U5722" s="73"/>
      <c r="V5722" s="73"/>
      <c r="W5722" s="73"/>
      <c r="X5722" s="73"/>
      <c r="Y5722" s="73"/>
      <c r="Z5722" s="73"/>
      <c r="AA5722" s="73"/>
      <c r="AB5722" s="73"/>
    </row>
    <row r="5723">
      <c r="A5723" s="73"/>
      <c r="B5723" s="73">
        <v>5.691907064E7</v>
      </c>
      <c r="C5723" s="73">
        <v>3.87967925205038E9</v>
      </c>
      <c r="D5723" s="73">
        <v>4.49421143508586E9</v>
      </c>
      <c r="E5723" s="73"/>
      <c r="F5723" s="73"/>
      <c r="G5723" s="73"/>
      <c r="H5723" s="73"/>
      <c r="I5723" s="73"/>
      <c r="J5723" s="73"/>
      <c r="K5723" s="73"/>
      <c r="L5723" s="73"/>
      <c r="M5723" s="73"/>
      <c r="N5723" s="73"/>
      <c r="O5723" s="73"/>
      <c r="P5723" s="73"/>
      <c r="Q5723" s="73"/>
      <c r="R5723" s="73"/>
      <c r="S5723" s="73"/>
      <c r="T5723" s="73"/>
      <c r="U5723" s="73"/>
      <c r="V5723" s="73"/>
      <c r="W5723" s="73"/>
      <c r="X5723" s="73"/>
      <c r="Y5723" s="73"/>
      <c r="Z5723" s="73"/>
      <c r="AA5723" s="73"/>
      <c r="AB5723" s="73"/>
    </row>
    <row r="5724">
      <c r="A5724" s="73"/>
      <c r="B5724" s="73">
        <v>5.696642983E7</v>
      </c>
      <c r="C5724" s="73">
        <v>3.88734643558313E9</v>
      </c>
      <c r="D5724" s="73">
        <v>4.50744982602928E9</v>
      </c>
      <c r="E5724" s="73"/>
      <c r="F5724" s="73"/>
      <c r="G5724" s="73"/>
      <c r="H5724" s="73"/>
      <c r="I5724" s="73"/>
      <c r="J5724" s="73"/>
      <c r="K5724" s="73"/>
      <c r="L5724" s="73"/>
      <c r="M5724" s="73"/>
      <c r="N5724" s="73"/>
      <c r="O5724" s="73"/>
      <c r="P5724" s="73"/>
      <c r="Q5724" s="73"/>
      <c r="R5724" s="73"/>
      <c r="S5724" s="73"/>
      <c r="T5724" s="73"/>
      <c r="U5724" s="73"/>
      <c r="V5724" s="73"/>
      <c r="W5724" s="73"/>
      <c r="X5724" s="73"/>
      <c r="Y5724" s="73"/>
      <c r="Z5724" s="73"/>
      <c r="AA5724" s="73"/>
      <c r="AB5724" s="73"/>
    </row>
    <row r="5725">
      <c r="A5725" s="73"/>
      <c r="B5725" s="73">
        <v>5.701381246E7</v>
      </c>
      <c r="C5725" s="73">
        <v>3.89502912059081E9</v>
      </c>
      <c r="D5725" s="73">
        <v>4.52072633185453E9</v>
      </c>
      <c r="E5725" s="73"/>
      <c r="F5725" s="73"/>
      <c r="G5725" s="73"/>
      <c r="H5725" s="73"/>
      <c r="I5725" s="73"/>
      <c r="J5725" s="73"/>
      <c r="K5725" s="73"/>
      <c r="L5725" s="73"/>
      <c r="M5725" s="73"/>
      <c r="N5725" s="73"/>
      <c r="O5725" s="73"/>
      <c r="P5725" s="73"/>
      <c r="Q5725" s="73"/>
      <c r="R5725" s="73"/>
      <c r="S5725" s="73"/>
      <c r="T5725" s="73"/>
      <c r="U5725" s="73"/>
      <c r="V5725" s="73"/>
      <c r="W5725" s="73"/>
      <c r="X5725" s="73"/>
      <c r="Y5725" s="73"/>
      <c r="Z5725" s="73"/>
      <c r="AA5725" s="73"/>
      <c r="AB5725" s="73"/>
    </row>
    <row r="5726">
      <c r="A5726" s="73"/>
      <c r="B5726" s="73">
        <v>5.706122079E7</v>
      </c>
      <c r="C5726" s="73">
        <v>3.90272646847923E9</v>
      </c>
      <c r="D5726" s="73">
        <v>4.53404231010787E9</v>
      </c>
      <c r="E5726" s="73"/>
      <c r="F5726" s="73"/>
      <c r="G5726" s="73"/>
      <c r="H5726" s="73"/>
      <c r="I5726" s="73"/>
      <c r="J5726" s="73"/>
      <c r="K5726" s="73"/>
      <c r="L5726" s="73"/>
      <c r="M5726" s="73"/>
      <c r="N5726" s="73"/>
      <c r="O5726" s="73"/>
      <c r="P5726" s="73"/>
      <c r="Q5726" s="73"/>
      <c r="R5726" s="73"/>
      <c r="S5726" s="73"/>
      <c r="T5726" s="73"/>
      <c r="U5726" s="73"/>
      <c r="V5726" s="73"/>
      <c r="W5726" s="73"/>
      <c r="X5726" s="73"/>
      <c r="Y5726" s="73"/>
      <c r="Z5726" s="73"/>
      <c r="AA5726" s="73"/>
      <c r="AB5726" s="73"/>
    </row>
    <row r="5727">
      <c r="A5727" s="73"/>
      <c r="B5727" s="73">
        <v>5.710865425E7</v>
      </c>
      <c r="C5727" s="73">
        <v>3.91043833041045E9</v>
      </c>
      <c r="D5727" s="73">
        <v>4.54739650083726E9</v>
      </c>
      <c r="E5727" s="73"/>
      <c r="F5727" s="73"/>
      <c r="G5727" s="73"/>
      <c r="H5727" s="73"/>
      <c r="I5727" s="73"/>
      <c r="J5727" s="73"/>
      <c r="K5727" s="73"/>
      <c r="L5727" s="73"/>
      <c r="M5727" s="73"/>
      <c r="N5727" s="73"/>
      <c r="O5727" s="73"/>
      <c r="P5727" s="73"/>
      <c r="Q5727" s="73"/>
      <c r="R5727" s="73"/>
      <c r="S5727" s="73"/>
      <c r="T5727" s="73"/>
      <c r="U5727" s="73"/>
      <c r="V5727" s="73"/>
      <c r="W5727" s="73"/>
      <c r="X5727" s="73"/>
      <c r="Y5727" s="73"/>
      <c r="Z5727" s="73"/>
      <c r="AA5727" s="73"/>
      <c r="AB5727" s="73"/>
    </row>
    <row r="5728">
      <c r="A5728" s="73"/>
      <c r="B5728" s="73">
        <v>5.715611377E7</v>
      </c>
      <c r="C5728" s="73">
        <v>3.91816527408146E9</v>
      </c>
      <c r="D5728" s="73">
        <v>4.56078988549949E9</v>
      </c>
      <c r="E5728" s="73"/>
      <c r="F5728" s="73"/>
      <c r="G5728" s="73"/>
      <c r="H5728" s="73"/>
      <c r="I5728" s="73"/>
      <c r="J5728" s="73"/>
      <c r="K5728" s="73"/>
      <c r="L5728" s="73"/>
      <c r="M5728" s="73"/>
      <c r="N5728" s="73"/>
      <c r="O5728" s="73"/>
      <c r="P5728" s="73"/>
      <c r="Q5728" s="73"/>
      <c r="R5728" s="73"/>
      <c r="S5728" s="73"/>
      <c r="T5728" s="73"/>
      <c r="U5728" s="73"/>
      <c r="V5728" s="73"/>
      <c r="W5728" s="73"/>
      <c r="X5728" s="73"/>
      <c r="Y5728" s="73"/>
      <c r="Z5728" s="73"/>
      <c r="AA5728" s="73"/>
      <c r="AB5728" s="73"/>
    </row>
    <row r="5729">
      <c r="A5729" s="73"/>
      <c r="B5729" s="73">
        <v>5.720359838E7</v>
      </c>
      <c r="C5729" s="73">
        <v>3.92590699945531E9</v>
      </c>
      <c r="D5729" s="73">
        <v>4.57422157667512E9</v>
      </c>
      <c r="E5729" s="73"/>
      <c r="F5729" s="73"/>
      <c r="G5729" s="73"/>
      <c r="H5729" s="73"/>
      <c r="I5729" s="73"/>
      <c r="J5729" s="73"/>
      <c r="K5729" s="73"/>
      <c r="L5729" s="73"/>
      <c r="M5729" s="73"/>
      <c r="N5729" s="73"/>
      <c r="O5729" s="73"/>
      <c r="P5729" s="73"/>
      <c r="Q5729" s="73"/>
      <c r="R5729" s="73"/>
      <c r="S5729" s="73"/>
      <c r="T5729" s="73"/>
      <c r="U5729" s="73"/>
      <c r="V5729" s="73"/>
      <c r="W5729" s="73"/>
      <c r="X5729" s="73"/>
      <c r="Y5729" s="73"/>
      <c r="Z5729" s="73"/>
      <c r="AA5729" s="73"/>
      <c r="AB5729" s="73"/>
    </row>
    <row r="5730">
      <c r="A5730" s="73"/>
      <c r="B5730" s="73">
        <v>5.725110545E7</v>
      </c>
      <c r="C5730" s="73">
        <v>3.93366391344607E9</v>
      </c>
      <c r="D5730" s="73">
        <v>4.58769323721819E9</v>
      </c>
      <c r="E5730" s="73"/>
      <c r="F5730" s="73"/>
      <c r="G5730" s="73"/>
      <c r="H5730" s="73"/>
      <c r="I5730" s="73"/>
      <c r="J5730" s="73"/>
      <c r="K5730" s="73"/>
      <c r="L5730" s="73"/>
      <c r="M5730" s="73"/>
      <c r="N5730" s="73"/>
      <c r="O5730" s="73"/>
      <c r="P5730" s="73"/>
      <c r="Q5730" s="73"/>
      <c r="R5730" s="73"/>
      <c r="S5730" s="73"/>
      <c r="T5730" s="73"/>
      <c r="U5730" s="73"/>
      <c r="V5730" s="73"/>
      <c r="W5730" s="73"/>
      <c r="X5730" s="73"/>
      <c r="Y5730" s="73"/>
      <c r="Z5730" s="73"/>
      <c r="AA5730" s="73"/>
      <c r="AB5730" s="73"/>
    </row>
    <row r="5731">
      <c r="A5731" s="73"/>
      <c r="B5731" s="73">
        <v>5.729863996E7</v>
      </c>
      <c r="C5731" s="73">
        <v>3.94143603214476E9</v>
      </c>
      <c r="D5731" s="73">
        <v>4.60120377315498E9</v>
      </c>
      <c r="E5731" s="73"/>
      <c r="F5731" s="73"/>
      <c r="G5731" s="73"/>
      <c r="H5731" s="73"/>
      <c r="I5731" s="73"/>
      <c r="J5731" s="73"/>
      <c r="K5731" s="73"/>
      <c r="L5731" s="73"/>
      <c r="M5731" s="73"/>
      <c r="N5731" s="73"/>
      <c r="O5731" s="73"/>
      <c r="P5731" s="73"/>
      <c r="Q5731" s="73"/>
      <c r="R5731" s="73"/>
      <c r="S5731" s="73"/>
      <c r="T5731" s="73"/>
      <c r="U5731" s="73"/>
      <c r="V5731" s="73"/>
      <c r="W5731" s="73"/>
      <c r="X5731" s="73"/>
      <c r="Y5731" s="73"/>
      <c r="Z5731" s="73"/>
      <c r="AA5731" s="73"/>
      <c r="AB5731" s="73"/>
    </row>
    <row r="5732">
      <c r="A5732" s="73"/>
      <c r="B5732" s="73">
        <v>5.734619902E7</v>
      </c>
      <c r="C5732" s="73">
        <v>3.94922258410569E9</v>
      </c>
      <c r="D5732" s="73">
        <v>4.61475323015362E9</v>
      </c>
      <c r="E5732" s="73"/>
      <c r="F5732" s="73"/>
      <c r="G5732" s="73"/>
      <c r="H5732" s="73"/>
      <c r="I5732" s="73"/>
      <c r="J5732" s="73"/>
      <c r="K5732" s="73"/>
      <c r="L5732" s="73"/>
      <c r="M5732" s="73"/>
      <c r="N5732" s="73"/>
      <c r="O5732" s="73"/>
      <c r="P5732" s="73"/>
      <c r="Q5732" s="73"/>
      <c r="R5732" s="73"/>
      <c r="S5732" s="73"/>
      <c r="T5732" s="73"/>
      <c r="U5732" s="73"/>
      <c r="V5732" s="73"/>
      <c r="W5732" s="73"/>
      <c r="X5732" s="73"/>
      <c r="Y5732" s="73"/>
      <c r="Z5732" s="73"/>
      <c r="AA5732" s="73"/>
      <c r="AB5732" s="73"/>
    </row>
    <row r="5733">
      <c r="A5733" s="73"/>
      <c r="B5733" s="73">
        <v>5.739378196E7</v>
      </c>
      <c r="C5733" s="73">
        <v>3.95702437062571E9</v>
      </c>
      <c r="D5733" s="73">
        <v>4.62834195362172E9</v>
      </c>
      <c r="E5733" s="73"/>
      <c r="F5733" s="73"/>
      <c r="G5733" s="73"/>
      <c r="H5733" s="73"/>
      <c r="I5733" s="73"/>
      <c r="J5733" s="73"/>
      <c r="K5733" s="73"/>
      <c r="L5733" s="73"/>
      <c r="M5733" s="73"/>
      <c r="N5733" s="73"/>
      <c r="O5733" s="73"/>
      <c r="P5733" s="73"/>
      <c r="Q5733" s="73"/>
      <c r="R5733" s="73"/>
      <c r="S5733" s="73"/>
      <c r="T5733" s="73"/>
      <c r="U5733" s="73"/>
      <c r="V5733" s="73"/>
      <c r="W5733" s="73"/>
      <c r="X5733" s="73"/>
      <c r="Y5733" s="73"/>
      <c r="Z5733" s="73"/>
      <c r="AA5733" s="73"/>
      <c r="AB5733" s="73"/>
    </row>
    <row r="5734">
      <c r="A5734" s="73"/>
      <c r="B5734" s="73">
        <v>5.744139177E7</v>
      </c>
      <c r="C5734" s="73">
        <v>3.96484140782225E9</v>
      </c>
      <c r="D5734" s="73">
        <v>4.64197046076967E9</v>
      </c>
      <c r="E5734" s="73"/>
      <c r="F5734" s="73"/>
      <c r="G5734" s="73"/>
      <c r="H5734" s="73"/>
      <c r="I5734" s="73"/>
      <c r="J5734" s="73"/>
      <c r="K5734" s="73"/>
      <c r="L5734" s="73"/>
      <c r="M5734" s="73"/>
      <c r="N5734" s="73"/>
      <c r="O5734" s="73"/>
      <c r="P5734" s="73"/>
      <c r="Q5734" s="73"/>
      <c r="R5734" s="73"/>
      <c r="S5734" s="73"/>
      <c r="T5734" s="73"/>
      <c r="U5734" s="73"/>
      <c r="V5734" s="73"/>
      <c r="W5734" s="73"/>
      <c r="X5734" s="73"/>
      <c r="Y5734" s="73"/>
      <c r="Z5734" s="73"/>
      <c r="AA5734" s="73"/>
      <c r="AB5734" s="73"/>
    </row>
    <row r="5735">
      <c r="A5735" s="73"/>
      <c r="B5735" s="73">
        <v>5.748902538E7</v>
      </c>
      <c r="C5735" s="73">
        <v>3.9726736319722E9</v>
      </c>
      <c r="D5735" s="73">
        <v>4.65563928038519E9</v>
      </c>
      <c r="E5735" s="73"/>
      <c r="F5735" s="73"/>
      <c r="G5735" s="73"/>
      <c r="H5735" s="73"/>
      <c r="I5735" s="73"/>
      <c r="J5735" s="73"/>
      <c r="K5735" s="73"/>
      <c r="L5735" s="73"/>
      <c r="M5735" s="73"/>
      <c r="N5735" s="73"/>
      <c r="O5735" s="73"/>
      <c r="P5735" s="73"/>
      <c r="Q5735" s="73"/>
      <c r="R5735" s="73"/>
      <c r="S5735" s="73"/>
      <c r="T5735" s="73"/>
      <c r="U5735" s="73"/>
      <c r="V5735" s="73"/>
      <c r="W5735" s="73"/>
      <c r="X5735" s="73"/>
      <c r="Y5735" s="73"/>
      <c r="Z5735" s="73"/>
      <c r="AA5735" s="73"/>
      <c r="AB5735" s="73"/>
    </row>
    <row r="5736">
      <c r="A5736" s="73"/>
      <c r="B5736" s="73">
        <v>5.753668445E7</v>
      </c>
      <c r="C5736" s="73">
        <v>3.98052113817834E9</v>
      </c>
      <c r="D5736" s="73">
        <v>4.66934751103868E9</v>
      </c>
      <c r="E5736" s="73"/>
      <c r="F5736" s="73"/>
      <c r="G5736" s="73"/>
      <c r="H5736" s="73"/>
      <c r="I5736" s="73"/>
      <c r="J5736" s="73"/>
      <c r="K5736" s="73"/>
      <c r="L5736" s="73"/>
      <c r="M5736" s="73"/>
      <c r="N5736" s="73"/>
      <c r="O5736" s="73"/>
      <c r="P5736" s="73"/>
      <c r="Q5736" s="73"/>
      <c r="R5736" s="73"/>
      <c r="S5736" s="73"/>
      <c r="T5736" s="73"/>
      <c r="U5736" s="73"/>
      <c r="V5736" s="73"/>
      <c r="W5736" s="73"/>
      <c r="X5736" s="73"/>
      <c r="Y5736" s="73"/>
      <c r="Z5736" s="73"/>
      <c r="AA5736" s="73"/>
      <c r="AB5736" s="73"/>
    </row>
    <row r="5737">
      <c r="A5737" s="73"/>
      <c r="B5737" s="73">
        <v>5.758436761E7</v>
      </c>
      <c r="C5737" s="73">
        <v>3.98838354585152E9</v>
      </c>
      <c r="D5737" s="73">
        <v>4.68309529514705E9</v>
      </c>
      <c r="E5737" s="73"/>
      <c r="F5737" s="73"/>
      <c r="G5737" s="73"/>
      <c r="H5737" s="73"/>
      <c r="I5737" s="73"/>
      <c r="J5737" s="73"/>
      <c r="K5737" s="73"/>
      <c r="L5737" s="73"/>
      <c r="M5737" s="73"/>
      <c r="N5737" s="73"/>
      <c r="O5737" s="73"/>
      <c r="P5737" s="73"/>
      <c r="Q5737" s="73"/>
      <c r="R5737" s="73"/>
      <c r="S5737" s="73"/>
      <c r="T5737" s="73"/>
      <c r="U5737" s="73"/>
      <c r="V5737" s="73"/>
      <c r="W5737" s="73"/>
      <c r="X5737" s="73"/>
      <c r="Y5737" s="73"/>
      <c r="Z5737" s="73"/>
      <c r="AA5737" s="73"/>
      <c r="AB5737" s="73"/>
    </row>
    <row r="5738">
      <c r="A5738" s="73"/>
      <c r="B5738" s="73">
        <v>5.763207779E7</v>
      </c>
      <c r="C5738" s="73">
        <v>3.99626086936369E9</v>
      </c>
      <c r="D5738" s="73">
        <v>4.69688306839087E9</v>
      </c>
      <c r="E5738" s="73"/>
      <c r="F5738" s="73"/>
      <c r="G5738" s="73"/>
      <c r="H5738" s="73"/>
      <c r="I5738" s="73"/>
      <c r="J5738" s="73"/>
      <c r="K5738" s="73"/>
      <c r="L5738" s="73"/>
      <c r="M5738" s="73"/>
      <c r="N5738" s="73"/>
      <c r="O5738" s="73"/>
      <c r="P5738" s="73"/>
      <c r="Q5738" s="73"/>
      <c r="R5738" s="73"/>
      <c r="S5738" s="73"/>
      <c r="T5738" s="73"/>
      <c r="U5738" s="73"/>
      <c r="V5738" s="73"/>
      <c r="W5738" s="73"/>
      <c r="X5738" s="73"/>
      <c r="Y5738" s="73"/>
      <c r="Z5738" s="73"/>
      <c r="AA5738" s="73"/>
      <c r="AB5738" s="73"/>
    </row>
    <row r="5739">
      <c r="A5739" s="73"/>
      <c r="B5739" s="73">
        <v>5.767981254E7</v>
      </c>
      <c r="C5739" s="73">
        <v>4.00415383731576E9</v>
      </c>
      <c r="D5739" s="73">
        <v>4.71071126134356E9</v>
      </c>
      <c r="E5739" s="73"/>
      <c r="F5739" s="73"/>
      <c r="G5739" s="73"/>
      <c r="H5739" s="73"/>
      <c r="I5739" s="73"/>
      <c r="J5739" s="73"/>
      <c r="K5739" s="73"/>
      <c r="L5739" s="73"/>
      <c r="M5739" s="73"/>
      <c r="N5739" s="73"/>
      <c r="O5739" s="73"/>
      <c r="P5739" s="73"/>
      <c r="Q5739" s="73"/>
      <c r="R5739" s="73"/>
      <c r="S5739" s="73"/>
      <c r="T5739" s="73"/>
      <c r="U5739" s="73"/>
      <c r="V5739" s="73"/>
      <c r="W5739" s="73"/>
      <c r="X5739" s="73"/>
      <c r="Y5739" s="73"/>
      <c r="Z5739" s="73"/>
      <c r="AA5739" s="73"/>
      <c r="AB5739" s="73"/>
    </row>
    <row r="5740">
      <c r="A5740" s="73"/>
      <c r="B5740" s="73">
        <v>5.772757027E7</v>
      </c>
      <c r="C5740" s="73">
        <v>4.01206206780702E9</v>
      </c>
      <c r="D5740" s="73">
        <v>4.72457944870126E9</v>
      </c>
      <c r="E5740" s="73"/>
      <c r="F5740" s="73"/>
      <c r="G5740" s="73"/>
      <c r="H5740" s="73"/>
      <c r="I5740" s="73"/>
      <c r="J5740" s="73"/>
      <c r="K5740" s="73"/>
      <c r="L5740" s="73"/>
      <c r="M5740" s="73"/>
      <c r="N5740" s="73"/>
      <c r="O5740" s="73"/>
      <c r="P5740" s="73"/>
      <c r="Q5740" s="73"/>
      <c r="R5740" s="73"/>
      <c r="S5740" s="73"/>
      <c r="T5740" s="73"/>
      <c r="U5740" s="73"/>
      <c r="V5740" s="73"/>
      <c r="W5740" s="73"/>
      <c r="X5740" s="73"/>
      <c r="Y5740" s="73"/>
      <c r="Z5740" s="73"/>
      <c r="AA5740" s="73"/>
      <c r="AB5740" s="73"/>
    </row>
    <row r="5741">
      <c r="A5741" s="73"/>
      <c r="B5741" s="73">
        <v>5.77753558E7</v>
      </c>
      <c r="C5741" s="73">
        <v>4.01998565820303E9</v>
      </c>
      <c r="D5741" s="73">
        <v>4.73848825342369E9</v>
      </c>
      <c r="E5741" s="73"/>
      <c r="F5741" s="73"/>
      <c r="G5741" s="73"/>
      <c r="H5741" s="73"/>
      <c r="I5741" s="73"/>
      <c r="J5741" s="73"/>
      <c r="K5741" s="73"/>
      <c r="L5741" s="73"/>
      <c r="M5741" s="73"/>
      <c r="N5741" s="73"/>
      <c r="O5741" s="73"/>
      <c r="P5741" s="73"/>
      <c r="Q5741" s="73"/>
      <c r="R5741" s="73"/>
      <c r="S5741" s="73"/>
      <c r="T5741" s="73"/>
      <c r="U5741" s="73"/>
      <c r="V5741" s="73"/>
      <c r="W5741" s="73"/>
      <c r="X5741" s="73"/>
      <c r="Y5741" s="73"/>
      <c r="Z5741" s="73"/>
      <c r="AA5741" s="73"/>
      <c r="AB5741" s="73"/>
    </row>
    <row r="5742">
      <c r="A5742" s="73"/>
      <c r="B5742" s="73">
        <v>5.782316476E7</v>
      </c>
      <c r="C5742" s="73">
        <v>4.0279242249754E9</v>
      </c>
      <c r="D5742" s="73">
        <v>4.75243763700994E9</v>
      </c>
      <c r="E5742" s="73"/>
      <c r="F5742" s="73"/>
      <c r="G5742" s="73"/>
      <c r="H5742" s="73"/>
      <c r="I5742" s="73"/>
      <c r="J5742" s="73"/>
      <c r="K5742" s="73"/>
      <c r="L5742" s="73"/>
      <c r="M5742" s="73"/>
      <c r="N5742" s="73"/>
      <c r="O5742" s="73"/>
      <c r="P5742" s="73"/>
      <c r="Q5742" s="73"/>
      <c r="R5742" s="73"/>
      <c r="S5742" s="73"/>
      <c r="T5742" s="73"/>
      <c r="U5742" s="73"/>
      <c r="V5742" s="73"/>
      <c r="W5742" s="73"/>
      <c r="X5742" s="73"/>
      <c r="Y5742" s="73"/>
      <c r="Z5742" s="73"/>
      <c r="AA5742" s="73"/>
      <c r="AB5742" s="73"/>
    </row>
    <row r="5743">
      <c r="A5743" s="73"/>
      <c r="B5743" s="73">
        <v>5.787099828E7</v>
      </c>
      <c r="C5743" s="73">
        <v>4.03587849974489E9</v>
      </c>
      <c r="D5743" s="73">
        <v>4.76642715781266E9</v>
      </c>
      <c r="E5743" s="73"/>
      <c r="F5743" s="73"/>
      <c r="G5743" s="73"/>
      <c r="H5743" s="73"/>
      <c r="I5743" s="73"/>
      <c r="J5743" s="73"/>
      <c r="K5743" s="73"/>
      <c r="L5743" s="73"/>
      <c r="M5743" s="73"/>
      <c r="N5743" s="73"/>
      <c r="O5743" s="73"/>
      <c r="P5743" s="73"/>
      <c r="Q5743" s="73"/>
      <c r="R5743" s="73"/>
      <c r="S5743" s="73"/>
      <c r="T5743" s="73"/>
      <c r="U5743" s="73"/>
      <c r="V5743" s="73"/>
      <c r="W5743" s="73"/>
      <c r="X5743" s="73"/>
      <c r="Y5743" s="73"/>
      <c r="Z5743" s="73"/>
      <c r="AA5743" s="73"/>
      <c r="AB5743" s="73"/>
    </row>
    <row r="5744">
      <c r="A5744" s="73"/>
      <c r="B5744" s="73">
        <v>5.791885867E7</v>
      </c>
      <c r="C5744" s="73">
        <v>4.04384738028458E9</v>
      </c>
      <c r="D5744" s="73">
        <v>4.78045735966483E9</v>
      </c>
      <c r="E5744" s="73"/>
      <c r="F5744" s="73"/>
      <c r="G5744" s="73"/>
      <c r="H5744" s="73"/>
      <c r="I5744" s="73"/>
      <c r="J5744" s="73"/>
      <c r="K5744" s="73"/>
      <c r="L5744" s="73"/>
      <c r="M5744" s="73"/>
      <c r="N5744" s="73"/>
      <c r="O5744" s="73"/>
      <c r="P5744" s="73"/>
      <c r="Q5744" s="73"/>
      <c r="R5744" s="73"/>
      <c r="S5744" s="73"/>
      <c r="T5744" s="73"/>
      <c r="U5744" s="73"/>
      <c r="V5744" s="73"/>
      <c r="W5744" s="73"/>
      <c r="X5744" s="73"/>
      <c r="Y5744" s="73"/>
      <c r="Z5744" s="73"/>
      <c r="AA5744" s="73"/>
      <c r="AB5744" s="73"/>
    </row>
    <row r="5745">
      <c r="A5745" s="73"/>
      <c r="B5745" s="73">
        <v>5.796674374E7</v>
      </c>
      <c r="C5745" s="73">
        <v>4.05183240097017E9</v>
      </c>
      <c r="D5745" s="73">
        <v>4.79452828492599E9</v>
      </c>
      <c r="E5745" s="73"/>
      <c r="F5745" s="73"/>
      <c r="G5745" s="73"/>
      <c r="H5745" s="73"/>
      <c r="I5745" s="73"/>
      <c r="J5745" s="73"/>
      <c r="K5745" s="73"/>
      <c r="L5745" s="73"/>
      <c r="M5745" s="73"/>
      <c r="N5745" s="73"/>
      <c r="O5745" s="73"/>
      <c r="P5745" s="73"/>
      <c r="Q5745" s="73"/>
      <c r="R5745" s="73"/>
      <c r="S5745" s="73"/>
      <c r="T5745" s="73"/>
      <c r="U5745" s="73"/>
      <c r="V5745" s="73"/>
      <c r="W5745" s="73"/>
      <c r="X5745" s="73"/>
      <c r="Y5745" s="73"/>
      <c r="Z5745" s="73"/>
      <c r="AA5745" s="73"/>
      <c r="AB5745" s="73"/>
    </row>
    <row r="5746">
      <c r="A5746" s="73"/>
      <c r="B5746" s="73">
        <v>5.801465335E7</v>
      </c>
      <c r="C5746" s="73">
        <v>4.05983309338547E9</v>
      </c>
      <c r="D5746" s="73">
        <v>4.80864076141295E9</v>
      </c>
      <c r="E5746" s="73"/>
      <c r="F5746" s="73"/>
      <c r="G5746" s="73"/>
      <c r="H5746" s="73"/>
      <c r="I5746" s="73"/>
      <c r="J5746" s="73"/>
      <c r="K5746" s="73"/>
      <c r="L5746" s="73"/>
      <c r="M5746" s="73"/>
      <c r="N5746" s="73"/>
      <c r="O5746" s="73"/>
      <c r="P5746" s="73"/>
      <c r="Q5746" s="73"/>
      <c r="R5746" s="73"/>
      <c r="S5746" s="73"/>
      <c r="T5746" s="73"/>
      <c r="U5746" s="73"/>
      <c r="V5746" s="73"/>
      <c r="W5746" s="73"/>
      <c r="X5746" s="73"/>
      <c r="Y5746" s="73"/>
      <c r="Z5746" s="73"/>
      <c r="AA5746" s="73"/>
      <c r="AB5746" s="73"/>
    </row>
    <row r="5747">
      <c r="A5747" s="73"/>
      <c r="B5747" s="73">
        <v>5.806258685E7</v>
      </c>
      <c r="C5747" s="73">
        <v>4.0678485203687E9</v>
      </c>
      <c r="D5747" s="73">
        <v>4.82279368318441E9</v>
      </c>
      <c r="E5747" s="73"/>
      <c r="F5747" s="73"/>
      <c r="G5747" s="73"/>
      <c r="H5747" s="73"/>
      <c r="I5747" s="73"/>
      <c r="J5747" s="73"/>
      <c r="K5747" s="73"/>
      <c r="L5747" s="73"/>
      <c r="M5747" s="73"/>
      <c r="N5747" s="73"/>
      <c r="O5747" s="73"/>
      <c r="P5747" s="73"/>
      <c r="Q5747" s="73"/>
      <c r="R5747" s="73"/>
      <c r="S5747" s="73"/>
      <c r="T5747" s="73"/>
      <c r="U5747" s="73"/>
      <c r="V5747" s="73"/>
      <c r="W5747" s="73"/>
      <c r="X5747" s="73"/>
      <c r="Y5747" s="73"/>
      <c r="Z5747" s="73"/>
      <c r="AA5747" s="73"/>
      <c r="AB5747" s="73"/>
    </row>
    <row r="5748">
      <c r="A5748" s="73"/>
      <c r="B5748" s="73">
        <v>5.811054681E7</v>
      </c>
      <c r="C5748" s="73">
        <v>4.07587964884984E9</v>
      </c>
      <c r="D5748" s="73">
        <v>4.83698776857889E9</v>
      </c>
      <c r="E5748" s="73"/>
      <c r="F5748" s="73"/>
      <c r="G5748" s="73"/>
      <c r="H5748" s="73"/>
      <c r="I5748" s="73"/>
      <c r="J5748" s="73"/>
      <c r="K5748" s="73"/>
      <c r="L5748" s="73"/>
      <c r="M5748" s="73"/>
      <c r="N5748" s="73"/>
      <c r="O5748" s="73"/>
      <c r="P5748" s="73"/>
      <c r="Q5748" s="73"/>
      <c r="R5748" s="73"/>
      <c r="S5748" s="73"/>
      <c r="T5748" s="73"/>
      <c r="U5748" s="73"/>
      <c r="V5748" s="73"/>
      <c r="W5748" s="73"/>
      <c r="X5748" s="73"/>
      <c r="Y5748" s="73"/>
      <c r="Z5748" s="73"/>
      <c r="AA5748" s="73"/>
      <c r="AB5748" s="73"/>
    </row>
    <row r="5749">
      <c r="A5749" s="73"/>
      <c r="B5749" s="73">
        <v>5.815853218E7</v>
      </c>
      <c r="C5749" s="73">
        <v>4.08392626251112E9</v>
      </c>
      <c r="D5749" s="73">
        <v>4.85122317212204E9</v>
      </c>
      <c r="E5749" s="73"/>
      <c r="F5749" s="73"/>
      <c r="G5749" s="73"/>
      <c r="H5749" s="73"/>
      <c r="I5749" s="73"/>
      <c r="J5749" s="73"/>
      <c r="K5749" s="73"/>
      <c r="L5749" s="73"/>
      <c r="M5749" s="73"/>
      <c r="N5749" s="73"/>
      <c r="O5749" s="73"/>
      <c r="P5749" s="73"/>
      <c r="Q5749" s="73"/>
      <c r="R5749" s="73"/>
      <c r="S5749" s="73"/>
      <c r="T5749" s="73"/>
      <c r="U5749" s="73"/>
      <c r="V5749" s="73"/>
      <c r="W5749" s="73"/>
      <c r="X5749" s="73"/>
      <c r="Y5749" s="73"/>
      <c r="Z5749" s="73"/>
      <c r="AA5749" s="73"/>
      <c r="AB5749" s="73"/>
    </row>
    <row r="5750">
      <c r="A5750" s="73"/>
      <c r="B5750" s="73">
        <v>5.820654297E7</v>
      </c>
      <c r="C5750" s="73">
        <v>4.09198869556595E9</v>
      </c>
      <c r="D5750" s="73">
        <v>4.86550043628698E9</v>
      </c>
      <c r="E5750" s="73"/>
      <c r="F5750" s="73"/>
      <c r="G5750" s="73"/>
      <c r="H5750" s="73"/>
      <c r="I5750" s="73"/>
      <c r="J5750" s="73"/>
      <c r="K5750" s="73"/>
      <c r="L5750" s="73"/>
      <c r="M5750" s="73"/>
      <c r="N5750" s="73"/>
      <c r="O5750" s="73"/>
      <c r="P5750" s="73"/>
      <c r="Q5750" s="73"/>
      <c r="R5750" s="73"/>
      <c r="S5750" s="73"/>
      <c r="T5750" s="73"/>
      <c r="U5750" s="73"/>
      <c r="V5750" s="73"/>
      <c r="W5750" s="73"/>
      <c r="X5750" s="73"/>
      <c r="Y5750" s="73"/>
      <c r="Z5750" s="73"/>
      <c r="AA5750" s="73"/>
      <c r="AB5750" s="73"/>
    </row>
    <row r="5751">
      <c r="A5751" s="73"/>
      <c r="B5751" s="73">
        <v>5.825457752E7</v>
      </c>
      <c r="C5751" s="73">
        <v>4.10006696474068E9</v>
      </c>
      <c r="D5751" s="73">
        <v>4.87981863382415E9</v>
      </c>
      <c r="E5751" s="73"/>
      <c r="F5751" s="73"/>
      <c r="G5751" s="73"/>
      <c r="H5751" s="73"/>
      <c r="I5751" s="73"/>
      <c r="J5751" s="73"/>
      <c r="K5751" s="73"/>
      <c r="L5751" s="73"/>
      <c r="M5751" s="73"/>
      <c r="N5751" s="73"/>
      <c r="O5751" s="73"/>
      <c r="P5751" s="73"/>
      <c r="Q5751" s="73"/>
      <c r="R5751" s="73"/>
      <c r="S5751" s="73"/>
      <c r="T5751" s="73"/>
      <c r="U5751" s="73"/>
      <c r="V5751" s="73"/>
      <c r="W5751" s="73"/>
      <c r="X5751" s="73"/>
      <c r="Y5751" s="73"/>
      <c r="Z5751" s="73"/>
      <c r="AA5751" s="73"/>
      <c r="AB5751" s="73"/>
    </row>
    <row r="5752">
      <c r="A5752" s="73"/>
      <c r="B5752" s="73">
        <v>5.830263814E7</v>
      </c>
      <c r="C5752" s="73">
        <v>4.10816027525897E9</v>
      </c>
      <c r="D5752" s="73">
        <v>4.89417869268281E9</v>
      </c>
      <c r="E5752" s="73"/>
      <c r="F5752" s="73"/>
      <c r="G5752" s="73"/>
      <c r="H5752" s="73"/>
      <c r="I5752" s="73"/>
      <c r="J5752" s="73"/>
      <c r="K5752" s="73"/>
      <c r="L5752" s="73"/>
      <c r="M5752" s="73"/>
      <c r="N5752" s="73"/>
      <c r="O5752" s="73"/>
      <c r="P5752" s="73"/>
      <c r="Q5752" s="73"/>
      <c r="R5752" s="73"/>
      <c r="S5752" s="73"/>
      <c r="T5752" s="73"/>
      <c r="U5752" s="73"/>
      <c r="V5752" s="73"/>
      <c r="W5752" s="73"/>
      <c r="X5752" s="73"/>
      <c r="Y5752" s="73"/>
      <c r="Z5752" s="73"/>
      <c r="AA5752" s="73"/>
      <c r="AB5752" s="73"/>
    </row>
    <row r="5753">
      <c r="A5753" s="73"/>
      <c r="B5753" s="73">
        <v>5.835072232E7</v>
      </c>
      <c r="C5753" s="73">
        <v>4.11626985931355E9</v>
      </c>
      <c r="D5753" s="73">
        <v>4.90858066601088E9</v>
      </c>
      <c r="E5753" s="73"/>
      <c r="F5753" s="73"/>
      <c r="G5753" s="73"/>
      <c r="H5753" s="73"/>
      <c r="I5753" s="73"/>
      <c r="J5753" s="73"/>
      <c r="K5753" s="73"/>
      <c r="L5753" s="73"/>
      <c r="M5753" s="73"/>
      <c r="N5753" s="73"/>
      <c r="O5753" s="73"/>
      <c r="P5753" s="73"/>
      <c r="Q5753" s="73"/>
      <c r="R5753" s="73"/>
      <c r="S5753" s="73"/>
      <c r="T5753" s="73"/>
      <c r="U5753" s="73"/>
      <c r="V5753" s="73"/>
      <c r="W5753" s="73"/>
      <c r="X5753" s="73"/>
      <c r="Y5753" s="73"/>
      <c r="Z5753" s="73"/>
      <c r="AA5753" s="73"/>
      <c r="AB5753" s="73"/>
    </row>
    <row r="5754">
      <c r="A5754" s="73"/>
      <c r="B5754" s="73">
        <v>5.839883337E7</v>
      </c>
      <c r="C5754" s="73">
        <v>4.12439451456176E9</v>
      </c>
      <c r="D5754" s="73">
        <v>4.92302460854574E9</v>
      </c>
      <c r="E5754" s="73"/>
      <c r="F5754" s="73"/>
      <c r="G5754" s="73"/>
      <c r="H5754" s="73"/>
      <c r="I5754" s="73"/>
      <c r="J5754" s="73"/>
      <c r="K5754" s="73"/>
      <c r="L5754" s="73"/>
      <c r="M5754" s="73"/>
      <c r="N5754" s="73"/>
      <c r="O5754" s="73"/>
      <c r="P5754" s="73"/>
      <c r="Q5754" s="73"/>
      <c r="R5754" s="73"/>
      <c r="S5754" s="73"/>
      <c r="T5754" s="73"/>
      <c r="U5754" s="73"/>
      <c r="V5754" s="73"/>
      <c r="W5754" s="73"/>
      <c r="X5754" s="73"/>
      <c r="Y5754" s="73"/>
      <c r="Z5754" s="73"/>
      <c r="AA5754" s="73"/>
      <c r="AB5754" s="73"/>
    </row>
    <row r="5755">
      <c r="A5755" s="73"/>
      <c r="B5755" s="73">
        <v>5.844696902E7</v>
      </c>
      <c r="C5755" s="73">
        <v>4.13253506927911E9</v>
      </c>
      <c r="D5755" s="73">
        <v>4.93751056962757E9</v>
      </c>
      <c r="E5755" s="73"/>
      <c r="F5755" s="73"/>
      <c r="G5755" s="73"/>
      <c r="H5755" s="73"/>
      <c r="I5755" s="73"/>
      <c r="J5755" s="73"/>
      <c r="K5755" s="73"/>
      <c r="L5755" s="73"/>
      <c r="M5755" s="73"/>
      <c r="N5755" s="73"/>
      <c r="O5755" s="73"/>
      <c r="P5755" s="73"/>
      <c r="Q5755" s="73"/>
      <c r="R5755" s="73"/>
      <c r="S5755" s="73"/>
      <c r="T5755" s="73"/>
      <c r="U5755" s="73"/>
      <c r="V5755" s="73"/>
      <c r="W5755" s="73"/>
      <c r="X5755" s="73"/>
      <c r="Y5755" s="73"/>
      <c r="Z5755" s="73"/>
      <c r="AA5755" s="73"/>
      <c r="AB5755" s="73"/>
    </row>
    <row r="5756">
      <c r="A5756" s="73"/>
      <c r="B5756" s="73">
        <v>5.849512969E7</v>
      </c>
      <c r="C5756" s="73">
        <v>4.1406911320416E9</v>
      </c>
      <c r="D5756" s="73">
        <v>4.95203810300227E9</v>
      </c>
      <c r="E5756" s="73"/>
      <c r="F5756" s="73"/>
      <c r="G5756" s="73"/>
      <c r="H5756" s="73"/>
      <c r="I5756" s="73"/>
      <c r="J5756" s="73"/>
      <c r="K5756" s="73"/>
      <c r="L5756" s="73"/>
      <c r="M5756" s="73"/>
      <c r="N5756" s="73"/>
      <c r="O5756" s="73"/>
      <c r="P5756" s="73"/>
      <c r="Q5756" s="73"/>
      <c r="R5756" s="73"/>
      <c r="S5756" s="73"/>
      <c r="T5756" s="73"/>
      <c r="U5756" s="73"/>
      <c r="V5756" s="73"/>
      <c r="W5756" s="73"/>
      <c r="X5756" s="73"/>
      <c r="Y5756" s="73"/>
      <c r="Z5756" s="73"/>
      <c r="AA5756" s="73"/>
      <c r="AB5756" s="73"/>
    </row>
    <row r="5757">
      <c r="A5757" s="73"/>
      <c r="B5757" s="73">
        <v>5.854331493E7</v>
      </c>
      <c r="C5757" s="73">
        <v>4.14886344560902E9</v>
      </c>
      <c r="D5757" s="73">
        <v>4.96660826286428E9</v>
      </c>
      <c r="E5757" s="73"/>
      <c r="F5757" s="73"/>
      <c r="G5757" s="73"/>
      <c r="H5757" s="73"/>
      <c r="I5757" s="73"/>
      <c r="J5757" s="73"/>
      <c r="K5757" s="73"/>
      <c r="L5757" s="73"/>
      <c r="M5757" s="73"/>
      <c r="N5757" s="73"/>
      <c r="O5757" s="73"/>
      <c r="P5757" s="73"/>
      <c r="Q5757" s="73"/>
      <c r="R5757" s="73"/>
      <c r="S5757" s="73"/>
      <c r="T5757" s="73"/>
      <c r="U5757" s="73"/>
      <c r="V5757" s="73"/>
      <c r="W5757" s="73"/>
      <c r="X5757" s="73"/>
      <c r="Y5757" s="73"/>
      <c r="Z5757" s="73"/>
      <c r="AA5757" s="73"/>
      <c r="AB5757" s="73"/>
    </row>
    <row r="5758">
      <c r="A5758" s="73"/>
      <c r="B5758" s="73">
        <v>5.859152751E7</v>
      </c>
      <c r="C5758" s="73">
        <v>4.15705097949432E9</v>
      </c>
      <c r="D5758" s="73">
        <v>4.98122049039142E9</v>
      </c>
      <c r="E5758" s="73"/>
      <c r="F5758" s="73"/>
      <c r="G5758" s="73"/>
      <c r="H5758" s="73"/>
      <c r="I5758" s="73"/>
      <c r="J5758" s="73"/>
      <c r="K5758" s="73"/>
      <c r="L5758" s="73"/>
      <c r="M5758" s="73"/>
      <c r="N5758" s="73"/>
      <c r="O5758" s="73"/>
      <c r="P5758" s="73"/>
      <c r="Q5758" s="73"/>
      <c r="R5758" s="73"/>
      <c r="S5758" s="73"/>
      <c r="T5758" s="73"/>
      <c r="U5758" s="73"/>
      <c r="V5758" s="73"/>
      <c r="W5758" s="73"/>
      <c r="X5758" s="73"/>
      <c r="Y5758" s="73"/>
      <c r="Z5758" s="73"/>
      <c r="AA5758" s="73"/>
      <c r="AB5758" s="73"/>
    </row>
    <row r="5759">
      <c r="A5759" s="73"/>
      <c r="B5759" s="73">
        <v>5.863976278E7</v>
      </c>
      <c r="C5759" s="73">
        <v>4.16525438681649E9</v>
      </c>
      <c r="D5759" s="73">
        <v>4.99587533671426E9</v>
      </c>
      <c r="E5759" s="73"/>
      <c r="F5759" s="73"/>
      <c r="G5759" s="73"/>
      <c r="H5759" s="73"/>
      <c r="I5759" s="73"/>
      <c r="J5759" s="73"/>
      <c r="K5759" s="73"/>
      <c r="L5759" s="73"/>
      <c r="M5759" s="73"/>
      <c r="N5759" s="73"/>
      <c r="O5759" s="73"/>
      <c r="P5759" s="73"/>
      <c r="Q5759" s="73"/>
      <c r="R5759" s="73"/>
      <c r="S5759" s="73"/>
      <c r="T5759" s="73"/>
      <c r="U5759" s="73"/>
      <c r="V5759" s="73"/>
      <c r="W5759" s="73"/>
      <c r="X5759" s="73"/>
      <c r="Y5759" s="73"/>
      <c r="Z5759" s="73"/>
      <c r="AA5759" s="73"/>
      <c r="AB5759" s="73"/>
    </row>
    <row r="5760">
      <c r="A5760" s="73"/>
      <c r="B5760" s="73">
        <v>5.868802411E7</v>
      </c>
      <c r="C5760" s="73">
        <v>4.17347409364579E9</v>
      </c>
      <c r="D5760" s="73">
        <v>5.0105728521044E9</v>
      </c>
      <c r="E5760" s="73"/>
      <c r="F5760" s="73"/>
      <c r="G5760" s="73"/>
      <c r="H5760" s="73"/>
      <c r="I5760" s="73"/>
      <c r="J5760" s="73"/>
      <c r="K5760" s="73"/>
      <c r="L5760" s="73"/>
      <c r="M5760" s="73"/>
      <c r="N5760" s="73"/>
      <c r="O5760" s="73"/>
      <c r="P5760" s="73"/>
      <c r="Q5760" s="73"/>
      <c r="R5760" s="73"/>
      <c r="S5760" s="73"/>
      <c r="T5760" s="73"/>
      <c r="U5760" s="73"/>
      <c r="V5760" s="73"/>
      <c r="W5760" s="73"/>
      <c r="X5760" s="73"/>
      <c r="Y5760" s="73"/>
      <c r="Z5760" s="73"/>
      <c r="AA5760" s="73"/>
      <c r="AB5760" s="73"/>
    </row>
    <row r="5761">
      <c r="A5761" s="73"/>
      <c r="B5761" s="73">
        <v>5.873631084E7</v>
      </c>
      <c r="C5761" s="73">
        <v>4.1817090667725E9</v>
      </c>
      <c r="D5761" s="73">
        <v>5.02531309591468E9</v>
      </c>
      <c r="E5761" s="73"/>
      <c r="F5761" s="73"/>
      <c r="G5761" s="73"/>
      <c r="H5761" s="73"/>
      <c r="I5761" s="73"/>
      <c r="J5761" s="73"/>
      <c r="K5761" s="73"/>
      <c r="L5761" s="73"/>
      <c r="M5761" s="73"/>
      <c r="N5761" s="73"/>
      <c r="O5761" s="73"/>
      <c r="P5761" s="73"/>
      <c r="Q5761" s="73"/>
      <c r="R5761" s="73"/>
      <c r="S5761" s="73"/>
      <c r="T5761" s="73"/>
      <c r="U5761" s="73"/>
      <c r="V5761" s="73"/>
      <c r="W5761" s="73"/>
      <c r="X5761" s="73"/>
      <c r="Y5761" s="73"/>
      <c r="Z5761" s="73"/>
      <c r="AA5761" s="73"/>
      <c r="AB5761" s="73"/>
    </row>
    <row r="5762">
      <c r="A5762" s="73"/>
      <c r="B5762" s="73">
        <v>5.878462216E7</v>
      </c>
      <c r="C5762" s="73">
        <v>4.18996037212456E9</v>
      </c>
      <c r="D5762" s="73">
        <v>5.04009612204513E9</v>
      </c>
      <c r="E5762" s="73"/>
      <c r="F5762" s="73"/>
      <c r="G5762" s="73"/>
      <c r="H5762" s="73"/>
      <c r="I5762" s="73"/>
      <c r="J5762" s="73"/>
      <c r="K5762" s="73"/>
      <c r="L5762" s="73"/>
      <c r="M5762" s="73"/>
      <c r="N5762" s="73"/>
      <c r="O5762" s="73"/>
      <c r="P5762" s="73"/>
      <c r="Q5762" s="73"/>
      <c r="R5762" s="73"/>
      <c r="S5762" s="73"/>
      <c r="T5762" s="73"/>
      <c r="U5762" s="73"/>
      <c r="V5762" s="73"/>
      <c r="W5762" s="73"/>
      <c r="X5762" s="73"/>
      <c r="Y5762" s="73"/>
      <c r="Z5762" s="73"/>
      <c r="AA5762" s="73"/>
      <c r="AB5762" s="73"/>
    </row>
    <row r="5763">
      <c r="A5763" s="73"/>
      <c r="B5763" s="73">
        <v>5.883295932E7</v>
      </c>
      <c r="C5763" s="73">
        <v>4.19822761449153E9</v>
      </c>
      <c r="D5763" s="73">
        <v>5.05492237133711E9</v>
      </c>
      <c r="E5763" s="73"/>
      <c r="F5763" s="73"/>
      <c r="G5763" s="73"/>
      <c r="H5763" s="73"/>
      <c r="I5763" s="73"/>
      <c r="J5763" s="73"/>
      <c r="K5763" s="73"/>
      <c r="L5763" s="73"/>
      <c r="M5763" s="73"/>
      <c r="N5763" s="73"/>
      <c r="O5763" s="73"/>
      <c r="P5763" s="73"/>
      <c r="Q5763" s="73"/>
      <c r="R5763" s="73"/>
      <c r="S5763" s="73"/>
      <c r="T5763" s="73"/>
      <c r="U5763" s="73"/>
      <c r="V5763" s="73"/>
      <c r="W5763" s="73"/>
      <c r="X5763" s="73"/>
      <c r="Y5763" s="73"/>
      <c r="Z5763" s="73"/>
      <c r="AA5763" s="73"/>
      <c r="AB5763" s="73"/>
    </row>
    <row r="5764">
      <c r="A5764" s="73"/>
      <c r="B5764" s="73">
        <v>5.888132019E7</v>
      </c>
      <c r="C5764" s="73">
        <v>4.20651090238088E9</v>
      </c>
      <c r="D5764" s="73">
        <v>5.06979138583094E9</v>
      </c>
      <c r="E5764" s="73"/>
      <c r="F5764" s="73"/>
      <c r="G5764" s="73"/>
      <c r="H5764" s="73"/>
      <c r="I5764" s="73"/>
      <c r="J5764" s="73"/>
      <c r="K5764" s="73"/>
      <c r="L5764" s="73"/>
      <c r="M5764" s="73"/>
      <c r="N5764" s="73"/>
      <c r="O5764" s="73"/>
      <c r="P5764" s="73"/>
      <c r="Q5764" s="73"/>
      <c r="R5764" s="73"/>
      <c r="S5764" s="73"/>
      <c r="T5764" s="73"/>
      <c r="U5764" s="73"/>
      <c r="V5764" s="73"/>
      <c r="W5764" s="73"/>
      <c r="X5764" s="73"/>
      <c r="Y5764" s="73"/>
      <c r="Z5764" s="73"/>
      <c r="AA5764" s="73"/>
      <c r="AB5764" s="73"/>
    </row>
    <row r="5765">
      <c r="A5765" s="73"/>
      <c r="B5765" s="73">
        <v>5.89297073E7</v>
      </c>
      <c r="C5765" s="73">
        <v>4.21480983891004E9</v>
      </c>
      <c r="D5765" s="73">
        <v>5.08470334471049E9</v>
      </c>
      <c r="E5765" s="73"/>
      <c r="F5765" s="73"/>
      <c r="G5765" s="73"/>
      <c r="H5765" s="73"/>
      <c r="I5765" s="73"/>
      <c r="J5765" s="73"/>
      <c r="K5765" s="73"/>
      <c r="L5765" s="73"/>
      <c r="M5765" s="73"/>
      <c r="N5765" s="73"/>
      <c r="O5765" s="73"/>
      <c r="P5765" s="73"/>
      <c r="Q5765" s="73"/>
      <c r="R5765" s="73"/>
      <c r="S5765" s="73"/>
      <c r="T5765" s="73"/>
      <c r="U5765" s="73"/>
      <c r="V5765" s="73"/>
      <c r="W5765" s="73"/>
      <c r="X5765" s="73"/>
      <c r="Y5765" s="73"/>
      <c r="Z5765" s="73"/>
      <c r="AA5765" s="73"/>
      <c r="AB5765" s="73"/>
    </row>
    <row r="5766">
      <c r="A5766" s="73"/>
      <c r="B5766" s="73">
        <v>5.897811975E7</v>
      </c>
      <c r="C5766" s="73">
        <v>4.22312517381043E9</v>
      </c>
      <c r="D5766" s="73">
        <v>5.09965958707905E9</v>
      </c>
      <c r="E5766" s="73"/>
      <c r="F5766" s="73"/>
      <c r="G5766" s="73"/>
      <c r="H5766" s="73"/>
      <c r="I5766" s="73"/>
      <c r="J5766" s="73"/>
      <c r="K5766" s="73"/>
      <c r="L5766" s="73"/>
      <c r="M5766" s="73"/>
      <c r="N5766" s="73"/>
      <c r="O5766" s="73"/>
      <c r="P5766" s="73"/>
      <c r="Q5766" s="73"/>
      <c r="R5766" s="73"/>
      <c r="S5766" s="73"/>
      <c r="T5766" s="73"/>
      <c r="U5766" s="73"/>
      <c r="V5766" s="73"/>
      <c r="W5766" s="73"/>
      <c r="X5766" s="73"/>
      <c r="Y5766" s="73"/>
      <c r="Z5766" s="73"/>
      <c r="AA5766" s="73"/>
      <c r="AB5766" s="73"/>
    </row>
    <row r="5767">
      <c r="A5767" s="73"/>
      <c r="B5767" s="73">
        <v>5.902655717E7</v>
      </c>
      <c r="C5767" s="73">
        <v>4.23145609444733E9</v>
      </c>
      <c r="D5767" s="73">
        <v>5.11465837058465E9</v>
      </c>
      <c r="E5767" s="73"/>
      <c r="F5767" s="73"/>
      <c r="G5767" s="73"/>
      <c r="H5767" s="73"/>
      <c r="I5767" s="73"/>
      <c r="J5767" s="73"/>
      <c r="K5767" s="73"/>
      <c r="L5767" s="73"/>
      <c r="M5767" s="73"/>
      <c r="N5767" s="73"/>
      <c r="O5767" s="73"/>
      <c r="P5767" s="73"/>
      <c r="Q5767" s="73"/>
      <c r="R5767" s="73"/>
      <c r="S5767" s="73"/>
      <c r="T5767" s="73"/>
      <c r="U5767" s="73"/>
      <c r="V5767" s="73"/>
      <c r="W5767" s="73"/>
      <c r="X5767" s="73"/>
      <c r="Y5767" s="73"/>
      <c r="Z5767" s="73"/>
      <c r="AA5767" s="73"/>
      <c r="AB5767" s="73"/>
    </row>
    <row r="5768">
      <c r="A5768" s="73"/>
      <c r="B5768" s="73">
        <v>5.907501917E7</v>
      </c>
      <c r="C5768" s="73">
        <v>4.23980354057911E9</v>
      </c>
      <c r="D5768" s="73">
        <v>5.12970142773194E9</v>
      </c>
      <c r="E5768" s="73"/>
      <c r="F5768" s="73"/>
      <c r="G5768" s="73"/>
      <c r="H5768" s="73"/>
      <c r="I5768" s="73"/>
      <c r="J5768" s="73"/>
      <c r="K5768" s="73"/>
      <c r="L5768" s="73"/>
      <c r="M5768" s="73"/>
      <c r="N5768" s="73"/>
      <c r="O5768" s="73"/>
      <c r="P5768" s="73"/>
      <c r="Q5768" s="73"/>
      <c r="R5768" s="73"/>
      <c r="S5768" s="73"/>
      <c r="T5768" s="73"/>
      <c r="U5768" s="73"/>
      <c r="V5768" s="73"/>
      <c r="W5768" s="73"/>
      <c r="X5768" s="73"/>
      <c r="Y5768" s="73"/>
      <c r="Z5768" s="73"/>
      <c r="AA5768" s="73"/>
      <c r="AB5768" s="73"/>
    </row>
    <row r="5769">
      <c r="A5769" s="73"/>
      <c r="B5769" s="73">
        <v>5.912350622E7</v>
      </c>
      <c r="C5769" s="73">
        <v>4.24816660310029E9</v>
      </c>
      <c r="D5769" s="73">
        <v>5.14478764207391E9</v>
      </c>
      <c r="E5769" s="73"/>
      <c r="F5769" s="73"/>
      <c r="G5769" s="73"/>
      <c r="H5769" s="73"/>
      <c r="I5769" s="73"/>
      <c r="J5769" s="73"/>
      <c r="K5769" s="73"/>
      <c r="L5769" s="73"/>
      <c r="M5769" s="73"/>
      <c r="N5769" s="73"/>
      <c r="O5769" s="73"/>
      <c r="P5769" s="73"/>
      <c r="Q5769" s="73"/>
      <c r="R5769" s="73"/>
      <c r="S5769" s="73"/>
      <c r="T5769" s="73"/>
      <c r="U5769" s="73"/>
      <c r="V5769" s="73"/>
      <c r="W5769" s="73"/>
      <c r="X5769" s="73"/>
      <c r="Y5769" s="73"/>
      <c r="Z5769" s="73"/>
      <c r="AA5769" s="73"/>
      <c r="AB5769" s="73"/>
    </row>
    <row r="5770">
      <c r="A5770" s="73"/>
      <c r="B5770" s="73">
        <v>5.917201937E7</v>
      </c>
      <c r="C5770" s="73">
        <v>4.25654612933299E9</v>
      </c>
      <c r="D5770" s="73">
        <v>5.15991824267221E9</v>
      </c>
      <c r="E5770" s="73"/>
      <c r="F5770" s="73"/>
      <c r="G5770" s="73"/>
      <c r="H5770" s="73"/>
      <c r="I5770" s="73"/>
      <c r="J5770" s="73"/>
      <c r="K5770" s="73"/>
      <c r="L5770" s="73"/>
      <c r="M5770" s="73"/>
      <c r="N5770" s="73"/>
      <c r="O5770" s="73"/>
      <c r="P5770" s="73"/>
      <c r="Q5770" s="73"/>
      <c r="R5770" s="73"/>
      <c r="S5770" s="73"/>
      <c r="T5770" s="73"/>
      <c r="U5770" s="73"/>
      <c r="V5770" s="73"/>
      <c r="W5770" s="73"/>
      <c r="X5770" s="73"/>
      <c r="Y5770" s="73"/>
      <c r="Z5770" s="73"/>
      <c r="AA5770" s="73"/>
      <c r="AB5770" s="73"/>
    </row>
    <row r="5771">
      <c r="A5771" s="73"/>
      <c r="B5771" s="73">
        <v>5.922055644E7</v>
      </c>
      <c r="C5771" s="73">
        <v>4.26494181552563E9</v>
      </c>
      <c r="D5771" s="73">
        <v>5.17509198306461E9</v>
      </c>
      <c r="E5771" s="73"/>
      <c r="F5771" s="73"/>
      <c r="G5771" s="73"/>
      <c r="H5771" s="73"/>
      <c r="I5771" s="73"/>
      <c r="J5771" s="73"/>
      <c r="K5771" s="73"/>
      <c r="L5771" s="73"/>
      <c r="M5771" s="73"/>
      <c r="N5771" s="73"/>
      <c r="O5771" s="73"/>
      <c r="P5771" s="73"/>
      <c r="Q5771" s="73"/>
      <c r="R5771" s="73"/>
      <c r="S5771" s="73"/>
      <c r="T5771" s="73"/>
      <c r="U5771" s="73"/>
      <c r="V5771" s="73"/>
      <c r="W5771" s="73"/>
      <c r="X5771" s="73"/>
      <c r="Y5771" s="73"/>
      <c r="Z5771" s="73"/>
      <c r="AA5771" s="73"/>
      <c r="AB5771" s="73"/>
    </row>
    <row r="5772">
      <c r="A5772" s="73"/>
      <c r="B5772" s="73">
        <v>5.926912078E7</v>
      </c>
      <c r="C5772" s="73">
        <v>4.27335390303962E9</v>
      </c>
      <c r="D5772" s="73">
        <v>5.19031073540477E9</v>
      </c>
      <c r="E5772" s="73"/>
      <c r="F5772" s="73"/>
      <c r="G5772" s="73"/>
      <c r="H5772" s="73"/>
      <c r="I5772" s="73"/>
      <c r="J5772" s="73"/>
      <c r="K5772" s="73"/>
      <c r="L5772" s="73"/>
      <c r="M5772" s="73"/>
      <c r="N5772" s="73"/>
      <c r="O5772" s="73"/>
      <c r="P5772" s="73"/>
      <c r="Q5772" s="73"/>
      <c r="R5772" s="73"/>
      <c r="S5772" s="73"/>
      <c r="T5772" s="73"/>
      <c r="U5772" s="73"/>
      <c r="V5772" s="73"/>
      <c r="W5772" s="73"/>
      <c r="X5772" s="73"/>
      <c r="Y5772" s="73"/>
      <c r="Z5772" s="73"/>
      <c r="AA5772" s="73"/>
      <c r="AB5772" s="73"/>
    </row>
    <row r="5773">
      <c r="A5773" s="73"/>
      <c r="B5773" s="73">
        <v>5.931770968E7</v>
      </c>
      <c r="C5773" s="73">
        <v>4.28178218372544E9</v>
      </c>
      <c r="D5773" s="73">
        <v>5.2055731325157E9</v>
      </c>
      <c r="E5773" s="73"/>
      <c r="F5773" s="73"/>
      <c r="G5773" s="73"/>
      <c r="H5773" s="73"/>
      <c r="I5773" s="73"/>
      <c r="J5773" s="73"/>
      <c r="K5773" s="73"/>
      <c r="L5773" s="73"/>
      <c r="M5773" s="73"/>
      <c r="N5773" s="73"/>
      <c r="O5773" s="73"/>
      <c r="P5773" s="73"/>
      <c r="Q5773" s="73"/>
      <c r="R5773" s="73"/>
      <c r="S5773" s="73"/>
      <c r="T5773" s="73"/>
      <c r="U5773" s="73"/>
      <c r="V5773" s="73"/>
      <c r="W5773" s="73"/>
      <c r="X5773" s="73"/>
      <c r="Y5773" s="73"/>
      <c r="Z5773" s="73"/>
      <c r="AA5773" s="73"/>
      <c r="AB5773" s="73"/>
    </row>
    <row r="5774">
      <c r="A5774" s="73"/>
      <c r="B5774" s="73">
        <v>5.936632357E7</v>
      </c>
      <c r="C5774" s="73">
        <v>4.29022657674108E9</v>
      </c>
      <c r="D5774" s="73">
        <v>5.22088026093443E9</v>
      </c>
      <c r="E5774" s="73"/>
      <c r="F5774" s="73"/>
      <c r="G5774" s="73"/>
      <c r="H5774" s="73"/>
      <c r="I5774" s="73"/>
      <c r="J5774" s="73"/>
      <c r="K5774" s="73"/>
      <c r="L5774" s="73"/>
      <c r="M5774" s="73"/>
      <c r="N5774" s="73"/>
      <c r="O5774" s="73"/>
      <c r="P5774" s="73"/>
      <c r="Q5774" s="73"/>
      <c r="R5774" s="73"/>
      <c r="S5774" s="73"/>
      <c r="T5774" s="73"/>
      <c r="U5774" s="73"/>
      <c r="V5774" s="73"/>
      <c r="W5774" s="73"/>
      <c r="X5774" s="73"/>
      <c r="Y5774" s="73"/>
      <c r="Z5774" s="73"/>
      <c r="AA5774" s="73"/>
      <c r="AB5774" s="73"/>
    </row>
    <row r="5775">
      <c r="A5775" s="73"/>
      <c r="B5775" s="73">
        <v>5.94149605E7</v>
      </c>
      <c r="C5775" s="73">
        <v>4.29868709760933E9</v>
      </c>
      <c r="D5775" s="73">
        <v>5.23623153422153E9</v>
      </c>
      <c r="E5775" s="73"/>
      <c r="F5775" s="73"/>
      <c r="G5775" s="73"/>
      <c r="H5775" s="73"/>
      <c r="I5775" s="73"/>
      <c r="J5775" s="73"/>
      <c r="K5775" s="73"/>
      <c r="L5775" s="73"/>
      <c r="M5775" s="73"/>
      <c r="N5775" s="73"/>
      <c r="O5775" s="73"/>
      <c r="P5775" s="73"/>
      <c r="Q5775" s="73"/>
      <c r="R5775" s="73"/>
      <c r="S5775" s="73"/>
      <c r="T5775" s="73"/>
      <c r="U5775" s="73"/>
      <c r="V5775" s="73"/>
      <c r="W5775" s="73"/>
      <c r="X5775" s="73"/>
      <c r="Y5775" s="73"/>
      <c r="Z5775" s="73"/>
      <c r="AA5775" s="73"/>
      <c r="AB5775" s="73"/>
    </row>
    <row r="5776">
      <c r="A5776" s="73"/>
      <c r="B5776" s="73">
        <v>5.946362393E7</v>
      </c>
      <c r="C5776" s="73">
        <v>4.30716492497349E9</v>
      </c>
      <c r="D5776" s="73">
        <v>5.2516279105373E9</v>
      </c>
      <c r="E5776" s="73"/>
      <c r="F5776" s="73"/>
      <c r="G5776" s="73"/>
      <c r="H5776" s="73"/>
      <c r="I5776" s="73"/>
      <c r="J5776" s="73"/>
      <c r="K5776" s="73"/>
      <c r="L5776" s="73"/>
      <c r="M5776" s="73"/>
      <c r="N5776" s="73"/>
      <c r="O5776" s="73"/>
      <c r="P5776" s="73"/>
      <c r="Q5776" s="73"/>
      <c r="R5776" s="73"/>
      <c r="S5776" s="73"/>
      <c r="T5776" s="73"/>
      <c r="U5776" s="73"/>
      <c r="V5776" s="73"/>
      <c r="W5776" s="73"/>
      <c r="X5776" s="73"/>
      <c r="Y5776" s="73"/>
      <c r="Z5776" s="73"/>
      <c r="AA5776" s="73"/>
      <c r="AB5776" s="73"/>
    </row>
    <row r="5777">
      <c r="A5777" s="73"/>
      <c r="B5777" s="73">
        <v>5.951231401E7</v>
      </c>
      <c r="C5777" s="73">
        <v>4.31565817080137E9</v>
      </c>
      <c r="D5777" s="73">
        <v>5.26706867478709E9</v>
      </c>
      <c r="E5777" s="73"/>
      <c r="F5777" s="73"/>
      <c r="G5777" s="73"/>
      <c r="H5777" s="73"/>
      <c r="I5777" s="73"/>
      <c r="J5777" s="73"/>
      <c r="K5777" s="73"/>
      <c r="L5777" s="73"/>
      <c r="M5777" s="73"/>
      <c r="N5777" s="73"/>
      <c r="O5777" s="73"/>
      <c r="P5777" s="73"/>
      <c r="Q5777" s="73"/>
      <c r="R5777" s="73"/>
      <c r="S5777" s="73"/>
      <c r="T5777" s="73"/>
      <c r="U5777" s="73"/>
      <c r="V5777" s="73"/>
      <c r="W5777" s="73"/>
      <c r="X5777" s="73"/>
      <c r="Y5777" s="73"/>
      <c r="Z5777" s="73"/>
      <c r="AA5777" s="73"/>
      <c r="AB5777" s="73"/>
    </row>
    <row r="5778">
      <c r="A5778" s="73"/>
      <c r="B5778" s="73">
        <v>5.956102867E7</v>
      </c>
      <c r="C5778" s="73">
        <v>4.32416801423159E9</v>
      </c>
      <c r="D5778" s="73">
        <v>5.28255426489212E9</v>
      </c>
      <c r="E5778" s="73"/>
      <c r="F5778" s="73"/>
      <c r="G5778" s="73"/>
      <c r="H5778" s="73"/>
      <c r="I5778" s="73"/>
      <c r="J5778" s="73"/>
      <c r="K5778" s="73"/>
      <c r="L5778" s="73"/>
      <c r="M5778" s="73"/>
      <c r="N5778" s="73"/>
      <c r="O5778" s="73"/>
      <c r="P5778" s="73"/>
      <c r="Q5778" s="73"/>
      <c r="R5778" s="73"/>
      <c r="S5778" s="73"/>
      <c r="T5778" s="73"/>
      <c r="U5778" s="73"/>
      <c r="V5778" s="73"/>
      <c r="W5778" s="73"/>
      <c r="X5778" s="73"/>
      <c r="Y5778" s="73"/>
      <c r="Z5778" s="73"/>
      <c r="AA5778" s="73"/>
      <c r="AB5778" s="73"/>
    </row>
    <row r="5779">
      <c r="A5779" s="73"/>
      <c r="B5779" s="73">
        <v>5.96097671E7</v>
      </c>
      <c r="C5779" s="73">
        <v>4.33269405019632E9</v>
      </c>
      <c r="D5779" s="73">
        <v>5.29808460988914E9</v>
      </c>
      <c r="E5779" s="73"/>
      <c r="F5779" s="73"/>
      <c r="G5779" s="73"/>
      <c r="H5779" s="73"/>
      <c r="I5779" s="73"/>
      <c r="J5779" s="73"/>
      <c r="K5779" s="73"/>
      <c r="L5779" s="73"/>
      <c r="M5779" s="73"/>
      <c r="N5779" s="73"/>
      <c r="O5779" s="73"/>
      <c r="P5779" s="73"/>
      <c r="Q5779" s="73"/>
      <c r="R5779" s="73"/>
      <c r="S5779" s="73"/>
      <c r="T5779" s="73"/>
      <c r="U5779" s="73"/>
      <c r="V5779" s="73"/>
      <c r="W5779" s="73"/>
      <c r="X5779" s="73"/>
      <c r="Y5779" s="73"/>
      <c r="Z5779" s="73"/>
      <c r="AA5779" s="73"/>
      <c r="AB5779" s="73"/>
    </row>
    <row r="5780">
      <c r="A5780" s="73"/>
      <c r="B5780" s="73">
        <v>5.965853207E7</v>
      </c>
      <c r="C5780" s="73">
        <v>4.34123703988456E9</v>
      </c>
      <c r="D5780" s="73">
        <v>5.31366042025481E9</v>
      </c>
      <c r="E5780" s="73"/>
      <c r="F5780" s="73"/>
      <c r="G5780" s="73"/>
      <c r="H5780" s="73"/>
      <c r="I5780" s="73"/>
      <c r="J5780" s="73"/>
      <c r="K5780" s="73"/>
      <c r="L5780" s="73"/>
      <c r="M5780" s="73"/>
      <c r="N5780" s="73"/>
      <c r="O5780" s="73"/>
      <c r="P5780" s="73"/>
      <c r="Q5780" s="73"/>
      <c r="R5780" s="73"/>
      <c r="S5780" s="73"/>
      <c r="T5780" s="73"/>
      <c r="U5780" s="73"/>
      <c r="V5780" s="73"/>
      <c r="W5780" s="73"/>
      <c r="X5780" s="73"/>
      <c r="Y5780" s="73"/>
      <c r="Z5780" s="73"/>
      <c r="AA5780" s="73"/>
      <c r="AB5780" s="73"/>
    </row>
    <row r="5781">
      <c r="A5781" s="73"/>
      <c r="B5781" s="73">
        <v>5.970732288E7</v>
      </c>
      <c r="C5781" s="73">
        <v>4.34979625479956E9</v>
      </c>
      <c r="D5781" s="73">
        <v>5.32928109482251E9</v>
      </c>
      <c r="E5781" s="73"/>
      <c r="F5781" s="73"/>
      <c r="G5781" s="73"/>
      <c r="H5781" s="73"/>
      <c r="I5781" s="73"/>
      <c r="J5781" s="73"/>
      <c r="K5781" s="73"/>
      <c r="L5781" s="73"/>
      <c r="M5781" s="73"/>
      <c r="N5781" s="73"/>
      <c r="O5781" s="73"/>
      <c r="P5781" s="73"/>
      <c r="Q5781" s="73"/>
      <c r="R5781" s="73"/>
      <c r="S5781" s="73"/>
      <c r="T5781" s="73"/>
      <c r="U5781" s="73"/>
      <c r="V5781" s="73"/>
      <c r="W5781" s="73"/>
      <c r="X5781" s="73"/>
      <c r="Y5781" s="73"/>
      <c r="Z5781" s="73"/>
      <c r="AA5781" s="73"/>
      <c r="AB5781" s="73"/>
    </row>
    <row r="5782">
      <c r="A5782" s="73"/>
      <c r="B5782" s="73">
        <v>5.97561362E7</v>
      </c>
      <c r="C5782" s="73">
        <v>4.35837245771877E9</v>
      </c>
      <c r="D5782" s="73">
        <v>5.34494774930661E9</v>
      </c>
      <c r="E5782" s="73"/>
      <c r="F5782" s="73"/>
      <c r="G5782" s="73"/>
      <c r="H5782" s="73"/>
      <c r="I5782" s="73"/>
      <c r="J5782" s="73"/>
      <c r="K5782" s="73"/>
      <c r="L5782" s="73"/>
      <c r="M5782" s="73"/>
      <c r="N5782" s="73"/>
      <c r="O5782" s="73"/>
      <c r="P5782" s="73"/>
      <c r="Q5782" s="73"/>
      <c r="R5782" s="73"/>
      <c r="S5782" s="73"/>
      <c r="T5782" s="73"/>
      <c r="U5782" s="73"/>
      <c r="V5782" s="73"/>
      <c r="W5782" s="73"/>
      <c r="X5782" s="73"/>
      <c r="Y5782" s="73"/>
      <c r="Z5782" s="73"/>
      <c r="AA5782" s="73"/>
      <c r="AB5782" s="73"/>
    </row>
    <row r="5783">
      <c r="A5783" s="73"/>
      <c r="B5783" s="73">
        <v>5.98049782E7</v>
      </c>
      <c r="C5783" s="73">
        <v>4.36696417059441E9</v>
      </c>
      <c r="D5783" s="73">
        <v>5.36065937369938E9</v>
      </c>
      <c r="E5783" s="73"/>
      <c r="F5783" s="73"/>
      <c r="G5783" s="73"/>
      <c r="H5783" s="73"/>
      <c r="I5783" s="73"/>
      <c r="J5783" s="73"/>
      <c r="K5783" s="73"/>
      <c r="L5783" s="73"/>
      <c r="M5783" s="73"/>
      <c r="N5783" s="73"/>
      <c r="O5783" s="73"/>
      <c r="P5783" s="73"/>
      <c r="Q5783" s="73"/>
      <c r="R5783" s="73"/>
      <c r="S5783" s="73"/>
      <c r="T5783" s="73"/>
      <c r="U5783" s="73"/>
      <c r="V5783" s="73"/>
      <c r="W5783" s="73"/>
      <c r="X5783" s="73"/>
      <c r="Y5783" s="73"/>
      <c r="Z5783" s="73"/>
      <c r="AA5783" s="73"/>
      <c r="AB5783" s="73"/>
    </row>
    <row r="5784">
      <c r="A5784" s="73"/>
      <c r="B5784" s="73">
        <v>5.985384355E7</v>
      </c>
      <c r="C5784" s="73">
        <v>4.37557332990525E9</v>
      </c>
      <c r="D5784" s="73">
        <v>5.37641695632096E9</v>
      </c>
      <c r="E5784" s="73"/>
      <c r="F5784" s="73"/>
      <c r="G5784" s="73"/>
      <c r="H5784" s="73"/>
      <c r="I5784" s="73"/>
      <c r="J5784" s="73"/>
      <c r="K5784" s="73"/>
      <c r="L5784" s="73"/>
      <c r="M5784" s="73"/>
      <c r="N5784" s="73"/>
      <c r="O5784" s="73"/>
      <c r="P5784" s="73"/>
      <c r="Q5784" s="73"/>
      <c r="R5784" s="73"/>
      <c r="S5784" s="73"/>
      <c r="T5784" s="73"/>
      <c r="U5784" s="73"/>
      <c r="V5784" s="73"/>
      <c r="W5784" s="73"/>
      <c r="X5784" s="73"/>
      <c r="Y5784" s="73"/>
      <c r="Z5784" s="73"/>
      <c r="AA5784" s="73"/>
      <c r="AB5784" s="73"/>
    </row>
    <row r="5785">
      <c r="A5785" s="73"/>
      <c r="B5785" s="73">
        <v>5.990273386E7</v>
      </c>
      <c r="C5785" s="73">
        <v>4.3841987796198E9</v>
      </c>
      <c r="D5785" s="73">
        <v>5.39222015378392E9</v>
      </c>
      <c r="E5785" s="73"/>
      <c r="F5785" s="73"/>
      <c r="G5785" s="73"/>
      <c r="H5785" s="73"/>
      <c r="I5785" s="73"/>
      <c r="J5785" s="73"/>
      <c r="K5785" s="73"/>
      <c r="L5785" s="73"/>
      <c r="M5785" s="73"/>
      <c r="N5785" s="73"/>
      <c r="O5785" s="73"/>
      <c r="P5785" s="73"/>
      <c r="Q5785" s="73"/>
      <c r="R5785" s="73"/>
      <c r="S5785" s="73"/>
      <c r="T5785" s="73"/>
      <c r="U5785" s="73"/>
      <c r="V5785" s="73"/>
      <c r="W5785" s="73"/>
      <c r="X5785" s="73"/>
      <c r="Y5785" s="73"/>
      <c r="Z5785" s="73"/>
      <c r="AA5785" s="73"/>
      <c r="AB5785" s="73"/>
    </row>
    <row r="5786">
      <c r="A5786" s="73"/>
      <c r="B5786" s="73">
        <v>5.995164951E7</v>
      </c>
      <c r="C5786" s="73">
        <v>4.3928408587332E9</v>
      </c>
      <c r="D5786" s="73">
        <v>5.4080694248058E9</v>
      </c>
      <c r="E5786" s="73"/>
      <c r="F5786" s="73"/>
      <c r="G5786" s="73"/>
      <c r="H5786" s="73"/>
      <c r="I5786" s="73"/>
      <c r="J5786" s="73"/>
      <c r="K5786" s="73"/>
      <c r="L5786" s="73"/>
      <c r="M5786" s="73"/>
      <c r="N5786" s="73"/>
      <c r="O5786" s="73"/>
      <c r="P5786" s="73"/>
      <c r="Q5786" s="73"/>
      <c r="R5786" s="73"/>
      <c r="S5786" s="73"/>
      <c r="T5786" s="73"/>
      <c r="U5786" s="73"/>
      <c r="V5786" s="73"/>
      <c r="W5786" s="73"/>
      <c r="X5786" s="73"/>
      <c r="Y5786" s="73"/>
      <c r="Z5786" s="73"/>
      <c r="AA5786" s="73"/>
      <c r="AB5786" s="73"/>
    </row>
    <row r="5787">
      <c r="A5787" s="73"/>
      <c r="B5787" s="73">
        <v>6.000059177E7</v>
      </c>
      <c r="C5787" s="73">
        <v>4.40150001091829E9</v>
      </c>
      <c r="D5787" s="73">
        <v>5.4239646777998E9</v>
      </c>
      <c r="E5787" s="73"/>
      <c r="F5787" s="73"/>
      <c r="G5787" s="73"/>
      <c r="H5787" s="73"/>
      <c r="I5787" s="73"/>
      <c r="J5787" s="73"/>
      <c r="K5787" s="73"/>
      <c r="L5787" s="73"/>
      <c r="M5787" s="73"/>
      <c r="N5787" s="73"/>
      <c r="O5787" s="73"/>
      <c r="P5787" s="73"/>
      <c r="Q5787" s="73"/>
      <c r="R5787" s="73"/>
      <c r="S5787" s="73"/>
      <c r="T5787" s="73"/>
      <c r="U5787" s="73"/>
      <c r="V5787" s="73"/>
      <c r="W5787" s="73"/>
      <c r="X5787" s="73"/>
      <c r="Y5787" s="73"/>
      <c r="Z5787" s="73"/>
      <c r="AA5787" s="73"/>
      <c r="AB5787" s="73"/>
    </row>
    <row r="5788">
      <c r="A5788" s="73"/>
      <c r="B5788" s="73">
        <v>6.004955741E7</v>
      </c>
      <c r="C5788" s="73">
        <v>4.41017550221359E9</v>
      </c>
      <c r="D5788" s="73">
        <v>5.43990625883951E9</v>
      </c>
      <c r="E5788" s="73"/>
      <c r="F5788" s="73"/>
      <c r="G5788" s="73"/>
      <c r="H5788" s="73"/>
      <c r="I5788" s="73"/>
      <c r="J5788" s="73"/>
      <c r="K5788" s="73"/>
      <c r="L5788" s="73"/>
      <c r="M5788" s="73"/>
      <c r="N5788" s="73"/>
      <c r="O5788" s="73"/>
      <c r="P5788" s="73"/>
      <c r="Q5788" s="73"/>
      <c r="R5788" s="73"/>
      <c r="S5788" s="73"/>
      <c r="T5788" s="73"/>
      <c r="U5788" s="73"/>
      <c r="V5788" s="73"/>
      <c r="W5788" s="73"/>
      <c r="X5788" s="73"/>
      <c r="Y5788" s="73"/>
      <c r="Z5788" s="73"/>
      <c r="AA5788" s="73"/>
      <c r="AB5788" s="73"/>
    </row>
    <row r="5789">
      <c r="A5789" s="73"/>
      <c r="B5789" s="73">
        <v>6.00985485E7</v>
      </c>
      <c r="C5789" s="73">
        <v>4.41886734823845E9</v>
      </c>
      <c r="D5789" s="73">
        <v>5.4558940856638E9</v>
      </c>
      <c r="E5789" s="73"/>
      <c r="F5789" s="73"/>
      <c r="G5789" s="73"/>
      <c r="H5789" s="73"/>
      <c r="I5789" s="73"/>
      <c r="J5789" s="73"/>
      <c r="K5789" s="73"/>
      <c r="L5789" s="73"/>
      <c r="M5789" s="73"/>
      <c r="N5789" s="73"/>
      <c r="O5789" s="73"/>
      <c r="P5789" s="73"/>
      <c r="Q5789" s="73"/>
      <c r="R5789" s="73"/>
      <c r="S5789" s="73"/>
      <c r="T5789" s="73"/>
      <c r="U5789" s="73"/>
      <c r="V5789" s="73"/>
      <c r="W5789" s="73"/>
      <c r="X5789" s="73"/>
      <c r="Y5789" s="73"/>
      <c r="Z5789" s="73"/>
      <c r="AA5789" s="73"/>
      <c r="AB5789" s="73"/>
    </row>
    <row r="5790">
      <c r="A5790" s="73"/>
      <c r="B5790" s="73">
        <v>6.014756649E7</v>
      </c>
      <c r="C5790" s="73">
        <v>4.42757674769967E9</v>
      </c>
      <c r="D5790" s="73">
        <v>5.47192806498031E9</v>
      </c>
      <c r="E5790" s="73"/>
      <c r="F5790" s="73"/>
      <c r="G5790" s="73"/>
      <c r="H5790" s="73"/>
      <c r="I5790" s="73"/>
      <c r="J5790" s="73"/>
      <c r="K5790" s="73"/>
      <c r="L5790" s="73"/>
      <c r="M5790" s="73"/>
      <c r="N5790" s="73"/>
      <c r="O5790" s="73"/>
      <c r="P5790" s="73"/>
      <c r="Q5790" s="73"/>
      <c r="R5790" s="73"/>
      <c r="S5790" s="73"/>
      <c r="T5790" s="73"/>
      <c r="U5790" s="73"/>
      <c r="V5790" s="73"/>
      <c r="W5790" s="73"/>
      <c r="X5790" s="73"/>
      <c r="Y5790" s="73"/>
      <c r="Z5790" s="73"/>
      <c r="AA5790" s="73"/>
      <c r="AB5790" s="73"/>
    </row>
    <row r="5791">
      <c r="A5791" s="73"/>
      <c r="B5791" s="73">
        <v>6.019660832E7</v>
      </c>
      <c r="C5791" s="73">
        <v>4.43630243000179E9</v>
      </c>
      <c r="D5791" s="73">
        <v>5.48800840169102E9</v>
      </c>
      <c r="E5791" s="73"/>
      <c r="F5791" s="73"/>
      <c r="G5791" s="73"/>
      <c r="H5791" s="73"/>
      <c r="I5791" s="73"/>
      <c r="J5791" s="73"/>
      <c r="K5791" s="73"/>
      <c r="L5791" s="73"/>
      <c r="M5791" s="73"/>
      <c r="N5791" s="73"/>
      <c r="O5791" s="73"/>
      <c r="P5791" s="73"/>
      <c r="Q5791" s="73"/>
      <c r="R5791" s="73"/>
      <c r="S5791" s="73"/>
      <c r="T5791" s="73"/>
      <c r="U5791" s="73"/>
      <c r="V5791" s="73"/>
      <c r="W5791" s="73"/>
      <c r="X5791" s="73"/>
      <c r="Y5791" s="73"/>
      <c r="Z5791" s="73"/>
      <c r="AA5791" s="73"/>
      <c r="AB5791" s="73"/>
    </row>
    <row r="5792">
      <c r="A5792" s="73"/>
      <c r="B5792" s="73">
        <v>6.02456755E7</v>
      </c>
      <c r="C5792" s="73">
        <v>4.44504527096454E9</v>
      </c>
      <c r="D5792" s="73">
        <v>5.50413554911915E9</v>
      </c>
      <c r="E5792" s="73"/>
      <c r="F5792" s="73"/>
      <c r="G5792" s="73"/>
      <c r="H5792" s="73"/>
      <c r="I5792" s="73"/>
      <c r="J5792" s="73"/>
      <c r="K5792" s="73"/>
      <c r="L5792" s="73"/>
      <c r="M5792" s="73"/>
      <c r="N5792" s="73"/>
      <c r="O5792" s="73"/>
      <c r="P5792" s="73"/>
      <c r="Q5792" s="73"/>
      <c r="R5792" s="73"/>
      <c r="S5792" s="73"/>
      <c r="T5792" s="73"/>
      <c r="U5792" s="73"/>
      <c r="V5792" s="73"/>
      <c r="W5792" s="73"/>
      <c r="X5792" s="73"/>
      <c r="Y5792" s="73"/>
      <c r="Z5792" s="73"/>
      <c r="AA5792" s="73"/>
      <c r="AB5792" s="73"/>
    </row>
    <row r="5793">
      <c r="A5793" s="73"/>
      <c r="B5793" s="73">
        <v>6.029476804E7</v>
      </c>
      <c r="C5793" s="73">
        <v>4.45380453269269E9</v>
      </c>
      <c r="D5793" s="73">
        <v>5.52030996318148E9</v>
      </c>
      <c r="E5793" s="73"/>
      <c r="F5793" s="73"/>
      <c r="G5793" s="73"/>
      <c r="H5793" s="73"/>
      <c r="I5793" s="73"/>
      <c r="J5793" s="73"/>
      <c r="K5793" s="73"/>
      <c r="L5793" s="73"/>
      <c r="M5793" s="73"/>
      <c r="N5793" s="73"/>
      <c r="O5793" s="73"/>
      <c r="P5793" s="73"/>
      <c r="Q5793" s="73"/>
      <c r="R5793" s="73"/>
      <c r="S5793" s="73"/>
      <c r="T5793" s="73"/>
      <c r="U5793" s="73"/>
      <c r="V5793" s="73"/>
      <c r="W5793" s="73"/>
      <c r="X5793" s="73"/>
      <c r="Y5793" s="73"/>
      <c r="Z5793" s="73"/>
      <c r="AA5793" s="73"/>
      <c r="AB5793" s="73"/>
    </row>
    <row r="5794">
      <c r="A5794" s="73"/>
      <c r="B5794" s="73">
        <v>6.034388513E7</v>
      </c>
      <c r="C5794" s="73">
        <v>4.46258131218961E9</v>
      </c>
      <c r="D5794" s="73">
        <v>5.53653130576894E9</v>
      </c>
      <c r="E5794" s="73"/>
      <c r="F5794" s="73"/>
      <c r="G5794" s="73"/>
      <c r="H5794" s="73"/>
      <c r="I5794" s="73"/>
      <c r="J5794" s="73"/>
      <c r="K5794" s="73"/>
      <c r="L5794" s="73"/>
      <c r="M5794" s="73"/>
      <c r="N5794" s="73"/>
      <c r="O5794" s="73"/>
      <c r="P5794" s="73"/>
      <c r="Q5794" s="73"/>
      <c r="R5794" s="73"/>
      <c r="S5794" s="73"/>
      <c r="T5794" s="73"/>
      <c r="U5794" s="73"/>
      <c r="V5794" s="73"/>
      <c r="W5794" s="73"/>
      <c r="X5794" s="73"/>
      <c r="Y5794" s="73"/>
      <c r="Z5794" s="73"/>
      <c r="AA5794" s="73"/>
      <c r="AB5794" s="73"/>
    </row>
    <row r="5795">
      <c r="A5795" s="73"/>
      <c r="B5795" s="73">
        <v>6.039302734E7</v>
      </c>
      <c r="C5795" s="73">
        <v>4.47137422090438E9</v>
      </c>
      <c r="D5795" s="73">
        <v>5.55279963380344E9</v>
      </c>
      <c r="E5795" s="73"/>
      <c r="F5795" s="73"/>
      <c r="G5795" s="73"/>
      <c r="H5795" s="73"/>
      <c r="I5795" s="73"/>
      <c r="J5795" s="73"/>
      <c r="K5795" s="73"/>
      <c r="L5795" s="73"/>
      <c r="M5795" s="73"/>
      <c r="N5795" s="73"/>
      <c r="O5795" s="73"/>
      <c r="P5795" s="73"/>
      <c r="Q5795" s="73"/>
      <c r="R5795" s="73"/>
      <c r="S5795" s="73"/>
      <c r="T5795" s="73"/>
      <c r="U5795" s="73"/>
      <c r="V5795" s="73"/>
      <c r="W5795" s="73"/>
      <c r="X5795" s="73"/>
      <c r="Y5795" s="73"/>
      <c r="Z5795" s="73"/>
      <c r="AA5795" s="73"/>
      <c r="AB5795" s="73"/>
    </row>
    <row r="5796">
      <c r="A5796" s="73"/>
      <c r="B5796" s="73">
        <v>6.044219645E7</v>
      </c>
      <c r="C5796" s="73">
        <v>4.4801850071427E9</v>
      </c>
      <c r="D5796" s="73">
        <v>5.56911540631161E9</v>
      </c>
      <c r="E5796" s="73"/>
      <c r="F5796" s="73"/>
      <c r="G5796" s="73"/>
      <c r="H5796" s="73"/>
      <c r="I5796" s="73"/>
      <c r="J5796" s="73"/>
      <c r="K5796" s="73"/>
      <c r="L5796" s="73"/>
      <c r="M5796" s="73"/>
      <c r="N5796" s="73"/>
      <c r="O5796" s="73"/>
      <c r="P5796" s="73"/>
      <c r="Q5796" s="73"/>
      <c r="R5796" s="73"/>
      <c r="S5796" s="73"/>
      <c r="T5796" s="73"/>
      <c r="U5796" s="73"/>
      <c r="V5796" s="73"/>
      <c r="W5796" s="73"/>
      <c r="X5796" s="73"/>
      <c r="Y5796" s="73"/>
      <c r="Z5796" s="73"/>
      <c r="AA5796" s="73"/>
      <c r="AB5796" s="73"/>
    </row>
    <row r="5797">
      <c r="A5797" s="73"/>
      <c r="B5797" s="73">
        <v>6.049139133E7</v>
      </c>
      <c r="C5797" s="73">
        <v>4.48901228061734E9</v>
      </c>
      <c r="D5797" s="73">
        <v>5.58547773141583E9</v>
      </c>
      <c r="E5797" s="73"/>
      <c r="F5797" s="73"/>
      <c r="G5797" s="73"/>
      <c r="H5797" s="73"/>
      <c r="I5797" s="73"/>
      <c r="J5797" s="73"/>
      <c r="K5797" s="73"/>
      <c r="L5797" s="73"/>
      <c r="M5797" s="73"/>
      <c r="N5797" s="73"/>
      <c r="O5797" s="73"/>
      <c r="P5797" s="73"/>
      <c r="Q5797" s="73"/>
      <c r="R5797" s="73"/>
      <c r="S5797" s="73"/>
      <c r="T5797" s="73"/>
      <c r="U5797" s="73"/>
      <c r="V5797" s="73"/>
      <c r="W5797" s="73"/>
      <c r="X5797" s="73"/>
      <c r="Y5797" s="73"/>
      <c r="Z5797" s="73"/>
      <c r="AA5797" s="73"/>
      <c r="AB5797" s="73"/>
    </row>
    <row r="5798">
      <c r="A5798" s="73"/>
      <c r="B5798" s="73">
        <v>6.054060835E7</v>
      </c>
      <c r="C5798" s="73">
        <v>4.49785638223485E9</v>
      </c>
      <c r="D5798" s="73">
        <v>5.60188801316915E9</v>
      </c>
      <c r="E5798" s="73"/>
      <c r="F5798" s="73"/>
      <c r="G5798" s="73"/>
      <c r="H5798" s="73"/>
      <c r="I5798" s="73"/>
      <c r="J5798" s="73"/>
      <c r="K5798" s="73"/>
      <c r="L5798" s="73"/>
      <c r="M5798" s="73"/>
      <c r="N5798" s="73"/>
      <c r="O5798" s="73"/>
      <c r="P5798" s="73"/>
      <c r="Q5798" s="73"/>
      <c r="R5798" s="73"/>
      <c r="S5798" s="73"/>
      <c r="T5798" s="73"/>
      <c r="U5798" s="73"/>
      <c r="V5798" s="73"/>
      <c r="W5798" s="73"/>
      <c r="X5798" s="73"/>
      <c r="Y5798" s="73"/>
      <c r="Z5798" s="73"/>
      <c r="AA5798" s="73"/>
      <c r="AB5798" s="73"/>
    </row>
    <row r="5799">
      <c r="A5799" s="73"/>
      <c r="B5799" s="73">
        <v>6.058985406E7</v>
      </c>
      <c r="C5799" s="73">
        <v>4.50671776351341E9</v>
      </c>
      <c r="D5799" s="73">
        <v>5.61834646692143E9</v>
      </c>
      <c r="E5799" s="73"/>
      <c r="F5799" s="73"/>
      <c r="G5799" s="73"/>
      <c r="H5799" s="73"/>
      <c r="I5799" s="73"/>
      <c r="J5799" s="73"/>
      <c r="K5799" s="73"/>
      <c r="L5799" s="73"/>
      <c r="M5799" s="73"/>
      <c r="N5799" s="73"/>
      <c r="O5799" s="73"/>
      <c r="P5799" s="73"/>
      <c r="Q5799" s="73"/>
      <c r="R5799" s="73"/>
      <c r="S5799" s="73"/>
      <c r="T5799" s="73"/>
      <c r="U5799" s="73"/>
      <c r="V5799" s="73"/>
      <c r="W5799" s="73"/>
      <c r="X5799" s="73"/>
      <c r="Y5799" s="73"/>
      <c r="Z5799" s="73"/>
      <c r="AA5799" s="73"/>
      <c r="AB5799" s="73"/>
    </row>
    <row r="5800">
      <c r="A5800" s="73"/>
      <c r="B5800" s="73">
        <v>6.063912267E7</v>
      </c>
      <c r="C5800" s="73">
        <v>4.51559644256387E9</v>
      </c>
      <c r="D5800" s="73">
        <v>5.63485204447825E9</v>
      </c>
      <c r="E5800" s="73"/>
      <c r="F5800" s="73"/>
      <c r="G5800" s="73"/>
      <c r="H5800" s="73"/>
      <c r="I5800" s="73"/>
      <c r="J5800" s="73"/>
      <c r="K5800" s="73"/>
      <c r="L5800" s="73"/>
      <c r="M5800" s="73"/>
      <c r="N5800" s="73"/>
      <c r="O5800" s="73"/>
      <c r="P5800" s="73"/>
      <c r="Q5800" s="73"/>
      <c r="R5800" s="73"/>
      <c r="S5800" s="73"/>
      <c r="T5800" s="73"/>
      <c r="U5800" s="73"/>
      <c r="V5800" s="73"/>
      <c r="W5800" s="73"/>
      <c r="X5800" s="73"/>
      <c r="Y5800" s="73"/>
      <c r="Z5800" s="73"/>
      <c r="AA5800" s="73"/>
      <c r="AB5800" s="73"/>
    </row>
    <row r="5801">
      <c r="A5801" s="73"/>
      <c r="B5801" s="73">
        <v>6.068841624E7</v>
      </c>
      <c r="C5801" s="73">
        <v>4.52449232651177E9</v>
      </c>
      <c r="D5801" s="73">
        <v>5.65140575876926E9</v>
      </c>
      <c r="E5801" s="73"/>
      <c r="F5801" s="73"/>
      <c r="G5801" s="73"/>
      <c r="H5801" s="73"/>
      <c r="I5801" s="73"/>
      <c r="J5801" s="73"/>
      <c r="K5801" s="73"/>
      <c r="L5801" s="73"/>
      <c r="M5801" s="73"/>
      <c r="N5801" s="73"/>
      <c r="O5801" s="73"/>
      <c r="P5801" s="73"/>
      <c r="Q5801" s="73"/>
      <c r="R5801" s="73"/>
      <c r="S5801" s="73"/>
      <c r="T5801" s="73"/>
      <c r="U5801" s="73"/>
      <c r="V5801" s="73"/>
      <c r="W5801" s="73"/>
      <c r="X5801" s="73"/>
      <c r="Y5801" s="73"/>
      <c r="Z5801" s="73"/>
      <c r="AA5801" s="73"/>
      <c r="AB5801" s="73"/>
    </row>
    <row r="5802">
      <c r="A5802" s="73"/>
      <c r="B5802" s="73">
        <v>6.073773768E7</v>
      </c>
      <c r="C5802" s="73">
        <v>4.5334059808185E9</v>
      </c>
      <c r="D5802" s="73">
        <v>5.66800766801459E9</v>
      </c>
      <c r="E5802" s="73"/>
      <c r="F5802" s="73"/>
      <c r="G5802" s="73"/>
      <c r="H5802" s="73"/>
      <c r="I5802" s="73"/>
      <c r="J5802" s="73"/>
      <c r="K5802" s="73"/>
      <c r="L5802" s="73"/>
      <c r="M5802" s="73"/>
      <c r="N5802" s="73"/>
      <c r="O5802" s="73"/>
      <c r="P5802" s="73"/>
      <c r="Q5802" s="73"/>
      <c r="R5802" s="73"/>
      <c r="S5802" s="73"/>
      <c r="T5802" s="73"/>
      <c r="U5802" s="73"/>
      <c r="V5802" s="73"/>
      <c r="W5802" s="73"/>
      <c r="X5802" s="73"/>
      <c r="Y5802" s="73"/>
      <c r="Z5802" s="73"/>
      <c r="AA5802" s="73"/>
      <c r="AB5802" s="73"/>
    </row>
    <row r="5803">
      <c r="A5803" s="73"/>
      <c r="B5803" s="73">
        <v>6.078708328E7</v>
      </c>
      <c r="C5803" s="73">
        <v>4.54233534764506E9</v>
      </c>
      <c r="D5803" s="73">
        <v>5.68465783285309E9</v>
      </c>
      <c r="E5803" s="73"/>
      <c r="F5803" s="73"/>
      <c r="G5803" s="73"/>
      <c r="H5803" s="73"/>
      <c r="I5803" s="73"/>
      <c r="J5803" s="73"/>
      <c r="K5803" s="73"/>
      <c r="L5803" s="73"/>
      <c r="M5803" s="73"/>
      <c r="N5803" s="73"/>
      <c r="O5803" s="73"/>
      <c r="P5803" s="73"/>
      <c r="Q5803" s="73"/>
      <c r="R5803" s="73"/>
      <c r="S5803" s="73"/>
      <c r="T5803" s="73"/>
      <c r="U5803" s="73"/>
      <c r="V5803" s="73"/>
      <c r="W5803" s="73"/>
      <c r="X5803" s="73"/>
      <c r="Y5803" s="73"/>
      <c r="Z5803" s="73"/>
      <c r="AA5803" s="73"/>
      <c r="AB5803" s="73"/>
    </row>
    <row r="5804">
      <c r="A5804" s="73"/>
      <c r="B5804" s="73">
        <v>6.083645259E7</v>
      </c>
      <c r="C5804" s="73">
        <v>4.5512824070023E9</v>
      </c>
      <c r="D5804" s="73">
        <v>5.70135575334069E9</v>
      </c>
      <c r="E5804" s="73"/>
      <c r="F5804" s="73"/>
      <c r="G5804" s="73"/>
      <c r="H5804" s="73"/>
      <c r="I5804" s="73"/>
      <c r="J5804" s="73"/>
      <c r="K5804" s="73"/>
      <c r="L5804" s="73"/>
      <c r="M5804" s="73"/>
      <c r="N5804" s="73"/>
      <c r="O5804" s="73"/>
      <c r="P5804" s="73"/>
      <c r="Q5804" s="73"/>
      <c r="R5804" s="73"/>
      <c r="S5804" s="73"/>
      <c r="T5804" s="73"/>
      <c r="U5804" s="73"/>
      <c r="V5804" s="73"/>
      <c r="W5804" s="73"/>
      <c r="X5804" s="73"/>
      <c r="Y5804" s="73"/>
      <c r="Z5804" s="73"/>
      <c r="AA5804" s="73"/>
      <c r="AB5804" s="73"/>
    </row>
    <row r="5805">
      <c r="A5805" s="73"/>
      <c r="B5805" s="73">
        <v>6.088584898E7</v>
      </c>
      <c r="C5805" s="73">
        <v>4.56024673820415E9</v>
      </c>
      <c r="D5805" s="73">
        <v>5.71810260702946E9</v>
      </c>
      <c r="E5805" s="73"/>
      <c r="F5805" s="73"/>
      <c r="G5805" s="73"/>
      <c r="H5805" s="73"/>
      <c r="I5805" s="73"/>
      <c r="J5805" s="73"/>
      <c r="K5805" s="73"/>
      <c r="L5805" s="73"/>
      <c r="M5805" s="73"/>
      <c r="N5805" s="73"/>
      <c r="O5805" s="73"/>
      <c r="P5805" s="73"/>
      <c r="Q5805" s="73"/>
      <c r="R5805" s="73"/>
      <c r="S5805" s="73"/>
      <c r="T5805" s="73"/>
      <c r="U5805" s="73"/>
      <c r="V5805" s="73"/>
      <c r="W5805" s="73"/>
      <c r="X5805" s="73"/>
      <c r="Y5805" s="73"/>
      <c r="Z5805" s="73"/>
      <c r="AA5805" s="73"/>
      <c r="AB5805" s="73"/>
    </row>
    <row r="5806">
      <c r="A5806" s="73"/>
      <c r="B5806" s="73">
        <v>6.093527187E7</v>
      </c>
      <c r="C5806" s="73">
        <v>4.56922891138703E9</v>
      </c>
      <c r="D5806" s="73">
        <v>5.73489869795115E9</v>
      </c>
      <c r="E5806" s="73"/>
      <c r="F5806" s="73"/>
      <c r="G5806" s="73"/>
      <c r="H5806" s="73"/>
      <c r="I5806" s="73"/>
      <c r="J5806" s="73"/>
      <c r="K5806" s="73"/>
      <c r="L5806" s="73"/>
      <c r="M5806" s="73"/>
      <c r="N5806" s="73"/>
      <c r="O5806" s="73"/>
      <c r="P5806" s="73"/>
      <c r="Q5806" s="73"/>
      <c r="R5806" s="73"/>
      <c r="S5806" s="73"/>
      <c r="T5806" s="73"/>
      <c r="U5806" s="73"/>
      <c r="V5806" s="73"/>
      <c r="W5806" s="73"/>
      <c r="X5806" s="73"/>
      <c r="Y5806" s="73"/>
      <c r="Z5806" s="73"/>
      <c r="AA5806" s="73"/>
      <c r="AB5806" s="73"/>
    </row>
    <row r="5807">
      <c r="A5807" s="73"/>
      <c r="B5807" s="73">
        <v>6.098471657E7</v>
      </c>
      <c r="C5807" s="73">
        <v>4.57822762483908E9</v>
      </c>
      <c r="D5807" s="73">
        <v>5.75174232056052E9</v>
      </c>
      <c r="E5807" s="73"/>
      <c r="F5807" s="73"/>
      <c r="G5807" s="73"/>
      <c r="H5807" s="73"/>
      <c r="I5807" s="73"/>
      <c r="J5807" s="73"/>
      <c r="K5807" s="73"/>
      <c r="L5807" s="73"/>
      <c r="M5807" s="73"/>
      <c r="N5807" s="73"/>
      <c r="O5807" s="73"/>
      <c r="P5807" s="73"/>
      <c r="Q5807" s="73"/>
      <c r="R5807" s="73"/>
      <c r="S5807" s="73"/>
      <c r="T5807" s="73"/>
      <c r="U5807" s="73"/>
      <c r="V5807" s="73"/>
      <c r="W5807" s="73"/>
      <c r="X5807" s="73"/>
      <c r="Y5807" s="73"/>
      <c r="Z5807" s="73"/>
      <c r="AA5807" s="73"/>
      <c r="AB5807" s="73"/>
    </row>
    <row r="5808">
      <c r="A5808" s="73"/>
      <c r="B5808" s="73">
        <v>6.103418825E7</v>
      </c>
      <c r="C5808" s="73">
        <v>4.58724442886746E9</v>
      </c>
      <c r="D5808" s="73">
        <v>5.76863530018591E9</v>
      </c>
      <c r="E5808" s="73"/>
      <c r="F5808" s="73"/>
      <c r="G5808" s="73"/>
      <c r="H5808" s="73"/>
      <c r="I5808" s="73"/>
      <c r="J5808" s="73"/>
      <c r="K5808" s="73"/>
      <c r="L5808" s="73"/>
      <c r="M5808" s="73"/>
      <c r="N5808" s="73"/>
      <c r="O5808" s="73"/>
      <c r="P5808" s="73"/>
      <c r="Q5808" s="73"/>
      <c r="R5808" s="73"/>
      <c r="S5808" s="73"/>
      <c r="T5808" s="73"/>
      <c r="U5808" s="73"/>
      <c r="V5808" s="73"/>
      <c r="W5808" s="73"/>
      <c r="X5808" s="73"/>
      <c r="Y5808" s="73"/>
      <c r="Z5808" s="73"/>
      <c r="AA5808" s="73"/>
      <c r="AB5808" s="73"/>
    </row>
    <row r="5809">
      <c r="A5809" s="73"/>
      <c r="B5809" s="73">
        <v>6.108368498E7</v>
      </c>
      <c r="C5809" s="73">
        <v>4.59627791992702E9</v>
      </c>
      <c r="D5809" s="73">
        <v>5.78557729373161E9</v>
      </c>
      <c r="E5809" s="73"/>
      <c r="F5809" s="73"/>
      <c r="G5809" s="73"/>
      <c r="H5809" s="73"/>
      <c r="I5809" s="73"/>
      <c r="J5809" s="73"/>
      <c r="K5809" s="73"/>
      <c r="L5809" s="73"/>
      <c r="M5809" s="73"/>
      <c r="N5809" s="73"/>
      <c r="O5809" s="73"/>
      <c r="P5809" s="73"/>
      <c r="Q5809" s="73"/>
      <c r="R5809" s="73"/>
      <c r="S5809" s="73"/>
      <c r="T5809" s="73"/>
      <c r="U5809" s="73"/>
      <c r="V5809" s="73"/>
      <c r="W5809" s="73"/>
      <c r="X5809" s="73"/>
      <c r="Y5809" s="73"/>
      <c r="Z5809" s="73"/>
      <c r="AA5809" s="73"/>
      <c r="AB5809" s="73"/>
    </row>
    <row r="5810">
      <c r="A5810" s="73"/>
      <c r="B5810" s="73">
        <v>6.113320857E7</v>
      </c>
      <c r="C5810" s="73">
        <v>4.60532965312244E9</v>
      </c>
      <c r="D5810" s="73">
        <v>5.80256876334622E9</v>
      </c>
      <c r="E5810" s="73"/>
      <c r="F5810" s="73"/>
      <c r="G5810" s="73"/>
      <c r="H5810" s="73"/>
      <c r="I5810" s="73"/>
      <c r="J5810" s="73"/>
      <c r="K5810" s="73"/>
      <c r="L5810" s="73"/>
      <c r="M5810" s="73"/>
      <c r="N5810" s="73"/>
      <c r="O5810" s="73"/>
      <c r="P5810" s="73"/>
      <c r="Q5810" s="73"/>
      <c r="R5810" s="73"/>
      <c r="S5810" s="73"/>
      <c r="T5810" s="73"/>
      <c r="U5810" s="73"/>
      <c r="V5810" s="73"/>
      <c r="W5810" s="73"/>
      <c r="X5810" s="73"/>
      <c r="Y5810" s="73"/>
      <c r="Z5810" s="73"/>
      <c r="AA5810" s="73"/>
      <c r="AB5810" s="73"/>
    </row>
    <row r="5811">
      <c r="A5811" s="73"/>
      <c r="B5811" s="73">
        <v>6.118275596E7</v>
      </c>
      <c r="C5811" s="73">
        <v>4.6143983193054E9</v>
      </c>
      <c r="D5811" s="73">
        <v>5.81960937219908E9</v>
      </c>
      <c r="E5811" s="73"/>
      <c r="F5811" s="73"/>
      <c r="G5811" s="73"/>
      <c r="H5811" s="73"/>
      <c r="I5811" s="73"/>
      <c r="J5811" s="73"/>
      <c r="K5811" s="73"/>
      <c r="L5811" s="73"/>
      <c r="M5811" s="73"/>
      <c r="N5811" s="73"/>
      <c r="O5811" s="73"/>
      <c r="P5811" s="73"/>
      <c r="Q5811" s="73"/>
      <c r="R5811" s="73"/>
      <c r="S5811" s="73"/>
      <c r="T5811" s="73"/>
      <c r="U5811" s="73"/>
      <c r="V5811" s="73"/>
      <c r="W5811" s="73"/>
      <c r="X5811" s="73"/>
      <c r="Y5811" s="73"/>
      <c r="Z5811" s="73"/>
      <c r="AA5811" s="73"/>
      <c r="AB5811" s="73"/>
    </row>
    <row r="5812">
      <c r="A5812" s="73"/>
      <c r="B5812" s="73">
        <v>6.123232918E7</v>
      </c>
      <c r="C5812" s="73">
        <v>4.62348449369582E9</v>
      </c>
      <c r="D5812" s="73">
        <v>5.83669958073934E9</v>
      </c>
      <c r="E5812" s="73"/>
      <c r="F5812" s="73"/>
      <c r="G5812" s="73"/>
      <c r="H5812" s="73"/>
      <c r="I5812" s="73"/>
      <c r="J5812" s="73"/>
      <c r="K5812" s="73"/>
      <c r="L5812" s="73"/>
      <c r="M5812" s="73"/>
      <c r="N5812" s="73"/>
      <c r="O5812" s="73"/>
      <c r="P5812" s="73"/>
      <c r="Q5812" s="73"/>
      <c r="R5812" s="73"/>
      <c r="S5812" s="73"/>
      <c r="T5812" s="73"/>
      <c r="U5812" s="73"/>
      <c r="V5812" s="73"/>
      <c r="W5812" s="73"/>
      <c r="X5812" s="73"/>
      <c r="Y5812" s="73"/>
      <c r="Z5812" s="73"/>
      <c r="AA5812" s="73"/>
      <c r="AB5812" s="73"/>
    </row>
    <row r="5813">
      <c r="A5813" s="73"/>
      <c r="B5813" s="73">
        <v>6.128192664E7</v>
      </c>
      <c r="C5813" s="73">
        <v>4.63258763284636E9</v>
      </c>
      <c r="D5813" s="73">
        <v>5.8538390538013E9</v>
      </c>
      <c r="E5813" s="73"/>
      <c r="F5813" s="73"/>
      <c r="G5813" s="73"/>
      <c r="H5813" s="73"/>
      <c r="I5813" s="73"/>
      <c r="J5813" s="73"/>
      <c r="K5813" s="73"/>
      <c r="L5813" s="73"/>
      <c r="M5813" s="73"/>
      <c r="N5813" s="73"/>
      <c r="O5813" s="73"/>
      <c r="P5813" s="73"/>
      <c r="Q5813" s="73"/>
      <c r="R5813" s="73"/>
      <c r="S5813" s="73"/>
      <c r="T5813" s="73"/>
      <c r="U5813" s="73"/>
      <c r="V5813" s="73"/>
      <c r="W5813" s="73"/>
      <c r="X5813" s="73"/>
      <c r="Y5813" s="73"/>
      <c r="Z5813" s="73"/>
      <c r="AA5813" s="73"/>
      <c r="AB5813" s="73"/>
    </row>
    <row r="5814">
      <c r="A5814" s="73"/>
      <c r="B5814" s="73">
        <v>6.133155137E7</v>
      </c>
      <c r="C5814" s="73">
        <v>4.64170908728625E9</v>
      </c>
      <c r="D5814" s="73">
        <v>5.87102904569633E9</v>
      </c>
      <c r="E5814" s="73"/>
      <c r="F5814" s="73"/>
      <c r="G5814" s="73"/>
      <c r="H5814" s="73"/>
      <c r="I5814" s="73"/>
      <c r="J5814" s="73"/>
      <c r="K5814" s="73"/>
      <c r="L5814" s="73"/>
      <c r="M5814" s="73"/>
      <c r="N5814" s="73"/>
      <c r="O5814" s="73"/>
      <c r="P5814" s="73"/>
      <c r="Q5814" s="73"/>
      <c r="R5814" s="73"/>
      <c r="S5814" s="73"/>
      <c r="T5814" s="73"/>
      <c r="U5814" s="73"/>
      <c r="V5814" s="73"/>
      <c r="W5814" s="73"/>
      <c r="X5814" s="73"/>
      <c r="Y5814" s="73"/>
      <c r="Z5814" s="73"/>
      <c r="AA5814" s="73"/>
      <c r="AB5814" s="73"/>
    </row>
    <row r="5815">
      <c r="A5815" s="73"/>
      <c r="B5815" s="73">
        <v>6.138119906E7</v>
      </c>
      <c r="C5815" s="73">
        <v>4.65084798586097E9</v>
      </c>
      <c r="D5815" s="73">
        <v>5.88826785326455E9</v>
      </c>
      <c r="E5815" s="73"/>
      <c r="F5815" s="73"/>
      <c r="G5815" s="73"/>
      <c r="H5815" s="73"/>
      <c r="I5815" s="73"/>
      <c r="J5815" s="73"/>
      <c r="K5815" s="73"/>
      <c r="L5815" s="73"/>
      <c r="M5815" s="73"/>
      <c r="N5815" s="73"/>
      <c r="O5815" s="73"/>
      <c r="P5815" s="73"/>
      <c r="Q5815" s="73"/>
      <c r="R5815" s="73"/>
      <c r="S5815" s="73"/>
      <c r="T5815" s="73"/>
      <c r="U5815" s="73"/>
      <c r="V5815" s="73"/>
      <c r="W5815" s="73"/>
      <c r="X5815" s="73"/>
      <c r="Y5815" s="73"/>
      <c r="Z5815" s="73"/>
      <c r="AA5815" s="73"/>
      <c r="AB5815" s="73"/>
    </row>
    <row r="5816">
      <c r="A5816" s="73"/>
      <c r="B5816" s="73">
        <v>6.143087345E7</v>
      </c>
      <c r="C5816" s="73">
        <v>4.66000446392944E9</v>
      </c>
      <c r="D5816" s="73">
        <v>5.90555690668505E9</v>
      </c>
      <c r="E5816" s="73"/>
      <c r="F5816" s="73"/>
      <c r="G5816" s="73"/>
      <c r="H5816" s="73"/>
      <c r="I5816" s="73"/>
      <c r="J5816" s="73"/>
      <c r="K5816" s="73"/>
      <c r="L5816" s="73"/>
      <c r="M5816" s="73"/>
      <c r="N5816" s="73"/>
      <c r="O5816" s="73"/>
      <c r="P5816" s="73"/>
      <c r="Q5816" s="73"/>
      <c r="R5816" s="73"/>
      <c r="S5816" s="73"/>
      <c r="T5816" s="73"/>
      <c r="U5816" s="73"/>
      <c r="V5816" s="73"/>
      <c r="W5816" s="73"/>
      <c r="X5816" s="73"/>
      <c r="Y5816" s="73"/>
      <c r="Z5816" s="73"/>
      <c r="AA5816" s="73"/>
      <c r="AB5816" s="73"/>
    </row>
    <row r="5817">
      <c r="A5817" s="73"/>
      <c r="B5817" s="73">
        <v>6.148057197E7</v>
      </c>
      <c r="C5817" s="73">
        <v>4.66917874876358E9</v>
      </c>
      <c r="D5817" s="73">
        <v>5.92289684449215E9</v>
      </c>
      <c r="E5817" s="73"/>
      <c r="F5817" s="73"/>
      <c r="G5817" s="73"/>
      <c r="H5817" s="73"/>
      <c r="I5817" s="73"/>
      <c r="J5817" s="73"/>
      <c r="K5817" s="73"/>
      <c r="L5817" s="73"/>
      <c r="M5817" s="73"/>
      <c r="N5817" s="73"/>
      <c r="O5817" s="73"/>
      <c r="P5817" s="73"/>
      <c r="Q5817" s="73"/>
      <c r="R5817" s="73"/>
      <c r="S5817" s="73"/>
      <c r="T5817" s="73"/>
      <c r="U5817" s="73"/>
      <c r="V5817" s="73"/>
      <c r="W5817" s="73"/>
      <c r="X5817" s="73"/>
      <c r="Y5817" s="73"/>
      <c r="Z5817" s="73"/>
      <c r="AA5817" s="73"/>
      <c r="AB5817" s="73"/>
    </row>
    <row r="5818">
      <c r="A5818" s="73"/>
      <c r="B5818" s="73">
        <v>6.153029943E7</v>
      </c>
      <c r="C5818" s="73">
        <v>4.67837064894531E9</v>
      </c>
      <c r="D5818" s="73">
        <v>5.94028657717028E9</v>
      </c>
      <c r="E5818" s="73"/>
      <c r="F5818" s="73"/>
      <c r="G5818" s="73"/>
      <c r="H5818" s="73"/>
      <c r="I5818" s="73"/>
      <c r="J5818" s="73"/>
      <c r="K5818" s="73"/>
      <c r="L5818" s="73"/>
      <c r="M5818" s="73"/>
      <c r="N5818" s="73"/>
      <c r="O5818" s="73"/>
      <c r="P5818" s="73"/>
      <c r="Q5818" s="73"/>
      <c r="R5818" s="73"/>
      <c r="S5818" s="73"/>
      <c r="T5818" s="73"/>
      <c r="U5818" s="73"/>
      <c r="V5818" s="73"/>
      <c r="W5818" s="73"/>
      <c r="X5818" s="73"/>
      <c r="Y5818" s="73"/>
      <c r="Z5818" s="73"/>
      <c r="AA5818" s="73"/>
      <c r="AB5818" s="73"/>
    </row>
    <row r="5819">
      <c r="A5819" s="73"/>
      <c r="B5819" s="73">
        <v>6.158004794E7</v>
      </c>
      <c r="C5819" s="73">
        <v>4.68757949379595E9</v>
      </c>
      <c r="D5819" s="73">
        <v>5.95772674647438E9</v>
      </c>
      <c r="E5819" s="73"/>
      <c r="F5819" s="73"/>
      <c r="G5819" s="73"/>
      <c r="H5819" s="73"/>
      <c r="I5819" s="73"/>
      <c r="J5819" s="73"/>
      <c r="K5819" s="73"/>
      <c r="L5819" s="73"/>
      <c r="M5819" s="73"/>
      <c r="N5819" s="73"/>
      <c r="O5819" s="73"/>
      <c r="P5819" s="73"/>
      <c r="Q5819" s="73"/>
      <c r="R5819" s="73"/>
      <c r="S5819" s="73"/>
      <c r="T5819" s="73"/>
      <c r="U5819" s="73"/>
      <c r="V5819" s="73"/>
      <c r="W5819" s="73"/>
      <c r="X5819" s="73"/>
      <c r="Y5819" s="73"/>
      <c r="Z5819" s="73"/>
      <c r="AA5819" s="73"/>
      <c r="AB5819" s="73"/>
    </row>
    <row r="5820">
      <c r="A5820" s="73"/>
      <c r="B5820" s="73">
        <v>6.162982415E7</v>
      </c>
      <c r="C5820" s="73">
        <v>4.69680688578312E9</v>
      </c>
      <c r="D5820" s="73">
        <v>5.97521781207411E9</v>
      </c>
      <c r="E5820" s="73"/>
      <c r="F5820" s="73"/>
      <c r="G5820" s="73"/>
      <c r="H5820" s="73"/>
      <c r="I5820" s="73"/>
      <c r="J5820" s="73"/>
      <c r="K5820" s="73"/>
      <c r="L5820" s="73"/>
      <c r="M5820" s="73"/>
      <c r="N5820" s="73"/>
      <c r="O5820" s="73"/>
      <c r="P5820" s="73"/>
      <c r="Q5820" s="73"/>
      <c r="R5820" s="73"/>
      <c r="S5820" s="73"/>
      <c r="T5820" s="73"/>
      <c r="U5820" s="73"/>
      <c r="V5820" s="73"/>
      <c r="W5820" s="73"/>
      <c r="X5820" s="73"/>
      <c r="Y5820" s="73"/>
      <c r="Z5820" s="73"/>
      <c r="AA5820" s="73"/>
      <c r="AB5820" s="73"/>
    </row>
    <row r="5821">
      <c r="A5821" s="73"/>
      <c r="B5821" s="73">
        <v>6.167962504E7</v>
      </c>
      <c r="C5821" s="73">
        <v>4.70605170489218E9</v>
      </c>
      <c r="D5821" s="73">
        <v>5.99275944076474E9</v>
      </c>
      <c r="E5821" s="73"/>
      <c r="F5821" s="73"/>
      <c r="G5821" s="73"/>
      <c r="H5821" s="73"/>
      <c r="I5821" s="73"/>
      <c r="J5821" s="73"/>
      <c r="K5821" s="73"/>
      <c r="L5821" s="73"/>
      <c r="M5821" s="73"/>
      <c r="N5821" s="73"/>
      <c r="O5821" s="73"/>
      <c r="P5821" s="73"/>
      <c r="Q5821" s="73"/>
      <c r="R5821" s="73"/>
      <c r="S5821" s="73"/>
      <c r="T5821" s="73"/>
      <c r="U5821" s="73"/>
      <c r="V5821" s="73"/>
      <c r="W5821" s="73"/>
      <c r="X5821" s="73"/>
      <c r="Y5821" s="73"/>
      <c r="Z5821" s="73"/>
      <c r="AA5821" s="73"/>
      <c r="AB5821" s="73"/>
    </row>
    <row r="5822">
      <c r="A5822" s="73"/>
      <c r="B5822" s="73">
        <v>6.172944928E7</v>
      </c>
      <c r="C5822" s="73">
        <v>4.715314989363E9</v>
      </c>
      <c r="D5822" s="73">
        <v>6.01035151010194E9</v>
      </c>
      <c r="E5822" s="73"/>
      <c r="F5822" s="73"/>
      <c r="G5822" s="73"/>
      <c r="H5822" s="73"/>
      <c r="I5822" s="73"/>
      <c r="J5822" s="73"/>
      <c r="K5822" s="73"/>
      <c r="L5822" s="73"/>
      <c r="M5822" s="73"/>
      <c r="N5822" s="73"/>
      <c r="O5822" s="73"/>
      <c r="P5822" s="73"/>
      <c r="Q5822" s="73"/>
      <c r="R5822" s="73"/>
      <c r="S5822" s="73"/>
      <c r="T5822" s="73"/>
      <c r="U5822" s="73"/>
      <c r="V5822" s="73"/>
      <c r="W5822" s="73"/>
      <c r="X5822" s="73"/>
      <c r="Y5822" s="73"/>
      <c r="Z5822" s="73"/>
      <c r="AA5822" s="73"/>
      <c r="AB5822" s="73"/>
    </row>
    <row r="5823">
      <c r="A5823" s="73"/>
      <c r="B5823" s="73">
        <v>6.177930244E7</v>
      </c>
      <c r="C5823" s="73">
        <v>4.72459540607148E9</v>
      </c>
      <c r="D5823" s="73">
        <v>6.02799524992339E9</v>
      </c>
      <c r="E5823" s="73"/>
      <c r="F5823" s="73"/>
      <c r="G5823" s="73"/>
      <c r="H5823" s="73"/>
      <c r="I5823" s="73"/>
      <c r="J5823" s="73"/>
      <c r="K5823" s="73"/>
      <c r="L5823" s="73"/>
      <c r="M5823" s="73"/>
      <c r="N5823" s="73"/>
      <c r="O5823" s="73"/>
      <c r="P5823" s="73"/>
      <c r="Q5823" s="73"/>
      <c r="R5823" s="73"/>
      <c r="S5823" s="73"/>
      <c r="T5823" s="73"/>
      <c r="U5823" s="73"/>
      <c r="V5823" s="73"/>
      <c r="W5823" s="73"/>
      <c r="X5823" s="73"/>
      <c r="Y5823" s="73"/>
      <c r="Z5823" s="73"/>
      <c r="AA5823" s="73"/>
      <c r="AB5823" s="73"/>
    </row>
    <row r="5824">
      <c r="A5824" s="73"/>
      <c r="B5824" s="73">
        <v>6.182917863E7</v>
      </c>
      <c r="C5824" s="73">
        <v>4.73389432576527E9</v>
      </c>
      <c r="D5824" s="73">
        <v>6.04569014695188E9</v>
      </c>
      <c r="E5824" s="73"/>
      <c r="F5824" s="73"/>
      <c r="G5824" s="73"/>
      <c r="H5824" s="73"/>
      <c r="I5824" s="73"/>
      <c r="J5824" s="73"/>
      <c r="K5824" s="73"/>
      <c r="L5824" s="73"/>
      <c r="M5824" s="73"/>
      <c r="N5824" s="73"/>
      <c r="O5824" s="73"/>
      <c r="P5824" s="73"/>
      <c r="Q5824" s="73"/>
      <c r="R5824" s="73"/>
      <c r="S5824" s="73"/>
      <c r="T5824" s="73"/>
      <c r="U5824" s="73"/>
      <c r="V5824" s="73"/>
      <c r="W5824" s="73"/>
      <c r="X5824" s="73"/>
      <c r="Y5824" s="73"/>
      <c r="Z5824" s="73"/>
      <c r="AA5824" s="73"/>
      <c r="AB5824" s="73"/>
    </row>
    <row r="5825">
      <c r="A5825" s="73"/>
      <c r="B5825" s="73">
        <v>6.187908258E7</v>
      </c>
      <c r="C5825" s="73">
        <v>4.74321119331911E9</v>
      </c>
      <c r="D5825" s="73">
        <v>6.06343606718545E9</v>
      </c>
      <c r="E5825" s="73"/>
      <c r="F5825" s="73"/>
      <c r="G5825" s="73"/>
      <c r="H5825" s="73"/>
      <c r="I5825" s="73"/>
      <c r="J5825" s="73"/>
      <c r="K5825" s="73"/>
      <c r="L5825" s="73"/>
      <c r="M5825" s="73"/>
      <c r="N5825" s="73"/>
      <c r="O5825" s="73"/>
      <c r="P5825" s="73"/>
      <c r="Q5825" s="73"/>
      <c r="R5825" s="73"/>
      <c r="S5825" s="73"/>
      <c r="T5825" s="73"/>
      <c r="U5825" s="73"/>
      <c r="V5825" s="73"/>
      <c r="W5825" s="73"/>
      <c r="X5825" s="73"/>
      <c r="Y5825" s="73"/>
      <c r="Z5825" s="73"/>
      <c r="AA5825" s="73"/>
      <c r="AB5825" s="73"/>
    </row>
    <row r="5826">
      <c r="A5826" s="73"/>
      <c r="B5826" s="73">
        <v>6.192900919E7</v>
      </c>
      <c r="C5826" s="73">
        <v>4.75254569648343E9</v>
      </c>
      <c r="D5826" s="73">
        <v>6.08123327018394E9</v>
      </c>
      <c r="E5826" s="73"/>
      <c r="F5826" s="73"/>
      <c r="G5826" s="73"/>
      <c r="H5826" s="73"/>
      <c r="I5826" s="73"/>
      <c r="J5826" s="73"/>
      <c r="K5826" s="73"/>
      <c r="L5826" s="73"/>
      <c r="M5826" s="73"/>
      <c r="N5826" s="73"/>
      <c r="O5826" s="73"/>
      <c r="P5826" s="73"/>
      <c r="Q5826" s="73"/>
      <c r="R5826" s="73"/>
      <c r="S5826" s="73"/>
      <c r="T5826" s="73"/>
      <c r="U5826" s="73"/>
      <c r="V5826" s="73"/>
      <c r="W5826" s="73"/>
      <c r="X5826" s="73"/>
      <c r="Y5826" s="73"/>
      <c r="Z5826" s="73"/>
      <c r="AA5826" s="73"/>
      <c r="AB5826" s="73"/>
    </row>
    <row r="5827">
      <c r="A5827" s="73"/>
      <c r="B5827" s="73">
        <v>6.197896229E7</v>
      </c>
      <c r="C5827" s="73">
        <v>4.76189830610261E9</v>
      </c>
      <c r="D5827" s="73">
        <v>6.09908262254213E9</v>
      </c>
      <c r="E5827" s="73"/>
      <c r="F5827" s="73"/>
      <c r="G5827" s="73"/>
      <c r="H5827" s="73"/>
      <c r="I5827" s="73"/>
      <c r="J5827" s="73"/>
      <c r="K5827" s="73"/>
      <c r="L5827" s="73"/>
      <c r="M5827" s="73"/>
      <c r="N5827" s="73"/>
      <c r="O5827" s="73"/>
      <c r="P5827" s="73"/>
      <c r="Q5827" s="73"/>
      <c r="R5827" s="73"/>
      <c r="S5827" s="73"/>
      <c r="T5827" s="73"/>
      <c r="U5827" s="73"/>
      <c r="V5827" s="73"/>
      <c r="W5827" s="73"/>
      <c r="X5827" s="73"/>
      <c r="Y5827" s="73"/>
      <c r="Z5827" s="73"/>
      <c r="AA5827" s="73"/>
      <c r="AB5827" s="73"/>
    </row>
    <row r="5828">
      <c r="A5828" s="73"/>
      <c r="B5828" s="73">
        <v>6.202894073E7</v>
      </c>
      <c r="C5828" s="73">
        <v>4.77126813160829E9</v>
      </c>
      <c r="D5828" s="73">
        <v>6.11698337948339E9</v>
      </c>
      <c r="E5828" s="73"/>
      <c r="F5828" s="73"/>
      <c r="G5828" s="73"/>
      <c r="H5828" s="73"/>
      <c r="I5828" s="73"/>
      <c r="J5828" s="73"/>
      <c r="K5828" s="73"/>
      <c r="L5828" s="73"/>
      <c r="M5828" s="73"/>
      <c r="N5828" s="73"/>
      <c r="O5828" s="73"/>
      <c r="P5828" s="73"/>
      <c r="Q5828" s="73"/>
      <c r="R5828" s="73"/>
      <c r="S5828" s="73"/>
      <c r="T5828" s="73"/>
      <c r="U5828" s="73"/>
      <c r="V5828" s="73"/>
      <c r="W5828" s="73"/>
      <c r="X5828" s="73"/>
      <c r="Y5828" s="73"/>
      <c r="Z5828" s="73"/>
      <c r="AA5828" s="73"/>
      <c r="AB5828" s="73"/>
    </row>
    <row r="5829">
      <c r="A5829" s="73"/>
      <c r="B5829" s="73">
        <v>6.207894546E7</v>
      </c>
      <c r="C5829" s="73">
        <v>4.78065721392604E9</v>
      </c>
      <c r="D5829" s="73">
        <v>6.13493641127057E9</v>
      </c>
      <c r="E5829" s="73"/>
      <c r="F5829" s="73"/>
      <c r="G5829" s="73"/>
      <c r="H5829" s="73"/>
      <c r="I5829" s="73"/>
      <c r="J5829" s="73"/>
      <c r="K5829" s="73"/>
      <c r="L5829" s="73"/>
      <c r="M5829" s="73"/>
      <c r="N5829" s="73"/>
      <c r="O5829" s="73"/>
      <c r="P5829" s="73"/>
      <c r="Q5829" s="73"/>
      <c r="R5829" s="73"/>
      <c r="S5829" s="73"/>
      <c r="T5829" s="73"/>
      <c r="U5829" s="73"/>
      <c r="V5829" s="73"/>
      <c r="W5829" s="73"/>
      <c r="X5829" s="73"/>
      <c r="Y5829" s="73"/>
      <c r="Z5829" s="73"/>
      <c r="AA5829" s="73"/>
      <c r="AB5829" s="73"/>
    </row>
    <row r="5830">
      <c r="A5830" s="73"/>
      <c r="B5830" s="73">
        <v>6.212897353E7</v>
      </c>
      <c r="C5830" s="73">
        <v>4.79006354640493E9</v>
      </c>
      <c r="D5830" s="73">
        <v>6.15294138637097E9</v>
      </c>
      <c r="E5830" s="73"/>
      <c r="F5830" s="73"/>
      <c r="G5830" s="73"/>
      <c r="H5830" s="73"/>
      <c r="I5830" s="73"/>
      <c r="J5830" s="73"/>
      <c r="K5830" s="73"/>
      <c r="L5830" s="73"/>
      <c r="M5830" s="73"/>
      <c r="N5830" s="73"/>
      <c r="O5830" s="73"/>
      <c r="P5830" s="73"/>
      <c r="Q5830" s="73"/>
      <c r="R5830" s="73"/>
      <c r="S5830" s="73"/>
      <c r="T5830" s="73"/>
      <c r="U5830" s="73"/>
      <c r="V5830" s="73"/>
      <c r="W5830" s="73"/>
      <c r="X5830" s="73"/>
      <c r="Y5830" s="73"/>
      <c r="Z5830" s="73"/>
      <c r="AA5830" s="73"/>
      <c r="AB5830" s="73"/>
    </row>
    <row r="5831">
      <c r="A5831" s="73"/>
      <c r="B5831" s="73">
        <v>6.21790298E7</v>
      </c>
      <c r="C5831" s="73">
        <v>4.79948805736137E9</v>
      </c>
      <c r="D5831" s="73">
        <v>6.17099876867317E9</v>
      </c>
      <c r="E5831" s="73"/>
      <c r="F5831" s="73"/>
      <c r="G5831" s="73"/>
      <c r="H5831" s="73"/>
      <c r="I5831" s="73"/>
      <c r="J5831" s="73"/>
      <c r="K5831" s="73"/>
      <c r="L5831" s="73"/>
      <c r="M5831" s="73"/>
      <c r="N5831" s="73"/>
      <c r="O5831" s="73"/>
      <c r="P5831" s="73"/>
      <c r="Q5831" s="73"/>
      <c r="R5831" s="73"/>
      <c r="S5831" s="73"/>
      <c r="T5831" s="73"/>
      <c r="U5831" s="73"/>
      <c r="V5831" s="73"/>
      <c r="W5831" s="73"/>
      <c r="X5831" s="73"/>
      <c r="Y5831" s="73"/>
      <c r="Z5831" s="73"/>
      <c r="AA5831" s="73"/>
      <c r="AB5831" s="73"/>
    </row>
    <row r="5832">
      <c r="A5832" s="73"/>
      <c r="B5832" s="73">
        <v>6.222910822E7</v>
      </c>
      <c r="C5832" s="73">
        <v>4.80893109613578E9</v>
      </c>
      <c r="D5832" s="73">
        <v>6.18910821534404E9</v>
      </c>
      <c r="E5832" s="73"/>
      <c r="F5832" s="73"/>
      <c r="G5832" s="73"/>
      <c r="H5832" s="73"/>
      <c r="I5832" s="73"/>
      <c r="J5832" s="73"/>
      <c r="K5832" s="73"/>
      <c r="L5832" s="73"/>
      <c r="M5832" s="73"/>
      <c r="N5832" s="73"/>
      <c r="O5832" s="73"/>
      <c r="P5832" s="73"/>
      <c r="Q5832" s="73"/>
      <c r="R5832" s="73"/>
      <c r="S5832" s="73"/>
      <c r="T5832" s="73"/>
      <c r="U5832" s="73"/>
      <c r="V5832" s="73"/>
      <c r="W5832" s="73"/>
      <c r="X5832" s="73"/>
      <c r="Y5832" s="73"/>
      <c r="Z5832" s="73"/>
      <c r="AA5832" s="73"/>
      <c r="AB5832" s="73"/>
    </row>
    <row r="5833">
      <c r="A5833" s="73"/>
      <c r="B5833" s="73">
        <v>6.227921284E7</v>
      </c>
      <c r="C5833" s="73">
        <v>4.81839268210279E9</v>
      </c>
      <c r="D5833" s="73">
        <v>6.20727000498335E9</v>
      </c>
      <c r="E5833" s="73"/>
      <c r="F5833" s="73"/>
      <c r="G5833" s="73"/>
      <c r="H5833" s="73"/>
      <c r="I5833" s="73"/>
      <c r="J5833" s="73"/>
      <c r="K5833" s="73"/>
      <c r="L5833" s="73"/>
      <c r="M5833" s="73"/>
      <c r="N5833" s="73"/>
      <c r="O5833" s="73"/>
      <c r="P5833" s="73"/>
      <c r="Q5833" s="73"/>
      <c r="R5833" s="73"/>
      <c r="S5833" s="73"/>
      <c r="T5833" s="73"/>
      <c r="U5833" s="73"/>
      <c r="V5833" s="73"/>
      <c r="W5833" s="73"/>
      <c r="X5833" s="73"/>
      <c r="Y5833" s="73"/>
      <c r="Z5833" s="73"/>
      <c r="AA5833" s="73"/>
      <c r="AB5833" s="73"/>
    </row>
    <row r="5834">
      <c r="A5834" s="73"/>
      <c r="B5834" s="73">
        <v>6.232934445E7</v>
      </c>
      <c r="C5834" s="73">
        <v>4.82787191700514E9</v>
      </c>
      <c r="D5834" s="73">
        <v>6.22548540121168E9</v>
      </c>
      <c r="E5834" s="73"/>
      <c r="F5834" s="73"/>
      <c r="G5834" s="73"/>
      <c r="H5834" s="73"/>
      <c r="I5834" s="73"/>
      <c r="J5834" s="73"/>
      <c r="K5834" s="73"/>
      <c r="L5834" s="73"/>
      <c r="M5834" s="73"/>
      <c r="N5834" s="73"/>
      <c r="O5834" s="73"/>
      <c r="P5834" s="73"/>
      <c r="Q5834" s="73"/>
      <c r="R5834" s="73"/>
      <c r="S5834" s="73"/>
      <c r="T5834" s="73"/>
      <c r="U5834" s="73"/>
      <c r="V5834" s="73"/>
      <c r="W5834" s="73"/>
      <c r="X5834" s="73"/>
      <c r="Y5834" s="73"/>
      <c r="Z5834" s="73"/>
      <c r="AA5834" s="73"/>
      <c r="AB5834" s="73"/>
    </row>
    <row r="5835">
      <c r="A5835" s="73"/>
      <c r="B5835" s="73">
        <v>6.23794991E7</v>
      </c>
      <c r="C5835" s="73">
        <v>4.83736986374072E9</v>
      </c>
      <c r="D5835" s="73">
        <v>6.24375246144067E9</v>
      </c>
      <c r="E5835" s="73"/>
      <c r="F5835" s="73"/>
      <c r="G5835" s="73"/>
      <c r="H5835" s="73"/>
      <c r="I5835" s="73"/>
      <c r="J5835" s="73"/>
      <c r="K5835" s="73"/>
      <c r="L5835" s="73"/>
      <c r="M5835" s="73"/>
      <c r="N5835" s="73"/>
      <c r="O5835" s="73"/>
      <c r="P5835" s="73"/>
      <c r="Q5835" s="73"/>
      <c r="R5835" s="73"/>
      <c r="S5835" s="73"/>
      <c r="T5835" s="73"/>
      <c r="U5835" s="73"/>
      <c r="V5835" s="73"/>
      <c r="W5835" s="73"/>
      <c r="X5835" s="73"/>
      <c r="Y5835" s="73"/>
      <c r="Z5835" s="73"/>
      <c r="AA5835" s="73"/>
      <c r="AB5835" s="73"/>
    </row>
    <row r="5836">
      <c r="A5836" s="73"/>
      <c r="B5836" s="73">
        <v>6.242968257E7</v>
      </c>
      <c r="C5836" s="73">
        <v>4.84688503357906E9</v>
      </c>
      <c r="D5836" s="73">
        <v>6.26207305964542E9</v>
      </c>
      <c r="E5836" s="73"/>
      <c r="F5836" s="73"/>
      <c r="G5836" s="73"/>
      <c r="H5836" s="73"/>
      <c r="I5836" s="73"/>
      <c r="J5836" s="73"/>
      <c r="K5836" s="73"/>
      <c r="L5836" s="73"/>
      <c r="M5836" s="73"/>
      <c r="N5836" s="73"/>
      <c r="O5836" s="73"/>
      <c r="P5836" s="73"/>
      <c r="Q5836" s="73"/>
      <c r="R5836" s="73"/>
      <c r="S5836" s="73"/>
      <c r="T5836" s="73"/>
      <c r="U5836" s="73"/>
      <c r="V5836" s="73"/>
      <c r="W5836" s="73"/>
      <c r="X5836" s="73"/>
      <c r="Y5836" s="73"/>
      <c r="Z5836" s="73"/>
      <c r="AA5836" s="73"/>
      <c r="AB5836" s="73"/>
    </row>
    <row r="5837">
      <c r="A5837" s="73"/>
      <c r="B5837" s="73">
        <v>6.247988833E7</v>
      </c>
      <c r="C5837" s="73">
        <v>4.85641928328843E9</v>
      </c>
      <c r="D5837" s="73">
        <v>6.28044686067252E9</v>
      </c>
      <c r="E5837" s="73"/>
      <c r="F5837" s="73"/>
      <c r="G5837" s="73"/>
      <c r="H5837" s="73"/>
      <c r="I5837" s="73"/>
      <c r="J5837" s="73"/>
      <c r="K5837" s="73"/>
      <c r="L5837" s="73"/>
      <c r="M5837" s="73"/>
      <c r="N5837" s="73"/>
      <c r="O5837" s="73"/>
      <c r="P5837" s="73"/>
      <c r="Q5837" s="73"/>
      <c r="R5837" s="73"/>
      <c r="S5837" s="73"/>
      <c r="T5837" s="73"/>
      <c r="U5837" s="73"/>
      <c r="V5837" s="73"/>
      <c r="W5837" s="73"/>
      <c r="X5837" s="73"/>
      <c r="Y5837" s="73"/>
      <c r="Z5837" s="73"/>
      <c r="AA5837" s="73"/>
      <c r="AB5837" s="73"/>
    </row>
    <row r="5838">
      <c r="A5838" s="73"/>
      <c r="B5838" s="73">
        <v>6.253012103E7</v>
      </c>
      <c r="C5838" s="73">
        <v>4.86597171120449E9</v>
      </c>
      <c r="D5838" s="73">
        <v>6.29887352596257E9</v>
      </c>
      <c r="E5838" s="73"/>
      <c r="F5838" s="73"/>
      <c r="G5838" s="73"/>
      <c r="H5838" s="73"/>
      <c r="I5838" s="73"/>
      <c r="J5838" s="73"/>
      <c r="K5838" s="73"/>
      <c r="L5838" s="73"/>
      <c r="M5838" s="73"/>
      <c r="N5838" s="73"/>
      <c r="O5838" s="73"/>
      <c r="P5838" s="73"/>
      <c r="Q5838" s="73"/>
      <c r="R5838" s="73"/>
      <c r="S5838" s="73"/>
      <c r="T5838" s="73"/>
      <c r="U5838" s="73"/>
      <c r="V5838" s="73"/>
      <c r="W5838" s="73"/>
      <c r="X5838" s="73"/>
      <c r="Y5838" s="73"/>
      <c r="Z5838" s="73"/>
      <c r="AA5838" s="73"/>
      <c r="AB5838" s="73"/>
    </row>
    <row r="5839">
      <c r="A5839" s="73"/>
      <c r="B5839" s="73">
        <v>6.258037642E7</v>
      </c>
      <c r="C5839" s="73">
        <v>4.87554325923728E9</v>
      </c>
      <c r="D5839" s="73">
        <v>6.31735393561511E9</v>
      </c>
      <c r="E5839" s="73"/>
      <c r="F5839" s="73"/>
      <c r="G5839" s="73"/>
      <c r="H5839" s="73"/>
      <c r="I5839" s="73"/>
      <c r="J5839" s="73"/>
      <c r="K5839" s="73"/>
      <c r="L5839" s="73"/>
      <c r="M5839" s="73"/>
      <c r="N5839" s="73"/>
      <c r="O5839" s="73"/>
      <c r="P5839" s="73"/>
      <c r="Q5839" s="73"/>
      <c r="R5839" s="73"/>
      <c r="S5839" s="73"/>
      <c r="T5839" s="73"/>
      <c r="U5839" s="73"/>
      <c r="V5839" s="73"/>
      <c r="W5839" s="73"/>
      <c r="X5839" s="73"/>
      <c r="Y5839" s="73"/>
      <c r="Z5839" s="73"/>
      <c r="AA5839" s="73"/>
      <c r="AB5839" s="73"/>
    </row>
    <row r="5840">
      <c r="A5840" s="73"/>
      <c r="B5840" s="73">
        <v>6.263066107E7</v>
      </c>
      <c r="C5840" s="73">
        <v>4.88513256001487E9</v>
      </c>
      <c r="D5840" s="73">
        <v>6.33588814547008E9</v>
      </c>
      <c r="E5840" s="73"/>
      <c r="F5840" s="73"/>
      <c r="G5840" s="73"/>
      <c r="H5840" s="73"/>
      <c r="I5840" s="73"/>
      <c r="J5840" s="73"/>
      <c r="K5840" s="73"/>
      <c r="L5840" s="73"/>
      <c r="M5840" s="73"/>
      <c r="N5840" s="73"/>
      <c r="O5840" s="73"/>
      <c r="P5840" s="73"/>
      <c r="Q5840" s="73"/>
      <c r="R5840" s="73"/>
      <c r="S5840" s="73"/>
      <c r="T5840" s="73"/>
      <c r="U5840" s="73"/>
      <c r="V5840" s="73"/>
      <c r="W5840" s="73"/>
      <c r="X5840" s="73"/>
      <c r="Y5840" s="73"/>
      <c r="Z5840" s="73"/>
      <c r="AA5840" s="73"/>
      <c r="AB5840" s="73"/>
    </row>
    <row r="5841">
      <c r="A5841" s="73"/>
      <c r="B5841" s="73">
        <v>6.268096988E7</v>
      </c>
      <c r="C5841" s="73">
        <v>4.89474055615837E9</v>
      </c>
      <c r="D5841" s="73">
        <v>6.35447623162787E9</v>
      </c>
      <c r="E5841" s="73"/>
      <c r="F5841" s="73"/>
      <c r="G5841" s="73"/>
      <c r="H5841" s="73"/>
      <c r="I5841" s="73"/>
      <c r="J5841" s="73"/>
      <c r="K5841" s="73"/>
      <c r="L5841" s="73"/>
      <c r="M5841" s="73"/>
      <c r="N5841" s="73"/>
      <c r="O5841" s="73"/>
      <c r="P5841" s="73"/>
      <c r="Q5841" s="73"/>
      <c r="R5841" s="73"/>
      <c r="S5841" s="73"/>
      <c r="T5841" s="73"/>
      <c r="U5841" s="73"/>
      <c r="V5841" s="73"/>
      <c r="W5841" s="73"/>
      <c r="X5841" s="73"/>
      <c r="Y5841" s="73"/>
      <c r="Z5841" s="73"/>
      <c r="AA5841" s="73"/>
      <c r="AB5841" s="73"/>
    </row>
    <row r="5842">
      <c r="A5842" s="73"/>
      <c r="B5842" s="73">
        <v>6.273130376E7</v>
      </c>
      <c r="C5842" s="73">
        <v>4.90436633842461E9</v>
      </c>
      <c r="D5842" s="73">
        <v>6.37311724188547E9</v>
      </c>
      <c r="E5842" s="73"/>
      <c r="F5842" s="73"/>
      <c r="G5842" s="73"/>
      <c r="H5842" s="73"/>
      <c r="I5842" s="73"/>
      <c r="J5842" s="73"/>
      <c r="K5842" s="73"/>
      <c r="L5842" s="73"/>
      <c r="M5842" s="73"/>
      <c r="N5842" s="73"/>
      <c r="O5842" s="73"/>
      <c r="P5842" s="73"/>
      <c r="Q5842" s="73"/>
      <c r="R5842" s="73"/>
      <c r="S5842" s="73"/>
      <c r="T5842" s="73"/>
      <c r="U5842" s="73"/>
      <c r="V5842" s="73"/>
      <c r="W5842" s="73"/>
      <c r="X5842" s="73"/>
      <c r="Y5842" s="73"/>
      <c r="Z5842" s="73"/>
      <c r="AA5842" s="73"/>
      <c r="AB5842" s="73"/>
    </row>
    <row r="5843">
      <c r="A5843" s="73"/>
      <c r="B5843" s="73">
        <v>6.27816642E7</v>
      </c>
      <c r="C5843" s="73">
        <v>4.91401164941795E9</v>
      </c>
      <c r="D5843" s="73">
        <v>6.39181327820399E9</v>
      </c>
      <c r="E5843" s="73"/>
      <c r="F5843" s="73"/>
      <c r="G5843" s="73"/>
      <c r="H5843" s="73"/>
      <c r="I5843" s="73"/>
      <c r="J5843" s="73"/>
      <c r="K5843" s="73"/>
      <c r="L5843" s="73"/>
      <c r="M5843" s="73"/>
      <c r="N5843" s="73"/>
      <c r="O5843" s="73"/>
      <c r="P5843" s="73"/>
      <c r="Q5843" s="73"/>
      <c r="R5843" s="73"/>
      <c r="S5843" s="73"/>
      <c r="T5843" s="73"/>
      <c r="U5843" s="73"/>
      <c r="V5843" s="73"/>
      <c r="W5843" s="73"/>
      <c r="X5843" s="73"/>
      <c r="Y5843" s="73"/>
      <c r="Z5843" s="73"/>
      <c r="AA5843" s="73"/>
      <c r="AB5843" s="73"/>
    </row>
    <row r="5844">
      <c r="A5844" s="73"/>
      <c r="B5844" s="73">
        <v>6.283204835E7</v>
      </c>
      <c r="C5844" s="73">
        <v>4.92367571313959E9</v>
      </c>
      <c r="D5844" s="73">
        <v>6.4105631818867E9</v>
      </c>
      <c r="E5844" s="73"/>
      <c r="F5844" s="73"/>
      <c r="G5844" s="73"/>
      <c r="H5844" s="73"/>
      <c r="I5844" s="73"/>
      <c r="J5844" s="73"/>
      <c r="K5844" s="73"/>
      <c r="L5844" s="73"/>
      <c r="M5844" s="73"/>
      <c r="N5844" s="73"/>
      <c r="O5844" s="73"/>
      <c r="P5844" s="73"/>
      <c r="Q5844" s="73"/>
      <c r="R5844" s="73"/>
      <c r="S5844" s="73"/>
      <c r="T5844" s="73"/>
      <c r="U5844" s="73"/>
      <c r="V5844" s="73"/>
      <c r="W5844" s="73"/>
      <c r="X5844" s="73"/>
      <c r="Y5844" s="73"/>
      <c r="Z5844" s="73"/>
      <c r="AA5844" s="73"/>
      <c r="AB5844" s="73"/>
    </row>
    <row r="5845">
      <c r="A5845" s="73"/>
      <c r="B5845" s="73">
        <v>6.288245802E7</v>
      </c>
      <c r="C5845" s="73">
        <v>4.93335761619521E9</v>
      </c>
      <c r="D5845" s="73">
        <v>6.42936783910992E9</v>
      </c>
      <c r="E5845" s="73"/>
      <c r="F5845" s="73"/>
      <c r="G5845" s="73"/>
      <c r="H5845" s="73"/>
      <c r="I5845" s="73"/>
      <c r="J5845" s="73"/>
      <c r="K5845" s="73"/>
      <c r="L5845" s="73"/>
      <c r="M5845" s="73"/>
      <c r="N5845" s="73"/>
      <c r="O5845" s="73"/>
      <c r="P5845" s="73"/>
      <c r="Q5845" s="73"/>
      <c r="R5845" s="73"/>
      <c r="S5845" s="73"/>
      <c r="T5845" s="73"/>
      <c r="U5845" s="73"/>
      <c r="V5845" s="73"/>
      <c r="W5845" s="73"/>
      <c r="X5845" s="73"/>
      <c r="Y5845" s="73"/>
      <c r="Z5845" s="73"/>
      <c r="AA5845" s="73"/>
      <c r="AB5845" s="73"/>
    </row>
    <row r="5846">
      <c r="A5846" s="73"/>
      <c r="B5846" s="73">
        <v>6.293289295E7</v>
      </c>
      <c r="C5846" s="73">
        <v>4.9430578410541E9</v>
      </c>
      <c r="D5846" s="73">
        <v>6.4482264961018E9</v>
      </c>
      <c r="E5846" s="73"/>
      <c r="F5846" s="73"/>
      <c r="G5846" s="73"/>
      <c r="H5846" s="73"/>
      <c r="I5846" s="73"/>
      <c r="J5846" s="73"/>
      <c r="K5846" s="73"/>
      <c r="L5846" s="73"/>
      <c r="M5846" s="73"/>
      <c r="N5846" s="73"/>
      <c r="O5846" s="73"/>
      <c r="P5846" s="73"/>
      <c r="Q5846" s="73"/>
      <c r="R5846" s="73"/>
      <c r="S5846" s="73"/>
      <c r="T5846" s="73"/>
      <c r="U5846" s="73"/>
      <c r="V5846" s="73"/>
      <c r="W5846" s="73"/>
      <c r="X5846" s="73"/>
      <c r="Y5846" s="73"/>
      <c r="Z5846" s="73"/>
      <c r="AA5846" s="73"/>
      <c r="AB5846" s="73"/>
    </row>
    <row r="5847">
      <c r="A5847" s="73"/>
      <c r="B5847" s="73">
        <v>6.298335485E7</v>
      </c>
      <c r="C5847" s="73">
        <v>4.95277767359712E9</v>
      </c>
      <c r="D5847" s="73">
        <v>6.46713983521154E9</v>
      </c>
      <c r="E5847" s="73"/>
      <c r="F5847" s="73"/>
      <c r="G5847" s="73"/>
      <c r="H5847" s="73"/>
      <c r="I5847" s="73"/>
      <c r="J5847" s="73"/>
      <c r="K5847" s="73"/>
      <c r="L5847" s="73"/>
      <c r="M5847" s="73"/>
      <c r="N5847" s="73"/>
      <c r="O5847" s="73"/>
      <c r="P5847" s="73"/>
      <c r="Q5847" s="73"/>
      <c r="R5847" s="73"/>
      <c r="S5847" s="73"/>
      <c r="T5847" s="73"/>
      <c r="U5847" s="73"/>
      <c r="V5847" s="73"/>
      <c r="W5847" s="73"/>
      <c r="X5847" s="73"/>
      <c r="Y5847" s="73"/>
      <c r="Z5847" s="73"/>
      <c r="AA5847" s="73"/>
      <c r="AB5847" s="73"/>
    </row>
    <row r="5848">
      <c r="A5848" s="73"/>
      <c r="B5848" s="73">
        <v>6.303384185E7</v>
      </c>
      <c r="C5848" s="73">
        <v>4.96251586591018E9</v>
      </c>
      <c r="D5848" s="73">
        <v>6.48610832877299E9</v>
      </c>
      <c r="E5848" s="73"/>
      <c r="F5848" s="73"/>
      <c r="G5848" s="73"/>
      <c r="H5848" s="73"/>
      <c r="I5848" s="73"/>
      <c r="J5848" s="73"/>
      <c r="K5848" s="73"/>
      <c r="L5848" s="73"/>
      <c r="M5848" s="73"/>
      <c r="N5848" s="73"/>
      <c r="O5848" s="73"/>
      <c r="P5848" s="73"/>
      <c r="Q5848" s="73"/>
      <c r="R5848" s="73"/>
      <c r="S5848" s="73"/>
      <c r="T5848" s="73"/>
      <c r="U5848" s="73"/>
      <c r="V5848" s="73"/>
      <c r="W5848" s="73"/>
      <c r="X5848" s="73"/>
      <c r="Y5848" s="73"/>
      <c r="Z5848" s="73"/>
      <c r="AA5848" s="73"/>
      <c r="AB5848" s="73"/>
    </row>
    <row r="5849">
      <c r="A5849" s="73"/>
      <c r="B5849" s="73">
        <v>6.308435298E7</v>
      </c>
      <c r="C5849" s="73">
        <v>4.97227243543396E9</v>
      </c>
      <c r="D5849" s="73">
        <v>6.50513164091344E9</v>
      </c>
      <c r="E5849" s="73"/>
      <c r="F5849" s="73"/>
      <c r="G5849" s="73"/>
      <c r="H5849" s="73"/>
      <c r="I5849" s="73"/>
      <c r="J5849" s="73"/>
      <c r="K5849" s="73"/>
      <c r="L5849" s="73"/>
      <c r="M5849" s="73"/>
      <c r="N5849" s="73"/>
      <c r="O5849" s="73"/>
      <c r="P5849" s="73"/>
      <c r="Q5849" s="73"/>
      <c r="R5849" s="73"/>
      <c r="S5849" s="73"/>
      <c r="T5849" s="73"/>
      <c r="U5849" s="73"/>
      <c r="V5849" s="73"/>
      <c r="W5849" s="73"/>
      <c r="X5849" s="73"/>
      <c r="Y5849" s="73"/>
      <c r="Z5849" s="73"/>
      <c r="AA5849" s="73"/>
      <c r="AB5849" s="73"/>
    </row>
    <row r="5850">
      <c r="A5850" s="73"/>
      <c r="B5850" s="73">
        <v>6.313489021E7</v>
      </c>
      <c r="C5850" s="73">
        <v>4.98204853602081E9</v>
      </c>
      <c r="D5850" s="73">
        <v>6.52421024935948E9</v>
      </c>
      <c r="E5850" s="73"/>
      <c r="F5850" s="73"/>
      <c r="G5850" s="73"/>
      <c r="H5850" s="73"/>
      <c r="I5850" s="73"/>
      <c r="J5850" s="73"/>
      <c r="K5850" s="73"/>
      <c r="L5850" s="73"/>
      <c r="M5850" s="73"/>
      <c r="N5850" s="73"/>
      <c r="O5850" s="73"/>
      <c r="P5850" s="73"/>
      <c r="Q5850" s="73"/>
      <c r="R5850" s="73"/>
      <c r="S5850" s="73"/>
      <c r="T5850" s="73"/>
      <c r="U5850" s="73"/>
      <c r="V5850" s="73"/>
      <c r="W5850" s="73"/>
      <c r="X5850" s="73"/>
      <c r="Y5850" s="73"/>
      <c r="Z5850" s="73"/>
      <c r="AA5850" s="73"/>
      <c r="AB5850" s="73"/>
    </row>
    <row r="5851">
      <c r="A5851" s="73"/>
      <c r="B5851" s="73">
        <v>6.318545336E7</v>
      </c>
      <c r="C5851" s="73">
        <v>4.9918427173698E9</v>
      </c>
      <c r="D5851" s="73">
        <v>6.54334318825214E9</v>
      </c>
      <c r="E5851" s="73"/>
      <c r="F5851" s="73"/>
      <c r="G5851" s="73"/>
      <c r="H5851" s="73"/>
      <c r="I5851" s="73"/>
      <c r="J5851" s="73"/>
      <c r="K5851" s="73"/>
      <c r="L5851" s="73"/>
      <c r="M5851" s="73"/>
      <c r="N5851" s="73"/>
      <c r="O5851" s="73"/>
      <c r="P5851" s="73"/>
      <c r="Q5851" s="73"/>
      <c r="R5851" s="73"/>
      <c r="S5851" s="73"/>
      <c r="T5851" s="73"/>
      <c r="U5851" s="73"/>
      <c r="V5851" s="73"/>
      <c r="W5851" s="73"/>
      <c r="X5851" s="73"/>
      <c r="Y5851" s="73"/>
      <c r="Z5851" s="73"/>
      <c r="AA5851" s="73"/>
      <c r="AB5851" s="73"/>
    </row>
    <row r="5852">
      <c r="A5852" s="73"/>
      <c r="B5852" s="73">
        <v>6.323604134E7</v>
      </c>
      <c r="C5852" s="73">
        <v>5.00165599707888E9</v>
      </c>
      <c r="D5852" s="73">
        <v>6.56253299967741E9</v>
      </c>
      <c r="E5852" s="73"/>
      <c r="F5852" s="73"/>
      <c r="G5852" s="73"/>
      <c r="H5852" s="73"/>
      <c r="I5852" s="73"/>
      <c r="J5852" s="73"/>
      <c r="K5852" s="73"/>
      <c r="L5852" s="73"/>
      <c r="M5852" s="73"/>
      <c r="N5852" s="73"/>
      <c r="O5852" s="73"/>
      <c r="P5852" s="73"/>
      <c r="Q5852" s="73"/>
      <c r="R5852" s="73"/>
      <c r="S5852" s="73"/>
      <c r="T5852" s="73"/>
      <c r="U5852" s="73"/>
      <c r="V5852" s="73"/>
      <c r="W5852" s="73"/>
      <c r="X5852" s="73"/>
      <c r="Y5852" s="73"/>
      <c r="Z5852" s="73"/>
      <c r="AA5852" s="73"/>
      <c r="AB5852" s="73"/>
    </row>
    <row r="5853">
      <c r="A5853" s="73"/>
      <c r="B5853" s="73">
        <v>6.3286656E7</v>
      </c>
      <c r="C5853" s="73">
        <v>5.01148914240037E9</v>
      </c>
      <c r="D5853" s="73">
        <v>6.58177726910252E9</v>
      </c>
      <c r="E5853" s="73"/>
      <c r="F5853" s="73"/>
      <c r="G5853" s="73"/>
      <c r="H5853" s="73"/>
      <c r="I5853" s="73"/>
      <c r="J5853" s="73"/>
      <c r="K5853" s="73"/>
      <c r="L5853" s="73"/>
      <c r="M5853" s="73"/>
      <c r="N5853" s="73"/>
      <c r="O5853" s="73"/>
      <c r="P5853" s="73"/>
      <c r="Q5853" s="73"/>
      <c r="R5853" s="73"/>
      <c r="S5853" s="73"/>
      <c r="T5853" s="73"/>
      <c r="U5853" s="73"/>
      <c r="V5853" s="73"/>
      <c r="W5853" s="73"/>
      <c r="X5853" s="73"/>
      <c r="Y5853" s="73"/>
      <c r="Z5853" s="73"/>
      <c r="AA5853" s="73"/>
      <c r="AB5853" s="73"/>
    </row>
    <row r="5854">
      <c r="A5854" s="73"/>
      <c r="B5854" s="73">
        <v>6.333729481E7</v>
      </c>
      <c r="C5854" s="73">
        <v>5.02134014710199E9</v>
      </c>
      <c r="D5854" s="73">
        <v>6.60107855533168E9</v>
      </c>
      <c r="E5854" s="73"/>
      <c r="F5854" s="73"/>
      <c r="G5854" s="73"/>
      <c r="H5854" s="73"/>
      <c r="I5854" s="73"/>
      <c r="J5854" s="73"/>
      <c r="K5854" s="73"/>
      <c r="L5854" s="73"/>
      <c r="M5854" s="73"/>
      <c r="N5854" s="73"/>
      <c r="O5854" s="73"/>
      <c r="P5854" s="73"/>
      <c r="Q5854" s="73"/>
      <c r="R5854" s="73"/>
      <c r="S5854" s="73"/>
      <c r="T5854" s="73"/>
      <c r="U5854" s="73"/>
      <c r="V5854" s="73"/>
      <c r="W5854" s="73"/>
      <c r="X5854" s="73"/>
      <c r="Y5854" s="73"/>
      <c r="Z5854" s="73"/>
      <c r="AA5854" s="73"/>
      <c r="AB5854" s="73"/>
    </row>
    <row r="5855">
      <c r="A5855" s="73"/>
      <c r="B5855" s="73">
        <v>6.338795786E7</v>
      </c>
      <c r="C5855" s="73">
        <v>5.03121011136815E9</v>
      </c>
      <c r="D5855" s="73">
        <v>6.62043485004889E9</v>
      </c>
      <c r="E5855" s="73"/>
      <c r="F5855" s="73"/>
      <c r="G5855" s="73"/>
      <c r="H5855" s="73"/>
      <c r="I5855" s="73"/>
      <c r="J5855" s="73"/>
      <c r="K5855" s="73"/>
      <c r="L5855" s="73"/>
      <c r="M5855" s="73"/>
      <c r="N5855" s="73"/>
      <c r="O5855" s="73"/>
      <c r="P5855" s="73"/>
      <c r="Q5855" s="73"/>
      <c r="R5855" s="73"/>
      <c r="S5855" s="73"/>
      <c r="T5855" s="73"/>
      <c r="U5855" s="73"/>
      <c r="V5855" s="73"/>
      <c r="W5855" s="73"/>
      <c r="X5855" s="73"/>
      <c r="Y5855" s="73"/>
      <c r="Z5855" s="73"/>
      <c r="AA5855" s="73"/>
      <c r="AB5855" s="73"/>
    </row>
    <row r="5856">
      <c r="A5856" s="73"/>
      <c r="B5856" s="73">
        <v>6.343864825E7</v>
      </c>
      <c r="C5856" s="73">
        <v>5.04109924892467E9</v>
      </c>
      <c r="D5856" s="73">
        <v>6.63984725877289E9</v>
      </c>
      <c r="E5856" s="73"/>
      <c r="F5856" s="73"/>
      <c r="G5856" s="73"/>
      <c r="H5856" s="73"/>
      <c r="I5856" s="73"/>
      <c r="J5856" s="73"/>
      <c r="K5856" s="73"/>
      <c r="L5856" s="73"/>
      <c r="M5856" s="73"/>
      <c r="N5856" s="73"/>
      <c r="O5856" s="73"/>
      <c r="P5856" s="73"/>
      <c r="Q5856" s="73"/>
      <c r="R5856" s="73"/>
      <c r="S5856" s="73"/>
      <c r="T5856" s="73"/>
      <c r="U5856" s="73"/>
      <c r="V5856" s="73"/>
      <c r="W5856" s="73"/>
      <c r="X5856" s="73"/>
      <c r="Y5856" s="73"/>
      <c r="Z5856" s="73"/>
      <c r="AA5856" s="73"/>
      <c r="AB5856" s="73"/>
    </row>
    <row r="5857">
      <c r="A5857" s="73"/>
      <c r="B5857" s="73">
        <v>6.348936553E7</v>
      </c>
      <c r="C5857" s="73">
        <v>5.05100785941537E9</v>
      </c>
      <c r="D5857" s="73">
        <v>6.65931625517232E9</v>
      </c>
      <c r="E5857" s="73"/>
      <c r="F5857" s="73"/>
      <c r="G5857" s="73"/>
      <c r="H5857" s="73"/>
      <c r="I5857" s="73"/>
      <c r="J5857" s="73"/>
      <c r="K5857" s="73"/>
      <c r="L5857" s="73"/>
      <c r="M5857" s="73"/>
      <c r="N5857" s="73"/>
      <c r="O5857" s="73"/>
      <c r="P5857" s="73"/>
      <c r="Q5857" s="73"/>
      <c r="R5857" s="73"/>
      <c r="S5857" s="73"/>
      <c r="T5857" s="73"/>
      <c r="U5857" s="73"/>
      <c r="V5857" s="73"/>
      <c r="W5857" s="73"/>
      <c r="X5857" s="73"/>
      <c r="Y5857" s="73"/>
      <c r="Z5857" s="73"/>
      <c r="AA5857" s="73"/>
      <c r="AB5857" s="73"/>
    </row>
    <row r="5858">
      <c r="A5858" s="73"/>
      <c r="B5858" s="73">
        <v>6.354010507E7</v>
      </c>
      <c r="C5858" s="73">
        <v>5.0609347310391E9</v>
      </c>
      <c r="D5858" s="73">
        <v>6.67884150763122E9</v>
      </c>
      <c r="E5858" s="73"/>
      <c r="F5858" s="73"/>
      <c r="G5858" s="73"/>
      <c r="H5858" s="73"/>
      <c r="I5858" s="73"/>
      <c r="J5858" s="73"/>
      <c r="K5858" s="73"/>
      <c r="L5858" s="73"/>
      <c r="M5858" s="73"/>
      <c r="N5858" s="73"/>
      <c r="O5858" s="73"/>
      <c r="P5858" s="73"/>
      <c r="Q5858" s="73"/>
      <c r="R5858" s="73"/>
      <c r="S5858" s="73"/>
      <c r="T5858" s="73"/>
      <c r="U5858" s="73"/>
      <c r="V5858" s="73"/>
      <c r="W5858" s="73"/>
      <c r="X5858" s="73"/>
      <c r="Y5858" s="73"/>
      <c r="Z5858" s="73"/>
      <c r="AA5858" s="73"/>
      <c r="AB5858" s="73"/>
    </row>
    <row r="5859">
      <c r="A5859" s="73"/>
      <c r="B5859" s="73">
        <v>6.359087166E7</v>
      </c>
      <c r="C5859" s="73">
        <v>5.0708811140915E9</v>
      </c>
      <c r="D5859" s="73">
        <v>6.69842349532582E9</v>
      </c>
      <c r="E5859" s="73"/>
      <c r="F5859" s="73"/>
      <c r="G5859" s="73"/>
      <c r="H5859" s="73"/>
      <c r="I5859" s="73"/>
      <c r="J5859" s="73"/>
      <c r="K5859" s="73"/>
      <c r="L5859" s="73"/>
      <c r="M5859" s="73"/>
      <c r="N5859" s="73"/>
      <c r="O5859" s="73"/>
      <c r="P5859" s="73"/>
      <c r="Q5859" s="73"/>
      <c r="R5859" s="73"/>
      <c r="S5859" s="73"/>
      <c r="T5859" s="73"/>
      <c r="U5859" s="73"/>
      <c r="V5859" s="73"/>
      <c r="W5859" s="73"/>
      <c r="X5859" s="73"/>
      <c r="Y5859" s="73"/>
      <c r="Z5859" s="73"/>
      <c r="AA5859" s="73"/>
      <c r="AB5859" s="73"/>
    </row>
    <row r="5860">
      <c r="A5860" s="73"/>
      <c r="B5860" s="73">
        <v>6.364166435E7</v>
      </c>
      <c r="C5860" s="73">
        <v>5.08084688809858E9</v>
      </c>
      <c r="D5860" s="73">
        <v>6.71806228648161E9</v>
      </c>
      <c r="E5860" s="73"/>
      <c r="F5860" s="73"/>
      <c r="G5860" s="73"/>
      <c r="H5860" s="73"/>
      <c r="I5860" s="73"/>
      <c r="J5860" s="73"/>
      <c r="K5860" s="73"/>
      <c r="L5860" s="73"/>
      <c r="M5860" s="73"/>
      <c r="N5860" s="73"/>
      <c r="O5860" s="73"/>
      <c r="P5860" s="73"/>
      <c r="Q5860" s="73"/>
      <c r="R5860" s="73"/>
      <c r="S5860" s="73"/>
      <c r="T5860" s="73"/>
      <c r="U5860" s="73"/>
      <c r="V5860" s="73"/>
      <c r="W5860" s="73"/>
      <c r="X5860" s="73"/>
      <c r="Y5860" s="73"/>
      <c r="Z5860" s="73"/>
      <c r="AA5860" s="73"/>
      <c r="AB5860" s="73"/>
    </row>
    <row r="5861">
      <c r="A5861" s="73"/>
      <c r="B5861" s="73">
        <v>6.369248128E7</v>
      </c>
      <c r="C5861" s="73">
        <v>5.09083145259341E9</v>
      </c>
      <c r="D5861" s="73">
        <v>6.73775730664031E9</v>
      </c>
      <c r="E5861" s="73"/>
      <c r="F5861" s="73"/>
      <c r="G5861" s="73"/>
      <c r="H5861" s="73"/>
      <c r="I5861" s="73"/>
      <c r="J5861" s="73"/>
      <c r="K5861" s="73"/>
      <c r="L5861" s="73"/>
      <c r="M5861" s="73"/>
      <c r="N5861" s="73"/>
      <c r="O5861" s="73"/>
      <c r="P5861" s="73"/>
      <c r="Q5861" s="73"/>
      <c r="R5861" s="73"/>
      <c r="S5861" s="73"/>
      <c r="T5861" s="73"/>
      <c r="U5861" s="73"/>
      <c r="V5861" s="73"/>
      <c r="W5861" s="73"/>
      <c r="X5861" s="73"/>
      <c r="Y5861" s="73"/>
      <c r="Z5861" s="73"/>
      <c r="AA5861" s="73"/>
      <c r="AB5861" s="73"/>
    </row>
    <row r="5862">
      <c r="A5862" s="73"/>
      <c r="B5862" s="73">
        <v>6.374332468E7</v>
      </c>
      <c r="C5862" s="73">
        <v>5.10083558919114E9</v>
      </c>
      <c r="D5862" s="73">
        <v>6.75751032201298E9</v>
      </c>
      <c r="E5862" s="73"/>
      <c r="F5862" s="73"/>
      <c r="G5862" s="73"/>
      <c r="H5862" s="73"/>
      <c r="I5862" s="73"/>
      <c r="J5862" s="73"/>
      <c r="K5862" s="73"/>
      <c r="L5862" s="73"/>
      <c r="M5862" s="73"/>
      <c r="N5862" s="73"/>
      <c r="O5862" s="73"/>
      <c r="P5862" s="73"/>
      <c r="Q5862" s="73"/>
      <c r="R5862" s="73"/>
      <c r="S5862" s="73"/>
      <c r="T5862" s="73"/>
      <c r="U5862" s="73"/>
      <c r="V5862" s="73"/>
      <c r="W5862" s="73"/>
      <c r="X5862" s="73"/>
      <c r="Y5862" s="73"/>
      <c r="Z5862" s="73"/>
      <c r="AA5862" s="73"/>
      <c r="AB5862" s="73"/>
    </row>
    <row r="5863">
      <c r="A5863" s="73"/>
      <c r="B5863" s="73">
        <v>6.379419276E7</v>
      </c>
      <c r="C5863" s="73">
        <v>5.11085855260953E9</v>
      </c>
      <c r="D5863" s="73">
        <v>6.7773203551851E9</v>
      </c>
      <c r="E5863" s="73"/>
      <c r="F5863" s="73"/>
      <c r="G5863" s="73"/>
      <c r="H5863" s="73"/>
      <c r="I5863" s="73"/>
      <c r="J5863" s="73"/>
      <c r="K5863" s="73"/>
      <c r="L5863" s="73"/>
      <c r="M5863" s="73"/>
      <c r="N5863" s="73"/>
      <c r="O5863" s="73"/>
      <c r="P5863" s="73"/>
      <c r="Q5863" s="73"/>
      <c r="R5863" s="73"/>
      <c r="S5863" s="73"/>
      <c r="T5863" s="73"/>
      <c r="U5863" s="73"/>
      <c r="V5863" s="73"/>
      <c r="W5863" s="73"/>
      <c r="X5863" s="73"/>
      <c r="Y5863" s="73"/>
      <c r="Z5863" s="73"/>
      <c r="AA5863" s="73"/>
      <c r="AB5863" s="73"/>
    </row>
    <row r="5864">
      <c r="A5864" s="73"/>
      <c r="B5864" s="73">
        <v>6.384508659E7</v>
      </c>
      <c r="C5864" s="73">
        <v>5.12090146355882E9</v>
      </c>
      <c r="D5864" s="73">
        <v>6.79718764865851E9</v>
      </c>
      <c r="E5864" s="73"/>
      <c r="F5864" s="73"/>
      <c r="G5864" s="73"/>
      <c r="H5864" s="73"/>
      <c r="I5864" s="73"/>
      <c r="J5864" s="73"/>
      <c r="K5864" s="73"/>
      <c r="L5864" s="73"/>
      <c r="M5864" s="73"/>
      <c r="N5864" s="73"/>
      <c r="O5864" s="73"/>
      <c r="P5864" s="73"/>
      <c r="Q5864" s="73"/>
      <c r="R5864" s="73"/>
      <c r="S5864" s="73"/>
      <c r="T5864" s="73"/>
      <c r="U5864" s="73"/>
      <c r="V5864" s="73"/>
      <c r="W5864" s="73"/>
      <c r="X5864" s="73"/>
      <c r="Y5864" s="73"/>
      <c r="Z5864" s="73"/>
      <c r="AA5864" s="73"/>
      <c r="AB5864" s="73"/>
    </row>
    <row r="5865">
      <c r="A5865" s="73"/>
      <c r="B5865" s="73">
        <v>6.389600618E7</v>
      </c>
      <c r="C5865" s="73">
        <v>5.13096290245149E9</v>
      </c>
      <c r="D5865" s="73">
        <v>6.81711209397607E9</v>
      </c>
      <c r="E5865" s="73"/>
      <c r="F5865" s="73"/>
      <c r="G5865" s="73"/>
      <c r="H5865" s="73"/>
      <c r="I5865" s="73"/>
      <c r="J5865" s="73"/>
      <c r="K5865" s="73"/>
      <c r="L5865" s="73"/>
      <c r="M5865" s="73"/>
      <c r="N5865" s="73"/>
      <c r="O5865" s="73"/>
      <c r="P5865" s="73"/>
      <c r="Q5865" s="73"/>
      <c r="R5865" s="73"/>
      <c r="S5865" s="73"/>
      <c r="T5865" s="73"/>
      <c r="U5865" s="73"/>
      <c r="V5865" s="73"/>
      <c r="W5865" s="73"/>
      <c r="X5865" s="73"/>
      <c r="Y5865" s="73"/>
      <c r="Z5865" s="73"/>
      <c r="AA5865" s="73"/>
      <c r="AB5865" s="73"/>
    </row>
    <row r="5866">
      <c r="A5866" s="73"/>
      <c r="B5866" s="73">
        <v>6.394695075E7</v>
      </c>
      <c r="C5866" s="73">
        <v>5.14104418360511E9</v>
      </c>
      <c r="D5866" s="73">
        <v>6.83709523869283E9</v>
      </c>
      <c r="E5866" s="73"/>
      <c r="F5866" s="73"/>
      <c r="G5866" s="73"/>
      <c r="H5866" s="73"/>
      <c r="I5866" s="73"/>
      <c r="J5866" s="73"/>
      <c r="K5866" s="73"/>
      <c r="L5866" s="73"/>
      <c r="M5866" s="73"/>
      <c r="N5866" s="73"/>
      <c r="O5866" s="73"/>
      <c r="P5866" s="73"/>
      <c r="Q5866" s="73"/>
      <c r="R5866" s="73"/>
      <c r="S5866" s="73"/>
      <c r="T5866" s="73"/>
      <c r="U5866" s="73"/>
      <c r="V5866" s="73"/>
      <c r="W5866" s="73"/>
      <c r="X5866" s="73"/>
      <c r="Y5866" s="73"/>
      <c r="Z5866" s="73"/>
      <c r="AA5866" s="73"/>
      <c r="AB5866" s="73"/>
    </row>
    <row r="5867">
      <c r="A5867" s="73"/>
      <c r="B5867" s="73">
        <v>6.399792081E7</v>
      </c>
      <c r="C5867" s="73">
        <v>5.15114450974322E9</v>
      </c>
      <c r="D5867" s="73">
        <v>6.85713585197413E9</v>
      </c>
      <c r="E5867" s="73"/>
      <c r="F5867" s="73"/>
      <c r="G5867" s="73"/>
      <c r="H5867" s="73"/>
      <c r="I5867" s="73"/>
      <c r="J5867" s="73"/>
      <c r="K5867" s="73"/>
      <c r="L5867" s="73"/>
      <c r="M5867" s="73"/>
      <c r="N5867" s="73"/>
      <c r="O5867" s="73"/>
      <c r="P5867" s="73"/>
      <c r="Q5867" s="73"/>
      <c r="R5867" s="73"/>
      <c r="S5867" s="73"/>
      <c r="T5867" s="73"/>
      <c r="U5867" s="73"/>
      <c r="V5867" s="73"/>
      <c r="W5867" s="73"/>
      <c r="X5867" s="73"/>
      <c r="Y5867" s="73"/>
      <c r="Z5867" s="73"/>
      <c r="AA5867" s="73"/>
      <c r="AB5867" s="73"/>
    </row>
    <row r="5868">
      <c r="A5868" s="73"/>
      <c r="B5868" s="73">
        <v>6.404891769E7</v>
      </c>
      <c r="C5868" s="73">
        <v>5.16126423493959E9</v>
      </c>
      <c r="D5868" s="73">
        <v>6.87723424984674E9</v>
      </c>
      <c r="E5868" s="73"/>
      <c r="F5868" s="73"/>
      <c r="G5868" s="73"/>
      <c r="H5868" s="73"/>
      <c r="I5868" s="73"/>
      <c r="J5868" s="73"/>
      <c r="K5868" s="73"/>
      <c r="L5868" s="73"/>
      <c r="M5868" s="73"/>
      <c r="N5868" s="73"/>
      <c r="O5868" s="73"/>
      <c r="P5868" s="73"/>
      <c r="Q5868" s="73"/>
      <c r="R5868" s="73"/>
      <c r="S5868" s="73"/>
      <c r="T5868" s="73"/>
      <c r="U5868" s="73"/>
      <c r="V5868" s="73"/>
      <c r="W5868" s="73"/>
      <c r="X5868" s="73"/>
      <c r="Y5868" s="73"/>
      <c r="Z5868" s="73"/>
      <c r="AA5868" s="73"/>
      <c r="AB5868" s="73"/>
    </row>
    <row r="5869">
      <c r="A5869" s="73"/>
      <c r="B5869" s="73">
        <v>6.409993846E7</v>
      </c>
      <c r="C5869" s="73">
        <v>5.17140400861403E9</v>
      </c>
      <c r="D5869" s="73">
        <v>6.89739132238302E9</v>
      </c>
      <c r="E5869" s="73"/>
      <c r="F5869" s="73"/>
      <c r="G5869" s="73"/>
      <c r="H5869" s="73"/>
      <c r="I5869" s="73"/>
      <c r="J5869" s="73"/>
      <c r="K5869" s="73"/>
      <c r="L5869" s="73"/>
      <c r="M5869" s="73"/>
      <c r="N5869" s="73"/>
      <c r="O5869" s="73"/>
      <c r="P5869" s="73"/>
      <c r="Q5869" s="73"/>
      <c r="R5869" s="73"/>
      <c r="S5869" s="73"/>
      <c r="T5869" s="73"/>
      <c r="U5869" s="73"/>
      <c r="V5869" s="73"/>
      <c r="W5869" s="73"/>
      <c r="X5869" s="73"/>
      <c r="Y5869" s="73"/>
      <c r="Z5869" s="73"/>
      <c r="AA5869" s="73"/>
      <c r="AB5869" s="73"/>
    </row>
    <row r="5870">
      <c r="A5870" s="73"/>
      <c r="B5870" s="73">
        <v>6.415098537E7</v>
      </c>
      <c r="C5870" s="73">
        <v>5.18156322099613E9</v>
      </c>
      <c r="D5870" s="73">
        <v>6.9176060693162E9</v>
      </c>
      <c r="E5870" s="73"/>
      <c r="F5870" s="73"/>
      <c r="G5870" s="73"/>
      <c r="H5870" s="73"/>
      <c r="I5870" s="73"/>
      <c r="J5870" s="73"/>
      <c r="K5870" s="73"/>
      <c r="L5870" s="73"/>
      <c r="M5870" s="73"/>
      <c r="N5870" s="73"/>
      <c r="O5870" s="73"/>
      <c r="P5870" s="73"/>
      <c r="Q5870" s="73"/>
      <c r="R5870" s="73"/>
      <c r="S5870" s="73"/>
      <c r="T5870" s="73"/>
      <c r="U5870" s="73"/>
      <c r="V5870" s="73"/>
      <c r="W5870" s="73"/>
      <c r="X5870" s="73"/>
      <c r="Y5870" s="73"/>
      <c r="Z5870" s="73"/>
      <c r="AA5870" s="73"/>
      <c r="AB5870" s="73"/>
    </row>
    <row r="5871">
      <c r="A5871" s="73"/>
      <c r="B5871" s="73">
        <v>6.420205808E7</v>
      </c>
      <c r="C5871" s="73">
        <v>5.19174203913019E9</v>
      </c>
      <c r="D5871" s="73">
        <v>6.93787988115697E9</v>
      </c>
      <c r="E5871" s="73"/>
      <c r="F5871" s="73"/>
      <c r="G5871" s="73"/>
      <c r="H5871" s="73"/>
      <c r="I5871" s="73"/>
      <c r="J5871" s="73"/>
      <c r="K5871" s="73"/>
      <c r="L5871" s="73"/>
      <c r="M5871" s="73"/>
      <c r="N5871" s="73"/>
      <c r="O5871" s="73"/>
      <c r="P5871" s="73"/>
      <c r="Q5871" s="73"/>
      <c r="R5871" s="73"/>
      <c r="S5871" s="73"/>
      <c r="T5871" s="73"/>
      <c r="U5871" s="73"/>
      <c r="V5871" s="73"/>
      <c r="W5871" s="73"/>
      <c r="X5871" s="73"/>
      <c r="Y5871" s="73"/>
      <c r="Z5871" s="73"/>
      <c r="AA5871" s="73"/>
      <c r="AB5871" s="73"/>
    </row>
    <row r="5872">
      <c r="A5872" s="73"/>
      <c r="B5872" s="73">
        <v>6.425315454E7</v>
      </c>
      <c r="C5872" s="73">
        <v>5.20193984849998E9</v>
      </c>
      <c r="D5872" s="73">
        <v>6.95821217557646E9</v>
      </c>
      <c r="E5872" s="73"/>
      <c r="F5872" s="73"/>
      <c r="G5872" s="73"/>
      <c r="H5872" s="73"/>
      <c r="I5872" s="73"/>
      <c r="J5872" s="73"/>
      <c r="K5872" s="73"/>
      <c r="L5872" s="73"/>
      <c r="M5872" s="73"/>
      <c r="N5872" s="73"/>
      <c r="O5872" s="73"/>
      <c r="P5872" s="73"/>
      <c r="Q5872" s="73"/>
      <c r="R5872" s="73"/>
      <c r="S5872" s="73"/>
      <c r="T5872" s="73"/>
      <c r="U5872" s="73"/>
      <c r="V5872" s="73"/>
      <c r="W5872" s="73"/>
      <c r="X5872" s="73"/>
      <c r="Y5872" s="73"/>
      <c r="Z5872" s="73"/>
      <c r="AA5872" s="73"/>
      <c r="AB5872" s="73"/>
    </row>
    <row r="5873">
      <c r="A5873" s="73"/>
      <c r="B5873" s="73">
        <v>6.430427888E7</v>
      </c>
      <c r="C5873" s="73">
        <v>5.21215730156728E9</v>
      </c>
      <c r="D5873" s="73">
        <v>6.97860384232573E9</v>
      </c>
      <c r="E5873" s="73"/>
      <c r="F5873" s="73"/>
      <c r="G5873" s="73"/>
      <c r="H5873" s="73"/>
      <c r="I5873" s="73"/>
      <c r="J5873" s="73"/>
      <c r="K5873" s="73"/>
      <c r="L5873" s="73"/>
      <c r="M5873" s="73"/>
      <c r="N5873" s="73"/>
      <c r="O5873" s="73"/>
      <c r="P5873" s="73"/>
      <c r="Q5873" s="73"/>
      <c r="R5873" s="73"/>
      <c r="S5873" s="73"/>
      <c r="T5873" s="73"/>
      <c r="U5873" s="73"/>
      <c r="V5873" s="73"/>
      <c r="W5873" s="73"/>
      <c r="X5873" s="73"/>
      <c r="Y5873" s="73"/>
      <c r="Z5873" s="73"/>
      <c r="AA5873" s="73"/>
      <c r="AB5873" s="73"/>
    </row>
    <row r="5874">
      <c r="A5874" s="73"/>
      <c r="B5874" s="73">
        <v>6.435542809E7</v>
      </c>
      <c r="C5874" s="73">
        <v>5.22239509253258E9</v>
      </c>
      <c r="D5874" s="73">
        <v>6.99905430003353E9</v>
      </c>
      <c r="E5874" s="73"/>
      <c r="F5874" s="73"/>
      <c r="G5874" s="73"/>
      <c r="H5874" s="73"/>
      <c r="I5874" s="73"/>
      <c r="J5874" s="73"/>
      <c r="K5874" s="73"/>
      <c r="L5874" s="73"/>
      <c r="M5874" s="73"/>
      <c r="N5874" s="73"/>
      <c r="O5874" s="73"/>
      <c r="P5874" s="73"/>
      <c r="Q5874" s="73"/>
      <c r="R5874" s="73"/>
      <c r="S5874" s="73"/>
      <c r="T5874" s="73"/>
      <c r="U5874" s="73"/>
      <c r="V5874" s="73"/>
      <c r="W5874" s="73"/>
      <c r="X5874" s="73"/>
      <c r="Y5874" s="73"/>
      <c r="Z5874" s="73"/>
      <c r="AA5874" s="73"/>
      <c r="AB5874" s="73"/>
    </row>
    <row r="5875">
      <c r="A5875" s="73"/>
      <c r="B5875" s="73">
        <v>6.440660306E7</v>
      </c>
      <c r="C5875" s="73">
        <v>5.23265208050326E9</v>
      </c>
      <c r="D5875" s="73">
        <v>7.01956345372078E9</v>
      </c>
      <c r="E5875" s="73"/>
      <c r="F5875" s="73"/>
      <c r="G5875" s="73"/>
      <c r="H5875" s="73"/>
      <c r="I5875" s="73"/>
      <c r="J5875" s="73"/>
      <c r="K5875" s="73"/>
      <c r="L5875" s="73"/>
      <c r="M5875" s="73"/>
      <c r="N5875" s="73"/>
      <c r="O5875" s="73"/>
      <c r="P5875" s="73"/>
      <c r="Q5875" s="73"/>
      <c r="R5875" s="73"/>
      <c r="S5875" s="73"/>
      <c r="T5875" s="73"/>
      <c r="U5875" s="73"/>
      <c r="V5875" s="73"/>
      <c r="W5875" s="73"/>
      <c r="X5875" s="73"/>
      <c r="Y5875" s="73"/>
      <c r="Z5875" s="73"/>
      <c r="AA5875" s="73"/>
      <c r="AB5875" s="73"/>
    </row>
    <row r="5876">
      <c r="A5876" s="73"/>
      <c r="B5876" s="73">
        <v>6.445780265E7</v>
      </c>
      <c r="C5876" s="73">
        <v>5.2429286208658E9</v>
      </c>
      <c r="D5876" s="73">
        <v>7.04013369395339E9</v>
      </c>
      <c r="E5876" s="73"/>
      <c r="F5876" s="73"/>
      <c r="G5876" s="73"/>
      <c r="H5876" s="73"/>
      <c r="I5876" s="73"/>
      <c r="J5876" s="73"/>
      <c r="K5876" s="73"/>
      <c r="L5876" s="73"/>
      <c r="M5876" s="73"/>
      <c r="N5876" s="73"/>
      <c r="O5876" s="73"/>
      <c r="P5876" s="73"/>
      <c r="Q5876" s="73"/>
      <c r="R5876" s="73"/>
      <c r="S5876" s="73"/>
      <c r="T5876" s="73"/>
      <c r="U5876" s="73"/>
      <c r="V5876" s="73"/>
      <c r="W5876" s="73"/>
      <c r="X5876" s="73"/>
      <c r="Y5876" s="73"/>
      <c r="Z5876" s="73"/>
      <c r="AA5876" s="73"/>
      <c r="AB5876" s="73"/>
    </row>
    <row r="5877">
      <c r="A5877" s="73"/>
      <c r="B5877" s="73">
        <v>6.450902805E7</v>
      </c>
      <c r="C5877" s="73">
        <v>5.25322522158055E9</v>
      </c>
      <c r="D5877" s="73">
        <v>7.06076211746062E9</v>
      </c>
      <c r="E5877" s="73"/>
      <c r="F5877" s="73"/>
      <c r="G5877" s="73"/>
      <c r="H5877" s="73"/>
      <c r="I5877" s="73"/>
      <c r="J5877" s="73"/>
      <c r="K5877" s="73"/>
      <c r="L5877" s="73"/>
      <c r="M5877" s="73"/>
      <c r="N5877" s="73"/>
      <c r="O5877" s="73"/>
      <c r="P5877" s="73"/>
      <c r="Q5877" s="73"/>
      <c r="R5877" s="73"/>
      <c r="S5877" s="73"/>
      <c r="T5877" s="73"/>
      <c r="U5877" s="73"/>
      <c r="V5877" s="73"/>
      <c r="W5877" s="73"/>
      <c r="X5877" s="73"/>
      <c r="Y5877" s="73"/>
      <c r="Z5877" s="73"/>
      <c r="AA5877" s="73"/>
      <c r="AB5877" s="73"/>
    </row>
    <row r="5878">
      <c r="A5878" s="73"/>
      <c r="B5878" s="73">
        <v>6.456027963E7</v>
      </c>
      <c r="C5878" s="73">
        <v>5.26354190344861E9</v>
      </c>
      <c r="D5878" s="73">
        <v>7.08145027574101E9</v>
      </c>
      <c r="E5878" s="73"/>
      <c r="F5878" s="73"/>
      <c r="G5878" s="73"/>
      <c r="H5878" s="73"/>
      <c r="I5878" s="73"/>
      <c r="J5878" s="73"/>
      <c r="K5878" s="73"/>
      <c r="L5878" s="73"/>
      <c r="M5878" s="73"/>
      <c r="N5878" s="73"/>
      <c r="O5878" s="73"/>
      <c r="P5878" s="73"/>
      <c r="Q5878" s="73"/>
      <c r="R5878" s="73"/>
      <c r="S5878" s="73"/>
      <c r="T5878" s="73"/>
      <c r="U5878" s="73"/>
      <c r="V5878" s="73"/>
      <c r="W5878" s="73"/>
      <c r="X5878" s="73"/>
      <c r="Y5878" s="73"/>
      <c r="Z5878" s="73"/>
      <c r="AA5878" s="73"/>
      <c r="AB5878" s="73"/>
    </row>
    <row r="5879">
      <c r="A5879" s="73"/>
      <c r="B5879" s="73">
        <v>6.461155658E7</v>
      </c>
      <c r="C5879" s="73">
        <v>5.27387819644707E9</v>
      </c>
      <c r="D5879" s="73">
        <v>7.10219908246719E9</v>
      </c>
      <c r="E5879" s="73"/>
      <c r="F5879" s="73"/>
      <c r="G5879" s="73"/>
      <c r="H5879" s="73"/>
      <c r="I5879" s="73"/>
      <c r="J5879" s="73"/>
      <c r="K5879" s="73"/>
      <c r="L5879" s="73"/>
      <c r="M5879" s="73"/>
      <c r="N5879" s="73"/>
      <c r="O5879" s="73"/>
      <c r="P5879" s="73"/>
      <c r="Q5879" s="73"/>
      <c r="R5879" s="73"/>
      <c r="S5879" s="73"/>
      <c r="T5879" s="73"/>
      <c r="U5879" s="73"/>
      <c r="V5879" s="73"/>
      <c r="W5879" s="73"/>
      <c r="X5879" s="73"/>
      <c r="Y5879" s="73"/>
      <c r="Z5879" s="73"/>
      <c r="AA5879" s="73"/>
      <c r="AB5879" s="73"/>
    </row>
    <row r="5880">
      <c r="A5880" s="73"/>
      <c r="B5880" s="73">
        <v>6.466285807E7</v>
      </c>
      <c r="C5880" s="73">
        <v>5.28423461076816E9</v>
      </c>
      <c r="D5880" s="73">
        <v>7.12300694997475E9</v>
      </c>
      <c r="E5880" s="73"/>
      <c r="F5880" s="73"/>
      <c r="G5880" s="73"/>
      <c r="H5880" s="73"/>
      <c r="I5880" s="73"/>
      <c r="J5880" s="73"/>
      <c r="K5880" s="73"/>
      <c r="L5880" s="73"/>
      <c r="M5880" s="73"/>
      <c r="N5880" s="73"/>
      <c r="O5880" s="73"/>
      <c r="P5880" s="73"/>
      <c r="Q5880" s="73"/>
      <c r="R5880" s="73"/>
      <c r="S5880" s="73"/>
      <c r="T5880" s="73"/>
      <c r="U5880" s="73"/>
      <c r="V5880" s="73"/>
      <c r="W5880" s="73"/>
      <c r="X5880" s="73"/>
      <c r="Y5880" s="73"/>
      <c r="Z5880" s="73"/>
      <c r="AA5880" s="73"/>
      <c r="AB5880" s="73"/>
    </row>
    <row r="5881">
      <c r="A5881" s="73"/>
      <c r="B5881" s="73">
        <v>6.471418588E7</v>
      </c>
      <c r="C5881" s="73">
        <v>5.29461101298919E9</v>
      </c>
      <c r="D5881" s="73">
        <v>7.14387644318042E9</v>
      </c>
      <c r="E5881" s="73"/>
      <c r="F5881" s="73"/>
      <c r="G5881" s="73"/>
      <c r="H5881" s="73"/>
      <c r="I5881" s="73"/>
      <c r="J5881" s="73"/>
      <c r="K5881" s="73"/>
      <c r="L5881" s="73"/>
      <c r="M5881" s="73"/>
      <c r="N5881" s="73"/>
      <c r="O5881" s="73"/>
      <c r="P5881" s="73"/>
      <c r="Q5881" s="73"/>
      <c r="R5881" s="73"/>
      <c r="S5881" s="73"/>
      <c r="T5881" s="73"/>
      <c r="U5881" s="73"/>
      <c r="V5881" s="73"/>
      <c r="W5881" s="73"/>
      <c r="X5881" s="73"/>
      <c r="Y5881" s="73"/>
      <c r="Z5881" s="73"/>
      <c r="AA5881" s="73"/>
      <c r="AB5881" s="73"/>
    </row>
    <row r="5882">
      <c r="A5882" s="73"/>
      <c r="B5882" s="73">
        <v>6.476553772E7</v>
      </c>
      <c r="C5882" s="73">
        <v>5.30500625275101E9</v>
      </c>
      <c r="D5882" s="73">
        <v>7.16480446696288E9</v>
      </c>
      <c r="E5882" s="73"/>
      <c r="F5882" s="73"/>
      <c r="G5882" s="73"/>
      <c r="H5882" s="73"/>
      <c r="I5882" s="73"/>
      <c r="J5882" s="73"/>
      <c r="K5882" s="73"/>
      <c r="L5882" s="73"/>
      <c r="M5882" s="73"/>
      <c r="N5882" s="73"/>
      <c r="O5882" s="73"/>
      <c r="P5882" s="73"/>
      <c r="Q5882" s="73"/>
      <c r="R5882" s="73"/>
      <c r="S5882" s="73"/>
      <c r="T5882" s="73"/>
      <c r="U5882" s="73"/>
      <c r="V5882" s="73"/>
      <c r="W5882" s="73"/>
      <c r="X5882" s="73"/>
      <c r="Y5882" s="73"/>
      <c r="Z5882" s="73"/>
      <c r="AA5882" s="73"/>
      <c r="AB5882" s="73"/>
    </row>
    <row r="5883">
      <c r="A5883" s="73"/>
      <c r="B5883" s="73">
        <v>6.48169178E7</v>
      </c>
      <c r="C5883" s="73">
        <v>5.31542299789041E9</v>
      </c>
      <c r="D5883" s="73">
        <v>7.18579493622165E9</v>
      </c>
      <c r="E5883" s="73"/>
      <c r="F5883" s="73"/>
      <c r="G5883" s="73"/>
      <c r="H5883" s="73"/>
      <c r="I5883" s="73"/>
      <c r="J5883" s="73"/>
      <c r="K5883" s="73"/>
      <c r="L5883" s="73"/>
      <c r="M5883" s="73"/>
      <c r="N5883" s="73"/>
      <c r="O5883" s="73"/>
      <c r="P5883" s="73"/>
      <c r="Q5883" s="73"/>
      <c r="R5883" s="73"/>
      <c r="S5883" s="73"/>
      <c r="T5883" s="73"/>
      <c r="U5883" s="73"/>
      <c r="V5883" s="73"/>
      <c r="W5883" s="73"/>
      <c r="X5883" s="73"/>
      <c r="Y5883" s="73"/>
      <c r="Z5883" s="73"/>
      <c r="AA5883" s="73"/>
      <c r="AB5883" s="73"/>
    </row>
    <row r="5884">
      <c r="A5884" s="73"/>
      <c r="B5884" s="73">
        <v>6.486832327E7</v>
      </c>
      <c r="C5884" s="73">
        <v>5.32585895754961E9</v>
      </c>
      <c r="D5884" s="73">
        <v>7.20684491838047E9</v>
      </c>
      <c r="E5884" s="73"/>
      <c r="F5884" s="73"/>
      <c r="G5884" s="73"/>
      <c r="H5884" s="73"/>
      <c r="I5884" s="73"/>
      <c r="J5884" s="73"/>
      <c r="K5884" s="73"/>
      <c r="L5884" s="73"/>
      <c r="M5884" s="73"/>
      <c r="N5884" s="73"/>
      <c r="O5884" s="73"/>
      <c r="P5884" s="73"/>
      <c r="Q5884" s="73"/>
      <c r="R5884" s="73"/>
      <c r="S5884" s="73"/>
      <c r="T5884" s="73"/>
      <c r="U5884" s="73"/>
      <c r="V5884" s="73"/>
      <c r="W5884" s="73"/>
      <c r="X5884" s="73"/>
      <c r="Y5884" s="73"/>
      <c r="Z5884" s="73"/>
      <c r="AA5884" s="73"/>
      <c r="AB5884" s="73"/>
    </row>
    <row r="5885">
      <c r="A5885" s="73"/>
      <c r="B5885" s="73">
        <v>6.49197505E7</v>
      </c>
      <c r="C5885" s="73">
        <v>5.33631464343639E9</v>
      </c>
      <c r="D5885" s="73">
        <v>7.22795667097264E9</v>
      </c>
      <c r="E5885" s="73"/>
      <c r="F5885" s="73"/>
      <c r="G5885" s="73"/>
      <c r="H5885" s="73"/>
      <c r="I5885" s="73"/>
      <c r="J5885" s="73"/>
      <c r="K5885" s="73"/>
      <c r="L5885" s="73"/>
      <c r="M5885" s="73"/>
      <c r="N5885" s="73"/>
      <c r="O5885" s="73"/>
      <c r="P5885" s="73"/>
      <c r="Q5885" s="73"/>
      <c r="R5885" s="73"/>
      <c r="S5885" s="73"/>
      <c r="T5885" s="73"/>
      <c r="U5885" s="73"/>
      <c r="V5885" s="73"/>
      <c r="W5885" s="73"/>
      <c r="X5885" s="73"/>
      <c r="Y5885" s="73"/>
      <c r="Z5885" s="73"/>
      <c r="AA5885" s="73"/>
      <c r="AB5885" s="73"/>
    </row>
    <row r="5886">
      <c r="A5886" s="73"/>
      <c r="B5886" s="73">
        <v>6.497120711E7</v>
      </c>
      <c r="C5886" s="73">
        <v>5.34679090906352E9</v>
      </c>
      <c r="D5886" s="73">
        <v>7.24912973833825E9</v>
      </c>
      <c r="E5886" s="73"/>
      <c r="F5886" s="73"/>
      <c r="G5886" s="73"/>
      <c r="H5886" s="73"/>
      <c r="I5886" s="73"/>
      <c r="J5886" s="73"/>
      <c r="K5886" s="73"/>
      <c r="L5886" s="73"/>
      <c r="M5886" s="73"/>
      <c r="N5886" s="73"/>
      <c r="O5886" s="73"/>
      <c r="P5886" s="73"/>
      <c r="Q5886" s="73"/>
      <c r="R5886" s="73"/>
      <c r="S5886" s="73"/>
      <c r="T5886" s="73"/>
      <c r="U5886" s="73"/>
      <c r="V5886" s="73"/>
      <c r="W5886" s="73"/>
      <c r="X5886" s="73"/>
      <c r="Y5886" s="73"/>
      <c r="Z5886" s="73"/>
      <c r="AA5886" s="73"/>
      <c r="AB5886" s="73"/>
    </row>
    <row r="5887">
      <c r="A5887" s="73"/>
      <c r="B5887" s="73">
        <v>6.502268913E7</v>
      </c>
      <c r="C5887" s="73">
        <v>5.35728743681457E9</v>
      </c>
      <c r="D5887" s="73">
        <v>7.27036390813973E9</v>
      </c>
      <c r="E5887" s="73"/>
      <c r="F5887" s="73"/>
      <c r="G5887" s="73"/>
      <c r="H5887" s="73"/>
      <c r="I5887" s="73"/>
      <c r="J5887" s="73"/>
      <c r="K5887" s="73"/>
      <c r="L5887" s="73"/>
      <c r="M5887" s="73"/>
      <c r="N5887" s="73"/>
      <c r="O5887" s="73"/>
      <c r="P5887" s="73"/>
      <c r="Q5887" s="73"/>
      <c r="R5887" s="73"/>
      <c r="S5887" s="73"/>
      <c r="T5887" s="73"/>
      <c r="U5887" s="73"/>
      <c r="V5887" s="73"/>
      <c r="W5887" s="73"/>
      <c r="X5887" s="73"/>
      <c r="Y5887" s="73"/>
      <c r="Z5887" s="73"/>
      <c r="AA5887" s="73"/>
      <c r="AB5887" s="73"/>
    </row>
    <row r="5888">
      <c r="A5888" s="73"/>
      <c r="B5888" s="73">
        <v>6.507419525E7</v>
      </c>
      <c r="C5888" s="73">
        <v>5.36780408924992E9</v>
      </c>
      <c r="D5888" s="73">
        <v>7.29165870771409E9</v>
      </c>
      <c r="E5888" s="73"/>
      <c r="F5888" s="73"/>
      <c r="G5888" s="73"/>
      <c r="H5888" s="73"/>
      <c r="I5888" s="73"/>
      <c r="J5888" s="73"/>
      <c r="K5888" s="73"/>
      <c r="L5888" s="73"/>
      <c r="M5888" s="73"/>
      <c r="N5888" s="73"/>
      <c r="O5888" s="73"/>
      <c r="P5888" s="73"/>
      <c r="Q5888" s="73"/>
      <c r="R5888" s="73"/>
      <c r="S5888" s="73"/>
      <c r="T5888" s="73"/>
      <c r="U5888" s="73"/>
      <c r="V5888" s="73"/>
      <c r="W5888" s="73"/>
      <c r="X5888" s="73"/>
      <c r="Y5888" s="73"/>
      <c r="Z5888" s="73"/>
      <c r="AA5888" s="73"/>
      <c r="AB5888" s="73"/>
    </row>
    <row r="5889">
      <c r="A5889" s="73"/>
      <c r="B5889" s="73">
        <v>6.512572566E7</v>
      </c>
      <c r="C5889" s="73">
        <v>5.37834054622778E9</v>
      </c>
      <c r="D5889" s="73">
        <v>7.31301656075641E9</v>
      </c>
      <c r="E5889" s="73"/>
      <c r="F5889" s="73"/>
      <c r="G5889" s="73"/>
      <c r="H5889" s="73"/>
      <c r="I5889" s="73"/>
      <c r="J5889" s="73"/>
      <c r="K5889" s="73"/>
      <c r="L5889" s="73"/>
      <c r="M5889" s="73"/>
      <c r="N5889" s="73"/>
      <c r="O5889" s="73"/>
      <c r="P5889" s="73"/>
      <c r="Q5889" s="73"/>
      <c r="R5889" s="73"/>
      <c r="S5889" s="73"/>
      <c r="T5889" s="73"/>
      <c r="U5889" s="73"/>
      <c r="V5889" s="73"/>
      <c r="W5889" s="73"/>
      <c r="X5889" s="73"/>
      <c r="Y5889" s="73"/>
      <c r="Z5889" s="73"/>
      <c r="AA5889" s="73"/>
      <c r="AB5889" s="73"/>
    </row>
    <row r="5890">
      <c r="A5890" s="73"/>
      <c r="B5890" s="73">
        <v>6.517728341E7</v>
      </c>
      <c r="C5890" s="73">
        <v>5.38889816390105E9</v>
      </c>
      <c r="D5890" s="73">
        <v>7.33443505697758E9</v>
      </c>
      <c r="E5890" s="73"/>
      <c r="F5890" s="73"/>
      <c r="G5890" s="73"/>
      <c r="H5890" s="73"/>
      <c r="I5890" s="73"/>
      <c r="J5890" s="73"/>
      <c r="K5890" s="73"/>
      <c r="L5890" s="73"/>
      <c r="M5890" s="73"/>
      <c r="N5890" s="73"/>
      <c r="O5890" s="73"/>
      <c r="P5890" s="73"/>
      <c r="Q5890" s="73"/>
      <c r="R5890" s="73"/>
      <c r="S5890" s="73"/>
      <c r="T5890" s="73"/>
      <c r="U5890" s="73"/>
      <c r="V5890" s="73"/>
      <c r="W5890" s="73"/>
      <c r="X5890" s="73"/>
      <c r="Y5890" s="73"/>
      <c r="Z5890" s="73"/>
      <c r="AA5890" s="73"/>
      <c r="AB5890" s="73"/>
    </row>
    <row r="5891">
      <c r="A5891" s="73"/>
      <c r="B5891" s="73">
        <v>6.522886652E7</v>
      </c>
      <c r="C5891" s="73">
        <v>5.39947462733621E9</v>
      </c>
      <c r="D5891" s="73">
        <v>7.35591592561795E9</v>
      </c>
      <c r="E5891" s="73"/>
      <c r="F5891" s="73"/>
      <c r="G5891" s="73"/>
      <c r="H5891" s="73"/>
      <c r="I5891" s="73"/>
      <c r="J5891" s="73"/>
      <c r="K5891" s="73"/>
      <c r="L5891" s="73"/>
      <c r="M5891" s="73"/>
      <c r="N5891" s="73"/>
      <c r="O5891" s="73"/>
      <c r="P5891" s="73"/>
      <c r="Q5891" s="73"/>
      <c r="R5891" s="73"/>
      <c r="S5891" s="73"/>
      <c r="T5891" s="73"/>
      <c r="U5891" s="73"/>
      <c r="V5891" s="73"/>
      <c r="W5891" s="73"/>
      <c r="X5891" s="73"/>
      <c r="Y5891" s="73"/>
      <c r="Z5891" s="73"/>
      <c r="AA5891" s="73"/>
      <c r="AB5891" s="73"/>
    </row>
    <row r="5892">
      <c r="A5892" s="73"/>
      <c r="B5892" s="73">
        <v>6.528047694E7</v>
      </c>
      <c r="C5892" s="73">
        <v>5.41007229250894E9</v>
      </c>
      <c r="D5892" s="73">
        <v>7.377459254049E9</v>
      </c>
      <c r="E5892" s="73"/>
      <c r="F5892" s="73"/>
      <c r="G5892" s="73"/>
      <c r="H5892" s="73"/>
      <c r="I5892" s="73"/>
      <c r="J5892" s="73"/>
      <c r="K5892" s="73"/>
      <c r="L5892" s="73"/>
      <c r="M5892" s="73"/>
      <c r="N5892" s="73"/>
      <c r="O5892" s="73"/>
      <c r="P5892" s="73"/>
      <c r="Q5892" s="73"/>
      <c r="R5892" s="73"/>
      <c r="S5892" s="73"/>
      <c r="T5892" s="73"/>
      <c r="U5892" s="73"/>
      <c r="V5892" s="73"/>
      <c r="W5892" s="73"/>
      <c r="X5892" s="73"/>
      <c r="Y5892" s="73"/>
      <c r="Z5892" s="73"/>
      <c r="AA5892" s="73"/>
      <c r="AB5892" s="73"/>
    </row>
    <row r="5893">
      <c r="A5893" s="73"/>
      <c r="B5893" s="73">
        <v>6.533211128E7</v>
      </c>
      <c r="C5893" s="73">
        <v>5.42069018062051E9</v>
      </c>
      <c r="D5893" s="73">
        <v>7.39906511218316E9</v>
      </c>
      <c r="E5893" s="73"/>
      <c r="F5893" s="73"/>
      <c r="G5893" s="73"/>
      <c r="H5893" s="73"/>
      <c r="I5893" s="73"/>
      <c r="J5893" s="73"/>
      <c r="K5893" s="73"/>
      <c r="L5893" s="73"/>
      <c r="M5893" s="73"/>
      <c r="N5893" s="73"/>
      <c r="O5893" s="73"/>
      <c r="P5893" s="73"/>
      <c r="Q5893" s="73"/>
      <c r="R5893" s="73"/>
      <c r="S5893" s="73"/>
      <c r="T5893" s="73"/>
      <c r="U5893" s="73"/>
      <c r="V5893" s="73"/>
      <c r="W5893" s="73"/>
      <c r="X5893" s="73"/>
      <c r="Y5893" s="73"/>
      <c r="Z5893" s="73"/>
      <c r="AA5893" s="73"/>
      <c r="AB5893" s="73"/>
    </row>
    <row r="5894">
      <c r="A5894" s="73"/>
      <c r="B5894" s="73">
        <v>6.538377169E7</v>
      </c>
      <c r="C5894" s="73">
        <v>5.43132881287115E9</v>
      </c>
      <c r="D5894" s="73">
        <v>7.42073288162684E9</v>
      </c>
      <c r="E5894" s="73"/>
      <c r="F5894" s="73"/>
      <c r="G5894" s="73"/>
      <c r="H5894" s="73"/>
      <c r="I5894" s="73"/>
      <c r="J5894" s="73"/>
      <c r="K5894" s="73"/>
      <c r="L5894" s="73"/>
      <c r="M5894" s="73"/>
      <c r="N5894" s="73"/>
      <c r="O5894" s="73"/>
      <c r="P5894" s="73"/>
      <c r="Q5894" s="73"/>
      <c r="R5894" s="73"/>
      <c r="S5894" s="73"/>
      <c r="T5894" s="73"/>
      <c r="U5894" s="73"/>
      <c r="V5894" s="73"/>
      <c r="W5894" s="73"/>
      <c r="X5894" s="73"/>
      <c r="Y5894" s="73"/>
      <c r="Z5894" s="73"/>
      <c r="AA5894" s="73"/>
      <c r="AB5894" s="73"/>
    </row>
    <row r="5895">
      <c r="A5895" s="73"/>
      <c r="B5895" s="73">
        <v>6.543545758E7</v>
      </c>
      <c r="C5895" s="73">
        <v>5.44198821072904E9</v>
      </c>
      <c r="D5895" s="73">
        <v>7.44246403900643E9</v>
      </c>
      <c r="E5895" s="73"/>
      <c r="F5895" s="73"/>
      <c r="G5895" s="73"/>
      <c r="H5895" s="73"/>
      <c r="I5895" s="73"/>
      <c r="J5895" s="73"/>
      <c r="K5895" s="73"/>
      <c r="L5895" s="73"/>
      <c r="M5895" s="73"/>
      <c r="N5895" s="73"/>
      <c r="O5895" s="73"/>
      <c r="P5895" s="73"/>
      <c r="Q5895" s="73"/>
      <c r="R5895" s="73"/>
      <c r="S5895" s="73"/>
      <c r="T5895" s="73"/>
      <c r="U5895" s="73"/>
      <c r="V5895" s="73"/>
      <c r="W5895" s="73"/>
      <c r="X5895" s="73"/>
      <c r="Y5895" s="73"/>
      <c r="Z5895" s="73"/>
      <c r="AA5895" s="73"/>
      <c r="AB5895" s="73"/>
    </row>
    <row r="5896">
      <c r="A5896" s="73"/>
      <c r="B5896" s="73">
        <v>6.548716841E7</v>
      </c>
      <c r="C5896" s="73">
        <v>5.45266704826361E9</v>
      </c>
      <c r="D5896" s="73">
        <v>7.46425725898165E9</v>
      </c>
      <c r="E5896" s="73"/>
      <c r="F5896" s="73"/>
      <c r="G5896" s="73"/>
      <c r="H5896" s="73"/>
      <c r="I5896" s="73"/>
      <c r="J5896" s="73"/>
      <c r="K5896" s="73"/>
      <c r="L5896" s="73"/>
      <c r="M5896" s="73"/>
      <c r="N5896" s="73"/>
      <c r="O5896" s="73"/>
      <c r="P5896" s="73"/>
      <c r="Q5896" s="73"/>
      <c r="R5896" s="73"/>
      <c r="S5896" s="73"/>
      <c r="T5896" s="73"/>
      <c r="U5896" s="73"/>
      <c r="V5896" s="73"/>
      <c r="W5896" s="73"/>
      <c r="X5896" s="73"/>
      <c r="Y5896" s="73"/>
      <c r="Z5896" s="73"/>
      <c r="AA5896" s="73"/>
      <c r="AB5896" s="73"/>
    </row>
    <row r="5897">
      <c r="A5897" s="73"/>
      <c r="B5897" s="73">
        <v>6.553890545E7</v>
      </c>
      <c r="C5897" s="73">
        <v>5.46336703160659E9</v>
      </c>
      <c r="D5897" s="73">
        <v>7.48611484453759E9</v>
      </c>
      <c r="E5897" s="73"/>
      <c r="F5897" s="73"/>
      <c r="G5897" s="73"/>
      <c r="H5897" s="73"/>
      <c r="I5897" s="73"/>
      <c r="J5897" s="73"/>
      <c r="K5897" s="73"/>
      <c r="L5897" s="73"/>
      <c r="M5897" s="73"/>
      <c r="N5897" s="73"/>
      <c r="O5897" s="73"/>
      <c r="P5897" s="73"/>
      <c r="Q5897" s="73"/>
      <c r="R5897" s="73"/>
      <c r="S5897" s="73"/>
      <c r="T5897" s="73"/>
      <c r="U5897" s="73"/>
      <c r="V5897" s="73"/>
      <c r="W5897" s="73"/>
      <c r="X5897" s="73"/>
      <c r="Y5897" s="73"/>
      <c r="Z5897" s="73"/>
      <c r="AA5897" s="73"/>
      <c r="AB5897" s="73"/>
    </row>
    <row r="5898">
      <c r="A5898" s="73"/>
      <c r="B5898" s="73">
        <v>6.559066739E7</v>
      </c>
      <c r="C5898" s="73">
        <v>5.47408784201489E9</v>
      </c>
      <c r="D5898" s="73">
        <v>7.5080346583884E9</v>
      </c>
      <c r="E5898" s="73"/>
      <c r="F5898" s="73"/>
      <c r="G5898" s="73"/>
      <c r="H5898" s="73"/>
      <c r="I5898" s="73"/>
      <c r="J5898" s="73"/>
      <c r="K5898" s="73"/>
      <c r="L5898" s="73"/>
      <c r="M5898" s="73"/>
      <c r="N5898" s="73"/>
      <c r="O5898" s="73"/>
      <c r="P5898" s="73"/>
      <c r="Q5898" s="73"/>
      <c r="R5898" s="73"/>
      <c r="S5898" s="73"/>
      <c r="T5898" s="73"/>
      <c r="U5898" s="73"/>
      <c r="V5898" s="73"/>
      <c r="W5898" s="73"/>
      <c r="X5898" s="73"/>
      <c r="Y5898" s="73"/>
      <c r="Z5898" s="73"/>
      <c r="AA5898" s="73"/>
      <c r="AB5898" s="73"/>
    </row>
    <row r="5899">
      <c r="A5899" s="73"/>
      <c r="B5899" s="73">
        <v>6.564245598E7</v>
      </c>
      <c r="C5899" s="73">
        <v>5.48482865435616E9</v>
      </c>
      <c r="D5899" s="73">
        <v>7.53001746055032E9</v>
      </c>
      <c r="E5899" s="73"/>
      <c r="F5899" s="73"/>
      <c r="G5899" s="73"/>
      <c r="H5899" s="73"/>
      <c r="I5899" s="73"/>
      <c r="J5899" s="73"/>
      <c r="K5899" s="73"/>
      <c r="L5899" s="73"/>
      <c r="M5899" s="73"/>
      <c r="N5899" s="73"/>
      <c r="O5899" s="73"/>
      <c r="P5899" s="73"/>
      <c r="Q5899" s="73"/>
      <c r="R5899" s="73"/>
      <c r="S5899" s="73"/>
      <c r="T5899" s="73"/>
      <c r="U5899" s="73"/>
      <c r="V5899" s="73"/>
      <c r="W5899" s="73"/>
      <c r="X5899" s="73"/>
      <c r="Y5899" s="73"/>
      <c r="Z5899" s="73"/>
      <c r="AA5899" s="73"/>
      <c r="AB5899" s="73"/>
    </row>
    <row r="5900">
      <c r="A5900" s="73"/>
      <c r="B5900" s="73">
        <v>6.569426907E7</v>
      </c>
      <c r="C5900" s="73">
        <v>5.49559016947413E9</v>
      </c>
      <c r="D5900" s="73">
        <v>7.5520650074477E9</v>
      </c>
      <c r="E5900" s="73"/>
      <c r="F5900" s="73"/>
      <c r="G5900" s="73"/>
      <c r="H5900" s="73"/>
      <c r="I5900" s="73"/>
      <c r="J5900" s="73"/>
      <c r="K5900" s="73"/>
      <c r="L5900" s="73"/>
      <c r="M5900" s="73"/>
      <c r="N5900" s="73"/>
      <c r="O5900" s="73"/>
      <c r="P5900" s="73"/>
      <c r="Q5900" s="73"/>
      <c r="R5900" s="73"/>
      <c r="S5900" s="73"/>
      <c r="T5900" s="73"/>
      <c r="U5900" s="73"/>
      <c r="V5900" s="73"/>
      <c r="W5900" s="73"/>
      <c r="X5900" s="73"/>
      <c r="Y5900" s="73"/>
      <c r="Z5900" s="73"/>
      <c r="AA5900" s="73"/>
      <c r="AB5900" s="73"/>
    </row>
    <row r="5901">
      <c r="A5901" s="73"/>
      <c r="B5901" s="73">
        <v>6.574611004E7</v>
      </c>
      <c r="C5901" s="73">
        <v>5.50637308049753E9</v>
      </c>
      <c r="D5901" s="73">
        <v>7.57417570745188E9</v>
      </c>
      <c r="E5901" s="73"/>
      <c r="F5901" s="73"/>
      <c r="G5901" s="73"/>
      <c r="H5901" s="73"/>
      <c r="I5901" s="73"/>
      <c r="J5901" s="73"/>
      <c r="K5901" s="73"/>
      <c r="L5901" s="73"/>
      <c r="M5901" s="73"/>
      <c r="N5901" s="73"/>
      <c r="O5901" s="73"/>
      <c r="P5901" s="73"/>
      <c r="Q5901" s="73"/>
      <c r="R5901" s="73"/>
      <c r="S5901" s="73"/>
      <c r="T5901" s="73"/>
      <c r="U5901" s="73"/>
      <c r="V5901" s="73"/>
      <c r="W5901" s="73"/>
      <c r="X5901" s="73"/>
      <c r="Y5901" s="73"/>
      <c r="Z5901" s="73"/>
      <c r="AA5901" s="73"/>
      <c r="AB5901" s="73"/>
    </row>
    <row r="5902">
      <c r="A5902" s="73"/>
      <c r="B5902" s="73">
        <v>6.57979728E7</v>
      </c>
      <c r="C5902" s="73">
        <v>5.51717572039028E9</v>
      </c>
      <c r="D5902" s="73">
        <v>7.59635047579444E9</v>
      </c>
      <c r="E5902" s="73"/>
      <c r="F5902" s="73"/>
      <c r="G5902" s="73"/>
      <c r="H5902" s="73"/>
      <c r="I5902" s="73"/>
      <c r="J5902" s="73"/>
      <c r="K5902" s="73"/>
      <c r="L5902" s="73"/>
      <c r="M5902" s="73"/>
      <c r="N5902" s="73"/>
      <c r="O5902" s="73"/>
      <c r="P5902" s="73"/>
      <c r="Q5902" s="73"/>
      <c r="R5902" s="73"/>
      <c r="S5902" s="73"/>
      <c r="T5902" s="73"/>
      <c r="U5902" s="73"/>
      <c r="V5902" s="73"/>
      <c r="W5902" s="73"/>
      <c r="X5902" s="73"/>
      <c r="Y5902" s="73"/>
      <c r="Z5902" s="73"/>
      <c r="AA5902" s="73"/>
      <c r="AB5902" s="73"/>
    </row>
    <row r="5903">
      <c r="A5903" s="73"/>
      <c r="B5903" s="73">
        <v>6.58498648E7</v>
      </c>
      <c r="C5903" s="73">
        <v>5.52800030690777E9</v>
      </c>
      <c r="D5903" s="73">
        <v>7.6185902214724E9</v>
      </c>
      <c r="E5903" s="73"/>
      <c r="F5903" s="73"/>
      <c r="G5903" s="73"/>
      <c r="H5903" s="73"/>
      <c r="I5903" s="73"/>
      <c r="J5903" s="73"/>
      <c r="K5903" s="73"/>
      <c r="L5903" s="73"/>
      <c r="M5903" s="73"/>
      <c r="N5903" s="73"/>
      <c r="O5903" s="73"/>
      <c r="P5903" s="73"/>
      <c r="Q5903" s="73"/>
      <c r="R5903" s="73"/>
      <c r="S5903" s="73"/>
      <c r="T5903" s="73"/>
      <c r="U5903" s="73"/>
      <c r="V5903" s="73"/>
      <c r="W5903" s="73"/>
      <c r="X5903" s="73"/>
      <c r="Y5903" s="73"/>
      <c r="Z5903" s="73"/>
      <c r="AA5903" s="73"/>
      <c r="AB5903" s="73"/>
    </row>
    <row r="5904">
      <c r="A5904" s="73"/>
      <c r="B5904" s="73">
        <v>6.590178067E7</v>
      </c>
      <c r="C5904" s="73">
        <v>5.53884533746277E9</v>
      </c>
      <c r="D5904" s="73">
        <v>7.64089335339822E9</v>
      </c>
      <c r="E5904" s="73"/>
      <c r="F5904" s="73"/>
      <c r="G5904" s="73"/>
      <c r="H5904" s="73"/>
      <c r="I5904" s="73"/>
      <c r="J5904" s="73"/>
      <c r="K5904" s="73"/>
      <c r="L5904" s="73"/>
      <c r="M5904" s="73"/>
      <c r="N5904" s="73"/>
      <c r="O5904" s="73"/>
      <c r="P5904" s="73"/>
      <c r="Q5904" s="73"/>
      <c r="R5904" s="73"/>
      <c r="S5904" s="73"/>
      <c r="T5904" s="73"/>
      <c r="U5904" s="73"/>
      <c r="V5904" s="73"/>
      <c r="W5904" s="73"/>
      <c r="X5904" s="73"/>
      <c r="Y5904" s="73"/>
      <c r="Z5904" s="73"/>
      <c r="AA5904" s="73"/>
      <c r="AB5904" s="73"/>
    </row>
    <row r="5905">
      <c r="A5905" s="73"/>
      <c r="B5905" s="73">
        <v>6.595372154E7</v>
      </c>
      <c r="C5905" s="73">
        <v>5.5497103210095E9</v>
      </c>
      <c r="D5905" s="73">
        <v>7.6632616296864E9</v>
      </c>
      <c r="E5905" s="73"/>
      <c r="F5905" s="73"/>
      <c r="G5905" s="73"/>
      <c r="H5905" s="73"/>
      <c r="I5905" s="73"/>
      <c r="J5905" s="73"/>
      <c r="K5905" s="73"/>
      <c r="L5905" s="73"/>
      <c r="M5905" s="73"/>
      <c r="N5905" s="73"/>
      <c r="O5905" s="73"/>
      <c r="P5905" s="73"/>
      <c r="Q5905" s="73"/>
      <c r="R5905" s="73"/>
      <c r="S5905" s="73"/>
      <c r="T5905" s="73"/>
      <c r="U5905" s="73"/>
      <c r="V5905" s="73"/>
      <c r="W5905" s="73"/>
      <c r="X5905" s="73"/>
      <c r="Y5905" s="73"/>
      <c r="Z5905" s="73"/>
      <c r="AA5905" s="73"/>
      <c r="AB5905" s="73"/>
    </row>
    <row r="5906">
      <c r="A5906" s="73"/>
      <c r="B5906" s="73">
        <v>6.600569023E7</v>
      </c>
      <c r="C5906" s="73">
        <v>5.56059714985789E9</v>
      </c>
      <c r="D5906" s="73">
        <v>7.68569441545331E9</v>
      </c>
      <c r="E5906" s="73"/>
      <c r="F5906" s="73"/>
      <c r="G5906" s="73"/>
      <c r="H5906" s="73"/>
      <c r="I5906" s="73"/>
      <c r="J5906" s="73"/>
      <c r="K5906" s="73"/>
      <c r="L5906" s="73"/>
      <c r="M5906" s="73"/>
      <c r="N5906" s="73"/>
      <c r="O5906" s="73"/>
      <c r="P5906" s="73"/>
      <c r="Q5906" s="73"/>
      <c r="R5906" s="73"/>
      <c r="S5906" s="73"/>
      <c r="T5906" s="73"/>
      <c r="U5906" s="73"/>
      <c r="V5906" s="73"/>
      <c r="W5906" s="73"/>
      <c r="X5906" s="73"/>
      <c r="Y5906" s="73"/>
      <c r="Z5906" s="73"/>
      <c r="AA5906" s="73"/>
      <c r="AB5906" s="73"/>
    </row>
    <row r="5907">
      <c r="A5907" s="73"/>
      <c r="B5907" s="73">
        <v>6.605768261E7</v>
      </c>
      <c r="C5907" s="73">
        <v>5.57150431276188E9</v>
      </c>
      <c r="D5907" s="73">
        <v>7.70819237228715E9</v>
      </c>
      <c r="E5907" s="73"/>
      <c r="F5907" s="73"/>
      <c r="G5907" s="73"/>
      <c r="H5907" s="73"/>
      <c r="I5907" s="73"/>
      <c r="J5907" s="73"/>
      <c r="K5907" s="73"/>
      <c r="L5907" s="73"/>
      <c r="M5907" s="73"/>
      <c r="N5907" s="73"/>
      <c r="O5907" s="73"/>
      <c r="P5907" s="73"/>
      <c r="Q5907" s="73"/>
      <c r="R5907" s="73"/>
      <c r="S5907" s="73"/>
      <c r="T5907" s="73"/>
      <c r="U5907" s="73"/>
      <c r="V5907" s="73"/>
      <c r="W5907" s="73"/>
      <c r="X5907" s="73"/>
      <c r="Y5907" s="73"/>
      <c r="Z5907" s="73"/>
      <c r="AA5907" s="73"/>
      <c r="AB5907" s="73"/>
    </row>
    <row r="5908">
      <c r="A5908" s="73"/>
      <c r="B5908" s="73">
        <v>6.610970005E7</v>
      </c>
      <c r="C5908" s="73">
        <v>5.58243302285124E9</v>
      </c>
      <c r="D5908" s="73">
        <v>7.73075500094576E9</v>
      </c>
      <c r="E5908" s="73"/>
      <c r="F5908" s="73"/>
      <c r="G5908" s="73"/>
      <c r="H5908" s="73"/>
      <c r="I5908" s="73"/>
      <c r="J5908" s="73"/>
      <c r="K5908" s="73"/>
      <c r="L5908" s="73"/>
      <c r="M5908" s="73"/>
      <c r="N5908" s="73"/>
      <c r="O5908" s="73"/>
      <c r="P5908" s="73"/>
      <c r="Q5908" s="73"/>
      <c r="R5908" s="73"/>
      <c r="S5908" s="73"/>
      <c r="T5908" s="73"/>
      <c r="U5908" s="73"/>
      <c r="V5908" s="73"/>
      <c r="W5908" s="73"/>
      <c r="X5908" s="73"/>
      <c r="Y5908" s="73"/>
      <c r="Z5908" s="73"/>
      <c r="AA5908" s="73"/>
      <c r="AB5908" s="73"/>
    </row>
    <row r="5909">
      <c r="A5909" s="73"/>
      <c r="B5909" s="73">
        <v>6.616174438E7</v>
      </c>
      <c r="C5909" s="73">
        <v>5.59338227723996E9</v>
      </c>
      <c r="D5909" s="73">
        <v>7.75338380416338E9</v>
      </c>
      <c r="E5909" s="73"/>
      <c r="F5909" s="73"/>
      <c r="G5909" s="73"/>
      <c r="H5909" s="73"/>
      <c r="I5909" s="73"/>
      <c r="J5909" s="73"/>
      <c r="K5909" s="73"/>
      <c r="L5909" s="73"/>
      <c r="M5909" s="73"/>
      <c r="N5909" s="73"/>
      <c r="O5909" s="73"/>
      <c r="P5909" s="73"/>
      <c r="Q5909" s="73"/>
      <c r="R5909" s="73"/>
      <c r="S5909" s="73"/>
      <c r="T5909" s="73"/>
      <c r="U5909" s="73"/>
      <c r="V5909" s="73"/>
      <c r="W5909" s="73"/>
      <c r="X5909" s="73"/>
      <c r="Y5909" s="73"/>
      <c r="Z5909" s="73"/>
      <c r="AA5909" s="73"/>
      <c r="AB5909" s="73"/>
    </row>
    <row r="5910">
      <c r="A5910" s="73"/>
      <c r="B5910" s="73">
        <v>6.621381537E7</v>
      </c>
      <c r="C5910" s="73">
        <v>5.60435278047937E9</v>
      </c>
      <c r="D5910" s="73">
        <v>7.77607658463906E9</v>
      </c>
      <c r="E5910" s="73"/>
      <c r="F5910" s="73"/>
      <c r="G5910" s="73"/>
      <c r="H5910" s="73"/>
      <c r="I5910" s="73"/>
      <c r="J5910" s="73"/>
      <c r="K5910" s="73"/>
      <c r="L5910" s="73"/>
      <c r="M5910" s="73"/>
      <c r="N5910" s="73"/>
      <c r="O5910" s="73"/>
      <c r="P5910" s="73"/>
      <c r="Q5910" s="73"/>
      <c r="R5910" s="73"/>
      <c r="S5910" s="73"/>
      <c r="T5910" s="73"/>
      <c r="U5910" s="73"/>
      <c r="V5910" s="73"/>
      <c r="W5910" s="73"/>
      <c r="X5910" s="73"/>
      <c r="Y5910" s="73"/>
      <c r="Z5910" s="73"/>
      <c r="AA5910" s="73"/>
      <c r="AB5910" s="73"/>
    </row>
    <row r="5911">
      <c r="A5911" s="73"/>
      <c r="B5911" s="73">
        <v>6.626591048E7</v>
      </c>
      <c r="C5911" s="73">
        <v>5.61534386733286E9</v>
      </c>
      <c r="D5911" s="73">
        <v>7.79883583242434E9</v>
      </c>
      <c r="E5911" s="73"/>
      <c r="F5911" s="73"/>
      <c r="G5911" s="73"/>
      <c r="H5911" s="73"/>
      <c r="I5911" s="73"/>
      <c r="J5911" s="73"/>
      <c r="K5911" s="73"/>
      <c r="L5911" s="73"/>
      <c r="M5911" s="73"/>
      <c r="N5911" s="73"/>
      <c r="O5911" s="73"/>
      <c r="P5911" s="73"/>
      <c r="Q5911" s="73"/>
      <c r="R5911" s="73"/>
      <c r="S5911" s="73"/>
      <c r="T5911" s="73"/>
      <c r="U5911" s="73"/>
      <c r="V5911" s="73"/>
      <c r="W5911" s="73"/>
      <c r="X5911" s="73"/>
      <c r="Y5911" s="73"/>
      <c r="Z5911" s="73"/>
      <c r="AA5911" s="73"/>
      <c r="AB5911" s="73"/>
    </row>
    <row r="5912">
      <c r="A5912" s="73"/>
      <c r="B5912" s="73">
        <v>6.631803218E7</v>
      </c>
      <c r="C5912" s="73">
        <v>5.62635641580073E9</v>
      </c>
      <c r="D5912" s="73">
        <v>7.821660778823E9</v>
      </c>
      <c r="E5912" s="73"/>
      <c r="F5912" s="73"/>
      <c r="G5912" s="73"/>
      <c r="H5912" s="73"/>
      <c r="I5912" s="73"/>
      <c r="J5912" s="73"/>
      <c r="K5912" s="73"/>
      <c r="L5912" s="73"/>
      <c r="M5912" s="73"/>
      <c r="N5912" s="73"/>
      <c r="O5912" s="73"/>
      <c r="P5912" s="73"/>
      <c r="Q5912" s="73"/>
      <c r="R5912" s="73"/>
      <c r="S5912" s="73"/>
      <c r="T5912" s="73"/>
      <c r="U5912" s="73"/>
      <c r="V5912" s="73"/>
      <c r="W5912" s="73"/>
      <c r="X5912" s="73"/>
      <c r="Y5912" s="73"/>
      <c r="Z5912" s="73"/>
      <c r="AA5912" s="73"/>
      <c r="AB5912" s="73"/>
    </row>
    <row r="5913">
      <c r="A5913" s="73"/>
      <c r="B5913" s="73">
        <v>6.637017808E7</v>
      </c>
      <c r="C5913" s="73">
        <v>5.63738993153655E9</v>
      </c>
      <c r="D5913" s="73">
        <v>7.8445523527455E9</v>
      </c>
      <c r="E5913" s="73"/>
      <c r="F5913" s="73"/>
      <c r="G5913" s="73"/>
      <c r="H5913" s="73"/>
      <c r="I5913" s="73"/>
      <c r="J5913" s="73"/>
      <c r="K5913" s="73"/>
      <c r="L5913" s="73"/>
      <c r="M5913" s="73"/>
      <c r="N5913" s="73"/>
      <c r="O5913" s="73"/>
      <c r="P5913" s="73"/>
      <c r="Q5913" s="73"/>
      <c r="R5913" s="73"/>
      <c r="S5913" s="73"/>
      <c r="T5913" s="73"/>
      <c r="U5913" s="73"/>
      <c r="V5913" s="73"/>
      <c r="W5913" s="73"/>
      <c r="X5913" s="73"/>
      <c r="Y5913" s="73"/>
      <c r="Z5913" s="73"/>
      <c r="AA5913" s="73"/>
      <c r="AB5913" s="73"/>
    </row>
    <row r="5914">
      <c r="A5914" s="73"/>
      <c r="B5914" s="73">
        <v>6.642235301E7</v>
      </c>
      <c r="C5914" s="73">
        <v>5.64844460841992E9</v>
      </c>
      <c r="D5914" s="73">
        <v>7.86750979091471E9</v>
      </c>
      <c r="E5914" s="73"/>
      <c r="F5914" s="73"/>
      <c r="G5914" s="73"/>
      <c r="H5914" s="73"/>
      <c r="I5914" s="73"/>
      <c r="J5914" s="73"/>
      <c r="K5914" s="73"/>
      <c r="L5914" s="73"/>
      <c r="M5914" s="73"/>
      <c r="N5914" s="73"/>
      <c r="O5914" s="73"/>
      <c r="P5914" s="73"/>
      <c r="Q5914" s="73"/>
      <c r="R5914" s="73"/>
      <c r="S5914" s="73"/>
      <c r="T5914" s="73"/>
      <c r="U5914" s="73"/>
      <c r="V5914" s="73"/>
      <c r="W5914" s="73"/>
      <c r="X5914" s="73"/>
      <c r="Y5914" s="73"/>
      <c r="Z5914" s="73"/>
      <c r="AA5914" s="73"/>
      <c r="AB5914" s="73"/>
    </row>
    <row r="5915">
      <c r="A5915" s="73"/>
      <c r="B5915" s="73">
        <v>6.64745493E7</v>
      </c>
      <c r="C5915" s="73">
        <v>5.65952063689579E9</v>
      </c>
      <c r="D5915" s="73">
        <v>7.89053316851139E9</v>
      </c>
      <c r="E5915" s="73"/>
      <c r="F5915" s="73"/>
      <c r="G5915" s="73"/>
      <c r="H5915" s="73"/>
      <c r="I5915" s="73"/>
      <c r="J5915" s="73"/>
      <c r="K5915" s="73"/>
      <c r="L5915" s="73"/>
      <c r="M5915" s="73"/>
      <c r="N5915" s="73"/>
      <c r="O5915" s="73"/>
      <c r="P5915" s="73"/>
      <c r="Q5915" s="73"/>
      <c r="R5915" s="73"/>
      <c r="S5915" s="73"/>
      <c r="T5915" s="73"/>
      <c r="U5915" s="73"/>
      <c r="V5915" s="73"/>
      <c r="W5915" s="73"/>
      <c r="X5915" s="73"/>
      <c r="Y5915" s="73"/>
      <c r="Z5915" s="73"/>
      <c r="AA5915" s="73"/>
      <c r="AB5915" s="73"/>
    </row>
    <row r="5916">
      <c r="A5916" s="73"/>
      <c r="B5916" s="73">
        <v>6.652677329E7</v>
      </c>
      <c r="C5916" s="73">
        <v>5.67061873139957E9</v>
      </c>
      <c r="D5916" s="73">
        <v>7.91362426803326E9</v>
      </c>
      <c r="E5916" s="73"/>
      <c r="F5916" s="73"/>
      <c r="G5916" s="73"/>
      <c r="H5916" s="73"/>
      <c r="I5916" s="73"/>
      <c r="J5916" s="73"/>
      <c r="K5916" s="73"/>
      <c r="L5916" s="73"/>
      <c r="M5916" s="73"/>
      <c r="N5916" s="73"/>
      <c r="O5916" s="73"/>
      <c r="P5916" s="73"/>
      <c r="Q5916" s="73"/>
      <c r="R5916" s="73"/>
      <c r="S5916" s="73"/>
      <c r="T5916" s="73"/>
      <c r="U5916" s="73"/>
      <c r="V5916" s="73"/>
      <c r="W5916" s="73"/>
      <c r="X5916" s="73"/>
      <c r="Y5916" s="73"/>
      <c r="Z5916" s="73"/>
      <c r="AA5916" s="73"/>
      <c r="AB5916" s="73"/>
    </row>
    <row r="5917">
      <c r="A5917" s="73"/>
      <c r="B5917" s="73">
        <v>6.657902433E7</v>
      </c>
      <c r="C5917" s="73">
        <v>5.68173735765098E9</v>
      </c>
      <c r="D5917" s="73">
        <v>7.93678147325469E9</v>
      </c>
      <c r="E5917" s="73"/>
      <c r="F5917" s="73"/>
      <c r="G5917" s="73"/>
      <c r="H5917" s="73"/>
      <c r="I5917" s="73"/>
      <c r="J5917" s="73"/>
      <c r="K5917" s="73"/>
      <c r="L5917" s="73"/>
      <c r="M5917" s="73"/>
      <c r="N5917" s="73"/>
      <c r="O5917" s="73"/>
      <c r="P5917" s="73"/>
      <c r="Q5917" s="73"/>
      <c r="R5917" s="73"/>
      <c r="S5917" s="73"/>
      <c r="T5917" s="73"/>
      <c r="U5917" s="73"/>
      <c r="V5917" s="73"/>
      <c r="W5917" s="73"/>
      <c r="X5917" s="73"/>
      <c r="Y5917" s="73"/>
      <c r="Z5917" s="73"/>
      <c r="AA5917" s="73"/>
      <c r="AB5917" s="73"/>
    </row>
    <row r="5918">
      <c r="A5918" s="73"/>
      <c r="B5918" s="73">
        <v>6.663129871E7</v>
      </c>
      <c r="C5918" s="73">
        <v>5.69287757396336E9</v>
      </c>
      <c r="D5918" s="73">
        <v>7.96000570727973E9</v>
      </c>
      <c r="E5918" s="73"/>
      <c r="F5918" s="73"/>
      <c r="G5918" s="73"/>
      <c r="H5918" s="73"/>
      <c r="I5918" s="73"/>
      <c r="J5918" s="73"/>
      <c r="K5918" s="73"/>
      <c r="L5918" s="73"/>
      <c r="M5918" s="73"/>
      <c r="N5918" s="73"/>
      <c r="O5918" s="73"/>
      <c r="P5918" s="73"/>
      <c r="Q5918" s="73"/>
      <c r="R5918" s="73"/>
      <c r="S5918" s="73"/>
      <c r="T5918" s="73"/>
      <c r="U5918" s="73"/>
      <c r="V5918" s="73"/>
      <c r="W5918" s="73"/>
      <c r="X5918" s="73"/>
      <c r="Y5918" s="73"/>
      <c r="Z5918" s="73"/>
      <c r="AA5918" s="73"/>
      <c r="AB5918" s="73"/>
    </row>
    <row r="5919">
      <c r="A5919" s="73"/>
      <c r="B5919" s="73">
        <v>6.668360058E7</v>
      </c>
      <c r="C5919" s="73">
        <v>5.70403836023182E9</v>
      </c>
      <c r="D5919" s="73">
        <v>7.98329717113597E9</v>
      </c>
      <c r="E5919" s="73"/>
      <c r="F5919" s="73"/>
      <c r="G5919" s="73"/>
      <c r="H5919" s="73"/>
      <c r="I5919" s="73"/>
      <c r="J5919" s="73"/>
      <c r="K5919" s="73"/>
      <c r="L5919" s="73"/>
      <c r="M5919" s="73"/>
      <c r="N5919" s="73"/>
      <c r="O5919" s="73"/>
      <c r="P5919" s="73"/>
      <c r="Q5919" s="73"/>
      <c r="R5919" s="73"/>
      <c r="S5919" s="73"/>
      <c r="T5919" s="73"/>
      <c r="U5919" s="73"/>
      <c r="V5919" s="73"/>
      <c r="W5919" s="73"/>
      <c r="X5919" s="73"/>
      <c r="Y5919" s="73"/>
      <c r="Z5919" s="73"/>
      <c r="AA5919" s="73"/>
      <c r="AB5919" s="73"/>
    </row>
    <row r="5920">
      <c r="A5920" s="73"/>
      <c r="B5920" s="73">
        <v>6.673592531E7</v>
      </c>
      <c r="C5920" s="73">
        <v>5.71522129984876E9</v>
      </c>
      <c r="D5920" s="73">
        <v>8.00665583120955E9</v>
      </c>
      <c r="E5920" s="73"/>
      <c r="F5920" s="73"/>
      <c r="G5920" s="73"/>
      <c r="H5920" s="73"/>
      <c r="I5920" s="73"/>
      <c r="J5920" s="73"/>
      <c r="K5920" s="73"/>
      <c r="L5920" s="73"/>
      <c r="M5920" s="73"/>
      <c r="N5920" s="73"/>
      <c r="O5920" s="73"/>
      <c r="P5920" s="73"/>
      <c r="Q5920" s="73"/>
      <c r="R5920" s="73"/>
      <c r="S5920" s="73"/>
      <c r="T5920" s="73"/>
      <c r="U5920" s="73"/>
      <c r="V5920" s="73"/>
      <c r="W5920" s="73"/>
      <c r="X5920" s="73"/>
      <c r="Y5920" s="73"/>
      <c r="Z5920" s="73"/>
      <c r="AA5920" s="73"/>
      <c r="AB5920" s="73"/>
    </row>
    <row r="5921">
      <c r="A5921" s="73"/>
      <c r="B5921" s="73">
        <v>6.6788279E7</v>
      </c>
      <c r="C5921" s="73">
        <v>5.72642623902455E9</v>
      </c>
      <c r="D5921" s="73">
        <v>8.03008250952687E9</v>
      </c>
      <c r="E5921" s="73"/>
      <c r="F5921" s="73"/>
      <c r="G5921" s="73"/>
      <c r="H5921" s="73"/>
      <c r="I5921" s="73"/>
      <c r="J5921" s="73"/>
      <c r="K5921" s="73"/>
      <c r="L5921" s="73"/>
      <c r="M5921" s="73"/>
      <c r="N5921" s="73"/>
      <c r="O5921" s="73"/>
      <c r="P5921" s="73"/>
      <c r="Q5921" s="73"/>
      <c r="R5921" s="73"/>
      <c r="S5921" s="73"/>
      <c r="T5921" s="73"/>
      <c r="U5921" s="73"/>
      <c r="V5921" s="73"/>
      <c r="W5921" s="73"/>
      <c r="X5921" s="73"/>
      <c r="Y5921" s="73"/>
      <c r="Z5921" s="73"/>
      <c r="AA5921" s="73"/>
      <c r="AB5921" s="73"/>
    </row>
    <row r="5922">
      <c r="A5922" s="73"/>
      <c r="B5922" s="73">
        <v>6.6840657E7</v>
      </c>
      <c r="C5922" s="73">
        <v>5.73765233248174E9</v>
      </c>
      <c r="D5922" s="73">
        <v>8.05357581254523E9</v>
      </c>
      <c r="E5922" s="73"/>
      <c r="F5922" s="73"/>
      <c r="G5922" s="73"/>
      <c r="H5922" s="73"/>
      <c r="I5922" s="73"/>
      <c r="J5922" s="73"/>
      <c r="K5922" s="73"/>
      <c r="L5922" s="73"/>
      <c r="M5922" s="73"/>
      <c r="N5922" s="73"/>
      <c r="O5922" s="73"/>
      <c r="P5922" s="73"/>
      <c r="Q5922" s="73"/>
      <c r="R5922" s="73"/>
      <c r="S5922" s="73"/>
      <c r="T5922" s="73"/>
      <c r="U5922" s="73"/>
      <c r="V5922" s="73"/>
      <c r="W5922" s="73"/>
      <c r="X5922" s="73"/>
      <c r="Y5922" s="73"/>
      <c r="Z5922" s="73"/>
      <c r="AA5922" s="73"/>
      <c r="AB5922" s="73"/>
    </row>
    <row r="5923">
      <c r="A5923" s="73"/>
      <c r="B5923" s="73">
        <v>6.689305832E7</v>
      </c>
      <c r="C5923" s="73">
        <v>5.74889907584385E9</v>
      </c>
      <c r="D5923" s="73">
        <v>8.07713900155856E9</v>
      </c>
      <c r="E5923" s="73"/>
      <c r="F5923" s="73"/>
      <c r="G5923" s="73"/>
      <c r="H5923" s="73"/>
      <c r="I5923" s="73"/>
      <c r="J5923" s="73"/>
      <c r="K5923" s="73"/>
      <c r="L5923" s="73"/>
      <c r="M5923" s="73"/>
      <c r="N5923" s="73"/>
      <c r="O5923" s="73"/>
      <c r="P5923" s="73"/>
      <c r="Q5923" s="73"/>
      <c r="R5923" s="73"/>
      <c r="S5923" s="73"/>
      <c r="T5923" s="73"/>
      <c r="U5923" s="73"/>
      <c r="V5923" s="73"/>
      <c r="W5923" s="73"/>
      <c r="X5923" s="73"/>
      <c r="Y5923" s="73"/>
      <c r="Z5923" s="73"/>
      <c r="AA5923" s="73"/>
      <c r="AB5923" s="73"/>
    </row>
    <row r="5924">
      <c r="A5924" s="73"/>
      <c r="B5924" s="73">
        <v>6.694548851E7</v>
      </c>
      <c r="C5924" s="73">
        <v>5.76016840675991E9</v>
      </c>
      <c r="D5924" s="73">
        <v>8.1007689729787E9</v>
      </c>
      <c r="E5924" s="73"/>
      <c r="F5924" s="73"/>
      <c r="G5924" s="73"/>
      <c r="H5924" s="73"/>
      <c r="I5924" s="73"/>
      <c r="J5924" s="73"/>
      <c r="K5924" s="73"/>
      <c r="L5924" s="73"/>
      <c r="M5924" s="73"/>
      <c r="N5924" s="73"/>
      <c r="O5924" s="73"/>
      <c r="P5924" s="73"/>
      <c r="Q5924" s="73"/>
      <c r="R5924" s="73"/>
      <c r="S5924" s="73"/>
      <c r="T5924" s="73"/>
      <c r="U5924" s="73"/>
      <c r="V5924" s="73"/>
      <c r="W5924" s="73"/>
      <c r="X5924" s="73"/>
      <c r="Y5924" s="73"/>
      <c r="Z5924" s="73"/>
      <c r="AA5924" s="73"/>
      <c r="AB5924" s="73"/>
    </row>
    <row r="5925">
      <c r="A5925" s="73"/>
      <c r="B5925" s="73">
        <v>6.699794306E7</v>
      </c>
      <c r="C5925" s="73">
        <v>5.77145929861694E9</v>
      </c>
      <c r="D5925" s="73">
        <v>8.1244674011887E9</v>
      </c>
      <c r="E5925" s="73"/>
      <c r="F5925" s="73"/>
      <c r="G5925" s="73"/>
      <c r="H5925" s="73"/>
      <c r="I5925" s="73"/>
      <c r="J5925" s="73"/>
      <c r="K5925" s="73"/>
      <c r="L5925" s="73"/>
      <c r="M5925" s="73"/>
      <c r="N5925" s="73"/>
      <c r="O5925" s="73"/>
      <c r="P5925" s="73"/>
      <c r="Q5925" s="73"/>
      <c r="R5925" s="73"/>
      <c r="S5925" s="73"/>
      <c r="T5925" s="73"/>
      <c r="U5925" s="73"/>
      <c r="V5925" s="73"/>
      <c r="W5925" s="73"/>
      <c r="X5925" s="73"/>
      <c r="Y5925" s="73"/>
      <c r="Z5925" s="73"/>
      <c r="AA5925" s="73"/>
      <c r="AB5925" s="73"/>
    </row>
    <row r="5926">
      <c r="A5926" s="73"/>
      <c r="B5926" s="73">
        <v>6.705042371E7</v>
      </c>
      <c r="C5926" s="73">
        <v>5.78277142670169E9</v>
      </c>
      <c r="D5926" s="73">
        <v>8.14823437818496E9</v>
      </c>
      <c r="E5926" s="73"/>
      <c r="F5926" s="73"/>
      <c r="G5926" s="73"/>
      <c r="H5926" s="73"/>
      <c r="I5926" s="73"/>
      <c r="J5926" s="73"/>
      <c r="K5926" s="73"/>
      <c r="L5926" s="73"/>
      <c r="M5926" s="73"/>
      <c r="N5926" s="73"/>
      <c r="O5926" s="73"/>
      <c r="P5926" s="73"/>
      <c r="Q5926" s="73"/>
      <c r="R5926" s="73"/>
      <c r="S5926" s="73"/>
      <c r="T5926" s="73"/>
      <c r="U5926" s="73"/>
      <c r="V5926" s="73"/>
      <c r="W5926" s="73"/>
      <c r="X5926" s="73"/>
      <c r="Y5926" s="73"/>
      <c r="Z5926" s="73"/>
      <c r="AA5926" s="73"/>
      <c r="AB5926" s="73"/>
    </row>
    <row r="5927">
      <c r="A5927" s="73"/>
      <c r="B5927" s="73">
        <v>6.710293013E7</v>
      </c>
      <c r="C5927" s="73">
        <v>5.79410586587432E9</v>
      </c>
      <c r="D5927" s="73">
        <v>8.17206998286837E9</v>
      </c>
      <c r="E5927" s="73"/>
      <c r="F5927" s="73"/>
      <c r="G5927" s="73"/>
      <c r="H5927" s="73"/>
      <c r="I5927" s="73"/>
      <c r="J5927" s="73"/>
      <c r="K5927" s="73"/>
      <c r="L5927" s="73"/>
      <c r="M5927" s="73"/>
      <c r="N5927" s="73"/>
      <c r="O5927" s="73"/>
      <c r="P5927" s="73"/>
      <c r="Q5927" s="73"/>
      <c r="R5927" s="73"/>
      <c r="S5927" s="73"/>
      <c r="T5927" s="73"/>
      <c r="U5927" s="73"/>
      <c r="V5927" s="73"/>
      <c r="W5927" s="73"/>
      <c r="X5927" s="73"/>
      <c r="Y5927" s="73"/>
      <c r="Z5927" s="73"/>
      <c r="AA5927" s="73"/>
      <c r="AB5927" s="73"/>
    </row>
    <row r="5928">
      <c r="A5928" s="73"/>
      <c r="B5928" s="73">
        <v>6.715546437E7</v>
      </c>
      <c r="C5928" s="73">
        <v>5.80546209247264E9</v>
      </c>
      <c r="D5928" s="73">
        <v>8.19597514855425E9</v>
      </c>
      <c r="E5928" s="73"/>
      <c r="F5928" s="73"/>
      <c r="G5928" s="73"/>
      <c r="H5928" s="73"/>
      <c r="I5928" s="73"/>
      <c r="J5928" s="73"/>
      <c r="K5928" s="73"/>
      <c r="L5928" s="73"/>
      <c r="M5928" s="73"/>
      <c r="N5928" s="73"/>
      <c r="O5928" s="73"/>
      <c r="P5928" s="73"/>
      <c r="Q5928" s="73"/>
      <c r="R5928" s="73"/>
      <c r="S5928" s="73"/>
      <c r="T5928" s="73"/>
      <c r="U5928" s="73"/>
      <c r="V5928" s="73"/>
      <c r="W5928" s="73"/>
      <c r="X5928" s="73"/>
      <c r="Y5928" s="73"/>
      <c r="Z5928" s="73"/>
      <c r="AA5928" s="73"/>
      <c r="AB5928" s="73"/>
    </row>
    <row r="5929">
      <c r="A5929" s="73"/>
      <c r="B5929" s="73">
        <v>6.720802158E7</v>
      </c>
      <c r="C5929" s="73">
        <v>5.8168398011468E9</v>
      </c>
      <c r="D5929" s="73">
        <v>8.21994920168042E9</v>
      </c>
      <c r="E5929" s="73"/>
      <c r="F5929" s="73"/>
      <c r="G5929" s="73"/>
      <c r="H5929" s="73"/>
      <c r="I5929" s="73"/>
      <c r="J5929" s="73"/>
      <c r="K5929" s="73"/>
      <c r="L5929" s="73"/>
      <c r="M5929" s="73"/>
      <c r="N5929" s="73"/>
      <c r="O5929" s="73"/>
      <c r="P5929" s="73"/>
      <c r="Q5929" s="73"/>
      <c r="R5929" s="73"/>
      <c r="S5929" s="73"/>
      <c r="T5929" s="73"/>
      <c r="U5929" s="73"/>
      <c r="V5929" s="73"/>
      <c r="W5929" s="73"/>
      <c r="X5929" s="73"/>
      <c r="Y5929" s="73"/>
      <c r="Z5929" s="73"/>
      <c r="AA5929" s="73"/>
      <c r="AB5929" s="73"/>
    </row>
    <row r="5930">
      <c r="A5930" s="73"/>
      <c r="B5930" s="73">
        <v>6.726060449E7</v>
      </c>
      <c r="C5930" s="73">
        <v>5.8282402351524E9</v>
      </c>
      <c r="D5930" s="73">
        <v>8.24399204377872E9</v>
      </c>
      <c r="E5930" s="73"/>
      <c r="F5930" s="73"/>
      <c r="G5930" s="73"/>
      <c r="H5930" s="73"/>
      <c r="I5930" s="73"/>
      <c r="J5930" s="73"/>
      <c r="K5930" s="73"/>
      <c r="L5930" s="73"/>
      <c r="M5930" s="73"/>
      <c r="N5930" s="73"/>
      <c r="O5930" s="73"/>
      <c r="P5930" s="73"/>
      <c r="Q5930" s="73"/>
      <c r="R5930" s="73"/>
      <c r="S5930" s="73"/>
      <c r="T5930" s="73"/>
      <c r="U5930" s="73"/>
      <c r="V5930" s="73"/>
      <c r="W5930" s="73"/>
      <c r="X5930" s="73"/>
      <c r="Y5930" s="73"/>
      <c r="Z5930" s="73"/>
      <c r="AA5930" s="73"/>
      <c r="AB5930" s="73"/>
    </row>
    <row r="5931">
      <c r="A5931" s="73"/>
      <c r="B5931" s="73">
        <v>6.731321564E7</v>
      </c>
      <c r="C5931" s="73">
        <v>5.83966129722569E9</v>
      </c>
      <c r="D5931" s="73">
        <v>8.26810554653358E9</v>
      </c>
      <c r="E5931" s="73"/>
      <c r="F5931" s="73"/>
      <c r="G5931" s="73"/>
      <c r="H5931" s="73"/>
      <c r="I5931" s="73"/>
      <c r="J5931" s="73"/>
      <c r="K5931" s="73"/>
      <c r="L5931" s="73"/>
      <c r="M5931" s="73"/>
      <c r="N5931" s="73"/>
      <c r="O5931" s="73"/>
      <c r="P5931" s="73"/>
      <c r="Q5931" s="73"/>
      <c r="R5931" s="73"/>
      <c r="S5931" s="73"/>
      <c r="T5931" s="73"/>
      <c r="U5931" s="73"/>
      <c r="V5931" s="73"/>
      <c r="W5931" s="73"/>
      <c r="X5931" s="73"/>
      <c r="Y5931" s="73"/>
      <c r="Z5931" s="73"/>
      <c r="AA5931" s="73"/>
      <c r="AB5931" s="73"/>
    </row>
    <row r="5932">
      <c r="A5932" s="73"/>
      <c r="B5932" s="73">
        <v>6.736584818E7</v>
      </c>
      <c r="C5932" s="73">
        <v>5.85110390515635E9</v>
      </c>
      <c r="D5932" s="73">
        <v>8.2922873457388E9</v>
      </c>
      <c r="E5932" s="73"/>
      <c r="F5932" s="73"/>
      <c r="G5932" s="73"/>
      <c r="H5932" s="73"/>
      <c r="I5932" s="73"/>
      <c r="J5932" s="73"/>
      <c r="K5932" s="73"/>
      <c r="L5932" s="73"/>
      <c r="M5932" s="73"/>
      <c r="N5932" s="73"/>
      <c r="O5932" s="73"/>
      <c r="P5932" s="73"/>
      <c r="Q5932" s="73"/>
      <c r="R5932" s="73"/>
      <c r="S5932" s="73"/>
      <c r="T5932" s="73"/>
      <c r="U5932" s="73"/>
      <c r="V5932" s="73"/>
      <c r="W5932" s="73"/>
      <c r="X5932" s="73"/>
      <c r="Y5932" s="73"/>
      <c r="Z5932" s="73"/>
      <c r="AA5932" s="73"/>
      <c r="AB5932" s="73"/>
    </row>
    <row r="5933">
      <c r="A5933" s="73"/>
      <c r="B5933" s="73">
        <v>6.741850856E7</v>
      </c>
      <c r="C5933" s="73">
        <v>5.86256946585143E9</v>
      </c>
      <c r="D5933" s="73">
        <v>8.31654074022692E9</v>
      </c>
      <c r="E5933" s="73"/>
      <c r="F5933" s="73"/>
      <c r="G5933" s="73"/>
      <c r="H5933" s="73"/>
      <c r="I5933" s="73"/>
      <c r="J5933" s="73"/>
      <c r="K5933" s="73"/>
      <c r="L5933" s="73"/>
      <c r="M5933" s="73"/>
      <c r="N5933" s="73"/>
      <c r="O5933" s="73"/>
      <c r="P5933" s="73"/>
      <c r="Q5933" s="73"/>
      <c r="R5933" s="73"/>
      <c r="S5933" s="73"/>
      <c r="T5933" s="73"/>
      <c r="U5933" s="73"/>
      <c r="V5933" s="73"/>
      <c r="W5933" s="73"/>
      <c r="X5933" s="73"/>
      <c r="Y5933" s="73"/>
      <c r="Z5933" s="73"/>
      <c r="AA5933" s="73"/>
      <c r="AB5933" s="73"/>
    </row>
    <row r="5934">
      <c r="A5934" s="73"/>
      <c r="B5934" s="73">
        <v>6.747119505E7</v>
      </c>
      <c r="C5934" s="73">
        <v>5.87405677732208E9</v>
      </c>
      <c r="D5934" s="73">
        <v>8.34086336003915E9</v>
      </c>
      <c r="E5934" s="73"/>
      <c r="F5934" s="73"/>
      <c r="G5934" s="73"/>
      <c r="H5934" s="73"/>
      <c r="I5934" s="73"/>
      <c r="J5934" s="73"/>
      <c r="K5934" s="73"/>
      <c r="L5934" s="73"/>
      <c r="M5934" s="73"/>
      <c r="N5934" s="73"/>
      <c r="O5934" s="73"/>
      <c r="P5934" s="73"/>
      <c r="Q5934" s="73"/>
      <c r="R5934" s="73"/>
      <c r="S5934" s="73"/>
      <c r="T5934" s="73"/>
      <c r="U5934" s="73"/>
      <c r="V5934" s="73"/>
      <c r="W5934" s="73"/>
      <c r="X5934" s="73"/>
      <c r="Y5934" s="73"/>
      <c r="Z5934" s="73"/>
      <c r="AA5934" s="73"/>
      <c r="AB5934" s="73"/>
    </row>
    <row r="5935">
      <c r="A5935" s="73"/>
      <c r="B5935" s="73">
        <v>6.752390854E7</v>
      </c>
      <c r="C5935" s="73">
        <v>5.88556639388557E9</v>
      </c>
      <c r="D5935" s="73">
        <v>8.36525622466872E9</v>
      </c>
      <c r="E5935" s="73"/>
      <c r="F5935" s="73"/>
      <c r="G5935" s="73"/>
      <c r="H5935" s="73"/>
      <c r="I5935" s="73"/>
      <c r="J5935" s="73"/>
      <c r="K5935" s="73"/>
      <c r="L5935" s="73"/>
      <c r="M5935" s="73"/>
      <c r="N5935" s="73"/>
      <c r="O5935" s="73"/>
      <c r="P5935" s="73"/>
      <c r="Q5935" s="73"/>
      <c r="R5935" s="73"/>
      <c r="S5935" s="73"/>
      <c r="T5935" s="73"/>
      <c r="U5935" s="73"/>
      <c r="V5935" s="73"/>
      <c r="W5935" s="73"/>
      <c r="X5935" s="73"/>
      <c r="Y5935" s="73"/>
      <c r="Z5935" s="73"/>
      <c r="AA5935" s="73"/>
      <c r="AB5935" s="73"/>
    </row>
    <row r="5936">
      <c r="A5936" s="73"/>
      <c r="B5936" s="73">
        <v>6.757664533E7</v>
      </c>
      <c r="C5936" s="73">
        <v>5.89709780383686E9</v>
      </c>
      <c r="D5936" s="73">
        <v>8.38971932860991E9</v>
      </c>
      <c r="E5936" s="73"/>
      <c r="F5936" s="73"/>
      <c r="G5936" s="73"/>
      <c r="H5936" s="73"/>
      <c r="I5936" s="73"/>
      <c r="J5936" s="73"/>
      <c r="K5936" s="73"/>
      <c r="L5936" s="73"/>
      <c r="M5936" s="73"/>
      <c r="N5936" s="73"/>
      <c r="O5936" s="73"/>
      <c r="P5936" s="73"/>
      <c r="Q5936" s="73"/>
      <c r="R5936" s="73"/>
      <c r="S5936" s="73"/>
      <c r="T5936" s="73"/>
      <c r="U5936" s="73"/>
      <c r="V5936" s="73"/>
      <c r="W5936" s="73"/>
      <c r="X5936" s="73"/>
      <c r="Y5936" s="73"/>
      <c r="Z5936" s="73"/>
      <c r="AA5936" s="73"/>
      <c r="AB5936" s="73"/>
    </row>
    <row r="5937">
      <c r="A5937" s="73"/>
      <c r="B5937" s="73">
        <v>6.762940961E7</v>
      </c>
      <c r="C5937" s="73">
        <v>5.90865156311377E9</v>
      </c>
      <c r="D5937" s="73">
        <v>8.41425362028821E9</v>
      </c>
      <c r="E5937" s="73"/>
      <c r="F5937" s="73"/>
      <c r="G5937" s="73"/>
      <c r="H5937" s="73"/>
      <c r="I5937" s="73"/>
      <c r="J5937" s="73"/>
      <c r="K5937" s="73"/>
      <c r="L5937" s="73"/>
      <c r="M5937" s="73"/>
      <c r="N5937" s="73"/>
      <c r="O5937" s="73"/>
      <c r="P5937" s="73"/>
      <c r="Q5937" s="73"/>
      <c r="R5937" s="73"/>
      <c r="S5937" s="73"/>
      <c r="T5937" s="73"/>
      <c r="U5937" s="73"/>
      <c r="V5937" s="73"/>
      <c r="W5937" s="73"/>
      <c r="X5937" s="73"/>
      <c r="Y5937" s="73"/>
      <c r="Z5937" s="73"/>
      <c r="AA5937" s="73"/>
      <c r="AB5937" s="73"/>
    </row>
    <row r="5938">
      <c r="A5938" s="73"/>
      <c r="B5938" s="73">
        <v>6.768219843E7</v>
      </c>
      <c r="C5938" s="73">
        <v>5.9202273162934E9</v>
      </c>
      <c r="D5938" s="73">
        <v>8.43885832421817E9</v>
      </c>
      <c r="E5938" s="73"/>
      <c r="F5938" s="73"/>
      <c r="G5938" s="73"/>
      <c r="H5938" s="73"/>
      <c r="I5938" s="73"/>
      <c r="J5938" s="73"/>
      <c r="K5938" s="73"/>
      <c r="L5938" s="73"/>
      <c r="M5938" s="73"/>
      <c r="N5938" s="73"/>
      <c r="O5938" s="73"/>
      <c r="P5938" s="73"/>
      <c r="Q5938" s="73"/>
      <c r="R5938" s="73"/>
      <c r="S5938" s="73"/>
      <c r="T5938" s="73"/>
      <c r="U5938" s="73"/>
      <c r="V5938" s="73"/>
      <c r="W5938" s="73"/>
      <c r="X5938" s="73"/>
      <c r="Y5938" s="73"/>
      <c r="Z5938" s="73"/>
      <c r="AA5938" s="73"/>
      <c r="AB5938" s="73"/>
    </row>
    <row r="5939">
      <c r="A5939" s="73"/>
      <c r="B5939" s="73">
        <v>6.773501182E7</v>
      </c>
      <c r="C5939" s="73">
        <v>5.93182530472862E9</v>
      </c>
      <c r="D5939" s="73">
        <v>8.46353438382012E9</v>
      </c>
      <c r="E5939" s="73"/>
      <c r="F5939" s="73"/>
      <c r="G5939" s="73"/>
      <c r="H5939" s="73"/>
      <c r="I5939" s="73"/>
      <c r="J5939" s="73"/>
      <c r="K5939" s="73"/>
      <c r="L5939" s="73"/>
      <c r="M5939" s="73"/>
      <c r="N5939" s="73"/>
      <c r="O5939" s="73"/>
      <c r="P5939" s="73"/>
      <c r="Q5939" s="73"/>
      <c r="R5939" s="73"/>
      <c r="S5939" s="73"/>
      <c r="T5939" s="73"/>
      <c r="U5939" s="73"/>
      <c r="V5939" s="73"/>
      <c r="W5939" s="73"/>
      <c r="X5939" s="73"/>
      <c r="Y5939" s="73"/>
      <c r="Z5939" s="73"/>
      <c r="AA5939" s="73"/>
      <c r="AB5939" s="73"/>
    </row>
    <row r="5940">
      <c r="A5940" s="73"/>
      <c r="B5940" s="73">
        <v>6.778785347E7</v>
      </c>
      <c r="C5940" s="73">
        <v>5.94344640444765E9</v>
      </c>
      <c r="D5940" s="73">
        <v>8.48828188325613E9</v>
      </c>
      <c r="E5940" s="73"/>
      <c r="F5940" s="73"/>
      <c r="G5940" s="73"/>
      <c r="H5940" s="73"/>
      <c r="I5940" s="73"/>
      <c r="J5940" s="73"/>
      <c r="K5940" s="73"/>
      <c r="L5940" s="73"/>
      <c r="M5940" s="73"/>
      <c r="N5940" s="73"/>
      <c r="O5940" s="73"/>
      <c r="P5940" s="73"/>
      <c r="Q5940" s="73"/>
      <c r="R5940" s="73"/>
      <c r="S5940" s="73"/>
      <c r="T5940" s="73"/>
      <c r="U5940" s="73"/>
      <c r="V5940" s="73"/>
      <c r="W5940" s="73"/>
      <c r="X5940" s="73"/>
      <c r="Y5940" s="73"/>
      <c r="Z5940" s="73"/>
      <c r="AA5940" s="73"/>
      <c r="AB5940" s="73"/>
    </row>
    <row r="5941">
      <c r="A5941" s="73"/>
      <c r="B5941" s="73">
        <v>6.784072E7</v>
      </c>
      <c r="C5941" s="73">
        <v>5.95508886706737E9</v>
      </c>
      <c r="D5941" s="73">
        <v>8.51310177711418E9</v>
      </c>
      <c r="E5941" s="73"/>
      <c r="F5941" s="73"/>
      <c r="G5941" s="73"/>
      <c r="H5941" s="73"/>
      <c r="I5941" s="73"/>
      <c r="J5941" s="73"/>
      <c r="K5941" s="73"/>
      <c r="L5941" s="73"/>
      <c r="M5941" s="73"/>
      <c r="N5941" s="73"/>
      <c r="O5941" s="73"/>
      <c r="P5941" s="73"/>
      <c r="Q5941" s="73"/>
      <c r="R5941" s="73"/>
      <c r="S5941" s="73"/>
      <c r="T5941" s="73"/>
      <c r="U5941" s="73"/>
      <c r="V5941" s="73"/>
      <c r="W5941" s="73"/>
      <c r="X5941" s="73"/>
      <c r="Y5941" s="73"/>
      <c r="Z5941" s="73"/>
      <c r="AA5941" s="73"/>
      <c r="AB5941" s="73"/>
    </row>
    <row r="5942">
      <c r="A5942" s="73"/>
      <c r="B5942" s="73">
        <v>6.789361236E7</v>
      </c>
      <c r="C5942" s="73">
        <v>5.96675378962217E9</v>
      </c>
      <c r="D5942" s="73">
        <v>8.537992428772E9</v>
      </c>
      <c r="E5942" s="73"/>
      <c r="F5942" s="73"/>
      <c r="G5942" s="73"/>
      <c r="H5942" s="73"/>
      <c r="I5942" s="73"/>
      <c r="J5942" s="73"/>
      <c r="K5942" s="73"/>
      <c r="L5942" s="73"/>
      <c r="M5942" s="73"/>
      <c r="N5942" s="73"/>
      <c r="O5942" s="73"/>
      <c r="P5942" s="73"/>
      <c r="Q5942" s="73"/>
      <c r="R5942" s="73"/>
      <c r="S5942" s="73"/>
      <c r="T5942" s="73"/>
      <c r="U5942" s="73"/>
      <c r="V5942" s="73"/>
      <c r="W5942" s="73"/>
      <c r="X5942" s="73"/>
      <c r="Y5942" s="73"/>
      <c r="Z5942" s="73"/>
      <c r="AA5942" s="73"/>
      <c r="AB5942" s="73"/>
    </row>
    <row r="5943">
      <c r="A5943" s="73"/>
      <c r="B5943" s="73">
        <v>6.794653164E7</v>
      </c>
      <c r="C5943" s="73">
        <v>5.97844065485453E9</v>
      </c>
      <c r="D5943" s="73">
        <v>8.56295564220887E9</v>
      </c>
      <c r="E5943" s="73"/>
      <c r="F5943" s="73"/>
      <c r="G5943" s="73"/>
      <c r="H5943" s="73"/>
      <c r="I5943" s="73"/>
      <c r="J5943" s="73"/>
      <c r="K5943" s="73"/>
      <c r="L5943" s="73"/>
      <c r="M5943" s="73"/>
      <c r="N5943" s="73"/>
      <c r="O5943" s="73"/>
      <c r="P5943" s="73"/>
      <c r="Q5943" s="73"/>
      <c r="R5943" s="73"/>
      <c r="S5943" s="73"/>
      <c r="T5943" s="73"/>
      <c r="U5943" s="73"/>
      <c r="V5943" s="73"/>
      <c r="W5943" s="73"/>
      <c r="X5943" s="73"/>
      <c r="Y5943" s="73"/>
      <c r="Z5943" s="73"/>
      <c r="AA5943" s="73"/>
      <c r="AB5943" s="73"/>
    </row>
    <row r="5944">
      <c r="A5944" s="73"/>
      <c r="B5944" s="73">
        <v>6.799947315E7</v>
      </c>
      <c r="C5944" s="73">
        <v>5.99015072040423E9</v>
      </c>
      <c r="D5944" s="73">
        <v>8.58799150311081E9</v>
      </c>
      <c r="E5944" s="73"/>
      <c r="F5944" s="73"/>
      <c r="G5944" s="73"/>
      <c r="H5944" s="73"/>
      <c r="I5944" s="73"/>
      <c r="J5944" s="73"/>
      <c r="K5944" s="73"/>
      <c r="L5944" s="73"/>
      <c r="M5944" s="73"/>
      <c r="N5944" s="73"/>
      <c r="O5944" s="73"/>
      <c r="P5944" s="73"/>
      <c r="Q5944" s="73"/>
      <c r="R5944" s="73"/>
      <c r="S5944" s="73"/>
      <c r="T5944" s="73"/>
      <c r="U5944" s="73"/>
      <c r="V5944" s="73"/>
      <c r="W5944" s="73"/>
      <c r="X5944" s="73"/>
      <c r="Y5944" s="73"/>
      <c r="Z5944" s="73"/>
      <c r="AA5944" s="73"/>
      <c r="AB5944" s="73"/>
    </row>
    <row r="5945">
      <c r="A5945" s="73"/>
      <c r="B5945" s="73">
        <v>6.805244526E7</v>
      </c>
      <c r="C5945" s="73">
        <v>6.00188277206073E9</v>
      </c>
      <c r="D5945" s="73">
        <v>8.61309847068128E9</v>
      </c>
      <c r="E5945" s="73"/>
      <c r="F5945" s="73"/>
      <c r="G5945" s="73"/>
      <c r="H5945" s="73"/>
      <c r="I5945" s="73"/>
      <c r="J5945" s="73"/>
      <c r="K5945" s="73"/>
      <c r="L5945" s="73"/>
      <c r="M5945" s="73"/>
      <c r="N5945" s="73"/>
      <c r="O5945" s="73"/>
      <c r="P5945" s="73"/>
      <c r="Q5945" s="73"/>
      <c r="R5945" s="73"/>
      <c r="S5945" s="73"/>
      <c r="T5945" s="73"/>
      <c r="U5945" s="73"/>
      <c r="V5945" s="73"/>
      <c r="W5945" s="73"/>
      <c r="X5945" s="73"/>
      <c r="Y5945" s="73"/>
      <c r="Z5945" s="73"/>
      <c r="AA5945" s="73"/>
      <c r="AB5945" s="73"/>
    </row>
    <row r="5946">
      <c r="A5946" s="73"/>
      <c r="B5946" s="73">
        <v>6.810543947E7</v>
      </c>
      <c r="C5946" s="73">
        <v>6.01363737311281E9</v>
      </c>
      <c r="D5946" s="73">
        <v>8.63827739942437E9</v>
      </c>
      <c r="E5946" s="73"/>
      <c r="F5946" s="73"/>
      <c r="G5946" s="73"/>
      <c r="H5946" s="73"/>
      <c r="I5946" s="73"/>
      <c r="J5946" s="73"/>
      <c r="K5946" s="73"/>
      <c r="L5946" s="73"/>
      <c r="M5946" s="73"/>
      <c r="N5946" s="73"/>
      <c r="O5946" s="73"/>
      <c r="P5946" s="73"/>
      <c r="Q5946" s="73"/>
      <c r="R5946" s="73"/>
      <c r="S5946" s="73"/>
      <c r="T5946" s="73"/>
      <c r="U5946" s="73"/>
      <c r="V5946" s="73"/>
      <c r="W5946" s="73"/>
      <c r="X5946" s="73"/>
      <c r="Y5946" s="73"/>
      <c r="Z5946" s="73"/>
      <c r="AA5946" s="73"/>
      <c r="AB5946" s="73"/>
    </row>
    <row r="5947">
      <c r="A5947" s="73"/>
      <c r="B5947" s="73">
        <v>6.815845961E7</v>
      </c>
      <c r="C5947" s="73">
        <v>6.02541470005459E9</v>
      </c>
      <c r="D5947" s="73">
        <v>8.66353088773331E9</v>
      </c>
      <c r="E5947" s="73"/>
      <c r="F5947" s="73"/>
      <c r="G5947" s="73"/>
      <c r="H5947" s="73"/>
      <c r="I5947" s="73"/>
      <c r="J5947" s="73"/>
      <c r="K5947" s="73"/>
      <c r="L5947" s="73"/>
      <c r="M5947" s="73"/>
      <c r="N5947" s="73"/>
      <c r="O5947" s="73"/>
      <c r="P5947" s="73"/>
      <c r="Q5947" s="73"/>
      <c r="R5947" s="73"/>
      <c r="S5947" s="73"/>
      <c r="T5947" s="73"/>
      <c r="U5947" s="73"/>
      <c r="V5947" s="73"/>
      <c r="W5947" s="73"/>
      <c r="X5947" s="73"/>
      <c r="Y5947" s="73"/>
      <c r="Z5947" s="73"/>
      <c r="AA5947" s="73"/>
      <c r="AB5947" s="73"/>
    </row>
    <row r="5948">
      <c r="A5948" s="73"/>
      <c r="B5948" s="73">
        <v>6.821150777E7</v>
      </c>
      <c r="C5948" s="73">
        <v>6.03721462151002E9</v>
      </c>
      <c r="D5948" s="73">
        <v>8.68885738828918E9</v>
      </c>
      <c r="E5948" s="73"/>
      <c r="F5948" s="73"/>
      <c r="G5948" s="73"/>
      <c r="H5948" s="73"/>
      <c r="I5948" s="73"/>
      <c r="J5948" s="73"/>
      <c r="K5948" s="73"/>
      <c r="L5948" s="73"/>
      <c r="M5948" s="73"/>
      <c r="N5948" s="73"/>
      <c r="O5948" s="73"/>
      <c r="P5948" s="73"/>
      <c r="Q5948" s="73"/>
      <c r="R5948" s="73"/>
      <c r="S5948" s="73"/>
      <c r="T5948" s="73"/>
      <c r="U5948" s="73"/>
      <c r="V5948" s="73"/>
      <c r="W5948" s="73"/>
      <c r="X5948" s="73"/>
      <c r="Y5948" s="73"/>
      <c r="Z5948" s="73"/>
      <c r="AA5948" s="73"/>
      <c r="AB5948" s="73"/>
    </row>
    <row r="5949">
      <c r="A5949" s="73"/>
      <c r="B5949" s="73">
        <v>6.826457782E7</v>
      </c>
      <c r="C5949" s="73">
        <v>6.04903731300496E9</v>
      </c>
      <c r="D5949" s="73">
        <v>8.71425532438718E9</v>
      </c>
      <c r="E5949" s="73"/>
      <c r="F5949" s="73"/>
      <c r="G5949" s="73"/>
      <c r="H5949" s="73"/>
      <c r="I5949" s="73"/>
      <c r="J5949" s="73"/>
      <c r="K5949" s="73"/>
      <c r="L5949" s="73"/>
      <c r="M5949" s="73"/>
      <c r="N5949" s="73"/>
      <c r="O5949" s="73"/>
      <c r="P5949" s="73"/>
      <c r="Q5949" s="73"/>
      <c r="R5949" s="73"/>
      <c r="S5949" s="73"/>
      <c r="T5949" s="73"/>
      <c r="U5949" s="73"/>
      <c r="V5949" s="73"/>
      <c r="W5949" s="73"/>
      <c r="X5949" s="73"/>
      <c r="Y5949" s="73"/>
      <c r="Z5949" s="73"/>
      <c r="AA5949" s="73"/>
      <c r="AB5949" s="73"/>
    </row>
    <row r="5950">
      <c r="A5950" s="73"/>
      <c r="B5950" s="73">
        <v>6.831767761E7</v>
      </c>
      <c r="C5950" s="73">
        <v>6.06088264417801E9</v>
      </c>
      <c r="D5950" s="73">
        <v>8.73972816460944E9</v>
      </c>
      <c r="E5950" s="73"/>
      <c r="F5950" s="73"/>
      <c r="G5950" s="73"/>
      <c r="H5950" s="73"/>
      <c r="I5950" s="73"/>
      <c r="J5950" s="73"/>
      <c r="K5950" s="73"/>
      <c r="L5950" s="73"/>
      <c r="M5950" s="73"/>
      <c r="N5950" s="73"/>
      <c r="O5950" s="73"/>
      <c r="P5950" s="73"/>
      <c r="Q5950" s="73"/>
      <c r="R5950" s="73"/>
      <c r="S5950" s="73"/>
      <c r="T5950" s="73"/>
      <c r="U5950" s="73"/>
      <c r="V5950" s="73"/>
      <c r="W5950" s="73"/>
      <c r="X5950" s="73"/>
      <c r="Y5950" s="73"/>
      <c r="Z5950" s="73"/>
      <c r="AA5950" s="73"/>
      <c r="AB5950" s="73"/>
    </row>
    <row r="5951">
      <c r="A5951" s="73"/>
      <c r="B5951" s="73">
        <v>6.83708004E7</v>
      </c>
      <c r="C5951" s="73">
        <v>6.07275078958224E9</v>
      </c>
      <c r="D5951" s="73">
        <v>8.7652742767446E9</v>
      </c>
      <c r="E5951" s="73"/>
      <c r="F5951" s="73"/>
      <c r="G5951" s="73"/>
      <c r="H5951" s="73"/>
      <c r="I5951" s="73"/>
      <c r="J5951" s="73"/>
      <c r="K5951" s="73"/>
      <c r="L5951" s="73"/>
      <c r="M5951" s="73"/>
      <c r="N5951" s="73"/>
      <c r="O5951" s="73"/>
      <c r="P5951" s="73"/>
      <c r="Q5951" s="73"/>
      <c r="R5951" s="73"/>
      <c r="S5951" s="73"/>
      <c r="T5951" s="73"/>
      <c r="U5951" s="73"/>
      <c r="V5951" s="73"/>
      <c r="W5951" s="73"/>
      <c r="X5951" s="73"/>
      <c r="Y5951" s="73"/>
      <c r="Z5951" s="73"/>
      <c r="AA5951" s="73"/>
      <c r="AB5951" s="73"/>
    </row>
    <row r="5952">
      <c r="A5952" s="73"/>
      <c r="B5952" s="73">
        <v>6.842395166E7</v>
      </c>
      <c r="C5952" s="73">
        <v>6.08464161987546E9</v>
      </c>
      <c r="D5952" s="73">
        <v>8.79089375027011E9</v>
      </c>
      <c r="E5952" s="73"/>
      <c r="F5952" s="73"/>
      <c r="G5952" s="73"/>
      <c r="H5952" s="73"/>
      <c r="I5952" s="73"/>
      <c r="J5952" s="73"/>
      <c r="K5952" s="73"/>
      <c r="L5952" s="73"/>
      <c r="M5952" s="73"/>
      <c r="N5952" s="73"/>
      <c r="O5952" s="73"/>
      <c r="P5952" s="73"/>
      <c r="Q5952" s="73"/>
      <c r="R5952" s="73"/>
      <c r="S5952" s="73"/>
      <c r="T5952" s="73"/>
      <c r="U5952" s="73"/>
      <c r="V5952" s="73"/>
      <c r="W5952" s="73"/>
      <c r="X5952" s="73"/>
      <c r="Y5952" s="73"/>
      <c r="Z5952" s="73"/>
      <c r="AA5952" s="73"/>
      <c r="AB5952" s="73"/>
    </row>
    <row r="5953">
      <c r="A5953" s="73"/>
      <c r="B5953" s="73">
        <v>6.847712568E7</v>
      </c>
      <c r="C5953" s="73">
        <v>6.09655460976829E9</v>
      </c>
      <c r="D5953" s="73">
        <v>8.81658833847686E9</v>
      </c>
      <c r="E5953" s="73"/>
      <c r="F5953" s="73"/>
      <c r="G5953" s="73"/>
      <c r="H5953" s="73"/>
      <c r="I5953" s="73"/>
      <c r="J5953" s="73"/>
      <c r="K5953" s="73"/>
      <c r="L5953" s="73"/>
      <c r="M5953" s="73"/>
      <c r="N5953" s="73"/>
      <c r="O5953" s="73"/>
      <c r="P5953" s="73"/>
      <c r="Q5953" s="73"/>
      <c r="R5953" s="73"/>
      <c r="S5953" s="73"/>
      <c r="T5953" s="73"/>
      <c r="U5953" s="73"/>
      <c r="V5953" s="73"/>
      <c r="W5953" s="73"/>
      <c r="X5953" s="73"/>
      <c r="Y5953" s="73"/>
      <c r="Z5953" s="73"/>
      <c r="AA5953" s="73"/>
      <c r="AB5953" s="73"/>
    </row>
    <row r="5954">
      <c r="A5954" s="73"/>
      <c r="B5954" s="73">
        <v>6.853032857E7</v>
      </c>
      <c r="C5954" s="73">
        <v>6.10849117830109E9</v>
      </c>
      <c r="D5954" s="73">
        <v>8.84235572121971E9</v>
      </c>
      <c r="E5954" s="73"/>
      <c r="F5954" s="73"/>
      <c r="G5954" s="73"/>
      <c r="H5954" s="73"/>
      <c r="I5954" s="73"/>
      <c r="J5954" s="73"/>
      <c r="K5954" s="73"/>
      <c r="L5954" s="73"/>
      <c r="M5954" s="73"/>
      <c r="N5954" s="73"/>
      <c r="O5954" s="73"/>
      <c r="P5954" s="73"/>
      <c r="Q5954" s="73"/>
      <c r="R5954" s="73"/>
      <c r="S5954" s="73"/>
      <c r="T5954" s="73"/>
      <c r="U5954" s="73"/>
      <c r="V5954" s="73"/>
      <c r="W5954" s="73"/>
      <c r="X5954" s="73"/>
      <c r="Y5954" s="73"/>
      <c r="Z5954" s="73"/>
      <c r="AA5954" s="73"/>
      <c r="AB5954" s="73"/>
    </row>
    <row r="5955">
      <c r="A5955" s="73"/>
      <c r="B5955" s="73">
        <v>6.85835549E7</v>
      </c>
      <c r="C5955" s="73">
        <v>6.12045104918189E9</v>
      </c>
      <c r="D5955" s="73">
        <v>8.86819840056072E9</v>
      </c>
      <c r="E5955" s="73"/>
      <c r="F5955" s="73"/>
      <c r="G5955" s="73"/>
      <c r="H5955" s="73"/>
      <c r="I5955" s="73"/>
      <c r="J5955" s="73"/>
      <c r="K5955" s="73"/>
      <c r="L5955" s="73"/>
      <c r="M5955" s="73"/>
      <c r="N5955" s="73"/>
      <c r="O5955" s="73"/>
      <c r="P5955" s="73"/>
      <c r="Q5955" s="73"/>
      <c r="R5955" s="73"/>
      <c r="S5955" s="73"/>
      <c r="T5955" s="73"/>
      <c r="U5955" s="73"/>
      <c r="V5955" s="73"/>
      <c r="W5955" s="73"/>
      <c r="X5955" s="73"/>
      <c r="Y5955" s="73"/>
      <c r="Z5955" s="73"/>
      <c r="AA5955" s="73"/>
      <c r="AB5955" s="73"/>
    </row>
    <row r="5956">
      <c r="A5956" s="73"/>
      <c r="B5956" s="73">
        <v>6.863681013E7</v>
      </c>
      <c r="C5956" s="73">
        <v>6.13243314627611E9</v>
      </c>
      <c r="D5956" s="73">
        <v>8.89411566689507E9</v>
      </c>
      <c r="E5956" s="73"/>
      <c r="F5956" s="73"/>
      <c r="G5956" s="73"/>
      <c r="H5956" s="73"/>
      <c r="I5956" s="73"/>
      <c r="J5956" s="73"/>
      <c r="K5956" s="73"/>
      <c r="L5956" s="73"/>
      <c r="M5956" s="73"/>
      <c r="N5956" s="73"/>
      <c r="O5956" s="73"/>
      <c r="P5956" s="73"/>
      <c r="Q5956" s="73"/>
      <c r="R5956" s="73"/>
      <c r="S5956" s="73"/>
      <c r="T5956" s="73"/>
      <c r="U5956" s="73"/>
      <c r="V5956" s="73"/>
      <c r="W5956" s="73"/>
      <c r="X5956" s="73"/>
      <c r="Y5956" s="73"/>
      <c r="Z5956" s="73"/>
      <c r="AA5956" s="73"/>
      <c r="AB5956" s="73"/>
    </row>
    <row r="5957">
      <c r="A5957" s="73"/>
      <c r="B5957" s="73">
        <v>6.869008761E7</v>
      </c>
      <c r="C5957" s="73">
        <v>6.14443889057154E9</v>
      </c>
      <c r="D5957" s="73">
        <v>8.92010760218491E9</v>
      </c>
      <c r="E5957" s="73"/>
      <c r="F5957" s="73"/>
      <c r="G5957" s="73"/>
      <c r="H5957" s="73"/>
      <c r="I5957" s="73"/>
      <c r="J5957" s="73"/>
      <c r="K5957" s="73"/>
      <c r="L5957" s="73"/>
      <c r="M5957" s="73"/>
      <c r="N5957" s="73"/>
      <c r="O5957" s="73"/>
      <c r="P5957" s="73"/>
      <c r="Q5957" s="73"/>
      <c r="R5957" s="73"/>
      <c r="S5957" s="73"/>
      <c r="T5957" s="73"/>
      <c r="U5957" s="73"/>
      <c r="V5957" s="73"/>
      <c r="W5957" s="73"/>
      <c r="X5957" s="73"/>
      <c r="Y5957" s="73"/>
      <c r="Z5957" s="73"/>
      <c r="AA5957" s="73"/>
      <c r="AB5957" s="73"/>
    </row>
    <row r="5958">
      <c r="A5958" s="73"/>
      <c r="B5958" s="73">
        <v>6.874339323E7</v>
      </c>
      <c r="C5958" s="73">
        <v>6.15646690376742E9</v>
      </c>
      <c r="D5958" s="73">
        <v>8.94617517272056E9</v>
      </c>
      <c r="E5958" s="73"/>
      <c r="F5958" s="73"/>
      <c r="G5958" s="73"/>
      <c r="H5958" s="73"/>
      <c r="I5958" s="73"/>
      <c r="J5958" s="73"/>
      <c r="K5958" s="73"/>
      <c r="L5958" s="73"/>
      <c r="M5958" s="73"/>
      <c r="N5958" s="73"/>
      <c r="O5958" s="73"/>
      <c r="P5958" s="73"/>
      <c r="Q5958" s="73"/>
      <c r="R5958" s="73"/>
      <c r="S5958" s="73"/>
      <c r="T5958" s="73"/>
      <c r="U5958" s="73"/>
      <c r="V5958" s="73"/>
      <c r="W5958" s="73"/>
      <c r="X5958" s="73"/>
      <c r="Y5958" s="73"/>
      <c r="Z5958" s="73"/>
      <c r="AA5958" s="73"/>
      <c r="AB5958" s="73"/>
    </row>
    <row r="5959">
      <c r="A5959" s="73"/>
      <c r="B5959" s="73">
        <v>6.879672186E7</v>
      </c>
      <c r="C5959" s="73">
        <v>6.16851901409861E9</v>
      </c>
      <c r="D5959" s="73">
        <v>8.97231764900217E9</v>
      </c>
      <c r="E5959" s="73"/>
      <c r="F5959" s="73"/>
      <c r="G5959" s="73"/>
      <c r="H5959" s="73"/>
      <c r="I5959" s="73"/>
      <c r="J5959" s="73"/>
      <c r="K5959" s="73"/>
      <c r="L5959" s="73"/>
      <c r="M5959" s="73"/>
      <c r="N5959" s="73"/>
      <c r="O5959" s="73"/>
      <c r="P5959" s="73"/>
      <c r="Q5959" s="73"/>
      <c r="R5959" s="73"/>
      <c r="S5959" s="73"/>
      <c r="T5959" s="73"/>
      <c r="U5959" s="73"/>
      <c r="V5959" s="73"/>
      <c r="W5959" s="73"/>
      <c r="X5959" s="73"/>
      <c r="Y5959" s="73"/>
      <c r="Z5959" s="73"/>
      <c r="AA5959" s="73"/>
      <c r="AB5959" s="73"/>
    </row>
    <row r="5960">
      <c r="A5960" s="73"/>
      <c r="B5960" s="73">
        <v>6.885007863E7</v>
      </c>
      <c r="C5960" s="73">
        <v>6.18059233033093E9</v>
      </c>
      <c r="D5960" s="73">
        <v>8.99853588914766E9</v>
      </c>
      <c r="E5960" s="73"/>
      <c r="F5960" s="73"/>
      <c r="G5960" s="73"/>
      <c r="H5960" s="73"/>
      <c r="I5960" s="73"/>
      <c r="J5960" s="73"/>
      <c r="K5960" s="73"/>
      <c r="L5960" s="73"/>
      <c r="M5960" s="73"/>
      <c r="N5960" s="73"/>
      <c r="O5960" s="73"/>
      <c r="P5960" s="73"/>
      <c r="Q5960" s="73"/>
      <c r="R5960" s="73"/>
      <c r="S5960" s="73"/>
      <c r="T5960" s="73"/>
      <c r="U5960" s="73"/>
      <c r="V5960" s="73"/>
      <c r="W5960" s="73"/>
      <c r="X5960" s="73"/>
      <c r="Y5960" s="73"/>
      <c r="Z5960" s="73"/>
      <c r="AA5960" s="73"/>
      <c r="AB5960" s="73"/>
    </row>
    <row r="5961">
      <c r="A5961" s="73"/>
      <c r="B5961" s="73">
        <v>6.890346204E7</v>
      </c>
      <c r="C5961" s="73">
        <v>6.1926904911791E9</v>
      </c>
      <c r="D5961" s="73">
        <v>9.02482921262868E9</v>
      </c>
      <c r="E5961" s="73"/>
      <c r="F5961" s="73"/>
      <c r="G5961" s="73"/>
      <c r="H5961" s="73"/>
      <c r="I5961" s="73"/>
      <c r="J5961" s="73"/>
      <c r="K5961" s="73"/>
      <c r="L5961" s="73"/>
      <c r="M5961" s="73"/>
      <c r="N5961" s="73"/>
      <c r="O5961" s="73"/>
      <c r="P5961" s="73"/>
      <c r="Q5961" s="73"/>
      <c r="R5961" s="73"/>
      <c r="S5961" s="73"/>
      <c r="T5961" s="73"/>
      <c r="U5961" s="73"/>
      <c r="V5961" s="73"/>
      <c r="W5961" s="73"/>
      <c r="X5961" s="73"/>
      <c r="Y5961" s="73"/>
      <c r="Z5961" s="73"/>
      <c r="AA5961" s="73"/>
      <c r="AB5961" s="73"/>
    </row>
    <row r="5962">
      <c r="A5962" s="73"/>
      <c r="B5962" s="73">
        <v>6.895686916E7</v>
      </c>
      <c r="C5962" s="73">
        <v>6.20481156494582E9</v>
      </c>
      <c r="D5962" s="73">
        <v>9.05120022248846E9</v>
      </c>
      <c r="E5962" s="73"/>
      <c r="F5962" s="73"/>
      <c r="G5962" s="73"/>
      <c r="H5962" s="73"/>
      <c r="I5962" s="73"/>
      <c r="J5962" s="73"/>
      <c r="K5962" s="73"/>
      <c r="L5962" s="73"/>
      <c r="M5962" s="73"/>
      <c r="N5962" s="73"/>
      <c r="O5962" s="73"/>
      <c r="P5962" s="73"/>
      <c r="Q5962" s="73"/>
      <c r="R5962" s="73"/>
      <c r="S5962" s="73"/>
      <c r="T5962" s="73"/>
      <c r="U5962" s="73"/>
      <c r="V5962" s="73"/>
      <c r="W5962" s="73"/>
      <c r="X5962" s="73"/>
      <c r="Y5962" s="73"/>
      <c r="Z5962" s="73"/>
      <c r="AA5962" s="73"/>
      <c r="AB5962" s="73"/>
    </row>
    <row r="5963">
      <c r="A5963" s="73"/>
      <c r="B5963" s="73">
        <v>6.901030292E7</v>
      </c>
      <c r="C5963" s="73">
        <v>6.21695516355648E9</v>
      </c>
      <c r="D5963" s="73">
        <v>9.07764563338301E9</v>
      </c>
      <c r="E5963" s="73"/>
      <c r="F5963" s="73"/>
      <c r="G5963" s="73"/>
      <c r="H5963" s="73"/>
      <c r="I5963" s="73"/>
      <c r="J5963" s="73"/>
      <c r="K5963" s="73"/>
      <c r="L5963" s="73"/>
      <c r="M5963" s="73"/>
      <c r="N5963" s="73"/>
      <c r="O5963" s="73"/>
      <c r="P5963" s="73"/>
      <c r="Q5963" s="73"/>
      <c r="R5963" s="73"/>
      <c r="S5963" s="73"/>
      <c r="T5963" s="73"/>
      <c r="U5963" s="73"/>
      <c r="V5963" s="73"/>
      <c r="W5963" s="73"/>
      <c r="X5963" s="73"/>
      <c r="Y5963" s="73"/>
      <c r="Z5963" s="73"/>
      <c r="AA5963" s="73"/>
      <c r="AB5963" s="73"/>
    </row>
    <row r="5964">
      <c r="A5964" s="73"/>
      <c r="B5964" s="73">
        <v>6.906376247E7</v>
      </c>
      <c r="C5964" s="73">
        <v>6.22912297882205E9</v>
      </c>
      <c r="D5964" s="73">
        <v>9.10416809266359E9</v>
      </c>
      <c r="E5964" s="73"/>
      <c r="F5964" s="73"/>
      <c r="G5964" s="73"/>
      <c r="H5964" s="73"/>
      <c r="I5964" s="73"/>
      <c r="J5964" s="73"/>
      <c r="K5964" s="73"/>
      <c r="L5964" s="73"/>
      <c r="M5964" s="73"/>
      <c r="N5964" s="73"/>
      <c r="O5964" s="73"/>
      <c r="P5964" s="73"/>
      <c r="Q5964" s="73"/>
      <c r="R5964" s="73"/>
      <c r="S5964" s="73"/>
      <c r="T5964" s="73"/>
      <c r="U5964" s="73"/>
      <c r="V5964" s="73"/>
      <c r="W5964" s="73"/>
      <c r="X5964" s="73"/>
      <c r="Y5964" s="73"/>
      <c r="Z5964" s="73"/>
      <c r="AA5964" s="73"/>
      <c r="AB5964" s="73"/>
    </row>
    <row r="5965">
      <c r="A5965" s="73"/>
      <c r="B5965" s="73">
        <v>6.911724738E7</v>
      </c>
      <c r="C5965" s="73">
        <v>6.24131336238582E9</v>
      </c>
      <c r="D5965" s="73">
        <v>9.1307668195813E9</v>
      </c>
      <c r="E5965" s="73"/>
      <c r="F5965" s="73"/>
      <c r="G5965" s="73"/>
      <c r="H5965" s="73"/>
      <c r="I5965" s="73"/>
      <c r="J5965" s="73"/>
      <c r="K5965" s="73"/>
      <c r="L5965" s="73"/>
      <c r="M5965" s="73"/>
      <c r="N5965" s="73"/>
      <c r="O5965" s="73"/>
      <c r="P5965" s="73"/>
      <c r="Q5965" s="73"/>
      <c r="R5965" s="73"/>
      <c r="S5965" s="73"/>
      <c r="T5965" s="73"/>
      <c r="U5965" s="73"/>
      <c r="V5965" s="73"/>
      <c r="W5965" s="73"/>
      <c r="X5965" s="73"/>
      <c r="Y5965" s="73"/>
      <c r="Z5965" s="73"/>
      <c r="AA5965" s="73"/>
      <c r="AB5965" s="73"/>
    </row>
    <row r="5966">
      <c r="A5966" s="73"/>
      <c r="B5966" s="73">
        <v>6.917075883E7</v>
      </c>
      <c r="C5966" s="73">
        <v>6.25352730806554E9</v>
      </c>
      <c r="D5966" s="73">
        <v>9.1574436149723E9</v>
      </c>
      <c r="E5966" s="73"/>
      <c r="F5966" s="73"/>
      <c r="G5966" s="73"/>
      <c r="H5966" s="73"/>
      <c r="I5966" s="73"/>
      <c r="J5966" s="73"/>
      <c r="K5966" s="73"/>
      <c r="L5966" s="73"/>
      <c r="M5966" s="73"/>
      <c r="N5966" s="73"/>
      <c r="O5966" s="73"/>
      <c r="P5966" s="73"/>
      <c r="Q5966" s="73"/>
      <c r="R5966" s="73"/>
      <c r="S5966" s="73"/>
      <c r="T5966" s="73"/>
      <c r="U5966" s="73"/>
      <c r="V5966" s="73"/>
      <c r="W5966" s="73"/>
      <c r="X5966" s="73"/>
      <c r="Y5966" s="73"/>
      <c r="Z5966" s="73"/>
      <c r="AA5966" s="73"/>
      <c r="AB5966" s="73"/>
    </row>
    <row r="5967">
      <c r="A5967" s="73"/>
      <c r="B5967" s="73">
        <v>6.922429377E7</v>
      </c>
      <c r="C5967" s="73">
        <v>6.2657645682409E9</v>
      </c>
      <c r="D5967" s="73">
        <v>9.18419604370185E9</v>
      </c>
      <c r="E5967" s="73"/>
      <c r="F5967" s="73"/>
      <c r="G5967" s="73"/>
      <c r="H5967" s="73"/>
      <c r="I5967" s="73"/>
      <c r="J5967" s="73"/>
      <c r="K5967" s="73"/>
      <c r="L5967" s="73"/>
      <c r="M5967" s="73"/>
      <c r="N5967" s="73"/>
      <c r="O5967" s="73"/>
      <c r="P5967" s="73"/>
      <c r="Q5967" s="73"/>
      <c r="R5967" s="73"/>
      <c r="S5967" s="73"/>
      <c r="T5967" s="73"/>
      <c r="U5967" s="73"/>
      <c r="V5967" s="73"/>
      <c r="W5967" s="73"/>
      <c r="X5967" s="73"/>
      <c r="Y5967" s="73"/>
      <c r="Z5967" s="73"/>
      <c r="AA5967" s="73"/>
      <c r="AB5967" s="73"/>
    </row>
    <row r="5968">
      <c r="A5968" s="73"/>
      <c r="B5968" s="73">
        <v>6.927785877E7</v>
      </c>
      <c r="C5968" s="73">
        <v>6.27802558121454E9</v>
      </c>
      <c r="D5968" s="73">
        <v>9.21102589341997E9</v>
      </c>
      <c r="E5968" s="73"/>
      <c r="F5968" s="73"/>
      <c r="G5968" s="73"/>
      <c r="H5968" s="73"/>
      <c r="I5968" s="73"/>
      <c r="J5968" s="73"/>
      <c r="K5968" s="73"/>
      <c r="L5968" s="73"/>
      <c r="M5968" s="73"/>
      <c r="N5968" s="73"/>
      <c r="O5968" s="73"/>
      <c r="P5968" s="73"/>
      <c r="Q5968" s="73"/>
      <c r="R5968" s="73"/>
      <c r="S5968" s="73"/>
      <c r="T5968" s="73"/>
      <c r="U5968" s="73"/>
      <c r="V5968" s="73"/>
      <c r="W5968" s="73"/>
      <c r="X5968" s="73"/>
      <c r="Y5968" s="73"/>
      <c r="Z5968" s="73"/>
      <c r="AA5968" s="73"/>
      <c r="AB5968" s="73"/>
    </row>
    <row r="5969">
      <c r="A5969" s="73"/>
      <c r="B5969" s="73">
        <v>6.933144646E7</v>
      </c>
      <c r="C5969" s="73">
        <v>6.29030980955035E9</v>
      </c>
      <c r="D5969" s="73">
        <v>9.23793412606E9</v>
      </c>
      <c r="E5969" s="73"/>
      <c r="F5969" s="73"/>
      <c r="G5969" s="73"/>
      <c r="H5969" s="73"/>
      <c r="I5969" s="73"/>
      <c r="J5969" s="73"/>
      <c r="K5969" s="73"/>
      <c r="L5969" s="73"/>
      <c r="M5969" s="73"/>
      <c r="N5969" s="73"/>
      <c r="O5969" s="73"/>
      <c r="P5969" s="73"/>
      <c r="Q5969" s="73"/>
      <c r="R5969" s="73"/>
      <c r="S5969" s="73"/>
      <c r="T5969" s="73"/>
      <c r="U5969" s="73"/>
      <c r="V5969" s="73"/>
      <c r="W5969" s="73"/>
      <c r="X5969" s="73"/>
      <c r="Y5969" s="73"/>
      <c r="Z5969" s="73"/>
      <c r="AA5969" s="73"/>
      <c r="AB5969" s="73"/>
    </row>
    <row r="5970">
      <c r="A5970" s="73"/>
      <c r="B5970" s="73">
        <v>6.938506137E7</v>
      </c>
      <c r="C5970" s="73">
        <v>6.30261840015964E9</v>
      </c>
      <c r="D5970" s="73">
        <v>9.26491996599031E9</v>
      </c>
      <c r="E5970" s="73"/>
      <c r="F5970" s="73"/>
      <c r="G5970" s="73"/>
      <c r="H5970" s="73"/>
      <c r="I5970" s="73"/>
      <c r="J5970" s="73"/>
      <c r="K5970" s="73"/>
      <c r="L5970" s="73"/>
      <c r="M5970" s="73"/>
      <c r="N5970" s="73"/>
      <c r="O5970" s="73"/>
      <c r="P5970" s="73"/>
      <c r="Q5970" s="73"/>
      <c r="R5970" s="73"/>
      <c r="S5970" s="73"/>
      <c r="T5970" s="73"/>
      <c r="U5970" s="73"/>
      <c r="V5970" s="73"/>
      <c r="W5970" s="73"/>
      <c r="X5970" s="73"/>
      <c r="Y5970" s="73"/>
      <c r="Z5970" s="73"/>
      <c r="AA5970" s="73"/>
      <c r="AB5970" s="73"/>
    </row>
    <row r="5971">
      <c r="A5971" s="73"/>
      <c r="B5971" s="73">
        <v>6.94387006E7</v>
      </c>
      <c r="C5971" s="73">
        <v>6.31495025306639E9</v>
      </c>
      <c r="D5971" s="73">
        <v>9.29198268485232E9</v>
      </c>
      <c r="E5971" s="73"/>
      <c r="F5971" s="73"/>
      <c r="G5971" s="73"/>
      <c r="H5971" s="73"/>
      <c r="I5971" s="73"/>
      <c r="J5971" s="73"/>
      <c r="K5971" s="73"/>
      <c r="L5971" s="73"/>
      <c r="M5971" s="73"/>
      <c r="N5971" s="73"/>
      <c r="O5971" s="73"/>
      <c r="P5971" s="73"/>
      <c r="Q5971" s="73"/>
      <c r="R5971" s="73"/>
      <c r="S5971" s="73"/>
      <c r="T5971" s="73"/>
      <c r="U5971" s="73"/>
      <c r="V5971" s="73"/>
      <c r="W5971" s="73"/>
      <c r="X5971" s="73"/>
      <c r="Y5971" s="73"/>
      <c r="Z5971" s="73"/>
      <c r="AA5971" s="73"/>
      <c r="AB5971" s="73"/>
    </row>
    <row r="5972">
      <c r="A5972" s="73"/>
      <c r="B5972" s="73">
        <v>6.949236634E7</v>
      </c>
      <c r="C5972" s="73">
        <v>6.32730539006937E9</v>
      </c>
      <c r="D5972" s="73">
        <v>9.31912403125019E9</v>
      </c>
      <c r="E5972" s="73"/>
      <c r="F5972" s="73"/>
      <c r="G5972" s="73"/>
      <c r="H5972" s="73"/>
      <c r="I5972" s="73"/>
      <c r="J5972" s="73"/>
      <c r="K5972" s="73"/>
      <c r="L5972" s="73"/>
      <c r="M5972" s="73"/>
      <c r="N5972" s="73"/>
      <c r="O5972" s="73"/>
      <c r="P5972" s="73"/>
      <c r="Q5972" s="73"/>
      <c r="R5972" s="73"/>
      <c r="S5972" s="73"/>
      <c r="T5972" s="73"/>
      <c r="U5972" s="73"/>
      <c r="V5972" s="73"/>
      <c r="W5972" s="73"/>
      <c r="X5972" s="73"/>
      <c r="Y5972" s="73"/>
      <c r="Z5972" s="73"/>
      <c r="AA5972" s="73"/>
      <c r="AB5972" s="73"/>
    </row>
    <row r="5973">
      <c r="A5973" s="73"/>
      <c r="B5973" s="73">
        <v>6.954605756E7</v>
      </c>
      <c r="C5973" s="73">
        <v>6.33968453824806E9</v>
      </c>
      <c r="D5973" s="73">
        <v>9.34634501392575E9</v>
      </c>
      <c r="E5973" s="73"/>
      <c r="F5973" s="73"/>
      <c r="G5973" s="73"/>
      <c r="H5973" s="73"/>
      <c r="I5973" s="73"/>
      <c r="J5973" s="73"/>
      <c r="K5973" s="73"/>
      <c r="L5973" s="73"/>
      <c r="M5973" s="73"/>
      <c r="N5973" s="73"/>
      <c r="O5973" s="73"/>
      <c r="P5973" s="73"/>
      <c r="Q5973" s="73"/>
      <c r="R5973" s="73"/>
      <c r="S5973" s="73"/>
      <c r="T5973" s="73"/>
      <c r="U5973" s="73"/>
      <c r="V5973" s="73"/>
      <c r="W5973" s="73"/>
      <c r="X5973" s="73"/>
      <c r="Y5973" s="73"/>
      <c r="Z5973" s="73"/>
      <c r="AA5973" s="73"/>
      <c r="AB5973" s="73"/>
    </row>
    <row r="5974">
      <c r="A5974" s="73"/>
      <c r="B5974" s="73">
        <v>6.959977721E7</v>
      </c>
      <c r="C5974" s="73">
        <v>6.352086875142E9</v>
      </c>
      <c r="D5974" s="73">
        <v>9.37364311164055E9</v>
      </c>
      <c r="E5974" s="73"/>
      <c r="F5974" s="73"/>
      <c r="G5974" s="73"/>
      <c r="H5974" s="73"/>
      <c r="I5974" s="73"/>
      <c r="J5974" s="73"/>
      <c r="K5974" s="73"/>
      <c r="L5974" s="73"/>
      <c r="M5974" s="73"/>
      <c r="N5974" s="73"/>
      <c r="O5974" s="73"/>
      <c r="P5974" s="73"/>
      <c r="Q5974" s="73"/>
      <c r="R5974" s="73"/>
      <c r="S5974" s="73"/>
      <c r="T5974" s="73"/>
      <c r="U5974" s="73"/>
      <c r="V5974" s="73"/>
      <c r="W5974" s="73"/>
      <c r="X5974" s="73"/>
      <c r="Y5974" s="73"/>
      <c r="Z5974" s="73"/>
      <c r="AA5974" s="73"/>
      <c r="AB5974" s="73"/>
    </row>
    <row r="5975">
      <c r="A5975" s="73"/>
      <c r="B5975" s="73">
        <v>6.965352274E7</v>
      </c>
      <c r="C5975" s="73">
        <v>6.36451383598713E9</v>
      </c>
      <c r="D5975" s="73">
        <v>9.40102019387249E9</v>
      </c>
      <c r="E5975" s="73"/>
      <c r="F5975" s="73"/>
      <c r="G5975" s="73"/>
      <c r="H5975" s="73"/>
      <c r="I5975" s="73"/>
      <c r="J5975" s="73"/>
      <c r="K5975" s="73"/>
      <c r="L5975" s="73"/>
      <c r="M5975" s="73"/>
      <c r="N5975" s="73"/>
      <c r="O5975" s="73"/>
      <c r="P5975" s="73"/>
      <c r="Q5975" s="73"/>
      <c r="R5975" s="73"/>
      <c r="S5975" s="73"/>
      <c r="T5975" s="73"/>
      <c r="U5975" s="73"/>
      <c r="V5975" s="73"/>
      <c r="W5975" s="73"/>
      <c r="X5975" s="73"/>
      <c r="Y5975" s="73"/>
      <c r="Z5975" s="73"/>
      <c r="AA5975" s="73"/>
      <c r="AB5975" s="73"/>
    </row>
    <row r="5976">
      <c r="A5976" s="73"/>
      <c r="B5976" s="73">
        <v>6.970729045E7</v>
      </c>
      <c r="C5976" s="73">
        <v>6.37696360459438E9</v>
      </c>
      <c r="D5976" s="73">
        <v>9.42847717725379E9</v>
      </c>
      <c r="E5976" s="73"/>
      <c r="F5976" s="73"/>
      <c r="G5976" s="73"/>
      <c r="H5976" s="73"/>
      <c r="I5976" s="73"/>
      <c r="J5976" s="73"/>
      <c r="K5976" s="73"/>
      <c r="L5976" s="73"/>
      <c r="M5976" s="73"/>
      <c r="N5976" s="73"/>
      <c r="O5976" s="73"/>
      <c r="P5976" s="73"/>
      <c r="Q5976" s="73"/>
      <c r="R5976" s="73"/>
      <c r="S5976" s="73"/>
      <c r="T5976" s="73"/>
      <c r="U5976" s="73"/>
      <c r="V5976" s="73"/>
      <c r="W5976" s="73"/>
      <c r="X5976" s="73"/>
      <c r="Y5976" s="73"/>
      <c r="Z5976" s="73"/>
      <c r="AA5976" s="73"/>
      <c r="AB5976" s="73"/>
    </row>
    <row r="5977">
      <c r="A5977" s="73"/>
      <c r="B5977" s="73">
        <v>6.976108637E7</v>
      </c>
      <c r="C5977" s="73">
        <v>6.38943790575723E9</v>
      </c>
      <c r="D5977" s="73">
        <v>9.45601332221088E9</v>
      </c>
      <c r="E5977" s="73"/>
      <c r="F5977" s="73"/>
      <c r="G5977" s="73"/>
      <c r="H5977" s="73"/>
      <c r="I5977" s="73"/>
      <c r="J5977" s="73"/>
      <c r="K5977" s="73"/>
      <c r="L5977" s="73"/>
      <c r="M5977" s="73"/>
      <c r="N5977" s="73"/>
      <c r="O5977" s="73"/>
      <c r="P5977" s="73"/>
      <c r="Q5977" s="73"/>
      <c r="R5977" s="73"/>
      <c r="S5977" s="73"/>
      <c r="T5977" s="73"/>
      <c r="U5977" s="73"/>
      <c r="V5977" s="73"/>
      <c r="W5977" s="73"/>
      <c r="X5977" s="73"/>
      <c r="Y5977" s="73"/>
      <c r="Z5977" s="73"/>
      <c r="AA5977" s="73"/>
      <c r="AB5977" s="73"/>
    </row>
    <row r="5978">
      <c r="A5978" s="73"/>
      <c r="B5978" s="73">
        <v>6.981490799E7</v>
      </c>
      <c r="C5978" s="73">
        <v>6.40193576525909E9</v>
      </c>
      <c r="D5978" s="73">
        <v>9.48362869436336E9</v>
      </c>
      <c r="E5978" s="73"/>
      <c r="F5978" s="73"/>
      <c r="G5978" s="73"/>
      <c r="H5978" s="73"/>
      <c r="I5978" s="73"/>
      <c r="J5978" s="73"/>
      <c r="K5978" s="73"/>
      <c r="L5978" s="73"/>
      <c r="M5978" s="73"/>
      <c r="N5978" s="73"/>
      <c r="O5978" s="73"/>
      <c r="P5978" s="73"/>
      <c r="Q5978" s="73"/>
      <c r="R5978" s="73"/>
      <c r="S5978" s="73"/>
      <c r="T5978" s="73"/>
      <c r="U5978" s="73"/>
      <c r="V5978" s="73"/>
      <c r="W5978" s="73"/>
      <c r="X5978" s="73"/>
      <c r="Y5978" s="73"/>
      <c r="Z5978" s="73"/>
      <c r="AA5978" s="73"/>
      <c r="AB5978" s="73"/>
    </row>
    <row r="5979">
      <c r="A5979" s="73"/>
      <c r="B5979" s="73">
        <v>6.986875426E7</v>
      </c>
      <c r="C5979" s="73">
        <v>6.41445820678774E9</v>
      </c>
      <c r="D5979" s="73">
        <v>9.51132342424405E9</v>
      </c>
      <c r="E5979" s="73"/>
      <c r="F5979" s="73"/>
      <c r="G5979" s="73"/>
      <c r="H5979" s="73"/>
      <c r="I5979" s="73"/>
      <c r="J5979" s="73"/>
      <c r="K5979" s="73"/>
      <c r="L5979" s="73"/>
      <c r="M5979" s="73"/>
      <c r="N5979" s="73"/>
      <c r="O5979" s="73"/>
      <c r="P5979" s="73"/>
      <c r="Q5979" s="73"/>
      <c r="R5979" s="73"/>
      <c r="S5979" s="73"/>
      <c r="T5979" s="73"/>
      <c r="U5979" s="73"/>
      <c r="V5979" s="73"/>
      <c r="W5979" s="73"/>
      <c r="X5979" s="73"/>
      <c r="Y5979" s="73"/>
      <c r="Z5979" s="73"/>
      <c r="AA5979" s="73"/>
      <c r="AB5979" s="73"/>
    </row>
    <row r="5980">
      <c r="A5980" s="73"/>
      <c r="B5980" s="73">
        <v>6.992262863E7</v>
      </c>
      <c r="C5980" s="73">
        <v>6.42700411521537E9</v>
      </c>
      <c r="D5980" s="73">
        <v>9.53909847105617E9</v>
      </c>
      <c r="E5980" s="73"/>
      <c r="F5980" s="73"/>
      <c r="G5980" s="73"/>
      <c r="H5980" s="73"/>
      <c r="I5980" s="73"/>
      <c r="J5980" s="73"/>
      <c r="K5980" s="73"/>
      <c r="L5980" s="73"/>
      <c r="M5980" s="73"/>
      <c r="N5980" s="73"/>
      <c r="O5980" s="73"/>
      <c r="P5980" s="73"/>
      <c r="Q5980" s="73"/>
      <c r="R5980" s="73"/>
      <c r="S5980" s="73"/>
      <c r="T5980" s="73"/>
      <c r="U5980" s="73"/>
      <c r="V5980" s="73"/>
      <c r="W5980" s="73"/>
      <c r="X5980" s="73"/>
      <c r="Y5980" s="73"/>
      <c r="Z5980" s="73"/>
      <c r="AA5980" s="73"/>
      <c r="AB5980" s="73"/>
    </row>
    <row r="5981">
      <c r="A5981" s="73"/>
      <c r="B5981" s="73">
        <v>6.99765272E7</v>
      </c>
      <c r="C5981" s="73">
        <v>6.43957479219075E9</v>
      </c>
      <c r="D5981" s="73">
        <v>9.56695477259369E9</v>
      </c>
      <c r="E5981" s="73"/>
      <c r="F5981" s="73"/>
      <c r="G5981" s="73"/>
      <c r="H5981" s="73"/>
      <c r="I5981" s="73"/>
      <c r="J5981" s="73"/>
      <c r="K5981" s="73"/>
      <c r="L5981" s="73"/>
      <c r="M5981" s="73"/>
      <c r="N5981" s="73"/>
      <c r="O5981" s="73"/>
      <c r="P5981" s="73"/>
      <c r="Q5981" s="73"/>
      <c r="R5981" s="73"/>
      <c r="S5981" s="73"/>
      <c r="T5981" s="73"/>
      <c r="U5981" s="73"/>
      <c r="V5981" s="73"/>
      <c r="W5981" s="73"/>
      <c r="X5981" s="73"/>
      <c r="Y5981" s="73"/>
      <c r="Z5981" s="73"/>
      <c r="AA5981" s="73"/>
      <c r="AB5981" s="73"/>
    </row>
    <row r="5982">
      <c r="A5982" s="73"/>
      <c r="B5982" s="73">
        <v>7.003045236E7</v>
      </c>
      <c r="C5982" s="73">
        <v>6.45216898219684E9</v>
      </c>
      <c r="D5982" s="73">
        <v>9.59488984292721E9</v>
      </c>
      <c r="E5982" s="73"/>
      <c r="F5982" s="73"/>
      <c r="G5982" s="73"/>
      <c r="H5982" s="73"/>
      <c r="I5982" s="73"/>
      <c r="J5982" s="73"/>
      <c r="K5982" s="73"/>
      <c r="L5982" s="73"/>
      <c r="M5982" s="73"/>
      <c r="N5982" s="73"/>
      <c r="O5982" s="73"/>
      <c r="P5982" s="73"/>
      <c r="Q5982" s="73"/>
      <c r="R5982" s="73"/>
      <c r="S5982" s="73"/>
      <c r="T5982" s="73"/>
      <c r="U5982" s="73"/>
      <c r="V5982" s="73"/>
      <c r="W5982" s="73"/>
      <c r="X5982" s="73"/>
      <c r="Y5982" s="73"/>
      <c r="Z5982" s="73"/>
      <c r="AA5982" s="73"/>
      <c r="AB5982" s="73"/>
    </row>
    <row r="5983">
      <c r="A5983" s="73"/>
      <c r="B5983" s="73">
        <v>7.0084403E7</v>
      </c>
      <c r="C5983" s="73">
        <v>6.46478741562589E9</v>
      </c>
      <c r="D5983" s="73">
        <v>9.62290639992072E9</v>
      </c>
      <c r="E5983" s="73"/>
      <c r="F5983" s="73"/>
      <c r="G5983" s="73"/>
      <c r="H5983" s="73"/>
      <c r="I5983" s="73"/>
      <c r="J5983" s="73"/>
      <c r="K5983" s="73"/>
      <c r="L5983" s="73"/>
      <c r="M5983" s="73"/>
      <c r="N5983" s="73"/>
      <c r="O5983" s="73"/>
      <c r="P5983" s="73"/>
      <c r="Q5983" s="73"/>
      <c r="R5983" s="73"/>
      <c r="S5983" s="73"/>
      <c r="T5983" s="73"/>
      <c r="U5983" s="73"/>
      <c r="V5983" s="73"/>
      <c r="W5983" s="73"/>
      <c r="X5983" s="73"/>
      <c r="Y5983" s="73"/>
      <c r="Z5983" s="73"/>
      <c r="AA5983" s="73"/>
      <c r="AB5983" s="73"/>
    </row>
    <row r="5984">
      <c r="A5984" s="73"/>
      <c r="B5984" s="73">
        <v>7.013837847E7</v>
      </c>
      <c r="C5984" s="73">
        <v>6.47742998103756E9</v>
      </c>
      <c r="D5984" s="73">
        <v>9.65100364623921E9</v>
      </c>
      <c r="E5984" s="73"/>
      <c r="F5984" s="73"/>
      <c r="G5984" s="73"/>
      <c r="H5984" s="73"/>
      <c r="I5984" s="73"/>
      <c r="J5984" s="73"/>
      <c r="K5984" s="73"/>
      <c r="L5984" s="73"/>
      <c r="M5984" s="73"/>
      <c r="N5984" s="73"/>
      <c r="O5984" s="73"/>
      <c r="P5984" s="73"/>
      <c r="Q5984" s="73"/>
      <c r="R5984" s="73"/>
      <c r="S5984" s="73"/>
      <c r="T5984" s="73"/>
      <c r="U5984" s="73"/>
      <c r="V5984" s="73"/>
      <c r="W5984" s="73"/>
      <c r="X5984" s="73"/>
      <c r="Y5984" s="73"/>
      <c r="Z5984" s="73"/>
      <c r="AA5984" s="73"/>
      <c r="AB5984" s="73"/>
    </row>
    <row r="5985">
      <c r="A5985" s="73"/>
      <c r="B5985" s="73">
        <v>7.019237982E7</v>
      </c>
      <c r="C5985" s="73">
        <v>6.49009741206925E9</v>
      </c>
      <c r="D5985" s="73">
        <v>9.67918169274096E9</v>
      </c>
      <c r="E5985" s="73"/>
      <c r="F5985" s="73"/>
      <c r="G5985" s="73"/>
      <c r="H5985" s="73"/>
      <c r="I5985" s="73"/>
      <c r="J5985" s="73"/>
      <c r="K5985" s="73"/>
      <c r="L5985" s="73"/>
      <c r="M5985" s="73"/>
      <c r="N5985" s="73"/>
      <c r="O5985" s="73"/>
      <c r="P5985" s="73"/>
      <c r="Q5985" s="73"/>
      <c r="R5985" s="73"/>
      <c r="S5985" s="73"/>
      <c r="T5985" s="73"/>
      <c r="U5985" s="73"/>
      <c r="V5985" s="73"/>
      <c r="W5985" s="73"/>
      <c r="X5985" s="73"/>
      <c r="Y5985" s="73"/>
      <c r="Z5985" s="73"/>
      <c r="AA5985" s="73"/>
      <c r="AB5985" s="73"/>
    </row>
    <row r="5986">
      <c r="A5986" s="73"/>
      <c r="B5986" s="73">
        <v>7.024641007E7</v>
      </c>
      <c r="C5986" s="73">
        <v>6.50278729608025E9</v>
      </c>
      <c r="D5986" s="73">
        <v>9.7074415127619E9</v>
      </c>
      <c r="E5986" s="73"/>
      <c r="F5986" s="73"/>
      <c r="G5986" s="73"/>
      <c r="H5986" s="73"/>
      <c r="I5986" s="73"/>
      <c r="J5986" s="73"/>
      <c r="K5986" s="73"/>
      <c r="L5986" s="73"/>
      <c r="M5986" s="73"/>
      <c r="N5986" s="73"/>
      <c r="O5986" s="73"/>
      <c r="P5986" s="73"/>
      <c r="Q5986" s="73"/>
      <c r="R5986" s="73"/>
      <c r="S5986" s="73"/>
      <c r="T5986" s="73"/>
      <c r="U5986" s="73"/>
      <c r="V5986" s="73"/>
      <c r="W5986" s="73"/>
      <c r="X5986" s="73"/>
      <c r="Y5986" s="73"/>
      <c r="Z5986" s="73"/>
      <c r="AA5986" s="73"/>
      <c r="AB5986" s="73"/>
    </row>
    <row r="5987">
      <c r="A5987" s="73"/>
      <c r="B5987" s="73">
        <v>7.030046305E7</v>
      </c>
      <c r="C5987" s="73">
        <v>6.51550324503761E9</v>
      </c>
      <c r="D5987" s="73">
        <v>9.73578319605923E9</v>
      </c>
      <c r="E5987" s="73"/>
      <c r="F5987" s="73"/>
      <c r="G5987" s="73"/>
      <c r="H5987" s="73"/>
      <c r="I5987" s="73"/>
      <c r="J5987" s="73"/>
      <c r="K5987" s="73"/>
      <c r="L5987" s="73"/>
      <c r="M5987" s="73"/>
      <c r="N5987" s="73"/>
      <c r="O5987" s="73"/>
      <c r="P5987" s="73"/>
      <c r="Q5987" s="73"/>
      <c r="R5987" s="73"/>
      <c r="S5987" s="73"/>
      <c r="T5987" s="73"/>
      <c r="U5987" s="73"/>
      <c r="V5987" s="73"/>
      <c r="W5987" s="73"/>
      <c r="X5987" s="73"/>
      <c r="Y5987" s="73"/>
      <c r="Z5987" s="73"/>
      <c r="AA5987" s="73"/>
      <c r="AB5987" s="73"/>
    </row>
    <row r="5988">
      <c r="A5988" s="73"/>
      <c r="B5988" s="73">
        <v>7.035454365E7</v>
      </c>
      <c r="C5988" s="73">
        <v>6.52824297783011E9</v>
      </c>
      <c r="D5988" s="73">
        <v>9.76420598134039E9</v>
      </c>
      <c r="E5988" s="73"/>
      <c r="F5988" s="73"/>
      <c r="G5988" s="73"/>
      <c r="H5988" s="73"/>
      <c r="I5988" s="73"/>
      <c r="J5988" s="73"/>
      <c r="K5988" s="73"/>
      <c r="L5988" s="73"/>
      <c r="M5988" s="73"/>
      <c r="N5988" s="73"/>
      <c r="O5988" s="73"/>
      <c r="P5988" s="73"/>
      <c r="Q5988" s="73"/>
      <c r="R5988" s="73"/>
      <c r="S5988" s="73"/>
      <c r="T5988" s="73"/>
      <c r="U5988" s="73"/>
      <c r="V5988" s="73"/>
      <c r="W5988" s="73"/>
      <c r="X5988" s="73"/>
      <c r="Y5988" s="73"/>
      <c r="Z5988" s="73"/>
      <c r="AA5988" s="73"/>
      <c r="AB5988" s="73"/>
    </row>
    <row r="5989">
      <c r="A5989" s="73"/>
      <c r="B5989" s="73">
        <v>7.040865086E7</v>
      </c>
      <c r="C5989" s="73">
        <v>6.54100754081488E9</v>
      </c>
      <c r="D5989" s="73">
        <v>9.79271083120296E9</v>
      </c>
      <c r="E5989" s="73"/>
      <c r="F5989" s="73"/>
      <c r="G5989" s="73"/>
      <c r="H5989" s="73"/>
      <c r="I5989" s="73"/>
      <c r="J5989" s="73"/>
      <c r="K5989" s="73"/>
      <c r="L5989" s="73"/>
      <c r="M5989" s="73"/>
      <c r="N5989" s="73"/>
      <c r="O5989" s="73"/>
      <c r="P5989" s="73"/>
      <c r="Q5989" s="73"/>
      <c r="R5989" s="73"/>
      <c r="S5989" s="73"/>
      <c r="T5989" s="73"/>
      <c r="U5989" s="73"/>
      <c r="V5989" s="73"/>
      <c r="W5989" s="73"/>
      <c r="X5989" s="73"/>
      <c r="Y5989" s="73"/>
      <c r="Z5989" s="73"/>
      <c r="AA5989" s="73"/>
      <c r="AB5989" s="73"/>
    </row>
    <row r="5990">
      <c r="A5990" s="73"/>
      <c r="B5990" s="73">
        <v>7.046278229E7</v>
      </c>
      <c r="C5990" s="73">
        <v>6.55379593285032E9</v>
      </c>
      <c r="D5990" s="73">
        <v>9.82129872319894E9</v>
      </c>
      <c r="E5990" s="73"/>
      <c r="F5990" s="73"/>
      <c r="G5990" s="73"/>
      <c r="H5990" s="73"/>
      <c r="I5990" s="73"/>
      <c r="J5990" s="73"/>
      <c r="K5990" s="73"/>
      <c r="L5990" s="73"/>
      <c r="M5990" s="73"/>
      <c r="N5990" s="73"/>
      <c r="O5990" s="73"/>
      <c r="P5990" s="73"/>
      <c r="Q5990" s="73"/>
      <c r="R5990" s="73"/>
      <c r="S5990" s="73"/>
      <c r="T5990" s="73"/>
      <c r="U5990" s="73"/>
      <c r="V5990" s="73"/>
      <c r="W5990" s="73"/>
      <c r="X5990" s="73"/>
      <c r="Y5990" s="73"/>
      <c r="Z5990" s="73"/>
      <c r="AA5990" s="73"/>
      <c r="AB5990" s="73"/>
    </row>
    <row r="5991">
      <c r="A5991" s="73"/>
      <c r="B5991" s="73">
        <v>7.051693872E7</v>
      </c>
      <c r="C5991" s="73">
        <v>6.56660920487284E9</v>
      </c>
      <c r="D5991" s="73">
        <v>9.84996801327991E9</v>
      </c>
      <c r="E5991" s="73"/>
      <c r="F5991" s="73"/>
      <c r="G5991" s="73"/>
      <c r="H5991" s="73"/>
      <c r="I5991" s="73"/>
      <c r="J5991" s="73"/>
      <c r="K5991" s="73"/>
      <c r="L5991" s="73"/>
      <c r="M5991" s="73"/>
      <c r="N5991" s="73"/>
      <c r="O5991" s="73"/>
      <c r="P5991" s="73"/>
      <c r="Q5991" s="73"/>
      <c r="R5991" s="73"/>
      <c r="S5991" s="73"/>
      <c r="T5991" s="73"/>
      <c r="U5991" s="73"/>
      <c r="V5991" s="73"/>
      <c r="W5991" s="73"/>
      <c r="X5991" s="73"/>
      <c r="Y5991" s="73"/>
      <c r="Z5991" s="73"/>
      <c r="AA5991" s="73"/>
      <c r="AB5991" s="73"/>
    </row>
    <row r="5992">
      <c r="A5992" s="73"/>
      <c r="B5992" s="73">
        <v>7.057112362E7</v>
      </c>
      <c r="C5992" s="73">
        <v>6.57944576977263E9</v>
      </c>
      <c r="D5992" s="73">
        <v>9.87872229603333E9</v>
      </c>
      <c r="E5992" s="73"/>
      <c r="F5992" s="73"/>
      <c r="G5992" s="73"/>
      <c r="H5992" s="73"/>
      <c r="I5992" s="73"/>
      <c r="J5992" s="73"/>
      <c r="K5992" s="73"/>
      <c r="L5992" s="73"/>
      <c r="M5992" s="73"/>
      <c r="N5992" s="73"/>
      <c r="O5992" s="73"/>
      <c r="P5992" s="73"/>
      <c r="Q5992" s="73"/>
      <c r="R5992" s="73"/>
      <c r="S5992" s="73"/>
      <c r="T5992" s="73"/>
      <c r="U5992" s="73"/>
      <c r="V5992" s="73"/>
      <c r="W5992" s="73"/>
      <c r="X5992" s="73"/>
      <c r="Y5992" s="73"/>
      <c r="Z5992" s="73"/>
      <c r="AA5992" s="73"/>
      <c r="AB5992" s="73"/>
    </row>
    <row r="5993">
      <c r="A5993" s="73"/>
      <c r="B5993" s="73">
        <v>7.062533324E7</v>
      </c>
      <c r="C5993" s="73">
        <v>6.59230855678216E9</v>
      </c>
      <c r="D5993" s="73">
        <v>9.90755817102254E9</v>
      </c>
      <c r="E5993" s="73"/>
      <c r="F5993" s="73"/>
      <c r="G5993" s="73"/>
      <c r="H5993" s="73"/>
      <c r="I5993" s="73"/>
      <c r="J5993" s="73"/>
      <c r="K5993" s="73"/>
      <c r="L5993" s="73"/>
      <c r="M5993" s="73"/>
      <c r="N5993" s="73"/>
      <c r="O5993" s="73"/>
      <c r="P5993" s="73"/>
      <c r="Q5993" s="73"/>
      <c r="R5993" s="73"/>
      <c r="S5993" s="73"/>
      <c r="T5993" s="73"/>
      <c r="U5993" s="73"/>
      <c r="V5993" s="73"/>
      <c r="W5993" s="73"/>
      <c r="X5993" s="73"/>
      <c r="Y5993" s="73"/>
      <c r="Z5993" s="73"/>
      <c r="AA5993" s="73"/>
      <c r="AB5993" s="73"/>
    </row>
    <row r="5994">
      <c r="A5994" s="73"/>
      <c r="B5994" s="73">
        <v>7.067957017E7</v>
      </c>
      <c r="C5994" s="73">
        <v>6.60519526403501E9</v>
      </c>
      <c r="D5994" s="73">
        <v>9.93647661731693E9</v>
      </c>
      <c r="E5994" s="73"/>
      <c r="F5994" s="73"/>
      <c r="G5994" s="73"/>
      <c r="H5994" s="73"/>
      <c r="I5994" s="73"/>
      <c r="J5994" s="73"/>
      <c r="K5994" s="73"/>
      <c r="L5994" s="73"/>
      <c r="M5994" s="73"/>
      <c r="N5994" s="73"/>
      <c r="O5994" s="73"/>
      <c r="P5994" s="73"/>
      <c r="Q5994" s="73"/>
      <c r="R5994" s="73"/>
      <c r="S5994" s="73"/>
      <c r="T5994" s="73"/>
      <c r="U5994" s="73"/>
      <c r="V5994" s="73"/>
      <c r="W5994" s="73"/>
      <c r="X5994" s="73"/>
      <c r="Y5994" s="73"/>
      <c r="Z5994" s="73"/>
      <c r="AA5994" s="73"/>
      <c r="AB5994" s="73"/>
    </row>
    <row r="5995">
      <c r="A5995" s="73"/>
      <c r="B5995" s="73">
        <v>7.073382934E7</v>
      </c>
      <c r="C5995" s="73">
        <v>6.61810707998875E9</v>
      </c>
      <c r="D5995" s="73">
        <v>9.96547860616423E9</v>
      </c>
      <c r="E5995" s="73"/>
      <c r="F5995" s="73"/>
      <c r="G5995" s="73"/>
      <c r="H5995" s="73"/>
      <c r="I5995" s="73"/>
      <c r="J5995" s="73"/>
      <c r="K5995" s="73"/>
      <c r="L5995" s="73"/>
      <c r="M5995" s="73"/>
      <c r="N5995" s="73"/>
      <c r="O5995" s="73"/>
      <c r="P5995" s="73"/>
      <c r="Q5995" s="73"/>
      <c r="R5995" s="73"/>
      <c r="S5995" s="73"/>
      <c r="T5995" s="73"/>
      <c r="U5995" s="73"/>
      <c r="V5995" s="73"/>
      <c r="W5995" s="73"/>
      <c r="X5995" s="73"/>
      <c r="Y5995" s="73"/>
      <c r="Z5995" s="73"/>
      <c r="AA5995" s="73"/>
      <c r="AB5995" s="73"/>
    </row>
    <row r="5996">
      <c r="A5996" s="73"/>
      <c r="B5996" s="73">
        <v>7.078811861E7</v>
      </c>
      <c r="C5996" s="73">
        <v>6.63104344533706E9</v>
      </c>
      <c r="D5996" s="73">
        <v>9.99456600562209E9</v>
      </c>
      <c r="E5996" s="73"/>
      <c r="F5996" s="73"/>
      <c r="G5996" s="73"/>
      <c r="H5996" s="73"/>
      <c r="I5996" s="73"/>
      <c r="J5996" s="73"/>
      <c r="K5996" s="73"/>
      <c r="L5996" s="73"/>
      <c r="M5996" s="73"/>
      <c r="N5996" s="73"/>
      <c r="O5996" s="73"/>
      <c r="P5996" s="73"/>
      <c r="Q5996" s="73"/>
      <c r="R5996" s="73"/>
      <c r="S5996" s="73"/>
      <c r="T5996" s="73"/>
      <c r="U5996" s="73"/>
      <c r="V5996" s="73"/>
      <c r="W5996" s="73"/>
      <c r="X5996" s="73"/>
      <c r="Y5996" s="73"/>
      <c r="Z5996" s="73"/>
      <c r="AA5996" s="73"/>
      <c r="AB5996" s="73"/>
    </row>
    <row r="5997">
      <c r="A5997" s="73"/>
      <c r="B5997" s="73">
        <v>7.084243133E7</v>
      </c>
      <c r="C5997" s="73">
        <v>6.64400425587146E9</v>
      </c>
      <c r="D5997" s="73">
        <v>1.00237353921221E10</v>
      </c>
      <c r="E5997" s="73"/>
      <c r="F5997" s="73"/>
      <c r="G5997" s="73"/>
      <c r="H5997" s="73"/>
      <c r="I5997" s="73"/>
      <c r="J5997" s="73"/>
      <c r="K5997" s="73"/>
      <c r="L5997" s="73"/>
      <c r="M5997" s="73"/>
      <c r="N5997" s="73"/>
      <c r="O5997" s="73"/>
      <c r="P5997" s="73"/>
      <c r="Q5997" s="73"/>
      <c r="R5997" s="73"/>
      <c r="S5997" s="73"/>
      <c r="T5997" s="73"/>
      <c r="U5997" s="73"/>
      <c r="V5997" s="73"/>
      <c r="W5997" s="73"/>
      <c r="X5997" s="73"/>
      <c r="Y5997" s="73"/>
      <c r="Z5997" s="73"/>
      <c r="AA5997" s="73"/>
      <c r="AB5997" s="73"/>
    </row>
    <row r="5998">
      <c r="A5998" s="73"/>
      <c r="B5998" s="73">
        <v>7.089676971E7</v>
      </c>
      <c r="C5998" s="73">
        <v>6.65699096293723E9</v>
      </c>
      <c r="D5998" s="73">
        <v>1.00529903900895E10</v>
      </c>
      <c r="E5998" s="73"/>
      <c r="F5998" s="73"/>
      <c r="G5998" s="73"/>
      <c r="H5998" s="73"/>
      <c r="I5998" s="73"/>
      <c r="J5998" s="73"/>
      <c r="K5998" s="73"/>
      <c r="L5998" s="73"/>
      <c r="M5998" s="73"/>
      <c r="N5998" s="73"/>
      <c r="O5998" s="73"/>
      <c r="P5998" s="73"/>
      <c r="Q5998" s="73"/>
      <c r="R5998" s="73"/>
      <c r="S5998" s="73"/>
      <c r="T5998" s="73"/>
      <c r="U5998" s="73"/>
      <c r="V5998" s="73"/>
      <c r="W5998" s="73"/>
      <c r="X5998" s="73"/>
      <c r="Y5998" s="73"/>
      <c r="Z5998" s="73"/>
      <c r="AA5998" s="73"/>
      <c r="AB5998" s="73"/>
    </row>
    <row r="5999">
      <c r="A5999" s="73"/>
      <c r="B5999" s="73">
        <v>7.095113562E7</v>
      </c>
      <c r="C5999" s="73">
        <v>6.67000099072799E9</v>
      </c>
      <c r="D5999" s="73">
        <v>1.00823284638538E10</v>
      </c>
      <c r="E5999" s="73"/>
      <c r="F5999" s="73"/>
      <c r="G5999" s="73"/>
      <c r="H5999" s="73"/>
      <c r="I5999" s="73"/>
      <c r="J5999" s="73"/>
      <c r="K5999" s="73"/>
      <c r="L5999" s="73"/>
      <c r="M5999" s="73"/>
      <c r="N5999" s="73"/>
      <c r="O5999" s="73"/>
      <c r="P5999" s="73"/>
      <c r="Q5999" s="73"/>
      <c r="R5999" s="73"/>
      <c r="S5999" s="73"/>
      <c r="T5999" s="73"/>
      <c r="U5999" s="73"/>
      <c r="V5999" s="73"/>
      <c r="W5999" s="73"/>
      <c r="X5999" s="73"/>
      <c r="Y5999" s="73"/>
      <c r="Z5999" s="73"/>
      <c r="AA5999" s="73"/>
      <c r="AB5999" s="73"/>
    </row>
    <row r="6000">
      <c r="A6000" s="73"/>
      <c r="B6000" s="73">
        <v>7.100552563E7</v>
      </c>
      <c r="C6000" s="73">
        <v>6.68303683796941E9</v>
      </c>
      <c r="D6000" s="73">
        <v>1.01117523628344E10</v>
      </c>
      <c r="E6000" s="73"/>
      <c r="F6000" s="73"/>
      <c r="G6000" s="73"/>
      <c r="H6000" s="73"/>
      <c r="I6000" s="73"/>
      <c r="J6000" s="73"/>
      <c r="K6000" s="73"/>
      <c r="L6000" s="73"/>
      <c r="M6000" s="73"/>
      <c r="N6000" s="73"/>
      <c r="O6000" s="73"/>
      <c r="P6000" s="73"/>
      <c r="Q6000" s="73"/>
      <c r="R6000" s="73"/>
      <c r="S6000" s="73"/>
      <c r="T6000" s="73"/>
      <c r="U6000" s="73"/>
      <c r="V6000" s="73"/>
      <c r="W6000" s="73"/>
      <c r="X6000" s="73"/>
      <c r="Y6000" s="73"/>
      <c r="Z6000" s="73"/>
      <c r="AA6000" s="73"/>
      <c r="AB6000" s="73"/>
    </row>
    <row r="6001">
      <c r="A6001" s="73"/>
      <c r="B6001" s="73">
        <v>7.105994424E7</v>
      </c>
      <c r="C6001" s="73">
        <v>6.6960974793279E9</v>
      </c>
      <c r="D6001" s="73">
        <v>1.01412612991358E10</v>
      </c>
      <c r="E6001" s="73"/>
      <c r="F6001" s="73"/>
      <c r="G6001" s="73"/>
      <c r="H6001" s="73"/>
      <c r="I6001" s="73"/>
      <c r="J6001" s="73"/>
      <c r="K6001" s="73"/>
      <c r="L6001" s="73"/>
      <c r="M6001" s="73"/>
      <c r="N6001" s="73"/>
      <c r="O6001" s="73"/>
      <c r="P6001" s="73"/>
      <c r="Q6001" s="73"/>
      <c r="R6001" s="73"/>
      <c r="S6001" s="73"/>
      <c r="T6001" s="73"/>
      <c r="U6001" s="73"/>
      <c r="V6001" s="73"/>
      <c r="W6001" s="73"/>
      <c r="X6001" s="73"/>
      <c r="Y6001" s="73"/>
      <c r="Z6001" s="73"/>
      <c r="AA6001" s="73"/>
      <c r="AB6001" s="73"/>
    </row>
    <row r="6002">
      <c r="A6002" s="73"/>
      <c r="B6002" s="73">
        <v>7.111438508E7</v>
      </c>
      <c r="C6002" s="73">
        <v>6.70918327754009E9</v>
      </c>
      <c r="D6002" s="73">
        <v>1.01708553749115E10</v>
      </c>
      <c r="E6002" s="73"/>
      <c r="F6002" s="73"/>
      <c r="G6002" s="73"/>
      <c r="H6002" s="73"/>
      <c r="I6002" s="73"/>
      <c r="J6002" s="73"/>
      <c r="K6002" s="73"/>
      <c r="L6002" s="73"/>
      <c r="M6002" s="73"/>
      <c r="N6002" s="73"/>
      <c r="O6002" s="73"/>
      <c r="P6002" s="73"/>
      <c r="Q6002" s="73"/>
      <c r="R6002" s="73"/>
      <c r="S6002" s="73"/>
      <c r="T6002" s="73"/>
      <c r="U6002" s="73"/>
      <c r="V6002" s="73"/>
      <c r="W6002" s="73"/>
      <c r="X6002" s="73"/>
      <c r="Y6002" s="73"/>
      <c r="Z6002" s="73"/>
      <c r="AA6002" s="73"/>
      <c r="AB6002" s="73"/>
    </row>
    <row r="6003">
      <c r="A6003" s="73"/>
      <c r="B6003" s="73"/>
      <c r="C6003" s="73"/>
      <c r="D6003" s="73"/>
      <c r="E6003" s="73"/>
      <c r="F6003" s="73"/>
      <c r="G6003" s="73"/>
      <c r="H6003" s="73"/>
      <c r="I6003" s="73"/>
      <c r="J6003" s="73"/>
      <c r="K6003" s="73"/>
      <c r="L6003" s="73"/>
      <c r="M6003" s="73"/>
      <c r="N6003" s="73"/>
      <c r="O6003" s="73"/>
      <c r="P6003" s="73"/>
      <c r="Q6003" s="73"/>
      <c r="R6003" s="73"/>
      <c r="S6003" s="73"/>
      <c r="T6003" s="73"/>
      <c r="U6003" s="73"/>
      <c r="V6003" s="73"/>
      <c r="W6003" s="73"/>
      <c r="X6003" s="73"/>
      <c r="Y6003" s="73"/>
      <c r="Z6003" s="73"/>
      <c r="AA6003" s="73"/>
      <c r="AB6003" s="73"/>
    </row>
    <row r="6004">
      <c r="A6004" s="73"/>
      <c r="B6004" s="73"/>
      <c r="C6004" s="73"/>
      <c r="D6004" s="73"/>
      <c r="E6004" s="73"/>
      <c r="F6004" s="73"/>
      <c r="G6004" s="73"/>
      <c r="H6004" s="73"/>
      <c r="I6004" s="73"/>
      <c r="J6004" s="73"/>
      <c r="K6004" s="73"/>
      <c r="L6004" s="73"/>
      <c r="M6004" s="73"/>
      <c r="N6004" s="73"/>
      <c r="O6004" s="73"/>
      <c r="P6004" s="73"/>
      <c r="Q6004" s="73"/>
      <c r="R6004" s="73"/>
      <c r="S6004" s="73"/>
      <c r="T6004" s="73"/>
      <c r="U6004" s="73"/>
      <c r="V6004" s="73"/>
      <c r="W6004" s="73"/>
      <c r="X6004" s="73"/>
      <c r="Y6004" s="73"/>
      <c r="Z6004" s="73"/>
      <c r="AA6004" s="73"/>
      <c r="AB6004" s="73"/>
    </row>
    <row r="6005">
      <c r="A6005" s="73"/>
      <c r="B6005" s="73"/>
      <c r="C6005" s="73"/>
      <c r="D6005" s="73"/>
      <c r="E6005" s="73"/>
      <c r="F6005" s="73"/>
      <c r="G6005" s="73"/>
      <c r="H6005" s="73"/>
      <c r="I6005" s="73"/>
      <c r="J6005" s="73"/>
      <c r="K6005" s="73"/>
      <c r="L6005" s="73"/>
      <c r="M6005" s="73"/>
      <c r="N6005" s="73"/>
      <c r="O6005" s="73"/>
      <c r="P6005" s="73"/>
      <c r="Q6005" s="73"/>
      <c r="R6005" s="73"/>
      <c r="S6005" s="73"/>
      <c r="T6005" s="73"/>
      <c r="U6005" s="73"/>
      <c r="V6005" s="73"/>
      <c r="W6005" s="73"/>
      <c r="X6005" s="73"/>
      <c r="Y6005" s="73"/>
      <c r="Z6005" s="73"/>
      <c r="AA6005" s="73"/>
      <c r="AB6005" s="73"/>
    </row>
    <row r="6006">
      <c r="A6006" s="73"/>
      <c r="B6006" s="73"/>
      <c r="C6006" s="73"/>
      <c r="D6006" s="73"/>
      <c r="E6006" s="73"/>
      <c r="F6006" s="73"/>
      <c r="G6006" s="73"/>
      <c r="H6006" s="73"/>
      <c r="I6006" s="73"/>
      <c r="J6006" s="73"/>
      <c r="K6006" s="73"/>
      <c r="L6006" s="73"/>
      <c r="M6006" s="73"/>
      <c r="N6006" s="73"/>
      <c r="O6006" s="73"/>
      <c r="P6006" s="73"/>
      <c r="Q6006" s="73"/>
      <c r="R6006" s="73"/>
      <c r="S6006" s="73"/>
      <c r="T6006" s="73"/>
      <c r="U6006" s="73"/>
      <c r="V6006" s="73"/>
      <c r="W6006" s="73"/>
      <c r="X6006" s="73"/>
      <c r="Y6006" s="73"/>
      <c r="Z6006" s="73"/>
      <c r="AA6006" s="73"/>
      <c r="AB6006" s="73"/>
    </row>
    <row r="6007">
      <c r="A6007" s="73"/>
      <c r="B6007" s="73"/>
      <c r="C6007" s="73"/>
      <c r="D6007" s="73"/>
      <c r="E6007" s="73"/>
      <c r="F6007" s="73"/>
      <c r="G6007" s="73"/>
      <c r="H6007" s="73"/>
      <c r="I6007" s="73"/>
      <c r="J6007" s="73"/>
      <c r="K6007" s="73"/>
      <c r="L6007" s="73"/>
      <c r="M6007" s="73"/>
      <c r="N6007" s="73"/>
      <c r="O6007" s="73"/>
      <c r="P6007" s="73"/>
      <c r="Q6007" s="73"/>
      <c r="R6007" s="73"/>
      <c r="S6007" s="73"/>
      <c r="T6007" s="73"/>
      <c r="U6007" s="73"/>
      <c r="V6007" s="73"/>
      <c r="W6007" s="73"/>
      <c r="X6007" s="73"/>
      <c r="Y6007" s="73"/>
      <c r="Z6007" s="73"/>
      <c r="AA6007" s="73"/>
      <c r="AB6007" s="73"/>
    </row>
    <row r="6008">
      <c r="A6008" s="73"/>
      <c r="B6008" s="73"/>
      <c r="C6008" s="73"/>
      <c r="D6008" s="73"/>
      <c r="E6008" s="73"/>
      <c r="F6008" s="73"/>
      <c r="G6008" s="73"/>
      <c r="H6008" s="73"/>
      <c r="I6008" s="73"/>
      <c r="J6008" s="73"/>
      <c r="K6008" s="73"/>
      <c r="L6008" s="73"/>
      <c r="M6008" s="73"/>
      <c r="N6008" s="73"/>
      <c r="O6008" s="73"/>
      <c r="P6008" s="73"/>
      <c r="Q6008" s="73"/>
      <c r="R6008" s="73"/>
      <c r="S6008" s="73"/>
      <c r="T6008" s="73"/>
      <c r="U6008" s="73"/>
      <c r="V6008" s="73"/>
      <c r="W6008" s="73"/>
      <c r="X6008" s="73"/>
      <c r="Y6008" s="73"/>
      <c r="Z6008" s="73"/>
      <c r="AA6008" s="73"/>
      <c r="AB6008" s="73"/>
    </row>
    <row r="6009">
      <c r="A6009" s="73"/>
      <c r="B6009" s="73"/>
      <c r="C6009" s="73"/>
      <c r="D6009" s="73"/>
      <c r="E6009" s="73"/>
      <c r="F6009" s="73"/>
      <c r="G6009" s="73"/>
      <c r="H6009" s="73"/>
      <c r="I6009" s="73"/>
      <c r="J6009" s="73"/>
      <c r="K6009" s="73"/>
      <c r="L6009" s="73"/>
      <c r="M6009" s="73"/>
      <c r="N6009" s="73"/>
      <c r="O6009" s="73"/>
      <c r="P6009" s="73"/>
      <c r="Q6009" s="73"/>
      <c r="R6009" s="73"/>
      <c r="S6009" s="73"/>
      <c r="T6009" s="73"/>
      <c r="U6009" s="73"/>
      <c r="V6009" s="73"/>
      <c r="W6009" s="73"/>
      <c r="X6009" s="73"/>
      <c r="Y6009" s="73"/>
      <c r="Z6009" s="73"/>
      <c r="AA6009" s="73"/>
      <c r="AB6009" s="73"/>
    </row>
    <row r="6010">
      <c r="A6010" s="73"/>
      <c r="B6010" s="73"/>
      <c r="C6010" s="73"/>
      <c r="D6010" s="73"/>
      <c r="E6010" s="73"/>
      <c r="F6010" s="73"/>
      <c r="G6010" s="73"/>
      <c r="H6010" s="73"/>
      <c r="I6010" s="73"/>
      <c r="J6010" s="73"/>
      <c r="K6010" s="73"/>
      <c r="L6010" s="73"/>
      <c r="M6010" s="73"/>
      <c r="N6010" s="73"/>
      <c r="O6010" s="73"/>
      <c r="P6010" s="73"/>
      <c r="Q6010" s="73"/>
      <c r="R6010" s="73"/>
      <c r="S6010" s="73"/>
      <c r="T6010" s="73"/>
      <c r="U6010" s="73"/>
      <c r="V6010" s="73"/>
      <c r="W6010" s="73"/>
      <c r="X6010" s="73"/>
      <c r="Y6010" s="73"/>
      <c r="Z6010" s="73"/>
      <c r="AA6010" s="73"/>
      <c r="AB6010" s="73"/>
    </row>
    <row r="6011">
      <c r="A6011" s="73"/>
      <c r="B6011" s="73"/>
      <c r="C6011" s="73"/>
      <c r="D6011" s="73"/>
      <c r="E6011" s="73"/>
      <c r="F6011" s="73"/>
      <c r="G6011" s="73"/>
      <c r="H6011" s="73"/>
      <c r="I6011" s="73"/>
      <c r="J6011" s="73"/>
      <c r="K6011" s="73"/>
      <c r="L6011" s="73"/>
      <c r="M6011" s="73"/>
      <c r="N6011" s="73"/>
      <c r="O6011" s="73"/>
      <c r="P6011" s="73"/>
      <c r="Q6011" s="73"/>
      <c r="R6011" s="73"/>
      <c r="S6011" s="73"/>
      <c r="T6011" s="73"/>
      <c r="U6011" s="73"/>
      <c r="V6011" s="73"/>
      <c r="W6011" s="73"/>
      <c r="X6011" s="73"/>
      <c r="Y6011" s="73"/>
      <c r="Z6011" s="73"/>
      <c r="AA6011" s="73"/>
      <c r="AB6011" s="73"/>
    </row>
  </sheetData>
  <mergeCells count="2">
    <mergeCell ref="A2:A14"/>
    <mergeCell ref="H2:H14"/>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3.25"/>
    <col customWidth="1" min="3" max="3" width="20.13"/>
    <col customWidth="1" min="4" max="13" width="6.25"/>
    <col customWidth="1" min="14" max="24" width="3.63"/>
  </cols>
  <sheetData>
    <row r="1">
      <c r="A1" s="879" t="s">
        <v>333</v>
      </c>
      <c r="B1" s="315"/>
      <c r="C1" s="315"/>
      <c r="D1" s="315"/>
      <c r="E1" s="315"/>
      <c r="F1" s="315"/>
      <c r="G1" s="315"/>
      <c r="H1" s="315"/>
      <c r="I1" s="315"/>
      <c r="J1" s="315"/>
      <c r="K1" s="315"/>
      <c r="L1" s="315"/>
      <c r="M1" s="315"/>
      <c r="N1" s="315"/>
      <c r="O1" s="315"/>
      <c r="P1" s="315"/>
      <c r="Q1" s="315"/>
      <c r="R1" s="315"/>
      <c r="S1" s="315"/>
      <c r="T1" s="315"/>
      <c r="U1" s="315"/>
      <c r="V1" s="315"/>
      <c r="W1" s="315"/>
      <c r="X1" s="315"/>
    </row>
    <row r="2">
      <c r="A2" s="315"/>
      <c r="B2" s="202" t="s">
        <v>334</v>
      </c>
      <c r="C2" s="202" t="s">
        <v>86</v>
      </c>
      <c r="D2" s="199" t="str">
        <f>'Master Sheet'!D1</f>
        <v>Farming</v>
      </c>
      <c r="E2" s="200"/>
      <c r="F2" s="199" t="str">
        <f>'Master Sheet'!F1</f>
        <v>Tourney</v>
      </c>
      <c r="G2" s="200"/>
      <c r="H2" s="199" t="str">
        <f>'Master Sheet'!H1</f>
        <v>Preset 3</v>
      </c>
      <c r="I2" s="200"/>
      <c r="J2" s="199" t="str">
        <f>'Master Sheet'!J1</f>
        <v>Preset 4</v>
      </c>
      <c r="K2" s="200"/>
      <c r="L2" s="199" t="str">
        <f>'Master Sheet'!L1</f>
        <v>Preset 5</v>
      </c>
      <c r="M2" s="200"/>
      <c r="N2" s="880"/>
      <c r="O2" s="315"/>
      <c r="P2" s="198" t="s">
        <v>93</v>
      </c>
      <c r="Q2" s="204"/>
      <c r="R2" s="881" t="str">
        <f>'Master Sheet'!R1</f>
        <v>Farming</v>
      </c>
      <c r="S2" s="881" t="str">
        <f>'Master Sheet'!S1</f>
        <v>Tourney</v>
      </c>
      <c r="T2" s="881" t="str">
        <f>'Master Sheet'!T1</f>
        <v>Preset 3</v>
      </c>
      <c r="U2" s="881" t="str">
        <f>'Master Sheet'!U1</f>
        <v>Preset 4</v>
      </c>
      <c r="V2" s="881" t="str">
        <f>'Master Sheet'!V1</f>
        <v>Preset 5</v>
      </c>
      <c r="W2" s="881" t="str">
        <f>FORMAT_NUMBER(WSPATTACK_TOTAL_COINS_INVESTED()+WSPDEFENSE_TOTAL_COINS_INVESTED()+WSPUTILITY_TOTAL_COINS_INVESTED())</f>
        <v>7 q</v>
      </c>
      <c r="X2" s="315"/>
    </row>
    <row r="3">
      <c r="A3" s="315"/>
      <c r="B3" s="219"/>
      <c r="C3" s="219"/>
      <c r="D3" s="216" t="s">
        <v>98</v>
      </c>
      <c r="E3" s="217" t="s">
        <v>99</v>
      </c>
      <c r="F3" s="218" t="s">
        <v>98</v>
      </c>
      <c r="G3" s="882" t="s">
        <v>99</v>
      </c>
      <c r="H3" s="218" t="s">
        <v>98</v>
      </c>
      <c r="I3" s="883" t="s">
        <v>99</v>
      </c>
      <c r="J3" s="218" t="s">
        <v>98</v>
      </c>
      <c r="K3" s="217" t="s">
        <v>99</v>
      </c>
      <c r="L3" s="218" t="s">
        <v>98</v>
      </c>
      <c r="M3" s="217" t="s">
        <v>99</v>
      </c>
      <c r="N3" s="218" t="s">
        <v>92</v>
      </c>
      <c r="O3" s="884"/>
      <c r="P3" s="215"/>
      <c r="Q3" s="219"/>
      <c r="R3" s="218" t="s">
        <v>335</v>
      </c>
      <c r="S3" s="218" t="s">
        <v>335</v>
      </c>
      <c r="T3" s="218" t="s">
        <v>335</v>
      </c>
      <c r="U3" s="218" t="s">
        <v>335</v>
      </c>
      <c r="V3" s="218" t="s">
        <v>335</v>
      </c>
      <c r="W3" s="885" t="s">
        <v>92</v>
      </c>
      <c r="X3" s="315"/>
    </row>
    <row r="4">
      <c r="A4" s="315"/>
      <c r="B4" s="886"/>
      <c r="C4" s="887" t="s">
        <v>102</v>
      </c>
      <c r="D4" s="888">
        <f>'Master Sheet'!D3</f>
        <v>5750</v>
      </c>
      <c r="E4" s="889">
        <f>'Master Sheet'!E3</f>
        <v>6000</v>
      </c>
      <c r="F4" s="890">
        <f>'Master Sheet'!F3</f>
        <v>5750</v>
      </c>
      <c r="G4" s="891">
        <f>'Master Sheet'!G3</f>
        <v>6000</v>
      </c>
      <c r="H4" s="890" t="str">
        <f>'Master Sheet'!H3</f>
        <v/>
      </c>
      <c r="I4" s="892" t="str">
        <f>'Master Sheet'!I3</f>
        <v/>
      </c>
      <c r="J4" s="890" t="str">
        <f>'Master Sheet'!J3</f>
        <v/>
      </c>
      <c r="K4" s="893" t="str">
        <f>'Master Sheet'!K3</f>
        <v/>
      </c>
      <c r="L4" s="890" t="str">
        <f>'Master Sheet'!L3</f>
        <v/>
      </c>
      <c r="M4" s="893" t="str">
        <f>'Master Sheet'!M3</f>
        <v/>
      </c>
      <c r="N4" s="257">
        <f>'Master Sheet'!N3</f>
        <v>6000</v>
      </c>
      <c r="O4" s="894" t="s">
        <v>336</v>
      </c>
      <c r="P4" s="234" t="s">
        <v>337</v>
      </c>
      <c r="Q4" s="895">
        <f>'Master Sheet'!Q3</f>
        <v>1.56</v>
      </c>
      <c r="R4" s="896">
        <f>'Master Sheet'!R3</f>
        <v>56</v>
      </c>
      <c r="S4" s="897">
        <f>'Master Sheet'!S3</f>
        <v>56</v>
      </c>
      <c r="T4" s="897" t="str">
        <f>'Master Sheet'!T3</f>
        <v/>
      </c>
      <c r="U4" s="897" t="str">
        <f>'Master Sheet'!U3</f>
        <v/>
      </c>
      <c r="V4" s="897" t="str">
        <f>'Master Sheet'!V3</f>
        <v/>
      </c>
      <c r="W4" s="233">
        <f>'Master Sheet'!W3</f>
        <v>400</v>
      </c>
      <c r="X4" s="315"/>
    </row>
    <row r="5">
      <c r="A5" s="315"/>
      <c r="B5" s="224"/>
      <c r="C5" s="887" t="s">
        <v>112</v>
      </c>
      <c r="D5" s="898">
        <f>'Master Sheet'!D4</f>
        <v>99</v>
      </c>
      <c r="E5" s="889">
        <f>'Master Sheet'!E4</f>
        <v>99</v>
      </c>
      <c r="F5" s="890">
        <f>'Master Sheet'!F4</f>
        <v>99</v>
      </c>
      <c r="G5" s="891">
        <f>'Master Sheet'!G4</f>
        <v>99</v>
      </c>
      <c r="H5" s="890" t="str">
        <f>'Master Sheet'!H4</f>
        <v/>
      </c>
      <c r="I5" s="892" t="str">
        <f>'Master Sheet'!I4</f>
        <v/>
      </c>
      <c r="J5" s="890" t="str">
        <f>'Master Sheet'!J4</f>
        <v/>
      </c>
      <c r="K5" s="893" t="str">
        <f>'Master Sheet'!K4</f>
        <v/>
      </c>
      <c r="L5" s="890" t="str">
        <f>'Master Sheet'!L4</f>
        <v/>
      </c>
      <c r="M5" s="893" t="str">
        <f>'Master Sheet'!M4</f>
        <v/>
      </c>
      <c r="N5" s="257">
        <f>'Master Sheet'!N4</f>
        <v>99</v>
      </c>
      <c r="O5" s="214"/>
      <c r="P5" s="234" t="s">
        <v>338</v>
      </c>
      <c r="Q5" s="895">
        <f t="shared" ref="Q5:Q12" si="1">Sum((R5*0.01)+1)</f>
        <v>1.21</v>
      </c>
      <c r="R5" s="899">
        <f>'Master Sheet'!R4</f>
        <v>21</v>
      </c>
      <c r="S5" s="900">
        <f>'Master Sheet'!S4</f>
        <v>21</v>
      </c>
      <c r="T5" s="900" t="str">
        <f>'Master Sheet'!T4</f>
        <v/>
      </c>
      <c r="U5" s="900" t="str">
        <f>'Master Sheet'!U4</f>
        <v/>
      </c>
      <c r="V5" s="900" t="str">
        <f>'Master Sheet'!V4</f>
        <v/>
      </c>
      <c r="W5" s="257">
        <f>'Master Sheet'!W4</f>
        <v>400</v>
      </c>
      <c r="X5" s="315"/>
    </row>
    <row r="6">
      <c r="A6" s="315"/>
      <c r="B6" s="224"/>
      <c r="C6" s="887" t="s">
        <v>115</v>
      </c>
      <c r="D6" s="898">
        <f>'Master Sheet'!D5</f>
        <v>79</v>
      </c>
      <c r="E6" s="889">
        <f>'Master Sheet'!E5</f>
        <v>79</v>
      </c>
      <c r="F6" s="890">
        <f>'Master Sheet'!F5</f>
        <v>79</v>
      </c>
      <c r="G6" s="891">
        <f>'Master Sheet'!G5</f>
        <v>79</v>
      </c>
      <c r="H6" s="890" t="str">
        <f>'Master Sheet'!H5</f>
        <v/>
      </c>
      <c r="I6" s="892" t="str">
        <f>'Master Sheet'!I5</f>
        <v/>
      </c>
      <c r="J6" s="890" t="str">
        <f>'Master Sheet'!J5</f>
        <v/>
      </c>
      <c r="K6" s="893" t="str">
        <f>'Master Sheet'!K5</f>
        <v/>
      </c>
      <c r="L6" s="890" t="str">
        <f>'Master Sheet'!L5</f>
        <v/>
      </c>
      <c r="M6" s="893" t="str">
        <f>'Master Sheet'!M5</f>
        <v/>
      </c>
      <c r="N6" s="257">
        <f>'Master Sheet'!N5</f>
        <v>79</v>
      </c>
      <c r="O6" s="214"/>
      <c r="P6" s="234" t="s">
        <v>339</v>
      </c>
      <c r="Q6" s="895">
        <f t="shared" si="1"/>
        <v>1.6</v>
      </c>
      <c r="R6" s="899">
        <f>'Master Sheet'!R5</f>
        <v>60</v>
      </c>
      <c r="S6" s="900">
        <f>'Master Sheet'!S5</f>
        <v>60</v>
      </c>
      <c r="T6" s="900" t="str">
        <f>'Master Sheet'!T5</f>
        <v/>
      </c>
      <c r="U6" s="900" t="str">
        <f>'Master Sheet'!U5</f>
        <v/>
      </c>
      <c r="V6" s="900" t="str">
        <f>'Master Sheet'!V5</f>
        <v/>
      </c>
      <c r="W6" s="257">
        <f>'Master Sheet'!W5</f>
        <v>400</v>
      </c>
      <c r="X6" s="315"/>
    </row>
    <row r="7">
      <c r="A7" s="315"/>
      <c r="B7" s="901"/>
      <c r="C7" s="887" t="s">
        <v>122</v>
      </c>
      <c r="D7" s="898">
        <f>'Master Sheet'!D6</f>
        <v>150</v>
      </c>
      <c r="E7" s="889">
        <f>'Master Sheet'!E6</f>
        <v>150</v>
      </c>
      <c r="F7" s="890">
        <f>'Master Sheet'!F6</f>
        <v>150</v>
      </c>
      <c r="G7" s="891">
        <f>'Master Sheet'!G6</f>
        <v>150</v>
      </c>
      <c r="H7" s="890" t="str">
        <f>'Master Sheet'!H6</f>
        <v/>
      </c>
      <c r="I7" s="892" t="str">
        <f>'Master Sheet'!I6</f>
        <v/>
      </c>
      <c r="J7" s="890" t="str">
        <f>'Master Sheet'!J6</f>
        <v/>
      </c>
      <c r="K7" s="893" t="str">
        <f>'Master Sheet'!K6</f>
        <v/>
      </c>
      <c r="L7" s="890" t="str">
        <f>'Master Sheet'!L6</f>
        <v/>
      </c>
      <c r="M7" s="893" t="str">
        <f>'Master Sheet'!M6</f>
        <v/>
      </c>
      <c r="N7" s="257">
        <f>'Master Sheet'!N6</f>
        <v>150</v>
      </c>
      <c r="O7" s="214"/>
      <c r="P7" s="234" t="s">
        <v>340</v>
      </c>
      <c r="Q7" s="895">
        <f t="shared" si="1"/>
        <v>1.17</v>
      </c>
      <c r="R7" s="899">
        <f>'Master Sheet'!R6</f>
        <v>17</v>
      </c>
      <c r="S7" s="900">
        <f>'Master Sheet'!S6</f>
        <v>17</v>
      </c>
      <c r="T7" s="900" t="str">
        <f>'Master Sheet'!T6</f>
        <v/>
      </c>
      <c r="U7" s="900" t="str">
        <f>'Master Sheet'!U6</f>
        <v/>
      </c>
      <c r="V7" s="900" t="str">
        <f>'Master Sheet'!V6</f>
        <v/>
      </c>
      <c r="W7" s="257">
        <f>'Master Sheet'!W6</f>
        <v>400</v>
      </c>
      <c r="X7" s="315"/>
    </row>
    <row r="8">
      <c r="A8" s="315"/>
      <c r="B8" s="902" t="b">
        <f>'Master Sheet'!B7</f>
        <v>1</v>
      </c>
      <c r="C8" s="903" t="s">
        <v>341</v>
      </c>
      <c r="D8" s="904">
        <f>'Master Sheet'!D7</f>
        <v>79</v>
      </c>
      <c r="E8" s="905">
        <f>'Master Sheet'!E7</f>
        <v>79</v>
      </c>
      <c r="F8" s="906">
        <f>'Master Sheet'!F7</f>
        <v>79</v>
      </c>
      <c r="G8" s="907">
        <f>'Master Sheet'!G7</f>
        <v>79</v>
      </c>
      <c r="H8" s="906" t="str">
        <f>'Master Sheet'!H7</f>
        <v/>
      </c>
      <c r="I8" s="908" t="str">
        <f>'Master Sheet'!I7</f>
        <v/>
      </c>
      <c r="J8" s="906" t="str">
        <f>'Master Sheet'!J7</f>
        <v/>
      </c>
      <c r="K8" s="909" t="str">
        <f>'Master Sheet'!K7</f>
        <v/>
      </c>
      <c r="L8" s="906" t="str">
        <f>'Master Sheet'!L7</f>
        <v/>
      </c>
      <c r="M8" s="909" t="str">
        <f>'Master Sheet'!M7</f>
        <v/>
      </c>
      <c r="N8" s="287">
        <f>'Master Sheet'!N7</f>
        <v>79</v>
      </c>
      <c r="O8" s="214"/>
      <c r="P8" s="234" t="s">
        <v>342</v>
      </c>
      <c r="Q8" s="895">
        <f t="shared" si="1"/>
        <v>1.57</v>
      </c>
      <c r="R8" s="899">
        <f>'Master Sheet'!R7</f>
        <v>57</v>
      </c>
      <c r="S8" s="900">
        <f>'Master Sheet'!S7</f>
        <v>57</v>
      </c>
      <c r="T8" s="900" t="str">
        <f>'Master Sheet'!T7</f>
        <v/>
      </c>
      <c r="U8" s="900" t="str">
        <f>'Master Sheet'!U7</f>
        <v/>
      </c>
      <c r="V8" s="900" t="str">
        <f>'Master Sheet'!V7</f>
        <v/>
      </c>
      <c r="W8" s="257">
        <f>'Master Sheet'!W7</f>
        <v>400</v>
      </c>
      <c r="X8" s="315"/>
    </row>
    <row r="9">
      <c r="A9" s="315"/>
      <c r="B9" s="901"/>
      <c r="C9" s="910" t="s">
        <v>330</v>
      </c>
      <c r="D9" s="911">
        <f>'Master Sheet'!D8</f>
        <v>180</v>
      </c>
      <c r="E9" s="912">
        <f>'Master Sheet'!E8</f>
        <v>200</v>
      </c>
      <c r="F9" s="913">
        <f>'Master Sheet'!F8</f>
        <v>180</v>
      </c>
      <c r="G9" s="914">
        <f>'Master Sheet'!G8</f>
        <v>200</v>
      </c>
      <c r="H9" s="913" t="str">
        <f>'Master Sheet'!H8</f>
        <v/>
      </c>
      <c r="I9" s="915" t="str">
        <f>'Master Sheet'!I8</f>
        <v/>
      </c>
      <c r="J9" s="913" t="str">
        <f>'Master Sheet'!J8</f>
        <v/>
      </c>
      <c r="K9" s="916" t="str">
        <f>'Master Sheet'!K8</f>
        <v/>
      </c>
      <c r="L9" s="913" t="str">
        <f>'Master Sheet'!L8</f>
        <v/>
      </c>
      <c r="M9" s="916" t="str">
        <f>'Master Sheet'!M8</f>
        <v/>
      </c>
      <c r="N9" s="299">
        <f>'Master Sheet'!N8</f>
        <v>200</v>
      </c>
      <c r="O9" s="214"/>
      <c r="P9" s="300" t="s">
        <v>343</v>
      </c>
      <c r="Q9" s="917">
        <f t="shared" si="1"/>
        <v>1.13</v>
      </c>
      <c r="R9" s="918">
        <f>'Master Sheet'!R8</f>
        <v>13</v>
      </c>
      <c r="S9" s="919">
        <f>'Master Sheet'!S8</f>
        <v>13</v>
      </c>
      <c r="T9" s="919" t="str">
        <f>'Master Sheet'!T8</f>
        <v/>
      </c>
      <c r="U9" s="919" t="str">
        <f>'Master Sheet'!U8</f>
        <v/>
      </c>
      <c r="V9" s="919" t="str">
        <f>'Master Sheet'!V8</f>
        <v/>
      </c>
      <c r="W9" s="385">
        <f>'Master Sheet'!W8</f>
        <v>75</v>
      </c>
      <c r="X9" s="315"/>
    </row>
    <row r="10">
      <c r="A10" s="315"/>
      <c r="B10" s="902" t="b">
        <f>'Master Sheet'!B9</f>
        <v>1</v>
      </c>
      <c r="C10" s="903" t="s">
        <v>344</v>
      </c>
      <c r="D10" s="904">
        <f>'Master Sheet'!D9</f>
        <v>99</v>
      </c>
      <c r="E10" s="905">
        <f>'Master Sheet'!E9</f>
        <v>99</v>
      </c>
      <c r="F10" s="906">
        <f>'Master Sheet'!F9</f>
        <v>99</v>
      </c>
      <c r="G10" s="907">
        <f>'Master Sheet'!G9</f>
        <v>99</v>
      </c>
      <c r="H10" s="906" t="str">
        <f>'Master Sheet'!H9</f>
        <v/>
      </c>
      <c r="I10" s="908" t="str">
        <f>'Master Sheet'!I9</f>
        <v/>
      </c>
      <c r="J10" s="906" t="str">
        <f>'Master Sheet'!J9</f>
        <v/>
      </c>
      <c r="K10" s="909" t="str">
        <f>'Master Sheet'!K9</f>
        <v/>
      </c>
      <c r="L10" s="906" t="str">
        <f>'Master Sheet'!L9</f>
        <v/>
      </c>
      <c r="M10" s="909" t="str">
        <f>'Master Sheet'!M9</f>
        <v/>
      </c>
      <c r="N10" s="287">
        <f>'Master Sheet'!N9</f>
        <v>99</v>
      </c>
      <c r="O10" s="214"/>
      <c r="P10" s="309" t="s">
        <v>345</v>
      </c>
      <c r="Q10" s="319">
        <f t="shared" si="1"/>
        <v>1.62</v>
      </c>
      <c r="R10" s="920">
        <f>'Master Sheet'!R9</f>
        <v>62</v>
      </c>
      <c r="S10" s="921">
        <f>'Master Sheet'!S9</f>
        <v>62</v>
      </c>
      <c r="T10" s="921" t="str">
        <f>'Master Sheet'!T9</f>
        <v/>
      </c>
      <c r="U10" s="921" t="str">
        <f>'Master Sheet'!U9</f>
        <v/>
      </c>
      <c r="V10" s="921" t="str">
        <f>'Master Sheet'!V9</f>
        <v/>
      </c>
      <c r="W10" s="922">
        <f>'Master Sheet'!W9</f>
        <v>400</v>
      </c>
      <c r="X10" s="315"/>
    </row>
    <row r="11">
      <c r="A11" s="315"/>
      <c r="B11" s="901"/>
      <c r="C11" s="910" t="s">
        <v>119</v>
      </c>
      <c r="D11" s="911">
        <f>'Master Sheet'!D10</f>
        <v>7</v>
      </c>
      <c r="E11" s="912">
        <f>'Master Sheet'!E10</f>
        <v>7</v>
      </c>
      <c r="F11" s="913">
        <f>'Master Sheet'!F10</f>
        <v>7</v>
      </c>
      <c r="G11" s="914">
        <f>'Master Sheet'!G10</f>
        <v>7</v>
      </c>
      <c r="H11" s="913" t="str">
        <f>'Master Sheet'!H10</f>
        <v/>
      </c>
      <c r="I11" s="915" t="str">
        <f>'Master Sheet'!I10</f>
        <v/>
      </c>
      <c r="J11" s="913" t="str">
        <f>'Master Sheet'!J10</f>
        <v/>
      </c>
      <c r="K11" s="916" t="str">
        <f>'Master Sheet'!K10</f>
        <v/>
      </c>
      <c r="L11" s="913" t="str">
        <f>'Master Sheet'!L10</f>
        <v/>
      </c>
      <c r="M11" s="916" t="str">
        <f>'Master Sheet'!M10</f>
        <v/>
      </c>
      <c r="N11" s="299">
        <f>'Master Sheet'!N10</f>
        <v>7</v>
      </c>
      <c r="O11" s="214"/>
      <c r="P11" s="309" t="s">
        <v>346</v>
      </c>
      <c r="Q11" s="319">
        <f t="shared" si="1"/>
        <v>1.6</v>
      </c>
      <c r="R11" s="923">
        <f>'Master Sheet'!R10</f>
        <v>60</v>
      </c>
      <c r="S11" s="924">
        <f>'Master Sheet'!S10</f>
        <v>60</v>
      </c>
      <c r="T11" s="924" t="str">
        <f>'Master Sheet'!T10</f>
        <v/>
      </c>
      <c r="U11" s="924" t="str">
        <f>'Master Sheet'!U10</f>
        <v/>
      </c>
      <c r="V11" s="924" t="str">
        <f>'Master Sheet'!V10</f>
        <v/>
      </c>
      <c r="W11" s="395">
        <f>'Master Sheet'!W10</f>
        <v>400</v>
      </c>
      <c r="X11" s="315"/>
    </row>
    <row r="12">
      <c r="A12" s="315"/>
      <c r="B12" s="902" t="b">
        <f>'Master Sheet'!B11</f>
        <v>1</v>
      </c>
      <c r="C12" s="903" t="s">
        <v>347</v>
      </c>
      <c r="D12" s="904">
        <f>'Master Sheet'!D11</f>
        <v>85</v>
      </c>
      <c r="E12" s="905">
        <f>'Master Sheet'!E11</f>
        <v>85</v>
      </c>
      <c r="F12" s="906">
        <f>'Master Sheet'!F11</f>
        <v>85</v>
      </c>
      <c r="G12" s="907">
        <f>'Master Sheet'!G11</f>
        <v>85</v>
      </c>
      <c r="H12" s="906" t="str">
        <f>'Master Sheet'!H11</f>
        <v/>
      </c>
      <c r="I12" s="908" t="str">
        <f>'Master Sheet'!I11</f>
        <v/>
      </c>
      <c r="J12" s="906" t="str">
        <f>'Master Sheet'!J11</f>
        <v/>
      </c>
      <c r="K12" s="909" t="str">
        <f>'Master Sheet'!K11</f>
        <v/>
      </c>
      <c r="L12" s="906" t="str">
        <f>'Master Sheet'!L11</f>
        <v/>
      </c>
      <c r="M12" s="909" t="str">
        <f>'Master Sheet'!M11</f>
        <v/>
      </c>
      <c r="N12" s="287">
        <f>'Master Sheet'!N11</f>
        <v>85</v>
      </c>
      <c r="O12" s="214"/>
      <c r="P12" s="309" t="s">
        <v>348</v>
      </c>
      <c r="Q12" s="319">
        <f t="shared" si="1"/>
        <v>1</v>
      </c>
      <c r="R12" s="923">
        <f>'Master Sheet'!R11</f>
        <v>0</v>
      </c>
      <c r="S12" s="924">
        <f>'Master Sheet'!S11</f>
        <v>0</v>
      </c>
      <c r="T12" s="924" t="str">
        <f>'Master Sheet'!T11</f>
        <v/>
      </c>
      <c r="U12" s="924" t="str">
        <f>'Master Sheet'!U11</f>
        <v/>
      </c>
      <c r="V12" s="924" t="str">
        <f>'Master Sheet'!V11</f>
        <v/>
      </c>
      <c r="W12" s="395">
        <f>'Master Sheet'!W11</f>
        <v>400</v>
      </c>
      <c r="X12" s="315"/>
    </row>
    <row r="13">
      <c r="A13" s="315"/>
      <c r="B13" s="901"/>
      <c r="C13" s="910" t="s">
        <v>349</v>
      </c>
      <c r="D13" s="911">
        <f>'Master Sheet'!D12</f>
        <v>99</v>
      </c>
      <c r="E13" s="912">
        <f>'Master Sheet'!E12</f>
        <v>99</v>
      </c>
      <c r="F13" s="913">
        <f>'Master Sheet'!F12</f>
        <v>99</v>
      </c>
      <c r="G13" s="914">
        <f>'Master Sheet'!G12</f>
        <v>99</v>
      </c>
      <c r="H13" s="913" t="str">
        <f>'Master Sheet'!H12</f>
        <v/>
      </c>
      <c r="I13" s="915" t="str">
        <f>'Master Sheet'!I12</f>
        <v/>
      </c>
      <c r="J13" s="913" t="str">
        <f>'Master Sheet'!J12</f>
        <v/>
      </c>
      <c r="K13" s="916" t="str">
        <f>'Master Sheet'!K12</f>
        <v/>
      </c>
      <c r="L13" s="913" t="str">
        <f>'Master Sheet'!L12</f>
        <v/>
      </c>
      <c r="M13" s="916" t="str">
        <f>'Master Sheet'!M12</f>
        <v/>
      </c>
      <c r="N13" s="299">
        <f>'Master Sheet'!N12</f>
        <v>99</v>
      </c>
      <c r="O13" s="214"/>
      <c r="P13" s="309" t="s">
        <v>350</v>
      </c>
      <c r="Q13" s="319">
        <f>Sum((R13*0.06)+1)</f>
        <v>2.08</v>
      </c>
      <c r="R13" s="925">
        <f>'Master Sheet'!R12</f>
        <v>18</v>
      </c>
      <c r="S13" s="924">
        <f>'Master Sheet'!S12</f>
        <v>18</v>
      </c>
      <c r="T13" s="924" t="str">
        <f>'Master Sheet'!T12</f>
        <v/>
      </c>
      <c r="U13" s="924" t="str">
        <f>'Master Sheet'!U12</f>
        <v/>
      </c>
      <c r="V13" s="924" t="str">
        <f>'Master Sheet'!V12</f>
        <v/>
      </c>
      <c r="W13" s="395">
        <f>'Master Sheet'!W12</f>
        <v>400</v>
      </c>
      <c r="X13" s="315"/>
    </row>
    <row r="14">
      <c r="A14" s="315"/>
      <c r="B14" s="902" t="b">
        <f>'Master Sheet'!B13</f>
        <v>1</v>
      </c>
      <c r="C14" s="903" t="s">
        <v>351</v>
      </c>
      <c r="D14" s="898">
        <f>'Master Sheet'!D13</f>
        <v>85</v>
      </c>
      <c r="E14" s="889">
        <f>'Master Sheet'!E13</f>
        <v>85</v>
      </c>
      <c r="F14" s="890">
        <f>'Master Sheet'!F13</f>
        <v>85</v>
      </c>
      <c r="G14" s="891">
        <f>'Master Sheet'!G13</f>
        <v>85</v>
      </c>
      <c r="H14" s="890" t="str">
        <f>'Master Sheet'!H13</f>
        <v/>
      </c>
      <c r="I14" s="892" t="str">
        <f>'Master Sheet'!I13</f>
        <v/>
      </c>
      <c r="J14" s="890" t="str">
        <f>'Master Sheet'!J13</f>
        <v/>
      </c>
      <c r="K14" s="893" t="str">
        <f>'Master Sheet'!K13</f>
        <v/>
      </c>
      <c r="L14" s="890" t="str">
        <f>'Master Sheet'!L13</f>
        <v/>
      </c>
      <c r="M14" s="893" t="str">
        <f>'Master Sheet'!M13</f>
        <v/>
      </c>
      <c r="N14" s="257">
        <f>'Master Sheet'!N13</f>
        <v>85</v>
      </c>
      <c r="O14" s="214"/>
      <c r="P14" s="309" t="s">
        <v>352</v>
      </c>
      <c r="Q14" s="319">
        <f t="shared" ref="Q14:Q21" si="2">Sum((R14*0.01)+1)</f>
        <v>1.59</v>
      </c>
      <c r="R14" s="923">
        <f>'Master Sheet'!R13</f>
        <v>59</v>
      </c>
      <c r="S14" s="924">
        <f>'Master Sheet'!S13</f>
        <v>59</v>
      </c>
      <c r="T14" s="924" t="str">
        <f>'Master Sheet'!T13</f>
        <v/>
      </c>
      <c r="U14" s="924" t="str">
        <f>'Master Sheet'!U13</f>
        <v/>
      </c>
      <c r="V14" s="924" t="str">
        <f>'Master Sheet'!V13</f>
        <v/>
      </c>
      <c r="W14" s="395">
        <f>'Master Sheet'!W13</f>
        <v>400</v>
      </c>
      <c r="X14" s="315"/>
    </row>
    <row r="15">
      <c r="A15" s="315"/>
      <c r="B15" s="224"/>
      <c r="C15" s="887" t="s">
        <v>353</v>
      </c>
      <c r="D15" s="898">
        <f>'Master Sheet'!D14</f>
        <v>5</v>
      </c>
      <c r="E15" s="889">
        <f>'Master Sheet'!E14</f>
        <v>7</v>
      </c>
      <c r="F15" s="890">
        <f>'Master Sheet'!F14</f>
        <v>5</v>
      </c>
      <c r="G15" s="891">
        <f>'Master Sheet'!G14</f>
        <v>7</v>
      </c>
      <c r="H15" s="890" t="str">
        <f>'Master Sheet'!H14</f>
        <v/>
      </c>
      <c r="I15" s="892" t="str">
        <f>'Master Sheet'!I14</f>
        <v/>
      </c>
      <c r="J15" s="890" t="str">
        <f>'Master Sheet'!J14</f>
        <v/>
      </c>
      <c r="K15" s="893" t="str">
        <f>'Master Sheet'!K14</f>
        <v/>
      </c>
      <c r="L15" s="890" t="str">
        <f>'Master Sheet'!L14</f>
        <v/>
      </c>
      <c r="M15" s="893" t="str">
        <f>'Master Sheet'!M14</f>
        <v/>
      </c>
      <c r="N15" s="257">
        <f>'Master Sheet'!N14</f>
        <v>7</v>
      </c>
      <c r="O15" s="214"/>
      <c r="P15" s="348" t="s">
        <v>354</v>
      </c>
      <c r="Q15" s="349">
        <f t="shared" si="2"/>
        <v>1.2</v>
      </c>
      <c r="R15" s="926">
        <f>'Master Sheet'!R14</f>
        <v>20</v>
      </c>
      <c r="S15" s="927">
        <f>'Master Sheet'!S14</f>
        <v>20</v>
      </c>
      <c r="T15" s="927" t="str">
        <f>'Master Sheet'!T14</f>
        <v/>
      </c>
      <c r="U15" s="927" t="str">
        <f>'Master Sheet'!U14</f>
        <v/>
      </c>
      <c r="V15" s="927" t="str">
        <f>'Master Sheet'!V14</f>
        <v/>
      </c>
      <c r="W15" s="467">
        <f>'Master Sheet'!W14</f>
        <v>200</v>
      </c>
      <c r="X15" s="315"/>
    </row>
    <row r="16">
      <c r="A16" s="315"/>
      <c r="B16" s="901"/>
      <c r="C16" s="887" t="s">
        <v>355</v>
      </c>
      <c r="D16" s="898">
        <f>'Master Sheet'!D15</f>
        <v>60</v>
      </c>
      <c r="E16" s="889">
        <f>'Master Sheet'!E15</f>
        <v>60</v>
      </c>
      <c r="F16" s="890">
        <f>'Master Sheet'!F15</f>
        <v>60</v>
      </c>
      <c r="G16" s="891">
        <f>'Master Sheet'!G15</f>
        <v>60</v>
      </c>
      <c r="H16" s="890" t="str">
        <f>'Master Sheet'!H15</f>
        <v/>
      </c>
      <c r="I16" s="892" t="str">
        <f>'Master Sheet'!I15</f>
        <v/>
      </c>
      <c r="J16" s="890" t="str">
        <f>'Master Sheet'!J15</f>
        <v/>
      </c>
      <c r="K16" s="893" t="str">
        <f>'Master Sheet'!K15</f>
        <v/>
      </c>
      <c r="L16" s="890" t="str">
        <f>'Master Sheet'!L15</f>
        <v/>
      </c>
      <c r="M16" s="893" t="str">
        <f>'Master Sheet'!M15</f>
        <v/>
      </c>
      <c r="N16" s="257">
        <f>'Master Sheet'!N15</f>
        <v>60</v>
      </c>
      <c r="O16" s="214"/>
      <c r="P16" s="469" t="s">
        <v>356</v>
      </c>
      <c r="Q16" s="365">
        <f t="shared" si="2"/>
        <v>1.44</v>
      </c>
      <c r="R16" s="928">
        <f>'Master Sheet'!R15</f>
        <v>44</v>
      </c>
      <c r="S16" s="929">
        <f>'Master Sheet'!S15</f>
        <v>44</v>
      </c>
      <c r="T16" s="929" t="str">
        <f>'Master Sheet'!T15</f>
        <v/>
      </c>
      <c r="U16" s="929" t="str">
        <f>'Master Sheet'!U15</f>
        <v/>
      </c>
      <c r="V16" s="929" t="str">
        <f>'Master Sheet'!V15</f>
        <v/>
      </c>
      <c r="W16" s="930">
        <f>'Master Sheet'!W15</f>
        <v>400</v>
      </c>
      <c r="X16" s="315"/>
    </row>
    <row r="17">
      <c r="A17" s="315"/>
      <c r="B17" s="902" t="b">
        <f>'Master Sheet'!B16</f>
        <v>1</v>
      </c>
      <c r="C17" s="903" t="s">
        <v>357</v>
      </c>
      <c r="D17" s="904">
        <f>'Master Sheet'!D16</f>
        <v>100</v>
      </c>
      <c r="E17" s="905">
        <f>'Master Sheet'!E16</f>
        <v>100</v>
      </c>
      <c r="F17" s="906">
        <f>'Master Sheet'!F16</f>
        <v>100</v>
      </c>
      <c r="G17" s="907">
        <f>'Master Sheet'!G16</f>
        <v>100</v>
      </c>
      <c r="H17" s="906" t="str">
        <f>'Master Sheet'!H16</f>
        <v/>
      </c>
      <c r="I17" s="908" t="str">
        <f>'Master Sheet'!I16</f>
        <v/>
      </c>
      <c r="J17" s="906" t="str">
        <f>'Master Sheet'!J16</f>
        <v/>
      </c>
      <c r="K17" s="909" t="str">
        <f>'Master Sheet'!K16</f>
        <v/>
      </c>
      <c r="L17" s="906" t="str">
        <f>'Master Sheet'!L16</f>
        <v/>
      </c>
      <c r="M17" s="909" t="str">
        <f>'Master Sheet'!M16</f>
        <v/>
      </c>
      <c r="N17" s="287">
        <f>'Master Sheet'!N16</f>
        <v>100</v>
      </c>
      <c r="O17" s="214"/>
      <c r="P17" s="469" t="s">
        <v>358</v>
      </c>
      <c r="Q17" s="365">
        <f t="shared" si="2"/>
        <v>1.33</v>
      </c>
      <c r="R17" s="931">
        <f>'Master Sheet'!R16</f>
        <v>33</v>
      </c>
      <c r="S17" s="932">
        <f>'Master Sheet'!S16</f>
        <v>33</v>
      </c>
      <c r="T17" s="932" t="str">
        <f>'Master Sheet'!T16</f>
        <v/>
      </c>
      <c r="U17" s="932" t="str">
        <f>'Master Sheet'!U16</f>
        <v/>
      </c>
      <c r="V17" s="932" t="str">
        <f>'Master Sheet'!V16</f>
        <v/>
      </c>
      <c r="W17" s="474">
        <f>'Master Sheet'!W16</f>
        <v>200</v>
      </c>
      <c r="X17" s="315"/>
    </row>
    <row r="18">
      <c r="A18" s="315"/>
      <c r="B18" s="901"/>
      <c r="C18" s="910" t="s">
        <v>359</v>
      </c>
      <c r="D18" s="911">
        <f>'Master Sheet'!D17</f>
        <v>100</v>
      </c>
      <c r="E18" s="912">
        <f>'Master Sheet'!E17</f>
        <v>120</v>
      </c>
      <c r="F18" s="913">
        <f>'Master Sheet'!F17</f>
        <v>100</v>
      </c>
      <c r="G18" s="914">
        <f>'Master Sheet'!G17</f>
        <v>120</v>
      </c>
      <c r="H18" s="913" t="str">
        <f>'Master Sheet'!H17</f>
        <v/>
      </c>
      <c r="I18" s="915" t="str">
        <f>'Master Sheet'!I17</f>
        <v/>
      </c>
      <c r="J18" s="913" t="str">
        <f>'Master Sheet'!J17</f>
        <v/>
      </c>
      <c r="K18" s="916" t="str">
        <f>'Master Sheet'!K17</f>
        <v/>
      </c>
      <c r="L18" s="913" t="str">
        <f>'Master Sheet'!L17</f>
        <v/>
      </c>
      <c r="M18" s="916" t="str">
        <f>'Master Sheet'!M17</f>
        <v/>
      </c>
      <c r="N18" s="299">
        <f>'Master Sheet'!N17</f>
        <v>120</v>
      </c>
      <c r="O18" s="214"/>
      <c r="P18" s="469" t="s">
        <v>360</v>
      </c>
      <c r="Q18" s="365">
        <f t="shared" si="2"/>
        <v>1.25</v>
      </c>
      <c r="R18" s="933">
        <f>'Master Sheet'!R17</f>
        <v>25</v>
      </c>
      <c r="S18" s="932">
        <f>'Master Sheet'!S17</f>
        <v>25</v>
      </c>
      <c r="T18" s="932" t="str">
        <f>'Master Sheet'!T17</f>
        <v/>
      </c>
      <c r="U18" s="932" t="str">
        <f>'Master Sheet'!U17</f>
        <v/>
      </c>
      <c r="V18" s="932" t="str">
        <f>'Master Sheet'!V17</f>
        <v/>
      </c>
      <c r="W18" s="474">
        <f>'Master Sheet'!W17</f>
        <v>200</v>
      </c>
      <c r="X18" s="315"/>
    </row>
    <row r="19">
      <c r="A19" s="315"/>
      <c r="B19" s="902" t="b">
        <f>'Master Sheet'!B18</f>
        <v>1</v>
      </c>
      <c r="C19" s="903" t="s">
        <v>361</v>
      </c>
      <c r="D19" s="898">
        <f>'Master Sheet'!D18</f>
        <v>80</v>
      </c>
      <c r="E19" s="934">
        <f>'Master Sheet'!E18</f>
        <v>299</v>
      </c>
      <c r="F19" s="890">
        <f>'Master Sheet'!F18</f>
        <v>80</v>
      </c>
      <c r="G19" s="891">
        <f>'Master Sheet'!G18</f>
        <v>299</v>
      </c>
      <c r="H19" s="890" t="str">
        <f>'Master Sheet'!H18</f>
        <v/>
      </c>
      <c r="I19" s="892" t="str">
        <f>'Master Sheet'!I18</f>
        <v/>
      </c>
      <c r="J19" s="890" t="str">
        <f>'Master Sheet'!J18</f>
        <v/>
      </c>
      <c r="K19" s="893" t="str">
        <f>'Master Sheet'!K18</f>
        <v/>
      </c>
      <c r="L19" s="890" t="str">
        <f>'Master Sheet'!L18</f>
        <v/>
      </c>
      <c r="M19" s="893" t="str">
        <f>'Master Sheet'!M18</f>
        <v/>
      </c>
      <c r="N19" s="257">
        <f>'Master Sheet'!N18</f>
        <v>299</v>
      </c>
      <c r="O19" s="214"/>
      <c r="P19" s="469" t="s">
        <v>362</v>
      </c>
      <c r="Q19" s="365">
        <f t="shared" si="2"/>
        <v>1.12</v>
      </c>
      <c r="R19" s="931">
        <f>'Master Sheet'!R18</f>
        <v>12</v>
      </c>
      <c r="S19" s="932">
        <f>'Master Sheet'!S18</f>
        <v>12</v>
      </c>
      <c r="T19" s="932" t="str">
        <f>'Master Sheet'!T18</f>
        <v/>
      </c>
      <c r="U19" s="932" t="str">
        <f>'Master Sheet'!U18</f>
        <v/>
      </c>
      <c r="V19" s="932" t="str">
        <f>'Master Sheet'!V18</f>
        <v/>
      </c>
      <c r="W19" s="474">
        <f>'Master Sheet'!W18</f>
        <v>100</v>
      </c>
      <c r="X19" s="315"/>
    </row>
    <row r="20">
      <c r="A20" s="315"/>
      <c r="B20" s="219"/>
      <c r="C20" s="935" t="s">
        <v>363</v>
      </c>
      <c r="D20" s="936">
        <f>'Master Sheet'!D19</f>
        <v>70</v>
      </c>
      <c r="E20" s="937">
        <f>'Master Sheet'!E19</f>
        <v>299</v>
      </c>
      <c r="F20" s="938">
        <f>'Master Sheet'!F19</f>
        <v>70</v>
      </c>
      <c r="G20" s="939">
        <f>'Master Sheet'!G19</f>
        <v>299</v>
      </c>
      <c r="H20" s="938" t="str">
        <f>'Master Sheet'!H19</f>
        <v/>
      </c>
      <c r="I20" s="940" t="str">
        <f>'Master Sheet'!I19</f>
        <v/>
      </c>
      <c r="J20" s="938" t="str">
        <f>'Master Sheet'!J19</f>
        <v/>
      </c>
      <c r="K20" s="941" t="str">
        <f>'Master Sheet'!K19</f>
        <v/>
      </c>
      <c r="L20" s="938" t="str">
        <f>'Master Sheet'!L19</f>
        <v/>
      </c>
      <c r="M20" s="941" t="str">
        <f>'Master Sheet'!M19</f>
        <v/>
      </c>
      <c r="N20" s="385">
        <f>'Master Sheet'!N19</f>
        <v>299</v>
      </c>
      <c r="O20" s="214"/>
      <c r="P20" s="469" t="s">
        <v>364</v>
      </c>
      <c r="Q20" s="365">
        <f t="shared" si="2"/>
        <v>1.42</v>
      </c>
      <c r="R20" s="931">
        <f>'Master Sheet'!R19</f>
        <v>42</v>
      </c>
      <c r="S20" s="932">
        <f>'Master Sheet'!S19</f>
        <v>42</v>
      </c>
      <c r="T20" s="932" t="str">
        <f>'Master Sheet'!T19</f>
        <v/>
      </c>
      <c r="U20" s="932" t="str">
        <f>'Master Sheet'!U19</f>
        <v/>
      </c>
      <c r="V20" s="932" t="str">
        <f>'Master Sheet'!V19</f>
        <v/>
      </c>
      <c r="W20" s="474">
        <f>'Master Sheet'!W19</f>
        <v>300</v>
      </c>
      <c r="X20" s="315"/>
    </row>
    <row r="21">
      <c r="A21" s="315"/>
      <c r="B21" s="942" t="s">
        <v>156</v>
      </c>
      <c r="C21" s="943" t="s">
        <v>124</v>
      </c>
      <c r="D21" s="944">
        <f>'Master Sheet'!D20</f>
        <v>5700</v>
      </c>
      <c r="E21" s="945">
        <f>'Master Sheet'!E20</f>
        <v>6000</v>
      </c>
      <c r="F21" s="946">
        <f>'Master Sheet'!F20</f>
        <v>5700</v>
      </c>
      <c r="G21" s="947">
        <f>'Master Sheet'!G20</f>
        <v>6000</v>
      </c>
      <c r="H21" s="946" t="str">
        <f>'Master Sheet'!H20</f>
        <v/>
      </c>
      <c r="I21" s="948" t="str">
        <f>'Master Sheet'!I20</f>
        <v/>
      </c>
      <c r="J21" s="946" t="str">
        <f>'Master Sheet'!J20</f>
        <v/>
      </c>
      <c r="K21" s="948" t="str">
        <f>'Master Sheet'!K20</f>
        <v/>
      </c>
      <c r="L21" s="946" t="str">
        <f>'Master Sheet'!L20</f>
        <v/>
      </c>
      <c r="M21" s="948" t="str">
        <f>'Master Sheet'!M20</f>
        <v/>
      </c>
      <c r="N21" s="395">
        <f>'Master Sheet'!N20</f>
        <v>6000</v>
      </c>
      <c r="O21" s="214"/>
      <c r="P21" s="513" t="s">
        <v>365</v>
      </c>
      <c r="Q21" s="397">
        <f t="shared" si="2"/>
        <v>1.15</v>
      </c>
      <c r="R21" s="949">
        <f>'Master Sheet'!R20</f>
        <v>15</v>
      </c>
      <c r="S21" s="950">
        <f>'Master Sheet'!S20</f>
        <v>15</v>
      </c>
      <c r="T21" s="950" t="str">
        <f>'Master Sheet'!T20</f>
        <v/>
      </c>
      <c r="U21" s="950" t="str">
        <f>'Master Sheet'!U20</f>
        <v/>
      </c>
      <c r="V21" s="950" t="str">
        <f>'Master Sheet'!V20</f>
        <v/>
      </c>
      <c r="W21" s="518">
        <f>'Master Sheet'!W20</f>
        <v>60</v>
      </c>
      <c r="X21" s="315"/>
    </row>
    <row r="22">
      <c r="A22" s="315"/>
      <c r="B22" s="901"/>
      <c r="C22" s="943" t="s">
        <v>138</v>
      </c>
      <c r="D22" s="944">
        <f>'Master Sheet'!D21</f>
        <v>6000</v>
      </c>
      <c r="E22" s="945">
        <f>'Master Sheet'!E21</f>
        <v>6000</v>
      </c>
      <c r="F22" s="946">
        <f>'Master Sheet'!F21</f>
        <v>6000</v>
      </c>
      <c r="G22" s="947">
        <f>'Master Sheet'!G21</f>
        <v>6000</v>
      </c>
      <c r="H22" s="946" t="str">
        <f>'Master Sheet'!H21</f>
        <v/>
      </c>
      <c r="I22" s="948" t="str">
        <f>'Master Sheet'!I21</f>
        <v/>
      </c>
      <c r="J22" s="946" t="str">
        <f>'Master Sheet'!J21</f>
        <v/>
      </c>
      <c r="K22" s="948" t="str">
        <f>'Master Sheet'!K21</f>
        <v/>
      </c>
      <c r="L22" s="946" t="str">
        <f>'Master Sheet'!L21</f>
        <v/>
      </c>
      <c r="M22" s="948" t="str">
        <f>'Master Sheet'!M21</f>
        <v/>
      </c>
      <c r="N22" s="395">
        <f>'Master Sheet'!N21</f>
        <v>6000</v>
      </c>
      <c r="O22" s="214"/>
      <c r="P22" s="315"/>
      <c r="Q22" s="315"/>
      <c r="R22" s="315"/>
      <c r="S22" s="315"/>
      <c r="T22" s="315"/>
      <c r="U22" s="315"/>
      <c r="V22" s="315"/>
      <c r="W22" s="315"/>
      <c r="X22" s="315"/>
    </row>
    <row r="23">
      <c r="A23" s="315"/>
      <c r="B23" s="951" t="b">
        <f>'Master Sheet'!B22</f>
        <v>1</v>
      </c>
      <c r="C23" s="952" t="s">
        <v>160</v>
      </c>
      <c r="D23" s="953">
        <f>'Master Sheet'!D22</f>
        <v>99</v>
      </c>
      <c r="E23" s="954">
        <f>'Master Sheet'!E22</f>
        <v>99</v>
      </c>
      <c r="F23" s="955">
        <f>'Master Sheet'!F22</f>
        <v>99</v>
      </c>
      <c r="G23" s="956">
        <f>'Master Sheet'!G22</f>
        <v>99</v>
      </c>
      <c r="H23" s="955" t="str">
        <f>'Master Sheet'!H22</f>
        <v/>
      </c>
      <c r="I23" s="957" t="str">
        <f>'Master Sheet'!I22</f>
        <v/>
      </c>
      <c r="J23" s="955" t="str">
        <f>'Master Sheet'!J22</f>
        <v/>
      </c>
      <c r="K23" s="957" t="str">
        <f>'Master Sheet'!K22</f>
        <v/>
      </c>
      <c r="L23" s="955" t="str">
        <f>'Master Sheet'!L22</f>
        <v/>
      </c>
      <c r="M23" s="957" t="str">
        <f>'Master Sheet'!M22</f>
        <v/>
      </c>
      <c r="N23" s="409">
        <f>'Master Sheet'!N22</f>
        <v>99</v>
      </c>
      <c r="O23" s="214"/>
      <c r="P23" s="315"/>
      <c r="Q23" s="315"/>
      <c r="R23" s="315"/>
      <c r="S23" s="315"/>
      <c r="T23" s="315"/>
      <c r="U23" s="315"/>
      <c r="V23" s="315"/>
      <c r="W23" s="315"/>
      <c r="X23" s="315"/>
    </row>
    <row r="24">
      <c r="A24" s="315"/>
      <c r="B24" s="901"/>
      <c r="C24" s="958" t="s">
        <v>207</v>
      </c>
      <c r="D24" s="959">
        <f>'Master Sheet'!D23</f>
        <v>5000</v>
      </c>
      <c r="E24" s="960">
        <f>'Master Sheet'!E23</f>
        <v>5000</v>
      </c>
      <c r="F24" s="961">
        <f>'Master Sheet'!F23</f>
        <v>5000</v>
      </c>
      <c r="G24" s="962">
        <f>'Master Sheet'!G23</f>
        <v>5000</v>
      </c>
      <c r="H24" s="961" t="str">
        <f>'Master Sheet'!H23</f>
        <v/>
      </c>
      <c r="I24" s="963" t="str">
        <f>'Master Sheet'!I23</f>
        <v/>
      </c>
      <c r="J24" s="961" t="str">
        <f>'Master Sheet'!J23</f>
        <v/>
      </c>
      <c r="K24" s="963" t="str">
        <f>'Master Sheet'!K23</f>
        <v/>
      </c>
      <c r="L24" s="961" t="str">
        <f>'Master Sheet'!L23</f>
        <v/>
      </c>
      <c r="M24" s="963" t="str">
        <f>'Master Sheet'!M23</f>
        <v/>
      </c>
      <c r="N24" s="419">
        <f>'Master Sheet'!N23</f>
        <v>5000</v>
      </c>
      <c r="O24" s="214"/>
      <c r="P24" s="315"/>
      <c r="Q24" s="315"/>
      <c r="R24" s="315"/>
      <c r="S24" s="315"/>
      <c r="T24" s="315"/>
      <c r="U24" s="315"/>
      <c r="V24" s="315"/>
      <c r="W24" s="315"/>
      <c r="X24" s="315"/>
    </row>
    <row r="25">
      <c r="A25" s="315"/>
      <c r="B25" s="964" t="b">
        <f>'Master Sheet'!B24</f>
        <v>1</v>
      </c>
      <c r="C25" s="952" t="s">
        <v>366</v>
      </c>
      <c r="D25" s="959">
        <f>'Master Sheet'!D24</f>
        <v>99</v>
      </c>
      <c r="E25" s="960">
        <f>'Master Sheet'!E24</f>
        <v>99</v>
      </c>
      <c r="F25" s="961">
        <f>'Master Sheet'!F24</f>
        <v>99</v>
      </c>
      <c r="G25" s="962">
        <f>'Master Sheet'!G24</f>
        <v>99</v>
      </c>
      <c r="H25" s="961" t="str">
        <f>'Master Sheet'!H24</f>
        <v/>
      </c>
      <c r="I25" s="963" t="str">
        <f>'Master Sheet'!I24</f>
        <v/>
      </c>
      <c r="J25" s="961" t="str">
        <f>'Master Sheet'!J24</f>
        <v/>
      </c>
      <c r="K25" s="963" t="str">
        <f>'Master Sheet'!K24</f>
        <v/>
      </c>
      <c r="L25" s="961" t="str">
        <f>'Master Sheet'!L24</f>
        <v/>
      </c>
      <c r="M25" s="963" t="str">
        <f>'Master Sheet'!M24</f>
        <v/>
      </c>
      <c r="N25" s="395">
        <f>'Master Sheet'!N24</f>
        <v>99</v>
      </c>
      <c r="O25" s="214"/>
      <c r="P25" s="315"/>
      <c r="Q25" s="315"/>
      <c r="R25" s="315"/>
      <c r="S25" s="315"/>
      <c r="T25" s="315"/>
      <c r="U25" s="315"/>
      <c r="V25" s="315"/>
      <c r="W25" s="315"/>
      <c r="X25" s="315"/>
    </row>
    <row r="26">
      <c r="A26" s="315"/>
      <c r="B26" s="964" t="b">
        <f>'Master Sheet'!B25</f>
        <v>1</v>
      </c>
      <c r="C26" s="952" t="s">
        <v>331</v>
      </c>
      <c r="D26" s="959">
        <f>'Master Sheet'!D25</f>
        <v>80</v>
      </c>
      <c r="E26" s="960">
        <f>'Master Sheet'!E25</f>
        <v>80</v>
      </c>
      <c r="F26" s="961">
        <f>'Master Sheet'!F25</f>
        <v>80</v>
      </c>
      <c r="G26" s="962">
        <f>'Master Sheet'!G25</f>
        <v>80</v>
      </c>
      <c r="H26" s="961" t="str">
        <f>'Master Sheet'!H25</f>
        <v/>
      </c>
      <c r="I26" s="963" t="str">
        <f>'Master Sheet'!I25</f>
        <v/>
      </c>
      <c r="J26" s="961" t="str">
        <f>'Master Sheet'!J25</f>
        <v/>
      </c>
      <c r="K26" s="963" t="str">
        <f>'Master Sheet'!K25</f>
        <v/>
      </c>
      <c r="L26" s="961" t="str">
        <f>'Master Sheet'!L25</f>
        <v/>
      </c>
      <c r="M26" s="963" t="str">
        <f>'Master Sheet'!M25</f>
        <v/>
      </c>
      <c r="N26" s="409">
        <f>'Master Sheet'!N25</f>
        <v>80</v>
      </c>
      <c r="O26" s="214"/>
      <c r="P26" s="315"/>
      <c r="Q26" s="315"/>
      <c r="R26" s="315"/>
      <c r="S26" s="315"/>
      <c r="T26" s="315"/>
      <c r="U26" s="315"/>
      <c r="V26" s="315"/>
      <c r="W26" s="315"/>
      <c r="X26" s="315"/>
    </row>
    <row r="27">
      <c r="A27" s="315"/>
      <c r="B27" s="951" t="b">
        <f>'Master Sheet'!B26</f>
        <v>1</v>
      </c>
      <c r="C27" s="952" t="s">
        <v>367</v>
      </c>
      <c r="D27" s="953">
        <f>'Master Sheet'!D26</f>
        <v>80</v>
      </c>
      <c r="E27" s="954">
        <f>'Master Sheet'!E26</f>
        <v>80</v>
      </c>
      <c r="F27" s="955">
        <f>'Master Sheet'!F26</f>
        <v>80</v>
      </c>
      <c r="G27" s="956">
        <f>'Master Sheet'!G26</f>
        <v>80</v>
      </c>
      <c r="H27" s="955" t="str">
        <f>'Master Sheet'!H26</f>
        <v/>
      </c>
      <c r="I27" s="957" t="str">
        <f>'Master Sheet'!I26</f>
        <v/>
      </c>
      <c r="J27" s="955" t="str">
        <f>'Master Sheet'!J26</f>
        <v/>
      </c>
      <c r="K27" s="957" t="str">
        <f>'Master Sheet'!K26</f>
        <v/>
      </c>
      <c r="L27" s="955" t="str">
        <f>'Master Sheet'!L26</f>
        <v/>
      </c>
      <c r="M27" s="957" t="str">
        <f>'Master Sheet'!M26</f>
        <v/>
      </c>
      <c r="N27" s="409">
        <f>'Master Sheet'!N26</f>
        <v>80</v>
      </c>
      <c r="O27" s="214"/>
      <c r="P27" s="315"/>
      <c r="Q27" s="315"/>
      <c r="R27" s="315"/>
      <c r="S27" s="315"/>
      <c r="T27" s="315"/>
      <c r="U27" s="315"/>
      <c r="V27" s="315"/>
      <c r="W27" s="315"/>
      <c r="X27" s="315"/>
    </row>
    <row r="28">
      <c r="A28" s="315"/>
      <c r="B28" s="901"/>
      <c r="C28" s="958" t="s">
        <v>158</v>
      </c>
      <c r="D28" s="959">
        <f>'Master Sheet'!D27</f>
        <v>40</v>
      </c>
      <c r="E28" s="960">
        <f>'Master Sheet'!E27</f>
        <v>40</v>
      </c>
      <c r="F28" s="961">
        <f>'Master Sheet'!F27</f>
        <v>40</v>
      </c>
      <c r="G28" s="962">
        <f>'Master Sheet'!G27</f>
        <v>40</v>
      </c>
      <c r="H28" s="961" t="str">
        <f>'Master Sheet'!H27</f>
        <v/>
      </c>
      <c r="I28" s="963" t="str">
        <f>'Master Sheet'!I27</f>
        <v/>
      </c>
      <c r="J28" s="961" t="str">
        <f>'Master Sheet'!J27</f>
        <v/>
      </c>
      <c r="K28" s="963" t="str">
        <f>'Master Sheet'!K27</f>
        <v/>
      </c>
      <c r="L28" s="961" t="str">
        <f>'Master Sheet'!L27</f>
        <v/>
      </c>
      <c r="M28" s="963" t="str">
        <f>'Master Sheet'!M27</f>
        <v/>
      </c>
      <c r="N28" s="419">
        <f>'Master Sheet'!N27</f>
        <v>40</v>
      </c>
      <c r="O28" s="214"/>
      <c r="P28" s="315"/>
      <c r="Q28" s="315"/>
      <c r="R28" s="315"/>
      <c r="S28" s="315"/>
      <c r="T28" s="315"/>
      <c r="U28" s="315"/>
      <c r="V28" s="315"/>
      <c r="W28" s="315"/>
      <c r="X28" s="315"/>
    </row>
    <row r="29">
      <c r="A29" s="315"/>
      <c r="B29" s="951" t="b">
        <f>'Master Sheet'!B28</f>
        <v>1</v>
      </c>
      <c r="C29" s="952" t="s">
        <v>168</v>
      </c>
      <c r="D29" s="953">
        <f>'Master Sheet'!D28</f>
        <v>38</v>
      </c>
      <c r="E29" s="954">
        <f>'Master Sheet'!E28</f>
        <v>38</v>
      </c>
      <c r="F29" s="955">
        <f>'Master Sheet'!F28</f>
        <v>38</v>
      </c>
      <c r="G29" s="956">
        <f>'Master Sheet'!G28</f>
        <v>38</v>
      </c>
      <c r="H29" s="955" t="str">
        <f>'Master Sheet'!H28</f>
        <v/>
      </c>
      <c r="I29" s="957" t="str">
        <f>'Master Sheet'!I28</f>
        <v/>
      </c>
      <c r="J29" s="955" t="str">
        <f>'Master Sheet'!J28</f>
        <v/>
      </c>
      <c r="K29" s="957" t="str">
        <f>'Master Sheet'!K28</f>
        <v/>
      </c>
      <c r="L29" s="955" t="str">
        <f>'Master Sheet'!L28</f>
        <v/>
      </c>
      <c r="M29" s="957" t="str">
        <f>'Master Sheet'!M28</f>
        <v/>
      </c>
      <c r="N29" s="409">
        <f>'Master Sheet'!N28</f>
        <v>38</v>
      </c>
      <c r="O29" s="214"/>
      <c r="P29" s="315"/>
      <c r="Q29" s="315"/>
      <c r="R29" s="315"/>
      <c r="S29" s="315"/>
      <c r="T29" s="315"/>
      <c r="U29" s="315"/>
      <c r="V29" s="315"/>
      <c r="W29" s="315"/>
      <c r="X29" s="315"/>
    </row>
    <row r="30">
      <c r="A30" s="315"/>
      <c r="B30" s="901"/>
      <c r="C30" s="958" t="s">
        <v>368</v>
      </c>
      <c r="D30" s="944">
        <f>'Master Sheet'!D29</f>
        <v>4</v>
      </c>
      <c r="E30" s="965">
        <f>'Master Sheet'!E29</f>
        <v>4</v>
      </c>
      <c r="F30" s="946">
        <f>'Master Sheet'!F29</f>
        <v>4</v>
      </c>
      <c r="G30" s="947">
        <f>'Master Sheet'!G29</f>
        <v>4</v>
      </c>
      <c r="H30" s="946" t="str">
        <f>'Master Sheet'!H29</f>
        <v/>
      </c>
      <c r="I30" s="948" t="str">
        <f>'Master Sheet'!I29</f>
        <v/>
      </c>
      <c r="J30" s="946" t="str">
        <f>'Master Sheet'!J29</f>
        <v/>
      </c>
      <c r="K30" s="948" t="str">
        <f>'Master Sheet'!K29</f>
        <v/>
      </c>
      <c r="L30" s="946" t="str">
        <f>'Master Sheet'!L29</f>
        <v/>
      </c>
      <c r="M30" s="948" t="str">
        <f>'Master Sheet'!M29</f>
        <v/>
      </c>
      <c r="N30" s="419">
        <f>'Master Sheet'!N29</f>
        <v>4</v>
      </c>
      <c r="O30" s="214"/>
      <c r="P30" s="315"/>
      <c r="Q30" s="315"/>
      <c r="R30" s="315"/>
      <c r="S30" s="315"/>
      <c r="T30" s="315"/>
      <c r="U30" s="315"/>
      <c r="V30" s="315"/>
      <c r="W30" s="315"/>
      <c r="X30" s="315"/>
    </row>
    <row r="31">
      <c r="A31" s="315"/>
      <c r="B31" s="951" t="b">
        <f>'Master Sheet'!B30</f>
        <v>1</v>
      </c>
      <c r="C31" s="952" t="s">
        <v>369</v>
      </c>
      <c r="D31" s="953">
        <f>'Master Sheet'!D30</f>
        <v>35</v>
      </c>
      <c r="E31" s="954">
        <f>'Master Sheet'!E30</f>
        <v>35</v>
      </c>
      <c r="F31" s="955">
        <f>'Master Sheet'!F30</f>
        <v>35</v>
      </c>
      <c r="G31" s="956">
        <f>'Master Sheet'!G30</f>
        <v>35</v>
      </c>
      <c r="H31" s="955" t="str">
        <f>'Master Sheet'!H30</f>
        <v/>
      </c>
      <c r="I31" s="957" t="str">
        <f>'Master Sheet'!I30</f>
        <v/>
      </c>
      <c r="J31" s="955" t="str">
        <f>'Master Sheet'!J30</f>
        <v/>
      </c>
      <c r="K31" s="957" t="str">
        <f>'Master Sheet'!K30</f>
        <v/>
      </c>
      <c r="L31" s="955" t="str">
        <f>'Master Sheet'!L30</f>
        <v/>
      </c>
      <c r="M31" s="957" t="str">
        <f>'Master Sheet'!M30</f>
        <v/>
      </c>
      <c r="N31" s="409">
        <f>'Master Sheet'!N30</f>
        <v>35</v>
      </c>
      <c r="O31" s="214"/>
      <c r="P31" s="315"/>
      <c r="Q31" s="315"/>
      <c r="R31" s="315"/>
      <c r="S31" s="315"/>
      <c r="T31" s="315"/>
      <c r="U31" s="315"/>
      <c r="V31" s="315"/>
      <c r="W31" s="315"/>
      <c r="X31" s="315"/>
    </row>
    <row r="32">
      <c r="A32" s="315"/>
      <c r="B32" s="901"/>
      <c r="C32" s="958" t="s">
        <v>370</v>
      </c>
      <c r="D32" s="944">
        <f>'Master Sheet'!D31</f>
        <v>40</v>
      </c>
      <c r="E32" s="945">
        <f>'Master Sheet'!E31</f>
        <v>40</v>
      </c>
      <c r="F32" s="946">
        <f>'Master Sheet'!F31</f>
        <v>40</v>
      </c>
      <c r="G32" s="947">
        <f>'Master Sheet'!G31</f>
        <v>40</v>
      </c>
      <c r="H32" s="946" t="str">
        <f>'Master Sheet'!H31</f>
        <v/>
      </c>
      <c r="I32" s="948" t="str">
        <f>'Master Sheet'!I31</f>
        <v/>
      </c>
      <c r="J32" s="946" t="str">
        <f>'Master Sheet'!J31</f>
        <v/>
      </c>
      <c r="K32" s="948" t="str">
        <f>'Master Sheet'!K31</f>
        <v/>
      </c>
      <c r="L32" s="946" t="str">
        <f>'Master Sheet'!L31</f>
        <v/>
      </c>
      <c r="M32" s="948" t="str">
        <f>'Master Sheet'!M31</f>
        <v/>
      </c>
      <c r="N32" s="419">
        <f>'Master Sheet'!N31</f>
        <v>40</v>
      </c>
      <c r="O32" s="214"/>
      <c r="P32" s="315"/>
      <c r="Q32" s="315"/>
      <c r="R32" s="315"/>
      <c r="S32" s="315"/>
      <c r="T32" s="315"/>
      <c r="U32" s="315"/>
      <c r="V32" s="315"/>
      <c r="W32" s="315"/>
      <c r="X32" s="315"/>
    </row>
    <row r="33">
      <c r="A33" s="315"/>
      <c r="B33" s="951" t="b">
        <f>'Master Sheet'!B32</f>
        <v>1</v>
      </c>
      <c r="C33" s="952" t="s">
        <v>371</v>
      </c>
      <c r="D33" s="953">
        <f>'Master Sheet'!D32</f>
        <v>50</v>
      </c>
      <c r="E33" s="954">
        <f>'Master Sheet'!E32</f>
        <v>50</v>
      </c>
      <c r="F33" s="955">
        <f>'Master Sheet'!F32</f>
        <v>50</v>
      </c>
      <c r="G33" s="956">
        <f>'Master Sheet'!G32</f>
        <v>50</v>
      </c>
      <c r="H33" s="955" t="str">
        <f>'Master Sheet'!H32</f>
        <v/>
      </c>
      <c r="I33" s="957" t="str">
        <f>'Master Sheet'!I32</f>
        <v/>
      </c>
      <c r="J33" s="955" t="str">
        <f>'Master Sheet'!J32</f>
        <v/>
      </c>
      <c r="K33" s="957" t="str">
        <f>'Master Sheet'!K32</f>
        <v/>
      </c>
      <c r="L33" s="955" t="str">
        <f>'Master Sheet'!L32</f>
        <v/>
      </c>
      <c r="M33" s="957" t="str">
        <f>'Master Sheet'!M32</f>
        <v/>
      </c>
      <c r="N33" s="395">
        <f>'Master Sheet'!N32</f>
        <v>50</v>
      </c>
      <c r="O33" s="214"/>
      <c r="P33" s="315"/>
      <c r="Q33" s="315"/>
      <c r="R33" s="315"/>
      <c r="S33" s="315"/>
      <c r="T33" s="315"/>
      <c r="U33" s="315"/>
      <c r="V33" s="315"/>
      <c r="W33" s="315"/>
      <c r="X33" s="315"/>
    </row>
    <row r="34">
      <c r="A34" s="315"/>
      <c r="B34" s="224"/>
      <c r="C34" s="943" t="s">
        <v>208</v>
      </c>
      <c r="D34" s="966">
        <f>'Master Sheet'!D33</f>
        <v>160</v>
      </c>
      <c r="E34" s="967">
        <f>'Master Sheet'!E33</f>
        <v>200</v>
      </c>
      <c r="F34" s="946">
        <f>'Master Sheet'!F33</f>
        <v>160</v>
      </c>
      <c r="G34" s="947">
        <f>'Master Sheet'!G33</f>
        <v>200</v>
      </c>
      <c r="H34" s="946" t="str">
        <f>'Master Sheet'!H33</f>
        <v/>
      </c>
      <c r="I34" s="948" t="str">
        <f>'Master Sheet'!I33</f>
        <v/>
      </c>
      <c r="J34" s="946" t="str">
        <f>'Master Sheet'!J33</f>
        <v/>
      </c>
      <c r="K34" s="948" t="str">
        <f>'Master Sheet'!K33</f>
        <v/>
      </c>
      <c r="L34" s="946" t="str">
        <f>'Master Sheet'!L33</f>
        <v/>
      </c>
      <c r="M34" s="948" t="str">
        <f>'Master Sheet'!M33</f>
        <v/>
      </c>
      <c r="N34" s="395">
        <f>'Master Sheet'!N33</f>
        <v>200</v>
      </c>
      <c r="O34" s="214"/>
      <c r="P34" s="315"/>
      <c r="Q34" s="315"/>
      <c r="R34" s="315"/>
      <c r="S34" s="315"/>
      <c r="T34" s="315"/>
      <c r="U34" s="315"/>
      <c r="V34" s="315"/>
      <c r="W34" s="315"/>
      <c r="X34" s="315"/>
    </row>
    <row r="35">
      <c r="A35" s="315"/>
      <c r="B35" s="901"/>
      <c r="C35" s="943" t="s">
        <v>372</v>
      </c>
      <c r="D35" s="959">
        <f>'Master Sheet'!D34</f>
        <v>50</v>
      </c>
      <c r="E35" s="960">
        <f>'Master Sheet'!E34</f>
        <v>50</v>
      </c>
      <c r="F35" s="961">
        <f>'Master Sheet'!F34</f>
        <v>50</v>
      </c>
      <c r="G35" s="962">
        <f>'Master Sheet'!G34</f>
        <v>50</v>
      </c>
      <c r="H35" s="961" t="str">
        <f>'Master Sheet'!H34</f>
        <v/>
      </c>
      <c r="I35" s="963" t="str">
        <f>'Master Sheet'!I34</f>
        <v/>
      </c>
      <c r="J35" s="961" t="str">
        <f>'Master Sheet'!J34</f>
        <v/>
      </c>
      <c r="K35" s="963" t="str">
        <f>'Master Sheet'!K34</f>
        <v/>
      </c>
      <c r="L35" s="961" t="str">
        <f>'Master Sheet'!L34</f>
        <v/>
      </c>
      <c r="M35" s="963" t="str">
        <f>'Master Sheet'!M34</f>
        <v/>
      </c>
      <c r="N35" s="395">
        <f>'Master Sheet'!N34</f>
        <v>50</v>
      </c>
      <c r="O35" s="214"/>
      <c r="P35" s="315"/>
      <c r="Q35" s="315"/>
      <c r="R35" s="315"/>
      <c r="S35" s="315"/>
      <c r="T35" s="315"/>
      <c r="U35" s="315"/>
      <c r="V35" s="315"/>
      <c r="W35" s="315"/>
      <c r="X35" s="315"/>
    </row>
    <row r="36">
      <c r="A36" s="315"/>
      <c r="B36" s="964" t="b">
        <f>'Master Sheet'!B35</f>
        <v>1</v>
      </c>
      <c r="C36" s="952" t="s">
        <v>373</v>
      </c>
      <c r="D36" s="959">
        <f>'Master Sheet'!D35</f>
        <v>75</v>
      </c>
      <c r="E36" s="960">
        <f>'Master Sheet'!E35</f>
        <v>75</v>
      </c>
      <c r="F36" s="961">
        <f>'Master Sheet'!F35</f>
        <v>75</v>
      </c>
      <c r="G36" s="962">
        <f>'Master Sheet'!G35</f>
        <v>75</v>
      </c>
      <c r="H36" s="961" t="str">
        <f>'Master Sheet'!H35</f>
        <v/>
      </c>
      <c r="I36" s="963" t="str">
        <f>'Master Sheet'!I35</f>
        <v/>
      </c>
      <c r="J36" s="961" t="str">
        <f>'Master Sheet'!J35</f>
        <v/>
      </c>
      <c r="K36" s="963" t="str">
        <f>'Master Sheet'!K35</f>
        <v/>
      </c>
      <c r="L36" s="961" t="str">
        <f>'Master Sheet'!L35</f>
        <v/>
      </c>
      <c r="M36" s="963" t="str">
        <f>'Master Sheet'!M35</f>
        <v/>
      </c>
      <c r="N36" s="409">
        <f>'Master Sheet'!N35</f>
        <v>75</v>
      </c>
      <c r="O36" s="214"/>
      <c r="P36" s="315"/>
      <c r="Q36" s="315"/>
      <c r="R36" s="315"/>
      <c r="S36" s="315"/>
      <c r="T36" s="315"/>
      <c r="U36" s="315"/>
      <c r="V36" s="315"/>
      <c r="W36" s="315"/>
      <c r="X36" s="315"/>
    </row>
    <row r="37">
      <c r="A37" s="315"/>
      <c r="B37" s="951" t="b">
        <f>'Master Sheet'!B36</f>
        <v>1</v>
      </c>
      <c r="C37" s="952" t="s">
        <v>163</v>
      </c>
      <c r="D37" s="953">
        <f>'Master Sheet'!D36</f>
        <v>1340</v>
      </c>
      <c r="E37" s="968">
        <f>'Master Sheet'!E36</f>
        <v>1800</v>
      </c>
      <c r="F37" s="955">
        <f>'Master Sheet'!F36</f>
        <v>1340</v>
      </c>
      <c r="G37" s="956">
        <f>'Master Sheet'!G36</f>
        <v>1800</v>
      </c>
      <c r="H37" s="955" t="str">
        <f>'Master Sheet'!H36</f>
        <v/>
      </c>
      <c r="I37" s="957" t="str">
        <f>'Master Sheet'!I36</f>
        <v/>
      </c>
      <c r="J37" s="955" t="str">
        <f>'Master Sheet'!J36</f>
        <v/>
      </c>
      <c r="K37" s="957" t="str">
        <f>'Master Sheet'!K36</f>
        <v/>
      </c>
      <c r="L37" s="955" t="str">
        <f>'Master Sheet'!L36</f>
        <v/>
      </c>
      <c r="M37" s="957" t="str">
        <f>'Master Sheet'!M36</f>
        <v/>
      </c>
      <c r="N37" s="409">
        <f>'Master Sheet'!N36</f>
        <v>1800</v>
      </c>
      <c r="O37" s="214"/>
      <c r="P37" s="315"/>
      <c r="Q37" s="315"/>
      <c r="R37" s="315"/>
      <c r="S37" s="315"/>
      <c r="T37" s="315"/>
      <c r="U37" s="315"/>
      <c r="V37" s="315"/>
      <c r="W37" s="315"/>
      <c r="X37" s="315"/>
    </row>
    <row r="38">
      <c r="A38" s="315"/>
      <c r="B38" s="219"/>
      <c r="C38" s="969" t="s">
        <v>374</v>
      </c>
      <c r="D38" s="970">
        <f>'Master Sheet'!D37</f>
        <v>250</v>
      </c>
      <c r="E38" s="971">
        <f>'Master Sheet'!E37</f>
        <v>300</v>
      </c>
      <c r="F38" s="972">
        <f>'Master Sheet'!F37</f>
        <v>250</v>
      </c>
      <c r="G38" s="973">
        <f>'Master Sheet'!G37</f>
        <v>300</v>
      </c>
      <c r="H38" s="972" t="str">
        <f>'Master Sheet'!H37</f>
        <v/>
      </c>
      <c r="I38" s="974" t="str">
        <f>'Master Sheet'!I37</f>
        <v/>
      </c>
      <c r="J38" s="972" t="str">
        <f>'Master Sheet'!J37</f>
        <v/>
      </c>
      <c r="K38" s="974" t="str">
        <f>'Master Sheet'!K37</f>
        <v/>
      </c>
      <c r="L38" s="972" t="str">
        <f>'Master Sheet'!L37</f>
        <v/>
      </c>
      <c r="M38" s="974" t="str">
        <f>'Master Sheet'!M37</f>
        <v/>
      </c>
      <c r="N38" s="467">
        <f>'Master Sheet'!N37</f>
        <v>300</v>
      </c>
      <c r="O38" s="214"/>
      <c r="P38" s="315"/>
      <c r="Q38" s="315"/>
      <c r="R38" s="315"/>
      <c r="S38" s="315"/>
      <c r="T38" s="315"/>
      <c r="U38" s="315"/>
      <c r="V38" s="315"/>
      <c r="W38" s="315"/>
      <c r="X38" s="315"/>
    </row>
    <row r="39">
      <c r="A39" s="315"/>
      <c r="B39" s="975" t="b">
        <f>'Master Sheet'!B38</f>
        <v>1</v>
      </c>
      <c r="C39" s="976" t="s">
        <v>210</v>
      </c>
      <c r="D39" s="977">
        <f>'Master Sheet'!D38</f>
        <v>149</v>
      </c>
      <c r="E39" s="978">
        <f>'Master Sheet'!E38</f>
        <v>149</v>
      </c>
      <c r="F39" s="979">
        <f>'Master Sheet'!F38</f>
        <v>149</v>
      </c>
      <c r="G39" s="980">
        <f>'Master Sheet'!G38</f>
        <v>149</v>
      </c>
      <c r="H39" s="979" t="str">
        <f>'Master Sheet'!H38</f>
        <v/>
      </c>
      <c r="I39" s="981" t="str">
        <f>'Master Sheet'!I38</f>
        <v/>
      </c>
      <c r="J39" s="979" t="str">
        <f>'Master Sheet'!J38</f>
        <v/>
      </c>
      <c r="K39" s="981" t="str">
        <f>'Master Sheet'!K38</f>
        <v/>
      </c>
      <c r="L39" s="979" t="str">
        <f>'Master Sheet'!L38</f>
        <v/>
      </c>
      <c r="M39" s="981" t="str">
        <f>'Master Sheet'!M38</f>
        <v/>
      </c>
      <c r="N39" s="474">
        <f>'Master Sheet'!N38</f>
        <v>149</v>
      </c>
      <c r="O39" s="214"/>
      <c r="P39" s="315"/>
      <c r="Q39" s="315"/>
      <c r="R39" s="315"/>
      <c r="S39" s="315"/>
      <c r="T39" s="315"/>
      <c r="U39" s="315"/>
      <c r="V39" s="315"/>
      <c r="W39" s="315"/>
      <c r="X39" s="315"/>
    </row>
    <row r="40">
      <c r="A40" s="315"/>
      <c r="B40" s="901"/>
      <c r="C40" s="976" t="s">
        <v>375</v>
      </c>
      <c r="D40" s="982">
        <f>'Master Sheet'!D39</f>
        <v>149</v>
      </c>
      <c r="E40" s="983">
        <f>'Master Sheet'!E39</f>
        <v>149</v>
      </c>
      <c r="F40" s="984">
        <f>'Master Sheet'!F39</f>
        <v>149</v>
      </c>
      <c r="G40" s="985">
        <f>'Master Sheet'!G39</f>
        <v>149</v>
      </c>
      <c r="H40" s="984" t="str">
        <f>'Master Sheet'!H39</f>
        <v/>
      </c>
      <c r="I40" s="986" t="str">
        <f>'Master Sheet'!I39</f>
        <v/>
      </c>
      <c r="J40" s="984" t="str">
        <f>'Master Sheet'!J39</f>
        <v/>
      </c>
      <c r="K40" s="986" t="str">
        <f>'Master Sheet'!K39</f>
        <v/>
      </c>
      <c r="L40" s="984" t="str">
        <f>'Master Sheet'!L39</f>
        <v/>
      </c>
      <c r="M40" s="986" t="str">
        <f>'Master Sheet'!M39</f>
        <v/>
      </c>
      <c r="N40" s="474">
        <f>'Master Sheet'!N39</f>
        <v>149</v>
      </c>
      <c r="O40" s="214"/>
      <c r="P40" s="315"/>
      <c r="Q40" s="315"/>
      <c r="R40" s="315"/>
      <c r="S40" s="315"/>
      <c r="T40" s="315"/>
      <c r="U40" s="315"/>
      <c r="V40" s="315"/>
      <c r="W40" s="315"/>
      <c r="X40" s="315"/>
    </row>
    <row r="41">
      <c r="A41" s="315"/>
      <c r="B41" s="987" t="b">
        <f>'Master Sheet'!B40</f>
        <v>1</v>
      </c>
      <c r="C41" s="988" t="s">
        <v>376</v>
      </c>
      <c r="D41" s="977">
        <f>'Master Sheet'!D40</f>
        <v>149</v>
      </c>
      <c r="E41" s="978">
        <f>'Master Sheet'!E40</f>
        <v>149</v>
      </c>
      <c r="F41" s="979">
        <f>'Master Sheet'!F40</f>
        <v>149</v>
      </c>
      <c r="G41" s="980">
        <f>'Master Sheet'!G40</f>
        <v>149</v>
      </c>
      <c r="H41" s="979" t="str">
        <f>'Master Sheet'!H40</f>
        <v/>
      </c>
      <c r="I41" s="981" t="str">
        <f>'Master Sheet'!I40</f>
        <v/>
      </c>
      <c r="J41" s="979" t="str">
        <f>'Master Sheet'!J40</f>
        <v/>
      </c>
      <c r="K41" s="981" t="str">
        <f>'Master Sheet'!K40</f>
        <v/>
      </c>
      <c r="L41" s="979" t="str">
        <f>'Master Sheet'!L40</f>
        <v/>
      </c>
      <c r="M41" s="981" t="str">
        <f>'Master Sheet'!M40</f>
        <v/>
      </c>
      <c r="N41" s="486">
        <f>'Master Sheet'!N40</f>
        <v>149</v>
      </c>
      <c r="O41" s="483"/>
      <c r="P41" s="315"/>
      <c r="Q41" s="315"/>
      <c r="R41" s="315"/>
      <c r="S41" s="315"/>
      <c r="T41" s="315"/>
      <c r="U41" s="315"/>
      <c r="V41" s="315"/>
      <c r="W41" s="315"/>
      <c r="X41" s="315"/>
    </row>
    <row r="42">
      <c r="A42" s="315"/>
      <c r="B42" s="901"/>
      <c r="C42" s="976" t="s">
        <v>377</v>
      </c>
      <c r="D42" s="982">
        <f>'Master Sheet'!D41</f>
        <v>149</v>
      </c>
      <c r="E42" s="983">
        <f>'Master Sheet'!E41</f>
        <v>149</v>
      </c>
      <c r="F42" s="984">
        <f>'Master Sheet'!F41</f>
        <v>149</v>
      </c>
      <c r="G42" s="985">
        <f>'Master Sheet'!G41</f>
        <v>149</v>
      </c>
      <c r="H42" s="984" t="str">
        <f>'Master Sheet'!H41</f>
        <v/>
      </c>
      <c r="I42" s="986" t="str">
        <f>'Master Sheet'!I41</f>
        <v/>
      </c>
      <c r="J42" s="984" t="str">
        <f>'Master Sheet'!J41</f>
        <v/>
      </c>
      <c r="K42" s="986" t="str">
        <f>'Master Sheet'!K41</f>
        <v/>
      </c>
      <c r="L42" s="984" t="str">
        <f>'Master Sheet'!L41</f>
        <v/>
      </c>
      <c r="M42" s="986" t="str">
        <f>'Master Sheet'!M41</f>
        <v/>
      </c>
      <c r="N42" s="474">
        <f>'Master Sheet'!N41</f>
        <v>149</v>
      </c>
      <c r="O42" s="989"/>
      <c r="P42" s="315"/>
      <c r="Q42" s="315"/>
      <c r="R42" s="315"/>
      <c r="S42" s="315"/>
      <c r="T42" s="315"/>
      <c r="U42" s="315"/>
      <c r="V42" s="315"/>
      <c r="W42" s="315"/>
      <c r="X42" s="315"/>
    </row>
    <row r="43">
      <c r="A43" s="315"/>
      <c r="B43" s="987" t="b">
        <f>'Master Sheet'!B42</f>
        <v>1</v>
      </c>
      <c r="C43" s="988" t="s">
        <v>137</v>
      </c>
      <c r="D43" s="977">
        <f>'Master Sheet'!D42</f>
        <v>99</v>
      </c>
      <c r="E43" s="990">
        <f>'Master Sheet'!E42</f>
        <v>99</v>
      </c>
      <c r="F43" s="979">
        <f>'Master Sheet'!F42</f>
        <v>99</v>
      </c>
      <c r="G43" s="980">
        <f>'Master Sheet'!G42</f>
        <v>99</v>
      </c>
      <c r="H43" s="979" t="str">
        <f>'Master Sheet'!H42</f>
        <v/>
      </c>
      <c r="I43" s="981" t="str">
        <f>'Master Sheet'!I42</f>
        <v/>
      </c>
      <c r="J43" s="979" t="str">
        <f>'Master Sheet'!J42</f>
        <v/>
      </c>
      <c r="K43" s="981" t="str">
        <f>'Master Sheet'!K42</f>
        <v/>
      </c>
      <c r="L43" s="979" t="str">
        <f>'Master Sheet'!L42</f>
        <v/>
      </c>
      <c r="M43" s="981" t="str">
        <f>'Master Sheet'!M42</f>
        <v/>
      </c>
      <c r="N43" s="486">
        <f>'Master Sheet'!N42</f>
        <v>99</v>
      </c>
      <c r="O43" s="989"/>
      <c r="P43" s="315"/>
      <c r="Q43" s="315"/>
      <c r="R43" s="315"/>
      <c r="S43" s="315"/>
      <c r="T43" s="315"/>
      <c r="U43" s="315"/>
      <c r="V43" s="315"/>
      <c r="W43" s="315"/>
      <c r="X43" s="315"/>
    </row>
    <row r="44">
      <c r="A44" s="315"/>
      <c r="B44" s="224"/>
      <c r="C44" s="976" t="s">
        <v>140</v>
      </c>
      <c r="D44" s="982">
        <f>'Master Sheet'!D43</f>
        <v>99</v>
      </c>
      <c r="E44" s="991">
        <f>'Master Sheet'!E43</f>
        <v>99</v>
      </c>
      <c r="F44" s="984">
        <f>'Master Sheet'!F43</f>
        <v>99</v>
      </c>
      <c r="G44" s="985">
        <f>'Master Sheet'!G43</f>
        <v>99</v>
      </c>
      <c r="H44" s="984" t="str">
        <f>'Master Sheet'!H43</f>
        <v/>
      </c>
      <c r="I44" s="986" t="str">
        <f>'Master Sheet'!I43</f>
        <v/>
      </c>
      <c r="J44" s="984" t="str">
        <f>'Master Sheet'!J43</f>
        <v/>
      </c>
      <c r="K44" s="986" t="str">
        <f>'Master Sheet'!K43</f>
        <v/>
      </c>
      <c r="L44" s="984" t="str">
        <f>'Master Sheet'!L43</f>
        <v/>
      </c>
      <c r="M44" s="986" t="str">
        <f>'Master Sheet'!M43</f>
        <v/>
      </c>
      <c r="N44" s="474">
        <f>'Master Sheet'!N43</f>
        <v>99</v>
      </c>
      <c r="O44" s="989"/>
      <c r="P44" s="315"/>
      <c r="Q44" s="315"/>
      <c r="R44" s="315"/>
      <c r="S44" s="315"/>
      <c r="T44" s="315"/>
      <c r="U44" s="315"/>
      <c r="V44" s="315"/>
      <c r="W44" s="315"/>
      <c r="X44" s="315"/>
    </row>
    <row r="45">
      <c r="A45" s="315"/>
      <c r="B45" s="901"/>
      <c r="C45" s="976" t="s">
        <v>142</v>
      </c>
      <c r="D45" s="982">
        <f>'Master Sheet'!D44</f>
        <v>99</v>
      </c>
      <c r="E45" s="991">
        <f>'Master Sheet'!E44</f>
        <v>99</v>
      </c>
      <c r="F45" s="984">
        <f>'Master Sheet'!F44</f>
        <v>99</v>
      </c>
      <c r="G45" s="985">
        <f>'Master Sheet'!G44</f>
        <v>99</v>
      </c>
      <c r="H45" s="984" t="str">
        <f>'Master Sheet'!H44</f>
        <v/>
      </c>
      <c r="I45" s="986" t="str">
        <f>'Master Sheet'!I44</f>
        <v/>
      </c>
      <c r="J45" s="984" t="str">
        <f>'Master Sheet'!J44</f>
        <v/>
      </c>
      <c r="K45" s="986" t="str">
        <f>'Master Sheet'!K44</f>
        <v/>
      </c>
      <c r="L45" s="984" t="str">
        <f>'Master Sheet'!L44</f>
        <v/>
      </c>
      <c r="M45" s="986" t="str">
        <f>'Master Sheet'!M44</f>
        <v/>
      </c>
      <c r="N45" s="474">
        <f>'Master Sheet'!N44</f>
        <v>99</v>
      </c>
      <c r="O45" s="989"/>
      <c r="P45" s="315"/>
      <c r="Q45" s="315"/>
      <c r="R45" s="315"/>
      <c r="S45" s="315"/>
      <c r="T45" s="315"/>
      <c r="U45" s="315"/>
      <c r="V45" s="315"/>
      <c r="W45" s="315"/>
      <c r="X45" s="315"/>
    </row>
    <row r="46">
      <c r="A46" s="315"/>
      <c r="B46" s="992" t="b">
        <f>'Master Sheet'!B45</f>
        <v>1</v>
      </c>
      <c r="C46" s="988" t="s">
        <v>378</v>
      </c>
      <c r="D46" s="977">
        <f>'Master Sheet'!D45</f>
        <v>99</v>
      </c>
      <c r="E46" s="978">
        <f>'Master Sheet'!E45</f>
        <v>99</v>
      </c>
      <c r="F46" s="979">
        <f>'Master Sheet'!F45</f>
        <v>99</v>
      </c>
      <c r="G46" s="980">
        <f>'Master Sheet'!G45</f>
        <v>99</v>
      </c>
      <c r="H46" s="979" t="str">
        <f>'Master Sheet'!H45</f>
        <v/>
      </c>
      <c r="I46" s="981" t="str">
        <f>'Master Sheet'!I45</f>
        <v/>
      </c>
      <c r="J46" s="979" t="str">
        <f>'Master Sheet'!J45</f>
        <v/>
      </c>
      <c r="K46" s="981" t="str">
        <f>'Master Sheet'!K45</f>
        <v/>
      </c>
      <c r="L46" s="979" t="str">
        <f>'Master Sheet'!L45</f>
        <v/>
      </c>
      <c r="M46" s="981" t="str">
        <f>'Master Sheet'!M45</f>
        <v/>
      </c>
      <c r="N46" s="486">
        <f>'Master Sheet'!N45</f>
        <v>99</v>
      </c>
      <c r="O46" s="989"/>
      <c r="P46" s="315"/>
      <c r="Q46" s="315"/>
      <c r="R46" s="315"/>
      <c r="S46" s="315"/>
      <c r="T46" s="315"/>
      <c r="U46" s="315"/>
      <c r="V46" s="315"/>
      <c r="W46" s="315"/>
      <c r="X46" s="315"/>
    </row>
    <row r="47">
      <c r="A47" s="315"/>
      <c r="B47" s="987" t="b">
        <f>'Master Sheet'!B46</f>
        <v>1</v>
      </c>
      <c r="C47" s="988" t="s">
        <v>379</v>
      </c>
      <c r="D47" s="977">
        <f>'Master Sheet'!D46</f>
        <v>300</v>
      </c>
      <c r="E47" s="978">
        <f>'Master Sheet'!E46</f>
        <v>300</v>
      </c>
      <c r="F47" s="979">
        <f>'Master Sheet'!F46</f>
        <v>300</v>
      </c>
      <c r="G47" s="980">
        <f>'Master Sheet'!G46</f>
        <v>300</v>
      </c>
      <c r="H47" s="979" t="str">
        <f>'Master Sheet'!H46</f>
        <v/>
      </c>
      <c r="I47" s="981" t="str">
        <f>'Master Sheet'!I46</f>
        <v/>
      </c>
      <c r="J47" s="979" t="str">
        <f>'Master Sheet'!J46</f>
        <v/>
      </c>
      <c r="K47" s="981" t="str">
        <f>'Master Sheet'!K46</f>
        <v/>
      </c>
      <c r="L47" s="979" t="str">
        <f>'Master Sheet'!L46</f>
        <v/>
      </c>
      <c r="M47" s="981" t="str">
        <f>'Master Sheet'!M46</f>
        <v/>
      </c>
      <c r="N47" s="486">
        <f>'Master Sheet'!N46</f>
        <v>300</v>
      </c>
      <c r="O47" s="989"/>
      <c r="P47" s="315"/>
      <c r="Q47" s="315"/>
      <c r="R47" s="315"/>
      <c r="S47" s="315"/>
      <c r="T47" s="315"/>
      <c r="U47" s="315"/>
      <c r="V47" s="315"/>
      <c r="W47" s="315"/>
      <c r="X47" s="315"/>
    </row>
    <row r="48">
      <c r="A48" s="315"/>
      <c r="B48" s="224"/>
      <c r="C48" s="976" t="s">
        <v>380</v>
      </c>
      <c r="D48" s="993">
        <f>'Master Sheet'!D47</f>
        <v>300</v>
      </c>
      <c r="E48" s="983">
        <f>'Master Sheet'!E47</f>
        <v>500</v>
      </c>
      <c r="F48" s="984">
        <f>'Master Sheet'!F47</f>
        <v>300</v>
      </c>
      <c r="G48" s="985">
        <f>'Master Sheet'!G47</f>
        <v>500</v>
      </c>
      <c r="H48" s="984" t="str">
        <f>'Master Sheet'!H47</f>
        <v/>
      </c>
      <c r="I48" s="986" t="str">
        <f>'Master Sheet'!I47</f>
        <v/>
      </c>
      <c r="J48" s="984" t="str">
        <f>'Master Sheet'!J47</f>
        <v/>
      </c>
      <c r="K48" s="986" t="str">
        <f>'Master Sheet'!K47</f>
        <v/>
      </c>
      <c r="L48" s="984" t="str">
        <f>'Master Sheet'!L47</f>
        <v/>
      </c>
      <c r="M48" s="986" t="str">
        <f>'Master Sheet'!M47</f>
        <v/>
      </c>
      <c r="N48" s="474">
        <f>'Master Sheet'!N47</f>
        <v>500</v>
      </c>
      <c r="O48" s="989"/>
      <c r="P48" s="315"/>
      <c r="Q48" s="315"/>
      <c r="R48" s="315"/>
      <c r="S48" s="315"/>
      <c r="T48" s="315"/>
      <c r="U48" s="315"/>
      <c r="V48" s="315"/>
      <c r="W48" s="315"/>
      <c r="X48" s="315"/>
    </row>
    <row r="49">
      <c r="A49" s="315"/>
      <c r="B49" s="901"/>
      <c r="C49" s="976" t="s">
        <v>177</v>
      </c>
      <c r="D49" s="982">
        <f>'Master Sheet'!D48</f>
        <v>60</v>
      </c>
      <c r="E49" s="983">
        <f>'Master Sheet'!E48</f>
        <v>60</v>
      </c>
      <c r="F49" s="984">
        <f>'Master Sheet'!F48</f>
        <v>60</v>
      </c>
      <c r="G49" s="985">
        <f>'Master Sheet'!G48</f>
        <v>60</v>
      </c>
      <c r="H49" s="984" t="str">
        <f>'Master Sheet'!H48</f>
        <v/>
      </c>
      <c r="I49" s="986" t="str">
        <f>'Master Sheet'!I48</f>
        <v/>
      </c>
      <c r="J49" s="984" t="str">
        <f>'Master Sheet'!J48</f>
        <v/>
      </c>
      <c r="K49" s="986" t="str">
        <f>'Master Sheet'!K48</f>
        <v/>
      </c>
      <c r="L49" s="984" t="str">
        <f>'Master Sheet'!L48</f>
        <v/>
      </c>
      <c r="M49" s="986" t="str">
        <f>'Master Sheet'!M48</f>
        <v/>
      </c>
      <c r="N49" s="474">
        <f>'Master Sheet'!N48</f>
        <v>60</v>
      </c>
      <c r="O49" s="989"/>
      <c r="P49" s="315"/>
      <c r="Q49" s="315"/>
      <c r="R49" s="315"/>
      <c r="S49" s="315"/>
      <c r="T49" s="315"/>
      <c r="U49" s="315"/>
      <c r="V49" s="315"/>
      <c r="W49" s="315"/>
      <c r="X49" s="315"/>
    </row>
    <row r="50">
      <c r="A50" s="315"/>
      <c r="B50" s="987" t="b">
        <f>'Master Sheet'!B49</f>
        <v>1</v>
      </c>
      <c r="C50" s="988" t="s">
        <v>116</v>
      </c>
      <c r="D50" s="977">
        <f>'Master Sheet'!D49</f>
        <v>330</v>
      </c>
      <c r="E50" s="990">
        <f>'Master Sheet'!E49</f>
        <v>699</v>
      </c>
      <c r="F50" s="979">
        <f>'Master Sheet'!F49</f>
        <v>330</v>
      </c>
      <c r="G50" s="980">
        <f>'Master Sheet'!G49</f>
        <v>699</v>
      </c>
      <c r="H50" s="979" t="str">
        <f>'Master Sheet'!H49</f>
        <v/>
      </c>
      <c r="I50" s="981" t="str">
        <f>'Master Sheet'!I49</f>
        <v/>
      </c>
      <c r="J50" s="979" t="str">
        <f>'Master Sheet'!J49</f>
        <v/>
      </c>
      <c r="K50" s="981" t="str">
        <f>'Master Sheet'!K49</f>
        <v/>
      </c>
      <c r="L50" s="979" t="str">
        <f>'Master Sheet'!L49</f>
        <v/>
      </c>
      <c r="M50" s="981" t="str">
        <f>'Master Sheet'!M49</f>
        <v/>
      </c>
      <c r="N50" s="486">
        <f>'Master Sheet'!N49</f>
        <v>699</v>
      </c>
      <c r="O50" s="989"/>
      <c r="P50" s="315"/>
      <c r="Q50" s="315"/>
      <c r="R50" s="315"/>
      <c r="S50" s="315"/>
      <c r="T50" s="315"/>
      <c r="U50" s="315"/>
      <c r="V50" s="315"/>
      <c r="W50" s="315"/>
      <c r="X50" s="315"/>
    </row>
    <row r="51">
      <c r="A51" s="315"/>
      <c r="B51" s="224"/>
      <c r="C51" s="994" t="s">
        <v>123</v>
      </c>
      <c r="D51" s="982">
        <f>'Master Sheet'!D50</f>
        <v>320</v>
      </c>
      <c r="E51" s="991">
        <f>'Master Sheet'!E50</f>
        <v>699</v>
      </c>
      <c r="F51" s="984">
        <f>'Master Sheet'!F50</f>
        <v>320</v>
      </c>
      <c r="G51" s="986">
        <f>'Master Sheet'!G50</f>
        <v>699</v>
      </c>
      <c r="H51" s="984" t="str">
        <f>'Master Sheet'!H50</f>
        <v/>
      </c>
      <c r="I51" s="986" t="str">
        <f>'Master Sheet'!I50</f>
        <v/>
      </c>
      <c r="J51" s="984" t="str">
        <f>'Master Sheet'!J50</f>
        <v/>
      </c>
      <c r="K51" s="986" t="str">
        <f>'Master Sheet'!K50</f>
        <v/>
      </c>
      <c r="L51" s="984" t="str">
        <f>'Master Sheet'!L50</f>
        <v/>
      </c>
      <c r="M51" s="986" t="str">
        <f>'Master Sheet'!M50</f>
        <v/>
      </c>
      <c r="N51" s="518">
        <f>'Master Sheet'!N50</f>
        <v>699</v>
      </c>
      <c r="O51" s="989"/>
      <c r="P51" s="315"/>
      <c r="Q51" s="315"/>
      <c r="R51" s="315"/>
      <c r="S51" s="315"/>
      <c r="T51" s="315"/>
      <c r="U51" s="315"/>
      <c r="V51" s="315"/>
      <c r="W51" s="315"/>
      <c r="X51" s="315"/>
    </row>
    <row r="52">
      <c r="A52" s="315"/>
      <c r="B52" s="315"/>
      <c r="C52" s="315"/>
      <c r="D52" s="315"/>
      <c r="E52" s="315"/>
      <c r="F52" s="315"/>
      <c r="G52" s="315"/>
      <c r="H52" s="315"/>
      <c r="I52" s="315"/>
      <c r="J52" s="315"/>
      <c r="K52" s="315"/>
      <c r="L52" s="315"/>
      <c r="M52" s="315"/>
      <c r="N52" s="315"/>
      <c r="O52" s="315"/>
      <c r="P52" s="315"/>
      <c r="Q52" s="315"/>
      <c r="R52" s="315"/>
      <c r="S52" s="315"/>
      <c r="T52" s="315"/>
      <c r="U52" s="315"/>
      <c r="V52" s="315"/>
      <c r="W52" s="315"/>
      <c r="X52" s="315"/>
    </row>
  </sheetData>
  <mergeCells count="28">
    <mergeCell ref="C2:C3"/>
    <mergeCell ref="D2:E2"/>
    <mergeCell ref="F2:G2"/>
    <mergeCell ref="H2:I2"/>
    <mergeCell ref="J2:K2"/>
    <mergeCell ref="L2:M2"/>
    <mergeCell ref="P2:Q3"/>
    <mergeCell ref="B17:B18"/>
    <mergeCell ref="B19:B20"/>
    <mergeCell ref="B21:B22"/>
    <mergeCell ref="B23:B24"/>
    <mergeCell ref="B27:B28"/>
    <mergeCell ref="B29:B30"/>
    <mergeCell ref="B31:B32"/>
    <mergeCell ref="B33:B35"/>
    <mergeCell ref="B37:B38"/>
    <mergeCell ref="B39:B40"/>
    <mergeCell ref="B41:B42"/>
    <mergeCell ref="B43:B45"/>
    <mergeCell ref="B47:B49"/>
    <mergeCell ref="B50:B51"/>
    <mergeCell ref="B2:B3"/>
    <mergeCell ref="B4:B7"/>
    <mergeCell ref="O4:O41"/>
    <mergeCell ref="B8:B9"/>
    <mergeCell ref="B10:B11"/>
    <mergeCell ref="B12:B13"/>
    <mergeCell ref="B14:B16"/>
  </mergeCell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3.75"/>
    <col customWidth="1" min="2" max="2" width="8.13"/>
    <col customWidth="1" min="3" max="3" width="10.0"/>
    <col customWidth="1" min="4" max="4" width="11.25"/>
    <col customWidth="1" min="5" max="5" width="12.0"/>
    <col customWidth="1" min="6" max="6" width="12.13"/>
    <col customWidth="1" min="7" max="7" width="10.88"/>
    <col customWidth="1" min="8" max="8" width="8.13"/>
    <col customWidth="1" min="9" max="9" width="11.25"/>
    <col customWidth="1" min="10" max="10" width="14.13"/>
    <col customWidth="1" min="11" max="11" width="15.5"/>
    <col customWidth="1" min="12" max="12" width="9.5"/>
    <col customWidth="1" min="13" max="13" width="8.13"/>
    <col customWidth="1" min="14" max="14" width="10.13"/>
    <col customWidth="1" min="15" max="15" width="9.63"/>
    <col customWidth="1" min="16" max="16" width="13.5"/>
    <col customWidth="1" min="17" max="17" width="12.13"/>
    <col customWidth="1" min="18" max="18" width="15.0"/>
    <col customWidth="1" min="19" max="19" width="14.38"/>
  </cols>
  <sheetData>
    <row r="1">
      <c r="A1" s="995"/>
      <c r="B1" s="996" t="s">
        <v>102</v>
      </c>
      <c r="C1" s="996" t="s">
        <v>204</v>
      </c>
      <c r="D1" s="996" t="s">
        <v>122</v>
      </c>
      <c r="E1" s="996" t="s">
        <v>205</v>
      </c>
      <c r="F1" s="996" t="s">
        <v>206</v>
      </c>
      <c r="G1" s="996" t="s">
        <v>112</v>
      </c>
      <c r="H1" s="996" t="s">
        <v>124</v>
      </c>
      <c r="I1" s="996" t="s">
        <v>138</v>
      </c>
      <c r="J1" s="996" t="s">
        <v>207</v>
      </c>
      <c r="K1" s="996" t="s">
        <v>208</v>
      </c>
      <c r="L1" s="996" t="s">
        <v>163</v>
      </c>
      <c r="M1" s="996" t="s">
        <v>209</v>
      </c>
      <c r="N1" s="996" t="s">
        <v>210</v>
      </c>
      <c r="O1" s="996" t="s">
        <v>211</v>
      </c>
      <c r="P1" s="996" t="s">
        <v>212</v>
      </c>
      <c r="Q1" s="996" t="s">
        <v>157</v>
      </c>
      <c r="R1" s="996" t="s">
        <v>213</v>
      </c>
      <c r="S1" s="996" t="s">
        <v>381</v>
      </c>
    </row>
    <row r="2">
      <c r="A2" s="997" t="s">
        <v>332</v>
      </c>
      <c r="B2" s="998">
        <v>0.0</v>
      </c>
      <c r="C2" s="998">
        <v>0.0</v>
      </c>
      <c r="D2" s="998">
        <v>0.0</v>
      </c>
      <c r="E2" s="998">
        <v>0.0</v>
      </c>
      <c r="F2" s="998">
        <v>0.0</v>
      </c>
      <c r="G2" s="998">
        <v>0.0</v>
      </c>
      <c r="H2" s="998">
        <v>0.0</v>
      </c>
      <c r="I2" s="998">
        <v>0.0</v>
      </c>
      <c r="J2" s="998">
        <v>0.0</v>
      </c>
      <c r="K2" s="998">
        <v>0.0</v>
      </c>
      <c r="L2" s="998">
        <v>0.0</v>
      </c>
      <c r="M2" s="998">
        <v>0.0</v>
      </c>
      <c r="N2" s="998">
        <v>0.0</v>
      </c>
      <c r="O2" s="998">
        <v>0.0</v>
      </c>
      <c r="P2" s="998">
        <v>0.0</v>
      </c>
      <c r="Q2" s="998">
        <v>0.0</v>
      </c>
      <c r="R2" s="998">
        <v>0.0</v>
      </c>
      <c r="S2" s="998">
        <v>0.0</v>
      </c>
    </row>
    <row r="3">
      <c r="A3" s="224"/>
      <c r="B3" s="998">
        <v>5.0E9</v>
      </c>
      <c r="C3" s="998">
        <v>5.0E9</v>
      </c>
      <c r="D3" s="998">
        <v>5.0E9</v>
      </c>
      <c r="E3" s="998">
        <v>5.0E9</v>
      </c>
      <c r="F3" s="998">
        <v>5.0E9</v>
      </c>
      <c r="G3" s="998">
        <v>5.0E9</v>
      </c>
      <c r="H3" s="998">
        <v>5.0E9</v>
      </c>
      <c r="I3" s="998">
        <v>5.0E9</v>
      </c>
      <c r="J3" s="998">
        <v>5.0E9</v>
      </c>
      <c r="K3" s="998">
        <v>5.0E9</v>
      </c>
      <c r="L3" s="998">
        <v>5.0E9</v>
      </c>
      <c r="M3" s="998">
        <v>5.0E9</v>
      </c>
      <c r="N3" s="998">
        <v>5.0E9</v>
      </c>
      <c r="O3" s="998">
        <v>5.0E9</v>
      </c>
      <c r="P3" s="998">
        <v>5.0E9</v>
      </c>
      <c r="Q3" s="998">
        <v>5.0E9</v>
      </c>
      <c r="R3" s="998">
        <v>5.0E9</v>
      </c>
      <c r="S3" s="998">
        <v>5.0E9</v>
      </c>
    </row>
    <row r="4">
      <c r="A4" s="224"/>
      <c r="B4" s="998">
        <v>5.04E9</v>
      </c>
      <c r="C4" s="998">
        <v>5.04E9</v>
      </c>
      <c r="D4" s="998">
        <v>5.04E9</v>
      </c>
      <c r="E4" s="998">
        <v>5.04E9</v>
      </c>
      <c r="F4" s="998">
        <v>5.04E9</v>
      </c>
      <c r="G4" s="998">
        <v>6.1E9</v>
      </c>
      <c r="H4" s="998">
        <v>5.04E9</v>
      </c>
      <c r="I4" s="998">
        <v>5.04E9</v>
      </c>
      <c r="J4" s="998">
        <v>5.04E9</v>
      </c>
      <c r="K4" s="998">
        <v>5.04E9</v>
      </c>
      <c r="L4" s="998">
        <v>5.04E9</v>
      </c>
      <c r="M4" s="998">
        <v>6.25E9</v>
      </c>
      <c r="N4" s="998">
        <v>5.04E9</v>
      </c>
      <c r="O4" s="998">
        <v>6.25E9</v>
      </c>
      <c r="P4" s="998">
        <v>6.25E9</v>
      </c>
      <c r="Q4" s="998">
        <v>6.05E9</v>
      </c>
      <c r="R4" s="998">
        <v>5.04E9</v>
      </c>
      <c r="S4" s="998">
        <v>1.55E10</v>
      </c>
    </row>
    <row r="5">
      <c r="A5" s="224"/>
      <c r="B5" s="998">
        <v>5.11E9</v>
      </c>
      <c r="C5" s="998">
        <v>5.11E9</v>
      </c>
      <c r="D5" s="998">
        <v>5.11E9</v>
      </c>
      <c r="E5" s="998">
        <v>5.11E9</v>
      </c>
      <c r="F5" s="998">
        <v>5.11E9</v>
      </c>
      <c r="G5" s="998">
        <v>2.358E10</v>
      </c>
      <c r="H5" s="998">
        <v>5.11E9</v>
      </c>
      <c r="I5" s="998">
        <v>5.11E9</v>
      </c>
      <c r="J5" s="998">
        <v>5.11E9</v>
      </c>
      <c r="K5" s="998">
        <v>5.11E9</v>
      </c>
      <c r="L5" s="998">
        <v>5.11E9</v>
      </c>
      <c r="M5" s="998">
        <v>1.246E10</v>
      </c>
      <c r="N5" s="998">
        <v>5.11E9</v>
      </c>
      <c r="O5" s="998">
        <v>1.246E10</v>
      </c>
      <c r="P5" s="998">
        <v>1.246E10</v>
      </c>
      <c r="Q5" s="998">
        <v>2.225E10</v>
      </c>
      <c r="R5" s="998">
        <v>5.11E9</v>
      </c>
      <c r="S5" s="998">
        <v>2.0298E11</v>
      </c>
    </row>
    <row r="6">
      <c r="A6" s="224"/>
      <c r="B6" s="998">
        <v>5.2E9</v>
      </c>
      <c r="C6" s="998">
        <v>5.2E9</v>
      </c>
      <c r="D6" s="998">
        <v>5.2E9</v>
      </c>
      <c r="E6" s="998">
        <v>5.2E9</v>
      </c>
      <c r="F6" s="998">
        <v>5.2E9</v>
      </c>
      <c r="G6" s="998">
        <v>1.062E11</v>
      </c>
      <c r="H6" s="998">
        <v>5.2E9</v>
      </c>
      <c r="I6" s="998">
        <v>5.2E9</v>
      </c>
      <c r="J6" s="998">
        <v>5.2E9</v>
      </c>
      <c r="K6" s="998">
        <v>5.2E9</v>
      </c>
      <c r="L6" s="998">
        <v>5.2E9</v>
      </c>
      <c r="M6" s="998">
        <v>2.742E10</v>
      </c>
      <c r="N6" s="998">
        <v>5.2E9</v>
      </c>
      <c r="O6" s="998">
        <v>2.742E10</v>
      </c>
      <c r="P6" s="998">
        <v>2.742E10</v>
      </c>
      <c r="Q6" s="998">
        <v>9.556E10</v>
      </c>
      <c r="R6" s="998">
        <v>5.2E9</v>
      </c>
      <c r="S6" s="998">
        <v>1.13E12</v>
      </c>
    </row>
    <row r="7">
      <c r="A7" s="224"/>
      <c r="B7" s="998">
        <v>5.33E9</v>
      </c>
      <c r="C7" s="998">
        <v>5.33E9</v>
      </c>
      <c r="D7" s="998">
        <v>5.33E9</v>
      </c>
      <c r="E7" s="998">
        <v>5.33E9</v>
      </c>
      <c r="F7" s="998">
        <v>5.33E9</v>
      </c>
      <c r="G7" s="998">
        <v>3.4319E11</v>
      </c>
      <c r="H7" s="998">
        <v>5.33E9</v>
      </c>
      <c r="I7" s="998">
        <v>5.33E9</v>
      </c>
      <c r="J7" s="998">
        <v>5.33E9</v>
      </c>
      <c r="K7" s="998">
        <v>5.33E9</v>
      </c>
      <c r="L7" s="998">
        <v>5.33E9</v>
      </c>
      <c r="M7" s="998">
        <v>5.45E10</v>
      </c>
      <c r="N7" s="998">
        <v>5.33E9</v>
      </c>
      <c r="O7" s="998">
        <v>5.45E10</v>
      </c>
      <c r="P7" s="998">
        <v>5.45E10</v>
      </c>
      <c r="Q7" s="998">
        <v>2.9927E11</v>
      </c>
      <c r="R7" s="998">
        <v>5.33E9</v>
      </c>
      <c r="S7" s="998">
        <v>3.89E12</v>
      </c>
    </row>
    <row r="8">
      <c r="A8" s="224"/>
      <c r="B8" s="998">
        <v>5.49E9</v>
      </c>
      <c r="C8" s="998">
        <v>5.49E9</v>
      </c>
      <c r="D8" s="998">
        <v>5.49E9</v>
      </c>
      <c r="E8" s="998">
        <v>5.49E9</v>
      </c>
      <c r="F8" s="998">
        <v>5.49E9</v>
      </c>
      <c r="G8" s="998">
        <v>8.6783E11</v>
      </c>
      <c r="H8" s="998">
        <v>5.49E9</v>
      </c>
      <c r="I8" s="998">
        <v>5.49E9</v>
      </c>
      <c r="J8" s="998">
        <v>5.49E9</v>
      </c>
      <c r="K8" s="998">
        <v>5.49E9</v>
      </c>
      <c r="L8" s="998">
        <v>5.49E9</v>
      </c>
      <c r="M8" s="998">
        <v>9.685E10</v>
      </c>
      <c r="N8" s="998">
        <v>5.49E9</v>
      </c>
      <c r="O8" s="998">
        <v>9.685E10</v>
      </c>
      <c r="P8" s="998">
        <v>9.685E10</v>
      </c>
      <c r="Q8" s="998">
        <v>7.3939E11</v>
      </c>
      <c r="R8" s="998">
        <v>5.49E9</v>
      </c>
      <c r="S8" s="998">
        <v>1.014E13</v>
      </c>
    </row>
    <row r="9">
      <c r="A9" s="224"/>
      <c r="B9" s="998">
        <v>5.7E9</v>
      </c>
      <c r="C9" s="998">
        <v>5.7E9</v>
      </c>
      <c r="D9" s="998">
        <v>5.7E9</v>
      </c>
      <c r="E9" s="998">
        <v>5.7E9</v>
      </c>
      <c r="F9" s="998">
        <v>5.7E9</v>
      </c>
      <c r="G9" s="998">
        <v>1.86E12</v>
      </c>
      <c r="H9" s="998">
        <v>5.7E9</v>
      </c>
      <c r="I9" s="998">
        <v>5.7E9</v>
      </c>
      <c r="J9" s="998">
        <v>5.7E9</v>
      </c>
      <c r="K9" s="998">
        <v>5.7E9</v>
      </c>
      <c r="L9" s="998">
        <v>5.7E9</v>
      </c>
      <c r="M9" s="998">
        <v>1.5745E11</v>
      </c>
      <c r="N9" s="998">
        <v>5.7E9</v>
      </c>
      <c r="O9" s="998">
        <v>1.5745E11</v>
      </c>
      <c r="P9" s="998">
        <v>1.5745E11</v>
      </c>
      <c r="Q9" s="998">
        <v>1.56E12</v>
      </c>
      <c r="R9" s="998">
        <v>5.7E9</v>
      </c>
      <c r="S9" s="998">
        <v>2.219E13</v>
      </c>
    </row>
    <row r="10">
      <c r="A10" s="224"/>
      <c r="B10" s="998">
        <v>5.93E9</v>
      </c>
      <c r="C10" s="998">
        <v>5.93E9</v>
      </c>
      <c r="D10" s="998">
        <v>5.93E9</v>
      </c>
      <c r="E10" s="998">
        <v>5.93E9</v>
      </c>
      <c r="F10" s="998">
        <v>5.93E9</v>
      </c>
      <c r="G10" s="998">
        <v>3.55E12</v>
      </c>
      <c r="H10" s="998">
        <v>5.93E9</v>
      </c>
      <c r="I10" s="998">
        <v>5.93E9</v>
      </c>
      <c r="J10" s="998">
        <v>5.93E9</v>
      </c>
      <c r="K10" s="998">
        <v>5.93E9</v>
      </c>
      <c r="L10" s="998">
        <v>5.93E9</v>
      </c>
      <c r="M10" s="998">
        <v>2.3917E11</v>
      </c>
      <c r="N10" s="998">
        <v>5.93E9</v>
      </c>
      <c r="O10" s="998">
        <v>2.3917E11</v>
      </c>
      <c r="P10" s="998">
        <v>2.3917E11</v>
      </c>
      <c r="Q10" s="998">
        <v>2.92E12</v>
      </c>
      <c r="R10" s="998">
        <v>5.93E9</v>
      </c>
      <c r="S10" s="998">
        <v>4.305E13</v>
      </c>
    </row>
    <row r="11">
      <c r="A11" s="224"/>
      <c r="B11" s="998">
        <v>6.21E9</v>
      </c>
      <c r="C11" s="998">
        <v>6.21E9</v>
      </c>
      <c r="D11" s="998">
        <v>6.21E9</v>
      </c>
      <c r="E11" s="998">
        <v>6.21E9</v>
      </c>
      <c r="F11" s="998">
        <v>6.21E9</v>
      </c>
      <c r="G11" s="998">
        <v>6.21E12</v>
      </c>
      <c r="H11" s="998">
        <v>6.21E9</v>
      </c>
      <c r="I11" s="998">
        <v>6.21E9</v>
      </c>
      <c r="J11" s="998">
        <v>6.21E9</v>
      </c>
      <c r="K11" s="998">
        <v>6.21E9</v>
      </c>
      <c r="L11" s="998">
        <v>6.21E9</v>
      </c>
      <c r="M11" s="998">
        <v>3.4479E11</v>
      </c>
      <c r="N11" s="998">
        <v>6.21E9</v>
      </c>
      <c r="O11" s="998">
        <v>3.4479E11</v>
      </c>
      <c r="P11" s="998">
        <v>3.4479E11</v>
      </c>
      <c r="Q11" s="998">
        <v>5.05E12</v>
      </c>
      <c r="R11" s="998">
        <v>6.21E9</v>
      </c>
      <c r="S11" s="998">
        <v>7.644E13</v>
      </c>
    </row>
    <row r="12">
      <c r="A12" s="224"/>
      <c r="B12" s="998">
        <v>6.53E9</v>
      </c>
      <c r="C12" s="998">
        <v>6.53E9</v>
      </c>
      <c r="D12" s="998">
        <v>6.53E9</v>
      </c>
      <c r="E12" s="998">
        <v>6.53E9</v>
      </c>
      <c r="F12" s="998">
        <v>6.53E9</v>
      </c>
      <c r="G12" s="998">
        <v>1.019E13</v>
      </c>
      <c r="H12" s="998">
        <v>6.53E9</v>
      </c>
      <c r="I12" s="998">
        <v>6.53E9</v>
      </c>
      <c r="J12" s="998">
        <v>6.53E9</v>
      </c>
      <c r="K12" s="998">
        <v>6.53E9</v>
      </c>
      <c r="L12" s="998">
        <v>6.53E9</v>
      </c>
      <c r="M12" s="998">
        <v>4.7701E11</v>
      </c>
      <c r="N12" s="998">
        <v>6.53E9</v>
      </c>
      <c r="O12" s="998">
        <v>4.7701E11</v>
      </c>
      <c r="P12" s="998">
        <v>4.7701E11</v>
      </c>
      <c r="Q12" s="998">
        <v>8.18E12</v>
      </c>
      <c r="R12" s="998">
        <v>6.53E9</v>
      </c>
      <c r="S12" s="998">
        <v>1.2685E14</v>
      </c>
    </row>
    <row r="13">
      <c r="A13" s="224"/>
      <c r="B13" s="998">
        <v>6.88E9</v>
      </c>
      <c r="C13" s="998">
        <v>6.88E9</v>
      </c>
      <c r="D13" s="998">
        <v>6.88E9</v>
      </c>
      <c r="E13" s="998">
        <v>6.88E9</v>
      </c>
      <c r="F13" s="998">
        <v>6.88E9</v>
      </c>
      <c r="G13" s="998">
        <v>1.585E13</v>
      </c>
      <c r="H13" s="998">
        <v>6.88E9</v>
      </c>
      <c r="I13" s="998">
        <v>6.88E9</v>
      </c>
      <c r="J13" s="998">
        <v>6.88E9</v>
      </c>
      <c r="K13" s="998">
        <v>6.88E9</v>
      </c>
      <c r="L13" s="998">
        <v>6.88E9</v>
      </c>
      <c r="M13" s="998">
        <v>6.3846E11</v>
      </c>
      <c r="N13" s="998">
        <v>6.88E9</v>
      </c>
      <c r="O13" s="998">
        <v>6.3846E11</v>
      </c>
      <c r="P13" s="998">
        <v>6.3846E11</v>
      </c>
      <c r="Q13" s="998">
        <v>1.259E13</v>
      </c>
      <c r="R13" s="998">
        <v>6.88E9</v>
      </c>
      <c r="S13" s="998">
        <v>1.9954E14</v>
      </c>
    </row>
    <row r="14">
      <c r="A14" s="224"/>
      <c r="B14" s="998">
        <v>7.28E9</v>
      </c>
      <c r="C14" s="998">
        <v>7.28E9</v>
      </c>
      <c r="D14" s="998">
        <v>7.28E9</v>
      </c>
      <c r="E14" s="998">
        <v>7.28E9</v>
      </c>
      <c r="F14" s="998">
        <v>7.28E9</v>
      </c>
      <c r="G14" s="998">
        <v>2.366E13</v>
      </c>
      <c r="H14" s="998">
        <v>7.28E9</v>
      </c>
      <c r="I14" s="998">
        <v>7.28E9</v>
      </c>
      <c r="J14" s="998">
        <v>7.28E9</v>
      </c>
      <c r="K14" s="998">
        <v>7.28E9</v>
      </c>
      <c r="L14" s="998">
        <v>7.28E9</v>
      </c>
      <c r="M14" s="998">
        <v>8.317E11</v>
      </c>
      <c r="N14" s="998">
        <v>7.28E9</v>
      </c>
      <c r="O14" s="998">
        <v>8.317E11</v>
      </c>
      <c r="P14" s="998">
        <v>8.317E11</v>
      </c>
      <c r="Q14" s="998">
        <v>1.861E13</v>
      </c>
      <c r="R14" s="998">
        <v>7.28E9</v>
      </c>
      <c r="S14" s="998">
        <v>3.0061E14</v>
      </c>
    </row>
    <row r="15">
      <c r="A15" s="224"/>
      <c r="B15" s="998">
        <v>7.73E9</v>
      </c>
      <c r="C15" s="998">
        <v>7.73E9</v>
      </c>
      <c r="D15" s="998">
        <v>7.73E9</v>
      </c>
      <c r="E15" s="998">
        <v>7.73E9</v>
      </c>
      <c r="F15" s="998">
        <v>7.73E9</v>
      </c>
      <c r="G15" s="998">
        <v>3.409E13</v>
      </c>
      <c r="H15" s="998">
        <v>7.73E9</v>
      </c>
      <c r="I15" s="998">
        <v>7.73E9</v>
      </c>
      <c r="J15" s="998">
        <v>7.73E9</v>
      </c>
      <c r="K15" s="998">
        <v>7.73E9</v>
      </c>
      <c r="L15" s="998">
        <v>7.73E9</v>
      </c>
      <c r="M15" s="998">
        <v>1.06E12</v>
      </c>
      <c r="N15" s="998">
        <v>7.73E9</v>
      </c>
      <c r="O15" s="998">
        <v>1.06E12</v>
      </c>
      <c r="P15" s="998">
        <v>1.06E12</v>
      </c>
      <c r="Q15" s="998">
        <v>2.659E13</v>
      </c>
      <c r="R15" s="998">
        <v>7.73E9</v>
      </c>
      <c r="S15" s="998">
        <v>4.3701E14</v>
      </c>
    </row>
    <row r="16">
      <c r="A16" s="224"/>
      <c r="B16" s="998">
        <v>8.21E9</v>
      </c>
      <c r="C16" s="998">
        <v>8.21E9</v>
      </c>
      <c r="D16" s="998">
        <v>8.21E9</v>
      </c>
      <c r="E16" s="998">
        <v>8.21E9</v>
      </c>
      <c r="F16" s="998">
        <v>8.21E9</v>
      </c>
      <c r="G16" s="998">
        <v>4.771E13</v>
      </c>
      <c r="H16" s="998">
        <v>8.21E9</v>
      </c>
      <c r="I16" s="998">
        <v>8.21E9</v>
      </c>
      <c r="J16" s="998">
        <v>8.21E9</v>
      </c>
      <c r="K16" s="998">
        <v>8.21E9</v>
      </c>
      <c r="L16" s="998">
        <v>8.21E9</v>
      </c>
      <c r="M16" s="998">
        <v>1.32E12</v>
      </c>
      <c r="N16" s="998">
        <v>8.21E9</v>
      </c>
      <c r="O16" s="998">
        <v>1.32E12</v>
      </c>
      <c r="P16" s="998">
        <v>1.32E12</v>
      </c>
      <c r="Q16" s="998">
        <v>3.692E13</v>
      </c>
      <c r="R16" s="998">
        <v>8.21E9</v>
      </c>
      <c r="S16" s="998">
        <v>6.1654E14</v>
      </c>
    </row>
    <row r="17">
      <c r="A17" s="224"/>
      <c r="B17" s="998">
        <v>8.74E9</v>
      </c>
      <c r="C17" s="998">
        <v>8.74E9</v>
      </c>
      <c r="D17" s="998">
        <v>8.74E9</v>
      </c>
      <c r="E17" s="998">
        <v>8.74E9</v>
      </c>
      <c r="F17" s="998">
        <v>8.74E9</v>
      </c>
      <c r="G17" s="998">
        <v>6.513E13</v>
      </c>
      <c r="H17" s="998">
        <v>8.74E9</v>
      </c>
      <c r="I17" s="998">
        <v>8.74E9</v>
      </c>
      <c r="J17" s="998">
        <v>8.74E9</v>
      </c>
      <c r="K17" s="998">
        <v>8.74E9</v>
      </c>
      <c r="L17" s="998">
        <v>8.74E9</v>
      </c>
      <c r="M17" s="998">
        <v>1.63E12</v>
      </c>
      <c r="N17" s="998">
        <v>8.74E9</v>
      </c>
      <c r="O17" s="998">
        <v>1.63E12</v>
      </c>
      <c r="P17" s="998">
        <v>1.63E12</v>
      </c>
      <c r="Q17" s="998">
        <v>5.002E13</v>
      </c>
      <c r="R17" s="998">
        <v>8.74E9</v>
      </c>
      <c r="S17" s="998">
        <v>8.4792E14</v>
      </c>
    </row>
    <row r="18">
      <c r="A18" s="224"/>
      <c r="B18" s="998">
        <v>9.32E9</v>
      </c>
      <c r="C18" s="998">
        <v>9.32E9</v>
      </c>
      <c r="D18" s="998">
        <v>9.32E9</v>
      </c>
      <c r="E18" s="998">
        <v>9.32E9</v>
      </c>
      <c r="F18" s="998">
        <v>9.32E9</v>
      </c>
      <c r="G18" s="998">
        <v>8.702E13</v>
      </c>
      <c r="H18" s="998">
        <v>9.32E9</v>
      </c>
      <c r="I18" s="998">
        <v>9.32E9</v>
      </c>
      <c r="J18" s="998">
        <v>9.32E9</v>
      </c>
      <c r="K18" s="998">
        <v>9.32E9</v>
      </c>
      <c r="L18" s="998">
        <v>9.32E9</v>
      </c>
      <c r="M18" s="998">
        <v>1.97E12</v>
      </c>
      <c r="N18" s="998">
        <v>9.32E9</v>
      </c>
      <c r="O18" s="998">
        <v>1.97E12</v>
      </c>
      <c r="P18" s="998">
        <v>1.97E12</v>
      </c>
      <c r="Q18" s="998">
        <v>6.638E13</v>
      </c>
      <c r="R18" s="998">
        <v>9.32E9</v>
      </c>
      <c r="S18" s="998">
        <v>1.14E15</v>
      </c>
    </row>
    <row r="19">
      <c r="A19" s="224"/>
      <c r="B19" s="998">
        <v>9.94E9</v>
      </c>
      <c r="C19" s="998">
        <v>9.94E9</v>
      </c>
      <c r="D19" s="998">
        <v>9.94E9</v>
      </c>
      <c r="E19" s="998">
        <v>9.94E9</v>
      </c>
      <c r="F19" s="998">
        <v>9.94E9</v>
      </c>
      <c r="G19" s="998">
        <v>1.1411E14</v>
      </c>
      <c r="H19" s="998">
        <v>9.94E9</v>
      </c>
      <c r="I19" s="998">
        <v>9.94E9</v>
      </c>
      <c r="J19" s="998">
        <v>9.94E9</v>
      </c>
      <c r="K19" s="998">
        <v>9.94E9</v>
      </c>
      <c r="L19" s="998">
        <v>9.94E9</v>
      </c>
      <c r="M19" s="998">
        <v>2.36E12</v>
      </c>
      <c r="N19" s="998">
        <v>9.94E9</v>
      </c>
      <c r="O19" s="998">
        <v>2.36E12</v>
      </c>
      <c r="P19" s="998">
        <v>2.36E12</v>
      </c>
      <c r="Q19" s="998">
        <v>8.648E13</v>
      </c>
      <c r="R19" s="998">
        <v>9.94E9</v>
      </c>
      <c r="S19" s="998">
        <v>1.51E15</v>
      </c>
    </row>
    <row r="20">
      <c r="A20" s="224"/>
      <c r="B20" s="998">
        <v>2.121E10</v>
      </c>
      <c r="C20" s="998">
        <v>2.121E10</v>
      </c>
      <c r="D20" s="998">
        <v>2.121E10</v>
      </c>
      <c r="E20" s="998">
        <v>2.121E10</v>
      </c>
      <c r="F20" s="998">
        <v>2.121E10</v>
      </c>
      <c r="G20" s="998">
        <v>2.944E14</v>
      </c>
      <c r="H20" s="998">
        <v>2.121E10</v>
      </c>
      <c r="I20" s="998">
        <v>2.121E10</v>
      </c>
      <c r="J20" s="998">
        <v>2.121E10</v>
      </c>
      <c r="K20" s="998">
        <v>2.121E10</v>
      </c>
      <c r="L20" s="998">
        <v>2.121E10</v>
      </c>
      <c r="M20" s="998">
        <v>5.59E12</v>
      </c>
      <c r="N20" s="998">
        <v>2.121E10</v>
      </c>
      <c r="O20" s="998">
        <v>5.59E12</v>
      </c>
      <c r="P20" s="998">
        <v>5.59E12</v>
      </c>
      <c r="Q20" s="998">
        <v>2.2177E14</v>
      </c>
      <c r="R20" s="998">
        <v>2.121E10</v>
      </c>
      <c r="S20" s="998">
        <v>3.91E15</v>
      </c>
    </row>
    <row r="21">
      <c r="A21" s="224"/>
      <c r="B21" s="998">
        <v>3.395E10</v>
      </c>
      <c r="C21" s="998">
        <v>3.395E10</v>
      </c>
      <c r="D21" s="998">
        <v>3.395E10</v>
      </c>
      <c r="E21" s="998">
        <v>3.395E10</v>
      </c>
      <c r="F21" s="998">
        <v>3.395E10</v>
      </c>
      <c r="G21" s="998">
        <v>5.6141E14</v>
      </c>
      <c r="H21" s="998">
        <v>3.395E10</v>
      </c>
      <c r="I21" s="998">
        <v>3.395E10</v>
      </c>
      <c r="J21" s="998">
        <v>3.395E10</v>
      </c>
      <c r="K21" s="998">
        <v>3.395E10</v>
      </c>
      <c r="L21" s="998">
        <v>3.395E10</v>
      </c>
      <c r="M21" s="998">
        <v>9.84E12</v>
      </c>
      <c r="N21" s="998">
        <v>3.395E10</v>
      </c>
      <c r="O21" s="998">
        <v>9.84E12</v>
      </c>
      <c r="P21" s="998">
        <v>9.84E12</v>
      </c>
      <c r="Q21" s="998">
        <v>4.2049E14</v>
      </c>
      <c r="R21" s="998">
        <v>3.395E10</v>
      </c>
      <c r="S21" s="998">
        <v>7.5E15</v>
      </c>
    </row>
    <row r="22">
      <c r="A22" s="224"/>
      <c r="B22" s="998">
        <v>4.83E10</v>
      </c>
      <c r="C22" s="998">
        <v>4.83E10</v>
      </c>
      <c r="D22" s="998">
        <v>4.83E10</v>
      </c>
      <c r="E22" s="998">
        <v>4.83E10</v>
      </c>
      <c r="F22" s="998">
        <v>4.83E10</v>
      </c>
      <c r="G22" s="998">
        <v>9.3937E14</v>
      </c>
      <c r="H22" s="998">
        <v>4.83E10</v>
      </c>
      <c r="I22" s="998">
        <v>4.83E10</v>
      </c>
      <c r="J22" s="998">
        <v>4.83E10</v>
      </c>
      <c r="K22" s="998">
        <v>4.83E10</v>
      </c>
      <c r="L22" s="998">
        <v>4.83E10</v>
      </c>
      <c r="M22" s="998">
        <v>1.526E13</v>
      </c>
      <c r="N22" s="998">
        <v>4.83E10</v>
      </c>
      <c r="O22" s="998">
        <v>1.526E13</v>
      </c>
      <c r="P22" s="998">
        <v>1.526E13</v>
      </c>
      <c r="Q22" s="998">
        <v>6.9978E14</v>
      </c>
      <c r="R22" s="998">
        <v>4.83E10</v>
      </c>
      <c r="S22" s="998">
        <v>1.261E16</v>
      </c>
    </row>
    <row r="23">
      <c r="A23" s="224"/>
      <c r="B23" s="998">
        <v>6.441E10</v>
      </c>
      <c r="C23" s="998">
        <v>6.441E10</v>
      </c>
      <c r="D23" s="998">
        <v>6.441E10</v>
      </c>
      <c r="E23" s="998">
        <v>6.441E10</v>
      </c>
      <c r="F23" s="998">
        <v>6.441E10</v>
      </c>
      <c r="G23" s="998">
        <v>1.46E15</v>
      </c>
      <c r="H23" s="998">
        <v>6.441E10</v>
      </c>
      <c r="I23" s="998">
        <v>6.441E10</v>
      </c>
      <c r="J23" s="998">
        <v>6.441E10</v>
      </c>
      <c r="K23" s="998">
        <v>6.441E10</v>
      </c>
      <c r="L23" s="998">
        <v>6.441E10</v>
      </c>
      <c r="M23" s="998">
        <v>2.202E13</v>
      </c>
      <c r="N23" s="998">
        <v>6.441E10</v>
      </c>
      <c r="O23" s="998">
        <v>2.202E13</v>
      </c>
      <c r="P23" s="998">
        <v>2.202E13</v>
      </c>
      <c r="Q23" s="998">
        <v>1.08E15</v>
      </c>
      <c r="R23" s="998">
        <v>6.441E10</v>
      </c>
      <c r="S23" s="998">
        <v>1.965E16</v>
      </c>
    </row>
    <row r="24">
      <c r="A24" s="224"/>
      <c r="B24" s="998">
        <v>8.242E10</v>
      </c>
      <c r="C24" s="998">
        <v>8.242E10</v>
      </c>
      <c r="D24" s="998">
        <v>8.242E10</v>
      </c>
      <c r="E24" s="998">
        <v>8.242E10</v>
      </c>
      <c r="F24" s="998">
        <v>8.242E10</v>
      </c>
      <c r="G24" s="998">
        <v>2.15E15</v>
      </c>
      <c r="H24" s="998">
        <v>8.242E10</v>
      </c>
      <c r="I24" s="998">
        <v>8.242E10</v>
      </c>
      <c r="J24" s="998">
        <v>8.242E10</v>
      </c>
      <c r="K24" s="998">
        <v>8.242E10</v>
      </c>
      <c r="L24" s="998">
        <v>8.242E10</v>
      </c>
      <c r="M24" s="998">
        <v>3.029E13</v>
      </c>
      <c r="N24" s="998">
        <v>8.242E10</v>
      </c>
      <c r="O24" s="998">
        <v>3.029E13</v>
      </c>
      <c r="P24" s="998">
        <v>3.029E13</v>
      </c>
      <c r="Q24" s="998">
        <v>1.58E15</v>
      </c>
      <c r="R24" s="998">
        <v>8.242E10</v>
      </c>
      <c r="S24" s="998">
        <v>2.91E16</v>
      </c>
    </row>
    <row r="25">
      <c r="A25" s="224"/>
      <c r="B25" s="998">
        <v>1.0249E11</v>
      </c>
      <c r="C25" s="998">
        <v>1.0249E11</v>
      </c>
      <c r="D25" s="998">
        <v>1.0249E11</v>
      </c>
      <c r="E25" s="998">
        <v>1.0249E11</v>
      </c>
      <c r="F25" s="998">
        <v>1.0249E11</v>
      </c>
      <c r="G25" s="998">
        <v>3.04E15</v>
      </c>
      <c r="H25" s="998">
        <v>1.0249E11</v>
      </c>
      <c r="I25" s="998">
        <v>1.0249E11</v>
      </c>
      <c r="J25" s="998">
        <v>1.0249E11</v>
      </c>
      <c r="K25" s="998">
        <v>1.0249E11</v>
      </c>
      <c r="L25" s="998">
        <v>1.0249E11</v>
      </c>
      <c r="M25" s="998">
        <v>4.024E13</v>
      </c>
      <c r="N25" s="998">
        <v>1.0249E11</v>
      </c>
      <c r="O25" s="998">
        <v>4.024E13</v>
      </c>
      <c r="P25" s="998">
        <v>4.024E13</v>
      </c>
      <c r="Q25" s="998">
        <v>2.23E15</v>
      </c>
      <c r="R25" s="998">
        <v>1.0249E11</v>
      </c>
      <c r="S25" s="998">
        <v>4.145E16</v>
      </c>
    </row>
    <row r="26">
      <c r="A26" s="224"/>
      <c r="B26" s="998">
        <v>1.2475E11</v>
      </c>
      <c r="C26" s="998">
        <v>1.2475E11</v>
      </c>
      <c r="D26" s="998">
        <v>1.2475E11</v>
      </c>
      <c r="E26" s="998">
        <v>1.2475E11</v>
      </c>
      <c r="F26" s="998">
        <v>1.2475E11</v>
      </c>
      <c r="G26" s="998">
        <v>4.19E15</v>
      </c>
      <c r="H26" s="998">
        <v>1.2475E11</v>
      </c>
      <c r="I26" s="998">
        <v>1.2475E11</v>
      </c>
      <c r="J26" s="998">
        <v>1.2475E11</v>
      </c>
      <c r="K26" s="998">
        <v>1.2475E11</v>
      </c>
      <c r="L26" s="998">
        <v>1.2475E11</v>
      </c>
      <c r="M26" s="998">
        <v>5.208E13</v>
      </c>
      <c r="N26" s="998">
        <v>1.2475E11</v>
      </c>
      <c r="O26" s="998">
        <v>5.208E13</v>
      </c>
      <c r="P26" s="998">
        <v>5.208E13</v>
      </c>
      <c r="Q26" s="998">
        <v>3.06E15</v>
      </c>
      <c r="R26" s="998">
        <v>1.2475E11</v>
      </c>
      <c r="S26" s="998">
        <v>5.735E16</v>
      </c>
    </row>
    <row r="27">
      <c r="A27" s="224"/>
      <c r="B27" s="998">
        <v>1.4936E11</v>
      </c>
      <c r="C27" s="998">
        <v>1.4936E11</v>
      </c>
      <c r="D27" s="998">
        <v>1.4936E11</v>
      </c>
      <c r="E27" s="998">
        <v>1.4936E11</v>
      </c>
      <c r="F27" s="998">
        <v>1.4936E11</v>
      </c>
      <c r="G27" s="998">
        <v>5.64E15</v>
      </c>
      <c r="H27" s="998">
        <v>1.4936E11</v>
      </c>
      <c r="I27" s="998">
        <v>1.4936E11</v>
      </c>
      <c r="J27" s="998">
        <v>1.4936E11</v>
      </c>
      <c r="K27" s="998">
        <v>1.4936E11</v>
      </c>
      <c r="L27" s="998">
        <v>1.4936E11</v>
      </c>
      <c r="M27" s="998">
        <v>6.599E13</v>
      </c>
      <c r="N27" s="998">
        <v>1.4936E11</v>
      </c>
      <c r="O27" s="998">
        <v>6.599E13</v>
      </c>
      <c r="P27" s="998">
        <v>6.599E13</v>
      </c>
      <c r="Q27" s="998">
        <v>4.1E15</v>
      </c>
      <c r="R27" s="998">
        <v>1.4936E11</v>
      </c>
      <c r="S27" s="998">
        <v>7.747E16</v>
      </c>
    </row>
    <row r="28">
      <c r="A28" s="224"/>
      <c r="B28" s="998">
        <v>1.7648E11</v>
      </c>
      <c r="C28" s="998">
        <v>1.7648E11</v>
      </c>
      <c r="D28" s="998">
        <v>1.7648E11</v>
      </c>
      <c r="E28" s="998">
        <v>1.7648E11</v>
      </c>
      <c r="F28" s="998">
        <v>1.7648E11</v>
      </c>
      <c r="G28" s="998">
        <v>7.44E15</v>
      </c>
      <c r="H28" s="998">
        <v>1.7648E11</v>
      </c>
      <c r="I28" s="998">
        <v>1.7648E11</v>
      </c>
      <c r="J28" s="998">
        <v>1.7648E11</v>
      </c>
      <c r="K28" s="998">
        <v>1.7648E11</v>
      </c>
      <c r="L28" s="998">
        <v>1.7648E11</v>
      </c>
      <c r="M28" s="998">
        <v>8.219E13</v>
      </c>
      <c r="N28" s="998">
        <v>1.7648E11</v>
      </c>
      <c r="O28" s="998">
        <v>8.219E13</v>
      </c>
      <c r="P28" s="998">
        <v>8.219E13</v>
      </c>
      <c r="Q28" s="998">
        <v>5.39E15</v>
      </c>
      <c r="R28" s="998">
        <v>1.7648E11</v>
      </c>
      <c r="S28" s="998">
        <v>1.026E17</v>
      </c>
    </row>
    <row r="29">
      <c r="A29" s="224"/>
      <c r="B29" s="998">
        <v>2.0625E11</v>
      </c>
      <c r="C29" s="998">
        <v>2.0625E11</v>
      </c>
      <c r="D29" s="998">
        <v>2.0625E11</v>
      </c>
      <c r="E29" s="998">
        <v>2.0625E11</v>
      </c>
      <c r="F29" s="998">
        <v>2.0625E11</v>
      </c>
      <c r="G29" s="998">
        <v>9.64E15</v>
      </c>
      <c r="H29" s="998">
        <v>2.0625E11</v>
      </c>
      <c r="I29" s="998">
        <v>2.0625E11</v>
      </c>
      <c r="J29" s="998">
        <v>2.0625E11</v>
      </c>
      <c r="K29" s="998">
        <v>2.0625E11</v>
      </c>
      <c r="L29" s="998">
        <v>2.0625E11</v>
      </c>
      <c r="M29" s="998">
        <v>1.0089E14</v>
      </c>
      <c r="N29" s="998">
        <v>2.0625E11</v>
      </c>
      <c r="O29" s="998">
        <v>1.0089E14</v>
      </c>
      <c r="P29" s="998">
        <v>1.0089E14</v>
      </c>
      <c r="Q29" s="998">
        <v>6.96E15</v>
      </c>
      <c r="R29" s="998">
        <v>2.0625E11</v>
      </c>
      <c r="S29" s="998">
        <v>1.3359E17</v>
      </c>
    </row>
    <row r="30">
      <c r="A30" s="224"/>
      <c r="B30" s="998">
        <v>2.3883E11</v>
      </c>
      <c r="C30" s="998">
        <v>2.3883E11</v>
      </c>
      <c r="D30" s="998">
        <v>2.3883E11</v>
      </c>
      <c r="E30" s="998">
        <v>2.3883E11</v>
      </c>
      <c r="F30" s="998">
        <v>2.3883E11</v>
      </c>
      <c r="G30" s="998">
        <v>1.233E16</v>
      </c>
      <c r="H30" s="998">
        <v>2.3883E11</v>
      </c>
      <c r="I30" s="998">
        <v>2.3883E11</v>
      </c>
      <c r="J30" s="998">
        <v>2.3883E11</v>
      </c>
      <c r="K30" s="998">
        <v>2.3883E11</v>
      </c>
      <c r="L30" s="998">
        <v>2.3883E11</v>
      </c>
      <c r="M30" s="998">
        <v>1.2232E14</v>
      </c>
      <c r="N30" s="998">
        <v>2.3883E11</v>
      </c>
      <c r="O30" s="998">
        <v>1.2232E14</v>
      </c>
      <c r="P30" s="998">
        <v>1.2232E14</v>
      </c>
      <c r="Q30" s="998">
        <v>8.87E15</v>
      </c>
      <c r="R30" s="998">
        <v>2.3883E11</v>
      </c>
      <c r="S30" s="998">
        <v>1.7141E17</v>
      </c>
    </row>
    <row r="31">
      <c r="A31" s="224"/>
      <c r="B31" s="998">
        <v>2.7439E11</v>
      </c>
      <c r="C31" s="998">
        <v>2.7439E11</v>
      </c>
      <c r="D31" s="998">
        <v>2.7439E11</v>
      </c>
      <c r="E31" s="998">
        <v>2.7439E11</v>
      </c>
      <c r="F31" s="998">
        <v>2.7439E11</v>
      </c>
      <c r="G31" s="998">
        <v>1.556E16</v>
      </c>
      <c r="H31" s="998">
        <v>2.7439E11</v>
      </c>
      <c r="I31" s="998">
        <v>2.7439E11</v>
      </c>
      <c r="J31" s="998">
        <v>2.7439E11</v>
      </c>
      <c r="K31" s="998">
        <v>2.7439E11</v>
      </c>
      <c r="L31" s="998">
        <v>2.7439E11</v>
      </c>
      <c r="M31" s="998">
        <v>1.4671E14</v>
      </c>
      <c r="N31" s="998">
        <v>2.7439E11</v>
      </c>
      <c r="O31" s="998">
        <v>1.4671E14</v>
      </c>
      <c r="P31" s="998">
        <v>1.4671E14</v>
      </c>
      <c r="Q31" s="998">
        <v>1.115E16</v>
      </c>
      <c r="R31" s="998">
        <v>2.7439E11</v>
      </c>
      <c r="S31" s="998">
        <v>2.1713E17</v>
      </c>
    </row>
    <row r="32">
      <c r="A32" s="224"/>
      <c r="B32" s="998">
        <v>3.1307E11</v>
      </c>
      <c r="C32" s="998">
        <v>3.1307E11</v>
      </c>
      <c r="D32" s="998">
        <v>3.1307E11</v>
      </c>
      <c r="E32" s="998">
        <v>3.1307E11</v>
      </c>
      <c r="F32" s="998">
        <v>3.1307E11</v>
      </c>
      <c r="G32" s="998">
        <v>1.942E16</v>
      </c>
      <c r="H32" s="998">
        <v>3.1307E11</v>
      </c>
      <c r="I32" s="998">
        <v>3.1307E11</v>
      </c>
      <c r="J32" s="998">
        <v>3.1307E11</v>
      </c>
      <c r="K32" s="998">
        <v>3.1307E11</v>
      </c>
      <c r="L32" s="998">
        <v>3.1307E11</v>
      </c>
      <c r="M32" s="998">
        <v>1.7429E14</v>
      </c>
      <c r="N32" s="998">
        <v>3.1307E11</v>
      </c>
      <c r="O32" s="998">
        <v>1.7429E14</v>
      </c>
      <c r="P32" s="998">
        <v>1.7429E14</v>
      </c>
      <c r="Q32" s="998">
        <v>1.387E16</v>
      </c>
      <c r="R32" s="998">
        <v>3.1307E11</v>
      </c>
      <c r="S32" s="998">
        <v>2.7192E17</v>
      </c>
    </row>
    <row r="33">
      <c r="A33" s="224"/>
      <c r="B33" s="998">
        <v>3.5504E11</v>
      </c>
      <c r="C33" s="998">
        <v>3.5504E11</v>
      </c>
      <c r="D33" s="998">
        <v>3.5504E11</v>
      </c>
      <c r="E33" s="998">
        <v>3.5504E11</v>
      </c>
      <c r="F33" s="998">
        <v>3.5504E11</v>
      </c>
      <c r="G33" s="998">
        <v>2.399E16</v>
      </c>
      <c r="H33" s="998">
        <v>3.5504E11</v>
      </c>
      <c r="I33" s="998">
        <v>3.5504E11</v>
      </c>
      <c r="J33" s="998">
        <v>3.5504E11</v>
      </c>
      <c r="K33" s="998">
        <v>3.5504E11</v>
      </c>
      <c r="L33" s="998">
        <v>3.5504E11</v>
      </c>
      <c r="M33" s="998">
        <v>2.0532E14</v>
      </c>
      <c r="N33" s="998">
        <v>3.5504E11</v>
      </c>
      <c r="O33" s="998">
        <v>2.0532E14</v>
      </c>
      <c r="P33" s="998">
        <v>2.0532E14</v>
      </c>
      <c r="Q33" s="998">
        <v>1.707E16</v>
      </c>
      <c r="R33" s="998">
        <v>3.5504E11</v>
      </c>
      <c r="S33" s="998">
        <v>3.37E17</v>
      </c>
    </row>
    <row r="34">
      <c r="A34" s="224"/>
      <c r="B34" s="998">
        <v>4.8054E11</v>
      </c>
      <c r="C34" s="998">
        <v>4.8054E11</v>
      </c>
      <c r="D34" s="998">
        <v>4.8054E11</v>
      </c>
      <c r="E34" s="998">
        <v>4.8054E11</v>
      </c>
      <c r="F34" s="998">
        <v>4.8054E11</v>
      </c>
      <c r="G34" s="998">
        <v>3.524E16</v>
      </c>
      <c r="H34" s="998">
        <v>4.8054E11</v>
      </c>
      <c r="I34" s="998">
        <v>4.8054E11</v>
      </c>
      <c r="J34" s="998">
        <v>4.8054E11</v>
      </c>
      <c r="K34" s="998">
        <v>4.8054E11</v>
      </c>
      <c r="L34" s="998">
        <v>4.8054E11</v>
      </c>
      <c r="M34" s="998">
        <v>2.8806E14</v>
      </c>
      <c r="N34" s="998">
        <v>4.8054E11</v>
      </c>
      <c r="O34" s="998">
        <v>2.8806E14</v>
      </c>
      <c r="P34" s="998">
        <v>2.8806E14</v>
      </c>
      <c r="Q34" s="998">
        <v>2.5E16</v>
      </c>
      <c r="R34" s="998">
        <v>4.8054E11</v>
      </c>
      <c r="S34" s="998">
        <v>4.9677E17</v>
      </c>
    </row>
    <row r="35">
      <c r="A35" s="224"/>
      <c r="B35" s="998">
        <v>6.2927E11</v>
      </c>
      <c r="C35" s="998">
        <v>6.2927E11</v>
      </c>
      <c r="D35" s="998">
        <v>6.2927E11</v>
      </c>
      <c r="E35" s="998">
        <v>6.2927E11</v>
      </c>
      <c r="F35" s="998">
        <v>6.2927E11</v>
      </c>
      <c r="G35" s="998">
        <v>4.991E16</v>
      </c>
      <c r="H35" s="998">
        <v>6.2927E11</v>
      </c>
      <c r="I35" s="998">
        <v>6.2927E11</v>
      </c>
      <c r="J35" s="998">
        <v>6.2927E11</v>
      </c>
      <c r="K35" s="998">
        <v>6.2927E11</v>
      </c>
      <c r="L35" s="998">
        <v>6.2927E11</v>
      </c>
      <c r="M35" s="998">
        <v>3.9025E14</v>
      </c>
      <c r="N35" s="998">
        <v>6.2927E11</v>
      </c>
      <c r="O35" s="998">
        <v>3.9025E14</v>
      </c>
      <c r="P35" s="998">
        <v>3.9025E14</v>
      </c>
      <c r="Q35" s="998">
        <v>3.529E16</v>
      </c>
      <c r="R35" s="998">
        <v>6.2927E11</v>
      </c>
      <c r="S35" s="998">
        <v>7.0587E17</v>
      </c>
    </row>
    <row r="36">
      <c r="A36" s="224"/>
      <c r="B36" s="998">
        <v>8.0365E11</v>
      </c>
      <c r="C36" s="998">
        <v>8.0365E11</v>
      </c>
      <c r="D36" s="998">
        <v>8.0365E11</v>
      </c>
      <c r="E36" s="998">
        <v>8.0365E11</v>
      </c>
      <c r="F36" s="998">
        <v>8.0365E11</v>
      </c>
      <c r="G36" s="998">
        <v>6.873E16</v>
      </c>
      <c r="H36" s="998">
        <v>8.0365E11</v>
      </c>
      <c r="I36" s="998">
        <v>8.0365E11</v>
      </c>
      <c r="J36" s="998">
        <v>8.0365E11</v>
      </c>
      <c r="K36" s="998">
        <v>8.0365E11</v>
      </c>
      <c r="L36" s="998">
        <v>8.0365E11</v>
      </c>
      <c r="M36" s="998">
        <v>5.147E14</v>
      </c>
      <c r="N36" s="998">
        <v>8.0365E11</v>
      </c>
      <c r="O36" s="998">
        <v>5.147E14</v>
      </c>
      <c r="P36" s="998">
        <v>5.147E14</v>
      </c>
      <c r="Q36" s="998">
        <v>4.845E16</v>
      </c>
      <c r="R36" s="998">
        <v>8.0365E11</v>
      </c>
      <c r="S36" s="998">
        <v>9.75E17</v>
      </c>
    </row>
    <row r="37">
      <c r="A37" s="224"/>
      <c r="B37" s="998">
        <v>1.01E12</v>
      </c>
      <c r="C37" s="998">
        <v>1.01E12</v>
      </c>
      <c r="D37" s="998">
        <v>1.01E12</v>
      </c>
      <c r="E37" s="998">
        <v>1.01E12</v>
      </c>
      <c r="F37" s="998">
        <v>1.01E12</v>
      </c>
      <c r="G37" s="998">
        <v>9.252E16</v>
      </c>
      <c r="H37" s="998">
        <v>1.01E12</v>
      </c>
      <c r="I37" s="998">
        <v>1.01E12</v>
      </c>
      <c r="J37" s="998">
        <v>1.01E12</v>
      </c>
      <c r="K37" s="998">
        <v>1.01E12</v>
      </c>
      <c r="L37" s="998">
        <v>1.01E12</v>
      </c>
      <c r="M37" s="998">
        <v>6.6446E14</v>
      </c>
      <c r="N37" s="998">
        <v>1.01E12</v>
      </c>
      <c r="O37" s="998">
        <v>6.6446E14</v>
      </c>
      <c r="P37" s="998">
        <v>6.6446E14</v>
      </c>
      <c r="Q37" s="998">
        <v>6.503E16</v>
      </c>
      <c r="R37" s="998">
        <v>1.01E12</v>
      </c>
      <c r="S37" s="998">
        <v>1.32E18</v>
      </c>
    </row>
    <row r="38">
      <c r="A38" s="224"/>
      <c r="B38" s="998">
        <v>1.24E12</v>
      </c>
      <c r="C38" s="998">
        <v>1.24E12</v>
      </c>
      <c r="D38" s="998">
        <v>1.24E12</v>
      </c>
      <c r="E38" s="998">
        <v>1.24E12</v>
      </c>
      <c r="F38" s="998">
        <v>1.24E12</v>
      </c>
      <c r="G38" s="998">
        <v>1.2222E17</v>
      </c>
      <c r="H38" s="998">
        <v>1.24E12</v>
      </c>
      <c r="I38" s="998">
        <v>1.24E12</v>
      </c>
      <c r="J38" s="998">
        <v>1.24E12</v>
      </c>
      <c r="K38" s="998">
        <v>1.24E12</v>
      </c>
      <c r="L38" s="998">
        <v>1.24E12</v>
      </c>
      <c r="M38" s="998">
        <v>8.4282E14</v>
      </c>
      <c r="N38" s="998">
        <v>1.24E12</v>
      </c>
      <c r="O38" s="998">
        <v>8.4282E14</v>
      </c>
      <c r="P38" s="998">
        <v>8.4282E14</v>
      </c>
      <c r="Q38" s="998">
        <v>8.565E16</v>
      </c>
      <c r="R38" s="998">
        <v>1.24E12</v>
      </c>
      <c r="S38" s="998">
        <v>1.74E18</v>
      </c>
    </row>
    <row r="39">
      <c r="A39" s="224"/>
      <c r="B39" s="998">
        <v>1.51E12</v>
      </c>
      <c r="C39" s="998">
        <v>1.51E12</v>
      </c>
      <c r="D39" s="998">
        <v>1.51E12</v>
      </c>
      <c r="E39" s="998">
        <v>1.51E12</v>
      </c>
      <c r="F39" s="998">
        <v>1.51E12</v>
      </c>
      <c r="G39" s="998">
        <v>1.589E17</v>
      </c>
      <c r="H39" s="998">
        <v>1.51E12</v>
      </c>
      <c r="I39" s="998">
        <v>1.51E12</v>
      </c>
      <c r="J39" s="998">
        <v>1.51E12</v>
      </c>
      <c r="K39" s="998">
        <v>1.51E12</v>
      </c>
      <c r="L39" s="998">
        <v>1.51E12</v>
      </c>
      <c r="M39" s="998">
        <v>1.05E15</v>
      </c>
      <c r="N39" s="998">
        <v>1.51E12</v>
      </c>
      <c r="O39" s="998">
        <v>1.05E15</v>
      </c>
      <c r="P39" s="998">
        <v>1.05E15</v>
      </c>
      <c r="Q39" s="998">
        <v>1.1104E17</v>
      </c>
      <c r="R39" s="998">
        <v>1.51E12</v>
      </c>
      <c r="S39" s="998">
        <v>2.27E18</v>
      </c>
    </row>
    <row r="40">
      <c r="A40" s="224"/>
      <c r="B40" s="998">
        <v>1.81E12</v>
      </c>
      <c r="C40" s="998">
        <v>1.81E12</v>
      </c>
      <c r="D40" s="998">
        <v>1.81E12</v>
      </c>
      <c r="E40" s="998">
        <v>1.81E12</v>
      </c>
      <c r="F40" s="998">
        <v>1.81E12</v>
      </c>
      <c r="G40" s="998">
        <v>2.0374E17</v>
      </c>
      <c r="H40" s="998">
        <v>1.81E12</v>
      </c>
      <c r="I40" s="998">
        <v>1.81E12</v>
      </c>
      <c r="J40" s="998">
        <v>1.81E12</v>
      </c>
      <c r="K40" s="998">
        <v>1.81E12</v>
      </c>
      <c r="L40" s="998">
        <v>1.81E12</v>
      </c>
      <c r="M40" s="998">
        <v>1.3E15</v>
      </c>
      <c r="N40" s="998">
        <v>1.81E12</v>
      </c>
      <c r="O40" s="998">
        <v>1.3E15</v>
      </c>
      <c r="P40" s="998">
        <v>1.3E15</v>
      </c>
      <c r="Q40" s="998">
        <v>1.4199E17</v>
      </c>
      <c r="R40" s="998">
        <v>1.81E12</v>
      </c>
      <c r="S40" s="998">
        <v>2.92E18</v>
      </c>
    </row>
    <row r="41">
      <c r="A41" s="224"/>
      <c r="B41" s="998">
        <v>2.15E12</v>
      </c>
      <c r="C41" s="998">
        <v>2.15E12</v>
      </c>
      <c r="D41" s="998">
        <v>2.15E12</v>
      </c>
      <c r="E41" s="998">
        <v>2.15E12</v>
      </c>
      <c r="F41" s="998">
        <v>2.15E12</v>
      </c>
      <c r="G41" s="998">
        <v>2.581E17</v>
      </c>
      <c r="H41" s="998">
        <v>2.15E12</v>
      </c>
      <c r="I41" s="998">
        <v>2.15E12</v>
      </c>
      <c r="J41" s="998">
        <v>2.15E12</v>
      </c>
      <c r="K41" s="998">
        <v>2.15E12</v>
      </c>
      <c r="L41" s="998">
        <v>2.15E12</v>
      </c>
      <c r="M41" s="998">
        <v>1.59E15</v>
      </c>
      <c r="N41" s="998">
        <v>2.15E12</v>
      </c>
      <c r="O41" s="998">
        <v>1.59E15</v>
      </c>
      <c r="P41" s="998">
        <v>1.59E15</v>
      </c>
      <c r="Q41" s="998">
        <v>1.794E17</v>
      </c>
      <c r="R41" s="998">
        <v>2.15E12</v>
      </c>
      <c r="S41" s="998">
        <v>3.71E18</v>
      </c>
    </row>
    <row r="42">
      <c r="A42" s="224"/>
      <c r="B42" s="998">
        <v>2.54E12</v>
      </c>
      <c r="C42" s="998">
        <v>2.54E12</v>
      </c>
      <c r="D42" s="998">
        <v>2.54E12</v>
      </c>
      <c r="E42" s="998">
        <v>2.54E12</v>
      </c>
      <c r="F42" s="998">
        <v>2.54E12</v>
      </c>
      <c r="G42" s="998">
        <v>3.2348E17</v>
      </c>
      <c r="H42" s="998">
        <v>2.54E12</v>
      </c>
      <c r="I42" s="998">
        <v>2.54E12</v>
      </c>
      <c r="J42" s="998">
        <v>2.54E12</v>
      </c>
      <c r="K42" s="998">
        <v>2.54E12</v>
      </c>
      <c r="L42" s="998">
        <v>2.54E12</v>
      </c>
      <c r="M42" s="998">
        <v>1.92E15</v>
      </c>
      <c r="N42" s="998">
        <v>2.54E12</v>
      </c>
      <c r="O42" s="998">
        <v>1.92E15</v>
      </c>
      <c r="P42" s="998">
        <v>1.92E15</v>
      </c>
      <c r="Q42" s="998">
        <v>2.2425E17</v>
      </c>
      <c r="R42" s="998">
        <v>2.54E12</v>
      </c>
      <c r="S42" s="998">
        <v>4.67E18</v>
      </c>
    </row>
    <row r="43">
      <c r="A43" s="224"/>
      <c r="B43" s="998">
        <v>2.97E12</v>
      </c>
      <c r="C43" s="998">
        <v>2.97E12</v>
      </c>
      <c r="D43" s="998">
        <v>2.97E12</v>
      </c>
      <c r="E43" s="998">
        <v>2.97E12</v>
      </c>
      <c r="F43" s="998">
        <v>2.97E12</v>
      </c>
      <c r="G43" s="998">
        <v>4.0153E17</v>
      </c>
      <c r="H43" s="998">
        <v>2.97E12</v>
      </c>
      <c r="I43" s="998">
        <v>2.97E12</v>
      </c>
      <c r="J43" s="998">
        <v>2.97E12</v>
      </c>
      <c r="K43" s="998">
        <v>2.97E12</v>
      </c>
      <c r="L43" s="998">
        <v>2.97E12</v>
      </c>
      <c r="M43" s="998">
        <v>2.3E15</v>
      </c>
      <c r="N43" s="998">
        <v>2.97E12</v>
      </c>
      <c r="O43" s="998">
        <v>2.3E15</v>
      </c>
      <c r="P43" s="998">
        <v>2.3E15</v>
      </c>
      <c r="Q43" s="998">
        <v>2.7766E17</v>
      </c>
      <c r="R43" s="998">
        <v>2.97E12</v>
      </c>
      <c r="S43" s="998">
        <v>5.81E18</v>
      </c>
    </row>
    <row r="44">
      <c r="A44" s="224"/>
      <c r="B44" s="998">
        <v>3.46E12</v>
      </c>
      <c r="C44" s="998">
        <v>3.46E12</v>
      </c>
      <c r="D44" s="998">
        <v>3.46E12</v>
      </c>
      <c r="E44" s="998">
        <v>3.46E12</v>
      </c>
      <c r="F44" s="998">
        <v>3.46E12</v>
      </c>
      <c r="G44" s="998">
        <v>4.941E17</v>
      </c>
      <c r="H44" s="998">
        <v>3.46E12</v>
      </c>
      <c r="I44" s="998">
        <v>3.46E12</v>
      </c>
      <c r="J44" s="998">
        <v>3.46E12</v>
      </c>
      <c r="K44" s="998">
        <v>3.46E12</v>
      </c>
      <c r="L44" s="998">
        <v>3.46E12</v>
      </c>
      <c r="M44" s="998">
        <v>2.73E15</v>
      </c>
      <c r="N44" s="998">
        <v>3.46E12</v>
      </c>
      <c r="O44" s="998">
        <v>2.73E15</v>
      </c>
      <c r="P44" s="998">
        <v>2.73E15</v>
      </c>
      <c r="Q44" s="998">
        <v>3.4083E17</v>
      </c>
      <c r="R44" s="998">
        <v>3.46E12</v>
      </c>
      <c r="S44" s="998">
        <v>7.16E18</v>
      </c>
    </row>
    <row r="45">
      <c r="A45" s="224"/>
      <c r="B45" s="998">
        <v>3.99E12</v>
      </c>
      <c r="C45" s="998">
        <v>3.99E12</v>
      </c>
      <c r="D45" s="998">
        <v>3.99E12</v>
      </c>
      <c r="E45" s="998">
        <v>3.99E12</v>
      </c>
      <c r="F45" s="998">
        <v>3.99E12</v>
      </c>
      <c r="G45" s="998">
        <v>6.0324E17</v>
      </c>
      <c r="H45" s="998">
        <v>3.99E12</v>
      </c>
      <c r="I45" s="998">
        <v>3.99E12</v>
      </c>
      <c r="J45" s="998">
        <v>3.99E12</v>
      </c>
      <c r="K45" s="998">
        <v>3.99E12</v>
      </c>
      <c r="L45" s="998">
        <v>3.99E12</v>
      </c>
      <c r="M45" s="998">
        <v>3.22E15</v>
      </c>
      <c r="N45" s="998">
        <v>3.99E12</v>
      </c>
      <c r="O45" s="998">
        <v>3.22E15</v>
      </c>
      <c r="P45" s="998">
        <v>3.22E15</v>
      </c>
      <c r="Q45" s="998">
        <v>4.1511E17</v>
      </c>
      <c r="R45" s="998">
        <v>3.99E12</v>
      </c>
      <c r="S45" s="998">
        <v>8.77E18</v>
      </c>
    </row>
    <row r="46">
      <c r="A46" s="224"/>
      <c r="B46" s="998">
        <v>4.59E12</v>
      </c>
      <c r="C46" s="998">
        <v>4.59E12</v>
      </c>
      <c r="D46" s="998">
        <v>4.59E12</v>
      </c>
      <c r="E46" s="998">
        <v>4.59E12</v>
      </c>
      <c r="F46" s="998">
        <v>4.59E12</v>
      </c>
      <c r="G46" s="998">
        <v>7.3119E17</v>
      </c>
      <c r="H46" s="998">
        <v>4.59E12</v>
      </c>
      <c r="I46" s="998">
        <v>4.59E12</v>
      </c>
      <c r="J46" s="998">
        <v>4.59E12</v>
      </c>
      <c r="K46" s="998">
        <v>4.59E12</v>
      </c>
      <c r="L46" s="998">
        <v>4.59E12</v>
      </c>
      <c r="M46" s="998">
        <v>3.78E15</v>
      </c>
      <c r="N46" s="998">
        <v>4.59E12</v>
      </c>
      <c r="O46" s="998">
        <v>3.78E15</v>
      </c>
      <c r="P46" s="998">
        <v>3.78E15</v>
      </c>
      <c r="Q46" s="998">
        <v>5.0197E17</v>
      </c>
      <c r="R46" s="998">
        <v>4.59E12</v>
      </c>
      <c r="S46" s="998">
        <v>1.065E19</v>
      </c>
    </row>
    <row r="47">
      <c r="A47" s="224"/>
      <c r="B47" s="998">
        <v>5.24E12</v>
      </c>
      <c r="C47" s="998">
        <v>5.24E12</v>
      </c>
      <c r="D47" s="998">
        <v>5.24E12</v>
      </c>
      <c r="E47" s="998">
        <v>5.24E12</v>
      </c>
      <c r="F47" s="998">
        <v>5.24E12</v>
      </c>
      <c r="G47" s="998">
        <v>8.8041E17</v>
      </c>
      <c r="H47" s="998">
        <v>5.24E12</v>
      </c>
      <c r="I47" s="998">
        <v>5.24E12</v>
      </c>
      <c r="J47" s="998">
        <v>5.24E12</v>
      </c>
      <c r="K47" s="998">
        <v>5.24E12</v>
      </c>
      <c r="L47" s="998">
        <v>5.24E12</v>
      </c>
      <c r="M47" s="998">
        <v>4.41E15</v>
      </c>
      <c r="N47" s="998">
        <v>5.24E12</v>
      </c>
      <c r="O47" s="998">
        <v>4.41E15</v>
      </c>
      <c r="P47" s="998">
        <v>4.41E15</v>
      </c>
      <c r="Q47" s="998">
        <v>6.0303E17</v>
      </c>
      <c r="R47" s="998">
        <v>5.24E12</v>
      </c>
      <c r="S47" s="998">
        <v>1.285E19</v>
      </c>
    </row>
    <row r="48">
      <c r="A48" s="224"/>
      <c r="B48" s="998">
        <v>5.96E12</v>
      </c>
      <c r="C48" s="998">
        <v>5.96E12</v>
      </c>
      <c r="D48" s="998">
        <v>5.96E12</v>
      </c>
      <c r="E48" s="998">
        <v>5.96E12</v>
      </c>
      <c r="F48" s="998">
        <v>5.96E12</v>
      </c>
      <c r="G48" s="998">
        <v>1.05E18</v>
      </c>
      <c r="H48" s="998">
        <v>5.96E12</v>
      </c>
      <c r="I48" s="998">
        <v>5.96E12</v>
      </c>
      <c r="J48" s="998">
        <v>5.96E12</v>
      </c>
      <c r="K48" s="998">
        <v>5.96E12</v>
      </c>
      <c r="L48" s="998">
        <v>5.96E12</v>
      </c>
      <c r="M48" s="998">
        <v>5.11E15</v>
      </c>
      <c r="N48" s="998">
        <v>5.96E12</v>
      </c>
      <c r="O48" s="998">
        <v>5.11E15</v>
      </c>
      <c r="P48" s="998">
        <v>5.11E15</v>
      </c>
      <c r="Q48" s="998">
        <v>7.2003E17</v>
      </c>
      <c r="R48" s="998">
        <v>5.96E12</v>
      </c>
      <c r="S48" s="998">
        <v>1.542E19</v>
      </c>
    </row>
    <row r="49">
      <c r="A49" s="224"/>
      <c r="B49" s="998">
        <v>6.76E12</v>
      </c>
      <c r="C49" s="998">
        <v>6.76E12</v>
      </c>
      <c r="D49" s="998">
        <v>6.76E12</v>
      </c>
      <c r="E49" s="998">
        <v>6.76E12</v>
      </c>
      <c r="F49" s="998">
        <v>6.76E12</v>
      </c>
      <c r="G49" s="998">
        <v>1.25E18</v>
      </c>
      <c r="H49" s="998">
        <v>6.76E12</v>
      </c>
      <c r="I49" s="998">
        <v>6.76E12</v>
      </c>
      <c r="J49" s="998">
        <v>6.76E12</v>
      </c>
      <c r="K49" s="998">
        <v>6.76E12</v>
      </c>
      <c r="L49" s="998">
        <v>6.76E12</v>
      </c>
      <c r="M49" s="998">
        <v>5.9E15</v>
      </c>
      <c r="N49" s="998">
        <v>6.76E12</v>
      </c>
      <c r="O49" s="998">
        <v>5.9E15</v>
      </c>
      <c r="P49" s="998">
        <v>5.9E15</v>
      </c>
      <c r="Q49" s="998">
        <v>8.5491E17</v>
      </c>
      <c r="R49" s="998">
        <v>6.76E12</v>
      </c>
      <c r="S49" s="998">
        <v>1.839E19</v>
      </c>
    </row>
    <row r="50">
      <c r="A50" s="224"/>
      <c r="B50" s="998">
        <v>7.62E12</v>
      </c>
      <c r="C50" s="998">
        <v>7.62E12</v>
      </c>
      <c r="D50" s="998">
        <v>7.62E12</v>
      </c>
      <c r="E50" s="998">
        <v>7.62E12</v>
      </c>
      <c r="F50" s="998">
        <v>7.62E12</v>
      </c>
      <c r="G50" s="998">
        <v>1.48E18</v>
      </c>
      <c r="H50" s="998">
        <v>7.62E12</v>
      </c>
      <c r="I50" s="998">
        <v>7.62E12</v>
      </c>
      <c r="J50" s="998">
        <v>7.62E12</v>
      </c>
      <c r="K50" s="998">
        <v>7.62E12</v>
      </c>
      <c r="L50" s="998">
        <v>7.62E12</v>
      </c>
      <c r="M50" s="998">
        <v>6.77E15</v>
      </c>
      <c r="N50" s="998">
        <v>7.62E12</v>
      </c>
      <c r="O50" s="998">
        <v>6.77E15</v>
      </c>
      <c r="P50" s="998">
        <v>6.77E15</v>
      </c>
      <c r="Q50" s="998">
        <v>1.01E18</v>
      </c>
      <c r="R50" s="998">
        <v>7.62E12</v>
      </c>
      <c r="S50" s="998">
        <v>2.181E19</v>
      </c>
    </row>
    <row r="51">
      <c r="A51" s="224"/>
      <c r="B51" s="998">
        <v>8.56E12</v>
      </c>
      <c r="C51" s="998">
        <v>8.56E12</v>
      </c>
      <c r="D51" s="998">
        <v>8.56E12</v>
      </c>
      <c r="E51" s="998">
        <v>8.56E12</v>
      </c>
      <c r="F51" s="998">
        <v>8.56E12</v>
      </c>
      <c r="G51" s="998">
        <v>1.75E18</v>
      </c>
      <c r="H51" s="998">
        <v>8.56E12</v>
      </c>
      <c r="I51" s="998">
        <v>8.56E12</v>
      </c>
      <c r="J51" s="998">
        <v>8.56E12</v>
      </c>
      <c r="K51" s="998">
        <v>8.56E12</v>
      </c>
      <c r="L51" s="998">
        <v>8.56E12</v>
      </c>
      <c r="M51" s="998">
        <v>7.74E15</v>
      </c>
      <c r="N51" s="998">
        <v>8.56E12</v>
      </c>
      <c r="O51" s="998">
        <v>7.74E15</v>
      </c>
      <c r="P51" s="998">
        <v>7.74E15</v>
      </c>
      <c r="Q51" s="998">
        <v>1.19E18</v>
      </c>
      <c r="R51" s="998">
        <v>8.56E12</v>
      </c>
      <c r="S51" s="998">
        <v>2.574E19</v>
      </c>
    </row>
    <row r="52">
      <c r="A52" s="224"/>
      <c r="B52" s="998">
        <v>9.59E12</v>
      </c>
      <c r="C52" s="998">
        <v>9.59E12</v>
      </c>
      <c r="D52" s="998">
        <v>9.59E12</v>
      </c>
      <c r="E52" s="998">
        <v>9.59E12</v>
      </c>
      <c r="F52" s="998">
        <v>9.59E12</v>
      </c>
      <c r="G52" s="998">
        <v>2.05E18</v>
      </c>
      <c r="H52" s="998">
        <v>9.59E12</v>
      </c>
      <c r="I52" s="998">
        <v>9.59E12</v>
      </c>
      <c r="J52" s="998">
        <v>9.59E12</v>
      </c>
      <c r="K52" s="998">
        <v>9.59E12</v>
      </c>
      <c r="L52" s="998">
        <v>9.59E12</v>
      </c>
      <c r="M52" s="998">
        <v>8.82E15</v>
      </c>
      <c r="N52" s="998">
        <v>9.59E12</v>
      </c>
      <c r="O52" s="998">
        <v>8.82E15</v>
      </c>
      <c r="P52" s="998">
        <v>8.82E15</v>
      </c>
      <c r="Q52" s="998">
        <v>1.39E18</v>
      </c>
      <c r="R52" s="998">
        <v>9.59E12</v>
      </c>
      <c r="S52" s="998">
        <v>3.024E19</v>
      </c>
    </row>
    <row r="53">
      <c r="A53" s="224"/>
      <c r="B53" s="998">
        <v>1.07E13</v>
      </c>
      <c r="C53" s="998">
        <v>1.07E13</v>
      </c>
      <c r="D53" s="998">
        <v>1.07E13</v>
      </c>
      <c r="E53" s="998">
        <v>1.07E13</v>
      </c>
      <c r="F53" s="998">
        <v>1.07E13</v>
      </c>
      <c r="G53" s="999">
        <v>2.39E18</v>
      </c>
      <c r="H53" s="998">
        <v>1.07E13</v>
      </c>
      <c r="I53" s="998">
        <v>1.07E13</v>
      </c>
      <c r="J53" s="998">
        <v>1.07E13</v>
      </c>
      <c r="K53" s="998">
        <v>1.07E13</v>
      </c>
      <c r="L53" s="998">
        <v>1.07E13</v>
      </c>
      <c r="M53" s="998">
        <v>1.001E16</v>
      </c>
      <c r="N53" s="998">
        <v>1.07E13</v>
      </c>
      <c r="O53" s="998">
        <v>1.001E16</v>
      </c>
      <c r="P53" s="998">
        <v>1.001E16</v>
      </c>
      <c r="Q53" s="999">
        <v>1.62E18</v>
      </c>
      <c r="R53" s="998">
        <v>1.07E13</v>
      </c>
      <c r="S53" s="999">
        <v>3.537E19</v>
      </c>
    </row>
    <row r="54">
      <c r="A54" s="224"/>
      <c r="B54" s="998">
        <v>1.37E13</v>
      </c>
      <c r="C54" s="998">
        <v>1.37E13</v>
      </c>
      <c r="D54" s="998">
        <v>1.37E13</v>
      </c>
      <c r="E54" s="998">
        <v>1.37E13</v>
      </c>
      <c r="F54" s="998">
        <v>1.37E13</v>
      </c>
      <c r="G54" s="999">
        <v>3.2E18</v>
      </c>
      <c r="H54" s="998">
        <v>1.37E13</v>
      </c>
      <c r="I54" s="998">
        <v>1.37E13</v>
      </c>
      <c r="J54" s="998">
        <v>1.37E13</v>
      </c>
      <c r="K54" s="998">
        <v>1.37E13</v>
      </c>
      <c r="L54" s="998">
        <v>1.37E13</v>
      </c>
      <c r="M54" s="998">
        <v>1.301E16</v>
      </c>
      <c r="N54" s="998">
        <v>1.37E13</v>
      </c>
      <c r="O54" s="998">
        <v>1.301E16</v>
      </c>
      <c r="P54" s="998">
        <v>1.301E16</v>
      </c>
      <c r="Q54" s="999">
        <v>2.16E18</v>
      </c>
      <c r="R54" s="998">
        <v>1.37E13</v>
      </c>
      <c r="S54" s="999">
        <v>4.738E19</v>
      </c>
    </row>
    <row r="55">
      <c r="A55" s="224"/>
      <c r="B55" s="998">
        <v>1.718E13</v>
      </c>
      <c r="C55" s="998">
        <v>1.718E13</v>
      </c>
      <c r="D55" s="998">
        <v>1.718E13</v>
      </c>
      <c r="E55" s="998">
        <v>1.718E13</v>
      </c>
      <c r="F55" s="998">
        <v>1.718E13</v>
      </c>
      <c r="G55" s="999">
        <v>4.19E18</v>
      </c>
      <c r="H55" s="998">
        <v>1.718E13</v>
      </c>
      <c r="I55" s="998">
        <v>1.718E13</v>
      </c>
      <c r="J55" s="998">
        <v>1.718E13</v>
      </c>
      <c r="K55" s="998">
        <v>1.718E13</v>
      </c>
      <c r="L55" s="998">
        <v>1.718E13</v>
      </c>
      <c r="M55" s="998">
        <v>1.658E16</v>
      </c>
      <c r="N55" s="998">
        <v>1.718E13</v>
      </c>
      <c r="O55" s="998">
        <v>1.658E16</v>
      </c>
      <c r="P55" s="998">
        <v>1.658E16</v>
      </c>
      <c r="Q55" s="999">
        <v>2.82E18</v>
      </c>
      <c r="R55" s="998">
        <v>1.718E13</v>
      </c>
      <c r="S55" s="999">
        <v>6.214E19</v>
      </c>
    </row>
    <row r="56">
      <c r="A56" s="224"/>
      <c r="B56" s="998">
        <v>2.121E13</v>
      </c>
      <c r="C56" s="998">
        <v>2.121E13</v>
      </c>
      <c r="D56" s="998">
        <v>2.121E13</v>
      </c>
      <c r="E56" s="998">
        <v>2.121E13</v>
      </c>
      <c r="F56" s="998">
        <v>2.121E13</v>
      </c>
      <c r="G56" s="999">
        <v>5.39E18</v>
      </c>
      <c r="H56" s="998">
        <v>2.121E13</v>
      </c>
      <c r="I56" s="998">
        <v>2.121E13</v>
      </c>
      <c r="J56" s="998">
        <v>2.121E13</v>
      </c>
      <c r="K56" s="998">
        <v>2.121E13</v>
      </c>
      <c r="L56" s="998">
        <v>2.121E13</v>
      </c>
      <c r="M56" s="998">
        <v>2.077E16</v>
      </c>
      <c r="N56" s="998">
        <v>2.121E13</v>
      </c>
      <c r="O56" s="998">
        <v>2.077E16</v>
      </c>
      <c r="P56" s="998">
        <v>2.077E16</v>
      </c>
      <c r="Q56" s="999">
        <v>3.62E18</v>
      </c>
      <c r="R56" s="998">
        <v>2.121E13</v>
      </c>
      <c r="S56" s="999">
        <v>8.012E19</v>
      </c>
    </row>
    <row r="57">
      <c r="A57" s="224"/>
      <c r="B57" s="998">
        <v>2.583E13</v>
      </c>
      <c r="C57" s="998">
        <v>2.583E13</v>
      </c>
      <c r="D57" s="998">
        <v>2.583E13</v>
      </c>
      <c r="E57" s="998">
        <v>2.583E13</v>
      </c>
      <c r="F57" s="998">
        <v>2.583E13</v>
      </c>
      <c r="G57" s="999">
        <v>6.83E18</v>
      </c>
      <c r="H57" s="998">
        <v>2.583E13</v>
      </c>
      <c r="I57" s="998">
        <v>2.583E13</v>
      </c>
      <c r="J57" s="998">
        <v>2.583E13</v>
      </c>
      <c r="K57" s="998">
        <v>2.583E13</v>
      </c>
      <c r="L57" s="998">
        <v>2.583E13</v>
      </c>
      <c r="M57" s="998">
        <v>2.567E16</v>
      </c>
      <c r="N57" s="998">
        <v>2.583E13</v>
      </c>
      <c r="O57" s="998">
        <v>2.567E16</v>
      </c>
      <c r="P57" s="998">
        <v>2.567E16</v>
      </c>
      <c r="Q57" s="999">
        <v>4.59E18</v>
      </c>
      <c r="R57" s="998">
        <v>2.583E13</v>
      </c>
      <c r="S57" s="999">
        <v>1.0184E20</v>
      </c>
    </row>
    <row r="58">
      <c r="A58" s="224"/>
      <c r="B58" s="998">
        <v>3.111E13</v>
      </c>
      <c r="C58" s="998">
        <v>3.111E13</v>
      </c>
      <c r="D58" s="998">
        <v>3.111E13</v>
      </c>
      <c r="E58" s="998">
        <v>3.111E13</v>
      </c>
      <c r="F58" s="998">
        <v>3.111E13</v>
      </c>
      <c r="G58" s="999">
        <v>8.57E18</v>
      </c>
      <c r="H58" s="998">
        <v>3.111E13</v>
      </c>
      <c r="I58" s="998">
        <v>3.111E13</v>
      </c>
      <c r="J58" s="998">
        <v>3.111E13</v>
      </c>
      <c r="K58" s="998">
        <v>3.111E13</v>
      </c>
      <c r="L58" s="998">
        <v>3.111E13</v>
      </c>
      <c r="M58" s="998">
        <v>3.136E16</v>
      </c>
      <c r="N58" s="998">
        <v>3.111E13</v>
      </c>
      <c r="O58" s="998">
        <v>3.136E16</v>
      </c>
      <c r="P58" s="998">
        <v>3.136E16</v>
      </c>
      <c r="Q58" s="999">
        <v>5.74E18</v>
      </c>
      <c r="R58" s="998">
        <v>3.111E13</v>
      </c>
      <c r="S58" s="999">
        <v>1.2788E20</v>
      </c>
    </row>
    <row r="59">
      <c r="A59" s="224"/>
      <c r="B59" s="998">
        <v>3.711E13</v>
      </c>
      <c r="C59" s="998">
        <v>3.711E13</v>
      </c>
      <c r="D59" s="998">
        <v>3.711E13</v>
      </c>
      <c r="E59" s="998">
        <v>3.711E13</v>
      </c>
      <c r="F59" s="998">
        <v>3.711E13</v>
      </c>
      <c r="G59" s="999">
        <v>1.062E19</v>
      </c>
      <c r="H59" s="998">
        <v>3.711E13</v>
      </c>
      <c r="I59" s="998">
        <v>3.711E13</v>
      </c>
      <c r="J59" s="998">
        <v>3.711E13</v>
      </c>
      <c r="K59" s="998">
        <v>3.711E13</v>
      </c>
      <c r="L59" s="998">
        <v>3.711E13</v>
      </c>
      <c r="M59" s="998">
        <v>3.793E16</v>
      </c>
      <c r="N59" s="998">
        <v>3.711E13</v>
      </c>
      <c r="O59" s="998">
        <v>3.793E16</v>
      </c>
      <c r="P59" s="998">
        <v>3.793E16</v>
      </c>
      <c r="Q59" s="999">
        <v>7.1E18</v>
      </c>
      <c r="R59" s="998">
        <v>3.711E13</v>
      </c>
      <c r="S59" s="999">
        <v>1.5891E20</v>
      </c>
    </row>
    <row r="60">
      <c r="A60" s="224"/>
      <c r="B60" s="998">
        <v>4.389E13</v>
      </c>
      <c r="C60" s="998">
        <v>4.389E13</v>
      </c>
      <c r="D60" s="998">
        <v>4.389E13</v>
      </c>
      <c r="E60" s="998">
        <v>4.389E13</v>
      </c>
      <c r="F60" s="998">
        <v>4.389E13</v>
      </c>
      <c r="G60" s="999">
        <v>1.306E19</v>
      </c>
      <c r="H60" s="998">
        <v>4.389E13</v>
      </c>
      <c r="I60" s="998">
        <v>4.389E13</v>
      </c>
      <c r="J60" s="998">
        <v>4.389E13</v>
      </c>
      <c r="K60" s="998">
        <v>4.389E13</v>
      </c>
      <c r="L60" s="998">
        <v>4.389E13</v>
      </c>
      <c r="M60" s="998">
        <v>4.547E16</v>
      </c>
      <c r="N60" s="998">
        <v>4.389E13</v>
      </c>
      <c r="O60" s="998">
        <v>4.547E16</v>
      </c>
      <c r="P60" s="998">
        <v>4.547E16</v>
      </c>
      <c r="Q60" s="999">
        <v>8.72E18</v>
      </c>
      <c r="R60" s="998">
        <v>4.389E13</v>
      </c>
      <c r="S60" s="999">
        <v>1.9563E20</v>
      </c>
    </row>
    <row r="61">
      <c r="A61" s="224"/>
      <c r="B61" s="998">
        <v>5.152E13</v>
      </c>
      <c r="C61" s="998">
        <v>5.152E13</v>
      </c>
      <c r="D61" s="998">
        <v>5.152E13</v>
      </c>
      <c r="E61" s="998">
        <v>5.152E13</v>
      </c>
      <c r="F61" s="998">
        <v>5.152E13</v>
      </c>
      <c r="G61" s="999">
        <v>1.592E19</v>
      </c>
      <c r="H61" s="998">
        <v>5.152E13</v>
      </c>
      <c r="I61" s="998">
        <v>5.152E13</v>
      </c>
      <c r="J61" s="998">
        <v>5.152E13</v>
      </c>
      <c r="K61" s="998">
        <v>5.152E13</v>
      </c>
      <c r="L61" s="998">
        <v>5.152E13</v>
      </c>
      <c r="M61" s="998">
        <v>5.409E16</v>
      </c>
      <c r="N61" s="998">
        <v>5.152E13</v>
      </c>
      <c r="O61" s="998">
        <v>5.409E16</v>
      </c>
      <c r="P61" s="998">
        <v>5.409E16</v>
      </c>
      <c r="Q61" s="999">
        <v>1.06E19</v>
      </c>
      <c r="R61" s="998">
        <v>5.152E13</v>
      </c>
      <c r="S61" s="999">
        <v>2.3888E20</v>
      </c>
    </row>
    <row r="62">
      <c r="A62" s="224"/>
      <c r="B62" s="998">
        <v>6.008E13</v>
      </c>
      <c r="C62" s="998">
        <v>6.008E13</v>
      </c>
      <c r="D62" s="998">
        <v>6.008E13</v>
      </c>
      <c r="E62" s="998">
        <v>6.008E13</v>
      </c>
      <c r="F62" s="998">
        <v>6.008E13</v>
      </c>
      <c r="G62" s="999">
        <v>1.926E19</v>
      </c>
      <c r="H62" s="998">
        <v>6.008E13</v>
      </c>
      <c r="I62" s="998">
        <v>6.008E13</v>
      </c>
      <c r="J62" s="998">
        <v>6.008E13</v>
      </c>
      <c r="K62" s="998">
        <v>6.008E13</v>
      </c>
      <c r="L62" s="998">
        <v>6.008E13</v>
      </c>
      <c r="M62" s="998">
        <v>6.39E16</v>
      </c>
      <c r="N62" s="998">
        <v>6.008E13</v>
      </c>
      <c r="O62" s="998">
        <v>6.39E16</v>
      </c>
      <c r="P62" s="998">
        <v>6.39E16</v>
      </c>
      <c r="Q62" s="999">
        <v>1.281E19</v>
      </c>
      <c r="R62" s="998">
        <v>6.008E13</v>
      </c>
      <c r="S62" s="999">
        <v>2.8953E20</v>
      </c>
    </row>
    <row r="63">
      <c r="A63" s="224"/>
      <c r="B63" s="998">
        <v>6.965E13</v>
      </c>
      <c r="C63" s="998">
        <v>6.965E13</v>
      </c>
      <c r="D63" s="998">
        <v>6.965E13</v>
      </c>
      <c r="E63" s="998">
        <v>6.965E13</v>
      </c>
      <c r="F63" s="998">
        <v>6.965E13</v>
      </c>
      <c r="G63" s="999">
        <v>2.315E19</v>
      </c>
      <c r="H63" s="998">
        <v>6.965E13</v>
      </c>
      <c r="I63" s="998">
        <v>6.965E13</v>
      </c>
      <c r="J63" s="998">
        <v>6.965E13</v>
      </c>
      <c r="K63" s="998">
        <v>6.965E13</v>
      </c>
      <c r="L63" s="998">
        <v>6.965E13</v>
      </c>
      <c r="M63" s="998">
        <v>7.502E16</v>
      </c>
      <c r="N63" s="998">
        <v>6.965E13</v>
      </c>
      <c r="O63" s="998">
        <v>7.502E16</v>
      </c>
      <c r="P63" s="998">
        <v>7.502E16</v>
      </c>
      <c r="Q63" s="999">
        <v>1.537E19</v>
      </c>
      <c r="R63" s="998">
        <v>6.965E13</v>
      </c>
      <c r="S63" s="1000"/>
    </row>
    <row r="64">
      <c r="A64" s="224"/>
      <c r="B64" s="998">
        <v>8.031E13</v>
      </c>
      <c r="C64" s="998">
        <v>8.031E13</v>
      </c>
      <c r="D64" s="998">
        <v>8.031E13</v>
      </c>
      <c r="E64" s="998">
        <v>8.031E13</v>
      </c>
      <c r="F64" s="998">
        <v>8.031E13</v>
      </c>
      <c r="G64" s="999">
        <v>2.765E19</v>
      </c>
      <c r="H64" s="998">
        <v>8.031E13</v>
      </c>
      <c r="I64" s="998">
        <v>8.031E13</v>
      </c>
      <c r="J64" s="998">
        <v>8.031E13</v>
      </c>
      <c r="K64" s="998">
        <v>8.031E13</v>
      </c>
      <c r="L64" s="998">
        <v>8.031E13</v>
      </c>
      <c r="M64" s="998">
        <v>8.757E16</v>
      </c>
      <c r="N64" s="998">
        <v>8.031E13</v>
      </c>
      <c r="O64" s="998">
        <v>8.757E16</v>
      </c>
      <c r="P64" s="998">
        <v>8.757E16</v>
      </c>
      <c r="Q64" s="999">
        <v>1.833E19</v>
      </c>
      <c r="R64" s="998">
        <v>8.031E13</v>
      </c>
      <c r="S64" s="1000"/>
    </row>
    <row r="65">
      <c r="A65" s="224"/>
      <c r="B65" s="998">
        <v>9.214E13</v>
      </c>
      <c r="C65" s="998">
        <v>9.214E13</v>
      </c>
      <c r="D65" s="998">
        <v>9.214E13</v>
      </c>
      <c r="E65" s="998">
        <v>9.214E13</v>
      </c>
      <c r="F65" s="998">
        <v>9.214E13</v>
      </c>
      <c r="G65" s="999">
        <v>3.285E19</v>
      </c>
      <c r="H65" s="998">
        <v>9.214E13</v>
      </c>
      <c r="I65" s="998">
        <v>9.214E13</v>
      </c>
      <c r="J65" s="998">
        <v>9.214E13</v>
      </c>
      <c r="K65" s="998">
        <v>9.214E13</v>
      </c>
      <c r="L65" s="998">
        <v>9.214E13</v>
      </c>
      <c r="M65" s="998">
        <v>1.0169E17</v>
      </c>
      <c r="N65" s="998">
        <v>9.214E13</v>
      </c>
      <c r="O65" s="998">
        <v>1.0169E17</v>
      </c>
      <c r="P65" s="998">
        <v>1.0169E17</v>
      </c>
      <c r="Q65" s="999">
        <v>2.174E19</v>
      </c>
      <c r="R65" s="998">
        <v>9.214E13</v>
      </c>
      <c r="S65" s="1000"/>
    </row>
    <row r="66">
      <c r="A66" s="224"/>
      <c r="B66" s="998">
        <v>1.0523E14</v>
      </c>
      <c r="C66" s="998">
        <v>1.0523E14</v>
      </c>
      <c r="D66" s="998">
        <v>1.0523E14</v>
      </c>
      <c r="E66" s="998">
        <v>1.0523E14</v>
      </c>
      <c r="F66" s="998">
        <v>1.0523E14</v>
      </c>
      <c r="G66" s="999">
        <v>3.882E19</v>
      </c>
      <c r="H66" s="998">
        <v>1.0523E14</v>
      </c>
      <c r="I66" s="998">
        <v>1.0523E14</v>
      </c>
      <c r="J66" s="998">
        <v>1.0523E14</v>
      </c>
      <c r="K66" s="998">
        <v>1.0523E14</v>
      </c>
      <c r="L66" s="998">
        <v>1.0523E14</v>
      </c>
      <c r="M66" s="998">
        <v>1.1752E17</v>
      </c>
      <c r="N66" s="998">
        <v>1.0523E14</v>
      </c>
      <c r="O66" s="998">
        <v>1.1752E17</v>
      </c>
      <c r="P66" s="998">
        <v>1.1752E17</v>
      </c>
      <c r="Q66" s="999">
        <v>2.566E19</v>
      </c>
      <c r="R66" s="998">
        <v>1.0523E14</v>
      </c>
      <c r="S66" s="1000"/>
    </row>
    <row r="67">
      <c r="A67" s="224"/>
      <c r="B67" s="998">
        <v>1.1969E14</v>
      </c>
      <c r="C67" s="998">
        <v>1.1969E14</v>
      </c>
      <c r="D67" s="998">
        <v>1.1969E14</v>
      </c>
      <c r="E67" s="998">
        <v>1.1969E14</v>
      </c>
      <c r="F67" s="998">
        <v>1.1969E14</v>
      </c>
      <c r="G67" s="999">
        <v>4.567E19</v>
      </c>
      <c r="H67" s="998">
        <v>1.1969E14</v>
      </c>
      <c r="I67" s="998">
        <v>1.1969E14</v>
      </c>
      <c r="J67" s="998">
        <v>1.1969E14</v>
      </c>
      <c r="K67" s="998">
        <v>1.1969E14</v>
      </c>
      <c r="L67" s="998">
        <v>1.1969E14</v>
      </c>
      <c r="M67" s="998">
        <v>1.3522E17</v>
      </c>
      <c r="N67" s="998">
        <v>1.1969E14</v>
      </c>
      <c r="O67" s="998">
        <v>1.3522E17</v>
      </c>
      <c r="P67" s="998">
        <v>1.3522E17</v>
      </c>
      <c r="Q67" s="999">
        <v>3.013E19</v>
      </c>
      <c r="R67" s="998">
        <v>1.1969E14</v>
      </c>
      <c r="S67" s="1000"/>
    </row>
    <row r="68">
      <c r="A68" s="224"/>
      <c r="B68" s="998">
        <v>1.3561E14</v>
      </c>
      <c r="C68" s="998">
        <v>1.3561E14</v>
      </c>
      <c r="D68" s="998">
        <v>1.3561E14</v>
      </c>
      <c r="E68" s="998">
        <v>1.3561E14</v>
      </c>
      <c r="F68" s="998">
        <v>1.3561E14</v>
      </c>
      <c r="G68" s="999">
        <v>5.348E19</v>
      </c>
      <c r="H68" s="998">
        <v>1.3561E14</v>
      </c>
      <c r="I68" s="998">
        <v>1.3561E14</v>
      </c>
      <c r="J68" s="998">
        <v>1.3561E14</v>
      </c>
      <c r="K68" s="998">
        <v>1.3561E14</v>
      </c>
      <c r="L68" s="998">
        <v>1.3561E14</v>
      </c>
      <c r="M68" s="998">
        <v>1.5495E17</v>
      </c>
      <c r="N68" s="998">
        <v>1.3561E14</v>
      </c>
      <c r="O68" s="998">
        <v>1.5495E17</v>
      </c>
      <c r="P68" s="998">
        <v>1.5495E17</v>
      </c>
      <c r="Q68" s="999">
        <v>3.523E19</v>
      </c>
      <c r="R68" s="998">
        <v>1.3561E14</v>
      </c>
      <c r="S68" s="1000"/>
    </row>
    <row r="69">
      <c r="A69" s="224"/>
      <c r="B69" s="998">
        <v>1.531E14</v>
      </c>
      <c r="C69" s="998">
        <v>1.531E14</v>
      </c>
      <c r="D69" s="998">
        <v>1.531E14</v>
      </c>
      <c r="E69" s="998">
        <v>1.531E14</v>
      </c>
      <c r="F69" s="998">
        <v>1.531E14</v>
      </c>
      <c r="G69" s="999">
        <v>6.237E19</v>
      </c>
      <c r="H69" s="998">
        <v>1.531E14</v>
      </c>
      <c r="I69" s="998">
        <v>1.531E14</v>
      </c>
      <c r="J69" s="998">
        <v>1.531E14</v>
      </c>
      <c r="K69" s="998">
        <v>1.531E14</v>
      </c>
      <c r="L69" s="998">
        <v>1.531E14</v>
      </c>
      <c r="M69" s="998">
        <v>1.7687E17</v>
      </c>
      <c r="N69" s="998">
        <v>1.531E14</v>
      </c>
      <c r="O69" s="998">
        <v>1.7687E17</v>
      </c>
      <c r="P69" s="998">
        <v>1.7687E17</v>
      </c>
      <c r="Q69" s="999">
        <v>4.102E19</v>
      </c>
      <c r="R69" s="998">
        <v>1.531E14</v>
      </c>
      <c r="S69" s="1000"/>
    </row>
    <row r="70">
      <c r="A70" s="224"/>
      <c r="B70" s="998">
        <v>1.7226E14</v>
      </c>
      <c r="C70" s="998">
        <v>1.7226E14</v>
      </c>
      <c r="D70" s="998">
        <v>1.7226E14</v>
      </c>
      <c r="E70" s="998">
        <v>1.7226E14</v>
      </c>
      <c r="F70" s="998">
        <v>1.7226E14</v>
      </c>
      <c r="G70" s="999">
        <v>7.245E19</v>
      </c>
      <c r="H70" s="998">
        <v>1.7226E14</v>
      </c>
      <c r="I70" s="998">
        <v>1.7226E14</v>
      </c>
      <c r="J70" s="998">
        <v>1.7226E14</v>
      </c>
      <c r="K70" s="998">
        <v>1.7226E14</v>
      </c>
      <c r="L70" s="998">
        <v>1.7226E14</v>
      </c>
      <c r="M70" s="998">
        <v>2.0118E17</v>
      </c>
      <c r="N70" s="998">
        <v>1.7226E14</v>
      </c>
      <c r="O70" s="998">
        <v>2.0118E17</v>
      </c>
      <c r="P70" s="998">
        <v>2.0118E17</v>
      </c>
      <c r="Q70" s="999">
        <v>4.758E19</v>
      </c>
      <c r="R70" s="998">
        <v>1.7226E14</v>
      </c>
      <c r="S70" s="1000"/>
    </row>
    <row r="71">
      <c r="A71" s="224"/>
      <c r="B71" s="998">
        <v>1.9321E14</v>
      </c>
      <c r="C71" s="998">
        <v>1.9321E14</v>
      </c>
      <c r="D71" s="998">
        <v>1.9321E14</v>
      </c>
      <c r="E71" s="998">
        <v>1.9321E14</v>
      </c>
      <c r="F71" s="998">
        <v>1.9321E14</v>
      </c>
      <c r="G71" s="999">
        <v>8.385E19</v>
      </c>
      <c r="H71" s="998">
        <v>1.9321E14</v>
      </c>
      <c r="I71" s="998">
        <v>1.9321E14</v>
      </c>
      <c r="J71" s="998">
        <v>1.9321E14</v>
      </c>
      <c r="K71" s="998">
        <v>1.9321E14</v>
      </c>
      <c r="L71" s="998">
        <v>1.9321E14</v>
      </c>
      <c r="M71" s="998">
        <v>2.2807E17</v>
      </c>
      <c r="N71" s="998">
        <v>1.9321E14</v>
      </c>
      <c r="O71" s="998">
        <v>2.2807E17</v>
      </c>
      <c r="P71" s="998">
        <v>2.2807E17</v>
      </c>
      <c r="Q71" s="999">
        <v>5.499E19</v>
      </c>
      <c r="R71" s="998">
        <v>1.9321E14</v>
      </c>
      <c r="S71" s="1000"/>
    </row>
    <row r="72">
      <c r="A72" s="224"/>
      <c r="B72" s="998">
        <v>2.1608E14</v>
      </c>
      <c r="C72" s="998">
        <v>2.1608E14</v>
      </c>
      <c r="D72" s="998">
        <v>2.1608E14</v>
      </c>
      <c r="E72" s="998">
        <v>2.1608E14</v>
      </c>
      <c r="F72" s="998">
        <v>2.1608E14</v>
      </c>
      <c r="G72" s="999">
        <v>9.672E19</v>
      </c>
      <c r="H72" s="998">
        <v>2.1608E14</v>
      </c>
      <c r="I72" s="998">
        <v>2.1608E14</v>
      </c>
      <c r="J72" s="998">
        <v>2.1608E14</v>
      </c>
      <c r="K72" s="998">
        <v>2.1608E14</v>
      </c>
      <c r="L72" s="998">
        <v>2.1608E14</v>
      </c>
      <c r="M72" s="998">
        <v>2.5774E17</v>
      </c>
      <c r="N72" s="998">
        <v>2.1608E14</v>
      </c>
      <c r="O72" s="998">
        <v>2.5774E17</v>
      </c>
      <c r="P72" s="998">
        <v>2.5774E17</v>
      </c>
      <c r="Q72" s="999">
        <v>6.333E19</v>
      </c>
      <c r="R72" s="998">
        <v>2.1608E14</v>
      </c>
      <c r="S72" s="1000"/>
    </row>
    <row r="73">
      <c r="A73" s="224"/>
      <c r="B73" s="998">
        <v>2.4098E14</v>
      </c>
      <c r="C73" s="998">
        <v>2.4098E14</v>
      </c>
      <c r="D73" s="998">
        <v>2.4098E14</v>
      </c>
      <c r="E73" s="998">
        <v>2.4098E14</v>
      </c>
      <c r="F73" s="998">
        <v>2.4098E14</v>
      </c>
      <c r="G73" s="999">
        <v>1.1119E20</v>
      </c>
      <c r="H73" s="998">
        <v>2.4098E14</v>
      </c>
      <c r="I73" s="998">
        <v>2.4098E14</v>
      </c>
      <c r="J73" s="998">
        <v>2.4098E14</v>
      </c>
      <c r="K73" s="998">
        <v>2.4098E14</v>
      </c>
      <c r="L73" s="998">
        <v>2.4098E14</v>
      </c>
      <c r="M73" s="998">
        <v>2.9041E17</v>
      </c>
      <c r="N73" s="998">
        <v>2.4098E14</v>
      </c>
      <c r="O73" s="998">
        <v>2.9041E17</v>
      </c>
      <c r="P73" s="998">
        <v>2.9041E17</v>
      </c>
      <c r="Q73" s="999">
        <v>7.271E19</v>
      </c>
      <c r="R73" s="998">
        <v>2.4098E14</v>
      </c>
      <c r="S73" s="1000"/>
    </row>
    <row r="74">
      <c r="A74" s="224"/>
      <c r="B74" s="998">
        <v>2.6805E14</v>
      </c>
      <c r="C74" s="998">
        <v>2.6805E14</v>
      </c>
      <c r="D74" s="998">
        <v>2.6805E14</v>
      </c>
      <c r="E74" s="998">
        <v>2.6805E14</v>
      </c>
      <c r="F74" s="998">
        <v>2.6805E14</v>
      </c>
      <c r="G74" s="999">
        <v>1.2744E20</v>
      </c>
      <c r="H74" s="998">
        <v>2.6805E14</v>
      </c>
      <c r="I74" s="998">
        <v>2.6805E14</v>
      </c>
      <c r="J74" s="998">
        <v>2.6805E14</v>
      </c>
      <c r="K74" s="998">
        <v>2.6805E14</v>
      </c>
      <c r="L74" s="998">
        <v>2.6805E14</v>
      </c>
      <c r="M74" s="998">
        <v>3.263E17</v>
      </c>
      <c r="N74" s="998">
        <v>2.6805E14</v>
      </c>
      <c r="O74" s="998">
        <v>3.263E17</v>
      </c>
      <c r="P74" s="998">
        <v>3.263E17</v>
      </c>
      <c r="Q74" s="999">
        <v>8.321E19</v>
      </c>
      <c r="R74" s="998">
        <v>2.6805E14</v>
      </c>
      <c r="S74" s="1000"/>
    </row>
    <row r="75">
      <c r="A75" s="224"/>
      <c r="B75" s="998">
        <v>2.9743E14</v>
      </c>
      <c r="C75" s="998">
        <v>2.9743E14</v>
      </c>
      <c r="D75" s="998">
        <v>2.9743E14</v>
      </c>
      <c r="E75" s="998">
        <v>2.9743E14</v>
      </c>
      <c r="F75" s="998">
        <v>2.9743E14</v>
      </c>
      <c r="G75" s="999">
        <v>1.4564E20</v>
      </c>
      <c r="H75" s="998">
        <v>2.9743E14</v>
      </c>
      <c r="I75" s="998">
        <v>2.9743E14</v>
      </c>
      <c r="J75" s="998">
        <v>2.9743E14</v>
      </c>
      <c r="K75" s="998">
        <v>2.9743E14</v>
      </c>
      <c r="L75" s="998">
        <v>2.9743E14</v>
      </c>
      <c r="M75" s="998">
        <v>3.6565E17</v>
      </c>
      <c r="N75" s="998">
        <v>2.9743E14</v>
      </c>
      <c r="O75" s="998">
        <v>3.6565E17</v>
      </c>
      <c r="P75" s="998">
        <v>3.6565E17</v>
      </c>
      <c r="Q75" s="999">
        <v>9.496E19</v>
      </c>
      <c r="R75" s="998">
        <v>2.9743E14</v>
      </c>
      <c r="S75" s="1000"/>
    </row>
    <row r="76">
      <c r="A76" s="224"/>
      <c r="B76" s="998">
        <v>3.2925E14</v>
      </c>
      <c r="C76" s="998">
        <v>3.2925E14</v>
      </c>
      <c r="D76" s="998">
        <v>3.2925E14</v>
      </c>
      <c r="E76" s="998">
        <v>3.2925E14</v>
      </c>
      <c r="F76" s="998">
        <v>3.2925E14</v>
      </c>
      <c r="G76" s="999">
        <v>1.6596E20</v>
      </c>
      <c r="H76" s="998">
        <v>3.2925E14</v>
      </c>
      <c r="I76" s="998">
        <v>3.2925E14</v>
      </c>
      <c r="J76" s="998">
        <v>3.2925E14</v>
      </c>
      <c r="K76" s="998">
        <v>3.2925E14</v>
      </c>
      <c r="L76" s="998">
        <v>3.2925E14</v>
      </c>
      <c r="M76" s="998">
        <v>4.0872E17</v>
      </c>
      <c r="N76" s="998">
        <v>3.2925E14</v>
      </c>
      <c r="O76" s="998">
        <v>4.0872E17</v>
      </c>
      <c r="P76" s="998">
        <v>4.0872E17</v>
      </c>
      <c r="Q76" s="999">
        <v>1.0806E20</v>
      </c>
      <c r="R76" s="998">
        <v>3.2925E14</v>
      </c>
      <c r="S76" s="1000"/>
    </row>
    <row r="77">
      <c r="A77" s="224"/>
      <c r="B77" s="998">
        <v>3.6367E14</v>
      </c>
      <c r="C77" s="998">
        <v>3.6367E14</v>
      </c>
      <c r="D77" s="998">
        <v>3.6367E14</v>
      </c>
      <c r="E77" s="998">
        <v>3.6367E14</v>
      </c>
      <c r="F77" s="998">
        <v>3.6367E14</v>
      </c>
      <c r="G77" s="999">
        <v>1.8863E20</v>
      </c>
      <c r="H77" s="998">
        <v>3.6367E14</v>
      </c>
      <c r="I77" s="998">
        <v>3.6367E14</v>
      </c>
      <c r="J77" s="998">
        <v>3.6367E14</v>
      </c>
      <c r="K77" s="998">
        <v>3.6367E14</v>
      </c>
      <c r="L77" s="998">
        <v>3.6367E14</v>
      </c>
      <c r="M77" s="998">
        <v>4.5577E17</v>
      </c>
      <c r="N77" s="998">
        <v>3.6367E14</v>
      </c>
      <c r="O77" s="998">
        <v>4.5577E17</v>
      </c>
      <c r="P77" s="998">
        <v>4.5577E17</v>
      </c>
      <c r="Q77" s="999">
        <v>1.2266E20</v>
      </c>
      <c r="R77" s="998">
        <v>3.6367E14</v>
      </c>
      <c r="S77" s="1000"/>
    </row>
    <row r="78">
      <c r="A78" s="224"/>
      <c r="B78" s="998">
        <v>4.0083E14</v>
      </c>
      <c r="C78" s="998">
        <v>4.0083E14</v>
      </c>
      <c r="D78" s="998">
        <v>4.0083E14</v>
      </c>
      <c r="E78" s="998">
        <v>4.0083E14</v>
      </c>
      <c r="F78" s="998">
        <v>4.0083E14</v>
      </c>
      <c r="G78" s="1000"/>
      <c r="H78" s="998">
        <v>4.0083E14</v>
      </c>
      <c r="I78" s="998">
        <v>4.0083E14</v>
      </c>
      <c r="J78" s="998">
        <v>4.0083E14</v>
      </c>
      <c r="K78" s="998">
        <v>4.0083E14</v>
      </c>
      <c r="L78" s="998">
        <v>4.0083E14</v>
      </c>
      <c r="M78" s="998">
        <v>5.0708E17</v>
      </c>
      <c r="N78" s="998">
        <v>4.0083E14</v>
      </c>
      <c r="O78" s="998">
        <v>5.0708E17</v>
      </c>
      <c r="P78" s="998">
        <v>5.0708E17</v>
      </c>
      <c r="Q78" s="999">
        <v>1.3887E20</v>
      </c>
      <c r="R78" s="998">
        <v>4.0083E14</v>
      </c>
      <c r="S78" s="1000"/>
    </row>
    <row r="79">
      <c r="A79" s="224"/>
      <c r="B79" s="998">
        <v>4.4091E14</v>
      </c>
      <c r="C79" s="998">
        <v>4.4091E14</v>
      </c>
      <c r="D79" s="998">
        <v>4.4091E14</v>
      </c>
      <c r="E79" s="998">
        <v>4.4091E14</v>
      </c>
      <c r="F79" s="998">
        <v>4.4091E14</v>
      </c>
      <c r="G79" s="1000"/>
      <c r="H79" s="998">
        <v>4.4091E14</v>
      </c>
      <c r="I79" s="998">
        <v>4.4091E14</v>
      </c>
      <c r="J79" s="998">
        <v>4.4091E14</v>
      </c>
      <c r="K79" s="998">
        <v>4.4091E14</v>
      </c>
      <c r="L79" s="998">
        <v>4.4091E14</v>
      </c>
      <c r="M79" s="998">
        <v>5.6294E17</v>
      </c>
      <c r="N79" s="998">
        <v>4.4091E14</v>
      </c>
      <c r="O79" s="998">
        <v>5.6294E17</v>
      </c>
      <c r="P79" s="998">
        <v>5.6294E17</v>
      </c>
      <c r="Q79" s="999">
        <v>1.5684E20</v>
      </c>
      <c r="R79" s="998">
        <v>4.4091E14</v>
      </c>
      <c r="S79" s="1000"/>
    </row>
    <row r="80">
      <c r="A80" s="224"/>
      <c r="B80" s="998">
        <v>4.8406E14</v>
      </c>
      <c r="C80" s="998">
        <v>4.8406E14</v>
      </c>
      <c r="D80" s="998">
        <v>4.8406E14</v>
      </c>
      <c r="E80" s="998">
        <v>4.8406E14</v>
      </c>
      <c r="F80" s="998">
        <v>4.8406E14</v>
      </c>
      <c r="G80" s="1000"/>
      <c r="H80" s="998">
        <v>4.8406E14</v>
      </c>
      <c r="I80" s="998">
        <v>4.8406E14</v>
      </c>
      <c r="J80" s="998">
        <v>4.8406E14</v>
      </c>
      <c r="K80" s="998">
        <v>4.8406E14</v>
      </c>
      <c r="L80" s="998">
        <v>4.8406E14</v>
      </c>
      <c r="M80" s="998">
        <v>6.2366E17</v>
      </c>
      <c r="N80" s="998">
        <v>4.8406E14</v>
      </c>
      <c r="O80" s="998">
        <v>6.2366E17</v>
      </c>
      <c r="P80" s="998">
        <v>6.2366E17</v>
      </c>
      <c r="Q80" s="999">
        <v>1.7674E20</v>
      </c>
      <c r="R80" s="998">
        <v>4.8406E14</v>
      </c>
      <c r="S80" s="1000"/>
    </row>
    <row r="81">
      <c r="A81" s="224"/>
      <c r="B81" s="998">
        <v>5.3045E14</v>
      </c>
      <c r="C81" s="998">
        <v>5.3045E14</v>
      </c>
      <c r="D81" s="998">
        <v>5.3045E14</v>
      </c>
      <c r="E81" s="998">
        <v>5.3045E14</v>
      </c>
      <c r="F81" s="998">
        <v>5.3045E14</v>
      </c>
      <c r="G81" s="1000"/>
      <c r="H81" s="998">
        <v>5.3045E14</v>
      </c>
      <c r="I81" s="998">
        <v>5.3045E14</v>
      </c>
      <c r="J81" s="998">
        <v>5.3045E14</v>
      </c>
      <c r="K81" s="998">
        <v>5.3045E14</v>
      </c>
      <c r="L81" s="998">
        <v>5.3045E14</v>
      </c>
      <c r="M81" s="998">
        <v>6.8955E17</v>
      </c>
      <c r="N81" s="998">
        <v>5.3045E14</v>
      </c>
      <c r="O81" s="998">
        <v>6.8955E17</v>
      </c>
      <c r="P81" s="998">
        <v>6.8955E17</v>
      </c>
      <c r="Q81" s="999">
        <v>1.9872E20</v>
      </c>
      <c r="R81" s="998">
        <v>5.3045E14</v>
      </c>
      <c r="S81" s="1000"/>
    </row>
    <row r="82">
      <c r="A82" s="224"/>
      <c r="B82" s="998">
        <v>5.8027E14</v>
      </c>
      <c r="C82" s="998">
        <v>5.8027E14</v>
      </c>
      <c r="D82" s="998">
        <v>5.8027E14</v>
      </c>
      <c r="E82" s="998">
        <v>5.8027E14</v>
      </c>
      <c r="F82" s="998">
        <v>5.8027E14</v>
      </c>
      <c r="G82" s="1000"/>
      <c r="H82" s="998">
        <v>5.8027E14</v>
      </c>
      <c r="I82" s="998">
        <v>5.8027E14</v>
      </c>
      <c r="J82" s="998">
        <v>5.8027E14</v>
      </c>
      <c r="K82" s="998">
        <v>5.8027E14</v>
      </c>
      <c r="L82" s="998">
        <v>5.8027E14</v>
      </c>
      <c r="M82" s="998">
        <v>7.6097E17</v>
      </c>
      <c r="N82" s="998">
        <v>5.8027E14</v>
      </c>
      <c r="O82" s="998">
        <v>7.6097E17</v>
      </c>
      <c r="P82" s="998">
        <v>7.6097E17</v>
      </c>
      <c r="Q82" s="999">
        <v>2.2296E20</v>
      </c>
      <c r="R82" s="998">
        <v>5.8027E14</v>
      </c>
      <c r="S82" s="1000"/>
    </row>
    <row r="83">
      <c r="A83" s="224"/>
      <c r="B83" s="998">
        <v>6.337E14</v>
      </c>
      <c r="C83" s="998">
        <v>6.337E14</v>
      </c>
      <c r="D83" s="998">
        <v>6.337E14</v>
      </c>
      <c r="E83" s="998">
        <v>6.337E14</v>
      </c>
      <c r="F83" s="998">
        <v>6.337E14</v>
      </c>
      <c r="G83" s="1000"/>
      <c r="H83" s="998">
        <v>6.337E14</v>
      </c>
      <c r="I83" s="998">
        <v>6.337E14</v>
      </c>
      <c r="J83" s="998">
        <v>6.337E14</v>
      </c>
      <c r="K83" s="998">
        <v>6.337E14</v>
      </c>
      <c r="L83" s="998">
        <v>6.337E14</v>
      </c>
      <c r="M83" s="998">
        <v>8.3825E17</v>
      </c>
      <c r="N83" s="998">
        <v>6.337E14</v>
      </c>
      <c r="O83" s="998">
        <v>8.3825E17</v>
      </c>
      <c r="P83" s="998">
        <v>8.3825E17</v>
      </c>
      <c r="Q83" s="999">
        <v>2.4965E20</v>
      </c>
      <c r="R83" s="998">
        <v>6.337E14</v>
      </c>
      <c r="S83" s="1000"/>
    </row>
    <row r="84">
      <c r="A84" s="224"/>
      <c r="B84" s="998">
        <v>6.9093E14</v>
      </c>
      <c r="C84" s="998">
        <v>6.9093E14</v>
      </c>
      <c r="D84" s="998">
        <v>6.9093E14</v>
      </c>
      <c r="E84" s="998">
        <v>6.9093E14</v>
      </c>
      <c r="F84" s="998">
        <v>6.9093E14</v>
      </c>
      <c r="G84" s="1000"/>
      <c r="H84" s="998">
        <v>6.9093E14</v>
      </c>
      <c r="I84" s="998">
        <v>6.9093E14</v>
      </c>
      <c r="J84" s="998">
        <v>6.9093E14</v>
      </c>
      <c r="K84" s="998">
        <v>6.9093E14</v>
      </c>
      <c r="L84" s="998">
        <v>6.9093E14</v>
      </c>
      <c r="M84" s="998">
        <v>9.2176E17</v>
      </c>
      <c r="N84" s="998">
        <v>6.9093E14</v>
      </c>
      <c r="O84" s="998">
        <v>9.2176E17</v>
      </c>
      <c r="P84" s="998">
        <v>9.2176E17</v>
      </c>
      <c r="Q84" s="999">
        <v>2.79E20</v>
      </c>
      <c r="R84" s="998">
        <v>6.9093E14</v>
      </c>
      <c r="S84" s="1000"/>
    </row>
    <row r="85">
      <c r="A85" s="224"/>
      <c r="B85" s="998">
        <v>7.5216E14</v>
      </c>
      <c r="C85" s="998">
        <v>7.5216E14</v>
      </c>
      <c r="D85" s="998">
        <v>7.5216E14</v>
      </c>
      <c r="E85" s="998">
        <v>7.5216E14</v>
      </c>
      <c r="F85" s="998">
        <v>7.5216E14</v>
      </c>
      <c r="G85" s="1000"/>
      <c r="H85" s="998">
        <v>7.5216E14</v>
      </c>
      <c r="I85" s="998">
        <v>7.5216E14</v>
      </c>
      <c r="J85" s="998">
        <v>7.5216E14</v>
      </c>
      <c r="K85" s="998">
        <v>7.5216E14</v>
      </c>
      <c r="L85" s="998">
        <v>7.5216E14</v>
      </c>
      <c r="M85" s="998">
        <v>1.01E18</v>
      </c>
      <c r="N85" s="998">
        <v>7.5216E14</v>
      </c>
      <c r="O85" s="998">
        <v>1.01E18</v>
      </c>
      <c r="P85" s="998">
        <v>1.01E18</v>
      </c>
      <c r="Q85" s="999">
        <v>3.112E20</v>
      </c>
      <c r="R85" s="998">
        <v>7.5216E14</v>
      </c>
      <c r="S85" s="1000"/>
    </row>
    <row r="86">
      <c r="A86" s="224"/>
      <c r="B86" s="998">
        <v>8.176E14</v>
      </c>
      <c r="C86" s="998">
        <v>8.176E14</v>
      </c>
      <c r="D86" s="998">
        <v>8.176E14</v>
      </c>
      <c r="E86" s="998">
        <v>8.176E14</v>
      </c>
      <c r="F86" s="998">
        <v>8.176E14</v>
      </c>
      <c r="G86" s="1000"/>
      <c r="H86" s="998">
        <v>8.176E14</v>
      </c>
      <c r="I86" s="998">
        <v>8.176E14</v>
      </c>
      <c r="J86" s="998">
        <v>8.176E14</v>
      </c>
      <c r="K86" s="998">
        <v>8.176E14</v>
      </c>
      <c r="L86" s="998">
        <v>8.176E14</v>
      </c>
      <c r="M86" s="998">
        <v>1.11E18</v>
      </c>
      <c r="N86" s="998">
        <v>8.176E14</v>
      </c>
      <c r="O86" s="998">
        <v>1.11E18</v>
      </c>
      <c r="P86" s="998">
        <v>1.11E18</v>
      </c>
      <c r="Q86" s="999">
        <v>3.465E20</v>
      </c>
      <c r="R86" s="998">
        <v>8.176E14</v>
      </c>
      <c r="S86" s="1000"/>
    </row>
    <row r="87">
      <c r="A87" s="224"/>
      <c r="B87" s="998">
        <v>8.8746E14</v>
      </c>
      <c r="C87" s="998">
        <v>8.8746E14</v>
      </c>
      <c r="D87" s="998">
        <v>8.8746E14</v>
      </c>
      <c r="E87" s="998">
        <v>8.8746E14</v>
      </c>
      <c r="F87" s="998">
        <v>8.8746E14</v>
      </c>
      <c r="G87" s="1000"/>
      <c r="H87" s="998">
        <v>8.8746E14</v>
      </c>
      <c r="I87" s="998">
        <v>8.8746E14</v>
      </c>
      <c r="J87" s="998">
        <v>8.8746E14</v>
      </c>
      <c r="K87" s="998">
        <v>8.8746E14</v>
      </c>
      <c r="L87" s="998">
        <v>8.8746E14</v>
      </c>
      <c r="M87" s="998">
        <v>1.21E18</v>
      </c>
      <c r="N87" s="998">
        <v>8.8746E14</v>
      </c>
      <c r="O87" s="998">
        <v>1.21E18</v>
      </c>
      <c r="P87" s="998">
        <v>1.21E18</v>
      </c>
      <c r="Q87" s="999">
        <v>3.8513E20</v>
      </c>
      <c r="R87" s="998">
        <v>8.8746E14</v>
      </c>
      <c r="S87" s="1000"/>
    </row>
    <row r="88">
      <c r="A88" s="224"/>
      <c r="B88" s="998">
        <v>9.6196E14</v>
      </c>
      <c r="C88" s="998">
        <v>9.6196E14</v>
      </c>
      <c r="D88" s="998">
        <v>9.6196E14</v>
      </c>
      <c r="E88" s="998">
        <v>9.6196E14</v>
      </c>
      <c r="F88" s="998">
        <v>9.6196E14</v>
      </c>
      <c r="G88" s="1000"/>
      <c r="H88" s="998">
        <v>9.6196E14</v>
      </c>
      <c r="I88" s="998">
        <v>9.6196E14</v>
      </c>
      <c r="J88" s="998">
        <v>9.6196E14</v>
      </c>
      <c r="K88" s="998">
        <v>9.6196E14</v>
      </c>
      <c r="L88" s="998">
        <v>9.6196E14</v>
      </c>
      <c r="M88" s="998">
        <v>1.33E18</v>
      </c>
      <c r="N88" s="998">
        <v>9.6196E14</v>
      </c>
      <c r="O88" s="998">
        <v>1.33E18</v>
      </c>
      <c r="P88" s="998">
        <v>1.33E18</v>
      </c>
      <c r="Q88" s="999">
        <v>4.2734E20</v>
      </c>
      <c r="R88" s="998">
        <v>9.6196E14</v>
      </c>
      <c r="S88" s="1000"/>
    </row>
    <row r="89">
      <c r="A89" s="224"/>
      <c r="B89" s="998">
        <v>1.04E15</v>
      </c>
      <c r="C89" s="998">
        <v>1.04E15</v>
      </c>
      <c r="D89" s="998">
        <v>1.04E15</v>
      </c>
      <c r="E89" s="998">
        <v>1.04E15</v>
      </c>
      <c r="F89" s="998">
        <v>1.04E15</v>
      </c>
      <c r="G89" s="1000"/>
      <c r="H89" s="998">
        <v>1.04E15</v>
      </c>
      <c r="I89" s="998">
        <v>1.04E15</v>
      </c>
      <c r="J89" s="998">
        <v>1.04E15</v>
      </c>
      <c r="K89" s="998">
        <v>1.04E15</v>
      </c>
      <c r="L89" s="998">
        <v>1.04E15</v>
      </c>
      <c r="M89" s="998">
        <v>1.45E18</v>
      </c>
      <c r="N89" s="998">
        <v>1.04E15</v>
      </c>
      <c r="O89" s="998">
        <v>1.45E18</v>
      </c>
      <c r="P89" s="998">
        <v>1.45E18</v>
      </c>
      <c r="Q89" s="999">
        <v>4.7341E20</v>
      </c>
      <c r="R89" s="998">
        <v>1.04E15</v>
      </c>
      <c r="S89" s="1000"/>
    </row>
    <row r="90">
      <c r="A90" s="224"/>
      <c r="B90" s="998">
        <v>1.13E15</v>
      </c>
      <c r="C90" s="998">
        <v>1.13E15</v>
      </c>
      <c r="D90" s="998">
        <v>1.13E15</v>
      </c>
      <c r="E90" s="998">
        <v>1.13E15</v>
      </c>
      <c r="F90" s="998">
        <v>1.13E15</v>
      </c>
      <c r="G90" s="1000"/>
      <c r="H90" s="998">
        <v>1.13E15</v>
      </c>
      <c r="I90" s="998">
        <v>1.13E15</v>
      </c>
      <c r="J90" s="998">
        <v>1.13E15</v>
      </c>
      <c r="K90" s="998">
        <v>1.13E15</v>
      </c>
      <c r="L90" s="998">
        <v>1.13E15</v>
      </c>
      <c r="M90" s="998">
        <v>1.58E18</v>
      </c>
      <c r="N90" s="998">
        <v>1.13E15</v>
      </c>
      <c r="O90" s="998">
        <v>1.58E18</v>
      </c>
      <c r="P90" s="998">
        <v>1.58E18</v>
      </c>
      <c r="Q90" s="999">
        <v>5.2363E20</v>
      </c>
      <c r="R90" s="998">
        <v>1.13E15</v>
      </c>
      <c r="S90" s="1000"/>
    </row>
    <row r="91">
      <c r="A91" s="224"/>
      <c r="B91" s="998">
        <v>1.22E15</v>
      </c>
      <c r="C91" s="998">
        <v>1.22E15</v>
      </c>
      <c r="D91" s="998">
        <v>1.22E15</v>
      </c>
      <c r="E91" s="998">
        <v>1.22E15</v>
      </c>
      <c r="F91" s="998">
        <v>1.22E15</v>
      </c>
      <c r="G91" s="1000"/>
      <c r="H91" s="998">
        <v>1.22E15</v>
      </c>
      <c r="I91" s="998">
        <v>1.22E15</v>
      </c>
      <c r="J91" s="998">
        <v>1.22E15</v>
      </c>
      <c r="K91" s="998">
        <v>1.22E15</v>
      </c>
      <c r="L91" s="998">
        <v>1.22E15</v>
      </c>
      <c r="M91" s="998">
        <v>1.72E18</v>
      </c>
      <c r="N91" s="998">
        <v>1.22E15</v>
      </c>
      <c r="O91" s="998">
        <v>1.72E18</v>
      </c>
      <c r="P91" s="998">
        <v>1.72E18</v>
      </c>
      <c r="Q91" s="999">
        <v>5.7829E20</v>
      </c>
      <c r="R91" s="998">
        <v>1.22E15</v>
      </c>
      <c r="S91" s="1000"/>
    </row>
    <row r="92">
      <c r="A92" s="224"/>
      <c r="B92" s="998">
        <v>1.31E15</v>
      </c>
      <c r="C92" s="998">
        <v>1.31E15</v>
      </c>
      <c r="D92" s="998">
        <v>1.31E15</v>
      </c>
      <c r="E92" s="998">
        <v>1.31E15</v>
      </c>
      <c r="F92" s="998">
        <v>1.31E15</v>
      </c>
      <c r="G92" s="1000"/>
      <c r="H92" s="998">
        <v>1.31E15</v>
      </c>
      <c r="I92" s="998">
        <v>1.31E15</v>
      </c>
      <c r="J92" s="998">
        <v>1.31E15</v>
      </c>
      <c r="K92" s="998">
        <v>1.31E15</v>
      </c>
      <c r="L92" s="998">
        <v>1.31E15</v>
      </c>
      <c r="M92" s="998">
        <v>1.86E18</v>
      </c>
      <c r="N92" s="998">
        <v>1.31E15</v>
      </c>
      <c r="O92" s="998">
        <v>1.86E18</v>
      </c>
      <c r="P92" s="998">
        <v>1.86E18</v>
      </c>
      <c r="Q92" s="999">
        <v>6.3772E20</v>
      </c>
      <c r="R92" s="998">
        <v>1.31E15</v>
      </c>
      <c r="S92" s="1000"/>
    </row>
    <row r="93">
      <c r="A93" s="224"/>
      <c r="B93" s="998">
        <v>1.41E15</v>
      </c>
      <c r="C93" s="998">
        <v>1.41E15</v>
      </c>
      <c r="D93" s="998">
        <v>1.41E15</v>
      </c>
      <c r="E93" s="998">
        <v>1.41E15</v>
      </c>
      <c r="F93" s="998">
        <v>1.41E15</v>
      </c>
      <c r="G93" s="1000"/>
      <c r="H93" s="998">
        <v>1.41E15</v>
      </c>
      <c r="I93" s="998">
        <v>1.41E15</v>
      </c>
      <c r="J93" s="998">
        <v>1.41E15</v>
      </c>
      <c r="K93" s="998">
        <v>1.41E15</v>
      </c>
      <c r="L93" s="998">
        <v>1.41E15</v>
      </c>
      <c r="M93" s="998">
        <v>2.02E18</v>
      </c>
      <c r="N93" s="998">
        <v>1.41E15</v>
      </c>
      <c r="O93" s="998">
        <v>2.02E18</v>
      </c>
      <c r="P93" s="998">
        <v>2.02E18</v>
      </c>
      <c r="Q93" s="999">
        <v>7.0226E20</v>
      </c>
      <c r="R93" s="998">
        <v>1.41E15</v>
      </c>
      <c r="S93" s="1000"/>
    </row>
    <row r="94">
      <c r="A94" s="224"/>
      <c r="B94" s="998">
        <v>1.52E15</v>
      </c>
      <c r="C94" s="998">
        <v>1.52E15</v>
      </c>
      <c r="D94" s="998">
        <v>1.52E15</v>
      </c>
      <c r="E94" s="998">
        <v>1.52E15</v>
      </c>
      <c r="F94" s="998">
        <v>1.52E15</v>
      </c>
      <c r="G94" s="1000"/>
      <c r="H94" s="998">
        <v>1.52E15</v>
      </c>
      <c r="I94" s="998">
        <v>1.52E15</v>
      </c>
      <c r="J94" s="998">
        <v>1.52E15</v>
      </c>
      <c r="K94" s="998">
        <v>1.52E15</v>
      </c>
      <c r="L94" s="998">
        <v>1.52E15</v>
      </c>
      <c r="M94" s="998">
        <v>2.19E18</v>
      </c>
      <c r="N94" s="998">
        <v>1.52E15</v>
      </c>
      <c r="O94" s="998">
        <v>2.19E18</v>
      </c>
      <c r="P94" s="998">
        <v>2.19E18</v>
      </c>
      <c r="Q94" s="999">
        <v>7.7226E20</v>
      </c>
      <c r="R94" s="998">
        <v>1.52E15</v>
      </c>
      <c r="S94" s="1000"/>
    </row>
    <row r="95">
      <c r="A95" s="224"/>
      <c r="B95" s="998">
        <v>1.63E15</v>
      </c>
      <c r="C95" s="998">
        <v>1.63E15</v>
      </c>
      <c r="D95" s="998">
        <v>1.63E15</v>
      </c>
      <c r="E95" s="998">
        <v>1.63E15</v>
      </c>
      <c r="F95" s="998">
        <v>1.63E15</v>
      </c>
      <c r="G95" s="1000"/>
      <c r="H95" s="998">
        <v>1.63E15</v>
      </c>
      <c r="I95" s="998">
        <v>1.63E15</v>
      </c>
      <c r="J95" s="998">
        <v>1.63E15</v>
      </c>
      <c r="K95" s="998">
        <v>1.63E15</v>
      </c>
      <c r="L95" s="998">
        <v>1.63E15</v>
      </c>
      <c r="M95" s="998">
        <v>2.37E18</v>
      </c>
      <c r="N95" s="998">
        <v>1.63E15</v>
      </c>
      <c r="O95" s="998">
        <v>2.37E18</v>
      </c>
      <c r="P95" s="998">
        <v>2.37E18</v>
      </c>
      <c r="Q95" s="999">
        <v>8.481E20</v>
      </c>
      <c r="R95" s="998">
        <v>1.63E15</v>
      </c>
      <c r="S95" s="1000"/>
    </row>
    <row r="96">
      <c r="A96" s="224"/>
      <c r="B96" s="998">
        <v>1.75E15</v>
      </c>
      <c r="C96" s="998">
        <v>1.75E15</v>
      </c>
      <c r="D96" s="998">
        <v>1.75E15</v>
      </c>
      <c r="E96" s="998">
        <v>1.75E15</v>
      </c>
      <c r="F96" s="998">
        <v>1.75E15</v>
      </c>
      <c r="G96" s="1000"/>
      <c r="H96" s="998">
        <v>1.75E15</v>
      </c>
      <c r="I96" s="998">
        <v>1.75E15</v>
      </c>
      <c r="J96" s="998">
        <v>1.75E15</v>
      </c>
      <c r="K96" s="998">
        <v>1.75E15</v>
      </c>
      <c r="L96" s="998">
        <v>1.75E15</v>
      </c>
      <c r="M96" s="998">
        <v>2.57E18</v>
      </c>
      <c r="N96" s="998">
        <v>1.75E15</v>
      </c>
      <c r="O96" s="998">
        <v>2.57E18</v>
      </c>
      <c r="P96" s="998">
        <v>2.57E18</v>
      </c>
      <c r="Q96" s="999">
        <v>9.3019E20</v>
      </c>
      <c r="R96" s="998">
        <v>1.75E15</v>
      </c>
      <c r="S96" s="1000"/>
    </row>
    <row r="97">
      <c r="A97" s="224"/>
      <c r="B97" s="998">
        <v>1.88E15</v>
      </c>
      <c r="C97" s="998">
        <v>1.88E15</v>
      </c>
      <c r="D97" s="998">
        <v>1.88E15</v>
      </c>
      <c r="E97" s="998">
        <v>1.88E15</v>
      </c>
      <c r="F97" s="998">
        <v>1.88E15</v>
      </c>
      <c r="G97" s="1000"/>
      <c r="H97" s="998">
        <v>1.88E15</v>
      </c>
      <c r="I97" s="998">
        <v>1.88E15</v>
      </c>
      <c r="J97" s="998">
        <v>1.88E15</v>
      </c>
      <c r="K97" s="998">
        <v>1.88E15</v>
      </c>
      <c r="L97" s="998">
        <v>1.88E15</v>
      </c>
      <c r="M97" s="998">
        <v>2.77E18</v>
      </c>
      <c r="N97" s="998">
        <v>1.88E15</v>
      </c>
      <c r="O97" s="998">
        <v>2.77E18</v>
      </c>
      <c r="P97" s="998">
        <v>2.77E18</v>
      </c>
      <c r="Q97" s="999">
        <v>1.02E21</v>
      </c>
      <c r="R97" s="998">
        <v>1.88E15</v>
      </c>
      <c r="S97" s="1000"/>
    </row>
    <row r="98">
      <c r="A98" s="224"/>
      <c r="B98" s="998">
        <v>2.02E15</v>
      </c>
      <c r="C98" s="998">
        <v>2.02E15</v>
      </c>
      <c r="D98" s="998">
        <v>2.02E15</v>
      </c>
      <c r="E98" s="998">
        <v>2.02E15</v>
      </c>
      <c r="F98" s="998">
        <v>2.02E15</v>
      </c>
      <c r="G98" s="1000"/>
      <c r="H98" s="998">
        <v>2.02E15</v>
      </c>
      <c r="I98" s="998">
        <v>2.02E15</v>
      </c>
      <c r="J98" s="998">
        <v>2.02E15</v>
      </c>
      <c r="K98" s="998">
        <v>2.02E15</v>
      </c>
      <c r="L98" s="998">
        <v>2.02E15</v>
      </c>
      <c r="M98" s="998">
        <v>2.99E18</v>
      </c>
      <c r="N98" s="998">
        <v>2.02E15</v>
      </c>
      <c r="O98" s="998">
        <v>2.99E18</v>
      </c>
      <c r="P98" s="998">
        <v>2.99E18</v>
      </c>
      <c r="Q98" s="999">
        <v>1.11E21</v>
      </c>
      <c r="R98" s="998">
        <v>2.02E15</v>
      </c>
      <c r="S98" s="1000"/>
    </row>
    <row r="99">
      <c r="A99" s="224"/>
      <c r="B99" s="998">
        <v>2.16E15</v>
      </c>
      <c r="C99" s="998">
        <v>2.16E15</v>
      </c>
      <c r="D99" s="998">
        <v>2.16E15</v>
      </c>
      <c r="E99" s="998">
        <v>2.16E15</v>
      </c>
      <c r="F99" s="998">
        <v>2.16E15</v>
      </c>
      <c r="G99" s="1000"/>
      <c r="H99" s="998">
        <v>2.16E15</v>
      </c>
      <c r="I99" s="998">
        <v>2.16E15</v>
      </c>
      <c r="J99" s="998">
        <v>2.16E15</v>
      </c>
      <c r="K99" s="998">
        <v>2.16E15</v>
      </c>
      <c r="L99" s="998">
        <v>2.16E15</v>
      </c>
      <c r="M99" s="998">
        <v>3.23E18</v>
      </c>
      <c r="N99" s="998">
        <v>2.16E15</v>
      </c>
      <c r="O99" s="998">
        <v>3.23E18</v>
      </c>
      <c r="P99" s="998">
        <v>3.23E18</v>
      </c>
      <c r="Q99" s="999">
        <v>1.22E21</v>
      </c>
      <c r="R99" s="998">
        <v>2.16E15</v>
      </c>
      <c r="S99" s="1000"/>
    </row>
    <row r="100">
      <c r="A100" s="224"/>
      <c r="B100" s="998">
        <v>2.31E15</v>
      </c>
      <c r="C100" s="998">
        <v>2.31E15</v>
      </c>
      <c r="D100" s="998">
        <v>2.31E15</v>
      </c>
      <c r="E100" s="998">
        <v>2.31E15</v>
      </c>
      <c r="F100" s="998">
        <v>2.31E15</v>
      </c>
      <c r="G100" s="1000"/>
      <c r="H100" s="998">
        <v>2.31E15</v>
      </c>
      <c r="I100" s="998">
        <v>2.31E15</v>
      </c>
      <c r="J100" s="998">
        <v>2.31E15</v>
      </c>
      <c r="K100" s="998">
        <v>2.31E15</v>
      </c>
      <c r="L100" s="998">
        <v>2.31E15</v>
      </c>
      <c r="M100" s="998">
        <v>3.48E18</v>
      </c>
      <c r="N100" s="998">
        <v>2.31E15</v>
      </c>
      <c r="O100" s="998">
        <v>3.48E18</v>
      </c>
      <c r="P100" s="998">
        <v>3.48E18</v>
      </c>
      <c r="Q100" s="999">
        <v>1.33E21</v>
      </c>
      <c r="R100" s="998">
        <v>2.31E15</v>
      </c>
      <c r="S100" s="1000"/>
    </row>
    <row r="101">
      <c r="A101" s="224"/>
      <c r="B101" s="998">
        <v>2.47E15</v>
      </c>
      <c r="C101" s="998">
        <v>2.47E15</v>
      </c>
      <c r="D101" s="998">
        <v>2.47E15</v>
      </c>
      <c r="E101" s="998">
        <v>2.47E15</v>
      </c>
      <c r="F101" s="998">
        <v>2.47E15</v>
      </c>
      <c r="G101" s="1000"/>
      <c r="H101" s="998">
        <v>2.47E15</v>
      </c>
      <c r="I101" s="998">
        <v>2.47E15</v>
      </c>
      <c r="J101" s="998">
        <v>2.47E15</v>
      </c>
      <c r="K101" s="998">
        <v>2.47E15</v>
      </c>
      <c r="L101" s="998">
        <v>2.47E15</v>
      </c>
      <c r="M101" s="998">
        <v>3.74E18</v>
      </c>
      <c r="N101" s="998">
        <v>2.47E15</v>
      </c>
      <c r="O101" s="998">
        <v>3.74E18</v>
      </c>
      <c r="P101" s="998">
        <v>3.74E18</v>
      </c>
      <c r="Q101" s="999">
        <v>1.45E21</v>
      </c>
      <c r="R101" s="998">
        <v>2.47E15</v>
      </c>
      <c r="S101" s="1000"/>
    </row>
    <row r="102">
      <c r="A102" s="224"/>
      <c r="B102" s="998">
        <v>2.63E15</v>
      </c>
      <c r="C102" s="998">
        <v>2.63E15</v>
      </c>
      <c r="D102" s="998">
        <v>2.63E15</v>
      </c>
      <c r="E102" s="998">
        <v>2.63E15</v>
      </c>
      <c r="F102" s="998">
        <v>2.63E15</v>
      </c>
      <c r="G102" s="1000"/>
      <c r="H102" s="998">
        <v>2.63E15</v>
      </c>
      <c r="I102" s="998">
        <v>2.63E15</v>
      </c>
      <c r="J102" s="998">
        <v>2.63E15</v>
      </c>
      <c r="K102" s="998">
        <v>2.63E15</v>
      </c>
      <c r="L102" s="998">
        <v>2.63E15</v>
      </c>
      <c r="M102" s="998">
        <v>4.02E18</v>
      </c>
      <c r="N102" s="998">
        <v>2.63E15</v>
      </c>
      <c r="O102" s="998">
        <v>4.02E18</v>
      </c>
      <c r="P102" s="998">
        <v>4.02E18</v>
      </c>
      <c r="Q102" s="999">
        <v>1.58E21</v>
      </c>
      <c r="R102" s="998">
        <v>2.63E15</v>
      </c>
      <c r="S102" s="1000"/>
    </row>
    <row r="103">
      <c r="A103" s="224"/>
      <c r="B103" s="998">
        <v>2.81E15</v>
      </c>
      <c r="C103" s="998">
        <v>2.81E15</v>
      </c>
      <c r="D103" s="998">
        <v>2.81E15</v>
      </c>
      <c r="E103" s="998">
        <v>2.81E15</v>
      </c>
      <c r="F103" s="998">
        <v>2.81E15</v>
      </c>
      <c r="G103" s="1000"/>
      <c r="H103" s="998">
        <v>2.81E15</v>
      </c>
      <c r="I103" s="998">
        <v>2.81E15</v>
      </c>
      <c r="J103" s="998">
        <v>2.81E15</v>
      </c>
      <c r="K103" s="998">
        <v>2.81E15</v>
      </c>
      <c r="L103" s="998">
        <v>2.81E15</v>
      </c>
      <c r="M103" s="998">
        <v>4.31E18</v>
      </c>
      <c r="N103" s="998">
        <v>2.81E15</v>
      </c>
      <c r="O103" s="998">
        <v>4.31E18</v>
      </c>
      <c r="P103" s="998">
        <v>4.31E18</v>
      </c>
      <c r="Q103" s="1000"/>
      <c r="R103" s="998">
        <v>2.81E15</v>
      </c>
      <c r="S103" s="1000"/>
    </row>
    <row r="104">
      <c r="A104" s="224"/>
      <c r="B104" s="998">
        <v>2.99E15</v>
      </c>
      <c r="C104" s="998">
        <v>2.99E15</v>
      </c>
      <c r="D104" s="998">
        <v>2.99E15</v>
      </c>
      <c r="E104" s="998">
        <v>2.99E15</v>
      </c>
      <c r="F104" s="998">
        <v>2.99E15</v>
      </c>
      <c r="G104" s="1000"/>
      <c r="H104" s="998">
        <v>2.99E15</v>
      </c>
      <c r="I104" s="998">
        <v>2.99E15</v>
      </c>
      <c r="J104" s="998">
        <v>2.99E15</v>
      </c>
      <c r="K104" s="998">
        <v>2.99E15</v>
      </c>
      <c r="L104" s="998">
        <v>2.99E15</v>
      </c>
      <c r="M104" s="999">
        <v>4.63E18</v>
      </c>
      <c r="N104" s="998">
        <v>2.99E15</v>
      </c>
      <c r="O104" s="999">
        <v>4.63E18</v>
      </c>
      <c r="P104" s="999">
        <v>4.63E18</v>
      </c>
      <c r="Q104" s="1000"/>
      <c r="R104" s="998">
        <v>2.99E15</v>
      </c>
      <c r="S104" s="1000"/>
    </row>
    <row r="105">
      <c r="A105" s="224"/>
      <c r="B105" s="998">
        <v>3.19E15</v>
      </c>
      <c r="C105" s="998">
        <v>3.19E15</v>
      </c>
      <c r="D105" s="998">
        <v>3.19E15</v>
      </c>
      <c r="E105" s="998">
        <v>3.19E15</v>
      </c>
      <c r="F105" s="998">
        <v>3.19E15</v>
      </c>
      <c r="G105" s="1000"/>
      <c r="H105" s="998">
        <v>3.19E15</v>
      </c>
      <c r="I105" s="998">
        <v>3.19E15</v>
      </c>
      <c r="J105" s="998">
        <v>3.19E15</v>
      </c>
      <c r="K105" s="998">
        <v>3.19E15</v>
      </c>
      <c r="L105" s="998">
        <v>3.19E15</v>
      </c>
      <c r="M105" s="999">
        <v>4.96E18</v>
      </c>
      <c r="N105" s="998">
        <v>3.19E15</v>
      </c>
      <c r="O105" s="999">
        <v>4.96E18</v>
      </c>
      <c r="P105" s="999">
        <v>4.96E18</v>
      </c>
      <c r="Q105" s="1000"/>
      <c r="R105" s="998">
        <v>3.19E15</v>
      </c>
      <c r="S105" s="1000"/>
    </row>
    <row r="106">
      <c r="A106" s="224"/>
      <c r="B106" s="998">
        <v>3.39E15</v>
      </c>
      <c r="C106" s="998">
        <v>3.39E15</v>
      </c>
      <c r="D106" s="998">
        <v>3.39E15</v>
      </c>
      <c r="E106" s="998">
        <v>3.39E15</v>
      </c>
      <c r="F106" s="998">
        <v>3.39E15</v>
      </c>
      <c r="G106" s="1000"/>
      <c r="H106" s="998">
        <v>3.39E15</v>
      </c>
      <c r="I106" s="998">
        <v>3.39E15</v>
      </c>
      <c r="J106" s="998">
        <v>3.39E15</v>
      </c>
      <c r="K106" s="998">
        <v>3.39E15</v>
      </c>
      <c r="L106" s="998">
        <v>3.39E15</v>
      </c>
      <c r="M106" s="999">
        <v>5.31E18</v>
      </c>
      <c r="N106" s="998">
        <v>3.39E15</v>
      </c>
      <c r="O106" s="999">
        <v>5.31E18</v>
      </c>
      <c r="P106" s="999">
        <v>5.31E18</v>
      </c>
      <c r="Q106" s="1000"/>
      <c r="R106" s="998">
        <v>3.39E15</v>
      </c>
      <c r="S106" s="1000"/>
    </row>
    <row r="107">
      <c r="A107" s="224"/>
      <c r="B107" s="998">
        <v>3.61E15</v>
      </c>
      <c r="C107" s="998">
        <v>3.61E15</v>
      </c>
      <c r="D107" s="998">
        <v>3.61E15</v>
      </c>
      <c r="E107" s="998">
        <v>3.61E15</v>
      </c>
      <c r="F107" s="998">
        <v>3.61E15</v>
      </c>
      <c r="G107" s="1000"/>
      <c r="H107" s="998">
        <v>3.61E15</v>
      </c>
      <c r="I107" s="998">
        <v>3.61E15</v>
      </c>
      <c r="J107" s="998">
        <v>3.61E15</v>
      </c>
      <c r="K107" s="998">
        <v>3.61E15</v>
      </c>
      <c r="L107" s="998">
        <v>3.61E15</v>
      </c>
      <c r="M107" s="999">
        <v>5.69E18</v>
      </c>
      <c r="N107" s="998">
        <v>3.61E15</v>
      </c>
      <c r="O107" s="999">
        <v>5.69E18</v>
      </c>
      <c r="P107" s="999">
        <v>5.69E18</v>
      </c>
      <c r="Q107" s="1000"/>
      <c r="R107" s="998">
        <v>3.61E15</v>
      </c>
      <c r="S107" s="1000"/>
    </row>
    <row r="108">
      <c r="A108" s="224"/>
      <c r="B108" s="998">
        <v>3.83E15</v>
      </c>
      <c r="C108" s="998">
        <v>3.83E15</v>
      </c>
      <c r="D108" s="998">
        <v>3.83E15</v>
      </c>
      <c r="E108" s="998">
        <v>3.83E15</v>
      </c>
      <c r="F108" s="998">
        <v>3.83E15</v>
      </c>
      <c r="G108" s="1000"/>
      <c r="H108" s="998">
        <v>3.83E15</v>
      </c>
      <c r="I108" s="998">
        <v>3.83E15</v>
      </c>
      <c r="J108" s="998">
        <v>3.83E15</v>
      </c>
      <c r="K108" s="998">
        <v>3.83E15</v>
      </c>
      <c r="L108" s="998">
        <v>3.83E15</v>
      </c>
      <c r="M108" s="999">
        <v>6.08E18</v>
      </c>
      <c r="N108" s="998">
        <v>3.83E15</v>
      </c>
      <c r="O108" s="999">
        <v>6.08E18</v>
      </c>
      <c r="P108" s="999">
        <v>6.08E18</v>
      </c>
      <c r="Q108" s="1000"/>
      <c r="R108" s="998">
        <v>3.83E15</v>
      </c>
      <c r="S108" s="1000"/>
    </row>
    <row r="109">
      <c r="A109" s="224"/>
      <c r="B109" s="998">
        <v>4.07E15</v>
      </c>
      <c r="C109" s="998">
        <v>4.07E15</v>
      </c>
      <c r="D109" s="998">
        <v>4.07E15</v>
      </c>
      <c r="E109" s="998">
        <v>4.07E15</v>
      </c>
      <c r="F109" s="998">
        <v>4.07E15</v>
      </c>
      <c r="G109" s="1000"/>
      <c r="H109" s="998">
        <v>4.07E15</v>
      </c>
      <c r="I109" s="998">
        <v>4.07E15</v>
      </c>
      <c r="J109" s="998">
        <v>4.07E15</v>
      </c>
      <c r="K109" s="998">
        <v>4.07E15</v>
      </c>
      <c r="L109" s="998">
        <v>4.07E15</v>
      </c>
      <c r="M109" s="999">
        <v>6.49E18</v>
      </c>
      <c r="N109" s="998">
        <v>4.07E15</v>
      </c>
      <c r="O109" s="999">
        <v>6.49E18</v>
      </c>
      <c r="P109" s="999">
        <v>6.49E18</v>
      </c>
      <c r="Q109" s="1000"/>
      <c r="R109" s="998">
        <v>4.07E15</v>
      </c>
      <c r="S109" s="1000"/>
    </row>
    <row r="110">
      <c r="A110" s="224"/>
      <c r="B110" s="998">
        <v>4.32E15</v>
      </c>
      <c r="C110" s="998">
        <v>4.32E15</v>
      </c>
      <c r="D110" s="998">
        <v>4.32E15</v>
      </c>
      <c r="E110" s="998">
        <v>4.32E15</v>
      </c>
      <c r="F110" s="998">
        <v>4.32E15</v>
      </c>
      <c r="G110" s="1000"/>
      <c r="H110" s="998">
        <v>4.32E15</v>
      </c>
      <c r="I110" s="998">
        <v>4.32E15</v>
      </c>
      <c r="J110" s="998">
        <v>4.32E15</v>
      </c>
      <c r="K110" s="998">
        <v>4.32E15</v>
      </c>
      <c r="L110" s="998">
        <v>4.32E15</v>
      </c>
      <c r="M110" s="999">
        <v>6.93E18</v>
      </c>
      <c r="N110" s="998">
        <v>4.32E15</v>
      </c>
      <c r="O110" s="999">
        <v>6.93E18</v>
      </c>
      <c r="P110" s="999">
        <v>6.93E18</v>
      </c>
      <c r="Q110" s="1000"/>
      <c r="R110" s="998">
        <v>4.32E15</v>
      </c>
      <c r="S110" s="1000"/>
    </row>
    <row r="111">
      <c r="A111" s="224"/>
      <c r="B111" s="998">
        <v>4.58E15</v>
      </c>
      <c r="C111" s="998">
        <v>4.58E15</v>
      </c>
      <c r="D111" s="998">
        <v>4.58E15</v>
      </c>
      <c r="E111" s="998">
        <v>4.58E15</v>
      </c>
      <c r="F111" s="998">
        <v>4.58E15</v>
      </c>
      <c r="G111" s="1000"/>
      <c r="H111" s="998">
        <v>4.58E15</v>
      </c>
      <c r="I111" s="998">
        <v>4.58E15</v>
      </c>
      <c r="J111" s="998">
        <v>4.58E15</v>
      </c>
      <c r="K111" s="998">
        <v>4.58E15</v>
      </c>
      <c r="L111" s="998">
        <v>4.58E15</v>
      </c>
      <c r="M111" s="999">
        <v>7.4E18</v>
      </c>
      <c r="N111" s="998">
        <v>4.58E15</v>
      </c>
      <c r="O111" s="999">
        <v>7.4E18</v>
      </c>
      <c r="P111" s="999">
        <v>7.4E18</v>
      </c>
      <c r="Q111" s="1000"/>
      <c r="R111" s="998">
        <v>4.58E15</v>
      </c>
      <c r="S111" s="1000"/>
    </row>
    <row r="112">
      <c r="A112" s="224"/>
      <c r="B112" s="998">
        <v>4.85E15</v>
      </c>
      <c r="C112" s="998">
        <v>4.85E15</v>
      </c>
      <c r="D112" s="998">
        <v>4.85E15</v>
      </c>
      <c r="E112" s="998">
        <v>4.85E15</v>
      </c>
      <c r="F112" s="998">
        <v>4.85E15</v>
      </c>
      <c r="G112" s="1000"/>
      <c r="H112" s="998">
        <v>4.85E15</v>
      </c>
      <c r="I112" s="998">
        <v>4.85E15</v>
      </c>
      <c r="J112" s="998">
        <v>4.85E15</v>
      </c>
      <c r="K112" s="998">
        <v>4.85E15</v>
      </c>
      <c r="L112" s="998">
        <v>4.85E15</v>
      </c>
      <c r="M112" s="999">
        <v>7.88E18</v>
      </c>
      <c r="N112" s="998">
        <v>4.85E15</v>
      </c>
      <c r="O112" s="999">
        <v>7.88E18</v>
      </c>
      <c r="P112" s="999">
        <v>7.88E18</v>
      </c>
      <c r="Q112" s="1000"/>
      <c r="R112" s="998">
        <v>4.85E15</v>
      </c>
      <c r="S112" s="1000"/>
    </row>
    <row r="113">
      <c r="A113" s="224"/>
      <c r="B113" s="998">
        <v>5.14E15</v>
      </c>
      <c r="C113" s="998">
        <v>5.14E15</v>
      </c>
      <c r="D113" s="998">
        <v>5.14E15</v>
      </c>
      <c r="E113" s="998">
        <v>5.14E15</v>
      </c>
      <c r="F113" s="998">
        <v>5.14E15</v>
      </c>
      <c r="G113" s="1000"/>
      <c r="H113" s="998">
        <v>5.14E15</v>
      </c>
      <c r="I113" s="998">
        <v>5.14E15</v>
      </c>
      <c r="J113" s="998">
        <v>5.14E15</v>
      </c>
      <c r="K113" s="998">
        <v>5.14E15</v>
      </c>
      <c r="L113" s="998">
        <v>5.14E15</v>
      </c>
      <c r="M113" s="999">
        <v>8.4E18</v>
      </c>
      <c r="N113" s="998">
        <v>5.14E15</v>
      </c>
      <c r="O113" s="999">
        <v>8.4E18</v>
      </c>
      <c r="P113" s="999">
        <v>8.4E18</v>
      </c>
      <c r="Q113" s="1000"/>
      <c r="R113" s="998">
        <v>5.14E15</v>
      </c>
      <c r="S113" s="1000"/>
    </row>
    <row r="114">
      <c r="A114" s="224"/>
      <c r="B114" s="998">
        <v>5.44E15</v>
      </c>
      <c r="C114" s="998">
        <v>5.44E15</v>
      </c>
      <c r="D114" s="998">
        <v>5.44E15</v>
      </c>
      <c r="E114" s="998">
        <v>5.44E15</v>
      </c>
      <c r="F114" s="998">
        <v>5.44E15</v>
      </c>
      <c r="G114" s="1000"/>
      <c r="H114" s="998">
        <v>5.44E15</v>
      </c>
      <c r="I114" s="998">
        <v>5.44E15</v>
      </c>
      <c r="J114" s="998">
        <v>5.44E15</v>
      </c>
      <c r="K114" s="998">
        <v>5.44E15</v>
      </c>
      <c r="L114" s="998">
        <v>5.44E15</v>
      </c>
      <c r="M114" s="999">
        <v>8.94E18</v>
      </c>
      <c r="N114" s="998">
        <v>5.44E15</v>
      </c>
      <c r="O114" s="999">
        <v>8.94E18</v>
      </c>
      <c r="P114" s="999">
        <v>8.94E18</v>
      </c>
      <c r="Q114" s="1000"/>
      <c r="R114" s="998">
        <v>5.44E15</v>
      </c>
      <c r="S114" s="1000"/>
    </row>
    <row r="115">
      <c r="A115" s="224"/>
      <c r="B115" s="998">
        <v>5.75E15</v>
      </c>
      <c r="C115" s="998">
        <v>5.75E15</v>
      </c>
      <c r="D115" s="998">
        <v>5.75E15</v>
      </c>
      <c r="E115" s="998">
        <v>5.75E15</v>
      </c>
      <c r="F115" s="998">
        <v>5.75E15</v>
      </c>
      <c r="G115" s="1000"/>
      <c r="H115" s="998">
        <v>5.75E15</v>
      </c>
      <c r="I115" s="998">
        <v>5.75E15</v>
      </c>
      <c r="J115" s="998">
        <v>5.75E15</v>
      </c>
      <c r="K115" s="998">
        <v>5.75E15</v>
      </c>
      <c r="L115" s="998">
        <v>5.75E15</v>
      </c>
      <c r="M115" s="999">
        <v>9.51E18</v>
      </c>
      <c r="N115" s="998">
        <v>5.75E15</v>
      </c>
      <c r="O115" s="999">
        <v>9.51E18</v>
      </c>
      <c r="P115" s="999">
        <v>9.51E18</v>
      </c>
      <c r="Q115" s="1000"/>
      <c r="R115" s="998">
        <v>5.75E15</v>
      </c>
      <c r="S115" s="1000"/>
    </row>
    <row r="116">
      <c r="A116" s="224"/>
      <c r="B116" s="998">
        <v>6.08E15</v>
      </c>
      <c r="C116" s="998">
        <v>6.08E15</v>
      </c>
      <c r="D116" s="998">
        <v>6.08E15</v>
      </c>
      <c r="E116" s="998">
        <v>6.08E15</v>
      </c>
      <c r="F116" s="998">
        <v>6.08E15</v>
      </c>
      <c r="G116" s="1000"/>
      <c r="H116" s="998">
        <v>6.08E15</v>
      </c>
      <c r="I116" s="998">
        <v>6.08E15</v>
      </c>
      <c r="J116" s="998">
        <v>6.08E15</v>
      </c>
      <c r="K116" s="998">
        <v>6.08E15</v>
      </c>
      <c r="L116" s="998">
        <v>6.08E15</v>
      </c>
      <c r="M116" s="999">
        <v>1.01E19</v>
      </c>
      <c r="N116" s="998">
        <v>6.08E15</v>
      </c>
      <c r="O116" s="999">
        <v>1.01E19</v>
      </c>
      <c r="P116" s="999">
        <v>1.01E19</v>
      </c>
      <c r="Q116" s="1000"/>
      <c r="R116" s="998">
        <v>6.08E15</v>
      </c>
      <c r="S116" s="1000"/>
    </row>
    <row r="117">
      <c r="A117" s="224"/>
      <c r="B117" s="998">
        <v>6.42E15</v>
      </c>
      <c r="C117" s="998">
        <v>6.42E15</v>
      </c>
      <c r="D117" s="998">
        <v>6.42E15</v>
      </c>
      <c r="E117" s="998">
        <v>6.42E15</v>
      </c>
      <c r="F117" s="998">
        <v>6.42E15</v>
      </c>
      <c r="G117" s="1000"/>
      <c r="H117" s="998">
        <v>6.42E15</v>
      </c>
      <c r="I117" s="998">
        <v>6.42E15</v>
      </c>
      <c r="J117" s="998">
        <v>6.42E15</v>
      </c>
      <c r="K117" s="998">
        <v>6.42E15</v>
      </c>
      <c r="L117" s="998">
        <v>6.42E15</v>
      </c>
      <c r="M117" s="999">
        <v>1.073E19</v>
      </c>
      <c r="N117" s="998">
        <v>6.42E15</v>
      </c>
      <c r="O117" s="999">
        <v>1.073E19</v>
      </c>
      <c r="P117" s="999">
        <v>1.073E19</v>
      </c>
      <c r="Q117" s="1000"/>
      <c r="R117" s="998">
        <v>6.42E15</v>
      </c>
      <c r="S117" s="1000"/>
    </row>
    <row r="118">
      <c r="A118" s="224"/>
      <c r="B118" s="998">
        <v>6.77E15</v>
      </c>
      <c r="C118" s="998">
        <v>6.77E15</v>
      </c>
      <c r="D118" s="998">
        <v>6.77E15</v>
      </c>
      <c r="E118" s="998">
        <v>6.77E15</v>
      </c>
      <c r="F118" s="998">
        <v>6.77E15</v>
      </c>
      <c r="G118" s="1000"/>
      <c r="H118" s="998">
        <v>6.77E15</v>
      </c>
      <c r="I118" s="998">
        <v>6.77E15</v>
      </c>
      <c r="J118" s="998">
        <v>6.77E15</v>
      </c>
      <c r="K118" s="998">
        <v>6.77E15</v>
      </c>
      <c r="L118" s="998">
        <v>6.77E15</v>
      </c>
      <c r="M118" s="999">
        <v>1.139E19</v>
      </c>
      <c r="N118" s="998">
        <v>6.77E15</v>
      </c>
      <c r="O118" s="999">
        <v>1.139E19</v>
      </c>
      <c r="P118" s="999">
        <v>1.139E19</v>
      </c>
      <c r="Q118" s="1000"/>
      <c r="R118" s="998">
        <v>6.77E15</v>
      </c>
      <c r="S118" s="1000"/>
    </row>
    <row r="119">
      <c r="A119" s="224"/>
      <c r="B119" s="998">
        <v>7.15E15</v>
      </c>
      <c r="C119" s="998">
        <v>7.15E15</v>
      </c>
      <c r="D119" s="998">
        <v>7.15E15</v>
      </c>
      <c r="E119" s="998">
        <v>7.15E15</v>
      </c>
      <c r="F119" s="998">
        <v>7.15E15</v>
      </c>
      <c r="G119" s="1000"/>
      <c r="H119" s="998">
        <v>7.15E15</v>
      </c>
      <c r="I119" s="998">
        <v>7.15E15</v>
      </c>
      <c r="J119" s="998">
        <v>7.15E15</v>
      </c>
      <c r="K119" s="998">
        <v>7.15E15</v>
      </c>
      <c r="L119" s="998">
        <v>7.15E15</v>
      </c>
      <c r="M119" s="999">
        <v>1.209E19</v>
      </c>
      <c r="N119" s="998">
        <v>7.15E15</v>
      </c>
      <c r="O119" s="999">
        <v>1.209E19</v>
      </c>
      <c r="P119" s="999">
        <v>1.209E19</v>
      </c>
      <c r="Q119" s="1000"/>
      <c r="R119" s="998">
        <v>7.15E15</v>
      </c>
      <c r="S119" s="1000"/>
    </row>
    <row r="120">
      <c r="A120" s="224"/>
      <c r="B120" s="998">
        <v>7.53E15</v>
      </c>
      <c r="C120" s="998">
        <v>7.53E15</v>
      </c>
      <c r="D120" s="998">
        <v>7.53E15</v>
      </c>
      <c r="E120" s="998">
        <v>7.53E15</v>
      </c>
      <c r="F120" s="998">
        <v>7.53E15</v>
      </c>
      <c r="G120" s="1000"/>
      <c r="H120" s="998">
        <v>7.53E15</v>
      </c>
      <c r="I120" s="998">
        <v>7.53E15</v>
      </c>
      <c r="J120" s="998">
        <v>7.53E15</v>
      </c>
      <c r="K120" s="998">
        <v>7.53E15</v>
      </c>
      <c r="L120" s="998">
        <v>7.53E15</v>
      </c>
      <c r="M120" s="999">
        <v>1.282E19</v>
      </c>
      <c r="N120" s="998">
        <v>7.53E15</v>
      </c>
      <c r="O120" s="999">
        <v>1.282E19</v>
      </c>
      <c r="P120" s="999">
        <v>1.282E19</v>
      </c>
      <c r="Q120" s="1000"/>
      <c r="R120" s="998">
        <v>7.53E15</v>
      </c>
      <c r="S120" s="1000"/>
    </row>
    <row r="121">
      <c r="A121" s="224"/>
      <c r="B121" s="998">
        <v>7.94E15</v>
      </c>
      <c r="C121" s="998">
        <v>7.94E15</v>
      </c>
      <c r="D121" s="998">
        <v>7.94E15</v>
      </c>
      <c r="E121" s="998">
        <v>7.94E15</v>
      </c>
      <c r="F121" s="998">
        <v>7.94E15</v>
      </c>
      <c r="G121" s="1000"/>
      <c r="H121" s="998">
        <v>7.94E15</v>
      </c>
      <c r="I121" s="998">
        <v>7.94E15</v>
      </c>
      <c r="J121" s="998">
        <v>7.94E15</v>
      </c>
      <c r="K121" s="998">
        <v>7.94E15</v>
      </c>
      <c r="L121" s="998">
        <v>7.94E15</v>
      </c>
      <c r="M121" s="999">
        <v>1.358E19</v>
      </c>
      <c r="N121" s="998">
        <v>7.94E15</v>
      </c>
      <c r="O121" s="999">
        <v>1.358E19</v>
      </c>
      <c r="P121" s="999">
        <v>1.358E19</v>
      </c>
      <c r="Q121" s="1000"/>
      <c r="R121" s="998">
        <v>7.94E15</v>
      </c>
      <c r="S121" s="1000"/>
    </row>
    <row r="122">
      <c r="A122" s="224"/>
      <c r="B122" s="998">
        <v>8.36E15</v>
      </c>
      <c r="C122" s="998">
        <v>8.36E15</v>
      </c>
      <c r="D122" s="998">
        <v>8.36E15</v>
      </c>
      <c r="E122" s="998">
        <v>8.36E15</v>
      </c>
      <c r="F122" s="998">
        <v>8.36E15</v>
      </c>
      <c r="G122" s="1000"/>
      <c r="H122" s="998">
        <v>8.36E15</v>
      </c>
      <c r="I122" s="998">
        <v>8.36E15</v>
      </c>
      <c r="J122" s="998">
        <v>8.36E15</v>
      </c>
      <c r="K122" s="998">
        <v>8.36E15</v>
      </c>
      <c r="L122" s="998">
        <v>8.36E15</v>
      </c>
      <c r="M122" s="999">
        <v>1.438E19</v>
      </c>
      <c r="N122" s="998">
        <v>8.36E15</v>
      </c>
      <c r="O122" s="999">
        <v>1.438E19</v>
      </c>
      <c r="P122" s="999">
        <v>1.438E19</v>
      </c>
      <c r="Q122" s="1000"/>
      <c r="R122" s="998">
        <v>8.36E15</v>
      </c>
      <c r="S122" s="1000"/>
    </row>
    <row r="123">
      <c r="A123" s="224"/>
      <c r="B123" s="998">
        <v>8.8E15</v>
      </c>
      <c r="C123" s="998">
        <v>8.8E15</v>
      </c>
      <c r="D123" s="998">
        <v>8.8E15</v>
      </c>
      <c r="E123" s="998">
        <v>8.8E15</v>
      </c>
      <c r="F123" s="998">
        <v>8.8E15</v>
      </c>
      <c r="G123" s="1000"/>
      <c r="H123" s="998">
        <v>8.8E15</v>
      </c>
      <c r="I123" s="998">
        <v>8.8E15</v>
      </c>
      <c r="J123" s="998">
        <v>8.8E15</v>
      </c>
      <c r="K123" s="998">
        <v>8.8E15</v>
      </c>
      <c r="L123" s="998">
        <v>8.8E15</v>
      </c>
      <c r="M123" s="999">
        <v>1.522E19</v>
      </c>
      <c r="N123" s="998">
        <v>8.8E15</v>
      </c>
      <c r="O123" s="999">
        <v>1.522E19</v>
      </c>
      <c r="P123" s="999">
        <v>1.522E19</v>
      </c>
      <c r="Q123" s="1000"/>
      <c r="R123" s="998">
        <v>8.8E15</v>
      </c>
      <c r="S123" s="1000"/>
    </row>
    <row r="124">
      <c r="A124" s="224"/>
      <c r="B124" s="998">
        <v>9.26E15</v>
      </c>
      <c r="C124" s="998">
        <v>9.26E15</v>
      </c>
      <c r="D124" s="998">
        <v>9.26E15</v>
      </c>
      <c r="E124" s="998">
        <v>9.26E15</v>
      </c>
      <c r="F124" s="998">
        <v>9.26E15</v>
      </c>
      <c r="G124" s="1000"/>
      <c r="H124" s="998">
        <v>9.26E15</v>
      </c>
      <c r="I124" s="998">
        <v>9.26E15</v>
      </c>
      <c r="J124" s="998">
        <v>9.26E15</v>
      </c>
      <c r="K124" s="998">
        <v>9.26E15</v>
      </c>
      <c r="L124" s="998">
        <v>9.26E15</v>
      </c>
      <c r="M124" s="999">
        <v>1.61E19</v>
      </c>
      <c r="N124" s="998">
        <v>9.26E15</v>
      </c>
      <c r="O124" s="999">
        <v>1.61E19</v>
      </c>
      <c r="P124" s="999">
        <v>1.61E19</v>
      </c>
      <c r="Q124" s="1000"/>
      <c r="R124" s="998">
        <v>9.26E15</v>
      </c>
      <c r="S124" s="1000"/>
    </row>
    <row r="125">
      <c r="A125" s="224"/>
      <c r="B125" s="998">
        <v>9.74E15</v>
      </c>
      <c r="C125" s="998">
        <v>9.74E15</v>
      </c>
      <c r="D125" s="998">
        <v>9.74E15</v>
      </c>
      <c r="E125" s="998">
        <v>9.74E15</v>
      </c>
      <c r="F125" s="998">
        <v>9.74E15</v>
      </c>
      <c r="G125" s="1000"/>
      <c r="H125" s="998">
        <v>9.74E15</v>
      </c>
      <c r="I125" s="998">
        <v>9.74E15</v>
      </c>
      <c r="J125" s="998">
        <v>9.74E15</v>
      </c>
      <c r="K125" s="998">
        <v>9.74E15</v>
      </c>
      <c r="L125" s="998">
        <v>9.74E15</v>
      </c>
      <c r="M125" s="999">
        <v>1.702E19</v>
      </c>
      <c r="N125" s="998">
        <v>9.74E15</v>
      </c>
      <c r="O125" s="999">
        <v>1.702E19</v>
      </c>
      <c r="P125" s="999">
        <v>1.702E19</v>
      </c>
      <c r="Q125" s="1000"/>
      <c r="R125" s="998">
        <v>9.74E15</v>
      </c>
      <c r="S125" s="1000"/>
    </row>
    <row r="126">
      <c r="A126" s="224"/>
      <c r="B126" s="998">
        <v>1.024E16</v>
      </c>
      <c r="C126" s="998">
        <v>1.024E16</v>
      </c>
      <c r="D126" s="998">
        <v>1.024E16</v>
      </c>
      <c r="E126" s="998">
        <v>1.024E16</v>
      </c>
      <c r="F126" s="998">
        <v>1.024E16</v>
      </c>
      <c r="G126" s="1000"/>
      <c r="H126" s="998">
        <v>1.024E16</v>
      </c>
      <c r="I126" s="998">
        <v>1.024E16</v>
      </c>
      <c r="J126" s="998">
        <v>1.024E16</v>
      </c>
      <c r="K126" s="998">
        <v>1.024E16</v>
      </c>
      <c r="L126" s="998">
        <v>1.024E16</v>
      </c>
      <c r="M126" s="999">
        <v>1.798E19</v>
      </c>
      <c r="N126" s="998">
        <v>1.024E16</v>
      </c>
      <c r="O126" s="999">
        <v>1.798E19</v>
      </c>
      <c r="P126" s="999">
        <v>1.798E19</v>
      </c>
      <c r="Q126" s="1000"/>
      <c r="R126" s="998">
        <v>1.024E16</v>
      </c>
      <c r="S126" s="1000"/>
    </row>
    <row r="127">
      <c r="A127" s="224"/>
      <c r="B127" s="998">
        <v>1.076E16</v>
      </c>
      <c r="C127" s="998">
        <v>1.076E16</v>
      </c>
      <c r="D127" s="998">
        <v>1.076E16</v>
      </c>
      <c r="E127" s="998">
        <v>1.076E16</v>
      </c>
      <c r="F127" s="998">
        <v>1.076E16</v>
      </c>
      <c r="G127" s="1000"/>
      <c r="H127" s="998">
        <v>1.076E16</v>
      </c>
      <c r="I127" s="998">
        <v>1.076E16</v>
      </c>
      <c r="J127" s="998">
        <v>1.076E16</v>
      </c>
      <c r="K127" s="998">
        <v>1.076E16</v>
      </c>
      <c r="L127" s="998">
        <v>1.076E16</v>
      </c>
      <c r="M127" s="999">
        <v>1.899E19</v>
      </c>
      <c r="N127" s="998">
        <v>1.076E16</v>
      </c>
      <c r="O127" s="999">
        <v>1.899E19</v>
      </c>
      <c r="P127" s="999">
        <v>1.899E19</v>
      </c>
      <c r="Q127" s="1000"/>
      <c r="R127" s="998">
        <v>1.076E16</v>
      </c>
      <c r="S127" s="1000"/>
    </row>
    <row r="128">
      <c r="A128" s="224"/>
      <c r="B128" s="998">
        <v>1.13E16</v>
      </c>
      <c r="C128" s="998">
        <v>1.13E16</v>
      </c>
      <c r="D128" s="998">
        <v>1.13E16</v>
      </c>
      <c r="E128" s="998">
        <v>1.13E16</v>
      </c>
      <c r="F128" s="998">
        <v>1.13E16</v>
      </c>
      <c r="G128" s="1000"/>
      <c r="H128" s="998">
        <v>1.13E16</v>
      </c>
      <c r="I128" s="998">
        <v>1.13E16</v>
      </c>
      <c r="J128" s="998">
        <v>1.13E16</v>
      </c>
      <c r="K128" s="998">
        <v>1.13E16</v>
      </c>
      <c r="L128" s="998">
        <v>1.13E16</v>
      </c>
      <c r="M128" s="999">
        <v>2.004E19</v>
      </c>
      <c r="N128" s="998">
        <v>1.13E16</v>
      </c>
      <c r="O128" s="999">
        <v>2.004E19</v>
      </c>
      <c r="P128" s="999">
        <v>2.004E19</v>
      </c>
      <c r="Q128" s="1000"/>
      <c r="R128" s="998">
        <v>1.13E16</v>
      </c>
      <c r="S128" s="1000"/>
    </row>
    <row r="129">
      <c r="A129" s="224"/>
      <c r="B129" s="998">
        <v>1.186E16</v>
      </c>
      <c r="C129" s="998">
        <v>1.186E16</v>
      </c>
      <c r="D129" s="998">
        <v>1.186E16</v>
      </c>
      <c r="E129" s="998">
        <v>1.186E16</v>
      </c>
      <c r="F129" s="998">
        <v>1.186E16</v>
      </c>
      <c r="G129" s="1000"/>
      <c r="H129" s="998">
        <v>1.186E16</v>
      </c>
      <c r="I129" s="998">
        <v>1.186E16</v>
      </c>
      <c r="J129" s="998">
        <v>1.186E16</v>
      </c>
      <c r="K129" s="998">
        <v>1.186E16</v>
      </c>
      <c r="L129" s="998">
        <v>1.186E16</v>
      </c>
      <c r="M129" s="999">
        <v>2.114E19</v>
      </c>
      <c r="N129" s="998">
        <v>1.186E16</v>
      </c>
      <c r="O129" s="999">
        <v>2.114E19</v>
      </c>
      <c r="P129" s="999">
        <v>2.114E19</v>
      </c>
      <c r="Q129" s="1000"/>
      <c r="R129" s="998">
        <v>1.186E16</v>
      </c>
      <c r="S129" s="1000"/>
    </row>
    <row r="130">
      <c r="A130" s="224"/>
      <c r="B130" s="998">
        <v>1.244E16</v>
      </c>
      <c r="C130" s="998">
        <v>1.244E16</v>
      </c>
      <c r="D130" s="998">
        <v>1.244E16</v>
      </c>
      <c r="E130" s="998">
        <v>1.244E16</v>
      </c>
      <c r="F130" s="998">
        <v>1.244E16</v>
      </c>
      <c r="G130" s="1000"/>
      <c r="H130" s="998">
        <v>1.244E16</v>
      </c>
      <c r="I130" s="998">
        <v>1.244E16</v>
      </c>
      <c r="J130" s="998">
        <v>1.244E16</v>
      </c>
      <c r="K130" s="998">
        <v>1.244E16</v>
      </c>
      <c r="L130" s="998">
        <v>1.244E16</v>
      </c>
      <c r="M130" s="999">
        <v>2.229E19</v>
      </c>
      <c r="N130" s="998">
        <v>1.244E16</v>
      </c>
      <c r="O130" s="999">
        <v>2.229E19</v>
      </c>
      <c r="P130" s="999">
        <v>2.229E19</v>
      </c>
      <c r="Q130" s="1000"/>
      <c r="R130" s="998">
        <v>1.244E16</v>
      </c>
      <c r="S130" s="1000"/>
    </row>
    <row r="131">
      <c r="A131" s="224"/>
      <c r="B131" s="998">
        <v>1.304E16</v>
      </c>
      <c r="C131" s="998">
        <v>1.304E16</v>
      </c>
      <c r="D131" s="998">
        <v>1.304E16</v>
      </c>
      <c r="E131" s="998">
        <v>1.304E16</v>
      </c>
      <c r="F131" s="998">
        <v>1.304E16</v>
      </c>
      <c r="G131" s="1000"/>
      <c r="H131" s="998">
        <v>1.304E16</v>
      </c>
      <c r="I131" s="998">
        <v>1.304E16</v>
      </c>
      <c r="J131" s="998">
        <v>1.304E16</v>
      </c>
      <c r="K131" s="998">
        <v>1.304E16</v>
      </c>
      <c r="L131" s="998">
        <v>1.304E16</v>
      </c>
      <c r="M131" s="999">
        <v>2.349E19</v>
      </c>
      <c r="N131" s="998">
        <v>1.304E16</v>
      </c>
      <c r="O131" s="999">
        <v>2.349E19</v>
      </c>
      <c r="P131" s="999">
        <v>2.349E19</v>
      </c>
      <c r="Q131" s="1000"/>
      <c r="R131" s="998">
        <v>1.304E16</v>
      </c>
      <c r="S131" s="1000"/>
    </row>
    <row r="132">
      <c r="A132" s="224"/>
      <c r="B132" s="998">
        <v>1.367E16</v>
      </c>
      <c r="C132" s="998">
        <v>1.367E16</v>
      </c>
      <c r="D132" s="998">
        <v>1.367E16</v>
      </c>
      <c r="E132" s="998">
        <v>1.367E16</v>
      </c>
      <c r="F132" s="998">
        <v>1.367E16</v>
      </c>
      <c r="G132" s="1000"/>
      <c r="H132" s="998">
        <v>1.367E16</v>
      </c>
      <c r="I132" s="998">
        <v>1.367E16</v>
      </c>
      <c r="J132" s="998">
        <v>1.367E16</v>
      </c>
      <c r="K132" s="998">
        <v>1.367E16</v>
      </c>
      <c r="L132" s="998">
        <v>1.367E16</v>
      </c>
      <c r="M132" s="999">
        <v>2.475E19</v>
      </c>
      <c r="N132" s="998">
        <v>1.367E16</v>
      </c>
      <c r="O132" s="999">
        <v>2.475E19</v>
      </c>
      <c r="P132" s="999">
        <v>2.475E19</v>
      </c>
      <c r="Q132" s="1000"/>
      <c r="R132" s="998">
        <v>1.367E16</v>
      </c>
      <c r="S132" s="1000"/>
    </row>
    <row r="133">
      <c r="A133" s="224"/>
      <c r="B133" s="998">
        <v>1.432E16</v>
      </c>
      <c r="C133" s="998">
        <v>1.432E16</v>
      </c>
      <c r="D133" s="998">
        <v>1.432E16</v>
      </c>
      <c r="E133" s="998">
        <v>1.432E16</v>
      </c>
      <c r="F133" s="998">
        <v>1.432E16</v>
      </c>
      <c r="G133" s="1000"/>
      <c r="H133" s="998">
        <v>1.432E16</v>
      </c>
      <c r="I133" s="998">
        <v>1.432E16</v>
      </c>
      <c r="J133" s="998">
        <v>1.432E16</v>
      </c>
      <c r="K133" s="998">
        <v>1.432E16</v>
      </c>
      <c r="L133" s="998">
        <v>1.432E16</v>
      </c>
      <c r="M133" s="999">
        <v>2.606E19</v>
      </c>
      <c r="N133" s="998">
        <v>1.432E16</v>
      </c>
      <c r="O133" s="999">
        <v>2.606E19</v>
      </c>
      <c r="P133" s="999">
        <v>2.606E19</v>
      </c>
      <c r="Q133" s="1000"/>
      <c r="R133" s="998">
        <v>1.432E16</v>
      </c>
      <c r="S133" s="1000"/>
    </row>
    <row r="134">
      <c r="A134" s="224"/>
      <c r="B134" s="998">
        <v>1.5E16</v>
      </c>
      <c r="C134" s="998">
        <v>1.5E16</v>
      </c>
      <c r="D134" s="998">
        <v>1.5E16</v>
      </c>
      <c r="E134" s="998">
        <v>1.5E16</v>
      </c>
      <c r="F134" s="998">
        <v>1.5E16</v>
      </c>
      <c r="G134" s="1000"/>
      <c r="H134" s="998">
        <v>1.5E16</v>
      </c>
      <c r="I134" s="998">
        <v>1.5E16</v>
      </c>
      <c r="J134" s="998">
        <v>1.5E16</v>
      </c>
      <c r="K134" s="998">
        <v>1.5E16</v>
      </c>
      <c r="L134" s="998">
        <v>1.5E16</v>
      </c>
      <c r="M134" s="999">
        <v>2.742E19</v>
      </c>
      <c r="N134" s="998">
        <v>1.5E16</v>
      </c>
      <c r="O134" s="999">
        <v>2.742E19</v>
      </c>
      <c r="P134" s="999">
        <v>2.742E19</v>
      </c>
      <c r="Q134" s="1000"/>
      <c r="R134" s="998">
        <v>1.5E16</v>
      </c>
      <c r="S134" s="1000"/>
    </row>
    <row r="135">
      <c r="A135" s="224"/>
      <c r="B135" s="998">
        <v>1.571E16</v>
      </c>
      <c r="C135" s="998">
        <v>1.571E16</v>
      </c>
      <c r="D135" s="998">
        <v>1.571E16</v>
      </c>
      <c r="E135" s="998">
        <v>1.571E16</v>
      </c>
      <c r="F135" s="998">
        <v>1.571E16</v>
      </c>
      <c r="G135" s="1000"/>
      <c r="H135" s="998">
        <v>1.571E16</v>
      </c>
      <c r="I135" s="998">
        <v>1.571E16</v>
      </c>
      <c r="J135" s="998">
        <v>1.571E16</v>
      </c>
      <c r="K135" s="998">
        <v>1.571E16</v>
      </c>
      <c r="L135" s="998">
        <v>1.571E16</v>
      </c>
      <c r="M135" s="999">
        <v>2.885E19</v>
      </c>
      <c r="N135" s="998">
        <v>1.571E16</v>
      </c>
      <c r="O135" s="999">
        <v>2.885E19</v>
      </c>
      <c r="P135" s="999">
        <v>2.885E19</v>
      </c>
      <c r="Q135" s="1000"/>
      <c r="R135" s="998">
        <v>1.571E16</v>
      </c>
      <c r="S135" s="1000"/>
    </row>
    <row r="136">
      <c r="A136" s="224"/>
      <c r="B136" s="998">
        <v>1.643E16</v>
      </c>
      <c r="C136" s="998">
        <v>1.643E16</v>
      </c>
      <c r="D136" s="998">
        <v>1.643E16</v>
      </c>
      <c r="E136" s="998">
        <v>1.643E16</v>
      </c>
      <c r="F136" s="998">
        <v>1.643E16</v>
      </c>
      <c r="G136" s="1000"/>
      <c r="H136" s="998">
        <v>1.643E16</v>
      </c>
      <c r="I136" s="998">
        <v>1.643E16</v>
      </c>
      <c r="J136" s="998">
        <v>1.643E16</v>
      </c>
      <c r="K136" s="998">
        <v>1.643E16</v>
      </c>
      <c r="L136" s="998">
        <v>1.643E16</v>
      </c>
      <c r="M136" s="999">
        <v>3.033E19</v>
      </c>
      <c r="N136" s="998">
        <v>1.643E16</v>
      </c>
      <c r="O136" s="999">
        <v>3.033E19</v>
      </c>
      <c r="P136" s="999">
        <v>3.033E19</v>
      </c>
      <c r="Q136" s="1000"/>
      <c r="R136" s="998">
        <v>1.643E16</v>
      </c>
      <c r="S136" s="1000"/>
    </row>
    <row r="137">
      <c r="A137" s="224"/>
      <c r="B137" s="998">
        <v>1.719E16</v>
      </c>
      <c r="C137" s="998">
        <v>1.719E16</v>
      </c>
      <c r="D137" s="998">
        <v>1.719E16</v>
      </c>
      <c r="E137" s="998">
        <v>1.719E16</v>
      </c>
      <c r="F137" s="998">
        <v>1.719E16</v>
      </c>
      <c r="G137" s="1000"/>
      <c r="H137" s="998">
        <v>1.719E16</v>
      </c>
      <c r="I137" s="998">
        <v>1.719E16</v>
      </c>
      <c r="J137" s="998">
        <v>1.719E16</v>
      </c>
      <c r="K137" s="998">
        <v>1.719E16</v>
      </c>
      <c r="L137" s="998">
        <v>1.719E16</v>
      </c>
      <c r="M137" s="999">
        <v>3.188E19</v>
      </c>
      <c r="N137" s="998">
        <v>1.719E16</v>
      </c>
      <c r="O137" s="999">
        <v>3.188E19</v>
      </c>
      <c r="P137" s="999">
        <v>3.188E19</v>
      </c>
      <c r="Q137" s="1000"/>
      <c r="R137" s="998">
        <v>1.719E16</v>
      </c>
      <c r="S137" s="1000"/>
    </row>
    <row r="138">
      <c r="A138" s="224"/>
      <c r="B138" s="998">
        <v>1.797E16</v>
      </c>
      <c r="C138" s="998">
        <v>1.797E16</v>
      </c>
      <c r="D138" s="998">
        <v>1.797E16</v>
      </c>
      <c r="E138" s="998">
        <v>1.797E16</v>
      </c>
      <c r="F138" s="998">
        <v>1.797E16</v>
      </c>
      <c r="G138" s="1000"/>
      <c r="H138" s="998">
        <v>1.797E16</v>
      </c>
      <c r="I138" s="998">
        <v>1.797E16</v>
      </c>
      <c r="J138" s="998">
        <v>1.797E16</v>
      </c>
      <c r="K138" s="998">
        <v>1.797E16</v>
      </c>
      <c r="L138" s="998">
        <v>1.797E16</v>
      </c>
      <c r="M138" s="999">
        <v>3.349E19</v>
      </c>
      <c r="N138" s="998">
        <v>1.797E16</v>
      </c>
      <c r="O138" s="999">
        <v>3.349E19</v>
      </c>
      <c r="P138" s="999">
        <v>3.349E19</v>
      </c>
      <c r="Q138" s="1000"/>
      <c r="R138" s="998">
        <v>1.797E16</v>
      </c>
      <c r="S138" s="1000"/>
    </row>
    <row r="139">
      <c r="A139" s="224"/>
      <c r="B139" s="998">
        <v>1.879E16</v>
      </c>
      <c r="C139" s="998">
        <v>1.879E16</v>
      </c>
      <c r="D139" s="998">
        <v>1.879E16</v>
      </c>
      <c r="E139" s="998">
        <v>1.879E16</v>
      </c>
      <c r="F139" s="998">
        <v>1.879E16</v>
      </c>
      <c r="G139" s="1000"/>
      <c r="H139" s="998">
        <v>1.879E16</v>
      </c>
      <c r="I139" s="998">
        <v>1.879E16</v>
      </c>
      <c r="J139" s="998">
        <v>1.879E16</v>
      </c>
      <c r="K139" s="998">
        <v>1.879E16</v>
      </c>
      <c r="L139" s="998">
        <v>1.879E16</v>
      </c>
      <c r="M139" s="999">
        <v>3.516E19</v>
      </c>
      <c r="N139" s="998">
        <v>1.879E16</v>
      </c>
      <c r="O139" s="999">
        <v>3.516E19</v>
      </c>
      <c r="P139" s="999">
        <v>3.516E19</v>
      </c>
      <c r="Q139" s="1000"/>
      <c r="R139" s="998">
        <v>1.879E16</v>
      </c>
      <c r="S139" s="1000"/>
    </row>
    <row r="140">
      <c r="A140" s="224"/>
      <c r="B140" s="998">
        <v>1.963E16</v>
      </c>
      <c r="C140" s="998">
        <v>1.963E16</v>
      </c>
      <c r="D140" s="998">
        <v>1.963E16</v>
      </c>
      <c r="E140" s="998">
        <v>1.963E16</v>
      </c>
      <c r="F140" s="998">
        <v>1.963E16</v>
      </c>
      <c r="G140" s="1000"/>
      <c r="H140" s="998">
        <v>1.963E16</v>
      </c>
      <c r="I140" s="998">
        <v>1.963E16</v>
      </c>
      <c r="J140" s="998">
        <v>1.963E16</v>
      </c>
      <c r="K140" s="998">
        <v>1.963E16</v>
      </c>
      <c r="L140" s="998">
        <v>1.963E16</v>
      </c>
      <c r="M140" s="999">
        <v>3.691E19</v>
      </c>
      <c r="N140" s="998">
        <v>1.963E16</v>
      </c>
      <c r="O140" s="999">
        <v>3.691E19</v>
      </c>
      <c r="P140" s="999">
        <v>3.691E19</v>
      </c>
      <c r="Q140" s="1000"/>
      <c r="R140" s="998">
        <v>1.963E16</v>
      </c>
      <c r="S140" s="1000"/>
    </row>
    <row r="141">
      <c r="A141" s="224"/>
      <c r="B141" s="998">
        <v>2.05E16</v>
      </c>
      <c r="C141" s="998">
        <v>2.05E16</v>
      </c>
      <c r="D141" s="998">
        <v>2.05E16</v>
      </c>
      <c r="E141" s="998">
        <v>2.05E16</v>
      </c>
      <c r="F141" s="998">
        <v>2.05E16</v>
      </c>
      <c r="G141" s="1000"/>
      <c r="H141" s="998">
        <v>2.05E16</v>
      </c>
      <c r="I141" s="998">
        <v>2.05E16</v>
      </c>
      <c r="J141" s="998">
        <v>2.05E16</v>
      </c>
      <c r="K141" s="998">
        <v>2.05E16</v>
      </c>
      <c r="L141" s="998">
        <v>2.05E16</v>
      </c>
      <c r="M141" s="999">
        <v>3.872E19</v>
      </c>
      <c r="N141" s="998">
        <v>2.05E16</v>
      </c>
      <c r="O141" s="999">
        <v>3.872E19</v>
      </c>
      <c r="P141" s="999">
        <v>3.872E19</v>
      </c>
      <c r="Q141" s="1000"/>
      <c r="R141" s="998">
        <v>2.05E16</v>
      </c>
      <c r="S141" s="1000"/>
    </row>
    <row r="142">
      <c r="A142" s="224"/>
      <c r="B142" s="998">
        <v>2.14E16</v>
      </c>
      <c r="C142" s="998">
        <v>2.14E16</v>
      </c>
      <c r="D142" s="998">
        <v>2.14E16</v>
      </c>
      <c r="E142" s="998">
        <v>2.14E16</v>
      </c>
      <c r="F142" s="998">
        <v>2.14E16</v>
      </c>
      <c r="G142" s="1000"/>
      <c r="H142" s="998">
        <v>2.14E16</v>
      </c>
      <c r="I142" s="998">
        <v>2.14E16</v>
      </c>
      <c r="J142" s="998">
        <v>2.14E16</v>
      </c>
      <c r="K142" s="998">
        <v>2.14E16</v>
      </c>
      <c r="L142" s="998">
        <v>2.14E16</v>
      </c>
      <c r="M142" s="999">
        <v>4.061E19</v>
      </c>
      <c r="N142" s="998">
        <v>2.14E16</v>
      </c>
      <c r="O142" s="999">
        <v>4.061E19</v>
      </c>
      <c r="P142" s="999">
        <v>4.061E19</v>
      </c>
      <c r="Q142" s="1000"/>
      <c r="R142" s="998">
        <v>2.14E16</v>
      </c>
      <c r="S142" s="1000"/>
    </row>
    <row r="143">
      <c r="A143" s="224"/>
      <c r="B143" s="998">
        <v>2.234E16</v>
      </c>
      <c r="C143" s="998">
        <v>2.234E16</v>
      </c>
      <c r="D143" s="998">
        <v>2.234E16</v>
      </c>
      <c r="E143" s="998">
        <v>2.234E16</v>
      </c>
      <c r="F143" s="998">
        <v>2.234E16</v>
      </c>
      <c r="G143" s="1000"/>
      <c r="H143" s="998">
        <v>2.234E16</v>
      </c>
      <c r="I143" s="998">
        <v>2.234E16</v>
      </c>
      <c r="J143" s="998">
        <v>2.234E16</v>
      </c>
      <c r="K143" s="998">
        <v>2.234E16</v>
      </c>
      <c r="L143" s="998">
        <v>2.234E16</v>
      </c>
      <c r="M143" s="999">
        <v>4.258E19</v>
      </c>
      <c r="N143" s="998">
        <v>2.234E16</v>
      </c>
      <c r="O143" s="999">
        <v>4.258E19</v>
      </c>
      <c r="P143" s="999">
        <v>4.258E19</v>
      </c>
      <c r="Q143" s="1000"/>
      <c r="R143" s="998">
        <v>2.234E16</v>
      </c>
      <c r="S143" s="1000"/>
    </row>
    <row r="144">
      <c r="A144" s="224"/>
      <c r="B144" s="998">
        <v>2.33E16</v>
      </c>
      <c r="C144" s="998">
        <v>2.33E16</v>
      </c>
      <c r="D144" s="998">
        <v>2.33E16</v>
      </c>
      <c r="E144" s="998">
        <v>2.33E16</v>
      </c>
      <c r="F144" s="998">
        <v>2.33E16</v>
      </c>
      <c r="G144" s="1000"/>
      <c r="H144" s="998">
        <v>2.33E16</v>
      </c>
      <c r="I144" s="998">
        <v>2.33E16</v>
      </c>
      <c r="J144" s="998">
        <v>2.33E16</v>
      </c>
      <c r="K144" s="998">
        <v>2.33E16</v>
      </c>
      <c r="L144" s="998">
        <v>2.33E16</v>
      </c>
      <c r="M144" s="999">
        <v>4.462E19</v>
      </c>
      <c r="N144" s="998">
        <v>2.33E16</v>
      </c>
      <c r="O144" s="999">
        <v>4.462E19</v>
      </c>
      <c r="P144" s="999">
        <v>4.462E19</v>
      </c>
      <c r="Q144" s="1000"/>
      <c r="R144" s="998">
        <v>2.33E16</v>
      </c>
      <c r="S144" s="1000"/>
    </row>
    <row r="145">
      <c r="A145" s="224"/>
      <c r="B145" s="998">
        <v>2.43E16</v>
      </c>
      <c r="C145" s="998">
        <v>2.43E16</v>
      </c>
      <c r="D145" s="998">
        <v>2.43E16</v>
      </c>
      <c r="E145" s="998">
        <v>2.43E16</v>
      </c>
      <c r="F145" s="998">
        <v>2.43E16</v>
      </c>
      <c r="G145" s="1000"/>
      <c r="H145" s="998">
        <v>2.43E16</v>
      </c>
      <c r="I145" s="998">
        <v>2.43E16</v>
      </c>
      <c r="J145" s="998">
        <v>2.43E16</v>
      </c>
      <c r="K145" s="998">
        <v>2.43E16</v>
      </c>
      <c r="L145" s="998">
        <v>2.43E16</v>
      </c>
      <c r="M145" s="999">
        <v>4.674E19</v>
      </c>
      <c r="N145" s="998">
        <v>2.43E16</v>
      </c>
      <c r="O145" s="999">
        <v>4.674E19</v>
      </c>
      <c r="P145" s="999">
        <v>4.674E19</v>
      </c>
      <c r="Q145" s="1000"/>
      <c r="R145" s="998">
        <v>2.43E16</v>
      </c>
      <c r="S145" s="1000"/>
    </row>
    <row r="146">
      <c r="A146" s="224"/>
      <c r="B146" s="998">
        <v>2.534E16</v>
      </c>
      <c r="C146" s="998">
        <v>2.534E16</v>
      </c>
      <c r="D146" s="998">
        <v>2.534E16</v>
      </c>
      <c r="E146" s="998">
        <v>2.534E16</v>
      </c>
      <c r="F146" s="998">
        <v>2.534E16</v>
      </c>
      <c r="G146" s="1000"/>
      <c r="H146" s="998">
        <v>2.534E16</v>
      </c>
      <c r="I146" s="998">
        <v>2.534E16</v>
      </c>
      <c r="J146" s="998">
        <v>2.534E16</v>
      </c>
      <c r="K146" s="998">
        <v>2.534E16</v>
      </c>
      <c r="L146" s="998">
        <v>2.534E16</v>
      </c>
      <c r="M146" s="999">
        <v>4.895E19</v>
      </c>
      <c r="N146" s="998">
        <v>2.534E16</v>
      </c>
      <c r="O146" s="999">
        <v>4.895E19</v>
      </c>
      <c r="P146" s="999">
        <v>4.895E19</v>
      </c>
      <c r="Q146" s="1000"/>
      <c r="R146" s="998">
        <v>2.534E16</v>
      </c>
      <c r="S146" s="1000"/>
    </row>
    <row r="147">
      <c r="A147" s="224"/>
      <c r="B147" s="998">
        <v>2.641E16</v>
      </c>
      <c r="C147" s="998">
        <v>2.641E16</v>
      </c>
      <c r="D147" s="998">
        <v>2.641E16</v>
      </c>
      <c r="E147" s="998">
        <v>2.641E16</v>
      </c>
      <c r="F147" s="998">
        <v>2.641E16</v>
      </c>
      <c r="G147" s="1000"/>
      <c r="H147" s="998">
        <v>2.641E16</v>
      </c>
      <c r="I147" s="998">
        <v>2.641E16</v>
      </c>
      <c r="J147" s="998">
        <v>2.641E16</v>
      </c>
      <c r="K147" s="998">
        <v>2.641E16</v>
      </c>
      <c r="L147" s="998">
        <v>2.641E16</v>
      </c>
      <c r="M147" s="999">
        <v>5.124E19</v>
      </c>
      <c r="N147" s="998">
        <v>2.641E16</v>
      </c>
      <c r="O147" s="999">
        <v>5.124E19</v>
      </c>
      <c r="P147" s="999">
        <v>5.124E19</v>
      </c>
      <c r="Q147" s="1000"/>
      <c r="R147" s="998">
        <v>2.641E16</v>
      </c>
      <c r="S147" s="1000"/>
    </row>
    <row r="148">
      <c r="A148" s="224"/>
      <c r="B148" s="998">
        <v>2.751E16</v>
      </c>
      <c r="C148" s="998">
        <v>2.751E16</v>
      </c>
      <c r="D148" s="998">
        <v>2.751E16</v>
      </c>
      <c r="E148" s="998">
        <v>2.751E16</v>
      </c>
      <c r="F148" s="998">
        <v>2.751E16</v>
      </c>
      <c r="G148" s="1000"/>
      <c r="H148" s="998">
        <v>2.751E16</v>
      </c>
      <c r="I148" s="998">
        <v>2.751E16</v>
      </c>
      <c r="J148" s="998">
        <v>2.751E16</v>
      </c>
      <c r="K148" s="998">
        <v>2.751E16</v>
      </c>
      <c r="L148" s="998">
        <v>2.751E16</v>
      </c>
      <c r="M148" s="999">
        <v>5.361E19</v>
      </c>
      <c r="N148" s="998">
        <v>2.751E16</v>
      </c>
      <c r="O148" s="999">
        <v>5.361E19</v>
      </c>
      <c r="P148" s="999">
        <v>5.361E19</v>
      </c>
      <c r="Q148" s="1000"/>
      <c r="R148" s="998">
        <v>2.751E16</v>
      </c>
      <c r="S148" s="1000"/>
    </row>
    <row r="149">
      <c r="A149" s="224"/>
      <c r="B149" s="998">
        <v>2.865E16</v>
      </c>
      <c r="C149" s="998">
        <v>2.865E16</v>
      </c>
      <c r="D149" s="998">
        <v>2.865E16</v>
      </c>
      <c r="E149" s="998">
        <v>2.865E16</v>
      </c>
      <c r="F149" s="998">
        <v>2.865E16</v>
      </c>
      <c r="G149" s="1000"/>
      <c r="H149" s="998">
        <v>2.865E16</v>
      </c>
      <c r="I149" s="998">
        <v>2.865E16</v>
      </c>
      <c r="J149" s="998">
        <v>2.865E16</v>
      </c>
      <c r="K149" s="998">
        <v>2.865E16</v>
      </c>
      <c r="L149" s="998">
        <v>2.865E16</v>
      </c>
      <c r="M149" s="999">
        <v>5.608E19</v>
      </c>
      <c r="N149" s="998">
        <v>2.865E16</v>
      </c>
      <c r="O149" s="999">
        <v>5.608E19</v>
      </c>
      <c r="P149" s="999">
        <v>5.608E19</v>
      </c>
      <c r="Q149" s="1000"/>
      <c r="R149" s="998">
        <v>2.865E16</v>
      </c>
      <c r="S149" s="1000"/>
    </row>
    <row r="150">
      <c r="A150" s="224"/>
      <c r="B150" s="998">
        <v>2.983E16</v>
      </c>
      <c r="C150" s="998">
        <v>2.983E16</v>
      </c>
      <c r="D150" s="998">
        <v>2.983E16</v>
      </c>
      <c r="E150" s="998">
        <v>2.983E16</v>
      </c>
      <c r="F150" s="998">
        <v>2.983E16</v>
      </c>
      <c r="G150" s="1000"/>
      <c r="H150" s="998">
        <v>2.983E16</v>
      </c>
      <c r="I150" s="998">
        <v>2.983E16</v>
      </c>
      <c r="J150" s="998">
        <v>2.983E16</v>
      </c>
      <c r="K150" s="998">
        <v>2.983E16</v>
      </c>
      <c r="L150" s="998">
        <v>2.983E16</v>
      </c>
      <c r="M150" s="999">
        <v>5.864E19</v>
      </c>
      <c r="N150" s="998">
        <v>2.983E16</v>
      </c>
      <c r="O150" s="999">
        <v>5.864E19</v>
      </c>
      <c r="P150" s="999">
        <v>5.864E19</v>
      </c>
      <c r="Q150" s="1000"/>
      <c r="R150" s="998">
        <v>2.983E16</v>
      </c>
      <c r="S150" s="1000"/>
    </row>
    <row r="151">
      <c r="A151" s="224"/>
      <c r="B151" s="998">
        <v>3.105E16</v>
      </c>
      <c r="C151" s="998">
        <v>3.105E16</v>
      </c>
      <c r="D151" s="998">
        <v>3.105E16</v>
      </c>
      <c r="E151" s="998">
        <v>3.105E16</v>
      </c>
      <c r="F151" s="998">
        <v>3.105E16</v>
      </c>
      <c r="G151" s="1000"/>
      <c r="H151" s="998">
        <v>3.105E16</v>
      </c>
      <c r="I151" s="998">
        <v>3.105E16</v>
      </c>
      <c r="J151" s="998">
        <v>3.105E16</v>
      </c>
      <c r="K151" s="998">
        <v>3.105E16</v>
      </c>
      <c r="L151" s="998">
        <v>3.105E16</v>
      </c>
      <c r="M151" s="999">
        <v>6.13E19</v>
      </c>
      <c r="N151" s="998">
        <v>3.105E16</v>
      </c>
      <c r="O151" s="999">
        <v>6.13E19</v>
      </c>
      <c r="P151" s="999">
        <v>6.13E19</v>
      </c>
      <c r="Q151" s="1000"/>
      <c r="R151" s="998">
        <v>3.105E16</v>
      </c>
      <c r="S151" s="1000"/>
    </row>
    <row r="152">
      <c r="A152" s="224"/>
      <c r="B152" s="998">
        <v>3.231E16</v>
      </c>
      <c r="C152" s="998">
        <v>3.231E16</v>
      </c>
      <c r="D152" s="998">
        <v>3.231E16</v>
      </c>
      <c r="E152" s="998">
        <v>3.231E16</v>
      </c>
      <c r="F152" s="998">
        <v>3.231E16</v>
      </c>
      <c r="G152" s="1000"/>
      <c r="H152" s="998">
        <v>3.231E16</v>
      </c>
      <c r="I152" s="998">
        <v>3.231E16</v>
      </c>
      <c r="J152" s="998">
        <v>3.231E16</v>
      </c>
      <c r="K152" s="998">
        <v>3.231E16</v>
      </c>
      <c r="L152" s="998">
        <v>3.231E16</v>
      </c>
      <c r="M152" s="999">
        <v>6.405E19</v>
      </c>
      <c r="N152" s="998">
        <v>3.231E16</v>
      </c>
      <c r="O152" s="999">
        <v>6.405E19</v>
      </c>
      <c r="P152" s="999">
        <v>6.405E19</v>
      </c>
      <c r="Q152" s="1000"/>
      <c r="R152" s="998">
        <v>3.231E16</v>
      </c>
      <c r="S152" s="1000"/>
    </row>
    <row r="153">
      <c r="A153" s="224"/>
      <c r="B153" s="998">
        <v>3.361E16</v>
      </c>
      <c r="C153" s="998">
        <v>3.361E16</v>
      </c>
      <c r="D153" s="998">
        <v>3.361E16</v>
      </c>
      <c r="E153" s="998">
        <v>3.361E16</v>
      </c>
      <c r="F153" s="998">
        <v>3.361E16</v>
      </c>
      <c r="G153" s="1000"/>
      <c r="H153" s="998">
        <v>3.361E16</v>
      </c>
      <c r="I153" s="998">
        <v>3.361E16</v>
      </c>
      <c r="J153" s="998">
        <v>3.361E16</v>
      </c>
      <c r="K153" s="998">
        <v>3.361E16</v>
      </c>
      <c r="L153" s="998">
        <v>3.361E16</v>
      </c>
      <c r="M153" s="999">
        <v>6.691E19</v>
      </c>
      <c r="N153" s="998">
        <v>3.361E16</v>
      </c>
      <c r="O153" s="999">
        <v>6.691E19</v>
      </c>
      <c r="P153" s="999">
        <v>6.691E19</v>
      </c>
      <c r="Q153" s="1000"/>
      <c r="R153" s="998">
        <v>3.361E16</v>
      </c>
      <c r="S153" s="1000"/>
    </row>
    <row r="154">
      <c r="A154" s="224"/>
      <c r="B154" s="998">
        <v>3.495E16</v>
      </c>
      <c r="C154" s="998">
        <v>3.495E16</v>
      </c>
      <c r="D154" s="998">
        <v>3.495E16</v>
      </c>
      <c r="E154" s="998">
        <v>3.495E16</v>
      </c>
      <c r="F154" s="998">
        <v>3.495E16</v>
      </c>
      <c r="G154" s="1000"/>
      <c r="H154" s="998">
        <v>3.495E16</v>
      </c>
      <c r="I154" s="998">
        <v>3.495E16</v>
      </c>
      <c r="J154" s="998">
        <v>3.495E16</v>
      </c>
      <c r="K154" s="998">
        <v>3.495E16</v>
      </c>
      <c r="L154" s="998">
        <v>3.495E16</v>
      </c>
      <c r="M154" s="999">
        <v>6.987E19</v>
      </c>
      <c r="N154" s="998">
        <v>3.495E16</v>
      </c>
      <c r="O154" s="999">
        <v>6.987E19</v>
      </c>
      <c r="P154" s="999">
        <v>6.987E19</v>
      </c>
      <c r="Q154" s="1000"/>
      <c r="R154" s="998">
        <v>3.495E16</v>
      </c>
      <c r="S154" s="1000"/>
    </row>
    <row r="155">
      <c r="A155" s="224"/>
      <c r="B155" s="998">
        <v>3.634E16</v>
      </c>
      <c r="C155" s="998">
        <v>3.634E16</v>
      </c>
      <c r="D155" s="998">
        <v>3.634E16</v>
      </c>
      <c r="E155" s="998">
        <v>3.634E16</v>
      </c>
      <c r="F155" s="998">
        <v>3.634E16</v>
      </c>
      <c r="G155" s="1000"/>
      <c r="H155" s="998">
        <v>3.634E16</v>
      </c>
      <c r="I155" s="998">
        <v>3.634E16</v>
      </c>
      <c r="J155" s="998">
        <v>3.634E16</v>
      </c>
      <c r="K155" s="998">
        <v>3.634E16</v>
      </c>
      <c r="L155" s="998">
        <v>3.634E16</v>
      </c>
      <c r="M155" s="999">
        <v>7.293E19</v>
      </c>
      <c r="N155" s="998">
        <v>3.634E16</v>
      </c>
      <c r="O155" s="999">
        <v>7.293E19</v>
      </c>
      <c r="P155" s="999">
        <v>7.293E19</v>
      </c>
      <c r="Q155" s="1000"/>
      <c r="R155" s="998">
        <v>3.634E16</v>
      </c>
      <c r="S155" s="1000"/>
    </row>
    <row r="156">
      <c r="A156" s="224"/>
      <c r="B156" s="998">
        <v>3.776E16</v>
      </c>
      <c r="C156" s="998">
        <v>3.776E16</v>
      </c>
      <c r="D156" s="998">
        <v>3.776E16</v>
      </c>
      <c r="E156" s="998">
        <v>3.776E16</v>
      </c>
      <c r="F156" s="998">
        <v>3.776E16</v>
      </c>
      <c r="G156" s="1000"/>
      <c r="H156" s="998">
        <v>3.776E16</v>
      </c>
      <c r="I156" s="998">
        <v>3.776E16</v>
      </c>
      <c r="J156" s="998">
        <v>3.776E16</v>
      </c>
      <c r="K156" s="998">
        <v>3.776E16</v>
      </c>
      <c r="L156" s="998">
        <v>3.776E16</v>
      </c>
      <c r="M156" s="999">
        <v>7.611E19</v>
      </c>
      <c r="N156" s="998">
        <v>3.776E16</v>
      </c>
      <c r="O156" s="999">
        <v>7.611E19</v>
      </c>
      <c r="P156" s="999">
        <v>7.611E19</v>
      </c>
      <c r="Q156" s="1000"/>
      <c r="R156" s="998">
        <v>3.776E16</v>
      </c>
      <c r="S156" s="1000"/>
    </row>
    <row r="157">
      <c r="A157" s="224"/>
      <c r="B157" s="998">
        <v>3.924E16</v>
      </c>
      <c r="C157" s="998">
        <v>3.924E16</v>
      </c>
      <c r="D157" s="998">
        <v>3.924E16</v>
      </c>
      <c r="E157" s="998">
        <v>3.924E16</v>
      </c>
      <c r="F157" s="998">
        <v>3.924E16</v>
      </c>
      <c r="G157" s="1000"/>
      <c r="H157" s="998">
        <v>3.924E16</v>
      </c>
      <c r="I157" s="998">
        <v>3.924E16</v>
      </c>
      <c r="J157" s="998">
        <v>3.924E16</v>
      </c>
      <c r="K157" s="998">
        <v>3.924E16</v>
      </c>
      <c r="L157" s="998">
        <v>3.924E16</v>
      </c>
      <c r="M157" s="999">
        <v>7.94E19</v>
      </c>
      <c r="N157" s="998">
        <v>3.924E16</v>
      </c>
      <c r="O157" s="999">
        <v>7.94E19</v>
      </c>
      <c r="P157" s="999">
        <v>7.94E19</v>
      </c>
      <c r="Q157" s="1000"/>
      <c r="R157" s="998">
        <v>3.924E16</v>
      </c>
      <c r="S157" s="1000"/>
    </row>
    <row r="158">
      <c r="A158" s="224"/>
      <c r="B158" s="998">
        <v>4.075E16</v>
      </c>
      <c r="C158" s="998">
        <v>4.075E16</v>
      </c>
      <c r="D158" s="998">
        <v>4.075E16</v>
      </c>
      <c r="E158" s="998">
        <v>4.075E16</v>
      </c>
      <c r="F158" s="998">
        <v>4.075E16</v>
      </c>
      <c r="G158" s="1000"/>
      <c r="H158" s="998">
        <v>4.075E16</v>
      </c>
      <c r="I158" s="998">
        <v>4.075E16</v>
      </c>
      <c r="J158" s="998">
        <v>4.075E16</v>
      </c>
      <c r="K158" s="998">
        <v>4.075E16</v>
      </c>
      <c r="L158" s="998">
        <v>4.075E16</v>
      </c>
      <c r="M158" s="999">
        <v>8.281E19</v>
      </c>
      <c r="N158" s="998">
        <v>4.075E16</v>
      </c>
      <c r="O158" s="999">
        <v>8.281E19</v>
      </c>
      <c r="P158" s="999">
        <v>8.281E19</v>
      </c>
      <c r="Q158" s="1000"/>
      <c r="R158" s="998">
        <v>4.075E16</v>
      </c>
      <c r="S158" s="1000"/>
    </row>
    <row r="159">
      <c r="A159" s="224"/>
      <c r="B159" s="998">
        <v>4.232E16</v>
      </c>
      <c r="C159" s="998">
        <v>4.232E16</v>
      </c>
      <c r="D159" s="998">
        <v>4.232E16</v>
      </c>
      <c r="E159" s="998">
        <v>4.232E16</v>
      </c>
      <c r="F159" s="998">
        <v>4.232E16</v>
      </c>
      <c r="G159" s="1000"/>
      <c r="H159" s="998">
        <v>4.232E16</v>
      </c>
      <c r="I159" s="998">
        <v>4.232E16</v>
      </c>
      <c r="J159" s="998">
        <v>4.232E16</v>
      </c>
      <c r="K159" s="998">
        <v>4.232E16</v>
      </c>
      <c r="L159" s="998">
        <v>4.232E16</v>
      </c>
      <c r="M159" s="999">
        <v>8.633E19</v>
      </c>
      <c r="N159" s="998">
        <v>4.232E16</v>
      </c>
      <c r="O159" s="999">
        <v>8.633E19</v>
      </c>
      <c r="P159" s="999">
        <v>8.633E19</v>
      </c>
      <c r="Q159" s="1000"/>
      <c r="R159" s="998">
        <v>4.232E16</v>
      </c>
      <c r="S159" s="1000"/>
    </row>
    <row r="160">
      <c r="A160" s="224"/>
      <c r="B160" s="998">
        <v>4.393E16</v>
      </c>
      <c r="C160" s="998">
        <v>4.393E16</v>
      </c>
      <c r="D160" s="998">
        <v>4.393E16</v>
      </c>
      <c r="E160" s="998">
        <v>4.393E16</v>
      </c>
      <c r="F160" s="998">
        <v>4.393E16</v>
      </c>
      <c r="G160" s="1000"/>
      <c r="H160" s="998">
        <v>4.393E16</v>
      </c>
      <c r="I160" s="998">
        <v>4.393E16</v>
      </c>
      <c r="J160" s="998">
        <v>4.393E16</v>
      </c>
      <c r="K160" s="998">
        <v>4.393E16</v>
      </c>
      <c r="L160" s="998">
        <v>4.393E16</v>
      </c>
      <c r="M160" s="999">
        <v>8.998E19</v>
      </c>
      <c r="N160" s="998">
        <v>4.393E16</v>
      </c>
      <c r="O160" s="999">
        <v>8.998E19</v>
      </c>
      <c r="P160" s="999">
        <v>8.998E19</v>
      </c>
      <c r="Q160" s="1000"/>
      <c r="R160" s="998">
        <v>4.393E16</v>
      </c>
      <c r="S160" s="1000"/>
    </row>
    <row r="161">
      <c r="A161" s="224"/>
      <c r="B161" s="998">
        <v>4.559E16</v>
      </c>
      <c r="C161" s="998">
        <v>4.559E16</v>
      </c>
      <c r="D161" s="998">
        <v>4.559E16</v>
      </c>
      <c r="E161" s="998">
        <v>4.559E16</v>
      </c>
      <c r="F161" s="998">
        <v>4.559E16</v>
      </c>
      <c r="G161" s="1000"/>
      <c r="H161" s="998">
        <v>4.559E16</v>
      </c>
      <c r="I161" s="998">
        <v>4.559E16</v>
      </c>
      <c r="J161" s="998">
        <v>4.559E16</v>
      </c>
      <c r="K161" s="998">
        <v>4.559E16</v>
      </c>
      <c r="L161" s="998">
        <v>4.559E16</v>
      </c>
      <c r="M161" s="999">
        <v>9.376E19</v>
      </c>
      <c r="N161" s="998">
        <v>4.559E16</v>
      </c>
      <c r="O161" s="999">
        <v>9.376E19</v>
      </c>
      <c r="P161" s="999">
        <v>9.376E19</v>
      </c>
      <c r="Q161" s="1000"/>
      <c r="R161" s="998">
        <v>4.559E16</v>
      </c>
      <c r="S161" s="1000"/>
    </row>
    <row r="162">
      <c r="A162" s="224"/>
      <c r="B162" s="998">
        <v>4.731E16</v>
      </c>
      <c r="C162" s="998">
        <v>4.731E16</v>
      </c>
      <c r="D162" s="998">
        <v>4.731E16</v>
      </c>
      <c r="E162" s="998">
        <v>4.731E16</v>
      </c>
      <c r="F162" s="998">
        <v>4.731E16</v>
      </c>
      <c r="G162" s="1000"/>
      <c r="H162" s="998">
        <v>4.731E16</v>
      </c>
      <c r="I162" s="998">
        <v>4.731E16</v>
      </c>
      <c r="J162" s="998">
        <v>4.731E16</v>
      </c>
      <c r="K162" s="998">
        <v>4.731E16</v>
      </c>
      <c r="L162" s="998">
        <v>4.731E16</v>
      </c>
      <c r="M162" s="999">
        <v>9.766E19</v>
      </c>
      <c r="N162" s="998">
        <v>4.731E16</v>
      </c>
      <c r="O162" s="999">
        <v>9.766E19</v>
      </c>
      <c r="P162" s="999">
        <v>9.766E19</v>
      </c>
      <c r="Q162" s="1000"/>
      <c r="R162" s="998">
        <v>4.731E16</v>
      </c>
      <c r="S162" s="1000"/>
    </row>
    <row r="163">
      <c r="A163" s="224"/>
      <c r="B163" s="998">
        <v>4.907E16</v>
      </c>
      <c r="C163" s="998">
        <v>4.907E16</v>
      </c>
      <c r="D163" s="998">
        <v>4.907E16</v>
      </c>
      <c r="E163" s="998">
        <v>4.907E16</v>
      </c>
      <c r="F163" s="998">
        <v>4.907E16</v>
      </c>
      <c r="G163" s="1000"/>
      <c r="H163" s="998">
        <v>4.907E16</v>
      </c>
      <c r="I163" s="998">
        <v>4.907E16</v>
      </c>
      <c r="J163" s="998">
        <v>4.907E16</v>
      </c>
      <c r="K163" s="998">
        <v>4.907E16</v>
      </c>
      <c r="L163" s="998">
        <v>4.907E16</v>
      </c>
      <c r="M163" s="999">
        <v>1.017E20</v>
      </c>
      <c r="N163" s="998">
        <v>4.907E16</v>
      </c>
      <c r="O163" s="999">
        <v>1.017E20</v>
      </c>
      <c r="P163" s="999">
        <v>1.017E20</v>
      </c>
      <c r="Q163" s="1000"/>
      <c r="R163" s="998">
        <v>4.907E16</v>
      </c>
      <c r="S163" s="1000"/>
    </row>
    <row r="164">
      <c r="A164" s="224"/>
      <c r="B164" s="998">
        <v>5.089E16</v>
      </c>
      <c r="C164" s="998">
        <v>5.089E16</v>
      </c>
      <c r="D164" s="998">
        <v>5.089E16</v>
      </c>
      <c r="E164" s="998">
        <v>5.089E16</v>
      </c>
      <c r="F164" s="998">
        <v>5.089E16</v>
      </c>
      <c r="G164" s="1000"/>
      <c r="H164" s="998">
        <v>5.089E16</v>
      </c>
      <c r="I164" s="998">
        <v>5.089E16</v>
      </c>
      <c r="J164" s="998">
        <v>5.089E16</v>
      </c>
      <c r="K164" s="998">
        <v>5.089E16</v>
      </c>
      <c r="L164" s="998">
        <v>5.089E16</v>
      </c>
      <c r="M164" s="999">
        <v>1.0587E20</v>
      </c>
      <c r="N164" s="998">
        <v>5.089E16</v>
      </c>
      <c r="O164" s="999">
        <v>1.0587E20</v>
      </c>
      <c r="P164" s="999">
        <v>1.0587E20</v>
      </c>
      <c r="Q164" s="1000"/>
      <c r="R164" s="998">
        <v>5.089E16</v>
      </c>
      <c r="S164" s="1000"/>
    </row>
    <row r="165">
      <c r="A165" s="224"/>
      <c r="B165" s="998">
        <v>5.276E16</v>
      </c>
      <c r="C165" s="998">
        <v>5.276E16</v>
      </c>
      <c r="D165" s="998">
        <v>5.276E16</v>
      </c>
      <c r="E165" s="998">
        <v>5.276E16</v>
      </c>
      <c r="F165" s="998">
        <v>5.276E16</v>
      </c>
      <c r="G165" s="1000"/>
      <c r="H165" s="998">
        <v>5.276E16</v>
      </c>
      <c r="I165" s="998">
        <v>5.276E16</v>
      </c>
      <c r="J165" s="998">
        <v>5.276E16</v>
      </c>
      <c r="K165" s="998">
        <v>5.276E16</v>
      </c>
      <c r="L165" s="998">
        <v>5.276E16</v>
      </c>
      <c r="M165" s="999">
        <v>1.1019E20</v>
      </c>
      <c r="N165" s="998">
        <v>5.276E16</v>
      </c>
      <c r="O165" s="999">
        <v>1.1019E20</v>
      </c>
      <c r="P165" s="999">
        <v>1.1019E20</v>
      </c>
      <c r="Q165" s="1000"/>
      <c r="R165" s="998">
        <v>5.276E16</v>
      </c>
      <c r="S165" s="1000"/>
    </row>
    <row r="166">
      <c r="A166" s="224"/>
      <c r="B166" s="998">
        <v>5.468E16</v>
      </c>
      <c r="C166" s="998">
        <v>5.468E16</v>
      </c>
      <c r="D166" s="998">
        <v>5.468E16</v>
      </c>
      <c r="E166" s="998">
        <v>5.468E16</v>
      </c>
      <c r="F166" s="998">
        <v>5.468E16</v>
      </c>
      <c r="G166" s="1000"/>
      <c r="H166" s="998">
        <v>5.468E16</v>
      </c>
      <c r="I166" s="998">
        <v>5.468E16</v>
      </c>
      <c r="J166" s="998">
        <v>5.468E16</v>
      </c>
      <c r="K166" s="998">
        <v>5.468E16</v>
      </c>
      <c r="L166" s="998">
        <v>5.468E16</v>
      </c>
      <c r="M166" s="999">
        <v>1.1465E20</v>
      </c>
      <c r="N166" s="998">
        <v>5.468E16</v>
      </c>
      <c r="O166" s="999">
        <v>1.1465E20</v>
      </c>
      <c r="P166" s="999">
        <v>1.1465E20</v>
      </c>
      <c r="Q166" s="1000"/>
      <c r="R166" s="998">
        <v>5.468E16</v>
      </c>
      <c r="S166" s="1000"/>
    </row>
    <row r="167">
      <c r="A167" s="224"/>
      <c r="B167" s="998">
        <v>5.666E16</v>
      </c>
      <c r="C167" s="998">
        <v>5.666E16</v>
      </c>
      <c r="D167" s="998">
        <v>5.666E16</v>
      </c>
      <c r="E167" s="998">
        <v>5.666E16</v>
      </c>
      <c r="F167" s="998">
        <v>5.666E16</v>
      </c>
      <c r="G167" s="1000"/>
      <c r="H167" s="998">
        <v>5.666E16</v>
      </c>
      <c r="I167" s="998">
        <v>5.666E16</v>
      </c>
      <c r="J167" s="998">
        <v>5.666E16</v>
      </c>
      <c r="K167" s="998">
        <v>5.666E16</v>
      </c>
      <c r="L167" s="998">
        <v>5.666E16</v>
      </c>
      <c r="M167" s="999">
        <v>1.1926E20</v>
      </c>
      <c r="N167" s="998">
        <v>5.666E16</v>
      </c>
      <c r="O167" s="999">
        <v>1.1926E20</v>
      </c>
      <c r="P167" s="999">
        <v>1.1926E20</v>
      </c>
      <c r="Q167" s="1000"/>
      <c r="R167" s="998">
        <v>5.666E16</v>
      </c>
      <c r="S167" s="1000"/>
    </row>
    <row r="168">
      <c r="A168" s="224"/>
      <c r="B168" s="998">
        <v>5.87E16</v>
      </c>
      <c r="C168" s="998">
        <v>5.87E16</v>
      </c>
      <c r="D168" s="998">
        <v>5.87E16</v>
      </c>
      <c r="E168" s="998">
        <v>5.87E16</v>
      </c>
      <c r="F168" s="998">
        <v>5.87E16</v>
      </c>
      <c r="G168" s="1000"/>
      <c r="H168" s="998">
        <v>5.87E16</v>
      </c>
      <c r="I168" s="998">
        <v>5.87E16</v>
      </c>
      <c r="J168" s="998">
        <v>5.87E16</v>
      </c>
      <c r="K168" s="998">
        <v>5.87E16</v>
      </c>
      <c r="L168" s="998">
        <v>5.87E16</v>
      </c>
      <c r="M168" s="999">
        <v>1.2402E20</v>
      </c>
      <c r="N168" s="998">
        <v>5.87E16</v>
      </c>
      <c r="O168" s="999">
        <v>1.2402E20</v>
      </c>
      <c r="P168" s="999">
        <v>1.2402E20</v>
      </c>
      <c r="Q168" s="1000"/>
      <c r="R168" s="998">
        <v>5.87E16</v>
      </c>
      <c r="S168" s="1000"/>
    </row>
    <row r="169">
      <c r="A169" s="224"/>
      <c r="B169" s="998">
        <v>6.08E16</v>
      </c>
      <c r="C169" s="998">
        <v>6.08E16</v>
      </c>
      <c r="D169" s="998">
        <v>6.08E16</v>
      </c>
      <c r="E169" s="998">
        <v>6.08E16</v>
      </c>
      <c r="F169" s="998">
        <v>6.08E16</v>
      </c>
      <c r="G169" s="1000"/>
      <c r="H169" s="998">
        <v>6.08E16</v>
      </c>
      <c r="I169" s="998">
        <v>6.08E16</v>
      </c>
      <c r="J169" s="998">
        <v>6.08E16</v>
      </c>
      <c r="K169" s="998">
        <v>6.08E16</v>
      </c>
      <c r="L169" s="998">
        <v>6.08E16</v>
      </c>
      <c r="M169" s="999">
        <v>1.2893E20</v>
      </c>
      <c r="N169" s="998">
        <v>6.08E16</v>
      </c>
      <c r="O169" s="999">
        <v>1.2893E20</v>
      </c>
      <c r="P169" s="999">
        <v>1.2893E20</v>
      </c>
      <c r="Q169" s="1000"/>
      <c r="R169" s="998">
        <v>6.08E16</v>
      </c>
      <c r="S169" s="1000"/>
    </row>
    <row r="170">
      <c r="A170" s="224"/>
      <c r="B170" s="998">
        <v>6.296E16</v>
      </c>
      <c r="C170" s="998">
        <v>6.296E16</v>
      </c>
      <c r="D170" s="998">
        <v>6.296E16</v>
      </c>
      <c r="E170" s="998">
        <v>6.296E16</v>
      </c>
      <c r="F170" s="998">
        <v>6.296E16</v>
      </c>
      <c r="G170" s="1000"/>
      <c r="H170" s="998">
        <v>6.296E16</v>
      </c>
      <c r="I170" s="998">
        <v>6.296E16</v>
      </c>
      <c r="J170" s="998">
        <v>6.296E16</v>
      </c>
      <c r="K170" s="998">
        <v>6.296E16</v>
      </c>
      <c r="L170" s="998">
        <v>6.296E16</v>
      </c>
      <c r="M170" s="999">
        <v>1.3401E20</v>
      </c>
      <c r="N170" s="998">
        <v>6.296E16</v>
      </c>
      <c r="O170" s="999">
        <v>1.3401E20</v>
      </c>
      <c r="P170" s="999">
        <v>1.3401E20</v>
      </c>
      <c r="Q170" s="1000"/>
      <c r="R170" s="998">
        <v>6.296E16</v>
      </c>
      <c r="S170" s="1000"/>
    </row>
    <row r="171">
      <c r="A171" s="224"/>
      <c r="B171" s="998">
        <v>6.518E16</v>
      </c>
      <c r="C171" s="998">
        <v>6.518E16</v>
      </c>
      <c r="D171" s="998">
        <v>6.518E16</v>
      </c>
      <c r="E171" s="998">
        <v>6.518E16</v>
      </c>
      <c r="F171" s="998">
        <v>6.518E16</v>
      </c>
      <c r="G171" s="1000"/>
      <c r="H171" s="998">
        <v>6.518E16</v>
      </c>
      <c r="I171" s="998">
        <v>6.518E16</v>
      </c>
      <c r="J171" s="998">
        <v>6.518E16</v>
      </c>
      <c r="K171" s="998">
        <v>6.518E16</v>
      </c>
      <c r="L171" s="998">
        <v>6.518E16</v>
      </c>
      <c r="M171" s="999">
        <v>1.3924E20</v>
      </c>
      <c r="N171" s="998">
        <v>6.518E16</v>
      </c>
      <c r="O171" s="999">
        <v>1.3924E20</v>
      </c>
      <c r="P171" s="999">
        <v>1.3924E20</v>
      </c>
      <c r="Q171" s="1000"/>
      <c r="R171" s="998">
        <v>6.518E16</v>
      </c>
      <c r="S171" s="1000"/>
    </row>
    <row r="172">
      <c r="A172" s="224"/>
      <c r="B172" s="998">
        <v>6.746E16</v>
      </c>
      <c r="C172" s="998">
        <v>6.746E16</v>
      </c>
      <c r="D172" s="998">
        <v>6.746E16</v>
      </c>
      <c r="E172" s="998">
        <v>6.746E16</v>
      </c>
      <c r="F172" s="998">
        <v>6.746E16</v>
      </c>
      <c r="G172" s="1000"/>
      <c r="H172" s="998">
        <v>6.746E16</v>
      </c>
      <c r="I172" s="998">
        <v>6.746E16</v>
      </c>
      <c r="J172" s="998">
        <v>6.746E16</v>
      </c>
      <c r="K172" s="998">
        <v>6.746E16</v>
      </c>
      <c r="L172" s="998">
        <v>6.746E16</v>
      </c>
      <c r="M172" s="999">
        <v>1.4465E20</v>
      </c>
      <c r="N172" s="998">
        <v>6.746E16</v>
      </c>
      <c r="O172" s="999">
        <v>1.4465E20</v>
      </c>
      <c r="P172" s="999">
        <v>1.4465E20</v>
      </c>
      <c r="Q172" s="1000"/>
      <c r="R172" s="998">
        <v>6.746E16</v>
      </c>
      <c r="S172" s="1000"/>
    </row>
    <row r="173">
      <c r="A173" s="224"/>
      <c r="B173" s="998">
        <v>6.98E16</v>
      </c>
      <c r="C173" s="998">
        <v>6.98E16</v>
      </c>
      <c r="D173" s="998">
        <v>6.98E16</v>
      </c>
      <c r="E173" s="998">
        <v>6.98E16</v>
      </c>
      <c r="F173" s="998">
        <v>6.98E16</v>
      </c>
      <c r="G173" s="1000"/>
      <c r="H173" s="998">
        <v>6.98E16</v>
      </c>
      <c r="I173" s="998">
        <v>6.98E16</v>
      </c>
      <c r="J173" s="998">
        <v>6.98E16</v>
      </c>
      <c r="K173" s="998">
        <v>6.98E16</v>
      </c>
      <c r="L173" s="998">
        <v>6.98E16</v>
      </c>
      <c r="M173" s="999">
        <v>1.5023E20</v>
      </c>
      <c r="N173" s="998">
        <v>6.98E16</v>
      </c>
      <c r="O173" s="999">
        <v>1.5023E20</v>
      </c>
      <c r="P173" s="999">
        <v>1.5023E20</v>
      </c>
      <c r="Q173" s="1000"/>
      <c r="R173" s="998">
        <v>6.98E16</v>
      </c>
      <c r="S173" s="1000"/>
    </row>
    <row r="174">
      <c r="A174" s="224"/>
      <c r="B174" s="998">
        <v>7.221E16</v>
      </c>
      <c r="C174" s="998">
        <v>7.221E16</v>
      </c>
      <c r="D174" s="998">
        <v>7.221E16</v>
      </c>
      <c r="E174" s="998">
        <v>7.221E16</v>
      </c>
      <c r="F174" s="998">
        <v>7.221E16</v>
      </c>
      <c r="G174" s="1000"/>
      <c r="H174" s="998">
        <v>7.221E16</v>
      </c>
      <c r="I174" s="998">
        <v>7.221E16</v>
      </c>
      <c r="J174" s="998">
        <v>7.221E16</v>
      </c>
      <c r="K174" s="998">
        <v>7.221E16</v>
      </c>
      <c r="L174" s="998">
        <v>7.221E16</v>
      </c>
      <c r="M174" s="999">
        <v>1.5598E20</v>
      </c>
      <c r="N174" s="998">
        <v>7.221E16</v>
      </c>
      <c r="O174" s="999">
        <v>1.5598E20</v>
      </c>
      <c r="P174" s="999">
        <v>1.5598E20</v>
      </c>
      <c r="Q174" s="1000"/>
      <c r="R174" s="998">
        <v>7.221E16</v>
      </c>
      <c r="S174" s="1000"/>
    </row>
    <row r="175">
      <c r="A175" s="224"/>
      <c r="B175" s="998">
        <v>7.469E16</v>
      </c>
      <c r="C175" s="998">
        <v>7.469E16</v>
      </c>
      <c r="D175" s="998">
        <v>7.469E16</v>
      </c>
      <c r="E175" s="998">
        <v>7.469E16</v>
      </c>
      <c r="F175" s="998">
        <v>7.469E16</v>
      </c>
      <c r="G175" s="1000"/>
      <c r="H175" s="998">
        <v>7.469E16</v>
      </c>
      <c r="I175" s="998">
        <v>7.469E16</v>
      </c>
      <c r="J175" s="998">
        <v>7.469E16</v>
      </c>
      <c r="K175" s="998">
        <v>7.469E16</v>
      </c>
      <c r="L175" s="998">
        <v>7.469E16</v>
      </c>
      <c r="M175" s="999">
        <v>1.6192E20</v>
      </c>
      <c r="N175" s="998">
        <v>7.469E16</v>
      </c>
      <c r="O175" s="999">
        <v>1.6192E20</v>
      </c>
      <c r="P175" s="999">
        <v>1.6192E20</v>
      </c>
      <c r="Q175" s="1000"/>
      <c r="R175" s="998">
        <v>7.469E16</v>
      </c>
      <c r="S175" s="1000"/>
    </row>
    <row r="176">
      <c r="A176" s="224"/>
      <c r="B176" s="998">
        <v>7.723E16</v>
      </c>
      <c r="C176" s="998">
        <v>7.723E16</v>
      </c>
      <c r="D176" s="998">
        <v>7.723E16</v>
      </c>
      <c r="E176" s="998">
        <v>7.723E16</v>
      </c>
      <c r="F176" s="998">
        <v>7.723E16</v>
      </c>
      <c r="G176" s="1000"/>
      <c r="H176" s="998">
        <v>7.723E16</v>
      </c>
      <c r="I176" s="998">
        <v>7.723E16</v>
      </c>
      <c r="J176" s="998">
        <v>7.723E16</v>
      </c>
      <c r="K176" s="998">
        <v>7.723E16</v>
      </c>
      <c r="L176" s="998">
        <v>7.723E16</v>
      </c>
      <c r="M176" s="999">
        <v>1.6804E20</v>
      </c>
      <c r="N176" s="998">
        <v>7.723E16</v>
      </c>
      <c r="O176" s="999">
        <v>1.6804E20</v>
      </c>
      <c r="P176" s="999">
        <v>1.6804E20</v>
      </c>
      <c r="Q176" s="1000"/>
      <c r="R176" s="998">
        <v>7.723E16</v>
      </c>
      <c r="S176" s="1000"/>
    </row>
    <row r="177">
      <c r="A177" s="224"/>
      <c r="B177" s="998">
        <v>7.985E16</v>
      </c>
      <c r="C177" s="998">
        <v>7.985E16</v>
      </c>
      <c r="D177" s="998">
        <v>7.985E16</v>
      </c>
      <c r="E177" s="998">
        <v>7.985E16</v>
      </c>
      <c r="F177" s="998">
        <v>7.985E16</v>
      </c>
      <c r="G177" s="1000"/>
      <c r="H177" s="998">
        <v>7.985E16</v>
      </c>
      <c r="I177" s="998">
        <v>7.985E16</v>
      </c>
      <c r="J177" s="998">
        <v>7.985E16</v>
      </c>
      <c r="K177" s="998">
        <v>7.985E16</v>
      </c>
      <c r="L177" s="998">
        <v>7.985E16</v>
      </c>
      <c r="M177" s="999">
        <v>1.7435E20</v>
      </c>
      <c r="N177" s="998">
        <v>7.985E16</v>
      </c>
      <c r="O177" s="999">
        <v>1.7435E20</v>
      </c>
      <c r="P177" s="999">
        <v>1.7435E20</v>
      </c>
      <c r="Q177" s="1000"/>
      <c r="R177" s="998">
        <v>7.985E16</v>
      </c>
      <c r="S177" s="1000"/>
    </row>
    <row r="178">
      <c r="A178" s="224"/>
      <c r="B178" s="998">
        <v>8.253E16</v>
      </c>
      <c r="C178" s="998">
        <v>8.253E16</v>
      </c>
      <c r="D178" s="998">
        <v>8.253E16</v>
      </c>
      <c r="E178" s="998">
        <v>8.253E16</v>
      </c>
      <c r="F178" s="998">
        <v>8.253E16</v>
      </c>
      <c r="G178" s="1000"/>
      <c r="H178" s="998">
        <v>8.253E16</v>
      </c>
      <c r="I178" s="998">
        <v>8.253E16</v>
      </c>
      <c r="J178" s="998">
        <v>8.253E16</v>
      </c>
      <c r="K178" s="998">
        <v>8.253E16</v>
      </c>
      <c r="L178" s="998">
        <v>8.253E16</v>
      </c>
      <c r="M178" s="999">
        <v>1.8085E20</v>
      </c>
      <c r="N178" s="998">
        <v>8.253E16</v>
      </c>
      <c r="O178" s="999">
        <v>1.8085E20</v>
      </c>
      <c r="P178" s="999">
        <v>1.8085E20</v>
      </c>
      <c r="Q178" s="1000"/>
      <c r="R178" s="998">
        <v>8.253E16</v>
      </c>
      <c r="S178" s="1000"/>
    </row>
    <row r="179">
      <c r="A179" s="224"/>
      <c r="B179" s="998">
        <v>8.529E16</v>
      </c>
      <c r="C179" s="998">
        <v>8.529E16</v>
      </c>
      <c r="D179" s="998">
        <v>8.529E16</v>
      </c>
      <c r="E179" s="998">
        <v>8.529E16</v>
      </c>
      <c r="F179" s="998">
        <v>8.529E16</v>
      </c>
      <c r="G179" s="1000"/>
      <c r="H179" s="998">
        <v>8.529E16</v>
      </c>
      <c r="I179" s="998">
        <v>8.529E16</v>
      </c>
      <c r="J179" s="998">
        <v>8.529E16</v>
      </c>
      <c r="K179" s="998">
        <v>8.529E16</v>
      </c>
      <c r="L179" s="998">
        <v>8.529E16</v>
      </c>
      <c r="M179" s="999">
        <v>1.8756E20</v>
      </c>
      <c r="N179" s="998">
        <v>8.529E16</v>
      </c>
      <c r="O179" s="999">
        <v>1.8756E20</v>
      </c>
      <c r="P179" s="999">
        <v>1.8756E20</v>
      </c>
      <c r="Q179" s="1000"/>
      <c r="R179" s="998">
        <v>8.529E16</v>
      </c>
      <c r="S179" s="1000"/>
    </row>
    <row r="180">
      <c r="A180" s="224"/>
      <c r="B180" s="998">
        <v>8.812E16</v>
      </c>
      <c r="C180" s="998">
        <v>8.812E16</v>
      </c>
      <c r="D180" s="998">
        <v>8.812E16</v>
      </c>
      <c r="E180" s="998">
        <v>8.812E16</v>
      </c>
      <c r="F180" s="998">
        <v>8.812E16</v>
      </c>
      <c r="G180" s="1000"/>
      <c r="H180" s="998">
        <v>8.812E16</v>
      </c>
      <c r="I180" s="998">
        <v>8.812E16</v>
      </c>
      <c r="J180" s="998">
        <v>8.812E16</v>
      </c>
      <c r="K180" s="998">
        <v>8.812E16</v>
      </c>
      <c r="L180" s="998">
        <v>8.812E16</v>
      </c>
      <c r="M180" s="999">
        <v>1.9446E20</v>
      </c>
      <c r="N180" s="998">
        <v>8.812E16</v>
      </c>
      <c r="O180" s="999">
        <v>1.9446E20</v>
      </c>
      <c r="P180" s="999">
        <v>1.9446E20</v>
      </c>
      <c r="Q180" s="1000"/>
      <c r="R180" s="998">
        <v>8.812E16</v>
      </c>
      <c r="S180" s="1000"/>
    </row>
    <row r="181">
      <c r="A181" s="224"/>
      <c r="B181" s="998">
        <v>9.103E16</v>
      </c>
      <c r="C181" s="998">
        <v>9.103E16</v>
      </c>
      <c r="D181" s="998">
        <v>9.103E16</v>
      </c>
      <c r="E181" s="998">
        <v>9.103E16</v>
      </c>
      <c r="F181" s="998">
        <v>9.103E16</v>
      </c>
      <c r="G181" s="1000"/>
      <c r="H181" s="998">
        <v>9.103E16</v>
      </c>
      <c r="I181" s="998">
        <v>9.103E16</v>
      </c>
      <c r="J181" s="998">
        <v>9.103E16</v>
      </c>
      <c r="K181" s="998">
        <v>9.103E16</v>
      </c>
      <c r="L181" s="998">
        <v>9.103E16</v>
      </c>
      <c r="M181" s="999">
        <v>2.0158E20</v>
      </c>
      <c r="N181" s="998">
        <v>9.103E16</v>
      </c>
      <c r="O181" s="999">
        <v>2.0158E20</v>
      </c>
      <c r="P181" s="999">
        <v>2.0158E20</v>
      </c>
      <c r="Q181" s="1000"/>
      <c r="R181" s="998">
        <v>9.103E16</v>
      </c>
      <c r="S181" s="1000"/>
    </row>
    <row r="182">
      <c r="A182" s="224"/>
      <c r="B182" s="998">
        <v>9.401E16</v>
      </c>
      <c r="C182" s="998">
        <v>9.401E16</v>
      </c>
      <c r="D182" s="998">
        <v>9.401E16</v>
      </c>
      <c r="E182" s="998">
        <v>9.401E16</v>
      </c>
      <c r="F182" s="998">
        <v>9.401E16</v>
      </c>
      <c r="G182" s="1000"/>
      <c r="H182" s="998">
        <v>9.401E16</v>
      </c>
      <c r="I182" s="998">
        <v>9.401E16</v>
      </c>
      <c r="J182" s="998">
        <v>9.401E16</v>
      </c>
      <c r="K182" s="998">
        <v>9.401E16</v>
      </c>
      <c r="L182" s="998">
        <v>9.401E16</v>
      </c>
      <c r="M182" s="999">
        <v>2.0891E20</v>
      </c>
      <c r="N182" s="998">
        <v>9.401E16</v>
      </c>
      <c r="O182" s="999">
        <v>2.0891E20</v>
      </c>
      <c r="P182" s="999">
        <v>2.0891E20</v>
      </c>
      <c r="Q182" s="1000"/>
      <c r="R182" s="998">
        <v>9.401E16</v>
      </c>
      <c r="S182" s="1000"/>
    </row>
    <row r="183">
      <c r="A183" s="224"/>
      <c r="B183" s="998">
        <v>9.707E16</v>
      </c>
      <c r="C183" s="998">
        <v>9.707E16</v>
      </c>
      <c r="D183" s="998">
        <v>9.707E16</v>
      </c>
      <c r="E183" s="998">
        <v>9.707E16</v>
      </c>
      <c r="F183" s="998">
        <v>9.707E16</v>
      </c>
      <c r="G183" s="1000"/>
      <c r="H183" s="998">
        <v>9.707E16</v>
      </c>
      <c r="I183" s="998">
        <v>9.707E16</v>
      </c>
      <c r="J183" s="998">
        <v>9.707E16</v>
      </c>
      <c r="K183" s="998">
        <v>9.707E16</v>
      </c>
      <c r="L183" s="998">
        <v>9.707E16</v>
      </c>
      <c r="M183" s="999">
        <v>2.1646E20</v>
      </c>
      <c r="N183" s="998">
        <v>9.707E16</v>
      </c>
      <c r="O183" s="999">
        <v>2.1646E20</v>
      </c>
      <c r="P183" s="999">
        <v>2.1646E20</v>
      </c>
      <c r="Q183" s="1000"/>
      <c r="R183" s="998">
        <v>9.707E16</v>
      </c>
      <c r="S183" s="1000"/>
    </row>
    <row r="184">
      <c r="A184" s="224"/>
      <c r="B184" s="998">
        <v>1.0022E17</v>
      </c>
      <c r="C184" s="998">
        <v>1.0022E17</v>
      </c>
      <c r="D184" s="998">
        <v>1.0022E17</v>
      </c>
      <c r="E184" s="998">
        <v>1.0022E17</v>
      </c>
      <c r="F184" s="998">
        <v>1.0022E17</v>
      </c>
      <c r="G184" s="1000"/>
      <c r="H184" s="998">
        <v>1.0022E17</v>
      </c>
      <c r="I184" s="998">
        <v>1.0022E17</v>
      </c>
      <c r="J184" s="998">
        <v>1.0022E17</v>
      </c>
      <c r="K184" s="998">
        <v>1.0022E17</v>
      </c>
      <c r="L184" s="998">
        <v>1.0022E17</v>
      </c>
      <c r="M184" s="999">
        <v>2.2423E20</v>
      </c>
      <c r="N184" s="998">
        <v>1.0022E17</v>
      </c>
      <c r="O184" s="999">
        <v>2.2423E20</v>
      </c>
      <c r="P184" s="999">
        <v>2.2423E20</v>
      </c>
      <c r="Q184" s="1000"/>
      <c r="R184" s="998">
        <v>1.0022E17</v>
      </c>
      <c r="S184" s="1000"/>
    </row>
    <row r="185">
      <c r="A185" s="224"/>
      <c r="B185" s="998">
        <v>1.0344E17</v>
      </c>
      <c r="C185" s="998">
        <v>1.0344E17</v>
      </c>
      <c r="D185" s="998">
        <v>1.0344E17</v>
      </c>
      <c r="E185" s="998">
        <v>1.0344E17</v>
      </c>
      <c r="F185" s="998">
        <v>1.0344E17</v>
      </c>
      <c r="G185" s="1000"/>
      <c r="H185" s="998">
        <v>1.0344E17</v>
      </c>
      <c r="I185" s="998">
        <v>1.0344E17</v>
      </c>
      <c r="J185" s="998">
        <v>1.0344E17</v>
      </c>
      <c r="K185" s="998">
        <v>1.0344E17</v>
      </c>
      <c r="L185" s="998">
        <v>1.0344E17</v>
      </c>
      <c r="M185" s="999">
        <v>2.3223E20</v>
      </c>
      <c r="N185" s="998">
        <v>1.0344E17</v>
      </c>
      <c r="O185" s="999">
        <v>2.3223E20</v>
      </c>
      <c r="P185" s="999">
        <v>2.3223E20</v>
      </c>
      <c r="Q185" s="1000"/>
      <c r="R185" s="998">
        <v>1.0344E17</v>
      </c>
      <c r="S185" s="1000"/>
    </row>
    <row r="186">
      <c r="A186" s="224"/>
      <c r="B186" s="998">
        <v>1.0674E17</v>
      </c>
      <c r="C186" s="998">
        <v>1.0674E17</v>
      </c>
      <c r="D186" s="998">
        <v>1.0674E17</v>
      </c>
      <c r="E186" s="998">
        <v>1.0674E17</v>
      </c>
      <c r="F186" s="998">
        <v>1.0674E17</v>
      </c>
      <c r="G186" s="1000"/>
      <c r="H186" s="998">
        <v>1.0674E17</v>
      </c>
      <c r="I186" s="998">
        <v>1.0674E17</v>
      </c>
      <c r="J186" s="998">
        <v>1.0674E17</v>
      </c>
      <c r="K186" s="998">
        <v>1.0674E17</v>
      </c>
      <c r="L186" s="998">
        <v>1.0674E17</v>
      </c>
      <c r="M186" s="999">
        <v>2.4047E20</v>
      </c>
      <c r="N186" s="998">
        <v>1.0674E17</v>
      </c>
      <c r="O186" s="999">
        <v>2.4047E20</v>
      </c>
      <c r="P186" s="999">
        <v>2.4047E20</v>
      </c>
      <c r="Q186" s="1000"/>
      <c r="R186" s="998">
        <v>1.0674E17</v>
      </c>
      <c r="S186" s="1000"/>
    </row>
    <row r="187">
      <c r="A187" s="224"/>
      <c r="B187" s="998">
        <v>1.1013E17</v>
      </c>
      <c r="C187" s="998">
        <v>1.1013E17</v>
      </c>
      <c r="D187" s="998">
        <v>1.1013E17</v>
      </c>
      <c r="E187" s="998">
        <v>1.1013E17</v>
      </c>
      <c r="F187" s="998">
        <v>1.1013E17</v>
      </c>
      <c r="G187" s="1000"/>
      <c r="H187" s="998">
        <v>1.1013E17</v>
      </c>
      <c r="I187" s="998">
        <v>1.1013E17</v>
      </c>
      <c r="J187" s="998">
        <v>1.1013E17</v>
      </c>
      <c r="K187" s="998">
        <v>1.1013E17</v>
      </c>
      <c r="L187" s="998">
        <v>1.1013E17</v>
      </c>
      <c r="M187" s="999">
        <v>2.4894E20</v>
      </c>
      <c r="N187" s="998">
        <v>1.1013E17</v>
      </c>
      <c r="O187" s="999">
        <v>2.4894E20</v>
      </c>
      <c r="P187" s="999">
        <v>2.4894E20</v>
      </c>
      <c r="Q187" s="1000"/>
      <c r="R187" s="998">
        <v>1.1013E17</v>
      </c>
      <c r="S187" s="1000"/>
    </row>
    <row r="188">
      <c r="A188" s="224"/>
      <c r="B188" s="998">
        <v>1.1361E17</v>
      </c>
      <c r="C188" s="998">
        <v>1.1361E17</v>
      </c>
      <c r="D188" s="998">
        <v>1.1361E17</v>
      </c>
      <c r="E188" s="998">
        <v>1.1361E17</v>
      </c>
      <c r="F188" s="998">
        <v>1.1361E17</v>
      </c>
      <c r="G188" s="1000"/>
      <c r="H188" s="998">
        <v>1.1361E17</v>
      </c>
      <c r="I188" s="998">
        <v>1.1361E17</v>
      </c>
      <c r="J188" s="998">
        <v>1.1361E17</v>
      </c>
      <c r="K188" s="998">
        <v>1.1361E17</v>
      </c>
      <c r="L188" s="998">
        <v>1.1361E17</v>
      </c>
      <c r="M188" s="999">
        <v>2.5766E20</v>
      </c>
      <c r="N188" s="998">
        <v>1.1361E17</v>
      </c>
      <c r="O188" s="999">
        <v>2.5766E20</v>
      </c>
      <c r="P188" s="999">
        <v>2.5766E20</v>
      </c>
      <c r="Q188" s="1000"/>
      <c r="R188" s="998">
        <v>1.1361E17</v>
      </c>
      <c r="S188" s="1000"/>
    </row>
    <row r="189">
      <c r="A189" s="224"/>
      <c r="B189" s="998">
        <v>1.1718E17</v>
      </c>
      <c r="C189" s="998">
        <v>1.1718E17</v>
      </c>
      <c r="D189" s="998">
        <v>1.1718E17</v>
      </c>
      <c r="E189" s="998">
        <v>1.1718E17</v>
      </c>
      <c r="F189" s="998">
        <v>1.1718E17</v>
      </c>
      <c r="G189" s="1000"/>
      <c r="H189" s="998">
        <v>1.1718E17</v>
      </c>
      <c r="I189" s="998">
        <v>1.1718E17</v>
      </c>
      <c r="J189" s="998">
        <v>1.1718E17</v>
      </c>
      <c r="K189" s="998">
        <v>1.1718E17</v>
      </c>
      <c r="L189" s="998">
        <v>1.1718E17</v>
      </c>
      <c r="M189" s="999">
        <v>2.6663E20</v>
      </c>
      <c r="N189" s="998">
        <v>1.1718E17</v>
      </c>
      <c r="O189" s="999">
        <v>2.6663E20</v>
      </c>
      <c r="P189" s="999">
        <v>2.6663E20</v>
      </c>
      <c r="Q189" s="1000"/>
      <c r="R189" s="998">
        <v>1.1718E17</v>
      </c>
      <c r="S189" s="1000"/>
    </row>
    <row r="190">
      <c r="A190" s="224"/>
      <c r="B190" s="998">
        <v>1.2083E17</v>
      </c>
      <c r="C190" s="998">
        <v>1.2083E17</v>
      </c>
      <c r="D190" s="998">
        <v>1.2083E17</v>
      </c>
      <c r="E190" s="998">
        <v>1.2083E17</v>
      </c>
      <c r="F190" s="998">
        <v>1.2083E17</v>
      </c>
      <c r="G190" s="1000"/>
      <c r="H190" s="998">
        <v>1.2083E17</v>
      </c>
      <c r="I190" s="998">
        <v>1.2083E17</v>
      </c>
      <c r="J190" s="998">
        <v>1.2083E17</v>
      </c>
      <c r="K190" s="998">
        <v>1.2083E17</v>
      </c>
      <c r="L190" s="998">
        <v>1.2083E17</v>
      </c>
      <c r="M190" s="999">
        <v>2.7586E20</v>
      </c>
      <c r="N190" s="998">
        <v>1.2083E17</v>
      </c>
      <c r="O190" s="999">
        <v>2.7586E20</v>
      </c>
      <c r="P190" s="999">
        <v>2.7586E20</v>
      </c>
      <c r="Q190" s="1000"/>
      <c r="R190" s="998">
        <v>1.2083E17</v>
      </c>
      <c r="S190" s="1000"/>
    </row>
    <row r="191">
      <c r="A191" s="224"/>
      <c r="B191" s="998">
        <v>1.2458E17</v>
      </c>
      <c r="C191" s="998">
        <v>1.2458E17</v>
      </c>
      <c r="D191" s="998">
        <v>1.2458E17</v>
      </c>
      <c r="E191" s="998">
        <v>1.2458E17</v>
      </c>
      <c r="F191" s="998">
        <v>1.2458E17</v>
      </c>
      <c r="G191" s="1000"/>
      <c r="H191" s="998">
        <v>1.2458E17</v>
      </c>
      <c r="I191" s="998">
        <v>1.2458E17</v>
      </c>
      <c r="J191" s="998">
        <v>1.2458E17</v>
      </c>
      <c r="K191" s="998">
        <v>1.2458E17</v>
      </c>
      <c r="L191" s="998">
        <v>1.2458E17</v>
      </c>
      <c r="M191" s="999">
        <v>2.8535E20</v>
      </c>
      <c r="N191" s="998">
        <v>1.2458E17</v>
      </c>
      <c r="O191" s="999">
        <v>2.8535E20</v>
      </c>
      <c r="P191" s="999">
        <v>2.8535E20</v>
      </c>
      <c r="Q191" s="1000"/>
      <c r="R191" s="998">
        <v>1.2458E17</v>
      </c>
      <c r="S191" s="1000"/>
    </row>
    <row r="192">
      <c r="A192" s="224"/>
      <c r="B192" s="998">
        <v>1.2841E17</v>
      </c>
      <c r="C192" s="998">
        <v>1.2841E17</v>
      </c>
      <c r="D192" s="998">
        <v>1.2841E17</v>
      </c>
      <c r="E192" s="998">
        <v>1.2841E17</v>
      </c>
      <c r="F192" s="998">
        <v>1.2841E17</v>
      </c>
      <c r="G192" s="1000"/>
      <c r="H192" s="998">
        <v>1.2841E17</v>
      </c>
      <c r="I192" s="998">
        <v>1.2841E17</v>
      </c>
      <c r="J192" s="998">
        <v>1.2841E17</v>
      </c>
      <c r="K192" s="998">
        <v>1.2841E17</v>
      </c>
      <c r="L192" s="998">
        <v>1.2841E17</v>
      </c>
      <c r="M192" s="999">
        <v>2.9511E20</v>
      </c>
      <c r="N192" s="998">
        <v>1.2841E17</v>
      </c>
      <c r="O192" s="999">
        <v>2.9511E20</v>
      </c>
      <c r="P192" s="999">
        <v>2.9511E20</v>
      </c>
      <c r="Q192" s="1000"/>
      <c r="R192" s="998">
        <v>1.2841E17</v>
      </c>
      <c r="S192" s="1000"/>
    </row>
    <row r="193">
      <c r="A193" s="224"/>
      <c r="B193" s="998">
        <v>1.3235E17</v>
      </c>
      <c r="C193" s="998">
        <v>1.3235E17</v>
      </c>
      <c r="D193" s="998">
        <v>1.3235E17</v>
      </c>
      <c r="E193" s="998">
        <v>1.3235E17</v>
      </c>
      <c r="F193" s="998">
        <v>1.3235E17</v>
      </c>
      <c r="G193" s="1000"/>
      <c r="H193" s="998">
        <v>1.3235E17</v>
      </c>
      <c r="I193" s="998">
        <v>1.3235E17</v>
      </c>
      <c r="J193" s="998">
        <v>1.3235E17</v>
      </c>
      <c r="K193" s="998">
        <v>1.3235E17</v>
      </c>
      <c r="L193" s="998">
        <v>1.3235E17</v>
      </c>
      <c r="M193" s="999">
        <v>3.0514E20</v>
      </c>
      <c r="N193" s="998">
        <v>1.3235E17</v>
      </c>
      <c r="O193" s="999">
        <v>3.0514E20</v>
      </c>
      <c r="P193" s="999">
        <v>3.0514E20</v>
      </c>
      <c r="Q193" s="1000"/>
      <c r="R193" s="998">
        <v>1.3235E17</v>
      </c>
      <c r="S193" s="1000"/>
    </row>
    <row r="194">
      <c r="A194" s="224"/>
      <c r="B194" s="998">
        <v>1.3638E17</v>
      </c>
      <c r="C194" s="998">
        <v>1.3638E17</v>
      </c>
      <c r="D194" s="998">
        <v>1.3638E17</v>
      </c>
      <c r="E194" s="998">
        <v>1.3638E17</v>
      </c>
      <c r="F194" s="998">
        <v>1.3638E17</v>
      </c>
      <c r="G194" s="1000"/>
      <c r="H194" s="998">
        <v>1.3638E17</v>
      </c>
      <c r="I194" s="998">
        <v>1.3638E17</v>
      </c>
      <c r="J194" s="998">
        <v>1.3638E17</v>
      </c>
      <c r="K194" s="998">
        <v>1.3638E17</v>
      </c>
      <c r="L194" s="998">
        <v>1.3638E17</v>
      </c>
      <c r="M194" s="999">
        <v>3.1545E20</v>
      </c>
      <c r="N194" s="998">
        <v>1.3638E17</v>
      </c>
      <c r="O194" s="999">
        <v>3.1545E20</v>
      </c>
      <c r="P194" s="999">
        <v>3.1545E20</v>
      </c>
      <c r="Q194" s="1000"/>
      <c r="R194" s="998">
        <v>1.3638E17</v>
      </c>
      <c r="S194" s="1000"/>
    </row>
    <row r="195">
      <c r="A195" s="224"/>
      <c r="B195" s="998">
        <v>1.4051E17</v>
      </c>
      <c r="C195" s="998">
        <v>1.4051E17</v>
      </c>
      <c r="D195" s="998">
        <v>1.4051E17</v>
      </c>
      <c r="E195" s="998">
        <v>1.4051E17</v>
      </c>
      <c r="F195" s="998">
        <v>1.4051E17</v>
      </c>
      <c r="G195" s="1000"/>
      <c r="H195" s="998">
        <v>1.4051E17</v>
      </c>
      <c r="I195" s="998">
        <v>1.4051E17</v>
      </c>
      <c r="J195" s="998">
        <v>1.4051E17</v>
      </c>
      <c r="K195" s="998">
        <v>1.4051E17</v>
      </c>
      <c r="L195" s="998">
        <v>1.4051E17</v>
      </c>
      <c r="M195" s="999">
        <v>3.2604E20</v>
      </c>
      <c r="N195" s="998">
        <v>1.4051E17</v>
      </c>
      <c r="O195" s="999">
        <v>3.2604E20</v>
      </c>
      <c r="P195" s="999">
        <v>3.2604E20</v>
      </c>
      <c r="Q195" s="1000"/>
      <c r="R195" s="998">
        <v>1.4051E17</v>
      </c>
      <c r="S195" s="1000"/>
    </row>
    <row r="196">
      <c r="A196" s="224"/>
      <c r="B196" s="998">
        <v>1.4473E17</v>
      </c>
      <c r="C196" s="998">
        <v>1.4473E17</v>
      </c>
      <c r="D196" s="998">
        <v>1.4473E17</v>
      </c>
      <c r="E196" s="998">
        <v>1.4473E17</v>
      </c>
      <c r="F196" s="998">
        <v>1.4473E17</v>
      </c>
      <c r="G196" s="1000"/>
      <c r="H196" s="998">
        <v>1.4473E17</v>
      </c>
      <c r="I196" s="998">
        <v>1.4473E17</v>
      </c>
      <c r="J196" s="998">
        <v>1.4473E17</v>
      </c>
      <c r="K196" s="998">
        <v>1.4473E17</v>
      </c>
      <c r="L196" s="998">
        <v>1.4473E17</v>
      </c>
      <c r="M196" s="999">
        <v>3.3693E20</v>
      </c>
      <c r="N196" s="998">
        <v>1.4473E17</v>
      </c>
      <c r="O196" s="999">
        <v>3.3693E20</v>
      </c>
      <c r="P196" s="999">
        <v>3.3693E20</v>
      </c>
      <c r="Q196" s="1000"/>
      <c r="R196" s="998">
        <v>1.4473E17</v>
      </c>
      <c r="S196" s="1000"/>
    </row>
    <row r="197">
      <c r="A197" s="224"/>
      <c r="B197" s="998">
        <v>1.4906E17</v>
      </c>
      <c r="C197" s="998">
        <v>1.4906E17</v>
      </c>
      <c r="D197" s="998">
        <v>1.4906E17</v>
      </c>
      <c r="E197" s="998">
        <v>1.4906E17</v>
      </c>
      <c r="F197" s="998">
        <v>1.4906E17</v>
      </c>
      <c r="G197" s="1000"/>
      <c r="H197" s="998">
        <v>1.4906E17</v>
      </c>
      <c r="I197" s="998">
        <v>1.4906E17</v>
      </c>
      <c r="J197" s="998">
        <v>1.4906E17</v>
      </c>
      <c r="K197" s="998">
        <v>1.4906E17</v>
      </c>
      <c r="L197" s="998">
        <v>1.4906E17</v>
      </c>
      <c r="M197" s="999">
        <v>3.4812E20</v>
      </c>
      <c r="N197" s="998">
        <v>1.4906E17</v>
      </c>
      <c r="O197" s="999">
        <v>3.4812E20</v>
      </c>
      <c r="P197" s="999">
        <v>3.4812E20</v>
      </c>
      <c r="Q197" s="1000"/>
      <c r="R197" s="998">
        <v>1.4906E17</v>
      </c>
      <c r="S197" s="1000"/>
    </row>
    <row r="198">
      <c r="A198" s="224"/>
      <c r="B198" s="998">
        <v>1.535E17</v>
      </c>
      <c r="C198" s="998">
        <v>1.535E17</v>
      </c>
      <c r="D198" s="998">
        <v>1.535E17</v>
      </c>
      <c r="E198" s="998">
        <v>1.535E17</v>
      </c>
      <c r="F198" s="998">
        <v>1.535E17</v>
      </c>
      <c r="G198" s="1000"/>
      <c r="H198" s="998">
        <v>1.535E17</v>
      </c>
      <c r="I198" s="998">
        <v>1.535E17</v>
      </c>
      <c r="J198" s="998">
        <v>1.535E17</v>
      </c>
      <c r="K198" s="998">
        <v>1.535E17</v>
      </c>
      <c r="L198" s="998">
        <v>1.535E17</v>
      </c>
      <c r="M198" s="999">
        <v>3.5962E20</v>
      </c>
      <c r="N198" s="998">
        <v>1.535E17</v>
      </c>
      <c r="O198" s="999">
        <v>3.5962E20</v>
      </c>
      <c r="P198" s="999">
        <v>3.5962E20</v>
      </c>
      <c r="Q198" s="1000"/>
      <c r="R198" s="998">
        <v>1.535E17</v>
      </c>
      <c r="S198" s="1000"/>
    </row>
    <row r="199">
      <c r="A199" s="224"/>
      <c r="B199" s="998">
        <v>1.5804E17</v>
      </c>
      <c r="C199" s="998">
        <v>1.5804E17</v>
      </c>
      <c r="D199" s="998">
        <v>1.5804E17</v>
      </c>
      <c r="E199" s="998">
        <v>1.5804E17</v>
      </c>
      <c r="F199" s="998">
        <v>1.5804E17</v>
      </c>
      <c r="G199" s="1000"/>
      <c r="H199" s="998">
        <v>1.5804E17</v>
      </c>
      <c r="I199" s="998">
        <v>1.5804E17</v>
      </c>
      <c r="J199" s="998">
        <v>1.5804E17</v>
      </c>
      <c r="K199" s="998">
        <v>1.5804E17</v>
      </c>
      <c r="L199" s="998">
        <v>1.5804E17</v>
      </c>
      <c r="M199" s="999">
        <v>3.7142E20</v>
      </c>
      <c r="N199" s="998">
        <v>1.5804E17</v>
      </c>
      <c r="O199" s="999">
        <v>3.7142E20</v>
      </c>
      <c r="P199" s="999">
        <v>3.7142E20</v>
      </c>
      <c r="Q199" s="1000"/>
      <c r="R199" s="998">
        <v>1.5804E17</v>
      </c>
      <c r="S199" s="1000"/>
    </row>
    <row r="200">
      <c r="A200" s="224"/>
      <c r="B200" s="998">
        <v>1.6269E17</v>
      </c>
      <c r="C200" s="998">
        <v>1.6269E17</v>
      </c>
      <c r="D200" s="998">
        <v>1.6269E17</v>
      </c>
      <c r="E200" s="998">
        <v>1.6269E17</v>
      </c>
      <c r="F200" s="998">
        <v>1.6269E17</v>
      </c>
      <c r="G200" s="1000"/>
      <c r="H200" s="998">
        <v>1.6269E17</v>
      </c>
      <c r="I200" s="998">
        <v>1.6269E17</v>
      </c>
      <c r="J200" s="998">
        <v>1.6269E17</v>
      </c>
      <c r="K200" s="998">
        <v>1.6269E17</v>
      </c>
      <c r="L200" s="998">
        <v>1.6269E17</v>
      </c>
      <c r="M200" s="999">
        <v>3.8354E20</v>
      </c>
      <c r="N200" s="998">
        <v>1.6269E17</v>
      </c>
      <c r="O200" s="999">
        <v>3.8354E20</v>
      </c>
      <c r="P200" s="999">
        <v>3.8354E20</v>
      </c>
      <c r="Q200" s="1000"/>
      <c r="R200" s="998">
        <v>1.6269E17</v>
      </c>
      <c r="S200" s="1000"/>
    </row>
    <row r="201">
      <c r="A201" s="224"/>
      <c r="B201" s="998">
        <v>1.6744E17</v>
      </c>
      <c r="C201" s="998">
        <v>1.6744E17</v>
      </c>
      <c r="D201" s="998">
        <v>1.6744E17</v>
      </c>
      <c r="E201" s="998">
        <v>1.6744E17</v>
      </c>
      <c r="F201" s="998">
        <v>1.6744E17</v>
      </c>
      <c r="G201" s="1000"/>
      <c r="H201" s="998">
        <v>1.6744E17</v>
      </c>
      <c r="I201" s="998">
        <v>1.6744E17</v>
      </c>
      <c r="J201" s="998">
        <v>1.6744E17</v>
      </c>
      <c r="K201" s="998">
        <v>1.6744E17</v>
      </c>
      <c r="L201" s="998">
        <v>1.6744E17</v>
      </c>
      <c r="M201" s="999">
        <v>3.9599E20</v>
      </c>
      <c r="N201" s="998">
        <v>1.6744E17</v>
      </c>
      <c r="O201" s="999">
        <v>3.9599E20</v>
      </c>
      <c r="P201" s="999">
        <v>3.9599E20</v>
      </c>
      <c r="Q201" s="1000"/>
      <c r="R201" s="998">
        <v>1.6744E17</v>
      </c>
      <c r="S201" s="1000"/>
    </row>
    <row r="202">
      <c r="A202" s="224"/>
      <c r="B202" s="998">
        <v>1.7231E17</v>
      </c>
      <c r="C202" s="998">
        <v>1.7231E17</v>
      </c>
      <c r="D202" s="998">
        <v>1.7231E17</v>
      </c>
      <c r="E202" s="998">
        <v>1.7231E17</v>
      </c>
      <c r="F202" s="998">
        <v>1.7231E17</v>
      </c>
      <c r="G202" s="1000"/>
      <c r="H202" s="998">
        <v>1.7231E17</v>
      </c>
      <c r="I202" s="998">
        <v>1.7231E17</v>
      </c>
      <c r="J202" s="998">
        <v>1.7231E17</v>
      </c>
      <c r="K202" s="998">
        <v>1.7231E17</v>
      </c>
      <c r="L202" s="998">
        <v>1.7231E17</v>
      </c>
      <c r="M202" s="999">
        <v>4.0877E20</v>
      </c>
      <c r="N202" s="998">
        <v>1.7231E17</v>
      </c>
      <c r="O202" s="999">
        <v>4.0877E20</v>
      </c>
      <c r="P202" s="999">
        <v>4.0877E20</v>
      </c>
      <c r="Q202" s="1000"/>
      <c r="R202" s="998">
        <v>1.7231E17</v>
      </c>
      <c r="S202" s="1000"/>
    </row>
    <row r="203">
      <c r="A203" s="224"/>
      <c r="B203" s="998">
        <v>1.7729E17</v>
      </c>
      <c r="C203" s="998">
        <v>1.7729E17</v>
      </c>
      <c r="D203" s="998">
        <v>1.7729E17</v>
      </c>
      <c r="E203" s="998">
        <v>1.7729E17</v>
      </c>
      <c r="F203" s="998">
        <v>1.7729E17</v>
      </c>
      <c r="G203" s="1000"/>
      <c r="H203" s="998">
        <v>1.7729E17</v>
      </c>
      <c r="I203" s="998">
        <v>1.7729E17</v>
      </c>
      <c r="J203" s="998">
        <v>1.7729E17</v>
      </c>
      <c r="K203" s="998">
        <v>1.7729E17</v>
      </c>
      <c r="L203" s="998">
        <v>1.7729E17</v>
      </c>
      <c r="M203" s="1000"/>
      <c r="N203" s="998">
        <v>1.7729E17</v>
      </c>
      <c r="O203" s="1000"/>
      <c r="P203" s="1000"/>
      <c r="Q203" s="1000"/>
      <c r="R203" s="998">
        <v>1.7729E17</v>
      </c>
      <c r="S203" s="1000"/>
    </row>
    <row r="204">
      <c r="A204" s="224"/>
      <c r="B204" s="998">
        <v>2.1887E17</v>
      </c>
      <c r="C204" s="998">
        <v>2.1887E17</v>
      </c>
      <c r="D204" s="998">
        <v>2.1887E17</v>
      </c>
      <c r="E204" s="998">
        <v>2.1887E17</v>
      </c>
      <c r="F204" s="998">
        <v>2.1887E17</v>
      </c>
      <c r="G204" s="1000"/>
      <c r="H204" s="998">
        <v>2.1887E17</v>
      </c>
      <c r="I204" s="998">
        <v>2.1887E17</v>
      </c>
      <c r="J204" s="998">
        <v>2.1887E17</v>
      </c>
      <c r="K204" s="998">
        <v>2.1887E17</v>
      </c>
      <c r="L204" s="998">
        <v>2.1887E17</v>
      </c>
      <c r="M204" s="1000"/>
      <c r="N204" s="998">
        <v>2.1887E17</v>
      </c>
      <c r="O204" s="1000"/>
      <c r="P204" s="1000"/>
      <c r="Q204" s="1000"/>
      <c r="R204" s="999">
        <v>2.1887E17</v>
      </c>
      <c r="S204" s="1000"/>
    </row>
    <row r="205">
      <c r="A205" s="224"/>
      <c r="B205" s="998">
        <v>2.6265E17</v>
      </c>
      <c r="C205" s="998">
        <v>2.6265E17</v>
      </c>
      <c r="D205" s="998">
        <v>2.6265E17</v>
      </c>
      <c r="E205" s="998">
        <v>2.6265E17</v>
      </c>
      <c r="F205" s="998">
        <v>2.6265E17</v>
      </c>
      <c r="G205" s="1000"/>
      <c r="H205" s="998">
        <v>2.6265E17</v>
      </c>
      <c r="I205" s="998">
        <v>2.6265E17</v>
      </c>
      <c r="J205" s="998">
        <v>2.6265E17</v>
      </c>
      <c r="K205" s="998">
        <v>2.6265E17</v>
      </c>
      <c r="L205" s="998">
        <v>2.6265E17</v>
      </c>
      <c r="M205" s="1000"/>
      <c r="N205" s="998">
        <v>2.6265E17</v>
      </c>
      <c r="O205" s="1000"/>
      <c r="P205" s="1000"/>
      <c r="Q205" s="1000"/>
      <c r="R205" s="999">
        <v>2.6265E17</v>
      </c>
      <c r="S205" s="1000"/>
    </row>
    <row r="206">
      <c r="A206" s="224"/>
      <c r="B206" s="998">
        <v>3.0871E17</v>
      </c>
      <c r="C206" s="998">
        <v>3.0871E17</v>
      </c>
      <c r="D206" s="998">
        <v>3.0871E17</v>
      </c>
      <c r="E206" s="998">
        <v>3.0871E17</v>
      </c>
      <c r="F206" s="998">
        <v>3.0871E17</v>
      </c>
      <c r="G206" s="1000"/>
      <c r="H206" s="998">
        <v>3.0871E17</v>
      </c>
      <c r="I206" s="998">
        <v>3.0871E17</v>
      </c>
      <c r="J206" s="998">
        <v>3.0871E17</v>
      </c>
      <c r="K206" s="998">
        <v>3.0871E17</v>
      </c>
      <c r="L206" s="998">
        <v>3.0871E17</v>
      </c>
      <c r="M206" s="1000"/>
      <c r="N206" s="998">
        <v>3.0871E17</v>
      </c>
      <c r="O206" s="1000"/>
      <c r="P206" s="1000"/>
      <c r="Q206" s="1000"/>
      <c r="R206" s="999">
        <v>3.0871E17</v>
      </c>
      <c r="S206" s="1000"/>
    </row>
    <row r="207">
      <c r="A207" s="224"/>
      <c r="B207" s="998">
        <v>3.5712E17</v>
      </c>
      <c r="C207" s="998">
        <v>3.5712E17</v>
      </c>
      <c r="D207" s="998">
        <v>3.5712E17</v>
      </c>
      <c r="E207" s="998">
        <v>3.5712E17</v>
      </c>
      <c r="F207" s="998">
        <v>3.5712E17</v>
      </c>
      <c r="G207" s="1000"/>
      <c r="H207" s="998">
        <v>3.5712E17</v>
      </c>
      <c r="I207" s="998">
        <v>3.5712E17</v>
      </c>
      <c r="J207" s="998">
        <v>3.5712E17</v>
      </c>
      <c r="K207" s="998">
        <v>3.5712E17</v>
      </c>
      <c r="L207" s="998">
        <v>3.5712E17</v>
      </c>
      <c r="M207" s="1000"/>
      <c r="N207" s="998">
        <v>3.5712E17</v>
      </c>
      <c r="O207" s="1000"/>
      <c r="P207" s="1000"/>
      <c r="Q207" s="1000"/>
      <c r="R207" s="999">
        <v>3.5712E17</v>
      </c>
      <c r="S207" s="1000"/>
    </row>
    <row r="208">
      <c r="A208" s="224"/>
      <c r="B208" s="998">
        <v>4.0795E17</v>
      </c>
      <c r="C208" s="998">
        <v>4.0795E17</v>
      </c>
      <c r="D208" s="998">
        <v>4.0795E17</v>
      </c>
      <c r="E208" s="998">
        <v>4.0795E17</v>
      </c>
      <c r="F208" s="998">
        <v>4.0795E17</v>
      </c>
      <c r="G208" s="1000"/>
      <c r="H208" s="998">
        <v>4.0795E17</v>
      </c>
      <c r="I208" s="998">
        <v>4.0795E17</v>
      </c>
      <c r="J208" s="998">
        <v>4.0795E17</v>
      </c>
      <c r="K208" s="998">
        <v>4.0795E17</v>
      </c>
      <c r="L208" s="998">
        <v>4.0795E17</v>
      </c>
      <c r="M208" s="1000"/>
      <c r="N208" s="998">
        <v>4.0795E17</v>
      </c>
      <c r="O208" s="1000"/>
      <c r="P208" s="1000"/>
      <c r="Q208" s="1000"/>
      <c r="R208" s="999">
        <v>4.0795E17</v>
      </c>
      <c r="S208" s="1000"/>
    </row>
    <row r="209">
      <c r="A209" s="224"/>
      <c r="B209" s="998">
        <v>4.613E17</v>
      </c>
      <c r="C209" s="998">
        <v>4.613E17</v>
      </c>
      <c r="D209" s="998">
        <v>4.613E17</v>
      </c>
      <c r="E209" s="998">
        <v>4.613E17</v>
      </c>
      <c r="F209" s="998">
        <v>4.613E17</v>
      </c>
      <c r="G209" s="1000"/>
      <c r="H209" s="998">
        <v>4.613E17</v>
      </c>
      <c r="I209" s="998">
        <v>4.613E17</v>
      </c>
      <c r="J209" s="998">
        <v>4.613E17</v>
      </c>
      <c r="K209" s="998">
        <v>4.613E17</v>
      </c>
      <c r="L209" s="998">
        <v>4.613E17</v>
      </c>
      <c r="M209" s="1000"/>
      <c r="N209" s="998">
        <v>4.613E17</v>
      </c>
      <c r="O209" s="1000"/>
      <c r="P209" s="1000"/>
      <c r="Q209" s="1000"/>
      <c r="R209" s="999">
        <v>4.613E17</v>
      </c>
      <c r="S209" s="1000"/>
    </row>
    <row r="210">
      <c r="A210" s="224"/>
      <c r="B210" s="998">
        <v>5.1724E17</v>
      </c>
      <c r="C210" s="998">
        <v>5.1724E17</v>
      </c>
      <c r="D210" s="998">
        <v>5.1724E17</v>
      </c>
      <c r="E210" s="998">
        <v>5.1724E17</v>
      </c>
      <c r="F210" s="998">
        <v>5.1724E17</v>
      </c>
      <c r="G210" s="1000"/>
      <c r="H210" s="998">
        <v>5.1724E17</v>
      </c>
      <c r="I210" s="998">
        <v>5.1724E17</v>
      </c>
      <c r="J210" s="998">
        <v>5.1724E17</v>
      </c>
      <c r="K210" s="998">
        <v>5.1724E17</v>
      </c>
      <c r="L210" s="998">
        <v>5.1724E17</v>
      </c>
      <c r="M210" s="1000"/>
      <c r="N210" s="998">
        <v>5.1724E17</v>
      </c>
      <c r="O210" s="1000"/>
      <c r="P210" s="1000"/>
      <c r="Q210" s="1000"/>
      <c r="R210" s="999">
        <v>5.1724E17</v>
      </c>
      <c r="S210" s="1000"/>
    </row>
    <row r="211">
      <c r="A211" s="224"/>
      <c r="B211" s="998">
        <v>5.7585E17</v>
      </c>
      <c r="C211" s="998">
        <v>5.7585E17</v>
      </c>
      <c r="D211" s="998">
        <v>5.7585E17</v>
      </c>
      <c r="E211" s="998">
        <v>5.7585E17</v>
      </c>
      <c r="F211" s="998">
        <v>5.7585E17</v>
      </c>
      <c r="G211" s="1000"/>
      <c r="H211" s="998">
        <v>5.7585E17</v>
      </c>
      <c r="I211" s="998">
        <v>5.7585E17</v>
      </c>
      <c r="J211" s="998">
        <v>5.7585E17</v>
      </c>
      <c r="K211" s="998">
        <v>5.7585E17</v>
      </c>
      <c r="L211" s="998">
        <v>5.7585E17</v>
      </c>
      <c r="M211" s="1000"/>
      <c r="N211" s="998">
        <v>5.7585E17</v>
      </c>
      <c r="O211" s="1000"/>
      <c r="P211" s="1000"/>
      <c r="Q211" s="1000"/>
      <c r="R211" s="999">
        <v>5.7585E17</v>
      </c>
      <c r="S211" s="1000"/>
    </row>
    <row r="212">
      <c r="A212" s="224"/>
      <c r="B212" s="998">
        <v>6.3722E17</v>
      </c>
      <c r="C212" s="998">
        <v>6.3722E17</v>
      </c>
      <c r="D212" s="998">
        <v>6.3722E17</v>
      </c>
      <c r="E212" s="998">
        <v>6.3722E17</v>
      </c>
      <c r="F212" s="998">
        <v>6.3722E17</v>
      </c>
      <c r="G212" s="1000"/>
      <c r="H212" s="998">
        <v>6.3722E17</v>
      </c>
      <c r="I212" s="998">
        <v>6.3722E17</v>
      </c>
      <c r="J212" s="998">
        <v>6.3722E17</v>
      </c>
      <c r="K212" s="998">
        <v>6.3722E17</v>
      </c>
      <c r="L212" s="998">
        <v>6.3722E17</v>
      </c>
      <c r="M212" s="1000"/>
      <c r="N212" s="998">
        <v>6.3722E17</v>
      </c>
      <c r="O212" s="1000"/>
      <c r="P212" s="1000"/>
      <c r="Q212" s="1000"/>
      <c r="R212" s="999">
        <v>6.3722E17</v>
      </c>
      <c r="S212" s="1000"/>
    </row>
    <row r="213">
      <c r="A213" s="224"/>
      <c r="B213" s="998">
        <v>7.0143E17</v>
      </c>
      <c r="C213" s="998">
        <v>7.0143E17</v>
      </c>
      <c r="D213" s="998">
        <v>7.0143E17</v>
      </c>
      <c r="E213" s="998">
        <v>7.0143E17</v>
      </c>
      <c r="F213" s="998">
        <v>7.0143E17</v>
      </c>
      <c r="G213" s="1000"/>
      <c r="H213" s="998">
        <v>7.0143E17</v>
      </c>
      <c r="I213" s="998">
        <v>7.0143E17</v>
      </c>
      <c r="J213" s="998">
        <v>7.0143E17</v>
      </c>
      <c r="K213" s="998">
        <v>7.0143E17</v>
      </c>
      <c r="L213" s="998">
        <v>7.0143E17</v>
      </c>
      <c r="M213" s="1000"/>
      <c r="N213" s="998">
        <v>7.0143E17</v>
      </c>
      <c r="O213" s="1000"/>
      <c r="P213" s="1000"/>
      <c r="Q213" s="1000"/>
      <c r="R213" s="999">
        <v>7.0143E17</v>
      </c>
      <c r="S213" s="1000"/>
    </row>
    <row r="214">
      <c r="A214" s="224"/>
      <c r="B214" s="998">
        <v>7.6857E17</v>
      </c>
      <c r="C214" s="998">
        <v>7.6857E17</v>
      </c>
      <c r="D214" s="998">
        <v>7.6857E17</v>
      </c>
      <c r="E214" s="998">
        <v>7.6857E17</v>
      </c>
      <c r="F214" s="998">
        <v>7.6857E17</v>
      </c>
      <c r="G214" s="1000"/>
      <c r="H214" s="998">
        <v>7.6857E17</v>
      </c>
      <c r="I214" s="998">
        <v>7.6857E17</v>
      </c>
      <c r="J214" s="998">
        <v>7.6857E17</v>
      </c>
      <c r="K214" s="998">
        <v>7.6857E17</v>
      </c>
      <c r="L214" s="998">
        <v>7.6857E17</v>
      </c>
      <c r="M214" s="1000"/>
      <c r="N214" s="998">
        <v>7.6857E17</v>
      </c>
      <c r="O214" s="1000"/>
      <c r="P214" s="1000"/>
      <c r="Q214" s="1000"/>
      <c r="R214" s="999">
        <v>7.6857E17</v>
      </c>
      <c r="S214" s="1000"/>
    </row>
    <row r="215">
      <c r="A215" s="224"/>
      <c r="B215" s="998">
        <v>8.3873E17</v>
      </c>
      <c r="C215" s="998">
        <v>8.3873E17</v>
      </c>
      <c r="D215" s="998">
        <v>8.3873E17</v>
      </c>
      <c r="E215" s="998">
        <v>8.3873E17</v>
      </c>
      <c r="F215" s="998">
        <v>8.3873E17</v>
      </c>
      <c r="G215" s="1000"/>
      <c r="H215" s="998">
        <v>8.3873E17</v>
      </c>
      <c r="I215" s="998">
        <v>8.3873E17</v>
      </c>
      <c r="J215" s="998">
        <v>8.3873E17</v>
      </c>
      <c r="K215" s="998">
        <v>8.3873E17</v>
      </c>
      <c r="L215" s="998">
        <v>8.3873E17</v>
      </c>
      <c r="M215" s="1000"/>
      <c r="N215" s="998">
        <v>8.3873E17</v>
      </c>
      <c r="O215" s="1000"/>
      <c r="P215" s="1000"/>
      <c r="Q215" s="1000"/>
      <c r="R215" s="999">
        <v>8.3873E17</v>
      </c>
      <c r="S215" s="1000"/>
    </row>
    <row r="216">
      <c r="A216" s="224"/>
      <c r="B216" s="998">
        <v>9.12E17</v>
      </c>
      <c r="C216" s="998">
        <v>9.12E17</v>
      </c>
      <c r="D216" s="998">
        <v>9.12E17</v>
      </c>
      <c r="E216" s="998">
        <v>9.12E17</v>
      </c>
      <c r="F216" s="998">
        <v>9.12E17</v>
      </c>
      <c r="G216" s="1000"/>
      <c r="H216" s="998">
        <v>9.12E17</v>
      </c>
      <c r="I216" s="998">
        <v>9.12E17</v>
      </c>
      <c r="J216" s="998">
        <v>9.12E17</v>
      </c>
      <c r="K216" s="998">
        <v>9.12E17</v>
      </c>
      <c r="L216" s="998">
        <v>9.12E17</v>
      </c>
      <c r="M216" s="1000"/>
      <c r="N216" s="998">
        <v>9.12E17</v>
      </c>
      <c r="O216" s="1000"/>
      <c r="P216" s="1000"/>
      <c r="Q216" s="1000"/>
      <c r="R216" s="999">
        <v>9.12E17</v>
      </c>
      <c r="S216" s="1000"/>
    </row>
    <row r="217">
      <c r="A217" s="224"/>
      <c r="B217" s="998">
        <v>9.8848E17</v>
      </c>
      <c r="C217" s="998">
        <v>9.8848E17</v>
      </c>
      <c r="D217" s="998">
        <v>9.8848E17</v>
      </c>
      <c r="E217" s="998">
        <v>9.8848E17</v>
      </c>
      <c r="F217" s="998">
        <v>9.8848E17</v>
      </c>
      <c r="G217" s="1000"/>
      <c r="H217" s="998">
        <v>9.8848E17</v>
      </c>
      <c r="I217" s="998">
        <v>9.8848E17</v>
      </c>
      <c r="J217" s="998">
        <v>9.8848E17</v>
      </c>
      <c r="K217" s="998">
        <v>9.8848E17</v>
      </c>
      <c r="L217" s="998">
        <v>9.8848E17</v>
      </c>
      <c r="M217" s="1000"/>
      <c r="N217" s="998">
        <v>9.8848E17</v>
      </c>
      <c r="O217" s="1000"/>
      <c r="P217" s="1000"/>
      <c r="Q217" s="1000"/>
      <c r="R217" s="999">
        <v>9.8848E17</v>
      </c>
      <c r="S217" s="1000"/>
    </row>
    <row r="218">
      <c r="A218" s="224"/>
      <c r="B218" s="998">
        <v>1.07E18</v>
      </c>
      <c r="C218" s="998">
        <v>1.07E18</v>
      </c>
      <c r="D218" s="998">
        <v>1.07E18</v>
      </c>
      <c r="E218" s="998">
        <v>1.07E18</v>
      </c>
      <c r="F218" s="998">
        <v>1.07E18</v>
      </c>
      <c r="G218" s="1000"/>
      <c r="H218" s="998">
        <v>1.07E18</v>
      </c>
      <c r="I218" s="998">
        <v>1.07E18</v>
      </c>
      <c r="J218" s="998">
        <v>1.07E18</v>
      </c>
      <c r="K218" s="998">
        <v>1.07E18</v>
      </c>
      <c r="L218" s="998">
        <v>1.07E18</v>
      </c>
      <c r="M218" s="1000"/>
      <c r="N218" s="998">
        <v>1.07E18</v>
      </c>
      <c r="O218" s="1000"/>
      <c r="P218" s="1000"/>
      <c r="Q218" s="1000"/>
      <c r="R218" s="999">
        <v>1.07E18</v>
      </c>
      <c r="S218" s="1000"/>
    </row>
    <row r="219">
      <c r="A219" s="224"/>
      <c r="B219" s="998">
        <v>1.15E18</v>
      </c>
      <c r="C219" s="998">
        <v>1.15E18</v>
      </c>
      <c r="D219" s="998">
        <v>1.15E18</v>
      </c>
      <c r="E219" s="998">
        <v>1.15E18</v>
      </c>
      <c r="F219" s="998">
        <v>1.15E18</v>
      </c>
      <c r="G219" s="1000"/>
      <c r="H219" s="998">
        <v>1.15E18</v>
      </c>
      <c r="I219" s="998">
        <v>1.15E18</v>
      </c>
      <c r="J219" s="998">
        <v>1.15E18</v>
      </c>
      <c r="K219" s="998">
        <v>1.15E18</v>
      </c>
      <c r="L219" s="998">
        <v>1.15E18</v>
      </c>
      <c r="M219" s="1000"/>
      <c r="N219" s="998">
        <v>1.15E18</v>
      </c>
      <c r="O219" s="1000"/>
      <c r="P219" s="1000"/>
      <c r="Q219" s="1000"/>
      <c r="R219" s="999">
        <v>1.15E18</v>
      </c>
      <c r="S219" s="1000"/>
    </row>
    <row r="220">
      <c r="A220" s="224"/>
      <c r="B220" s="998">
        <v>1.24E18</v>
      </c>
      <c r="C220" s="998">
        <v>1.24E18</v>
      </c>
      <c r="D220" s="998">
        <v>1.24E18</v>
      </c>
      <c r="E220" s="998">
        <v>1.24E18</v>
      </c>
      <c r="F220" s="998">
        <v>1.24E18</v>
      </c>
      <c r="G220" s="1000"/>
      <c r="H220" s="998">
        <v>1.24E18</v>
      </c>
      <c r="I220" s="998">
        <v>1.24E18</v>
      </c>
      <c r="J220" s="998">
        <v>1.24E18</v>
      </c>
      <c r="K220" s="998">
        <v>1.24E18</v>
      </c>
      <c r="L220" s="998">
        <v>1.24E18</v>
      </c>
      <c r="M220" s="1000"/>
      <c r="N220" s="998">
        <v>1.24E18</v>
      </c>
      <c r="O220" s="1000"/>
      <c r="P220" s="1000"/>
      <c r="Q220" s="1000"/>
      <c r="R220" s="999">
        <v>1.24E18</v>
      </c>
      <c r="S220" s="1000"/>
    </row>
    <row r="221">
      <c r="A221" s="224"/>
      <c r="B221" s="998">
        <v>1.33E18</v>
      </c>
      <c r="C221" s="998">
        <v>1.33E18</v>
      </c>
      <c r="D221" s="998">
        <v>1.33E18</v>
      </c>
      <c r="E221" s="998">
        <v>1.33E18</v>
      </c>
      <c r="F221" s="998">
        <v>1.33E18</v>
      </c>
      <c r="G221" s="1000"/>
      <c r="H221" s="998">
        <v>1.33E18</v>
      </c>
      <c r="I221" s="998">
        <v>1.33E18</v>
      </c>
      <c r="J221" s="998">
        <v>1.33E18</v>
      </c>
      <c r="K221" s="998">
        <v>1.33E18</v>
      </c>
      <c r="L221" s="998">
        <v>1.33E18</v>
      </c>
      <c r="M221" s="1000"/>
      <c r="N221" s="998">
        <v>1.33E18</v>
      </c>
      <c r="O221" s="1000"/>
      <c r="P221" s="1000"/>
      <c r="Q221" s="1000"/>
      <c r="R221" s="999">
        <v>1.33E18</v>
      </c>
      <c r="S221" s="1000"/>
    </row>
    <row r="222">
      <c r="A222" s="224"/>
      <c r="B222" s="998">
        <v>1.42E18</v>
      </c>
      <c r="C222" s="998">
        <v>1.42E18</v>
      </c>
      <c r="D222" s="998">
        <v>1.42E18</v>
      </c>
      <c r="E222" s="998">
        <v>1.42E18</v>
      </c>
      <c r="F222" s="998">
        <v>1.42E18</v>
      </c>
      <c r="G222" s="1000"/>
      <c r="H222" s="998">
        <v>1.42E18</v>
      </c>
      <c r="I222" s="998">
        <v>1.42E18</v>
      </c>
      <c r="J222" s="998">
        <v>1.42E18</v>
      </c>
      <c r="K222" s="998">
        <v>1.42E18</v>
      </c>
      <c r="L222" s="998">
        <v>1.42E18</v>
      </c>
      <c r="M222" s="1000"/>
      <c r="N222" s="998">
        <v>1.42E18</v>
      </c>
      <c r="O222" s="1000"/>
      <c r="P222" s="1000"/>
      <c r="Q222" s="1000"/>
      <c r="R222" s="999">
        <v>1.42E18</v>
      </c>
      <c r="S222" s="1000"/>
    </row>
    <row r="223">
      <c r="A223" s="224"/>
      <c r="B223" s="998">
        <v>1.52E18</v>
      </c>
      <c r="C223" s="998">
        <v>1.52E18</v>
      </c>
      <c r="D223" s="998">
        <v>1.52E18</v>
      </c>
      <c r="E223" s="998">
        <v>1.52E18</v>
      </c>
      <c r="F223" s="998">
        <v>1.52E18</v>
      </c>
      <c r="G223" s="1000"/>
      <c r="H223" s="998">
        <v>1.52E18</v>
      </c>
      <c r="I223" s="998">
        <v>1.52E18</v>
      </c>
      <c r="J223" s="998">
        <v>1.52E18</v>
      </c>
      <c r="K223" s="998">
        <v>1.52E18</v>
      </c>
      <c r="L223" s="998">
        <v>1.52E18</v>
      </c>
      <c r="M223" s="1000"/>
      <c r="N223" s="998">
        <v>1.52E18</v>
      </c>
      <c r="O223" s="1000"/>
      <c r="P223" s="1000"/>
      <c r="Q223" s="1000"/>
      <c r="R223" s="999">
        <v>1.52E18</v>
      </c>
      <c r="S223" s="1000"/>
    </row>
    <row r="224">
      <c r="A224" s="224"/>
      <c r="B224" s="998">
        <v>1.62E18</v>
      </c>
      <c r="C224" s="998">
        <v>1.62E18</v>
      </c>
      <c r="D224" s="998">
        <v>1.62E18</v>
      </c>
      <c r="E224" s="998">
        <v>1.62E18</v>
      </c>
      <c r="F224" s="998">
        <v>1.62E18</v>
      </c>
      <c r="G224" s="1000"/>
      <c r="H224" s="998">
        <v>1.62E18</v>
      </c>
      <c r="I224" s="998">
        <v>1.62E18</v>
      </c>
      <c r="J224" s="998">
        <v>1.62E18</v>
      </c>
      <c r="K224" s="998">
        <v>1.62E18</v>
      </c>
      <c r="L224" s="998">
        <v>1.62E18</v>
      </c>
      <c r="M224" s="1000"/>
      <c r="N224" s="998">
        <v>1.62E18</v>
      </c>
      <c r="O224" s="1000"/>
      <c r="P224" s="1000"/>
      <c r="Q224" s="1000"/>
      <c r="R224" s="999">
        <v>1.62E18</v>
      </c>
      <c r="S224" s="1000"/>
    </row>
    <row r="225">
      <c r="A225" s="224"/>
      <c r="B225" s="998">
        <v>1.73E18</v>
      </c>
      <c r="C225" s="998">
        <v>1.73E18</v>
      </c>
      <c r="D225" s="998">
        <v>1.73E18</v>
      </c>
      <c r="E225" s="998">
        <v>1.73E18</v>
      </c>
      <c r="F225" s="998">
        <v>1.73E18</v>
      </c>
      <c r="G225" s="1000"/>
      <c r="H225" s="998">
        <v>1.73E18</v>
      </c>
      <c r="I225" s="998">
        <v>1.73E18</v>
      </c>
      <c r="J225" s="998">
        <v>1.73E18</v>
      </c>
      <c r="K225" s="998">
        <v>1.73E18</v>
      </c>
      <c r="L225" s="998">
        <v>1.73E18</v>
      </c>
      <c r="M225" s="1000"/>
      <c r="N225" s="998">
        <v>1.73E18</v>
      </c>
      <c r="O225" s="1000"/>
      <c r="P225" s="1000"/>
      <c r="Q225" s="1000"/>
      <c r="R225" s="999">
        <v>1.73E18</v>
      </c>
      <c r="S225" s="1000"/>
    </row>
    <row r="226">
      <c r="A226" s="224"/>
      <c r="B226" s="998">
        <v>1.84E18</v>
      </c>
      <c r="C226" s="998">
        <v>1.84E18</v>
      </c>
      <c r="D226" s="998">
        <v>1.84E18</v>
      </c>
      <c r="E226" s="998">
        <v>1.84E18</v>
      </c>
      <c r="F226" s="998">
        <v>1.84E18</v>
      </c>
      <c r="G226" s="1000"/>
      <c r="H226" s="998">
        <v>1.84E18</v>
      </c>
      <c r="I226" s="998">
        <v>1.84E18</v>
      </c>
      <c r="J226" s="998">
        <v>1.84E18</v>
      </c>
      <c r="K226" s="998">
        <v>1.84E18</v>
      </c>
      <c r="L226" s="998">
        <v>1.84E18</v>
      </c>
      <c r="M226" s="1000"/>
      <c r="N226" s="998">
        <v>1.84E18</v>
      </c>
      <c r="O226" s="1000"/>
      <c r="P226" s="1000"/>
      <c r="Q226" s="1000"/>
      <c r="R226" s="999">
        <v>1.84E18</v>
      </c>
      <c r="S226" s="1000"/>
    </row>
    <row r="227">
      <c r="A227" s="224"/>
      <c r="B227" s="998">
        <v>1.95E18</v>
      </c>
      <c r="C227" s="998">
        <v>1.95E18</v>
      </c>
      <c r="D227" s="998">
        <v>1.95E18</v>
      </c>
      <c r="E227" s="998">
        <v>1.95E18</v>
      </c>
      <c r="F227" s="998">
        <v>1.95E18</v>
      </c>
      <c r="G227" s="1000"/>
      <c r="H227" s="998">
        <v>1.95E18</v>
      </c>
      <c r="I227" s="998">
        <v>1.95E18</v>
      </c>
      <c r="J227" s="998">
        <v>1.95E18</v>
      </c>
      <c r="K227" s="998">
        <v>1.95E18</v>
      </c>
      <c r="L227" s="998">
        <v>1.95E18</v>
      </c>
      <c r="M227" s="1000"/>
      <c r="N227" s="998">
        <v>1.95E18</v>
      </c>
      <c r="O227" s="1000"/>
      <c r="P227" s="1000"/>
      <c r="Q227" s="1000"/>
      <c r="R227" s="999">
        <v>1.95E18</v>
      </c>
      <c r="S227" s="1000"/>
    </row>
    <row r="228">
      <c r="A228" s="224"/>
      <c r="B228" s="998">
        <v>2.07E18</v>
      </c>
      <c r="C228" s="998">
        <v>2.07E18</v>
      </c>
      <c r="D228" s="998">
        <v>2.07E18</v>
      </c>
      <c r="E228" s="998">
        <v>2.07E18</v>
      </c>
      <c r="F228" s="998">
        <v>2.07E18</v>
      </c>
      <c r="G228" s="1000"/>
      <c r="H228" s="998">
        <v>2.07E18</v>
      </c>
      <c r="I228" s="998">
        <v>2.07E18</v>
      </c>
      <c r="J228" s="998">
        <v>2.07E18</v>
      </c>
      <c r="K228" s="998">
        <v>2.07E18</v>
      </c>
      <c r="L228" s="998">
        <v>2.07E18</v>
      </c>
      <c r="M228" s="1000"/>
      <c r="N228" s="998">
        <v>2.07E18</v>
      </c>
      <c r="O228" s="1000"/>
      <c r="P228" s="1000"/>
      <c r="Q228" s="1000"/>
      <c r="R228" s="999">
        <v>2.07E18</v>
      </c>
      <c r="S228" s="1000"/>
    </row>
    <row r="229">
      <c r="A229" s="224"/>
      <c r="B229" s="998">
        <v>2.19E18</v>
      </c>
      <c r="C229" s="998">
        <v>2.19E18</v>
      </c>
      <c r="D229" s="998">
        <v>2.19E18</v>
      </c>
      <c r="E229" s="998">
        <v>2.19E18</v>
      </c>
      <c r="F229" s="998">
        <v>2.19E18</v>
      </c>
      <c r="G229" s="1000"/>
      <c r="H229" s="998">
        <v>2.19E18</v>
      </c>
      <c r="I229" s="998">
        <v>2.19E18</v>
      </c>
      <c r="J229" s="998">
        <v>2.19E18</v>
      </c>
      <c r="K229" s="998">
        <v>2.19E18</v>
      </c>
      <c r="L229" s="998">
        <v>2.19E18</v>
      </c>
      <c r="M229" s="1000"/>
      <c r="N229" s="998">
        <v>2.19E18</v>
      </c>
      <c r="O229" s="1000"/>
      <c r="P229" s="1000"/>
      <c r="Q229" s="1000"/>
      <c r="R229" s="999">
        <v>2.19E18</v>
      </c>
      <c r="S229" s="1000"/>
    </row>
    <row r="230">
      <c r="A230" s="224"/>
      <c r="B230" s="998">
        <v>2.32E18</v>
      </c>
      <c r="C230" s="998">
        <v>2.32E18</v>
      </c>
      <c r="D230" s="998">
        <v>2.32E18</v>
      </c>
      <c r="E230" s="998">
        <v>2.32E18</v>
      </c>
      <c r="F230" s="998">
        <v>2.32E18</v>
      </c>
      <c r="G230" s="1000"/>
      <c r="H230" s="998">
        <v>2.32E18</v>
      </c>
      <c r="I230" s="998">
        <v>2.32E18</v>
      </c>
      <c r="J230" s="998">
        <v>2.32E18</v>
      </c>
      <c r="K230" s="998">
        <v>2.32E18</v>
      </c>
      <c r="L230" s="998">
        <v>2.32E18</v>
      </c>
      <c r="M230" s="1000"/>
      <c r="N230" s="998">
        <v>2.32E18</v>
      </c>
      <c r="O230" s="1000"/>
      <c r="P230" s="1000"/>
      <c r="Q230" s="1000"/>
      <c r="R230" s="999">
        <v>2.32E18</v>
      </c>
      <c r="S230" s="1000"/>
    </row>
    <row r="231">
      <c r="A231" s="224"/>
      <c r="B231" s="998">
        <v>2.45E18</v>
      </c>
      <c r="C231" s="998">
        <v>2.45E18</v>
      </c>
      <c r="D231" s="998">
        <v>2.45E18</v>
      </c>
      <c r="E231" s="998">
        <v>2.45E18</v>
      </c>
      <c r="F231" s="998">
        <v>2.45E18</v>
      </c>
      <c r="G231" s="1000"/>
      <c r="H231" s="998">
        <v>2.45E18</v>
      </c>
      <c r="I231" s="998">
        <v>2.45E18</v>
      </c>
      <c r="J231" s="998">
        <v>2.45E18</v>
      </c>
      <c r="K231" s="998">
        <v>2.45E18</v>
      </c>
      <c r="L231" s="998">
        <v>2.45E18</v>
      </c>
      <c r="M231" s="1000"/>
      <c r="N231" s="998">
        <v>2.45E18</v>
      </c>
      <c r="O231" s="1000"/>
      <c r="P231" s="1000"/>
      <c r="Q231" s="1000"/>
      <c r="R231" s="999">
        <v>2.45E18</v>
      </c>
      <c r="S231" s="1000"/>
    </row>
    <row r="232">
      <c r="A232" s="224"/>
      <c r="B232" s="998">
        <v>2.59E18</v>
      </c>
      <c r="C232" s="998">
        <v>2.59E18</v>
      </c>
      <c r="D232" s="998">
        <v>2.59E18</v>
      </c>
      <c r="E232" s="998">
        <v>2.59E18</v>
      </c>
      <c r="F232" s="998">
        <v>2.59E18</v>
      </c>
      <c r="G232" s="1000"/>
      <c r="H232" s="998">
        <v>2.59E18</v>
      </c>
      <c r="I232" s="998">
        <v>2.59E18</v>
      </c>
      <c r="J232" s="998">
        <v>2.59E18</v>
      </c>
      <c r="K232" s="998">
        <v>2.59E18</v>
      </c>
      <c r="L232" s="998">
        <v>2.59E18</v>
      </c>
      <c r="M232" s="1000"/>
      <c r="N232" s="998">
        <v>2.59E18</v>
      </c>
      <c r="O232" s="1000"/>
      <c r="P232" s="1000"/>
      <c r="Q232" s="1000"/>
      <c r="R232" s="999">
        <v>2.59E18</v>
      </c>
      <c r="S232" s="1000"/>
    </row>
    <row r="233">
      <c r="A233" s="224"/>
      <c r="B233" s="998">
        <v>2.73E18</v>
      </c>
      <c r="C233" s="998">
        <v>2.73E18</v>
      </c>
      <c r="D233" s="998">
        <v>2.73E18</v>
      </c>
      <c r="E233" s="998">
        <v>2.73E18</v>
      </c>
      <c r="F233" s="998">
        <v>2.73E18</v>
      </c>
      <c r="G233" s="1000"/>
      <c r="H233" s="998">
        <v>2.73E18</v>
      </c>
      <c r="I233" s="998">
        <v>2.73E18</v>
      </c>
      <c r="J233" s="998">
        <v>2.73E18</v>
      </c>
      <c r="K233" s="998">
        <v>2.73E18</v>
      </c>
      <c r="L233" s="998">
        <v>2.73E18</v>
      </c>
      <c r="M233" s="1000"/>
      <c r="N233" s="998">
        <v>2.73E18</v>
      </c>
      <c r="O233" s="1000"/>
      <c r="P233" s="1000"/>
      <c r="Q233" s="1000"/>
      <c r="R233" s="999">
        <v>2.73E18</v>
      </c>
      <c r="S233" s="1000"/>
    </row>
    <row r="234">
      <c r="A234" s="224"/>
      <c r="B234" s="998">
        <v>2.88E18</v>
      </c>
      <c r="C234" s="998">
        <v>2.88E18</v>
      </c>
      <c r="D234" s="998">
        <v>2.88E18</v>
      </c>
      <c r="E234" s="998">
        <v>2.88E18</v>
      </c>
      <c r="F234" s="998">
        <v>2.88E18</v>
      </c>
      <c r="G234" s="1000"/>
      <c r="H234" s="998">
        <v>2.88E18</v>
      </c>
      <c r="I234" s="998">
        <v>2.88E18</v>
      </c>
      <c r="J234" s="998">
        <v>2.88E18</v>
      </c>
      <c r="K234" s="998">
        <v>2.88E18</v>
      </c>
      <c r="L234" s="998">
        <v>2.88E18</v>
      </c>
      <c r="M234" s="1000"/>
      <c r="N234" s="998">
        <v>2.88E18</v>
      </c>
      <c r="O234" s="1000"/>
      <c r="P234" s="1000"/>
      <c r="Q234" s="1000"/>
      <c r="R234" s="999">
        <v>2.88E18</v>
      </c>
      <c r="S234" s="1000"/>
    </row>
    <row r="235">
      <c r="A235" s="224"/>
      <c r="B235" s="998">
        <v>3.03E18</v>
      </c>
      <c r="C235" s="998">
        <v>3.03E18</v>
      </c>
      <c r="D235" s="998">
        <v>3.03E18</v>
      </c>
      <c r="E235" s="998">
        <v>3.03E18</v>
      </c>
      <c r="F235" s="998">
        <v>3.03E18</v>
      </c>
      <c r="G235" s="1000"/>
      <c r="H235" s="998">
        <v>3.03E18</v>
      </c>
      <c r="I235" s="998">
        <v>3.03E18</v>
      </c>
      <c r="J235" s="998">
        <v>3.03E18</v>
      </c>
      <c r="K235" s="998">
        <v>3.03E18</v>
      </c>
      <c r="L235" s="998">
        <v>3.03E18</v>
      </c>
      <c r="M235" s="1000"/>
      <c r="N235" s="998">
        <v>3.03E18</v>
      </c>
      <c r="O235" s="1000"/>
      <c r="P235" s="1000"/>
      <c r="Q235" s="1000"/>
      <c r="R235" s="999">
        <v>3.03E18</v>
      </c>
      <c r="S235" s="1000"/>
    </row>
    <row r="236">
      <c r="A236" s="224"/>
      <c r="B236" s="998">
        <v>3.19E18</v>
      </c>
      <c r="C236" s="998">
        <v>3.19E18</v>
      </c>
      <c r="D236" s="998">
        <v>3.19E18</v>
      </c>
      <c r="E236" s="998">
        <v>3.19E18</v>
      </c>
      <c r="F236" s="998">
        <v>3.19E18</v>
      </c>
      <c r="G236" s="1000"/>
      <c r="H236" s="998">
        <v>3.19E18</v>
      </c>
      <c r="I236" s="998">
        <v>3.19E18</v>
      </c>
      <c r="J236" s="998">
        <v>3.19E18</v>
      </c>
      <c r="K236" s="998">
        <v>3.19E18</v>
      </c>
      <c r="L236" s="998">
        <v>3.19E18</v>
      </c>
      <c r="M236" s="1000"/>
      <c r="N236" s="998">
        <v>3.19E18</v>
      </c>
      <c r="O236" s="1000"/>
      <c r="P236" s="1000"/>
      <c r="Q236" s="1000"/>
      <c r="R236" s="999">
        <v>3.19E18</v>
      </c>
      <c r="S236" s="1000"/>
    </row>
    <row r="237">
      <c r="A237" s="224"/>
      <c r="B237" s="998">
        <v>3.35E18</v>
      </c>
      <c r="C237" s="998">
        <v>3.35E18</v>
      </c>
      <c r="D237" s="998">
        <v>3.35E18</v>
      </c>
      <c r="E237" s="998">
        <v>3.35E18</v>
      </c>
      <c r="F237" s="998">
        <v>3.35E18</v>
      </c>
      <c r="G237" s="1000"/>
      <c r="H237" s="998">
        <v>3.35E18</v>
      </c>
      <c r="I237" s="998">
        <v>3.35E18</v>
      </c>
      <c r="J237" s="998">
        <v>3.35E18</v>
      </c>
      <c r="K237" s="998">
        <v>3.35E18</v>
      </c>
      <c r="L237" s="998">
        <v>3.35E18</v>
      </c>
      <c r="M237" s="1000"/>
      <c r="N237" s="998">
        <v>3.35E18</v>
      </c>
      <c r="O237" s="1000"/>
      <c r="P237" s="1000"/>
      <c r="Q237" s="1000"/>
      <c r="R237" s="999">
        <v>3.35E18</v>
      </c>
      <c r="S237" s="1000"/>
    </row>
    <row r="238">
      <c r="A238" s="224"/>
      <c r="B238" s="998">
        <v>3.52E18</v>
      </c>
      <c r="C238" s="998">
        <v>3.52E18</v>
      </c>
      <c r="D238" s="998">
        <v>3.52E18</v>
      </c>
      <c r="E238" s="998">
        <v>3.52E18</v>
      </c>
      <c r="F238" s="998">
        <v>3.52E18</v>
      </c>
      <c r="G238" s="1000"/>
      <c r="H238" s="998">
        <v>3.52E18</v>
      </c>
      <c r="I238" s="998">
        <v>3.52E18</v>
      </c>
      <c r="J238" s="998">
        <v>3.52E18</v>
      </c>
      <c r="K238" s="998">
        <v>3.52E18</v>
      </c>
      <c r="L238" s="998">
        <v>3.52E18</v>
      </c>
      <c r="M238" s="1000"/>
      <c r="N238" s="998">
        <v>3.52E18</v>
      </c>
      <c r="O238" s="1000"/>
      <c r="P238" s="1000"/>
      <c r="Q238" s="1000"/>
      <c r="R238" s="999">
        <v>3.52E18</v>
      </c>
      <c r="S238" s="1000"/>
    </row>
    <row r="239">
      <c r="A239" s="224"/>
      <c r="B239" s="998">
        <v>3.7E18</v>
      </c>
      <c r="C239" s="998">
        <v>3.7E18</v>
      </c>
      <c r="D239" s="998">
        <v>3.7E18</v>
      </c>
      <c r="E239" s="998">
        <v>3.7E18</v>
      </c>
      <c r="F239" s="998">
        <v>3.7E18</v>
      </c>
      <c r="G239" s="1000"/>
      <c r="H239" s="998">
        <v>3.7E18</v>
      </c>
      <c r="I239" s="998">
        <v>3.7E18</v>
      </c>
      <c r="J239" s="998">
        <v>3.7E18</v>
      </c>
      <c r="K239" s="998">
        <v>3.7E18</v>
      </c>
      <c r="L239" s="998">
        <v>3.7E18</v>
      </c>
      <c r="M239" s="1000"/>
      <c r="N239" s="998">
        <v>3.7E18</v>
      </c>
      <c r="O239" s="1000"/>
      <c r="P239" s="1000"/>
      <c r="Q239" s="1000"/>
      <c r="R239" s="999">
        <v>3.7E18</v>
      </c>
      <c r="S239" s="1000"/>
    </row>
    <row r="240">
      <c r="A240" s="224"/>
      <c r="B240" s="998">
        <v>3.88E18</v>
      </c>
      <c r="C240" s="998">
        <v>3.88E18</v>
      </c>
      <c r="D240" s="998">
        <v>3.88E18</v>
      </c>
      <c r="E240" s="998">
        <v>3.88E18</v>
      </c>
      <c r="F240" s="998">
        <v>3.88E18</v>
      </c>
      <c r="G240" s="1000"/>
      <c r="H240" s="998">
        <v>3.88E18</v>
      </c>
      <c r="I240" s="998">
        <v>3.88E18</v>
      </c>
      <c r="J240" s="998">
        <v>3.88E18</v>
      </c>
      <c r="K240" s="998">
        <v>3.88E18</v>
      </c>
      <c r="L240" s="998">
        <v>3.88E18</v>
      </c>
      <c r="M240" s="1000"/>
      <c r="N240" s="998">
        <v>3.88E18</v>
      </c>
      <c r="O240" s="1000"/>
      <c r="P240" s="1000"/>
      <c r="Q240" s="1000"/>
      <c r="R240" s="999">
        <v>3.88E18</v>
      </c>
      <c r="S240" s="1000"/>
    </row>
    <row r="241">
      <c r="A241" s="224"/>
      <c r="B241" s="998">
        <v>4.07E18</v>
      </c>
      <c r="C241" s="998">
        <v>4.07E18</v>
      </c>
      <c r="D241" s="998">
        <v>4.07E18</v>
      </c>
      <c r="E241" s="998">
        <v>4.07E18</v>
      </c>
      <c r="F241" s="998">
        <v>4.07E18</v>
      </c>
      <c r="G241" s="1000"/>
      <c r="H241" s="998">
        <v>4.07E18</v>
      </c>
      <c r="I241" s="998">
        <v>4.07E18</v>
      </c>
      <c r="J241" s="998">
        <v>4.07E18</v>
      </c>
      <c r="K241" s="998">
        <v>4.07E18</v>
      </c>
      <c r="L241" s="998">
        <v>4.07E18</v>
      </c>
      <c r="M241" s="1000"/>
      <c r="N241" s="998">
        <v>4.07E18</v>
      </c>
      <c r="O241" s="1000"/>
      <c r="P241" s="1000"/>
      <c r="Q241" s="1000"/>
      <c r="R241" s="999">
        <v>4.07E18</v>
      </c>
      <c r="S241" s="1000"/>
    </row>
    <row r="242">
      <c r="A242" s="224"/>
      <c r="B242" s="998">
        <v>4.26E18</v>
      </c>
      <c r="C242" s="998">
        <v>4.26E18</v>
      </c>
      <c r="D242" s="998">
        <v>4.26E18</v>
      </c>
      <c r="E242" s="998">
        <v>4.26E18</v>
      </c>
      <c r="F242" s="998">
        <v>4.26E18</v>
      </c>
      <c r="G242" s="1000"/>
      <c r="H242" s="998">
        <v>4.26E18</v>
      </c>
      <c r="I242" s="998">
        <v>4.26E18</v>
      </c>
      <c r="J242" s="998">
        <v>4.26E18</v>
      </c>
      <c r="K242" s="998">
        <v>4.26E18</v>
      </c>
      <c r="L242" s="998">
        <v>4.26E18</v>
      </c>
      <c r="M242" s="1000"/>
      <c r="N242" s="998">
        <v>4.26E18</v>
      </c>
      <c r="O242" s="1000"/>
      <c r="P242" s="1000"/>
      <c r="Q242" s="1000"/>
      <c r="R242" s="999">
        <v>4.26E18</v>
      </c>
      <c r="S242" s="1000"/>
    </row>
    <row r="243">
      <c r="A243" s="224"/>
      <c r="B243" s="998">
        <v>4.46E18</v>
      </c>
      <c r="C243" s="998">
        <v>4.46E18</v>
      </c>
      <c r="D243" s="998">
        <v>4.46E18</v>
      </c>
      <c r="E243" s="998">
        <v>4.46E18</v>
      </c>
      <c r="F243" s="998">
        <v>4.46E18</v>
      </c>
      <c r="G243" s="1000"/>
      <c r="H243" s="998">
        <v>4.46E18</v>
      </c>
      <c r="I243" s="998">
        <v>4.46E18</v>
      </c>
      <c r="J243" s="998">
        <v>4.46E18</v>
      </c>
      <c r="K243" s="998">
        <v>4.46E18</v>
      </c>
      <c r="L243" s="998">
        <v>4.46E18</v>
      </c>
      <c r="M243" s="1000"/>
      <c r="N243" s="998">
        <v>4.46E18</v>
      </c>
      <c r="O243" s="1000"/>
      <c r="P243" s="1000"/>
      <c r="Q243" s="1000"/>
      <c r="R243" s="999">
        <v>4.46E18</v>
      </c>
      <c r="S243" s="1000"/>
    </row>
    <row r="244">
      <c r="A244" s="224"/>
      <c r="B244" s="998">
        <v>4.67E18</v>
      </c>
      <c r="C244" s="998">
        <v>4.67E18</v>
      </c>
      <c r="D244" s="998">
        <v>4.67E18</v>
      </c>
      <c r="E244" s="998">
        <v>4.67E18</v>
      </c>
      <c r="F244" s="998">
        <v>4.67E18</v>
      </c>
      <c r="G244" s="1000"/>
      <c r="H244" s="998">
        <v>4.67E18</v>
      </c>
      <c r="I244" s="998">
        <v>4.67E18</v>
      </c>
      <c r="J244" s="998">
        <v>4.67E18</v>
      </c>
      <c r="K244" s="998">
        <v>4.67E18</v>
      </c>
      <c r="L244" s="998">
        <v>4.67E18</v>
      </c>
      <c r="M244" s="1000"/>
      <c r="N244" s="998">
        <v>4.67E18</v>
      </c>
      <c r="O244" s="1000"/>
      <c r="P244" s="1000"/>
      <c r="Q244" s="1000"/>
      <c r="R244" s="999">
        <v>4.67E18</v>
      </c>
      <c r="S244" s="1000"/>
    </row>
    <row r="245">
      <c r="A245" s="224"/>
      <c r="B245" s="998">
        <v>4.88E18</v>
      </c>
      <c r="C245" s="998">
        <v>4.88E18</v>
      </c>
      <c r="D245" s="998">
        <v>4.88E18</v>
      </c>
      <c r="E245" s="998">
        <v>4.88E18</v>
      </c>
      <c r="F245" s="998">
        <v>4.88E18</v>
      </c>
      <c r="G245" s="1000"/>
      <c r="H245" s="998">
        <v>4.88E18</v>
      </c>
      <c r="I245" s="998">
        <v>4.88E18</v>
      </c>
      <c r="J245" s="998">
        <v>4.88E18</v>
      </c>
      <c r="K245" s="998">
        <v>4.88E18</v>
      </c>
      <c r="L245" s="998">
        <v>4.88E18</v>
      </c>
      <c r="M245" s="1000"/>
      <c r="N245" s="998">
        <v>4.88E18</v>
      </c>
      <c r="O245" s="1000"/>
      <c r="P245" s="1000"/>
      <c r="Q245" s="1000"/>
      <c r="R245" s="999">
        <v>4.88E18</v>
      </c>
      <c r="S245" s="1000"/>
    </row>
    <row r="246">
      <c r="A246" s="224"/>
      <c r="B246" s="998">
        <v>5.1E18</v>
      </c>
      <c r="C246" s="998">
        <v>5.1E18</v>
      </c>
      <c r="D246" s="998">
        <v>5.1E18</v>
      </c>
      <c r="E246" s="998">
        <v>5.1E18</v>
      </c>
      <c r="F246" s="998">
        <v>5.1E18</v>
      </c>
      <c r="G246" s="1000"/>
      <c r="H246" s="998">
        <v>5.1E18</v>
      </c>
      <c r="I246" s="998">
        <v>5.1E18</v>
      </c>
      <c r="J246" s="998">
        <v>5.1E18</v>
      </c>
      <c r="K246" s="998">
        <v>5.1E18</v>
      </c>
      <c r="L246" s="998">
        <v>5.1E18</v>
      </c>
      <c r="M246" s="1000"/>
      <c r="N246" s="998">
        <v>5.1E18</v>
      </c>
      <c r="O246" s="1000"/>
      <c r="P246" s="1000"/>
      <c r="Q246" s="1000"/>
      <c r="R246" s="999">
        <v>5.1E18</v>
      </c>
      <c r="S246" s="1000"/>
    </row>
    <row r="247">
      <c r="A247" s="224"/>
      <c r="B247" s="998">
        <v>5.33E18</v>
      </c>
      <c r="C247" s="998">
        <v>5.33E18</v>
      </c>
      <c r="D247" s="998">
        <v>5.33E18</v>
      </c>
      <c r="E247" s="998">
        <v>5.33E18</v>
      </c>
      <c r="F247" s="998">
        <v>5.33E18</v>
      </c>
      <c r="G247" s="1000"/>
      <c r="H247" s="998">
        <v>5.33E18</v>
      </c>
      <c r="I247" s="998">
        <v>5.33E18</v>
      </c>
      <c r="J247" s="998">
        <v>5.33E18</v>
      </c>
      <c r="K247" s="998">
        <v>5.33E18</v>
      </c>
      <c r="L247" s="998">
        <v>5.33E18</v>
      </c>
      <c r="M247" s="1000"/>
      <c r="N247" s="998">
        <v>5.33E18</v>
      </c>
      <c r="O247" s="1000"/>
      <c r="P247" s="1000"/>
      <c r="Q247" s="1000"/>
      <c r="R247" s="999">
        <v>5.33E18</v>
      </c>
      <c r="S247" s="1000"/>
    </row>
    <row r="248">
      <c r="A248" s="224"/>
      <c r="B248" s="998">
        <v>5.56E18</v>
      </c>
      <c r="C248" s="998">
        <v>5.56E18</v>
      </c>
      <c r="D248" s="998">
        <v>5.56E18</v>
      </c>
      <c r="E248" s="998">
        <v>5.56E18</v>
      </c>
      <c r="F248" s="998">
        <v>5.56E18</v>
      </c>
      <c r="G248" s="1000"/>
      <c r="H248" s="998">
        <v>5.56E18</v>
      </c>
      <c r="I248" s="998">
        <v>5.56E18</v>
      </c>
      <c r="J248" s="998">
        <v>5.56E18</v>
      </c>
      <c r="K248" s="998">
        <v>5.56E18</v>
      </c>
      <c r="L248" s="998">
        <v>5.56E18</v>
      </c>
      <c r="M248" s="1000"/>
      <c r="N248" s="998">
        <v>5.56E18</v>
      </c>
      <c r="O248" s="1000"/>
      <c r="P248" s="1000"/>
      <c r="Q248" s="1000"/>
      <c r="R248" s="999">
        <v>5.56E18</v>
      </c>
      <c r="S248" s="1000"/>
    </row>
    <row r="249">
      <c r="A249" s="224"/>
      <c r="B249" s="998">
        <v>5.8E18</v>
      </c>
      <c r="C249" s="998">
        <v>5.8E18</v>
      </c>
      <c r="D249" s="998">
        <v>5.8E18</v>
      </c>
      <c r="E249" s="998">
        <v>5.8E18</v>
      </c>
      <c r="F249" s="998">
        <v>5.8E18</v>
      </c>
      <c r="G249" s="1000"/>
      <c r="H249" s="998">
        <v>5.8E18</v>
      </c>
      <c r="I249" s="998">
        <v>5.8E18</v>
      </c>
      <c r="J249" s="998">
        <v>5.8E18</v>
      </c>
      <c r="K249" s="998">
        <v>5.8E18</v>
      </c>
      <c r="L249" s="998">
        <v>5.8E18</v>
      </c>
      <c r="M249" s="1000"/>
      <c r="N249" s="998">
        <v>5.8E18</v>
      </c>
      <c r="O249" s="1000"/>
      <c r="P249" s="1000"/>
      <c r="Q249" s="1000"/>
      <c r="R249" s="999">
        <v>5.8E18</v>
      </c>
      <c r="S249" s="1000"/>
    </row>
    <row r="250">
      <c r="A250" s="224"/>
      <c r="B250" s="998">
        <v>6.05E18</v>
      </c>
      <c r="C250" s="998">
        <v>6.05E18</v>
      </c>
      <c r="D250" s="998">
        <v>6.05E18</v>
      </c>
      <c r="E250" s="998">
        <v>6.05E18</v>
      </c>
      <c r="F250" s="998">
        <v>6.05E18</v>
      </c>
      <c r="G250" s="1000"/>
      <c r="H250" s="998">
        <v>6.05E18</v>
      </c>
      <c r="I250" s="998">
        <v>6.05E18</v>
      </c>
      <c r="J250" s="998">
        <v>6.05E18</v>
      </c>
      <c r="K250" s="998">
        <v>6.05E18</v>
      </c>
      <c r="L250" s="998">
        <v>6.05E18</v>
      </c>
      <c r="M250" s="1000"/>
      <c r="N250" s="998">
        <v>6.05E18</v>
      </c>
      <c r="O250" s="1000"/>
      <c r="P250" s="1000"/>
      <c r="Q250" s="1000"/>
      <c r="R250" s="999">
        <v>6.05E18</v>
      </c>
      <c r="S250" s="1000"/>
    </row>
    <row r="251">
      <c r="A251" s="224"/>
      <c r="B251" s="998">
        <v>6.31E18</v>
      </c>
      <c r="C251" s="998">
        <v>6.31E18</v>
      </c>
      <c r="D251" s="998">
        <v>6.31E18</v>
      </c>
      <c r="E251" s="998">
        <v>6.31E18</v>
      </c>
      <c r="F251" s="998">
        <v>6.31E18</v>
      </c>
      <c r="G251" s="1000"/>
      <c r="H251" s="998">
        <v>6.31E18</v>
      </c>
      <c r="I251" s="998">
        <v>6.31E18</v>
      </c>
      <c r="J251" s="998">
        <v>6.31E18</v>
      </c>
      <c r="K251" s="998">
        <v>6.31E18</v>
      </c>
      <c r="L251" s="998">
        <v>6.31E18</v>
      </c>
      <c r="M251" s="1000"/>
      <c r="N251" s="998">
        <v>6.31E18</v>
      </c>
      <c r="O251" s="1000"/>
      <c r="P251" s="1000"/>
      <c r="Q251" s="1000"/>
      <c r="R251" s="999">
        <v>6.31E18</v>
      </c>
      <c r="S251" s="1000"/>
    </row>
    <row r="252">
      <c r="A252" s="224"/>
      <c r="B252" s="998">
        <v>6.57E18</v>
      </c>
      <c r="C252" s="998">
        <v>6.57E18</v>
      </c>
      <c r="D252" s="998">
        <v>6.57E18</v>
      </c>
      <c r="E252" s="998">
        <v>6.57E18</v>
      </c>
      <c r="F252" s="998">
        <v>6.57E18</v>
      </c>
      <c r="G252" s="1000"/>
      <c r="H252" s="998">
        <v>6.57E18</v>
      </c>
      <c r="I252" s="998">
        <v>6.57E18</v>
      </c>
      <c r="J252" s="998">
        <v>6.57E18</v>
      </c>
      <c r="K252" s="998">
        <v>6.57E18</v>
      </c>
      <c r="L252" s="998">
        <v>6.57E18</v>
      </c>
      <c r="M252" s="1000"/>
      <c r="N252" s="998">
        <v>6.57E18</v>
      </c>
      <c r="O252" s="1000"/>
      <c r="P252" s="1000"/>
      <c r="Q252" s="1000"/>
      <c r="R252" s="999">
        <v>6.57E18</v>
      </c>
      <c r="S252" s="1000"/>
    </row>
    <row r="253">
      <c r="A253" s="224"/>
      <c r="B253" s="998">
        <v>6.84E18</v>
      </c>
      <c r="C253" s="998">
        <v>6.84E18</v>
      </c>
      <c r="D253" s="998">
        <v>6.84E18</v>
      </c>
      <c r="E253" s="998">
        <v>6.84E18</v>
      </c>
      <c r="F253" s="998">
        <v>6.84E18</v>
      </c>
      <c r="G253" s="1000"/>
      <c r="H253" s="998">
        <v>6.84E18</v>
      </c>
      <c r="I253" s="998">
        <v>6.84E18</v>
      </c>
      <c r="J253" s="998">
        <v>6.84E18</v>
      </c>
      <c r="K253" s="998">
        <v>6.84E18</v>
      </c>
      <c r="L253" s="998">
        <v>6.84E18</v>
      </c>
      <c r="M253" s="1000"/>
      <c r="N253" s="998">
        <v>6.84E18</v>
      </c>
      <c r="O253" s="1000"/>
      <c r="P253" s="1000"/>
      <c r="Q253" s="1000"/>
      <c r="R253" s="999">
        <v>6.84E18</v>
      </c>
      <c r="S253" s="1000"/>
    </row>
    <row r="254">
      <c r="A254" s="224"/>
      <c r="B254" s="998">
        <v>7.13E18</v>
      </c>
      <c r="C254" s="998">
        <v>7.13E18</v>
      </c>
      <c r="D254" s="998">
        <v>7.13E18</v>
      </c>
      <c r="E254" s="998">
        <v>7.13E18</v>
      </c>
      <c r="F254" s="998">
        <v>7.13E18</v>
      </c>
      <c r="G254" s="1000"/>
      <c r="H254" s="998">
        <v>7.13E18</v>
      </c>
      <c r="I254" s="998">
        <v>7.13E18</v>
      </c>
      <c r="J254" s="998">
        <v>7.13E18</v>
      </c>
      <c r="K254" s="998">
        <v>7.13E18</v>
      </c>
      <c r="L254" s="998">
        <v>7.13E18</v>
      </c>
      <c r="M254" s="1000"/>
      <c r="N254" s="998">
        <v>7.13E18</v>
      </c>
      <c r="O254" s="1000"/>
      <c r="P254" s="1000"/>
      <c r="Q254" s="1000"/>
      <c r="R254" s="999">
        <v>7.13E18</v>
      </c>
      <c r="S254" s="1000"/>
    </row>
    <row r="255">
      <c r="A255" s="224"/>
      <c r="B255" s="998">
        <v>7.42E18</v>
      </c>
      <c r="C255" s="998">
        <v>7.42E18</v>
      </c>
      <c r="D255" s="998">
        <v>7.42E18</v>
      </c>
      <c r="E255" s="998">
        <v>7.42E18</v>
      </c>
      <c r="F255" s="998">
        <v>7.42E18</v>
      </c>
      <c r="G255" s="1000"/>
      <c r="H255" s="998">
        <v>7.42E18</v>
      </c>
      <c r="I255" s="998">
        <v>7.42E18</v>
      </c>
      <c r="J255" s="998">
        <v>7.42E18</v>
      </c>
      <c r="K255" s="998">
        <v>7.42E18</v>
      </c>
      <c r="L255" s="998">
        <v>7.42E18</v>
      </c>
      <c r="M255" s="1000"/>
      <c r="N255" s="998">
        <v>7.42E18</v>
      </c>
      <c r="O255" s="1000"/>
      <c r="P255" s="1000"/>
      <c r="Q255" s="1000"/>
      <c r="R255" s="999">
        <v>7.42E18</v>
      </c>
      <c r="S255" s="1000"/>
    </row>
    <row r="256">
      <c r="A256" s="224"/>
      <c r="B256" s="998">
        <v>7.71E18</v>
      </c>
      <c r="C256" s="998">
        <v>7.71E18</v>
      </c>
      <c r="D256" s="998">
        <v>7.71E18</v>
      </c>
      <c r="E256" s="998">
        <v>7.71E18</v>
      </c>
      <c r="F256" s="998">
        <v>7.71E18</v>
      </c>
      <c r="G256" s="1000"/>
      <c r="H256" s="998">
        <v>7.71E18</v>
      </c>
      <c r="I256" s="998">
        <v>7.71E18</v>
      </c>
      <c r="J256" s="998">
        <v>7.71E18</v>
      </c>
      <c r="K256" s="998">
        <v>7.71E18</v>
      </c>
      <c r="L256" s="998">
        <v>7.71E18</v>
      </c>
      <c r="M256" s="1000"/>
      <c r="N256" s="998">
        <v>7.71E18</v>
      </c>
      <c r="O256" s="1000"/>
      <c r="P256" s="1000"/>
      <c r="Q256" s="1000"/>
      <c r="R256" s="999">
        <v>7.71E18</v>
      </c>
      <c r="S256" s="1000"/>
    </row>
    <row r="257">
      <c r="A257" s="224"/>
      <c r="B257" s="998">
        <v>8.02E18</v>
      </c>
      <c r="C257" s="998">
        <v>8.02E18</v>
      </c>
      <c r="D257" s="998">
        <v>8.02E18</v>
      </c>
      <c r="E257" s="998">
        <v>8.02E18</v>
      </c>
      <c r="F257" s="998">
        <v>8.02E18</v>
      </c>
      <c r="G257" s="1000"/>
      <c r="H257" s="998">
        <v>8.02E18</v>
      </c>
      <c r="I257" s="998">
        <v>8.02E18</v>
      </c>
      <c r="J257" s="998">
        <v>8.02E18</v>
      </c>
      <c r="K257" s="998">
        <v>8.02E18</v>
      </c>
      <c r="L257" s="998">
        <v>8.02E18</v>
      </c>
      <c r="M257" s="1000"/>
      <c r="N257" s="998">
        <v>8.02E18</v>
      </c>
      <c r="O257" s="1000"/>
      <c r="P257" s="1000"/>
      <c r="Q257" s="1000"/>
      <c r="R257" s="999">
        <v>8.02E18</v>
      </c>
      <c r="S257" s="1000"/>
    </row>
    <row r="258">
      <c r="A258" s="224"/>
      <c r="B258" s="998">
        <v>8.34E18</v>
      </c>
      <c r="C258" s="998">
        <v>8.34E18</v>
      </c>
      <c r="D258" s="998">
        <v>8.34E18</v>
      </c>
      <c r="E258" s="998">
        <v>8.34E18</v>
      </c>
      <c r="F258" s="998">
        <v>8.34E18</v>
      </c>
      <c r="G258" s="1000"/>
      <c r="H258" s="998">
        <v>8.34E18</v>
      </c>
      <c r="I258" s="998">
        <v>8.34E18</v>
      </c>
      <c r="J258" s="998">
        <v>8.34E18</v>
      </c>
      <c r="K258" s="998">
        <v>8.34E18</v>
      </c>
      <c r="L258" s="998">
        <v>8.34E18</v>
      </c>
      <c r="M258" s="1000"/>
      <c r="N258" s="998">
        <v>8.34E18</v>
      </c>
      <c r="O258" s="1000"/>
      <c r="P258" s="1000"/>
      <c r="Q258" s="1000"/>
      <c r="R258" s="999">
        <v>8.34E18</v>
      </c>
      <c r="S258" s="1000"/>
    </row>
    <row r="259">
      <c r="A259" s="224"/>
      <c r="B259" s="998">
        <v>8.66E18</v>
      </c>
      <c r="C259" s="998">
        <v>8.66E18</v>
      </c>
      <c r="D259" s="998">
        <v>8.66E18</v>
      </c>
      <c r="E259" s="998">
        <v>8.66E18</v>
      </c>
      <c r="F259" s="998">
        <v>8.66E18</v>
      </c>
      <c r="G259" s="1000"/>
      <c r="H259" s="998">
        <v>8.66E18</v>
      </c>
      <c r="I259" s="998">
        <v>8.66E18</v>
      </c>
      <c r="J259" s="998">
        <v>8.66E18</v>
      </c>
      <c r="K259" s="998">
        <v>8.66E18</v>
      </c>
      <c r="L259" s="998">
        <v>8.66E18</v>
      </c>
      <c r="M259" s="1000"/>
      <c r="N259" s="998">
        <v>8.66E18</v>
      </c>
      <c r="O259" s="1000"/>
      <c r="P259" s="1000"/>
      <c r="Q259" s="1000"/>
      <c r="R259" s="999">
        <v>8.66E18</v>
      </c>
      <c r="S259" s="1000"/>
    </row>
    <row r="260">
      <c r="A260" s="224"/>
      <c r="B260" s="998">
        <v>9.0E18</v>
      </c>
      <c r="C260" s="998">
        <v>9.0E18</v>
      </c>
      <c r="D260" s="998">
        <v>9.0E18</v>
      </c>
      <c r="E260" s="998">
        <v>9.0E18</v>
      </c>
      <c r="F260" s="998">
        <v>9.0E18</v>
      </c>
      <c r="G260" s="1000"/>
      <c r="H260" s="998">
        <v>9.0E18</v>
      </c>
      <c r="I260" s="998">
        <v>9.0E18</v>
      </c>
      <c r="J260" s="998">
        <v>9.0E18</v>
      </c>
      <c r="K260" s="998">
        <v>9.0E18</v>
      </c>
      <c r="L260" s="998">
        <v>9.0E18</v>
      </c>
      <c r="M260" s="1000"/>
      <c r="N260" s="998">
        <v>9.0E18</v>
      </c>
      <c r="O260" s="1000"/>
      <c r="P260" s="1000"/>
      <c r="Q260" s="1000"/>
      <c r="R260" s="999">
        <v>9.0E18</v>
      </c>
      <c r="S260" s="1000"/>
    </row>
    <row r="261">
      <c r="A261" s="224"/>
      <c r="B261" s="998">
        <v>9.34E18</v>
      </c>
      <c r="C261" s="998">
        <v>9.34E18</v>
      </c>
      <c r="D261" s="998">
        <v>9.34E18</v>
      </c>
      <c r="E261" s="998">
        <v>9.34E18</v>
      </c>
      <c r="F261" s="998">
        <v>9.34E18</v>
      </c>
      <c r="G261" s="1000"/>
      <c r="H261" s="998">
        <v>9.34E18</v>
      </c>
      <c r="I261" s="998">
        <v>9.34E18</v>
      </c>
      <c r="J261" s="998">
        <v>9.34E18</v>
      </c>
      <c r="K261" s="998">
        <v>9.34E18</v>
      </c>
      <c r="L261" s="998">
        <v>9.34E18</v>
      </c>
      <c r="M261" s="1000"/>
      <c r="N261" s="998">
        <v>9.34E18</v>
      </c>
      <c r="O261" s="1000"/>
      <c r="P261" s="1000"/>
      <c r="Q261" s="1000"/>
      <c r="R261" s="999">
        <v>9.34E18</v>
      </c>
      <c r="S261" s="1000"/>
    </row>
    <row r="262">
      <c r="A262" s="224"/>
      <c r="B262" s="998">
        <v>9.7E18</v>
      </c>
      <c r="C262" s="998">
        <v>9.7E18</v>
      </c>
      <c r="D262" s="998">
        <v>9.7E18</v>
      </c>
      <c r="E262" s="998">
        <v>9.7E18</v>
      </c>
      <c r="F262" s="998">
        <v>9.7E18</v>
      </c>
      <c r="G262" s="1000"/>
      <c r="H262" s="998">
        <v>9.7E18</v>
      </c>
      <c r="I262" s="998">
        <v>9.7E18</v>
      </c>
      <c r="J262" s="998">
        <v>9.7E18</v>
      </c>
      <c r="K262" s="998">
        <v>9.7E18</v>
      </c>
      <c r="L262" s="998">
        <v>9.7E18</v>
      </c>
      <c r="M262" s="1000"/>
      <c r="N262" s="998">
        <v>9.7E18</v>
      </c>
      <c r="O262" s="1000"/>
      <c r="P262" s="1000"/>
      <c r="Q262" s="1000"/>
      <c r="R262" s="999">
        <v>9.7E18</v>
      </c>
      <c r="S262" s="1000"/>
    </row>
    <row r="263">
      <c r="A263" s="224"/>
      <c r="B263" s="998">
        <v>1.006E19</v>
      </c>
      <c r="C263" s="998">
        <v>1.006E19</v>
      </c>
      <c r="D263" s="998">
        <v>1.006E19</v>
      </c>
      <c r="E263" s="998">
        <v>1.006E19</v>
      </c>
      <c r="F263" s="998">
        <v>1.006E19</v>
      </c>
      <c r="G263" s="1000"/>
      <c r="H263" s="998">
        <v>1.006E19</v>
      </c>
      <c r="I263" s="998">
        <v>1.006E19</v>
      </c>
      <c r="J263" s="998">
        <v>1.006E19</v>
      </c>
      <c r="K263" s="998">
        <v>1.006E19</v>
      </c>
      <c r="L263" s="998">
        <v>1.006E19</v>
      </c>
      <c r="M263" s="1000"/>
      <c r="N263" s="998">
        <v>1.006E19</v>
      </c>
      <c r="O263" s="1000"/>
      <c r="P263" s="1000"/>
      <c r="Q263" s="1000"/>
      <c r="R263" s="999">
        <v>1.006E19</v>
      </c>
      <c r="S263" s="1000"/>
    </row>
    <row r="264">
      <c r="A264" s="224"/>
      <c r="B264" s="998">
        <v>1.044E19</v>
      </c>
      <c r="C264" s="998">
        <v>1.044E19</v>
      </c>
      <c r="D264" s="998">
        <v>1.044E19</v>
      </c>
      <c r="E264" s="998">
        <v>1.044E19</v>
      </c>
      <c r="F264" s="998">
        <v>1.044E19</v>
      </c>
      <c r="G264" s="1000"/>
      <c r="H264" s="998">
        <v>1.044E19</v>
      </c>
      <c r="I264" s="998">
        <v>1.044E19</v>
      </c>
      <c r="J264" s="998">
        <v>1.044E19</v>
      </c>
      <c r="K264" s="998">
        <v>1.044E19</v>
      </c>
      <c r="L264" s="998">
        <v>1.044E19</v>
      </c>
      <c r="M264" s="1000"/>
      <c r="N264" s="998">
        <v>1.044E19</v>
      </c>
      <c r="O264" s="1000"/>
      <c r="P264" s="1000"/>
      <c r="Q264" s="1000"/>
      <c r="R264" s="999">
        <v>1.044E19</v>
      </c>
      <c r="S264" s="1000"/>
    </row>
    <row r="265">
      <c r="A265" s="224"/>
      <c r="B265" s="998">
        <v>1.082E19</v>
      </c>
      <c r="C265" s="998">
        <v>1.082E19</v>
      </c>
      <c r="D265" s="998">
        <v>1.082E19</v>
      </c>
      <c r="E265" s="998">
        <v>1.082E19</v>
      </c>
      <c r="F265" s="998">
        <v>1.082E19</v>
      </c>
      <c r="G265" s="1000"/>
      <c r="H265" s="998">
        <v>1.082E19</v>
      </c>
      <c r="I265" s="998">
        <v>1.082E19</v>
      </c>
      <c r="J265" s="998">
        <v>1.082E19</v>
      </c>
      <c r="K265" s="998">
        <v>1.082E19</v>
      </c>
      <c r="L265" s="998">
        <v>1.082E19</v>
      </c>
      <c r="M265" s="1000"/>
      <c r="N265" s="998">
        <v>1.082E19</v>
      </c>
      <c r="O265" s="1000"/>
      <c r="P265" s="1000"/>
      <c r="Q265" s="1000"/>
      <c r="R265" s="999">
        <v>1.082E19</v>
      </c>
      <c r="S265" s="1000"/>
    </row>
    <row r="266">
      <c r="A266" s="224"/>
      <c r="B266" s="998">
        <v>1.122E19</v>
      </c>
      <c r="C266" s="998">
        <v>1.122E19</v>
      </c>
      <c r="D266" s="998">
        <v>1.122E19</v>
      </c>
      <c r="E266" s="998">
        <v>1.122E19</v>
      </c>
      <c r="F266" s="998">
        <v>1.122E19</v>
      </c>
      <c r="G266" s="1000"/>
      <c r="H266" s="998">
        <v>1.122E19</v>
      </c>
      <c r="I266" s="998">
        <v>1.122E19</v>
      </c>
      <c r="J266" s="998">
        <v>1.122E19</v>
      </c>
      <c r="K266" s="998">
        <v>1.122E19</v>
      </c>
      <c r="L266" s="998">
        <v>1.122E19</v>
      </c>
      <c r="M266" s="1000"/>
      <c r="N266" s="998">
        <v>1.122E19</v>
      </c>
      <c r="O266" s="1000"/>
      <c r="P266" s="1000"/>
      <c r="Q266" s="1000"/>
      <c r="R266" s="999">
        <v>1.122E19</v>
      </c>
      <c r="S266" s="1000"/>
    </row>
    <row r="267">
      <c r="A267" s="224"/>
      <c r="B267" s="998">
        <v>1.163E19</v>
      </c>
      <c r="C267" s="998">
        <v>1.163E19</v>
      </c>
      <c r="D267" s="998">
        <v>1.163E19</v>
      </c>
      <c r="E267" s="998">
        <v>1.163E19</v>
      </c>
      <c r="F267" s="998">
        <v>1.163E19</v>
      </c>
      <c r="G267" s="1000"/>
      <c r="H267" s="998">
        <v>1.163E19</v>
      </c>
      <c r="I267" s="998">
        <v>1.163E19</v>
      </c>
      <c r="J267" s="998">
        <v>1.163E19</v>
      </c>
      <c r="K267" s="998">
        <v>1.163E19</v>
      </c>
      <c r="L267" s="998">
        <v>1.163E19</v>
      </c>
      <c r="M267" s="1000"/>
      <c r="N267" s="998">
        <v>1.163E19</v>
      </c>
      <c r="O267" s="1000"/>
      <c r="P267" s="1000"/>
      <c r="Q267" s="1000"/>
      <c r="R267" s="999">
        <v>1.163E19</v>
      </c>
      <c r="S267" s="1000"/>
    </row>
    <row r="268">
      <c r="A268" s="224"/>
      <c r="B268" s="998">
        <v>1.205E19</v>
      </c>
      <c r="C268" s="998">
        <v>1.205E19</v>
      </c>
      <c r="D268" s="998">
        <v>1.205E19</v>
      </c>
      <c r="E268" s="998">
        <v>1.205E19</v>
      </c>
      <c r="F268" s="998">
        <v>1.205E19</v>
      </c>
      <c r="G268" s="1000"/>
      <c r="H268" s="998">
        <v>1.205E19</v>
      </c>
      <c r="I268" s="998">
        <v>1.205E19</v>
      </c>
      <c r="J268" s="998">
        <v>1.205E19</v>
      </c>
      <c r="K268" s="998">
        <v>1.205E19</v>
      </c>
      <c r="L268" s="998">
        <v>1.205E19</v>
      </c>
      <c r="M268" s="1000"/>
      <c r="N268" s="998">
        <v>1.205E19</v>
      </c>
      <c r="O268" s="1000"/>
      <c r="P268" s="1000"/>
      <c r="Q268" s="1000"/>
      <c r="R268" s="999">
        <v>1.205E19</v>
      </c>
      <c r="S268" s="1000"/>
    </row>
    <row r="269">
      <c r="A269" s="224"/>
      <c r="B269" s="998">
        <v>1.248E19</v>
      </c>
      <c r="C269" s="998">
        <v>1.248E19</v>
      </c>
      <c r="D269" s="998">
        <v>1.248E19</v>
      </c>
      <c r="E269" s="998">
        <v>1.248E19</v>
      </c>
      <c r="F269" s="998">
        <v>1.248E19</v>
      </c>
      <c r="G269" s="1000"/>
      <c r="H269" s="998">
        <v>1.248E19</v>
      </c>
      <c r="I269" s="998">
        <v>1.248E19</v>
      </c>
      <c r="J269" s="998">
        <v>1.248E19</v>
      </c>
      <c r="K269" s="998">
        <v>1.248E19</v>
      </c>
      <c r="L269" s="998">
        <v>1.248E19</v>
      </c>
      <c r="M269" s="1000"/>
      <c r="N269" s="998">
        <v>1.248E19</v>
      </c>
      <c r="O269" s="1000"/>
      <c r="P269" s="1000"/>
      <c r="Q269" s="1000"/>
      <c r="R269" s="999">
        <v>1.248E19</v>
      </c>
      <c r="S269" s="1000"/>
    </row>
    <row r="270">
      <c r="A270" s="224"/>
      <c r="B270" s="998">
        <v>1.292E19</v>
      </c>
      <c r="C270" s="998">
        <v>1.292E19</v>
      </c>
      <c r="D270" s="998">
        <v>1.292E19</v>
      </c>
      <c r="E270" s="998">
        <v>1.292E19</v>
      </c>
      <c r="F270" s="998">
        <v>1.292E19</v>
      </c>
      <c r="G270" s="1000"/>
      <c r="H270" s="998">
        <v>1.292E19</v>
      </c>
      <c r="I270" s="998">
        <v>1.292E19</v>
      </c>
      <c r="J270" s="998">
        <v>1.292E19</v>
      </c>
      <c r="K270" s="998">
        <v>1.292E19</v>
      </c>
      <c r="L270" s="998">
        <v>1.292E19</v>
      </c>
      <c r="M270" s="1000"/>
      <c r="N270" s="998">
        <v>1.292E19</v>
      </c>
      <c r="O270" s="1000"/>
      <c r="P270" s="1000"/>
      <c r="Q270" s="1000"/>
      <c r="R270" s="999">
        <v>1.292E19</v>
      </c>
      <c r="S270" s="1000"/>
    </row>
    <row r="271">
      <c r="A271" s="224"/>
      <c r="B271" s="998">
        <v>1.337E19</v>
      </c>
      <c r="C271" s="998">
        <v>1.337E19</v>
      </c>
      <c r="D271" s="998">
        <v>1.337E19</v>
      </c>
      <c r="E271" s="998">
        <v>1.337E19</v>
      </c>
      <c r="F271" s="998">
        <v>1.337E19</v>
      </c>
      <c r="G271" s="1000"/>
      <c r="H271" s="998">
        <v>1.337E19</v>
      </c>
      <c r="I271" s="998">
        <v>1.337E19</v>
      </c>
      <c r="J271" s="998">
        <v>1.337E19</v>
      </c>
      <c r="K271" s="998">
        <v>1.337E19</v>
      </c>
      <c r="L271" s="998">
        <v>1.337E19</v>
      </c>
      <c r="M271" s="1000"/>
      <c r="N271" s="998">
        <v>1.337E19</v>
      </c>
      <c r="O271" s="1000"/>
      <c r="P271" s="1000"/>
      <c r="Q271" s="1000"/>
      <c r="R271" s="999">
        <v>1.337E19</v>
      </c>
      <c r="S271" s="1000"/>
    </row>
    <row r="272">
      <c r="A272" s="224"/>
      <c r="B272" s="998">
        <v>1.384E19</v>
      </c>
      <c r="C272" s="998">
        <v>1.384E19</v>
      </c>
      <c r="D272" s="998">
        <v>1.384E19</v>
      </c>
      <c r="E272" s="998">
        <v>1.384E19</v>
      </c>
      <c r="F272" s="998">
        <v>1.384E19</v>
      </c>
      <c r="G272" s="1000"/>
      <c r="H272" s="998">
        <v>1.384E19</v>
      </c>
      <c r="I272" s="998">
        <v>1.384E19</v>
      </c>
      <c r="J272" s="998">
        <v>1.384E19</v>
      </c>
      <c r="K272" s="998">
        <v>1.384E19</v>
      </c>
      <c r="L272" s="998">
        <v>1.384E19</v>
      </c>
      <c r="M272" s="1000"/>
      <c r="N272" s="998">
        <v>1.384E19</v>
      </c>
      <c r="O272" s="1000"/>
      <c r="P272" s="1000"/>
      <c r="Q272" s="1000"/>
      <c r="R272" s="999">
        <v>1.384E19</v>
      </c>
      <c r="S272" s="1000"/>
    </row>
    <row r="273">
      <c r="A273" s="224"/>
      <c r="B273" s="998">
        <v>1.432E19</v>
      </c>
      <c r="C273" s="998">
        <v>1.432E19</v>
      </c>
      <c r="D273" s="998">
        <v>1.432E19</v>
      </c>
      <c r="E273" s="998">
        <v>1.432E19</v>
      </c>
      <c r="F273" s="998">
        <v>1.432E19</v>
      </c>
      <c r="G273" s="1000"/>
      <c r="H273" s="998">
        <v>1.432E19</v>
      </c>
      <c r="I273" s="998">
        <v>1.432E19</v>
      </c>
      <c r="J273" s="998">
        <v>1.432E19</v>
      </c>
      <c r="K273" s="998">
        <v>1.432E19</v>
      </c>
      <c r="L273" s="998">
        <v>1.432E19</v>
      </c>
      <c r="M273" s="1000"/>
      <c r="N273" s="998">
        <v>1.432E19</v>
      </c>
      <c r="O273" s="1000"/>
      <c r="P273" s="1000"/>
      <c r="Q273" s="1000"/>
      <c r="R273" s="999">
        <v>1.432E19</v>
      </c>
      <c r="S273" s="1000"/>
    </row>
    <row r="274">
      <c r="A274" s="224"/>
      <c r="B274" s="998">
        <v>1.481E19</v>
      </c>
      <c r="C274" s="998">
        <v>1.481E19</v>
      </c>
      <c r="D274" s="998">
        <v>1.481E19</v>
      </c>
      <c r="E274" s="998">
        <v>1.481E19</v>
      </c>
      <c r="F274" s="998">
        <v>1.481E19</v>
      </c>
      <c r="G274" s="1000"/>
      <c r="H274" s="998">
        <v>1.481E19</v>
      </c>
      <c r="I274" s="998">
        <v>1.481E19</v>
      </c>
      <c r="J274" s="998">
        <v>1.481E19</v>
      </c>
      <c r="K274" s="998">
        <v>1.481E19</v>
      </c>
      <c r="L274" s="998">
        <v>1.481E19</v>
      </c>
      <c r="M274" s="1000"/>
      <c r="N274" s="998">
        <v>1.481E19</v>
      </c>
      <c r="O274" s="1000"/>
      <c r="P274" s="1000"/>
      <c r="Q274" s="1000"/>
      <c r="R274" s="999">
        <v>1.481E19</v>
      </c>
      <c r="S274" s="1000"/>
    </row>
    <row r="275">
      <c r="A275" s="224"/>
      <c r="B275" s="998">
        <v>1.531E19</v>
      </c>
      <c r="C275" s="998">
        <v>1.531E19</v>
      </c>
      <c r="D275" s="998">
        <v>1.531E19</v>
      </c>
      <c r="E275" s="998">
        <v>1.531E19</v>
      </c>
      <c r="F275" s="998">
        <v>1.531E19</v>
      </c>
      <c r="G275" s="1000"/>
      <c r="H275" s="998">
        <v>1.531E19</v>
      </c>
      <c r="I275" s="998">
        <v>1.531E19</v>
      </c>
      <c r="J275" s="998">
        <v>1.531E19</v>
      </c>
      <c r="K275" s="998">
        <v>1.531E19</v>
      </c>
      <c r="L275" s="998">
        <v>1.531E19</v>
      </c>
      <c r="M275" s="1000"/>
      <c r="N275" s="998">
        <v>1.531E19</v>
      </c>
      <c r="O275" s="1000"/>
      <c r="P275" s="1000"/>
      <c r="Q275" s="1000"/>
      <c r="R275" s="999">
        <v>1.531E19</v>
      </c>
      <c r="S275" s="1000"/>
    </row>
    <row r="276">
      <c r="A276" s="224"/>
      <c r="B276" s="998">
        <v>1.583E19</v>
      </c>
      <c r="C276" s="998">
        <v>1.583E19</v>
      </c>
      <c r="D276" s="998">
        <v>1.583E19</v>
      </c>
      <c r="E276" s="998">
        <v>1.583E19</v>
      </c>
      <c r="F276" s="998">
        <v>1.583E19</v>
      </c>
      <c r="G276" s="1000"/>
      <c r="H276" s="998">
        <v>1.583E19</v>
      </c>
      <c r="I276" s="998">
        <v>1.583E19</v>
      </c>
      <c r="J276" s="998">
        <v>1.583E19</v>
      </c>
      <c r="K276" s="998">
        <v>1.583E19</v>
      </c>
      <c r="L276" s="998">
        <v>1.583E19</v>
      </c>
      <c r="M276" s="1000"/>
      <c r="N276" s="998">
        <v>1.583E19</v>
      </c>
      <c r="O276" s="1000"/>
      <c r="P276" s="1000"/>
      <c r="Q276" s="1000"/>
      <c r="R276" s="999">
        <v>1.583E19</v>
      </c>
      <c r="S276" s="1000"/>
    </row>
    <row r="277">
      <c r="A277" s="224"/>
      <c r="B277" s="998">
        <v>1.636E19</v>
      </c>
      <c r="C277" s="998">
        <v>1.636E19</v>
      </c>
      <c r="D277" s="998">
        <v>1.636E19</v>
      </c>
      <c r="E277" s="998">
        <v>1.636E19</v>
      </c>
      <c r="F277" s="998">
        <v>1.636E19</v>
      </c>
      <c r="G277" s="1000"/>
      <c r="H277" s="998">
        <v>1.636E19</v>
      </c>
      <c r="I277" s="998">
        <v>1.636E19</v>
      </c>
      <c r="J277" s="998">
        <v>1.636E19</v>
      </c>
      <c r="K277" s="998">
        <v>1.636E19</v>
      </c>
      <c r="L277" s="998">
        <v>1.636E19</v>
      </c>
      <c r="M277" s="1000"/>
      <c r="N277" s="998">
        <v>1.636E19</v>
      </c>
      <c r="O277" s="1000"/>
      <c r="P277" s="1000"/>
      <c r="Q277" s="1000"/>
      <c r="R277" s="999">
        <v>1.636E19</v>
      </c>
      <c r="S277" s="1000"/>
    </row>
    <row r="278">
      <c r="A278" s="224"/>
      <c r="B278" s="998">
        <v>1.691E19</v>
      </c>
      <c r="C278" s="998">
        <v>1.691E19</v>
      </c>
      <c r="D278" s="998">
        <v>1.691E19</v>
      </c>
      <c r="E278" s="998">
        <v>1.691E19</v>
      </c>
      <c r="F278" s="998">
        <v>1.691E19</v>
      </c>
      <c r="G278" s="1000"/>
      <c r="H278" s="998">
        <v>1.691E19</v>
      </c>
      <c r="I278" s="998">
        <v>1.691E19</v>
      </c>
      <c r="J278" s="998">
        <v>1.691E19</v>
      </c>
      <c r="K278" s="998">
        <v>1.691E19</v>
      </c>
      <c r="L278" s="998">
        <v>1.691E19</v>
      </c>
      <c r="M278" s="1000"/>
      <c r="N278" s="998">
        <v>1.691E19</v>
      </c>
      <c r="O278" s="1000"/>
      <c r="P278" s="1000"/>
      <c r="Q278" s="1000"/>
      <c r="R278" s="999">
        <v>1.691E19</v>
      </c>
      <c r="S278" s="1000"/>
    </row>
    <row r="279">
      <c r="A279" s="224"/>
      <c r="B279" s="998">
        <v>1.746E19</v>
      </c>
      <c r="C279" s="998">
        <v>1.746E19</v>
      </c>
      <c r="D279" s="998">
        <v>1.746E19</v>
      </c>
      <c r="E279" s="998">
        <v>1.746E19</v>
      </c>
      <c r="F279" s="998">
        <v>1.746E19</v>
      </c>
      <c r="G279" s="1000"/>
      <c r="H279" s="998">
        <v>1.746E19</v>
      </c>
      <c r="I279" s="998">
        <v>1.746E19</v>
      </c>
      <c r="J279" s="998">
        <v>1.746E19</v>
      </c>
      <c r="K279" s="998">
        <v>1.746E19</v>
      </c>
      <c r="L279" s="998">
        <v>1.746E19</v>
      </c>
      <c r="M279" s="1000"/>
      <c r="N279" s="998">
        <v>1.746E19</v>
      </c>
      <c r="O279" s="1000"/>
      <c r="P279" s="1000"/>
      <c r="Q279" s="1000"/>
      <c r="R279" s="999">
        <v>1.746E19</v>
      </c>
      <c r="S279" s="1000"/>
    </row>
    <row r="280">
      <c r="A280" s="224"/>
      <c r="B280" s="998">
        <v>1.804E19</v>
      </c>
      <c r="C280" s="998">
        <v>1.804E19</v>
      </c>
      <c r="D280" s="998">
        <v>1.804E19</v>
      </c>
      <c r="E280" s="998">
        <v>1.804E19</v>
      </c>
      <c r="F280" s="998">
        <v>1.804E19</v>
      </c>
      <c r="G280" s="1000"/>
      <c r="H280" s="998">
        <v>1.804E19</v>
      </c>
      <c r="I280" s="998">
        <v>1.804E19</v>
      </c>
      <c r="J280" s="998">
        <v>1.804E19</v>
      </c>
      <c r="K280" s="998">
        <v>1.804E19</v>
      </c>
      <c r="L280" s="998">
        <v>1.804E19</v>
      </c>
      <c r="M280" s="1000"/>
      <c r="N280" s="998">
        <v>1.804E19</v>
      </c>
      <c r="O280" s="1000"/>
      <c r="P280" s="1000"/>
      <c r="Q280" s="1000"/>
      <c r="R280" s="999">
        <v>1.804E19</v>
      </c>
      <c r="S280" s="1000"/>
    </row>
    <row r="281">
      <c r="A281" s="224"/>
      <c r="B281" s="998">
        <v>1.862E19</v>
      </c>
      <c r="C281" s="998">
        <v>1.862E19</v>
      </c>
      <c r="D281" s="998">
        <v>1.862E19</v>
      </c>
      <c r="E281" s="998">
        <v>1.862E19</v>
      </c>
      <c r="F281" s="998">
        <v>1.862E19</v>
      </c>
      <c r="G281" s="1000"/>
      <c r="H281" s="998">
        <v>1.862E19</v>
      </c>
      <c r="I281" s="998">
        <v>1.862E19</v>
      </c>
      <c r="J281" s="998">
        <v>1.862E19</v>
      </c>
      <c r="K281" s="998">
        <v>1.862E19</v>
      </c>
      <c r="L281" s="998">
        <v>1.862E19</v>
      </c>
      <c r="M281" s="1000"/>
      <c r="N281" s="998">
        <v>1.862E19</v>
      </c>
      <c r="O281" s="1000"/>
      <c r="P281" s="1000"/>
      <c r="Q281" s="1000"/>
      <c r="R281" s="999">
        <v>1.862E19</v>
      </c>
      <c r="S281" s="1000"/>
    </row>
    <row r="282">
      <c r="A282" s="224"/>
      <c r="B282" s="998">
        <v>1.923E19</v>
      </c>
      <c r="C282" s="998">
        <v>1.923E19</v>
      </c>
      <c r="D282" s="998">
        <v>1.923E19</v>
      </c>
      <c r="E282" s="998">
        <v>1.923E19</v>
      </c>
      <c r="F282" s="998">
        <v>1.923E19</v>
      </c>
      <c r="G282" s="1000"/>
      <c r="H282" s="998">
        <v>1.923E19</v>
      </c>
      <c r="I282" s="998">
        <v>1.923E19</v>
      </c>
      <c r="J282" s="998">
        <v>1.923E19</v>
      </c>
      <c r="K282" s="998">
        <v>1.923E19</v>
      </c>
      <c r="L282" s="998">
        <v>1.923E19</v>
      </c>
      <c r="M282" s="1000"/>
      <c r="N282" s="998">
        <v>1.923E19</v>
      </c>
      <c r="O282" s="1000"/>
      <c r="P282" s="1000"/>
      <c r="Q282" s="1000"/>
      <c r="R282" s="999">
        <v>1.923E19</v>
      </c>
      <c r="S282" s="1000"/>
    </row>
    <row r="283">
      <c r="A283" s="224"/>
      <c r="B283" s="998">
        <v>1.984E19</v>
      </c>
      <c r="C283" s="998">
        <v>1.984E19</v>
      </c>
      <c r="D283" s="998">
        <v>1.984E19</v>
      </c>
      <c r="E283" s="998">
        <v>1.984E19</v>
      </c>
      <c r="F283" s="998">
        <v>1.984E19</v>
      </c>
      <c r="G283" s="1000"/>
      <c r="H283" s="998">
        <v>1.984E19</v>
      </c>
      <c r="I283" s="998">
        <v>1.984E19</v>
      </c>
      <c r="J283" s="998">
        <v>1.984E19</v>
      </c>
      <c r="K283" s="998">
        <v>1.984E19</v>
      </c>
      <c r="L283" s="998">
        <v>1.984E19</v>
      </c>
      <c r="M283" s="1000"/>
      <c r="N283" s="998">
        <v>1.984E19</v>
      </c>
      <c r="O283" s="1000"/>
      <c r="P283" s="1000"/>
      <c r="Q283" s="1000"/>
      <c r="R283" s="999">
        <v>1.984E19</v>
      </c>
      <c r="S283" s="1000"/>
    </row>
    <row r="284">
      <c r="A284" s="224"/>
      <c r="B284" s="998">
        <v>2.048E19</v>
      </c>
      <c r="C284" s="998">
        <v>2.048E19</v>
      </c>
      <c r="D284" s="998">
        <v>2.048E19</v>
      </c>
      <c r="E284" s="998">
        <v>2.048E19</v>
      </c>
      <c r="F284" s="998">
        <v>2.048E19</v>
      </c>
      <c r="G284" s="1000"/>
      <c r="H284" s="998">
        <v>2.048E19</v>
      </c>
      <c r="I284" s="998">
        <v>2.048E19</v>
      </c>
      <c r="J284" s="998">
        <v>2.048E19</v>
      </c>
      <c r="K284" s="998">
        <v>2.048E19</v>
      </c>
      <c r="L284" s="998">
        <v>2.048E19</v>
      </c>
      <c r="M284" s="1000"/>
      <c r="N284" s="998">
        <v>2.048E19</v>
      </c>
      <c r="O284" s="1000"/>
      <c r="P284" s="1000"/>
      <c r="Q284" s="1000"/>
      <c r="R284" s="999">
        <v>2.048E19</v>
      </c>
      <c r="S284" s="1000"/>
    </row>
    <row r="285">
      <c r="A285" s="224"/>
      <c r="B285" s="998">
        <v>2.113E19</v>
      </c>
      <c r="C285" s="998">
        <v>2.113E19</v>
      </c>
      <c r="D285" s="998">
        <v>2.113E19</v>
      </c>
      <c r="E285" s="998">
        <v>2.113E19</v>
      </c>
      <c r="F285" s="998">
        <v>2.113E19</v>
      </c>
      <c r="G285" s="1000"/>
      <c r="H285" s="998">
        <v>2.113E19</v>
      </c>
      <c r="I285" s="998">
        <v>2.113E19</v>
      </c>
      <c r="J285" s="998">
        <v>2.113E19</v>
      </c>
      <c r="K285" s="998">
        <v>2.113E19</v>
      </c>
      <c r="L285" s="998">
        <v>2.113E19</v>
      </c>
      <c r="M285" s="1000"/>
      <c r="N285" s="998">
        <v>2.113E19</v>
      </c>
      <c r="O285" s="1000"/>
      <c r="P285" s="1000"/>
      <c r="Q285" s="1000"/>
      <c r="R285" s="999">
        <v>2.113E19</v>
      </c>
      <c r="S285" s="1000"/>
    </row>
    <row r="286">
      <c r="A286" s="224"/>
      <c r="B286" s="998">
        <v>2.179E19</v>
      </c>
      <c r="C286" s="998">
        <v>2.179E19</v>
      </c>
      <c r="D286" s="998">
        <v>2.179E19</v>
      </c>
      <c r="E286" s="998">
        <v>2.179E19</v>
      </c>
      <c r="F286" s="998">
        <v>2.179E19</v>
      </c>
      <c r="G286" s="1000"/>
      <c r="H286" s="998">
        <v>2.179E19</v>
      </c>
      <c r="I286" s="998">
        <v>2.179E19</v>
      </c>
      <c r="J286" s="998">
        <v>2.179E19</v>
      </c>
      <c r="K286" s="998">
        <v>2.179E19</v>
      </c>
      <c r="L286" s="998">
        <v>2.179E19</v>
      </c>
      <c r="M286" s="1000"/>
      <c r="N286" s="998">
        <v>2.179E19</v>
      </c>
      <c r="O286" s="1000"/>
      <c r="P286" s="1000"/>
      <c r="Q286" s="1000"/>
      <c r="R286" s="999">
        <v>2.179E19</v>
      </c>
      <c r="S286" s="1000"/>
    </row>
    <row r="287">
      <c r="A287" s="224"/>
      <c r="B287" s="998">
        <v>2.247E19</v>
      </c>
      <c r="C287" s="998">
        <v>2.247E19</v>
      </c>
      <c r="D287" s="998">
        <v>2.247E19</v>
      </c>
      <c r="E287" s="998">
        <v>2.247E19</v>
      </c>
      <c r="F287" s="998">
        <v>2.247E19</v>
      </c>
      <c r="G287" s="1000"/>
      <c r="H287" s="998">
        <v>2.247E19</v>
      </c>
      <c r="I287" s="998">
        <v>2.247E19</v>
      </c>
      <c r="J287" s="998">
        <v>2.247E19</v>
      </c>
      <c r="K287" s="998">
        <v>2.247E19</v>
      </c>
      <c r="L287" s="998">
        <v>2.247E19</v>
      </c>
      <c r="M287" s="1000"/>
      <c r="N287" s="998">
        <v>2.247E19</v>
      </c>
      <c r="O287" s="1000"/>
      <c r="P287" s="1000"/>
      <c r="Q287" s="1000"/>
      <c r="R287" s="999">
        <v>2.247E19</v>
      </c>
      <c r="S287" s="1000"/>
    </row>
    <row r="288">
      <c r="A288" s="224"/>
      <c r="B288" s="998">
        <v>2.317E19</v>
      </c>
      <c r="C288" s="998">
        <v>2.317E19</v>
      </c>
      <c r="D288" s="998">
        <v>2.317E19</v>
      </c>
      <c r="E288" s="998">
        <v>2.317E19</v>
      </c>
      <c r="F288" s="998">
        <v>2.317E19</v>
      </c>
      <c r="G288" s="1000"/>
      <c r="H288" s="998">
        <v>2.317E19</v>
      </c>
      <c r="I288" s="998">
        <v>2.317E19</v>
      </c>
      <c r="J288" s="998">
        <v>2.317E19</v>
      </c>
      <c r="K288" s="998">
        <v>2.317E19</v>
      </c>
      <c r="L288" s="998">
        <v>2.317E19</v>
      </c>
      <c r="M288" s="1000"/>
      <c r="N288" s="998">
        <v>2.317E19</v>
      </c>
      <c r="O288" s="1000"/>
      <c r="P288" s="1000"/>
      <c r="Q288" s="1000"/>
      <c r="R288" s="999">
        <v>2.317E19</v>
      </c>
      <c r="S288" s="1000"/>
    </row>
    <row r="289">
      <c r="A289" s="224"/>
      <c r="B289" s="998">
        <v>2.389E19</v>
      </c>
      <c r="C289" s="998">
        <v>2.389E19</v>
      </c>
      <c r="D289" s="998">
        <v>2.389E19</v>
      </c>
      <c r="E289" s="998">
        <v>2.389E19</v>
      </c>
      <c r="F289" s="998">
        <v>2.389E19</v>
      </c>
      <c r="G289" s="1000"/>
      <c r="H289" s="998">
        <v>2.389E19</v>
      </c>
      <c r="I289" s="998">
        <v>2.389E19</v>
      </c>
      <c r="J289" s="998">
        <v>2.389E19</v>
      </c>
      <c r="K289" s="998">
        <v>2.389E19</v>
      </c>
      <c r="L289" s="998">
        <v>2.389E19</v>
      </c>
      <c r="M289" s="1000"/>
      <c r="N289" s="998">
        <v>2.389E19</v>
      </c>
      <c r="O289" s="1000"/>
      <c r="P289" s="1000"/>
      <c r="Q289" s="1000"/>
      <c r="R289" s="999">
        <v>2.389E19</v>
      </c>
      <c r="S289" s="1000"/>
    </row>
    <row r="290">
      <c r="A290" s="224"/>
      <c r="B290" s="998">
        <v>2.462E19</v>
      </c>
      <c r="C290" s="998">
        <v>2.462E19</v>
      </c>
      <c r="D290" s="998">
        <v>2.462E19</v>
      </c>
      <c r="E290" s="998">
        <v>2.462E19</v>
      </c>
      <c r="F290" s="998">
        <v>2.462E19</v>
      </c>
      <c r="G290" s="1000"/>
      <c r="H290" s="998">
        <v>2.462E19</v>
      </c>
      <c r="I290" s="998">
        <v>2.462E19</v>
      </c>
      <c r="J290" s="998">
        <v>2.462E19</v>
      </c>
      <c r="K290" s="998">
        <v>2.462E19</v>
      </c>
      <c r="L290" s="998">
        <v>2.462E19</v>
      </c>
      <c r="M290" s="1000"/>
      <c r="N290" s="998">
        <v>2.462E19</v>
      </c>
      <c r="O290" s="1000"/>
      <c r="P290" s="1000"/>
      <c r="Q290" s="1000"/>
      <c r="R290" s="999">
        <v>2.462E19</v>
      </c>
      <c r="S290" s="1000"/>
    </row>
    <row r="291">
      <c r="A291" s="224"/>
      <c r="B291" s="998">
        <v>2.537E19</v>
      </c>
      <c r="C291" s="998">
        <v>2.537E19</v>
      </c>
      <c r="D291" s="998">
        <v>2.537E19</v>
      </c>
      <c r="E291" s="998">
        <v>2.537E19</v>
      </c>
      <c r="F291" s="998">
        <v>2.537E19</v>
      </c>
      <c r="G291" s="1000"/>
      <c r="H291" s="998">
        <v>2.537E19</v>
      </c>
      <c r="I291" s="998">
        <v>2.537E19</v>
      </c>
      <c r="J291" s="998">
        <v>2.537E19</v>
      </c>
      <c r="K291" s="998">
        <v>2.537E19</v>
      </c>
      <c r="L291" s="998">
        <v>2.537E19</v>
      </c>
      <c r="M291" s="1000"/>
      <c r="N291" s="998">
        <v>2.537E19</v>
      </c>
      <c r="O291" s="1000"/>
      <c r="P291" s="1000"/>
      <c r="Q291" s="1000"/>
      <c r="R291" s="999">
        <v>2.537E19</v>
      </c>
      <c r="S291" s="1000"/>
    </row>
    <row r="292">
      <c r="A292" s="224"/>
      <c r="B292" s="998">
        <v>2.614E19</v>
      </c>
      <c r="C292" s="998">
        <v>2.614E19</v>
      </c>
      <c r="D292" s="998">
        <v>2.614E19</v>
      </c>
      <c r="E292" s="998">
        <v>2.614E19</v>
      </c>
      <c r="F292" s="998">
        <v>2.614E19</v>
      </c>
      <c r="G292" s="1000"/>
      <c r="H292" s="998">
        <v>2.614E19</v>
      </c>
      <c r="I292" s="998">
        <v>2.614E19</v>
      </c>
      <c r="J292" s="998">
        <v>2.614E19</v>
      </c>
      <c r="K292" s="998">
        <v>2.614E19</v>
      </c>
      <c r="L292" s="998">
        <v>2.614E19</v>
      </c>
      <c r="M292" s="1000"/>
      <c r="N292" s="998">
        <v>2.614E19</v>
      </c>
      <c r="O292" s="1000"/>
      <c r="P292" s="1000"/>
      <c r="Q292" s="1000"/>
      <c r="R292" s="999">
        <v>2.614E19</v>
      </c>
      <c r="S292" s="1000"/>
    </row>
    <row r="293">
      <c r="A293" s="224"/>
      <c r="B293" s="998">
        <v>2.692E19</v>
      </c>
      <c r="C293" s="998">
        <v>2.692E19</v>
      </c>
      <c r="D293" s="998">
        <v>2.692E19</v>
      </c>
      <c r="E293" s="998">
        <v>2.692E19</v>
      </c>
      <c r="F293" s="998">
        <v>2.692E19</v>
      </c>
      <c r="G293" s="1000"/>
      <c r="H293" s="998">
        <v>2.692E19</v>
      </c>
      <c r="I293" s="998">
        <v>2.692E19</v>
      </c>
      <c r="J293" s="998">
        <v>2.692E19</v>
      </c>
      <c r="K293" s="998">
        <v>2.692E19</v>
      </c>
      <c r="L293" s="998">
        <v>2.692E19</v>
      </c>
      <c r="M293" s="1000"/>
      <c r="N293" s="998">
        <v>2.692E19</v>
      </c>
      <c r="O293" s="1000"/>
      <c r="P293" s="1000"/>
      <c r="Q293" s="1000"/>
      <c r="R293" s="999">
        <v>2.692E19</v>
      </c>
      <c r="S293" s="1000"/>
    </row>
    <row r="294">
      <c r="A294" s="224"/>
      <c r="B294" s="998">
        <v>2.773E19</v>
      </c>
      <c r="C294" s="998">
        <v>2.773E19</v>
      </c>
      <c r="D294" s="998">
        <v>2.773E19</v>
      </c>
      <c r="E294" s="998">
        <v>2.773E19</v>
      </c>
      <c r="F294" s="998">
        <v>2.773E19</v>
      </c>
      <c r="G294" s="1000"/>
      <c r="H294" s="998">
        <v>2.773E19</v>
      </c>
      <c r="I294" s="998">
        <v>2.773E19</v>
      </c>
      <c r="J294" s="998">
        <v>2.773E19</v>
      </c>
      <c r="K294" s="998">
        <v>2.773E19</v>
      </c>
      <c r="L294" s="998">
        <v>2.773E19</v>
      </c>
      <c r="M294" s="1000"/>
      <c r="N294" s="998">
        <v>2.773E19</v>
      </c>
      <c r="O294" s="1000"/>
      <c r="P294" s="1000"/>
      <c r="Q294" s="1000"/>
      <c r="R294" s="999">
        <v>2.773E19</v>
      </c>
      <c r="S294" s="1000"/>
    </row>
    <row r="295">
      <c r="A295" s="224"/>
      <c r="B295" s="998">
        <v>2.855E19</v>
      </c>
      <c r="C295" s="998">
        <v>2.855E19</v>
      </c>
      <c r="D295" s="998">
        <v>2.855E19</v>
      </c>
      <c r="E295" s="998">
        <v>2.855E19</v>
      </c>
      <c r="F295" s="998">
        <v>2.855E19</v>
      </c>
      <c r="G295" s="1000"/>
      <c r="H295" s="998">
        <v>2.855E19</v>
      </c>
      <c r="I295" s="998">
        <v>2.855E19</v>
      </c>
      <c r="J295" s="998">
        <v>2.855E19</v>
      </c>
      <c r="K295" s="998">
        <v>2.855E19</v>
      </c>
      <c r="L295" s="998">
        <v>2.855E19</v>
      </c>
      <c r="M295" s="1000"/>
      <c r="N295" s="998">
        <v>2.855E19</v>
      </c>
      <c r="O295" s="1000"/>
      <c r="P295" s="1000"/>
      <c r="Q295" s="1000"/>
      <c r="R295" s="999">
        <v>2.855E19</v>
      </c>
      <c r="S295" s="1000"/>
    </row>
    <row r="296">
      <c r="A296" s="224"/>
      <c r="B296" s="998">
        <v>2.939E19</v>
      </c>
      <c r="C296" s="998">
        <v>2.939E19</v>
      </c>
      <c r="D296" s="998">
        <v>2.939E19</v>
      </c>
      <c r="E296" s="998">
        <v>2.939E19</v>
      </c>
      <c r="F296" s="998">
        <v>2.939E19</v>
      </c>
      <c r="G296" s="1000"/>
      <c r="H296" s="998">
        <v>2.939E19</v>
      </c>
      <c r="I296" s="998">
        <v>2.939E19</v>
      </c>
      <c r="J296" s="998">
        <v>2.939E19</v>
      </c>
      <c r="K296" s="998">
        <v>2.939E19</v>
      </c>
      <c r="L296" s="998">
        <v>2.939E19</v>
      </c>
      <c r="M296" s="1000"/>
      <c r="N296" s="998">
        <v>2.939E19</v>
      </c>
      <c r="O296" s="1000"/>
      <c r="P296" s="1000"/>
      <c r="Q296" s="1000"/>
      <c r="R296" s="999">
        <v>2.939E19</v>
      </c>
      <c r="S296" s="1000"/>
    </row>
    <row r="297">
      <c r="A297" s="224"/>
      <c r="B297" s="998">
        <v>3.026E19</v>
      </c>
      <c r="C297" s="998">
        <v>3.026E19</v>
      </c>
      <c r="D297" s="998">
        <v>3.026E19</v>
      </c>
      <c r="E297" s="998">
        <v>3.026E19</v>
      </c>
      <c r="F297" s="998">
        <v>3.026E19</v>
      </c>
      <c r="G297" s="1000"/>
      <c r="H297" s="998">
        <v>3.026E19</v>
      </c>
      <c r="I297" s="998">
        <v>3.026E19</v>
      </c>
      <c r="J297" s="998">
        <v>3.026E19</v>
      </c>
      <c r="K297" s="998">
        <v>3.026E19</v>
      </c>
      <c r="L297" s="998">
        <v>3.026E19</v>
      </c>
      <c r="M297" s="1000"/>
      <c r="N297" s="998">
        <v>3.026E19</v>
      </c>
      <c r="O297" s="1000"/>
      <c r="P297" s="1000"/>
      <c r="Q297" s="1000"/>
      <c r="R297" s="999">
        <v>3.026E19</v>
      </c>
      <c r="S297" s="1000"/>
    </row>
    <row r="298">
      <c r="A298" s="224"/>
      <c r="B298" s="998">
        <v>3.114E19</v>
      </c>
      <c r="C298" s="998">
        <v>3.114E19</v>
      </c>
      <c r="D298" s="998">
        <v>3.114E19</v>
      </c>
      <c r="E298" s="998">
        <v>3.114E19</v>
      </c>
      <c r="F298" s="998">
        <v>3.114E19</v>
      </c>
      <c r="G298" s="1000"/>
      <c r="H298" s="998">
        <v>3.114E19</v>
      </c>
      <c r="I298" s="998">
        <v>3.114E19</v>
      </c>
      <c r="J298" s="998">
        <v>3.114E19</v>
      </c>
      <c r="K298" s="998">
        <v>3.114E19</v>
      </c>
      <c r="L298" s="998">
        <v>3.114E19</v>
      </c>
      <c r="M298" s="1000"/>
      <c r="N298" s="998">
        <v>3.114E19</v>
      </c>
      <c r="O298" s="1000"/>
      <c r="P298" s="1000"/>
      <c r="Q298" s="1000"/>
      <c r="R298" s="999">
        <v>3.114E19</v>
      </c>
      <c r="S298" s="1000"/>
    </row>
    <row r="299">
      <c r="A299" s="224"/>
      <c r="B299" s="998">
        <v>3.204E19</v>
      </c>
      <c r="C299" s="998">
        <v>3.204E19</v>
      </c>
      <c r="D299" s="998">
        <v>3.204E19</v>
      </c>
      <c r="E299" s="998">
        <v>3.204E19</v>
      </c>
      <c r="F299" s="998">
        <v>3.204E19</v>
      </c>
      <c r="G299" s="1000"/>
      <c r="H299" s="998">
        <v>3.204E19</v>
      </c>
      <c r="I299" s="998">
        <v>3.204E19</v>
      </c>
      <c r="J299" s="998">
        <v>3.204E19</v>
      </c>
      <c r="K299" s="998">
        <v>3.204E19</v>
      </c>
      <c r="L299" s="998">
        <v>3.204E19</v>
      </c>
      <c r="M299" s="1000"/>
      <c r="N299" s="998">
        <v>3.204E19</v>
      </c>
      <c r="O299" s="1000"/>
      <c r="P299" s="1000"/>
      <c r="Q299" s="1000"/>
      <c r="R299" s="999">
        <v>3.204E19</v>
      </c>
      <c r="S299" s="1000"/>
    </row>
    <row r="300">
      <c r="A300" s="224"/>
      <c r="B300" s="998">
        <v>3.297E19</v>
      </c>
      <c r="C300" s="998">
        <v>3.297E19</v>
      </c>
      <c r="D300" s="998">
        <v>3.297E19</v>
      </c>
      <c r="E300" s="998">
        <v>3.297E19</v>
      </c>
      <c r="F300" s="998">
        <v>3.297E19</v>
      </c>
      <c r="G300" s="1000"/>
      <c r="H300" s="998">
        <v>3.297E19</v>
      </c>
      <c r="I300" s="998">
        <v>3.297E19</v>
      </c>
      <c r="J300" s="998">
        <v>3.297E19</v>
      </c>
      <c r="K300" s="998">
        <v>3.297E19</v>
      </c>
      <c r="L300" s="998">
        <v>3.297E19</v>
      </c>
      <c r="M300" s="1000"/>
      <c r="N300" s="998">
        <v>3.297E19</v>
      </c>
      <c r="O300" s="1000"/>
      <c r="P300" s="1000"/>
      <c r="Q300" s="1000"/>
      <c r="R300" s="999">
        <v>3.297E19</v>
      </c>
      <c r="S300" s="1000"/>
    </row>
    <row r="301">
      <c r="A301" s="224"/>
      <c r="B301" s="998">
        <v>3.391E19</v>
      </c>
      <c r="C301" s="998">
        <v>3.391E19</v>
      </c>
      <c r="D301" s="998">
        <v>3.391E19</v>
      </c>
      <c r="E301" s="998">
        <v>3.391E19</v>
      </c>
      <c r="F301" s="998">
        <v>3.391E19</v>
      </c>
      <c r="G301" s="1000"/>
      <c r="H301" s="998">
        <v>3.391E19</v>
      </c>
      <c r="I301" s="998">
        <v>3.391E19</v>
      </c>
      <c r="J301" s="998">
        <v>3.391E19</v>
      </c>
      <c r="K301" s="998">
        <v>3.391E19</v>
      </c>
      <c r="L301" s="998">
        <v>3.391E19</v>
      </c>
      <c r="M301" s="1000"/>
      <c r="N301" s="998">
        <v>3.391E19</v>
      </c>
      <c r="O301" s="1000"/>
      <c r="P301" s="1000"/>
      <c r="Q301" s="1000"/>
      <c r="R301" s="999">
        <v>3.391E19</v>
      </c>
      <c r="S301" s="1000"/>
    </row>
    <row r="302">
      <c r="A302" s="224"/>
      <c r="B302" s="998">
        <v>3.488E19</v>
      </c>
      <c r="C302" s="998">
        <v>3.488E19</v>
      </c>
      <c r="D302" s="998">
        <v>3.488E19</v>
      </c>
      <c r="E302" s="998">
        <v>3.488E19</v>
      </c>
      <c r="F302" s="998">
        <v>3.488E19</v>
      </c>
      <c r="G302" s="1000"/>
      <c r="H302" s="998">
        <v>3.488E19</v>
      </c>
      <c r="I302" s="998">
        <v>3.488E19</v>
      </c>
      <c r="J302" s="998">
        <v>3.488E19</v>
      </c>
      <c r="K302" s="998">
        <v>3.488E19</v>
      </c>
      <c r="L302" s="998">
        <v>3.488E19</v>
      </c>
      <c r="M302" s="1000"/>
      <c r="N302" s="998">
        <v>3.488E19</v>
      </c>
      <c r="O302" s="1000"/>
      <c r="P302" s="1000"/>
      <c r="Q302" s="1000"/>
      <c r="R302" s="999">
        <v>3.488E19</v>
      </c>
      <c r="S302" s="1000"/>
    </row>
    <row r="303">
      <c r="A303" s="224"/>
      <c r="B303" s="998">
        <v>3.587E19</v>
      </c>
      <c r="C303" s="998">
        <v>3.587E19</v>
      </c>
      <c r="D303" s="998">
        <v>3.587E19</v>
      </c>
      <c r="E303" s="998">
        <v>3.587E19</v>
      </c>
      <c r="F303" s="998">
        <v>3.587E19</v>
      </c>
      <c r="G303" s="1000"/>
      <c r="H303" s="998">
        <v>3.587E19</v>
      </c>
      <c r="I303" s="998">
        <v>3.587E19</v>
      </c>
      <c r="J303" s="998">
        <v>3.587E19</v>
      </c>
      <c r="K303" s="998">
        <v>3.587E19</v>
      </c>
      <c r="L303" s="998">
        <v>3.587E19</v>
      </c>
      <c r="M303" s="1000"/>
      <c r="N303" s="998">
        <v>3.587E19</v>
      </c>
      <c r="O303" s="1000"/>
      <c r="P303" s="1000"/>
      <c r="Q303" s="1000"/>
      <c r="R303" s="1000"/>
      <c r="S303" s="1000"/>
    </row>
    <row r="304">
      <c r="A304" s="1001"/>
      <c r="B304" s="998">
        <v>3.688E19</v>
      </c>
      <c r="C304" s="998">
        <v>3.688E19</v>
      </c>
      <c r="D304" s="998">
        <v>3.688E19</v>
      </c>
      <c r="E304" s="998">
        <v>3.688E19</v>
      </c>
      <c r="F304" s="998">
        <v>3.688E19</v>
      </c>
      <c r="G304" s="1000"/>
      <c r="H304" s="998">
        <v>3.688E19</v>
      </c>
      <c r="I304" s="998">
        <v>3.688E19</v>
      </c>
      <c r="J304" s="998">
        <v>3.688E19</v>
      </c>
      <c r="K304" s="998">
        <v>3.688E19</v>
      </c>
      <c r="L304" s="998">
        <v>3.688E19</v>
      </c>
      <c r="M304" s="1000"/>
      <c r="N304" s="998">
        <v>3.688E19</v>
      </c>
      <c r="O304" s="1000"/>
      <c r="P304" s="1000"/>
      <c r="Q304" s="1000"/>
      <c r="R304" s="1000"/>
      <c r="S304" s="1000"/>
    </row>
    <row r="305">
      <c r="A305" s="1001"/>
      <c r="B305" s="998">
        <v>3.791E19</v>
      </c>
      <c r="C305" s="998">
        <v>3.791E19</v>
      </c>
      <c r="D305" s="998">
        <v>3.791E19</v>
      </c>
      <c r="E305" s="998">
        <v>3.791E19</v>
      </c>
      <c r="F305" s="998">
        <v>3.791E19</v>
      </c>
      <c r="G305" s="1000"/>
      <c r="H305" s="998">
        <v>3.791E19</v>
      </c>
      <c r="I305" s="998">
        <v>3.791E19</v>
      </c>
      <c r="J305" s="998">
        <v>3.791E19</v>
      </c>
      <c r="K305" s="998">
        <v>3.791E19</v>
      </c>
      <c r="L305" s="998">
        <v>3.791E19</v>
      </c>
      <c r="M305" s="1000"/>
      <c r="N305" s="998">
        <v>3.791E19</v>
      </c>
      <c r="O305" s="1000"/>
      <c r="P305" s="1000"/>
      <c r="Q305" s="1000"/>
      <c r="R305" s="1000"/>
      <c r="S305" s="1000"/>
    </row>
    <row r="306">
      <c r="A306" s="1001"/>
      <c r="B306" s="998">
        <v>3.897E19</v>
      </c>
      <c r="C306" s="998">
        <v>3.897E19</v>
      </c>
      <c r="D306" s="998">
        <v>3.897E19</v>
      </c>
      <c r="E306" s="998">
        <v>3.897E19</v>
      </c>
      <c r="F306" s="998">
        <v>3.897E19</v>
      </c>
      <c r="G306" s="1000"/>
      <c r="H306" s="998">
        <v>3.897E19</v>
      </c>
      <c r="I306" s="998">
        <v>3.897E19</v>
      </c>
      <c r="J306" s="998">
        <v>3.897E19</v>
      </c>
      <c r="K306" s="998">
        <v>3.897E19</v>
      </c>
      <c r="L306" s="998">
        <v>3.897E19</v>
      </c>
      <c r="M306" s="1000"/>
      <c r="N306" s="998">
        <v>3.897E19</v>
      </c>
      <c r="O306" s="1000"/>
      <c r="P306" s="1000"/>
      <c r="Q306" s="1000"/>
      <c r="R306" s="1000"/>
      <c r="S306" s="1000"/>
    </row>
    <row r="307">
      <c r="A307" s="1001"/>
      <c r="B307" s="998">
        <v>4.005E19</v>
      </c>
      <c r="C307" s="998">
        <v>4.005E19</v>
      </c>
      <c r="D307" s="998">
        <v>4.005E19</v>
      </c>
      <c r="E307" s="998">
        <v>4.005E19</v>
      </c>
      <c r="F307" s="998">
        <v>4.005E19</v>
      </c>
      <c r="G307" s="1000"/>
      <c r="H307" s="998">
        <v>4.005E19</v>
      </c>
      <c r="I307" s="998">
        <v>4.005E19</v>
      </c>
      <c r="J307" s="998">
        <v>4.005E19</v>
      </c>
      <c r="K307" s="998">
        <v>4.005E19</v>
      </c>
      <c r="L307" s="998">
        <v>4.005E19</v>
      </c>
      <c r="M307" s="1000"/>
      <c r="N307" s="998">
        <v>4.005E19</v>
      </c>
      <c r="O307" s="1000"/>
      <c r="P307" s="1000"/>
      <c r="Q307" s="1000"/>
      <c r="R307" s="1000"/>
      <c r="S307" s="1000"/>
    </row>
    <row r="308">
      <c r="A308" s="1001"/>
      <c r="B308" s="998">
        <v>4.115E19</v>
      </c>
      <c r="C308" s="998">
        <v>4.115E19</v>
      </c>
      <c r="D308" s="998">
        <v>4.115E19</v>
      </c>
      <c r="E308" s="998">
        <v>4.115E19</v>
      </c>
      <c r="F308" s="998">
        <v>4.115E19</v>
      </c>
      <c r="G308" s="1000"/>
      <c r="H308" s="998">
        <v>4.115E19</v>
      </c>
      <c r="I308" s="998">
        <v>4.115E19</v>
      </c>
      <c r="J308" s="998">
        <v>4.115E19</v>
      </c>
      <c r="K308" s="998">
        <v>4.115E19</v>
      </c>
      <c r="L308" s="998">
        <v>4.115E19</v>
      </c>
      <c r="M308" s="1000"/>
      <c r="N308" s="998">
        <v>4.115E19</v>
      </c>
      <c r="O308" s="1000"/>
      <c r="P308" s="1000"/>
      <c r="Q308" s="1000"/>
      <c r="R308" s="1000"/>
      <c r="S308" s="1000"/>
    </row>
    <row r="309">
      <c r="A309" s="1001"/>
      <c r="B309" s="998">
        <v>4.228E19</v>
      </c>
      <c r="C309" s="998">
        <v>4.228E19</v>
      </c>
      <c r="D309" s="998">
        <v>4.228E19</v>
      </c>
      <c r="E309" s="998">
        <v>4.228E19</v>
      </c>
      <c r="F309" s="998">
        <v>4.228E19</v>
      </c>
      <c r="G309" s="1000"/>
      <c r="H309" s="998">
        <v>4.228E19</v>
      </c>
      <c r="I309" s="998">
        <v>4.228E19</v>
      </c>
      <c r="J309" s="998">
        <v>4.228E19</v>
      </c>
      <c r="K309" s="998">
        <v>4.228E19</v>
      </c>
      <c r="L309" s="998">
        <v>4.228E19</v>
      </c>
      <c r="M309" s="1000"/>
      <c r="N309" s="998">
        <v>4.228E19</v>
      </c>
      <c r="O309" s="1000"/>
      <c r="P309" s="1000"/>
      <c r="Q309" s="1000"/>
      <c r="R309" s="1000"/>
      <c r="S309" s="1000"/>
    </row>
    <row r="310">
      <c r="A310" s="1001"/>
      <c r="B310" s="998">
        <v>4.343E19</v>
      </c>
      <c r="C310" s="998">
        <v>4.343E19</v>
      </c>
      <c r="D310" s="998">
        <v>4.343E19</v>
      </c>
      <c r="E310" s="998">
        <v>4.343E19</v>
      </c>
      <c r="F310" s="998">
        <v>4.343E19</v>
      </c>
      <c r="G310" s="1000"/>
      <c r="H310" s="998">
        <v>4.343E19</v>
      </c>
      <c r="I310" s="998">
        <v>4.343E19</v>
      </c>
      <c r="J310" s="998">
        <v>4.343E19</v>
      </c>
      <c r="K310" s="998">
        <v>4.343E19</v>
      </c>
      <c r="L310" s="998">
        <v>4.343E19</v>
      </c>
      <c r="M310" s="1000"/>
      <c r="N310" s="998">
        <v>4.343E19</v>
      </c>
      <c r="O310" s="1000"/>
      <c r="P310" s="1000"/>
      <c r="Q310" s="1000"/>
      <c r="R310" s="1000"/>
      <c r="S310" s="1000"/>
    </row>
    <row r="311">
      <c r="A311" s="1001"/>
      <c r="B311" s="998">
        <v>4.461E19</v>
      </c>
      <c r="C311" s="998">
        <v>4.461E19</v>
      </c>
      <c r="D311" s="998">
        <v>4.461E19</v>
      </c>
      <c r="E311" s="998">
        <v>4.461E19</v>
      </c>
      <c r="F311" s="998">
        <v>4.461E19</v>
      </c>
      <c r="G311" s="1000"/>
      <c r="H311" s="998">
        <v>4.461E19</v>
      </c>
      <c r="I311" s="998">
        <v>4.461E19</v>
      </c>
      <c r="J311" s="998">
        <v>4.461E19</v>
      </c>
      <c r="K311" s="998">
        <v>4.461E19</v>
      </c>
      <c r="L311" s="998">
        <v>4.461E19</v>
      </c>
      <c r="M311" s="1000"/>
      <c r="N311" s="998">
        <v>4.461E19</v>
      </c>
      <c r="O311" s="1000"/>
      <c r="P311" s="1000"/>
      <c r="Q311" s="1000"/>
      <c r="R311" s="1000"/>
      <c r="S311" s="1000"/>
    </row>
    <row r="312">
      <c r="A312" s="1001"/>
      <c r="B312" s="998">
        <v>4.582E19</v>
      </c>
      <c r="C312" s="998">
        <v>4.582E19</v>
      </c>
      <c r="D312" s="998">
        <v>4.582E19</v>
      </c>
      <c r="E312" s="998">
        <v>4.582E19</v>
      </c>
      <c r="F312" s="998">
        <v>4.582E19</v>
      </c>
      <c r="G312" s="1000"/>
      <c r="H312" s="998">
        <v>4.582E19</v>
      </c>
      <c r="I312" s="998">
        <v>4.582E19</v>
      </c>
      <c r="J312" s="998">
        <v>4.582E19</v>
      </c>
      <c r="K312" s="998">
        <v>4.582E19</v>
      </c>
      <c r="L312" s="998">
        <v>4.582E19</v>
      </c>
      <c r="M312" s="1000"/>
      <c r="N312" s="998">
        <v>4.582E19</v>
      </c>
      <c r="O312" s="1000"/>
      <c r="P312" s="1000"/>
      <c r="Q312" s="1000"/>
      <c r="R312" s="1000"/>
      <c r="S312" s="1000"/>
    </row>
    <row r="313">
      <c r="A313" s="1001"/>
      <c r="B313" s="998">
        <v>4.705E19</v>
      </c>
      <c r="C313" s="998">
        <v>4.705E19</v>
      </c>
      <c r="D313" s="998">
        <v>4.705E19</v>
      </c>
      <c r="E313" s="998">
        <v>4.705E19</v>
      </c>
      <c r="F313" s="998">
        <v>4.705E19</v>
      </c>
      <c r="G313" s="1000"/>
      <c r="H313" s="998">
        <v>4.705E19</v>
      </c>
      <c r="I313" s="998">
        <v>4.705E19</v>
      </c>
      <c r="J313" s="998">
        <v>4.705E19</v>
      </c>
      <c r="K313" s="998">
        <v>4.705E19</v>
      </c>
      <c r="L313" s="998">
        <v>4.705E19</v>
      </c>
      <c r="M313" s="1000"/>
      <c r="N313" s="998">
        <v>4.705E19</v>
      </c>
      <c r="O313" s="1000"/>
      <c r="P313" s="1000"/>
      <c r="Q313" s="1000"/>
      <c r="R313" s="1000"/>
      <c r="S313" s="1000"/>
    </row>
    <row r="314">
      <c r="A314" s="1001"/>
      <c r="B314" s="998">
        <v>4.83E19</v>
      </c>
      <c r="C314" s="998">
        <v>4.83E19</v>
      </c>
      <c r="D314" s="998">
        <v>4.83E19</v>
      </c>
      <c r="E314" s="998">
        <v>4.83E19</v>
      </c>
      <c r="F314" s="998">
        <v>4.83E19</v>
      </c>
      <c r="G314" s="1000"/>
      <c r="H314" s="998">
        <v>4.83E19</v>
      </c>
      <c r="I314" s="998">
        <v>4.83E19</v>
      </c>
      <c r="J314" s="998">
        <v>4.83E19</v>
      </c>
      <c r="K314" s="998">
        <v>4.83E19</v>
      </c>
      <c r="L314" s="998">
        <v>4.83E19</v>
      </c>
      <c r="M314" s="1000"/>
      <c r="N314" s="998">
        <v>4.83E19</v>
      </c>
      <c r="O314" s="1000"/>
      <c r="P314" s="1000"/>
      <c r="Q314" s="1000"/>
      <c r="R314" s="1000"/>
      <c r="S314" s="1000"/>
    </row>
    <row r="315">
      <c r="A315" s="1001"/>
      <c r="B315" s="998">
        <v>4.959E19</v>
      </c>
      <c r="C315" s="998">
        <v>4.959E19</v>
      </c>
      <c r="D315" s="998">
        <v>4.959E19</v>
      </c>
      <c r="E315" s="998">
        <v>4.959E19</v>
      </c>
      <c r="F315" s="998">
        <v>4.959E19</v>
      </c>
      <c r="G315" s="1000"/>
      <c r="H315" s="998">
        <v>4.959E19</v>
      </c>
      <c r="I315" s="998">
        <v>4.959E19</v>
      </c>
      <c r="J315" s="998">
        <v>4.959E19</v>
      </c>
      <c r="K315" s="998">
        <v>4.959E19</v>
      </c>
      <c r="L315" s="998">
        <v>4.959E19</v>
      </c>
      <c r="M315" s="1000"/>
      <c r="N315" s="998">
        <v>4.959E19</v>
      </c>
      <c r="O315" s="1000"/>
      <c r="P315" s="1000"/>
      <c r="Q315" s="1000"/>
      <c r="R315" s="1000"/>
      <c r="S315" s="1000"/>
    </row>
    <row r="316">
      <c r="A316" s="1001"/>
      <c r="B316" s="998">
        <v>5.09E19</v>
      </c>
      <c r="C316" s="998">
        <v>5.09E19</v>
      </c>
      <c r="D316" s="998">
        <v>5.09E19</v>
      </c>
      <c r="E316" s="998">
        <v>5.09E19</v>
      </c>
      <c r="F316" s="998">
        <v>5.09E19</v>
      </c>
      <c r="G316" s="1000"/>
      <c r="H316" s="998">
        <v>5.09E19</v>
      </c>
      <c r="I316" s="998">
        <v>5.09E19</v>
      </c>
      <c r="J316" s="998">
        <v>5.09E19</v>
      </c>
      <c r="K316" s="998">
        <v>5.09E19</v>
      </c>
      <c r="L316" s="998">
        <v>5.09E19</v>
      </c>
      <c r="M316" s="1000"/>
      <c r="N316" s="998">
        <v>5.09E19</v>
      </c>
      <c r="O316" s="1000"/>
      <c r="P316" s="1000"/>
      <c r="Q316" s="1000"/>
      <c r="R316" s="1000"/>
      <c r="S316" s="1000"/>
    </row>
    <row r="317">
      <c r="A317" s="1001"/>
      <c r="B317" s="998">
        <v>5.223E19</v>
      </c>
      <c r="C317" s="998">
        <v>5.223E19</v>
      </c>
      <c r="D317" s="998">
        <v>5.223E19</v>
      </c>
      <c r="E317" s="998">
        <v>5.223E19</v>
      </c>
      <c r="F317" s="998">
        <v>5.223E19</v>
      </c>
      <c r="G317" s="1000"/>
      <c r="H317" s="998">
        <v>5.223E19</v>
      </c>
      <c r="I317" s="998">
        <v>5.223E19</v>
      </c>
      <c r="J317" s="998">
        <v>5.223E19</v>
      </c>
      <c r="K317" s="998">
        <v>5.223E19</v>
      </c>
      <c r="L317" s="998">
        <v>5.223E19</v>
      </c>
      <c r="M317" s="1000"/>
      <c r="N317" s="998">
        <v>5.223E19</v>
      </c>
      <c r="O317" s="1000"/>
      <c r="P317" s="1000"/>
      <c r="Q317" s="1000"/>
      <c r="R317" s="1000"/>
      <c r="S317" s="1000"/>
    </row>
    <row r="318">
      <c r="A318" s="1001"/>
      <c r="B318" s="998">
        <v>5.36E19</v>
      </c>
      <c r="C318" s="998">
        <v>5.36E19</v>
      </c>
      <c r="D318" s="998">
        <v>5.36E19</v>
      </c>
      <c r="E318" s="998">
        <v>5.36E19</v>
      </c>
      <c r="F318" s="998">
        <v>5.36E19</v>
      </c>
      <c r="G318" s="1000"/>
      <c r="H318" s="998">
        <v>5.36E19</v>
      </c>
      <c r="I318" s="998">
        <v>5.36E19</v>
      </c>
      <c r="J318" s="998">
        <v>5.36E19</v>
      </c>
      <c r="K318" s="998">
        <v>5.36E19</v>
      </c>
      <c r="L318" s="998">
        <v>5.36E19</v>
      </c>
      <c r="M318" s="1000"/>
      <c r="N318" s="998">
        <v>5.36E19</v>
      </c>
      <c r="O318" s="1000"/>
      <c r="P318" s="1000"/>
      <c r="Q318" s="1000"/>
      <c r="R318" s="1000"/>
      <c r="S318" s="1000"/>
    </row>
    <row r="319">
      <c r="A319" s="1001"/>
      <c r="B319" s="998">
        <v>5.5E19</v>
      </c>
      <c r="C319" s="998">
        <v>5.5E19</v>
      </c>
      <c r="D319" s="998">
        <v>5.5E19</v>
      </c>
      <c r="E319" s="998">
        <v>5.5E19</v>
      </c>
      <c r="F319" s="998">
        <v>5.5E19</v>
      </c>
      <c r="G319" s="1000"/>
      <c r="H319" s="998">
        <v>5.5E19</v>
      </c>
      <c r="I319" s="998">
        <v>5.5E19</v>
      </c>
      <c r="J319" s="998">
        <v>5.5E19</v>
      </c>
      <c r="K319" s="998">
        <v>5.5E19</v>
      </c>
      <c r="L319" s="998">
        <v>5.5E19</v>
      </c>
      <c r="M319" s="1000"/>
      <c r="N319" s="998">
        <v>5.5E19</v>
      </c>
      <c r="O319" s="1000"/>
      <c r="P319" s="1000"/>
      <c r="Q319" s="1000"/>
      <c r="R319" s="1000"/>
      <c r="S319" s="1000"/>
    </row>
    <row r="320">
      <c r="A320" s="1001"/>
      <c r="B320" s="998">
        <v>5.642E19</v>
      </c>
      <c r="C320" s="998">
        <v>5.642E19</v>
      </c>
      <c r="D320" s="998">
        <v>5.642E19</v>
      </c>
      <c r="E320" s="998">
        <v>5.642E19</v>
      </c>
      <c r="F320" s="998">
        <v>5.642E19</v>
      </c>
      <c r="G320" s="1000"/>
      <c r="H320" s="998">
        <v>5.642E19</v>
      </c>
      <c r="I320" s="998">
        <v>5.642E19</v>
      </c>
      <c r="J320" s="998">
        <v>5.642E19</v>
      </c>
      <c r="K320" s="998">
        <v>5.642E19</v>
      </c>
      <c r="L320" s="998">
        <v>5.642E19</v>
      </c>
      <c r="M320" s="1000"/>
      <c r="N320" s="998">
        <v>5.642E19</v>
      </c>
      <c r="O320" s="1000"/>
      <c r="P320" s="1000"/>
      <c r="Q320" s="1000"/>
      <c r="R320" s="1000"/>
      <c r="S320" s="1000"/>
    </row>
    <row r="321">
      <c r="A321" s="1001"/>
      <c r="B321" s="998">
        <v>5.787E19</v>
      </c>
      <c r="C321" s="998">
        <v>5.787E19</v>
      </c>
      <c r="D321" s="998">
        <v>5.787E19</v>
      </c>
      <c r="E321" s="998">
        <v>5.787E19</v>
      </c>
      <c r="F321" s="998">
        <v>5.787E19</v>
      </c>
      <c r="G321" s="1000"/>
      <c r="H321" s="998">
        <v>5.787E19</v>
      </c>
      <c r="I321" s="998">
        <v>5.787E19</v>
      </c>
      <c r="J321" s="998">
        <v>5.787E19</v>
      </c>
      <c r="K321" s="998">
        <v>5.787E19</v>
      </c>
      <c r="L321" s="998">
        <v>5.787E19</v>
      </c>
      <c r="M321" s="1000"/>
      <c r="N321" s="998">
        <v>5.787E19</v>
      </c>
      <c r="O321" s="1000"/>
      <c r="P321" s="1000"/>
      <c r="Q321" s="1000"/>
      <c r="R321" s="1000"/>
      <c r="S321" s="1000"/>
    </row>
    <row r="322">
      <c r="A322" s="1001"/>
      <c r="B322" s="998">
        <v>5.936E19</v>
      </c>
      <c r="C322" s="998">
        <v>5.936E19</v>
      </c>
      <c r="D322" s="998">
        <v>5.936E19</v>
      </c>
      <c r="E322" s="998">
        <v>5.936E19</v>
      </c>
      <c r="F322" s="998">
        <v>5.936E19</v>
      </c>
      <c r="G322" s="1000"/>
      <c r="H322" s="998">
        <v>5.936E19</v>
      </c>
      <c r="I322" s="998">
        <v>5.936E19</v>
      </c>
      <c r="J322" s="998">
        <v>5.936E19</v>
      </c>
      <c r="K322" s="998">
        <v>5.936E19</v>
      </c>
      <c r="L322" s="998">
        <v>5.936E19</v>
      </c>
      <c r="M322" s="1000"/>
      <c r="N322" s="998">
        <v>5.936E19</v>
      </c>
      <c r="O322" s="1000"/>
      <c r="P322" s="1000"/>
      <c r="Q322" s="1000"/>
      <c r="R322" s="1000"/>
      <c r="S322" s="1000"/>
    </row>
    <row r="323">
      <c r="A323" s="1001"/>
      <c r="B323" s="998">
        <v>6.087E19</v>
      </c>
      <c r="C323" s="998">
        <v>6.087E19</v>
      </c>
      <c r="D323" s="998">
        <v>6.087E19</v>
      </c>
      <c r="E323" s="998">
        <v>6.087E19</v>
      </c>
      <c r="F323" s="998">
        <v>6.087E19</v>
      </c>
      <c r="G323" s="1000"/>
      <c r="H323" s="998">
        <v>6.087E19</v>
      </c>
      <c r="I323" s="998">
        <v>6.087E19</v>
      </c>
      <c r="J323" s="998">
        <v>6.087E19</v>
      </c>
      <c r="K323" s="998">
        <v>6.087E19</v>
      </c>
      <c r="L323" s="998">
        <v>6.087E19</v>
      </c>
      <c r="M323" s="1000"/>
      <c r="N323" s="998">
        <v>6.087E19</v>
      </c>
      <c r="O323" s="1000"/>
      <c r="P323" s="1000"/>
      <c r="Q323" s="1000"/>
      <c r="R323" s="1000"/>
      <c r="S323" s="1000"/>
    </row>
    <row r="324">
      <c r="A324" s="1001"/>
      <c r="B324" s="998">
        <v>6.242E19</v>
      </c>
      <c r="C324" s="998">
        <v>6.242E19</v>
      </c>
      <c r="D324" s="998">
        <v>6.242E19</v>
      </c>
      <c r="E324" s="998">
        <v>6.242E19</v>
      </c>
      <c r="F324" s="998">
        <v>6.242E19</v>
      </c>
      <c r="G324" s="1000"/>
      <c r="H324" s="998">
        <v>6.242E19</v>
      </c>
      <c r="I324" s="998">
        <v>6.242E19</v>
      </c>
      <c r="J324" s="998">
        <v>6.242E19</v>
      </c>
      <c r="K324" s="998">
        <v>6.242E19</v>
      </c>
      <c r="L324" s="998">
        <v>6.242E19</v>
      </c>
      <c r="M324" s="1000"/>
      <c r="N324" s="998">
        <v>6.242E19</v>
      </c>
      <c r="O324" s="1000"/>
      <c r="P324" s="1000"/>
      <c r="Q324" s="1000"/>
      <c r="R324" s="1000"/>
      <c r="S324" s="1000"/>
    </row>
    <row r="325">
      <c r="A325" s="1001"/>
      <c r="B325" s="998">
        <v>6.4E19</v>
      </c>
      <c r="C325" s="998">
        <v>6.4E19</v>
      </c>
      <c r="D325" s="998">
        <v>6.4E19</v>
      </c>
      <c r="E325" s="998">
        <v>6.4E19</v>
      </c>
      <c r="F325" s="998">
        <v>6.4E19</v>
      </c>
      <c r="G325" s="1000"/>
      <c r="H325" s="998">
        <v>6.4E19</v>
      </c>
      <c r="I325" s="998">
        <v>6.4E19</v>
      </c>
      <c r="J325" s="998">
        <v>6.4E19</v>
      </c>
      <c r="K325" s="998">
        <v>6.4E19</v>
      </c>
      <c r="L325" s="998">
        <v>6.4E19</v>
      </c>
      <c r="M325" s="1000"/>
      <c r="N325" s="998">
        <v>6.4E19</v>
      </c>
      <c r="O325" s="1000"/>
      <c r="P325" s="1000"/>
      <c r="Q325" s="1000"/>
      <c r="R325" s="1000"/>
      <c r="S325" s="1000"/>
    </row>
    <row r="326">
      <c r="A326" s="1001"/>
      <c r="B326" s="998">
        <v>6.56E19</v>
      </c>
      <c r="C326" s="998">
        <v>6.56E19</v>
      </c>
      <c r="D326" s="998">
        <v>6.56E19</v>
      </c>
      <c r="E326" s="998">
        <v>6.56E19</v>
      </c>
      <c r="F326" s="998">
        <v>6.56E19</v>
      </c>
      <c r="G326" s="1000"/>
      <c r="H326" s="998">
        <v>6.56E19</v>
      </c>
      <c r="I326" s="998">
        <v>6.56E19</v>
      </c>
      <c r="J326" s="998">
        <v>6.56E19</v>
      </c>
      <c r="K326" s="998">
        <v>6.56E19</v>
      </c>
      <c r="L326" s="998">
        <v>6.56E19</v>
      </c>
      <c r="M326" s="1000"/>
      <c r="N326" s="998">
        <v>6.56E19</v>
      </c>
      <c r="O326" s="1000"/>
      <c r="P326" s="1000"/>
      <c r="Q326" s="1000"/>
      <c r="R326" s="1000"/>
      <c r="S326" s="1000"/>
    </row>
    <row r="327">
      <c r="A327" s="1001"/>
      <c r="B327" s="998">
        <v>6.725E19</v>
      </c>
      <c r="C327" s="998">
        <v>6.725E19</v>
      </c>
      <c r="D327" s="998">
        <v>6.725E19</v>
      </c>
      <c r="E327" s="998">
        <v>6.725E19</v>
      </c>
      <c r="F327" s="998">
        <v>6.725E19</v>
      </c>
      <c r="G327" s="1000"/>
      <c r="H327" s="998">
        <v>6.725E19</v>
      </c>
      <c r="I327" s="998">
        <v>6.725E19</v>
      </c>
      <c r="J327" s="998">
        <v>6.725E19</v>
      </c>
      <c r="K327" s="998">
        <v>6.725E19</v>
      </c>
      <c r="L327" s="998">
        <v>6.725E19</v>
      </c>
      <c r="M327" s="1000"/>
      <c r="N327" s="998">
        <v>6.725E19</v>
      </c>
      <c r="O327" s="1000"/>
      <c r="P327" s="1000"/>
      <c r="Q327" s="1000"/>
      <c r="R327" s="1000"/>
      <c r="S327" s="1000"/>
    </row>
    <row r="328">
      <c r="A328" s="1001"/>
      <c r="B328" s="998">
        <v>6.892E19</v>
      </c>
      <c r="C328" s="998">
        <v>6.892E19</v>
      </c>
      <c r="D328" s="998">
        <v>6.892E19</v>
      </c>
      <c r="E328" s="998">
        <v>6.892E19</v>
      </c>
      <c r="F328" s="998">
        <v>6.892E19</v>
      </c>
      <c r="G328" s="1000"/>
      <c r="H328" s="998">
        <v>6.892E19</v>
      </c>
      <c r="I328" s="998">
        <v>6.892E19</v>
      </c>
      <c r="J328" s="998">
        <v>6.892E19</v>
      </c>
      <c r="K328" s="998">
        <v>6.892E19</v>
      </c>
      <c r="L328" s="998">
        <v>6.892E19</v>
      </c>
      <c r="M328" s="1000"/>
      <c r="N328" s="998">
        <v>6.892E19</v>
      </c>
      <c r="O328" s="1000"/>
      <c r="P328" s="1000"/>
      <c r="Q328" s="1000"/>
      <c r="R328" s="1000"/>
      <c r="S328" s="1000"/>
    </row>
    <row r="329">
      <c r="A329" s="1001"/>
      <c r="B329" s="998">
        <v>7.063E19</v>
      </c>
      <c r="C329" s="998">
        <v>7.063E19</v>
      </c>
      <c r="D329" s="998">
        <v>7.063E19</v>
      </c>
      <c r="E329" s="998">
        <v>7.063E19</v>
      </c>
      <c r="F329" s="998">
        <v>7.063E19</v>
      </c>
      <c r="G329" s="1000"/>
      <c r="H329" s="998">
        <v>7.063E19</v>
      </c>
      <c r="I329" s="998">
        <v>7.063E19</v>
      </c>
      <c r="J329" s="998">
        <v>7.063E19</v>
      </c>
      <c r="K329" s="998">
        <v>7.063E19</v>
      </c>
      <c r="L329" s="998">
        <v>7.063E19</v>
      </c>
      <c r="M329" s="1000"/>
      <c r="N329" s="998">
        <v>7.063E19</v>
      </c>
      <c r="O329" s="1000"/>
      <c r="P329" s="1000"/>
      <c r="Q329" s="1000"/>
      <c r="R329" s="1000"/>
      <c r="S329" s="1000"/>
    </row>
    <row r="330">
      <c r="A330" s="1001"/>
      <c r="B330" s="998">
        <v>7.237E19</v>
      </c>
      <c r="C330" s="998">
        <v>7.237E19</v>
      </c>
      <c r="D330" s="998">
        <v>7.237E19</v>
      </c>
      <c r="E330" s="998">
        <v>7.237E19</v>
      </c>
      <c r="F330" s="998">
        <v>7.237E19</v>
      </c>
      <c r="G330" s="1000"/>
      <c r="H330" s="998">
        <v>7.237E19</v>
      </c>
      <c r="I330" s="998">
        <v>7.237E19</v>
      </c>
      <c r="J330" s="998">
        <v>7.237E19</v>
      </c>
      <c r="K330" s="998">
        <v>7.237E19</v>
      </c>
      <c r="L330" s="998">
        <v>7.237E19</v>
      </c>
      <c r="M330" s="1000"/>
      <c r="N330" s="998">
        <v>7.237E19</v>
      </c>
      <c r="O330" s="1000"/>
      <c r="P330" s="1000"/>
      <c r="Q330" s="1000"/>
      <c r="R330" s="1000"/>
      <c r="S330" s="1000"/>
    </row>
    <row r="331">
      <c r="A331" s="1001"/>
      <c r="B331" s="998">
        <v>7.415E19</v>
      </c>
      <c r="C331" s="998">
        <v>7.415E19</v>
      </c>
      <c r="D331" s="998">
        <v>7.415E19</v>
      </c>
      <c r="E331" s="998">
        <v>7.415E19</v>
      </c>
      <c r="F331" s="998">
        <v>7.415E19</v>
      </c>
      <c r="G331" s="1000"/>
      <c r="H331" s="998">
        <v>7.415E19</v>
      </c>
      <c r="I331" s="998">
        <v>7.415E19</v>
      </c>
      <c r="J331" s="998">
        <v>7.415E19</v>
      </c>
      <c r="K331" s="998">
        <v>7.415E19</v>
      </c>
      <c r="L331" s="998">
        <v>7.415E19</v>
      </c>
      <c r="M331" s="1000"/>
      <c r="N331" s="998">
        <v>7.415E19</v>
      </c>
      <c r="O331" s="1000"/>
      <c r="P331" s="1000"/>
      <c r="Q331" s="1000"/>
      <c r="R331" s="1000"/>
      <c r="S331" s="1000"/>
    </row>
    <row r="332">
      <c r="A332" s="1001"/>
      <c r="B332" s="998">
        <v>7.597E19</v>
      </c>
      <c r="C332" s="998">
        <v>7.597E19</v>
      </c>
      <c r="D332" s="998">
        <v>7.597E19</v>
      </c>
      <c r="E332" s="998">
        <v>7.597E19</v>
      </c>
      <c r="F332" s="998">
        <v>7.597E19</v>
      </c>
      <c r="G332" s="1000"/>
      <c r="H332" s="998">
        <v>7.597E19</v>
      </c>
      <c r="I332" s="998">
        <v>7.597E19</v>
      </c>
      <c r="J332" s="998">
        <v>7.597E19</v>
      </c>
      <c r="K332" s="998">
        <v>7.597E19</v>
      </c>
      <c r="L332" s="998">
        <v>7.597E19</v>
      </c>
      <c r="M332" s="1000"/>
      <c r="N332" s="998">
        <v>7.597E19</v>
      </c>
      <c r="O332" s="1000"/>
      <c r="P332" s="1000"/>
      <c r="Q332" s="1000"/>
      <c r="R332" s="1000"/>
      <c r="S332" s="1000"/>
    </row>
    <row r="333">
      <c r="A333" s="1001"/>
      <c r="B333" s="998">
        <v>7.781E19</v>
      </c>
      <c r="C333" s="998">
        <v>7.781E19</v>
      </c>
      <c r="D333" s="998">
        <v>7.781E19</v>
      </c>
      <c r="E333" s="998">
        <v>7.781E19</v>
      </c>
      <c r="F333" s="998">
        <v>7.781E19</v>
      </c>
      <c r="G333" s="1000"/>
      <c r="H333" s="998">
        <v>7.781E19</v>
      </c>
      <c r="I333" s="998">
        <v>7.781E19</v>
      </c>
      <c r="J333" s="998">
        <v>7.781E19</v>
      </c>
      <c r="K333" s="998">
        <v>7.781E19</v>
      </c>
      <c r="L333" s="998">
        <v>7.781E19</v>
      </c>
      <c r="M333" s="1000"/>
      <c r="N333" s="998">
        <v>7.781E19</v>
      </c>
      <c r="O333" s="1000"/>
      <c r="P333" s="1000"/>
      <c r="Q333" s="1000"/>
      <c r="R333" s="1000"/>
      <c r="S333" s="1000"/>
    </row>
    <row r="334">
      <c r="A334" s="1001"/>
      <c r="B334" s="998">
        <v>7.97E19</v>
      </c>
      <c r="C334" s="998">
        <v>7.97E19</v>
      </c>
      <c r="D334" s="998">
        <v>7.97E19</v>
      </c>
      <c r="E334" s="998">
        <v>7.97E19</v>
      </c>
      <c r="F334" s="998">
        <v>7.97E19</v>
      </c>
      <c r="G334" s="1000"/>
      <c r="H334" s="998">
        <v>7.97E19</v>
      </c>
      <c r="I334" s="998">
        <v>7.97E19</v>
      </c>
      <c r="J334" s="998">
        <v>7.97E19</v>
      </c>
      <c r="K334" s="998">
        <v>7.97E19</v>
      </c>
      <c r="L334" s="998">
        <v>7.97E19</v>
      </c>
      <c r="M334" s="1000"/>
      <c r="N334" s="998">
        <v>7.97E19</v>
      </c>
      <c r="O334" s="1000"/>
      <c r="P334" s="1000"/>
      <c r="Q334" s="1000"/>
      <c r="R334" s="1000"/>
      <c r="S334" s="1000"/>
    </row>
    <row r="335">
      <c r="A335" s="1001"/>
      <c r="B335" s="998">
        <v>8.162E19</v>
      </c>
      <c r="C335" s="998">
        <v>8.162E19</v>
      </c>
      <c r="D335" s="998">
        <v>8.162E19</v>
      </c>
      <c r="E335" s="998">
        <v>8.162E19</v>
      </c>
      <c r="F335" s="998">
        <v>8.162E19</v>
      </c>
      <c r="G335" s="1000"/>
      <c r="H335" s="998">
        <v>8.162E19</v>
      </c>
      <c r="I335" s="998">
        <v>8.162E19</v>
      </c>
      <c r="J335" s="998">
        <v>8.162E19</v>
      </c>
      <c r="K335" s="998">
        <v>8.162E19</v>
      </c>
      <c r="L335" s="998">
        <v>8.162E19</v>
      </c>
      <c r="M335" s="1000"/>
      <c r="N335" s="998">
        <v>8.162E19</v>
      </c>
      <c r="O335" s="1000"/>
      <c r="P335" s="1000"/>
      <c r="Q335" s="1000"/>
      <c r="R335" s="1000"/>
      <c r="S335" s="1000"/>
    </row>
    <row r="336">
      <c r="A336" s="1001"/>
      <c r="B336" s="998">
        <v>8.358E19</v>
      </c>
      <c r="C336" s="998">
        <v>8.358E19</v>
      </c>
      <c r="D336" s="998">
        <v>8.358E19</v>
      </c>
      <c r="E336" s="998">
        <v>8.358E19</v>
      </c>
      <c r="F336" s="998">
        <v>8.358E19</v>
      </c>
      <c r="G336" s="1000"/>
      <c r="H336" s="998">
        <v>8.358E19</v>
      </c>
      <c r="I336" s="998">
        <v>8.358E19</v>
      </c>
      <c r="J336" s="998">
        <v>8.358E19</v>
      </c>
      <c r="K336" s="998">
        <v>8.358E19</v>
      </c>
      <c r="L336" s="998">
        <v>8.358E19</v>
      </c>
      <c r="M336" s="1000"/>
      <c r="N336" s="998">
        <v>8.358E19</v>
      </c>
      <c r="O336" s="1000"/>
      <c r="P336" s="1000"/>
      <c r="Q336" s="1000"/>
      <c r="R336" s="1000"/>
      <c r="S336" s="1000"/>
    </row>
    <row r="337">
      <c r="A337" s="1001"/>
      <c r="B337" s="998">
        <v>8.558E19</v>
      </c>
      <c r="C337" s="998">
        <v>8.558E19</v>
      </c>
      <c r="D337" s="998">
        <v>8.558E19</v>
      </c>
      <c r="E337" s="998">
        <v>8.558E19</v>
      </c>
      <c r="F337" s="998">
        <v>8.558E19</v>
      </c>
      <c r="G337" s="1000"/>
      <c r="H337" s="998">
        <v>8.558E19</v>
      </c>
      <c r="I337" s="998">
        <v>8.558E19</v>
      </c>
      <c r="J337" s="998">
        <v>8.558E19</v>
      </c>
      <c r="K337" s="998">
        <v>8.558E19</v>
      </c>
      <c r="L337" s="998">
        <v>8.558E19</v>
      </c>
      <c r="M337" s="1000"/>
      <c r="N337" s="998">
        <v>8.558E19</v>
      </c>
      <c r="O337" s="1000"/>
      <c r="P337" s="1000"/>
      <c r="Q337" s="1000"/>
      <c r="R337" s="1000"/>
      <c r="S337" s="1000"/>
    </row>
    <row r="338">
      <c r="A338" s="1001"/>
      <c r="B338" s="998">
        <v>8.762E19</v>
      </c>
      <c r="C338" s="998">
        <v>8.762E19</v>
      </c>
      <c r="D338" s="998">
        <v>8.762E19</v>
      </c>
      <c r="E338" s="998">
        <v>8.762E19</v>
      </c>
      <c r="F338" s="998">
        <v>8.762E19</v>
      </c>
      <c r="G338" s="1000"/>
      <c r="H338" s="998">
        <v>8.762E19</v>
      </c>
      <c r="I338" s="998">
        <v>8.762E19</v>
      </c>
      <c r="J338" s="998">
        <v>8.762E19</v>
      </c>
      <c r="K338" s="998">
        <v>8.762E19</v>
      </c>
      <c r="L338" s="998">
        <v>8.762E19</v>
      </c>
      <c r="M338" s="1000"/>
      <c r="N338" s="998">
        <v>8.762E19</v>
      </c>
      <c r="O338" s="1000"/>
      <c r="P338" s="1000"/>
      <c r="Q338" s="1000"/>
      <c r="R338" s="1000"/>
      <c r="S338" s="1000"/>
    </row>
    <row r="339">
      <c r="A339" s="1001"/>
      <c r="B339" s="998">
        <v>8.969E19</v>
      </c>
      <c r="C339" s="998">
        <v>8.969E19</v>
      </c>
      <c r="D339" s="998">
        <v>8.969E19</v>
      </c>
      <c r="E339" s="998">
        <v>8.969E19</v>
      </c>
      <c r="F339" s="998">
        <v>8.969E19</v>
      </c>
      <c r="G339" s="1000"/>
      <c r="H339" s="998">
        <v>8.969E19</v>
      </c>
      <c r="I339" s="998">
        <v>8.969E19</v>
      </c>
      <c r="J339" s="998">
        <v>8.969E19</v>
      </c>
      <c r="K339" s="998">
        <v>8.969E19</v>
      </c>
      <c r="L339" s="998">
        <v>8.969E19</v>
      </c>
      <c r="M339" s="1000"/>
      <c r="N339" s="998">
        <v>8.969E19</v>
      </c>
      <c r="O339" s="1000"/>
      <c r="P339" s="1000"/>
      <c r="Q339" s="1000"/>
      <c r="R339" s="1000"/>
      <c r="S339" s="1000"/>
    </row>
    <row r="340">
      <c r="A340" s="1001"/>
      <c r="B340" s="998">
        <v>9.181E19</v>
      </c>
      <c r="C340" s="998">
        <v>9.181E19</v>
      </c>
      <c r="D340" s="998">
        <v>9.181E19</v>
      </c>
      <c r="E340" s="998">
        <v>9.181E19</v>
      </c>
      <c r="F340" s="998">
        <v>9.181E19</v>
      </c>
      <c r="G340" s="1000"/>
      <c r="H340" s="998">
        <v>9.181E19</v>
      </c>
      <c r="I340" s="998">
        <v>9.181E19</v>
      </c>
      <c r="J340" s="998">
        <v>9.181E19</v>
      </c>
      <c r="K340" s="998">
        <v>9.181E19</v>
      </c>
      <c r="L340" s="998">
        <v>9.181E19</v>
      </c>
      <c r="M340" s="1000"/>
      <c r="N340" s="998">
        <v>9.181E19</v>
      </c>
      <c r="O340" s="1000"/>
      <c r="P340" s="1000"/>
      <c r="Q340" s="1000"/>
      <c r="R340" s="1000"/>
      <c r="S340" s="1000"/>
    </row>
    <row r="341">
      <c r="A341" s="1001"/>
      <c r="B341" s="998">
        <v>9.397E19</v>
      </c>
      <c r="C341" s="998">
        <v>9.397E19</v>
      </c>
      <c r="D341" s="998">
        <v>9.397E19</v>
      </c>
      <c r="E341" s="998">
        <v>9.397E19</v>
      </c>
      <c r="F341" s="998">
        <v>9.397E19</v>
      </c>
      <c r="G341" s="1000"/>
      <c r="H341" s="998">
        <v>9.397E19</v>
      </c>
      <c r="I341" s="998">
        <v>9.397E19</v>
      </c>
      <c r="J341" s="998">
        <v>9.397E19</v>
      </c>
      <c r="K341" s="998">
        <v>9.397E19</v>
      </c>
      <c r="L341" s="998">
        <v>9.397E19</v>
      </c>
      <c r="M341" s="1000"/>
      <c r="N341" s="998">
        <v>9.397E19</v>
      </c>
      <c r="O341" s="1000"/>
      <c r="P341" s="1000"/>
      <c r="Q341" s="1000"/>
      <c r="R341" s="1000"/>
      <c r="S341" s="1000"/>
    </row>
    <row r="342">
      <c r="A342" s="1001"/>
      <c r="B342" s="998">
        <v>9.616E19</v>
      </c>
      <c r="C342" s="998">
        <v>9.616E19</v>
      </c>
      <c r="D342" s="998">
        <v>9.616E19</v>
      </c>
      <c r="E342" s="998">
        <v>9.616E19</v>
      </c>
      <c r="F342" s="998">
        <v>9.616E19</v>
      </c>
      <c r="G342" s="1000"/>
      <c r="H342" s="998">
        <v>9.616E19</v>
      </c>
      <c r="I342" s="998">
        <v>9.616E19</v>
      </c>
      <c r="J342" s="998">
        <v>9.616E19</v>
      </c>
      <c r="K342" s="998">
        <v>9.616E19</v>
      </c>
      <c r="L342" s="998">
        <v>9.616E19</v>
      </c>
      <c r="M342" s="1000"/>
      <c r="N342" s="998">
        <v>9.616E19</v>
      </c>
      <c r="O342" s="1000"/>
      <c r="P342" s="1000"/>
      <c r="Q342" s="1000"/>
      <c r="R342" s="1000"/>
      <c r="S342" s="1000"/>
    </row>
    <row r="343">
      <c r="A343" s="1001"/>
      <c r="B343" s="998">
        <v>9.84E19</v>
      </c>
      <c r="C343" s="998">
        <v>9.84E19</v>
      </c>
      <c r="D343" s="998">
        <v>9.84E19</v>
      </c>
      <c r="E343" s="998">
        <v>9.84E19</v>
      </c>
      <c r="F343" s="998">
        <v>9.84E19</v>
      </c>
      <c r="G343" s="1000"/>
      <c r="H343" s="998">
        <v>9.84E19</v>
      </c>
      <c r="I343" s="998">
        <v>9.84E19</v>
      </c>
      <c r="J343" s="998">
        <v>9.84E19</v>
      </c>
      <c r="K343" s="998">
        <v>9.84E19</v>
      </c>
      <c r="L343" s="998">
        <v>9.84E19</v>
      </c>
      <c r="M343" s="1000"/>
      <c r="N343" s="998">
        <v>9.84E19</v>
      </c>
      <c r="O343" s="1000"/>
      <c r="P343" s="1000"/>
      <c r="Q343" s="1000"/>
      <c r="R343" s="1000"/>
      <c r="S343" s="1000"/>
    </row>
    <row r="344">
      <c r="A344" s="1001"/>
      <c r="B344" s="998">
        <v>1.0069E20</v>
      </c>
      <c r="C344" s="998">
        <v>1.0069E20</v>
      </c>
      <c r="D344" s="998">
        <v>1.0069E20</v>
      </c>
      <c r="E344" s="998">
        <v>1.0069E20</v>
      </c>
      <c r="F344" s="998">
        <v>1.0069E20</v>
      </c>
      <c r="G344" s="1000"/>
      <c r="H344" s="998">
        <v>1.0069E20</v>
      </c>
      <c r="I344" s="998">
        <v>1.0069E20</v>
      </c>
      <c r="J344" s="998">
        <v>1.0069E20</v>
      </c>
      <c r="K344" s="998">
        <v>1.0069E20</v>
      </c>
      <c r="L344" s="998">
        <v>1.0069E20</v>
      </c>
      <c r="M344" s="1000"/>
      <c r="N344" s="998">
        <v>1.0069E20</v>
      </c>
      <c r="O344" s="1000"/>
      <c r="P344" s="1000"/>
      <c r="Q344" s="1000"/>
      <c r="R344" s="1000"/>
      <c r="S344" s="1000"/>
    </row>
    <row r="345">
      <c r="A345" s="1001"/>
      <c r="B345" s="998">
        <v>1.0301E20</v>
      </c>
      <c r="C345" s="998">
        <v>1.0301E20</v>
      </c>
      <c r="D345" s="998">
        <v>1.0301E20</v>
      </c>
      <c r="E345" s="998">
        <v>1.0301E20</v>
      </c>
      <c r="F345" s="998">
        <v>1.0301E20</v>
      </c>
      <c r="G345" s="1000"/>
      <c r="H345" s="998">
        <v>1.0301E20</v>
      </c>
      <c r="I345" s="998">
        <v>1.0301E20</v>
      </c>
      <c r="J345" s="998">
        <v>1.0301E20</v>
      </c>
      <c r="K345" s="998">
        <v>1.0301E20</v>
      </c>
      <c r="L345" s="998">
        <v>1.0301E20</v>
      </c>
      <c r="M345" s="1000"/>
      <c r="N345" s="998">
        <v>1.0301E20</v>
      </c>
      <c r="O345" s="1000"/>
      <c r="P345" s="1000"/>
      <c r="Q345" s="1000"/>
      <c r="R345" s="1000"/>
      <c r="S345" s="1000"/>
    </row>
    <row r="346">
      <c r="A346" s="1001"/>
      <c r="B346" s="998">
        <v>1.0538E20</v>
      </c>
      <c r="C346" s="998">
        <v>1.0538E20</v>
      </c>
      <c r="D346" s="998">
        <v>1.0538E20</v>
      </c>
      <c r="E346" s="998">
        <v>1.0538E20</v>
      </c>
      <c r="F346" s="998">
        <v>1.0538E20</v>
      </c>
      <c r="G346" s="1000"/>
      <c r="H346" s="998">
        <v>1.0538E20</v>
      </c>
      <c r="I346" s="998">
        <v>1.0538E20</v>
      </c>
      <c r="J346" s="998">
        <v>1.0538E20</v>
      </c>
      <c r="K346" s="998">
        <v>1.0538E20</v>
      </c>
      <c r="L346" s="998">
        <v>1.0538E20</v>
      </c>
      <c r="M346" s="1000"/>
      <c r="N346" s="998">
        <v>1.0538E20</v>
      </c>
      <c r="O346" s="1000"/>
      <c r="P346" s="1000"/>
      <c r="Q346" s="1000"/>
      <c r="R346" s="1000"/>
      <c r="S346" s="1000"/>
    </row>
    <row r="347">
      <c r="A347" s="1001"/>
      <c r="B347" s="998">
        <v>1.0779E20</v>
      </c>
      <c r="C347" s="998">
        <v>1.0779E20</v>
      </c>
      <c r="D347" s="998">
        <v>1.0779E20</v>
      </c>
      <c r="E347" s="998">
        <v>1.0779E20</v>
      </c>
      <c r="F347" s="998">
        <v>1.0779E20</v>
      </c>
      <c r="G347" s="1000"/>
      <c r="H347" s="998">
        <v>1.0779E20</v>
      </c>
      <c r="I347" s="998">
        <v>1.0779E20</v>
      </c>
      <c r="J347" s="998">
        <v>1.0779E20</v>
      </c>
      <c r="K347" s="998">
        <v>1.0779E20</v>
      </c>
      <c r="L347" s="998">
        <v>1.0779E20</v>
      </c>
      <c r="M347" s="1000"/>
      <c r="N347" s="998">
        <v>1.0779E20</v>
      </c>
      <c r="O347" s="1000"/>
      <c r="P347" s="1000"/>
      <c r="Q347" s="1000"/>
      <c r="R347" s="1000"/>
      <c r="S347" s="1000"/>
    </row>
    <row r="348">
      <c r="A348" s="1001"/>
      <c r="B348" s="998">
        <v>1.1025E20</v>
      </c>
      <c r="C348" s="998">
        <v>1.1025E20</v>
      </c>
      <c r="D348" s="998">
        <v>1.1025E20</v>
      </c>
      <c r="E348" s="998">
        <v>1.1025E20</v>
      </c>
      <c r="F348" s="998">
        <v>1.1025E20</v>
      </c>
      <c r="G348" s="1000"/>
      <c r="H348" s="998">
        <v>1.1025E20</v>
      </c>
      <c r="I348" s="998">
        <v>1.1025E20</v>
      </c>
      <c r="J348" s="998">
        <v>1.1025E20</v>
      </c>
      <c r="K348" s="998">
        <v>1.1025E20</v>
      </c>
      <c r="L348" s="998">
        <v>1.1025E20</v>
      </c>
      <c r="M348" s="1000"/>
      <c r="N348" s="998">
        <v>1.1025E20</v>
      </c>
      <c r="O348" s="1000"/>
      <c r="P348" s="1000"/>
      <c r="Q348" s="1000"/>
      <c r="R348" s="1000"/>
      <c r="S348" s="1000"/>
    </row>
    <row r="349">
      <c r="A349" s="1001"/>
      <c r="B349" s="998">
        <v>1.1275E20</v>
      </c>
      <c r="C349" s="998">
        <v>1.1275E20</v>
      </c>
      <c r="D349" s="998">
        <v>1.1275E20</v>
      </c>
      <c r="E349" s="998">
        <v>1.1275E20</v>
      </c>
      <c r="F349" s="998">
        <v>1.1275E20</v>
      </c>
      <c r="G349" s="1000"/>
      <c r="H349" s="998">
        <v>1.1275E20</v>
      </c>
      <c r="I349" s="998">
        <v>1.1275E20</v>
      </c>
      <c r="J349" s="998">
        <v>1.1275E20</v>
      </c>
      <c r="K349" s="998">
        <v>1.1275E20</v>
      </c>
      <c r="L349" s="998">
        <v>1.1275E20</v>
      </c>
      <c r="M349" s="1000"/>
      <c r="N349" s="998">
        <v>1.1275E20</v>
      </c>
      <c r="O349" s="1000"/>
      <c r="P349" s="1000"/>
      <c r="Q349" s="1000"/>
      <c r="R349" s="1000"/>
      <c r="S349" s="1000"/>
    </row>
    <row r="350">
      <c r="A350" s="1001"/>
      <c r="B350" s="998">
        <v>1.153E20</v>
      </c>
      <c r="C350" s="998">
        <v>1.153E20</v>
      </c>
      <c r="D350" s="998">
        <v>1.153E20</v>
      </c>
      <c r="E350" s="998">
        <v>1.153E20</v>
      </c>
      <c r="F350" s="998">
        <v>1.153E20</v>
      </c>
      <c r="G350" s="1000"/>
      <c r="H350" s="998">
        <v>1.153E20</v>
      </c>
      <c r="I350" s="998">
        <v>1.153E20</v>
      </c>
      <c r="J350" s="998">
        <v>1.153E20</v>
      </c>
      <c r="K350" s="998">
        <v>1.153E20</v>
      </c>
      <c r="L350" s="998">
        <v>1.153E20</v>
      </c>
      <c r="M350" s="1000"/>
      <c r="N350" s="998">
        <v>1.153E20</v>
      </c>
      <c r="O350" s="1000"/>
      <c r="P350" s="1000"/>
      <c r="Q350" s="1000"/>
      <c r="R350" s="1000"/>
      <c r="S350" s="1000"/>
    </row>
    <row r="351">
      <c r="A351" s="1001"/>
      <c r="B351" s="998">
        <v>1.179E20</v>
      </c>
      <c r="C351" s="998">
        <v>1.179E20</v>
      </c>
      <c r="D351" s="998">
        <v>1.179E20</v>
      </c>
      <c r="E351" s="998">
        <v>1.179E20</v>
      </c>
      <c r="F351" s="998">
        <v>1.179E20</v>
      </c>
      <c r="G351" s="1000"/>
      <c r="H351" s="998">
        <v>1.179E20</v>
      </c>
      <c r="I351" s="998">
        <v>1.179E20</v>
      </c>
      <c r="J351" s="998">
        <v>1.179E20</v>
      </c>
      <c r="K351" s="998">
        <v>1.179E20</v>
      </c>
      <c r="L351" s="998">
        <v>1.179E20</v>
      </c>
      <c r="M351" s="1000"/>
      <c r="N351" s="998">
        <v>1.179E20</v>
      </c>
      <c r="O351" s="1000"/>
      <c r="P351" s="1000"/>
      <c r="Q351" s="1000"/>
      <c r="R351" s="1000"/>
      <c r="S351" s="1000"/>
    </row>
    <row r="352">
      <c r="A352" s="1001"/>
      <c r="B352" s="998">
        <v>1.2054E20</v>
      </c>
      <c r="C352" s="998">
        <v>1.2054E20</v>
      </c>
      <c r="D352" s="998">
        <v>1.2054E20</v>
      </c>
      <c r="E352" s="998">
        <v>1.2054E20</v>
      </c>
      <c r="F352" s="998">
        <v>1.2054E20</v>
      </c>
      <c r="G352" s="1000"/>
      <c r="H352" s="998">
        <v>1.2054E20</v>
      </c>
      <c r="I352" s="998">
        <v>1.2054E20</v>
      </c>
      <c r="J352" s="998">
        <v>1.2054E20</v>
      </c>
      <c r="K352" s="998">
        <v>1.2054E20</v>
      </c>
      <c r="L352" s="998">
        <v>1.2054E20</v>
      </c>
      <c r="M352" s="1000"/>
      <c r="N352" s="998">
        <v>1.2054E20</v>
      </c>
      <c r="O352" s="1000"/>
      <c r="P352" s="1000"/>
      <c r="Q352" s="1000"/>
      <c r="R352" s="1000"/>
      <c r="S352" s="1000"/>
    </row>
    <row r="353">
      <c r="A353" s="1001"/>
      <c r="B353" s="998">
        <v>1.2323E20</v>
      </c>
      <c r="C353" s="998">
        <v>1.2323E20</v>
      </c>
      <c r="D353" s="998">
        <v>1.2323E20</v>
      </c>
      <c r="E353" s="998">
        <v>1.2323E20</v>
      </c>
      <c r="F353" s="998">
        <v>1.2323E20</v>
      </c>
      <c r="G353" s="1000"/>
      <c r="H353" s="998">
        <v>1.2323E20</v>
      </c>
      <c r="I353" s="998">
        <v>1.2323E20</v>
      </c>
      <c r="J353" s="998">
        <v>1.2323E20</v>
      </c>
      <c r="K353" s="998">
        <v>1.2323E20</v>
      </c>
      <c r="L353" s="998">
        <v>1.2323E20</v>
      </c>
      <c r="M353" s="1000"/>
      <c r="N353" s="998">
        <v>1.2323E20</v>
      </c>
      <c r="O353" s="1000"/>
      <c r="P353" s="1000"/>
      <c r="Q353" s="1000"/>
      <c r="R353" s="1000"/>
      <c r="S353" s="1000"/>
    </row>
    <row r="354">
      <c r="A354" s="1001"/>
      <c r="B354" s="998">
        <v>1.2597E20</v>
      </c>
      <c r="C354" s="998">
        <v>1.2597E20</v>
      </c>
      <c r="D354" s="998">
        <v>1.2597E20</v>
      </c>
      <c r="E354" s="998">
        <v>1.2597E20</v>
      </c>
      <c r="F354" s="998">
        <v>1.2597E20</v>
      </c>
      <c r="G354" s="1000"/>
      <c r="H354" s="998">
        <v>1.2597E20</v>
      </c>
      <c r="I354" s="998">
        <v>1.2597E20</v>
      </c>
      <c r="J354" s="998">
        <v>1.2597E20</v>
      </c>
      <c r="K354" s="998">
        <v>1.2597E20</v>
      </c>
      <c r="L354" s="998">
        <v>1.2597E20</v>
      </c>
      <c r="M354" s="1000"/>
      <c r="N354" s="998">
        <v>1.2597E20</v>
      </c>
      <c r="O354" s="1000"/>
      <c r="P354" s="1000"/>
      <c r="Q354" s="1000"/>
      <c r="R354" s="1000"/>
      <c r="S354" s="1000"/>
    </row>
    <row r="355">
      <c r="A355" s="1001"/>
      <c r="B355" s="998">
        <v>1.2876E20</v>
      </c>
      <c r="C355" s="998">
        <v>1.2876E20</v>
      </c>
      <c r="D355" s="998">
        <v>1.2876E20</v>
      </c>
      <c r="E355" s="998">
        <v>1.2876E20</v>
      </c>
      <c r="F355" s="998">
        <v>1.2876E20</v>
      </c>
      <c r="G355" s="1000"/>
      <c r="H355" s="998">
        <v>1.2876E20</v>
      </c>
      <c r="I355" s="998">
        <v>1.2876E20</v>
      </c>
      <c r="J355" s="998">
        <v>1.2876E20</v>
      </c>
      <c r="K355" s="998">
        <v>1.2876E20</v>
      </c>
      <c r="L355" s="998">
        <v>1.2876E20</v>
      </c>
      <c r="M355" s="1000"/>
      <c r="N355" s="998">
        <v>1.2876E20</v>
      </c>
      <c r="O355" s="1000"/>
      <c r="P355" s="1000"/>
      <c r="Q355" s="1000"/>
      <c r="R355" s="1000"/>
      <c r="S355" s="1000"/>
    </row>
    <row r="356">
      <c r="A356" s="1001"/>
      <c r="B356" s="998">
        <v>1.3161E20</v>
      </c>
      <c r="C356" s="998">
        <v>1.3161E20</v>
      </c>
      <c r="D356" s="998">
        <v>1.3161E20</v>
      </c>
      <c r="E356" s="998">
        <v>1.3161E20</v>
      </c>
      <c r="F356" s="998">
        <v>1.3161E20</v>
      </c>
      <c r="G356" s="1000"/>
      <c r="H356" s="998">
        <v>1.3161E20</v>
      </c>
      <c r="I356" s="998">
        <v>1.3161E20</v>
      </c>
      <c r="J356" s="998">
        <v>1.3161E20</v>
      </c>
      <c r="K356" s="998">
        <v>1.3161E20</v>
      </c>
      <c r="L356" s="998">
        <v>1.3161E20</v>
      </c>
      <c r="M356" s="1000"/>
      <c r="N356" s="998">
        <v>1.3161E20</v>
      </c>
      <c r="O356" s="1000"/>
      <c r="P356" s="1000"/>
      <c r="Q356" s="1000"/>
      <c r="R356" s="1000"/>
      <c r="S356" s="1000"/>
    </row>
    <row r="357">
      <c r="A357" s="1001"/>
      <c r="B357" s="998">
        <v>1.345E20</v>
      </c>
      <c r="C357" s="998">
        <v>1.345E20</v>
      </c>
      <c r="D357" s="998">
        <v>1.345E20</v>
      </c>
      <c r="E357" s="998">
        <v>1.345E20</v>
      </c>
      <c r="F357" s="998">
        <v>1.345E20</v>
      </c>
      <c r="G357" s="1000"/>
      <c r="H357" s="998">
        <v>1.345E20</v>
      </c>
      <c r="I357" s="998">
        <v>1.345E20</v>
      </c>
      <c r="J357" s="998">
        <v>1.345E20</v>
      </c>
      <c r="K357" s="998">
        <v>1.345E20</v>
      </c>
      <c r="L357" s="998">
        <v>1.345E20</v>
      </c>
      <c r="M357" s="1000"/>
      <c r="N357" s="998">
        <v>1.345E20</v>
      </c>
      <c r="O357" s="1000"/>
      <c r="P357" s="1000"/>
      <c r="Q357" s="1000"/>
      <c r="R357" s="1000"/>
      <c r="S357" s="1000"/>
    </row>
    <row r="358">
      <c r="A358" s="1001"/>
      <c r="B358" s="998">
        <v>1.3744E20</v>
      </c>
      <c r="C358" s="998">
        <v>1.3744E20</v>
      </c>
      <c r="D358" s="998">
        <v>1.3744E20</v>
      </c>
      <c r="E358" s="998">
        <v>1.3744E20</v>
      </c>
      <c r="F358" s="998">
        <v>1.3744E20</v>
      </c>
      <c r="G358" s="1000"/>
      <c r="H358" s="998">
        <v>1.3744E20</v>
      </c>
      <c r="I358" s="998">
        <v>1.3744E20</v>
      </c>
      <c r="J358" s="998">
        <v>1.3744E20</v>
      </c>
      <c r="K358" s="998">
        <v>1.3744E20</v>
      </c>
      <c r="L358" s="998">
        <v>1.3744E20</v>
      </c>
      <c r="M358" s="1000"/>
      <c r="N358" s="998">
        <v>1.3744E20</v>
      </c>
      <c r="O358" s="1000"/>
      <c r="P358" s="1000"/>
      <c r="Q358" s="1000"/>
      <c r="R358" s="1000"/>
      <c r="S358" s="1000"/>
    </row>
    <row r="359">
      <c r="A359" s="1001"/>
      <c r="B359" s="998">
        <v>1.4044E20</v>
      </c>
      <c r="C359" s="998">
        <v>1.4044E20</v>
      </c>
      <c r="D359" s="998">
        <v>1.4044E20</v>
      </c>
      <c r="E359" s="998">
        <v>1.4044E20</v>
      </c>
      <c r="F359" s="998">
        <v>1.4044E20</v>
      </c>
      <c r="G359" s="1000"/>
      <c r="H359" s="998">
        <v>1.4044E20</v>
      </c>
      <c r="I359" s="998">
        <v>1.4044E20</v>
      </c>
      <c r="J359" s="998">
        <v>1.4044E20</v>
      </c>
      <c r="K359" s="998">
        <v>1.4044E20</v>
      </c>
      <c r="L359" s="998">
        <v>1.4044E20</v>
      </c>
      <c r="M359" s="1000"/>
      <c r="N359" s="998">
        <v>1.4044E20</v>
      </c>
      <c r="O359" s="1000"/>
      <c r="P359" s="1000"/>
      <c r="Q359" s="1000"/>
      <c r="R359" s="1000"/>
      <c r="S359" s="1000"/>
    </row>
    <row r="360">
      <c r="A360" s="1001"/>
      <c r="B360" s="998">
        <v>1.4349E20</v>
      </c>
      <c r="C360" s="998">
        <v>1.4349E20</v>
      </c>
      <c r="D360" s="998">
        <v>1.4349E20</v>
      </c>
      <c r="E360" s="998">
        <v>1.4349E20</v>
      </c>
      <c r="F360" s="998">
        <v>1.4349E20</v>
      </c>
      <c r="G360" s="1000"/>
      <c r="H360" s="998">
        <v>1.4349E20</v>
      </c>
      <c r="I360" s="998">
        <v>1.4349E20</v>
      </c>
      <c r="J360" s="998">
        <v>1.4349E20</v>
      </c>
      <c r="K360" s="998">
        <v>1.4349E20</v>
      </c>
      <c r="L360" s="998">
        <v>1.4349E20</v>
      </c>
      <c r="M360" s="1000"/>
      <c r="N360" s="998">
        <v>1.4349E20</v>
      </c>
      <c r="O360" s="1000"/>
      <c r="P360" s="1000"/>
      <c r="Q360" s="1000"/>
      <c r="R360" s="1000"/>
      <c r="S360" s="1000"/>
    </row>
    <row r="361">
      <c r="A361" s="1001"/>
      <c r="B361" s="998">
        <v>1.4659E20</v>
      </c>
      <c r="C361" s="998">
        <v>1.4659E20</v>
      </c>
      <c r="D361" s="998">
        <v>1.4659E20</v>
      </c>
      <c r="E361" s="998">
        <v>1.4659E20</v>
      </c>
      <c r="F361" s="998">
        <v>1.4659E20</v>
      </c>
      <c r="G361" s="1000"/>
      <c r="H361" s="998">
        <v>1.4659E20</v>
      </c>
      <c r="I361" s="998">
        <v>1.4659E20</v>
      </c>
      <c r="J361" s="998">
        <v>1.4659E20</v>
      </c>
      <c r="K361" s="998">
        <v>1.4659E20</v>
      </c>
      <c r="L361" s="998">
        <v>1.4659E20</v>
      </c>
      <c r="M361" s="1000"/>
      <c r="N361" s="998">
        <v>1.4659E20</v>
      </c>
      <c r="O361" s="1000"/>
      <c r="P361" s="1000"/>
      <c r="Q361" s="1000"/>
      <c r="R361" s="1000"/>
      <c r="S361" s="1000"/>
    </row>
    <row r="362">
      <c r="A362" s="1001"/>
      <c r="B362" s="998">
        <v>1.4975E20</v>
      </c>
      <c r="C362" s="998">
        <v>1.4975E20</v>
      </c>
      <c r="D362" s="998">
        <v>1.4975E20</v>
      </c>
      <c r="E362" s="998">
        <v>1.4975E20</v>
      </c>
      <c r="F362" s="998">
        <v>1.4975E20</v>
      </c>
      <c r="G362" s="1000"/>
      <c r="H362" s="998">
        <v>1.4975E20</v>
      </c>
      <c r="I362" s="998">
        <v>1.4975E20</v>
      </c>
      <c r="J362" s="998">
        <v>1.4975E20</v>
      </c>
      <c r="K362" s="998">
        <v>1.4975E20</v>
      </c>
      <c r="L362" s="998">
        <v>1.4975E20</v>
      </c>
      <c r="M362" s="1000"/>
      <c r="N362" s="998">
        <v>1.4975E20</v>
      </c>
      <c r="O362" s="1000"/>
      <c r="P362" s="1000"/>
      <c r="Q362" s="1000"/>
      <c r="R362" s="1000"/>
      <c r="S362" s="1000"/>
    </row>
    <row r="363">
      <c r="A363" s="1001"/>
      <c r="B363" s="998">
        <v>1.5297E20</v>
      </c>
      <c r="C363" s="998">
        <v>1.5297E20</v>
      </c>
      <c r="D363" s="998">
        <v>1.5297E20</v>
      </c>
      <c r="E363" s="998">
        <v>1.5297E20</v>
      </c>
      <c r="F363" s="998">
        <v>1.5297E20</v>
      </c>
      <c r="G363" s="1000"/>
      <c r="H363" s="998">
        <v>1.5297E20</v>
      </c>
      <c r="I363" s="998">
        <v>1.5297E20</v>
      </c>
      <c r="J363" s="998">
        <v>1.5297E20</v>
      </c>
      <c r="K363" s="998">
        <v>1.5297E20</v>
      </c>
      <c r="L363" s="998">
        <v>1.5297E20</v>
      </c>
      <c r="M363" s="1000"/>
      <c r="N363" s="998">
        <v>1.5297E20</v>
      </c>
      <c r="O363" s="1000"/>
      <c r="P363" s="1000"/>
      <c r="Q363" s="1000"/>
      <c r="R363" s="1000"/>
      <c r="S363" s="1000"/>
    </row>
    <row r="364">
      <c r="A364" s="1001"/>
      <c r="B364" s="998">
        <v>1.5624E20</v>
      </c>
      <c r="C364" s="998">
        <v>1.5624E20</v>
      </c>
      <c r="D364" s="998">
        <v>1.5624E20</v>
      </c>
      <c r="E364" s="998">
        <v>1.5624E20</v>
      </c>
      <c r="F364" s="998">
        <v>1.5624E20</v>
      </c>
      <c r="G364" s="1000"/>
      <c r="H364" s="998">
        <v>1.5624E20</v>
      </c>
      <c r="I364" s="998">
        <v>1.5624E20</v>
      </c>
      <c r="J364" s="998">
        <v>1.5624E20</v>
      </c>
      <c r="K364" s="998">
        <v>1.5624E20</v>
      </c>
      <c r="L364" s="998">
        <v>1.5624E20</v>
      </c>
      <c r="M364" s="1000"/>
      <c r="N364" s="998">
        <v>1.5624E20</v>
      </c>
      <c r="O364" s="1000"/>
      <c r="P364" s="1000"/>
      <c r="Q364" s="1000"/>
      <c r="R364" s="1000"/>
      <c r="S364" s="1000"/>
    </row>
    <row r="365">
      <c r="A365" s="1001"/>
      <c r="B365" s="998">
        <v>1.5956E20</v>
      </c>
      <c r="C365" s="998">
        <v>1.5956E20</v>
      </c>
      <c r="D365" s="998">
        <v>1.5956E20</v>
      </c>
      <c r="E365" s="998">
        <v>1.5956E20</v>
      </c>
      <c r="F365" s="998">
        <v>1.5956E20</v>
      </c>
      <c r="G365" s="1000"/>
      <c r="H365" s="998">
        <v>1.5956E20</v>
      </c>
      <c r="I365" s="998">
        <v>1.5956E20</v>
      </c>
      <c r="J365" s="998">
        <v>1.5956E20</v>
      </c>
      <c r="K365" s="998">
        <v>1.5956E20</v>
      </c>
      <c r="L365" s="998">
        <v>1.5956E20</v>
      </c>
      <c r="M365" s="1000"/>
      <c r="N365" s="998">
        <v>1.5956E20</v>
      </c>
      <c r="O365" s="1000"/>
      <c r="P365" s="1000"/>
      <c r="Q365" s="1000"/>
      <c r="R365" s="1000"/>
      <c r="S365" s="1000"/>
    </row>
    <row r="366">
      <c r="A366" s="1001"/>
      <c r="B366" s="998">
        <v>1.6295E20</v>
      </c>
      <c r="C366" s="998">
        <v>1.6295E20</v>
      </c>
      <c r="D366" s="998">
        <v>1.6295E20</v>
      </c>
      <c r="E366" s="998">
        <v>1.6295E20</v>
      </c>
      <c r="F366" s="998">
        <v>1.6295E20</v>
      </c>
      <c r="G366" s="1000"/>
      <c r="H366" s="998">
        <v>1.6295E20</v>
      </c>
      <c r="I366" s="998">
        <v>1.6295E20</v>
      </c>
      <c r="J366" s="998">
        <v>1.6295E20</v>
      </c>
      <c r="K366" s="998">
        <v>1.6295E20</v>
      </c>
      <c r="L366" s="998">
        <v>1.6295E20</v>
      </c>
      <c r="M366" s="1000"/>
      <c r="N366" s="998">
        <v>1.6295E20</v>
      </c>
      <c r="O366" s="1000"/>
      <c r="P366" s="1000"/>
      <c r="Q366" s="1000"/>
      <c r="R366" s="1000"/>
      <c r="S366" s="1000"/>
    </row>
    <row r="367">
      <c r="A367" s="1001"/>
      <c r="B367" s="998">
        <v>1.664E20</v>
      </c>
      <c r="C367" s="998">
        <v>1.664E20</v>
      </c>
      <c r="D367" s="998">
        <v>1.664E20</v>
      </c>
      <c r="E367" s="998">
        <v>1.664E20</v>
      </c>
      <c r="F367" s="998">
        <v>1.664E20</v>
      </c>
      <c r="G367" s="1000"/>
      <c r="H367" s="998">
        <v>1.664E20</v>
      </c>
      <c r="I367" s="998">
        <v>1.664E20</v>
      </c>
      <c r="J367" s="998">
        <v>1.664E20</v>
      </c>
      <c r="K367" s="998">
        <v>1.664E20</v>
      </c>
      <c r="L367" s="998">
        <v>1.664E20</v>
      </c>
      <c r="M367" s="1000"/>
      <c r="N367" s="998">
        <v>1.664E20</v>
      </c>
      <c r="O367" s="1000"/>
      <c r="P367" s="1000"/>
      <c r="Q367" s="1000"/>
      <c r="R367" s="1000"/>
      <c r="S367" s="1000"/>
    </row>
    <row r="368">
      <c r="A368" s="1001"/>
      <c r="B368" s="998">
        <v>1.699E20</v>
      </c>
      <c r="C368" s="998">
        <v>1.699E20</v>
      </c>
      <c r="D368" s="998">
        <v>1.699E20</v>
      </c>
      <c r="E368" s="998">
        <v>1.699E20</v>
      </c>
      <c r="F368" s="998">
        <v>1.699E20</v>
      </c>
      <c r="G368" s="1000"/>
      <c r="H368" s="998">
        <v>1.699E20</v>
      </c>
      <c r="I368" s="998">
        <v>1.699E20</v>
      </c>
      <c r="J368" s="998">
        <v>1.699E20</v>
      </c>
      <c r="K368" s="998">
        <v>1.699E20</v>
      </c>
      <c r="L368" s="998">
        <v>1.699E20</v>
      </c>
      <c r="M368" s="1000"/>
      <c r="N368" s="998">
        <v>1.699E20</v>
      </c>
      <c r="O368" s="1000"/>
      <c r="P368" s="1000"/>
      <c r="Q368" s="1000"/>
      <c r="R368" s="1000"/>
      <c r="S368" s="1000"/>
    </row>
    <row r="369">
      <c r="A369" s="1001"/>
      <c r="B369" s="998">
        <v>1.7346E20</v>
      </c>
      <c r="C369" s="998">
        <v>1.7346E20</v>
      </c>
      <c r="D369" s="998">
        <v>1.7346E20</v>
      </c>
      <c r="E369" s="998">
        <v>1.7346E20</v>
      </c>
      <c r="F369" s="998">
        <v>1.7346E20</v>
      </c>
      <c r="G369" s="1000"/>
      <c r="H369" s="998">
        <v>1.7346E20</v>
      </c>
      <c r="I369" s="998">
        <v>1.7346E20</v>
      </c>
      <c r="J369" s="998">
        <v>1.7346E20</v>
      </c>
      <c r="K369" s="998">
        <v>1.7346E20</v>
      </c>
      <c r="L369" s="998">
        <v>1.7346E20</v>
      </c>
      <c r="M369" s="1000"/>
      <c r="N369" s="998">
        <v>1.7346E20</v>
      </c>
      <c r="O369" s="1000"/>
      <c r="P369" s="1000"/>
      <c r="Q369" s="1000"/>
      <c r="R369" s="1000"/>
      <c r="S369" s="1000"/>
    </row>
    <row r="370">
      <c r="A370" s="1001"/>
      <c r="B370" s="998">
        <v>1.7709E20</v>
      </c>
      <c r="C370" s="998">
        <v>1.7709E20</v>
      </c>
      <c r="D370" s="998">
        <v>1.7709E20</v>
      </c>
      <c r="E370" s="998">
        <v>1.7709E20</v>
      </c>
      <c r="F370" s="998">
        <v>1.7709E20</v>
      </c>
      <c r="G370" s="1000"/>
      <c r="H370" s="998">
        <v>1.7709E20</v>
      </c>
      <c r="I370" s="998">
        <v>1.7709E20</v>
      </c>
      <c r="J370" s="998">
        <v>1.7709E20</v>
      </c>
      <c r="K370" s="998">
        <v>1.7709E20</v>
      </c>
      <c r="L370" s="998">
        <v>1.7709E20</v>
      </c>
      <c r="M370" s="1000"/>
      <c r="N370" s="998">
        <v>1.7709E20</v>
      </c>
      <c r="O370" s="1000"/>
      <c r="P370" s="1000"/>
      <c r="Q370" s="1000"/>
      <c r="R370" s="1000"/>
      <c r="S370" s="1000"/>
    </row>
    <row r="371">
      <c r="A371" s="1001"/>
      <c r="B371" s="998">
        <v>1.8078E20</v>
      </c>
      <c r="C371" s="998">
        <v>1.8078E20</v>
      </c>
      <c r="D371" s="998">
        <v>1.8078E20</v>
      </c>
      <c r="E371" s="998">
        <v>1.8078E20</v>
      </c>
      <c r="F371" s="998">
        <v>1.8078E20</v>
      </c>
      <c r="G371" s="1000"/>
      <c r="H371" s="998">
        <v>1.8078E20</v>
      </c>
      <c r="I371" s="998">
        <v>1.8078E20</v>
      </c>
      <c r="J371" s="998">
        <v>1.8078E20</v>
      </c>
      <c r="K371" s="998">
        <v>1.8078E20</v>
      </c>
      <c r="L371" s="998">
        <v>1.8078E20</v>
      </c>
      <c r="M371" s="1000"/>
      <c r="N371" s="998">
        <v>1.8078E20</v>
      </c>
      <c r="O371" s="1000"/>
      <c r="P371" s="1000"/>
      <c r="Q371" s="1000"/>
      <c r="R371" s="1000"/>
      <c r="S371" s="1000"/>
    </row>
    <row r="372">
      <c r="A372" s="1001"/>
      <c r="B372" s="998">
        <v>1.8453E20</v>
      </c>
      <c r="C372" s="998">
        <v>1.8453E20</v>
      </c>
      <c r="D372" s="998">
        <v>1.8453E20</v>
      </c>
      <c r="E372" s="998">
        <v>1.8453E20</v>
      </c>
      <c r="F372" s="998">
        <v>1.8453E20</v>
      </c>
      <c r="G372" s="1000"/>
      <c r="H372" s="998">
        <v>1.8453E20</v>
      </c>
      <c r="I372" s="998">
        <v>1.8453E20</v>
      </c>
      <c r="J372" s="998">
        <v>1.8453E20</v>
      </c>
      <c r="K372" s="998">
        <v>1.8453E20</v>
      </c>
      <c r="L372" s="998">
        <v>1.8453E20</v>
      </c>
      <c r="M372" s="1000"/>
      <c r="N372" s="998">
        <v>1.8453E20</v>
      </c>
      <c r="O372" s="1000"/>
      <c r="P372" s="1000"/>
      <c r="Q372" s="1000"/>
      <c r="R372" s="1000"/>
      <c r="S372" s="1000"/>
    </row>
    <row r="373">
      <c r="A373" s="1001"/>
      <c r="B373" s="998">
        <v>1.8834E20</v>
      </c>
      <c r="C373" s="998">
        <v>1.8834E20</v>
      </c>
      <c r="D373" s="998">
        <v>1.8834E20</v>
      </c>
      <c r="E373" s="998">
        <v>1.8834E20</v>
      </c>
      <c r="F373" s="998">
        <v>1.8834E20</v>
      </c>
      <c r="G373" s="1000"/>
      <c r="H373" s="998">
        <v>1.8834E20</v>
      </c>
      <c r="I373" s="998">
        <v>1.8834E20</v>
      </c>
      <c r="J373" s="998">
        <v>1.8834E20</v>
      </c>
      <c r="K373" s="998">
        <v>1.8834E20</v>
      </c>
      <c r="L373" s="998">
        <v>1.8834E20</v>
      </c>
      <c r="M373" s="1000"/>
      <c r="N373" s="998">
        <v>1.8834E20</v>
      </c>
      <c r="O373" s="1000"/>
      <c r="P373" s="1000"/>
      <c r="Q373" s="1000"/>
      <c r="R373" s="1000"/>
      <c r="S373" s="1000"/>
    </row>
    <row r="374">
      <c r="A374" s="1001"/>
      <c r="B374" s="998">
        <v>1.9222E20</v>
      </c>
      <c r="C374" s="998">
        <v>1.9222E20</v>
      </c>
      <c r="D374" s="998">
        <v>1.9222E20</v>
      </c>
      <c r="E374" s="998">
        <v>1.9222E20</v>
      </c>
      <c r="F374" s="998">
        <v>1.9222E20</v>
      </c>
      <c r="G374" s="1000"/>
      <c r="H374" s="998">
        <v>1.9222E20</v>
      </c>
      <c r="I374" s="998">
        <v>1.9222E20</v>
      </c>
      <c r="J374" s="998">
        <v>1.9222E20</v>
      </c>
      <c r="K374" s="998">
        <v>1.9222E20</v>
      </c>
      <c r="L374" s="998">
        <v>1.9222E20</v>
      </c>
      <c r="M374" s="1000"/>
      <c r="N374" s="998">
        <v>1.9222E20</v>
      </c>
      <c r="O374" s="1000"/>
      <c r="P374" s="1000"/>
      <c r="Q374" s="1000"/>
      <c r="R374" s="1000"/>
      <c r="S374" s="1000"/>
    </row>
    <row r="375">
      <c r="A375" s="1001"/>
      <c r="B375" s="998">
        <v>1.9617E20</v>
      </c>
      <c r="C375" s="998">
        <v>1.9617E20</v>
      </c>
      <c r="D375" s="998">
        <v>1.9617E20</v>
      </c>
      <c r="E375" s="998">
        <v>1.9617E20</v>
      </c>
      <c r="F375" s="998">
        <v>1.9617E20</v>
      </c>
      <c r="G375" s="1000"/>
      <c r="H375" s="998">
        <v>1.9617E20</v>
      </c>
      <c r="I375" s="998">
        <v>1.9617E20</v>
      </c>
      <c r="J375" s="998">
        <v>1.9617E20</v>
      </c>
      <c r="K375" s="998">
        <v>1.9617E20</v>
      </c>
      <c r="L375" s="998">
        <v>1.9617E20</v>
      </c>
      <c r="M375" s="1000"/>
      <c r="N375" s="998">
        <v>1.9617E20</v>
      </c>
      <c r="O375" s="1000"/>
      <c r="P375" s="1000"/>
      <c r="Q375" s="1000"/>
      <c r="R375" s="1000"/>
      <c r="S375" s="1000"/>
    </row>
    <row r="376">
      <c r="A376" s="1001"/>
      <c r="B376" s="998">
        <v>2.0018E20</v>
      </c>
      <c r="C376" s="998">
        <v>2.0018E20</v>
      </c>
      <c r="D376" s="998">
        <v>2.0018E20</v>
      </c>
      <c r="E376" s="998">
        <v>2.0018E20</v>
      </c>
      <c r="F376" s="998">
        <v>2.0018E20</v>
      </c>
      <c r="G376" s="1000"/>
      <c r="H376" s="998">
        <v>2.0018E20</v>
      </c>
      <c r="I376" s="998">
        <v>2.0018E20</v>
      </c>
      <c r="J376" s="998">
        <v>2.0018E20</v>
      </c>
      <c r="K376" s="998">
        <v>2.0018E20</v>
      </c>
      <c r="L376" s="998">
        <v>2.0018E20</v>
      </c>
      <c r="M376" s="1000"/>
      <c r="N376" s="998">
        <v>2.0018E20</v>
      </c>
      <c r="O376" s="1000"/>
      <c r="P376" s="1000"/>
      <c r="Q376" s="1000"/>
      <c r="R376" s="1000"/>
      <c r="S376" s="1000"/>
    </row>
    <row r="377">
      <c r="A377" s="1001"/>
      <c r="B377" s="998">
        <v>2.0425E20</v>
      </c>
      <c r="C377" s="998">
        <v>2.0425E20</v>
      </c>
      <c r="D377" s="998">
        <v>2.0425E20</v>
      </c>
      <c r="E377" s="998">
        <v>2.0425E20</v>
      </c>
      <c r="F377" s="998">
        <v>2.0425E20</v>
      </c>
      <c r="G377" s="1000"/>
      <c r="H377" s="998">
        <v>2.0425E20</v>
      </c>
      <c r="I377" s="998">
        <v>2.0425E20</v>
      </c>
      <c r="J377" s="998">
        <v>2.0425E20</v>
      </c>
      <c r="K377" s="998">
        <v>2.0425E20</v>
      </c>
      <c r="L377" s="998">
        <v>2.0425E20</v>
      </c>
      <c r="M377" s="1000"/>
      <c r="N377" s="998">
        <v>2.0425E20</v>
      </c>
      <c r="O377" s="1000"/>
      <c r="P377" s="1000"/>
      <c r="Q377" s="1000"/>
      <c r="R377" s="1000"/>
      <c r="S377" s="1000"/>
    </row>
    <row r="378">
      <c r="A378" s="1001"/>
      <c r="B378" s="998">
        <v>2.084E20</v>
      </c>
      <c r="C378" s="998">
        <v>2.084E20</v>
      </c>
      <c r="D378" s="998">
        <v>2.084E20</v>
      </c>
      <c r="E378" s="998">
        <v>2.084E20</v>
      </c>
      <c r="F378" s="998">
        <v>2.084E20</v>
      </c>
      <c r="G378" s="1000"/>
      <c r="H378" s="998">
        <v>2.084E20</v>
      </c>
      <c r="I378" s="998">
        <v>2.084E20</v>
      </c>
      <c r="J378" s="998">
        <v>2.084E20</v>
      </c>
      <c r="K378" s="998">
        <v>2.084E20</v>
      </c>
      <c r="L378" s="998">
        <v>2.084E20</v>
      </c>
      <c r="M378" s="1000"/>
      <c r="N378" s="998">
        <v>2.084E20</v>
      </c>
      <c r="O378" s="1000"/>
      <c r="P378" s="1000"/>
      <c r="Q378" s="1000"/>
      <c r="R378" s="1000"/>
      <c r="S378" s="1000"/>
    </row>
    <row r="379">
      <c r="A379" s="1001"/>
      <c r="B379" s="998">
        <v>2.1261E20</v>
      </c>
      <c r="C379" s="998">
        <v>2.1261E20</v>
      </c>
      <c r="D379" s="998">
        <v>2.1261E20</v>
      </c>
      <c r="E379" s="998">
        <v>2.1261E20</v>
      </c>
      <c r="F379" s="998">
        <v>2.1261E20</v>
      </c>
      <c r="G379" s="1000"/>
      <c r="H379" s="998">
        <v>2.1261E20</v>
      </c>
      <c r="I379" s="998">
        <v>2.1261E20</v>
      </c>
      <c r="J379" s="998">
        <v>2.1261E20</v>
      </c>
      <c r="K379" s="998">
        <v>2.1261E20</v>
      </c>
      <c r="L379" s="998">
        <v>2.1261E20</v>
      </c>
      <c r="M379" s="1000"/>
      <c r="N379" s="998">
        <v>2.1261E20</v>
      </c>
      <c r="O379" s="1000"/>
      <c r="P379" s="1000"/>
      <c r="Q379" s="1000"/>
      <c r="R379" s="1000"/>
      <c r="S379" s="1000"/>
    </row>
    <row r="380">
      <c r="A380" s="1001"/>
      <c r="B380" s="998">
        <v>2.169E20</v>
      </c>
      <c r="C380" s="998">
        <v>2.169E20</v>
      </c>
      <c r="D380" s="998">
        <v>2.169E20</v>
      </c>
      <c r="E380" s="998">
        <v>2.169E20</v>
      </c>
      <c r="F380" s="998">
        <v>2.169E20</v>
      </c>
      <c r="G380" s="1000"/>
      <c r="H380" s="998">
        <v>2.169E20</v>
      </c>
      <c r="I380" s="998">
        <v>2.169E20</v>
      </c>
      <c r="J380" s="998">
        <v>2.169E20</v>
      </c>
      <c r="K380" s="998">
        <v>2.169E20</v>
      </c>
      <c r="L380" s="998">
        <v>2.169E20</v>
      </c>
      <c r="M380" s="1000"/>
      <c r="N380" s="998">
        <v>2.169E20</v>
      </c>
      <c r="O380" s="1000"/>
      <c r="P380" s="1000"/>
      <c r="Q380" s="1000"/>
      <c r="R380" s="1000"/>
      <c r="S380" s="1000"/>
    </row>
    <row r="381">
      <c r="A381" s="1001"/>
      <c r="B381" s="998">
        <v>2.2125E20</v>
      </c>
      <c r="C381" s="998">
        <v>2.2125E20</v>
      </c>
      <c r="D381" s="998">
        <v>2.2125E20</v>
      </c>
      <c r="E381" s="998">
        <v>2.2125E20</v>
      </c>
      <c r="F381" s="998">
        <v>2.2125E20</v>
      </c>
      <c r="G381" s="1000"/>
      <c r="H381" s="998">
        <v>2.2125E20</v>
      </c>
      <c r="I381" s="998">
        <v>2.2125E20</v>
      </c>
      <c r="J381" s="998">
        <v>2.2125E20</v>
      </c>
      <c r="K381" s="998">
        <v>2.2125E20</v>
      </c>
      <c r="L381" s="998">
        <v>2.2125E20</v>
      </c>
      <c r="M381" s="1000"/>
      <c r="N381" s="998">
        <v>2.2125E20</v>
      </c>
      <c r="O381" s="1000"/>
      <c r="P381" s="1000"/>
      <c r="Q381" s="1000"/>
      <c r="R381" s="1000"/>
      <c r="S381" s="1000"/>
    </row>
    <row r="382">
      <c r="A382" s="1001"/>
      <c r="B382" s="998">
        <v>2.2568E20</v>
      </c>
      <c r="C382" s="998">
        <v>2.2568E20</v>
      </c>
      <c r="D382" s="998">
        <v>2.2568E20</v>
      </c>
      <c r="E382" s="998">
        <v>2.2568E20</v>
      </c>
      <c r="F382" s="998">
        <v>2.2568E20</v>
      </c>
      <c r="G382" s="1000"/>
      <c r="H382" s="998">
        <v>2.2568E20</v>
      </c>
      <c r="I382" s="998">
        <v>2.2568E20</v>
      </c>
      <c r="J382" s="998">
        <v>2.2568E20</v>
      </c>
      <c r="K382" s="998">
        <v>2.2568E20</v>
      </c>
      <c r="L382" s="998">
        <v>2.2568E20</v>
      </c>
      <c r="M382" s="1000"/>
      <c r="N382" s="998">
        <v>2.2568E20</v>
      </c>
      <c r="O382" s="1000"/>
      <c r="P382" s="1000"/>
      <c r="Q382" s="1000"/>
      <c r="R382" s="1000"/>
      <c r="S382" s="1000"/>
    </row>
    <row r="383">
      <c r="A383" s="1001"/>
      <c r="B383" s="998">
        <v>2.3018E20</v>
      </c>
      <c r="C383" s="998">
        <v>2.3018E20</v>
      </c>
      <c r="D383" s="998">
        <v>2.3018E20</v>
      </c>
      <c r="E383" s="998">
        <v>2.3018E20</v>
      </c>
      <c r="F383" s="998">
        <v>2.3018E20</v>
      </c>
      <c r="G383" s="1000"/>
      <c r="H383" s="998">
        <v>2.3018E20</v>
      </c>
      <c r="I383" s="998">
        <v>2.3018E20</v>
      </c>
      <c r="J383" s="998">
        <v>2.3018E20</v>
      </c>
      <c r="K383" s="998">
        <v>2.3018E20</v>
      </c>
      <c r="L383" s="998">
        <v>2.3018E20</v>
      </c>
      <c r="M383" s="1000"/>
      <c r="N383" s="998">
        <v>2.3018E20</v>
      </c>
      <c r="O383" s="1000"/>
      <c r="P383" s="1000"/>
      <c r="Q383" s="1000"/>
      <c r="R383" s="1000"/>
      <c r="S383" s="1000"/>
    </row>
    <row r="384">
      <c r="A384" s="1001"/>
      <c r="B384" s="998">
        <v>2.3475E20</v>
      </c>
      <c r="C384" s="998">
        <v>2.3475E20</v>
      </c>
      <c r="D384" s="998">
        <v>2.3475E20</v>
      </c>
      <c r="E384" s="998">
        <v>2.3475E20</v>
      </c>
      <c r="F384" s="998">
        <v>2.3475E20</v>
      </c>
      <c r="G384" s="1000"/>
      <c r="H384" s="998">
        <v>2.3475E20</v>
      </c>
      <c r="I384" s="998">
        <v>2.3475E20</v>
      </c>
      <c r="J384" s="998">
        <v>2.3475E20</v>
      </c>
      <c r="K384" s="998">
        <v>2.3475E20</v>
      </c>
      <c r="L384" s="998">
        <v>2.3475E20</v>
      </c>
      <c r="M384" s="1000"/>
      <c r="N384" s="998">
        <v>2.3475E20</v>
      </c>
      <c r="O384" s="1000"/>
      <c r="P384" s="1000"/>
      <c r="Q384" s="1000"/>
      <c r="R384" s="1000"/>
      <c r="S384" s="1000"/>
    </row>
    <row r="385">
      <c r="A385" s="1001"/>
      <c r="B385" s="998">
        <v>2.394E20</v>
      </c>
      <c r="C385" s="998">
        <v>2.394E20</v>
      </c>
      <c r="D385" s="998">
        <v>2.394E20</v>
      </c>
      <c r="E385" s="998">
        <v>2.394E20</v>
      </c>
      <c r="F385" s="998">
        <v>2.394E20</v>
      </c>
      <c r="G385" s="1000"/>
      <c r="H385" s="998">
        <v>2.394E20</v>
      </c>
      <c r="I385" s="998">
        <v>2.394E20</v>
      </c>
      <c r="J385" s="998">
        <v>2.394E20</v>
      </c>
      <c r="K385" s="998">
        <v>2.394E20</v>
      </c>
      <c r="L385" s="998">
        <v>2.394E20</v>
      </c>
      <c r="M385" s="1000"/>
      <c r="N385" s="998">
        <v>2.394E20</v>
      </c>
      <c r="O385" s="1000"/>
      <c r="P385" s="1000"/>
      <c r="Q385" s="1000"/>
      <c r="R385" s="1000"/>
      <c r="S385" s="1000"/>
    </row>
    <row r="386">
      <c r="A386" s="1001"/>
      <c r="B386" s="998">
        <v>2.4413E20</v>
      </c>
      <c r="C386" s="998">
        <v>2.4413E20</v>
      </c>
      <c r="D386" s="998">
        <v>2.4413E20</v>
      </c>
      <c r="E386" s="998">
        <v>2.4413E20</v>
      </c>
      <c r="F386" s="998">
        <v>2.4413E20</v>
      </c>
      <c r="G386" s="1000"/>
      <c r="H386" s="998">
        <v>2.4413E20</v>
      </c>
      <c r="I386" s="998">
        <v>2.4413E20</v>
      </c>
      <c r="J386" s="998">
        <v>2.4413E20</v>
      </c>
      <c r="K386" s="998">
        <v>2.4413E20</v>
      </c>
      <c r="L386" s="998">
        <v>2.4413E20</v>
      </c>
      <c r="M386" s="1000"/>
      <c r="N386" s="998">
        <v>2.4413E20</v>
      </c>
      <c r="O386" s="1000"/>
      <c r="P386" s="1000"/>
      <c r="Q386" s="1000"/>
      <c r="R386" s="1000"/>
      <c r="S386" s="1000"/>
    </row>
    <row r="387">
      <c r="A387" s="1001"/>
      <c r="B387" s="998">
        <v>2.4893E20</v>
      </c>
      <c r="C387" s="998">
        <v>2.4893E20</v>
      </c>
      <c r="D387" s="998">
        <v>2.4893E20</v>
      </c>
      <c r="E387" s="998">
        <v>2.4893E20</v>
      </c>
      <c r="F387" s="998">
        <v>2.4893E20</v>
      </c>
      <c r="G387" s="1000"/>
      <c r="H387" s="998">
        <v>2.4893E20</v>
      </c>
      <c r="I387" s="998">
        <v>2.4893E20</v>
      </c>
      <c r="J387" s="998">
        <v>2.4893E20</v>
      </c>
      <c r="K387" s="998">
        <v>2.4893E20</v>
      </c>
      <c r="L387" s="998">
        <v>2.4893E20</v>
      </c>
      <c r="M387" s="1000"/>
      <c r="N387" s="998">
        <v>2.4893E20</v>
      </c>
      <c r="O387" s="1000"/>
      <c r="P387" s="1000"/>
      <c r="Q387" s="1000"/>
      <c r="R387" s="1000"/>
      <c r="S387" s="1000"/>
    </row>
    <row r="388">
      <c r="A388" s="1001"/>
      <c r="B388" s="998">
        <v>2.538E20</v>
      </c>
      <c r="C388" s="998">
        <v>2.538E20</v>
      </c>
      <c r="D388" s="998">
        <v>2.538E20</v>
      </c>
      <c r="E388" s="998">
        <v>2.538E20</v>
      </c>
      <c r="F388" s="998">
        <v>2.538E20</v>
      </c>
      <c r="G388" s="1000"/>
      <c r="H388" s="998">
        <v>2.538E20</v>
      </c>
      <c r="I388" s="998">
        <v>2.538E20</v>
      </c>
      <c r="J388" s="998">
        <v>2.538E20</v>
      </c>
      <c r="K388" s="998">
        <v>2.538E20</v>
      </c>
      <c r="L388" s="998">
        <v>2.538E20</v>
      </c>
      <c r="M388" s="1000"/>
      <c r="N388" s="998">
        <v>2.538E20</v>
      </c>
      <c r="O388" s="1000"/>
      <c r="P388" s="1000"/>
      <c r="Q388" s="1000"/>
      <c r="R388" s="1000"/>
      <c r="S388" s="1000"/>
    </row>
    <row r="389">
      <c r="A389" s="1001"/>
      <c r="B389" s="998">
        <v>2.5876E20</v>
      </c>
      <c r="C389" s="998">
        <v>2.5876E20</v>
      </c>
      <c r="D389" s="998">
        <v>2.5876E20</v>
      </c>
      <c r="E389" s="998">
        <v>2.5876E20</v>
      </c>
      <c r="F389" s="998">
        <v>2.5876E20</v>
      </c>
      <c r="G389" s="1000"/>
      <c r="H389" s="998">
        <v>2.5876E20</v>
      </c>
      <c r="I389" s="998">
        <v>2.5876E20</v>
      </c>
      <c r="J389" s="998">
        <v>2.5876E20</v>
      </c>
      <c r="K389" s="998">
        <v>2.5876E20</v>
      </c>
      <c r="L389" s="998">
        <v>2.5876E20</v>
      </c>
      <c r="M389" s="1000"/>
      <c r="N389" s="998">
        <v>2.5876E20</v>
      </c>
      <c r="O389" s="1000"/>
      <c r="P389" s="1000"/>
      <c r="Q389" s="1000"/>
      <c r="R389" s="1000"/>
      <c r="S389" s="1000"/>
    </row>
    <row r="390">
      <c r="A390" s="1001"/>
      <c r="B390" s="998">
        <v>2.6379E20</v>
      </c>
      <c r="C390" s="998">
        <v>2.6379E20</v>
      </c>
      <c r="D390" s="998">
        <v>2.6379E20</v>
      </c>
      <c r="E390" s="998">
        <v>2.6379E20</v>
      </c>
      <c r="F390" s="998">
        <v>2.6379E20</v>
      </c>
      <c r="G390" s="1000"/>
      <c r="H390" s="998">
        <v>2.6379E20</v>
      </c>
      <c r="I390" s="998">
        <v>2.6379E20</v>
      </c>
      <c r="J390" s="998">
        <v>2.6379E20</v>
      </c>
      <c r="K390" s="998">
        <v>2.6379E20</v>
      </c>
      <c r="L390" s="998">
        <v>2.6379E20</v>
      </c>
      <c r="M390" s="1000"/>
      <c r="N390" s="998">
        <v>2.6379E20</v>
      </c>
      <c r="O390" s="1000"/>
      <c r="P390" s="1000"/>
      <c r="Q390" s="1000"/>
      <c r="R390" s="1000"/>
      <c r="S390" s="1000"/>
    </row>
    <row r="391">
      <c r="A391" s="1001"/>
      <c r="B391" s="998">
        <v>2.6891E20</v>
      </c>
      <c r="C391" s="998">
        <v>2.6891E20</v>
      </c>
      <c r="D391" s="998">
        <v>2.6891E20</v>
      </c>
      <c r="E391" s="998">
        <v>2.6891E20</v>
      </c>
      <c r="F391" s="998">
        <v>2.6891E20</v>
      </c>
      <c r="G391" s="1000"/>
      <c r="H391" s="998">
        <v>2.6891E20</v>
      </c>
      <c r="I391" s="998">
        <v>2.6891E20</v>
      </c>
      <c r="J391" s="998">
        <v>2.6891E20</v>
      </c>
      <c r="K391" s="998">
        <v>2.6891E20</v>
      </c>
      <c r="L391" s="998">
        <v>2.6891E20</v>
      </c>
      <c r="M391" s="1000"/>
      <c r="N391" s="998">
        <v>2.6891E20</v>
      </c>
      <c r="O391" s="1000"/>
      <c r="P391" s="1000"/>
      <c r="Q391" s="1000"/>
      <c r="R391" s="1000"/>
      <c r="S391" s="1000"/>
    </row>
    <row r="392">
      <c r="A392" s="1001"/>
      <c r="B392" s="998">
        <v>2.7411E20</v>
      </c>
      <c r="C392" s="998">
        <v>2.7411E20</v>
      </c>
      <c r="D392" s="998">
        <v>2.7411E20</v>
      </c>
      <c r="E392" s="998">
        <v>2.7411E20</v>
      </c>
      <c r="F392" s="998">
        <v>2.7411E20</v>
      </c>
      <c r="G392" s="1000"/>
      <c r="H392" s="998">
        <v>2.7411E20</v>
      </c>
      <c r="I392" s="998">
        <v>2.7411E20</v>
      </c>
      <c r="J392" s="998">
        <v>2.7411E20</v>
      </c>
      <c r="K392" s="998">
        <v>2.7411E20</v>
      </c>
      <c r="L392" s="998">
        <v>2.7411E20</v>
      </c>
      <c r="M392" s="1000"/>
      <c r="N392" s="998">
        <v>2.7411E20</v>
      </c>
      <c r="O392" s="1000"/>
      <c r="P392" s="1000"/>
      <c r="Q392" s="1000"/>
      <c r="R392" s="1000"/>
      <c r="S392" s="1000"/>
    </row>
    <row r="393">
      <c r="A393" s="1001"/>
      <c r="B393" s="998">
        <v>2.7939E20</v>
      </c>
      <c r="C393" s="998">
        <v>2.7939E20</v>
      </c>
      <c r="D393" s="998">
        <v>2.7939E20</v>
      </c>
      <c r="E393" s="998">
        <v>2.7939E20</v>
      </c>
      <c r="F393" s="998">
        <v>2.7939E20</v>
      </c>
      <c r="G393" s="1000"/>
      <c r="H393" s="998">
        <v>2.7939E20</v>
      </c>
      <c r="I393" s="998">
        <v>2.7939E20</v>
      </c>
      <c r="J393" s="998">
        <v>2.7939E20</v>
      </c>
      <c r="K393" s="998">
        <v>2.7939E20</v>
      </c>
      <c r="L393" s="998">
        <v>2.7939E20</v>
      </c>
      <c r="M393" s="1000"/>
      <c r="N393" s="998">
        <v>2.7939E20</v>
      </c>
      <c r="O393" s="1000"/>
      <c r="P393" s="1000"/>
      <c r="Q393" s="1000"/>
      <c r="R393" s="1000"/>
      <c r="S393" s="1000"/>
    </row>
    <row r="394">
      <c r="A394" s="1001"/>
      <c r="B394" s="998">
        <v>2.8475E20</v>
      </c>
      <c r="C394" s="998">
        <v>2.8475E20</v>
      </c>
      <c r="D394" s="998">
        <v>2.8475E20</v>
      </c>
      <c r="E394" s="998">
        <v>2.8475E20</v>
      </c>
      <c r="F394" s="998">
        <v>2.8475E20</v>
      </c>
      <c r="G394" s="1000"/>
      <c r="H394" s="998">
        <v>2.8475E20</v>
      </c>
      <c r="I394" s="998">
        <v>2.8475E20</v>
      </c>
      <c r="J394" s="998">
        <v>2.8475E20</v>
      </c>
      <c r="K394" s="998">
        <v>2.8475E20</v>
      </c>
      <c r="L394" s="998">
        <v>2.8475E20</v>
      </c>
      <c r="M394" s="1000"/>
      <c r="N394" s="998">
        <v>2.8475E20</v>
      </c>
      <c r="O394" s="1000"/>
      <c r="P394" s="1000"/>
      <c r="Q394" s="1000"/>
      <c r="R394" s="1000"/>
      <c r="S394" s="1000"/>
    </row>
    <row r="395">
      <c r="A395" s="1001"/>
      <c r="B395" s="998">
        <v>2.902E20</v>
      </c>
      <c r="C395" s="998">
        <v>2.902E20</v>
      </c>
      <c r="D395" s="998">
        <v>2.902E20</v>
      </c>
      <c r="E395" s="998">
        <v>2.902E20</v>
      </c>
      <c r="F395" s="998">
        <v>2.902E20</v>
      </c>
      <c r="G395" s="1000"/>
      <c r="H395" s="998">
        <v>2.902E20</v>
      </c>
      <c r="I395" s="998">
        <v>2.902E20</v>
      </c>
      <c r="J395" s="998">
        <v>2.902E20</v>
      </c>
      <c r="K395" s="998">
        <v>2.902E20</v>
      </c>
      <c r="L395" s="998">
        <v>2.902E20</v>
      </c>
      <c r="M395" s="1000"/>
      <c r="N395" s="998">
        <v>2.902E20</v>
      </c>
      <c r="O395" s="1000"/>
      <c r="P395" s="1000"/>
      <c r="Q395" s="1000"/>
      <c r="R395" s="1000"/>
      <c r="S395" s="1000"/>
    </row>
    <row r="396">
      <c r="A396" s="1001"/>
      <c r="B396" s="998">
        <v>2.9573E20</v>
      </c>
      <c r="C396" s="998">
        <v>2.9573E20</v>
      </c>
      <c r="D396" s="998">
        <v>2.9573E20</v>
      </c>
      <c r="E396" s="998">
        <v>2.9573E20</v>
      </c>
      <c r="F396" s="998">
        <v>2.9573E20</v>
      </c>
      <c r="G396" s="1000"/>
      <c r="H396" s="998">
        <v>2.9573E20</v>
      </c>
      <c r="I396" s="998">
        <v>2.9573E20</v>
      </c>
      <c r="J396" s="998">
        <v>2.9573E20</v>
      </c>
      <c r="K396" s="998">
        <v>2.9573E20</v>
      </c>
      <c r="L396" s="998">
        <v>2.9573E20</v>
      </c>
      <c r="M396" s="1000"/>
      <c r="N396" s="998">
        <v>2.9573E20</v>
      </c>
      <c r="O396" s="1000"/>
      <c r="P396" s="1000"/>
      <c r="Q396" s="1000"/>
      <c r="R396" s="1000"/>
      <c r="S396" s="1000"/>
    </row>
    <row r="397">
      <c r="A397" s="1001"/>
      <c r="B397" s="998">
        <v>3.0135E20</v>
      </c>
      <c r="C397" s="998">
        <v>3.0135E20</v>
      </c>
      <c r="D397" s="998">
        <v>3.0135E20</v>
      </c>
      <c r="E397" s="998">
        <v>3.0135E20</v>
      </c>
      <c r="F397" s="998">
        <v>3.0135E20</v>
      </c>
      <c r="G397" s="1000"/>
      <c r="H397" s="998">
        <v>3.0135E20</v>
      </c>
      <c r="I397" s="998">
        <v>3.0135E20</v>
      </c>
      <c r="J397" s="998">
        <v>3.0135E20</v>
      </c>
      <c r="K397" s="998">
        <v>3.0135E20</v>
      </c>
      <c r="L397" s="998">
        <v>3.0135E20</v>
      </c>
      <c r="M397" s="1000"/>
      <c r="N397" s="998">
        <v>3.0135E20</v>
      </c>
      <c r="O397" s="1000"/>
      <c r="P397" s="1000"/>
      <c r="Q397" s="1000"/>
      <c r="R397" s="1000"/>
      <c r="S397" s="1000"/>
    </row>
    <row r="398">
      <c r="A398" s="1001"/>
      <c r="B398" s="998">
        <v>3.0706E20</v>
      </c>
      <c r="C398" s="998">
        <v>3.0706E20</v>
      </c>
      <c r="D398" s="998">
        <v>3.0706E20</v>
      </c>
      <c r="E398" s="998">
        <v>3.0706E20</v>
      </c>
      <c r="F398" s="998">
        <v>3.0706E20</v>
      </c>
      <c r="G398" s="1000"/>
      <c r="H398" s="998">
        <v>3.0706E20</v>
      </c>
      <c r="I398" s="998">
        <v>3.0706E20</v>
      </c>
      <c r="J398" s="998">
        <v>3.0706E20</v>
      </c>
      <c r="K398" s="998">
        <v>3.0706E20</v>
      </c>
      <c r="L398" s="998">
        <v>3.0706E20</v>
      </c>
      <c r="M398" s="1000"/>
      <c r="N398" s="998">
        <v>3.0706E20</v>
      </c>
      <c r="O398" s="1000"/>
      <c r="P398" s="1000"/>
      <c r="Q398" s="1000"/>
      <c r="R398" s="1000"/>
      <c r="S398" s="1000"/>
    </row>
    <row r="399">
      <c r="A399" s="1001"/>
      <c r="B399" s="998">
        <v>3.1286E20</v>
      </c>
      <c r="C399" s="998">
        <v>3.1286E20</v>
      </c>
      <c r="D399" s="998">
        <v>3.1286E20</v>
      </c>
      <c r="E399" s="998">
        <v>3.1286E20</v>
      </c>
      <c r="F399" s="998">
        <v>3.1286E20</v>
      </c>
      <c r="G399" s="1000"/>
      <c r="H399" s="998">
        <v>3.1286E20</v>
      </c>
      <c r="I399" s="998">
        <v>3.1286E20</v>
      </c>
      <c r="J399" s="998">
        <v>3.1286E20</v>
      </c>
      <c r="K399" s="998">
        <v>3.1286E20</v>
      </c>
      <c r="L399" s="998">
        <v>3.1286E20</v>
      </c>
      <c r="M399" s="1000"/>
      <c r="N399" s="998">
        <v>3.1286E20</v>
      </c>
      <c r="O399" s="1000"/>
      <c r="P399" s="1000"/>
      <c r="Q399" s="1000"/>
      <c r="R399" s="1000"/>
      <c r="S399" s="1000"/>
    </row>
    <row r="400">
      <c r="A400" s="1001"/>
      <c r="B400" s="998">
        <v>3.1875E20</v>
      </c>
      <c r="C400" s="998">
        <v>3.1875E20</v>
      </c>
      <c r="D400" s="998">
        <v>3.1875E20</v>
      </c>
      <c r="E400" s="998">
        <v>3.1875E20</v>
      </c>
      <c r="F400" s="998">
        <v>3.1875E20</v>
      </c>
      <c r="G400" s="1000"/>
      <c r="H400" s="998">
        <v>3.1875E20</v>
      </c>
      <c r="I400" s="998">
        <v>3.1875E20</v>
      </c>
      <c r="J400" s="998">
        <v>3.1875E20</v>
      </c>
      <c r="K400" s="998">
        <v>3.1875E20</v>
      </c>
      <c r="L400" s="998">
        <v>3.1875E20</v>
      </c>
      <c r="M400" s="1000"/>
      <c r="N400" s="998">
        <v>3.1875E20</v>
      </c>
      <c r="O400" s="1000"/>
      <c r="P400" s="1000"/>
      <c r="Q400" s="1000"/>
      <c r="R400" s="1000"/>
      <c r="S400" s="1000"/>
    </row>
    <row r="401">
      <c r="A401" s="1001"/>
      <c r="B401" s="998">
        <v>3.2473E20</v>
      </c>
      <c r="C401" s="998">
        <v>3.2473E20</v>
      </c>
      <c r="D401" s="998">
        <v>3.2473E20</v>
      </c>
      <c r="E401" s="998">
        <v>3.2473E20</v>
      </c>
      <c r="F401" s="998">
        <v>3.2473E20</v>
      </c>
      <c r="G401" s="1000"/>
      <c r="H401" s="998">
        <v>3.2473E20</v>
      </c>
      <c r="I401" s="998">
        <v>3.2473E20</v>
      </c>
      <c r="J401" s="998">
        <v>3.2473E20</v>
      </c>
      <c r="K401" s="998">
        <v>3.2473E20</v>
      </c>
      <c r="L401" s="998">
        <v>3.2473E20</v>
      </c>
      <c r="M401" s="1000"/>
      <c r="N401" s="998">
        <v>3.2473E20</v>
      </c>
      <c r="O401" s="1000"/>
      <c r="P401" s="1000"/>
      <c r="Q401" s="1000"/>
      <c r="R401" s="1000"/>
      <c r="S401" s="1000"/>
    </row>
    <row r="402">
      <c r="A402" s="1001"/>
      <c r="B402" s="998">
        <v>3.308E20</v>
      </c>
      <c r="C402" s="998">
        <v>3.308E20</v>
      </c>
      <c r="D402" s="998">
        <v>3.308E20</v>
      </c>
      <c r="E402" s="998">
        <v>3.308E20</v>
      </c>
      <c r="F402" s="998">
        <v>3.308E20</v>
      </c>
      <c r="G402" s="1000"/>
      <c r="H402" s="998">
        <v>3.308E20</v>
      </c>
      <c r="I402" s="998">
        <v>3.308E20</v>
      </c>
      <c r="J402" s="998">
        <v>3.308E20</v>
      </c>
      <c r="K402" s="998">
        <v>3.308E20</v>
      </c>
      <c r="L402" s="998">
        <v>3.308E20</v>
      </c>
      <c r="M402" s="1000"/>
      <c r="N402" s="998">
        <v>3.308E20</v>
      </c>
      <c r="O402" s="1000"/>
      <c r="P402" s="1000"/>
      <c r="Q402" s="1000"/>
      <c r="R402" s="1000"/>
      <c r="S402" s="1000"/>
    </row>
  </sheetData>
  <mergeCells count="1">
    <mergeCell ref="A2:A303"/>
  </mergeCells>
  <drawing r:id="rId1"/>
</worksheet>
</file>